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codeName="ThisWorkbook" defaultThemeVersion="124226"/>
  <mc:AlternateContent xmlns:mc="http://schemas.openxmlformats.org/markup-compatibility/2006">
    <mc:Choice Requires="x15">
      <x15ac:absPath xmlns:x15ac="http://schemas.microsoft.com/office/spreadsheetml/2010/11/ac" url="S:\Departments\DistBusDev\Department Only\EE\Z PP&amp;E Only\NH DSM Filings\2024-2026 Three Year Plan\Attachments for Filing\"/>
    </mc:Choice>
  </mc:AlternateContent>
  <xr:revisionPtr revIDLastSave="0" documentId="13_ncr:1_{38589215-ECF2-43F5-99C3-D88F7B6BFA7B}" xr6:coauthVersionLast="36" xr6:coauthVersionMax="36" xr10:uidLastSave="{00000000-0000-0000-0000-000000000000}"/>
  <bookViews>
    <workbookView xWindow="0" yWindow="0" windowWidth="38400" windowHeight="11625" tabRatio="865" firstSheet="3" activeTab="14" xr2:uid="{00000000-000D-0000-FFFF-FFFF00000000}"/>
  </bookViews>
  <sheets>
    <sheet name="Lookups" sheetId="98" r:id="rId1"/>
    <sheet name="Costs" sheetId="120" r:id="rId2"/>
    <sheet name="ADRYr1" sheetId="126" r:id="rId3"/>
    <sheet name="ADRYr2" sheetId="124" r:id="rId4"/>
    <sheet name="ADRYr3" sheetId="3" r:id="rId5"/>
    <sheet name="CalcsYr1" sheetId="127" r:id="rId6"/>
    <sheet name="CalcsYr2" sheetId="125" r:id="rId7"/>
    <sheet name="CalcsYr3" sheetId="12" r:id="rId8"/>
    <sheet name="ADR Primary Data" sheetId="25" r:id="rId9"/>
    <sheet name="AESC" sheetId="8" r:id="rId10"/>
    <sheet name="DemandLookups" sheetId="121" r:id="rId11"/>
    <sheet name="AvoidedDemand" sheetId="122" r:id="rId12"/>
    <sheet name="AvoidedEnergy" sheetId="123" r:id="rId13"/>
    <sheet name="1. Att Cost Eff" sheetId="119" r:id="rId14"/>
    <sheet name="2. Att Ben" sheetId="73" r:id="rId15"/>
    <sheet name="3. Att E1 PI" sheetId="101" state="hidden" r:id="rId16"/>
  </sheets>
  <externalReferences>
    <externalReference r:id="rId17"/>
  </externalReferences>
  <definedNames>
    <definedName name="_xlnm._FilterDatabase" localSheetId="8" hidden="1">'ADR Primary Data'!$A$1:$CQ$1</definedName>
    <definedName name="_xlnm._FilterDatabase" localSheetId="2" hidden="1">ADRYr1!$A$4:$AX$39</definedName>
    <definedName name="_xlnm._FilterDatabase" localSheetId="3" hidden="1">ADRYr2!$A$4:$AX$39</definedName>
    <definedName name="_xlnm._FilterDatabase" localSheetId="4" hidden="1">ADRYr3!$A$4:$AX$39</definedName>
    <definedName name="_xlnm._FilterDatabase" localSheetId="5" hidden="1">CalcsYr1!$A$4:$DO$39</definedName>
    <definedName name="_xlnm._FilterDatabase" localSheetId="6" hidden="1">CalcsYr2!$A$4:$DO$39</definedName>
    <definedName name="_xlnm._FilterDatabase" localSheetId="7" hidden="1">CalcsYr3!$A$4:$DO$39</definedName>
    <definedName name="_xlnm._FilterDatabase" localSheetId="1" hidden="1">Costs!$E$4:$J$474</definedName>
    <definedName name="_xlnm._FilterDatabase" localSheetId="0" hidden="1">Lookups!$F$1:$F$98</definedName>
    <definedName name="AveLoss">Lookups!$G$51</definedName>
    <definedName name="avoidedcosttbl">AESC!$A$93:$BC$117</definedName>
    <definedName name="avoidedcosttbl2">AESC!$A$119:$BC$143</definedName>
    <definedName name="avoidedcosttbl3">AESC!$A$145:$BC$169</definedName>
    <definedName name="avoidedcosttblADM">AvoidedEnergy!$A$13:$G$606</definedName>
    <definedName name="avoidedcosttblADMcapDRIPEYr1">AvoidedDemand!$AD$81:$BB$81</definedName>
    <definedName name="avoidedcosttblADMcapDRIPEYr2">AvoidedDemand!$AD$161:$BB$161</definedName>
    <definedName name="avoidedcosttblADMcapDRIPEYr3">AvoidedDemand!$AD$241:$BB$241</definedName>
    <definedName name="avoidedcosttblADMcapYr1">AvoidedDemand!$AD$42:$BB$42</definedName>
    <definedName name="avoidedcosttblADMcapYr2">AvoidedDemand!$AD$122:$BB$122</definedName>
    <definedName name="avoidedcosttblADMcapYr3">AvoidedDemand!$AD$202:$BB$202</definedName>
    <definedName name="avoidedcosttblADMkey">AvoidedEnergy!$G$13:$G$606</definedName>
    <definedName name="CD">Lookups!$G$57</definedName>
    <definedName name="ciwater1">Lookups!$G$42</definedName>
    <definedName name="ciwater2">Lookups!$H$42</definedName>
    <definedName name="ciwater3">Lookups!$I$42</definedName>
    <definedName name="DistributionLosses">Lookups!$G$22</definedName>
    <definedName name="distributionyear1">Lookups!$G$39</definedName>
    <definedName name="distributionyear2">Lookups!$H$39</definedName>
    <definedName name="distributionyear3">Lookups!$I$39</definedName>
    <definedName name="ECD">Lookups!$G$56</definedName>
    <definedName name="ED">Lookups!$G$55</definedName>
    <definedName name="EE">Lookups!$G$64</definedName>
    <definedName name="ElecProg">Lookups!$F$145:$F$175</definedName>
    <definedName name="EndUse">Lookups!$E$123:$E$136</definedName>
    <definedName name="EnergyLosses">Lookups!$G$25</definedName>
    <definedName name="FCMbid">Lookups!$G$23</definedName>
    <definedName name="FE">Lookups!$G$62</definedName>
    <definedName name="FEpercent">Lookups!$G$77</definedName>
    <definedName name="FuelList">Lookups!$E$105:$E$120</definedName>
    <definedName name="GasProg">Lookups!$F$176:$F$193</definedName>
    <definedName name="GD">Lookups!$G$59</definedName>
    <definedName name="GECD">Lookups!$G$60</definedName>
    <definedName name="Half_Year">Lookups!$G$20</definedName>
    <definedName name="HEA_NEI_Yr">Lookups!$G$73</definedName>
    <definedName name="Inflation1">Lookups!$G$34</definedName>
    <definedName name="Inflation2">Lookups!$H$34</definedName>
    <definedName name="Inflation3">Lookups!$I$34</definedName>
    <definedName name="KerE">Lookups!$L$84</definedName>
    <definedName name="KeroseneCO2">Lookups!$F$84</definedName>
    <definedName name="KerosenseCO2">Lookups!$F$84</definedName>
    <definedName name="Load_Shape_Demand">DemandLookups!$A$6:$A$11</definedName>
    <definedName name="MasterData">'ADR Primary Data'!$C:$CK</definedName>
    <definedName name="NEIadder">Lookups!$G$65</definedName>
    <definedName name="NGCO2">Lookups!$F$81</definedName>
    <definedName name="NGE">Lookups!$L$81</definedName>
    <definedName name="nomdiscrt1">Lookups!$G$33</definedName>
    <definedName name="nomdiscrt2">Lookups!$H$33</definedName>
    <definedName name="nomdiscrt3">Lookups!$I$33</definedName>
    <definedName name="OilCO2">Lookups!$F$82</definedName>
    <definedName name="OilDRIPE">Lookups!$G$61</definedName>
    <definedName name="OilE">Lookups!$L$82</definedName>
    <definedName name="PA">Lookups!$F$9</definedName>
    <definedName name="PeakDemandLosses">Lookups!$G$26</definedName>
    <definedName name="_xlnm.Print_Area" localSheetId="13">'1. Att Cost Eff'!$A$1:$L$62</definedName>
    <definedName name="_xlnm.Print_Area" localSheetId="14">'2. Att Ben'!$A$1:$V$44</definedName>
    <definedName name="_xlnm.Print_Area" localSheetId="15">'3. Att E1 PI'!$A$1:$L$71</definedName>
    <definedName name="_xlnm.Print_Area" localSheetId="5">CalcsYr1!$A$1:$BD$39</definedName>
    <definedName name="_xlnm.Print_Area" localSheetId="6">CalcsYr2!$A$1:$BD$39</definedName>
    <definedName name="_xlnm.Print_Area" localSheetId="7">CalcsYr3!$A$1:$BD$39</definedName>
    <definedName name="_xlnm.Print_Titles" localSheetId="1">Costs!$4:$4</definedName>
    <definedName name="PropaneCO2">Lookups!$F$83</definedName>
    <definedName name="PropCO2">Lookups!$F$83</definedName>
    <definedName name="PropE">Lookups!$L$83</definedName>
    <definedName name="PTF_Year">Lookups!$G$37</definedName>
    <definedName name="PTFlosses">Lookups!$G$24</definedName>
    <definedName name="PTFyear1">Lookups!$G$36</definedName>
    <definedName name="PTFyear2">Lookups!$H$36</definedName>
    <definedName name="PTFyear3">Lookups!$I$36</definedName>
    <definedName name="Real_Year">Lookups!$G$19</definedName>
    <definedName name="realdiscrt1">Lookups!$G$35</definedName>
    <definedName name="realdiscrt2">Lookups!$H$35</definedName>
    <definedName name="realdiscrt3">Lookups!$I$35</definedName>
    <definedName name="Reliability">Lookups!$G$58</definedName>
    <definedName name="reswater1">Lookups!$G$41</definedName>
    <definedName name="reswater2">Lookups!$H$41</definedName>
    <definedName name="reswater3">Lookups!$I$41</definedName>
    <definedName name="RGGI">Lookups!$G$63</definedName>
    <definedName name="RT_Bat_Eff">[1]Lookups!$G$28</definedName>
    <definedName name="Sector">Lookups!$E$139:$E$141</definedName>
    <definedName name="SumOffPeakEnergyLL">Lookups!$G$48</definedName>
    <definedName name="SumPeakEnergyLL">Lookups!$G$47</definedName>
    <definedName name="TD_Year">Lookups!$G$40</definedName>
    <definedName name="transmissionyear1">Lookups!$G$38</definedName>
    <definedName name="transmissionyear2">Lookups!$H$38</definedName>
    <definedName name="transmissionyear3">Lookups!$I$38</definedName>
    <definedName name="WholesaleRiskPremium">Lookups!$G$21</definedName>
    <definedName name="WntOffPeakEnergyLL">Lookups!$G$50</definedName>
    <definedName name="WntPeakEnergyLL">Lookups!$G$49</definedName>
    <definedName name="Wt_Year">Lookups!$G$43</definedName>
    <definedName name="Year1">Lookups!$F$11</definedName>
    <definedName name="Year2">Lookups!$F$12</definedName>
    <definedName name="Year3">Lookups!$F$13</definedName>
  </definedNames>
  <calcPr calcId="191029"/>
</workbook>
</file>

<file path=xl/calcChain.xml><?xml version="1.0" encoding="utf-8"?>
<calcChain xmlns="http://schemas.openxmlformats.org/spreadsheetml/2006/main">
  <c r="F7" i="120" l="1"/>
  <c r="J1" i="119" l="1"/>
  <c r="D583" i="123" l="1"/>
  <c r="D584" i="123"/>
  <c r="D585" i="123"/>
  <c r="D586" i="123"/>
  <c r="D587" i="123"/>
  <c r="D588" i="123"/>
  <c r="D589" i="123"/>
  <c r="D590" i="123"/>
  <c r="D591" i="123"/>
  <c r="D592" i="123"/>
  <c r="D593" i="123"/>
  <c r="D594" i="123"/>
  <c r="D595" i="123"/>
  <c r="D596" i="123"/>
  <c r="D597" i="123"/>
  <c r="D598" i="123"/>
  <c r="D599" i="123"/>
  <c r="D600" i="123"/>
  <c r="D601" i="123"/>
  <c r="D602" i="123"/>
  <c r="D603" i="123"/>
  <c r="D604" i="123"/>
  <c r="D605" i="123"/>
  <c r="D606" i="123"/>
  <c r="D582" i="123"/>
  <c r="D557" i="123"/>
  <c r="D558" i="123"/>
  <c r="D559" i="123"/>
  <c r="D560" i="123"/>
  <c r="D561" i="123"/>
  <c r="D562" i="123"/>
  <c r="D563" i="123"/>
  <c r="D564" i="123"/>
  <c r="D565" i="123"/>
  <c r="D566" i="123"/>
  <c r="D567" i="123"/>
  <c r="D568" i="123"/>
  <c r="D569" i="123"/>
  <c r="D570" i="123"/>
  <c r="D571" i="123"/>
  <c r="D572" i="123"/>
  <c r="D573" i="123"/>
  <c r="D574" i="123"/>
  <c r="D575" i="123"/>
  <c r="D576" i="123"/>
  <c r="D577" i="123"/>
  <c r="D578" i="123"/>
  <c r="D579" i="123"/>
  <c r="D580" i="123"/>
  <c r="D556" i="123"/>
  <c r="F557" i="123" s="1"/>
  <c r="D529" i="123"/>
  <c r="D530" i="123"/>
  <c r="D531" i="123"/>
  <c r="D532" i="123"/>
  <c r="D533" i="123"/>
  <c r="D534" i="123"/>
  <c r="D535" i="123"/>
  <c r="D536" i="123"/>
  <c r="D537" i="123"/>
  <c r="D538" i="123"/>
  <c r="D539" i="123"/>
  <c r="D540" i="123"/>
  <c r="D541" i="123"/>
  <c r="D542" i="123"/>
  <c r="D543" i="123"/>
  <c r="D544" i="123"/>
  <c r="D545" i="123"/>
  <c r="D546" i="123"/>
  <c r="D547" i="123"/>
  <c r="D548" i="123"/>
  <c r="D549" i="123"/>
  <c r="D550" i="123"/>
  <c r="D551" i="123"/>
  <c r="D552" i="123"/>
  <c r="D553" i="123"/>
  <c r="D554" i="123"/>
  <c r="D528" i="123"/>
  <c r="D498" i="123"/>
  <c r="D499" i="123"/>
  <c r="D500" i="123"/>
  <c r="D501" i="123"/>
  <c r="D502" i="123"/>
  <c r="D503" i="123"/>
  <c r="D504" i="123"/>
  <c r="D505" i="123"/>
  <c r="D506" i="123"/>
  <c r="D507" i="123"/>
  <c r="D508" i="123"/>
  <c r="D509" i="123"/>
  <c r="D510" i="123"/>
  <c r="D511" i="123"/>
  <c r="D512" i="123"/>
  <c r="D513" i="123"/>
  <c r="D514" i="123"/>
  <c r="D515" i="123"/>
  <c r="D516" i="123"/>
  <c r="D517" i="123"/>
  <c r="D518" i="123"/>
  <c r="D519" i="123"/>
  <c r="D520" i="123"/>
  <c r="D521" i="123"/>
  <c r="D497" i="123"/>
  <c r="D472" i="123"/>
  <c r="D473" i="123"/>
  <c r="D474" i="123"/>
  <c r="D475" i="123"/>
  <c r="D476" i="123"/>
  <c r="D477" i="123"/>
  <c r="D478" i="123"/>
  <c r="D479" i="123"/>
  <c r="D480" i="123"/>
  <c r="D481" i="123"/>
  <c r="D482" i="123"/>
  <c r="D483" i="123"/>
  <c r="D484" i="123"/>
  <c r="D485" i="123"/>
  <c r="D486" i="123"/>
  <c r="D487" i="123"/>
  <c r="D488" i="123"/>
  <c r="D489" i="123"/>
  <c r="D490" i="123"/>
  <c r="D491" i="123"/>
  <c r="D492" i="123"/>
  <c r="D493" i="123"/>
  <c r="D494" i="123"/>
  <c r="D495" i="123"/>
  <c r="D471" i="123"/>
  <c r="D444" i="123"/>
  <c r="D445" i="123"/>
  <c r="D446" i="123"/>
  <c r="D447" i="123"/>
  <c r="D448" i="123"/>
  <c r="D449" i="123"/>
  <c r="D450" i="123"/>
  <c r="D451" i="123"/>
  <c r="D452" i="123"/>
  <c r="D453" i="123"/>
  <c r="D454" i="123"/>
  <c r="D455" i="123"/>
  <c r="D456" i="123"/>
  <c r="D457" i="123"/>
  <c r="D458" i="123"/>
  <c r="D459" i="123"/>
  <c r="D460" i="123"/>
  <c r="D461" i="123"/>
  <c r="D462" i="123"/>
  <c r="D463" i="123"/>
  <c r="D464" i="123"/>
  <c r="D465" i="123"/>
  <c r="D466" i="123"/>
  <c r="D467" i="123"/>
  <c r="D468" i="123"/>
  <c r="D469" i="123"/>
  <c r="D443" i="123"/>
  <c r="D413" i="123"/>
  <c r="D414" i="123"/>
  <c r="D415" i="123"/>
  <c r="D416" i="123"/>
  <c r="D417" i="123"/>
  <c r="D418" i="123"/>
  <c r="D419" i="123"/>
  <c r="D420" i="123"/>
  <c r="D421" i="123"/>
  <c r="D422" i="123"/>
  <c r="D423" i="123"/>
  <c r="D424" i="123"/>
  <c r="D425" i="123"/>
  <c r="D426" i="123"/>
  <c r="D427" i="123"/>
  <c r="D428" i="123"/>
  <c r="D429" i="123"/>
  <c r="D430" i="123"/>
  <c r="D431" i="123"/>
  <c r="D432" i="123"/>
  <c r="D433" i="123"/>
  <c r="D434" i="123"/>
  <c r="D435" i="123"/>
  <c r="D436" i="123"/>
  <c r="D412" i="123"/>
  <c r="D387" i="123"/>
  <c r="D388" i="123"/>
  <c r="D389" i="123"/>
  <c r="D390" i="123"/>
  <c r="D391" i="123"/>
  <c r="D392" i="123"/>
  <c r="D393" i="123"/>
  <c r="D394" i="123"/>
  <c r="D395" i="123"/>
  <c r="D396" i="123"/>
  <c r="D397" i="123"/>
  <c r="D398" i="123"/>
  <c r="D399" i="123"/>
  <c r="D400" i="123"/>
  <c r="D401" i="123"/>
  <c r="D402" i="123"/>
  <c r="D403" i="123"/>
  <c r="D404" i="123"/>
  <c r="D405" i="123"/>
  <c r="D406" i="123"/>
  <c r="D407" i="123"/>
  <c r="D408" i="123"/>
  <c r="D409" i="123"/>
  <c r="D410" i="123"/>
  <c r="D386" i="123"/>
  <c r="D359" i="123"/>
  <c r="D360" i="123"/>
  <c r="D361" i="123"/>
  <c r="D362" i="123"/>
  <c r="D363" i="123"/>
  <c r="D364" i="123"/>
  <c r="D365" i="123"/>
  <c r="D366" i="123"/>
  <c r="D367" i="123"/>
  <c r="D368" i="123"/>
  <c r="D369" i="123"/>
  <c r="D370" i="123"/>
  <c r="D371" i="123"/>
  <c r="D372" i="123"/>
  <c r="D373" i="123"/>
  <c r="D374" i="123"/>
  <c r="D375" i="123"/>
  <c r="D376" i="123"/>
  <c r="D377" i="123"/>
  <c r="D378" i="123"/>
  <c r="D379" i="123"/>
  <c r="D380" i="123"/>
  <c r="D381" i="123"/>
  <c r="D382" i="123"/>
  <c r="D383" i="123"/>
  <c r="D384" i="123"/>
  <c r="D358" i="123"/>
  <c r="D328" i="123"/>
  <c r="D329" i="123"/>
  <c r="D330" i="123"/>
  <c r="D331" i="123"/>
  <c r="D332" i="123"/>
  <c r="D333" i="123"/>
  <c r="D334" i="123"/>
  <c r="D335" i="123"/>
  <c r="D336" i="123"/>
  <c r="D337" i="123"/>
  <c r="D338" i="123"/>
  <c r="D339" i="123"/>
  <c r="D340" i="123"/>
  <c r="D341" i="123"/>
  <c r="D342" i="123"/>
  <c r="D343" i="123"/>
  <c r="D344" i="123"/>
  <c r="D345" i="123"/>
  <c r="D346" i="123"/>
  <c r="D347" i="123"/>
  <c r="D348" i="123"/>
  <c r="D349" i="123"/>
  <c r="D350" i="123"/>
  <c r="D351" i="123"/>
  <c r="D327" i="123"/>
  <c r="D302" i="123"/>
  <c r="D303" i="123"/>
  <c r="D304" i="123"/>
  <c r="D305" i="123"/>
  <c r="D306" i="123"/>
  <c r="D307" i="123"/>
  <c r="D308" i="123"/>
  <c r="D309" i="123"/>
  <c r="D310" i="123"/>
  <c r="D311" i="123"/>
  <c r="D312" i="123"/>
  <c r="D313" i="123"/>
  <c r="D314" i="123"/>
  <c r="D315" i="123"/>
  <c r="D316" i="123"/>
  <c r="D317" i="123"/>
  <c r="D318" i="123"/>
  <c r="D319" i="123"/>
  <c r="D320" i="123"/>
  <c r="D321" i="123"/>
  <c r="D322" i="123"/>
  <c r="D323" i="123"/>
  <c r="D324" i="123"/>
  <c r="D325" i="123"/>
  <c r="D301" i="123"/>
  <c r="D274" i="123"/>
  <c r="D275" i="123"/>
  <c r="D276" i="123"/>
  <c r="D277" i="123"/>
  <c r="D278" i="123"/>
  <c r="D279" i="123"/>
  <c r="D280" i="123"/>
  <c r="D281" i="123"/>
  <c r="D282" i="123"/>
  <c r="D283" i="123"/>
  <c r="D284" i="123"/>
  <c r="D285" i="123"/>
  <c r="D286" i="123"/>
  <c r="D287" i="123"/>
  <c r="D288" i="123"/>
  <c r="D289" i="123"/>
  <c r="D290" i="123"/>
  <c r="D291" i="123"/>
  <c r="D292" i="123"/>
  <c r="D293" i="123"/>
  <c r="D294" i="123"/>
  <c r="D295" i="123"/>
  <c r="D296" i="123"/>
  <c r="D297" i="123"/>
  <c r="D298" i="123"/>
  <c r="D299" i="123"/>
  <c r="D273" i="123"/>
  <c r="D243" i="123"/>
  <c r="D244" i="123"/>
  <c r="D245" i="123"/>
  <c r="D246" i="123"/>
  <c r="D247" i="123"/>
  <c r="D248" i="123"/>
  <c r="D249" i="123"/>
  <c r="D250" i="123"/>
  <c r="D251" i="123"/>
  <c r="D252" i="123"/>
  <c r="D253" i="123"/>
  <c r="D254" i="123"/>
  <c r="D255" i="123"/>
  <c r="D256" i="123"/>
  <c r="D257" i="123"/>
  <c r="D258" i="123"/>
  <c r="D259" i="123"/>
  <c r="D260" i="123"/>
  <c r="D261" i="123"/>
  <c r="D262" i="123"/>
  <c r="D263" i="123"/>
  <c r="D264" i="123"/>
  <c r="D265" i="123"/>
  <c r="D266" i="123"/>
  <c r="D242" i="123"/>
  <c r="F242" i="123" s="1"/>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16"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188"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57"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31"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03" i="123"/>
  <c r="D73" i="123"/>
  <c r="D74" i="123"/>
  <c r="D75" i="123"/>
  <c r="D76" i="123"/>
  <c r="D77" i="123"/>
  <c r="D78" i="123"/>
  <c r="D79" i="123"/>
  <c r="D80" i="123"/>
  <c r="F80" i="123" s="1"/>
  <c r="D81" i="123"/>
  <c r="D82" i="123"/>
  <c r="D83" i="123"/>
  <c r="D84" i="123"/>
  <c r="D85" i="123"/>
  <c r="D86" i="123"/>
  <c r="D87" i="123"/>
  <c r="D88" i="123"/>
  <c r="D89" i="123"/>
  <c r="D90" i="123"/>
  <c r="D91" i="123"/>
  <c r="D92" i="123"/>
  <c r="D93" i="123"/>
  <c r="D94" i="123"/>
  <c r="D95" i="123"/>
  <c r="D96" i="123"/>
  <c r="D72"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46" i="123"/>
  <c r="F47" i="123" s="1"/>
  <c r="D31" i="123"/>
  <c r="D32" i="123"/>
  <c r="D33" i="123"/>
  <c r="D34" i="123"/>
  <c r="D35" i="123"/>
  <c r="D36" i="123"/>
  <c r="D37" i="123"/>
  <c r="D38" i="123"/>
  <c r="D39" i="123"/>
  <c r="D40" i="123"/>
  <c r="D41" i="123"/>
  <c r="D42" i="123"/>
  <c r="D43" i="123"/>
  <c r="D44" i="123"/>
  <c r="D30" i="123"/>
  <c r="D29" i="123"/>
  <c r="D28" i="123"/>
  <c r="D27" i="123"/>
  <c r="D26" i="123"/>
  <c r="D25" i="123"/>
  <c r="D24" i="123"/>
  <c r="D23" i="123"/>
  <c r="D22" i="123"/>
  <c r="D21" i="123"/>
  <c r="D20" i="123"/>
  <c r="D19" i="123"/>
  <c r="D18" i="123"/>
  <c r="F18" i="123" s="1"/>
  <c r="N188" i="123"/>
  <c r="J188" i="123" s="1"/>
  <c r="N189" i="123"/>
  <c r="J189" i="123" s="1"/>
  <c r="N190" i="123"/>
  <c r="J190" i="123" s="1"/>
  <c r="N191" i="123"/>
  <c r="J191" i="123" s="1"/>
  <c r="N192" i="123"/>
  <c r="J192" i="123" s="1"/>
  <c r="N193" i="123"/>
  <c r="J193" i="123" s="1"/>
  <c r="N194" i="123"/>
  <c r="J194" i="123" s="1"/>
  <c r="C188" i="123" s="1"/>
  <c r="N195" i="123"/>
  <c r="J195" i="123" s="1"/>
  <c r="C189" i="123" s="1"/>
  <c r="N196" i="123"/>
  <c r="J196" i="123" s="1"/>
  <c r="C242" i="123" s="1"/>
  <c r="N197" i="123"/>
  <c r="J197" i="123" s="1"/>
  <c r="C243" i="123" s="1"/>
  <c r="N198" i="123"/>
  <c r="J198" i="123" s="1"/>
  <c r="N199" i="123"/>
  <c r="J199" i="123" s="1"/>
  <c r="N200" i="123"/>
  <c r="J200" i="123" s="1"/>
  <c r="N201" i="123"/>
  <c r="J201" i="123" s="1"/>
  <c r="N202" i="123"/>
  <c r="J202" i="123" s="1"/>
  <c r="N203" i="123"/>
  <c r="J203" i="123" s="1"/>
  <c r="N204" i="123"/>
  <c r="J204" i="123" s="1"/>
  <c r="N205" i="123"/>
  <c r="J205" i="123" s="1"/>
  <c r="N206" i="123"/>
  <c r="J206" i="123" s="1"/>
  <c r="N207" i="123"/>
  <c r="J207" i="123" s="1"/>
  <c r="N208" i="123"/>
  <c r="J208" i="123" s="1"/>
  <c r="N209" i="123"/>
  <c r="J209" i="123" s="1"/>
  <c r="N210" i="123"/>
  <c r="J210" i="123" s="1"/>
  <c r="N211" i="123"/>
  <c r="J211" i="123" s="1"/>
  <c r="N212" i="123"/>
  <c r="J212" i="123" s="1"/>
  <c r="N213" i="123"/>
  <c r="J213" i="123" s="1"/>
  <c r="N214" i="123"/>
  <c r="J214" i="123" s="1"/>
  <c r="N215" i="123"/>
  <c r="J215" i="123" s="1"/>
  <c r="N216" i="123"/>
  <c r="J216" i="123" s="1"/>
  <c r="N217" i="123"/>
  <c r="J217" i="123" s="1"/>
  <c r="N218" i="123"/>
  <c r="J218" i="123" s="1"/>
  <c r="N219" i="123"/>
  <c r="J219" i="123" s="1"/>
  <c r="N220" i="123"/>
  <c r="J220" i="123" s="1"/>
  <c r="J273" i="123"/>
  <c r="J274" i="123"/>
  <c r="J275" i="123"/>
  <c r="J276" i="123"/>
  <c r="J277" i="123"/>
  <c r="J278" i="123"/>
  <c r="J279" i="123"/>
  <c r="J280" i="123"/>
  <c r="J281" i="123"/>
  <c r="J282" i="123"/>
  <c r="J283" i="123"/>
  <c r="J284" i="123"/>
  <c r="J285" i="123"/>
  <c r="J286" i="123"/>
  <c r="J287" i="123"/>
  <c r="J288" i="123"/>
  <c r="J289" i="123"/>
  <c r="J290" i="123"/>
  <c r="J291" i="123"/>
  <c r="J292" i="123"/>
  <c r="J293" i="123"/>
  <c r="J294" i="123"/>
  <c r="J295" i="123"/>
  <c r="J296" i="123"/>
  <c r="J297" i="123"/>
  <c r="J298" i="123"/>
  <c r="J299" i="123"/>
  <c r="J300" i="123"/>
  <c r="J301" i="123"/>
  <c r="J302" i="123"/>
  <c r="J303" i="123"/>
  <c r="J304" i="123"/>
  <c r="J305" i="123"/>
  <c r="G46" i="123"/>
  <c r="G18" i="123"/>
  <c r="C18" i="123"/>
  <c r="E18" i="123" s="1"/>
  <c r="C19" i="123"/>
  <c r="C20" i="123"/>
  <c r="E31" i="123" s="1"/>
  <c r="C21" i="123"/>
  <c r="C22" i="123"/>
  <c r="E39" i="123" s="1"/>
  <c r="C23" i="123"/>
  <c r="C24" i="123"/>
  <c r="E43" i="123" s="1"/>
  <c r="C25" i="123"/>
  <c r="C26" i="123"/>
  <c r="C27" i="123"/>
  <c r="C28" i="123"/>
  <c r="C29" i="123"/>
  <c r="C30" i="123"/>
  <c r="C31" i="123"/>
  <c r="C32" i="123"/>
  <c r="C33" i="123"/>
  <c r="C34" i="123"/>
  <c r="C35" i="123"/>
  <c r="C36" i="123"/>
  <c r="C37" i="123"/>
  <c r="C38" i="123"/>
  <c r="C39" i="123"/>
  <c r="C40" i="123"/>
  <c r="C41" i="123"/>
  <c r="C42" i="123"/>
  <c r="C43" i="123"/>
  <c r="C44" i="123"/>
  <c r="E45" i="123"/>
  <c r="C46" i="123"/>
  <c r="E47" i="123" s="1"/>
  <c r="C47" i="123"/>
  <c r="C48" i="123"/>
  <c r="C49" i="123"/>
  <c r="C50" i="123"/>
  <c r="C51" i="123"/>
  <c r="C52" i="123"/>
  <c r="C53" i="123"/>
  <c r="C54" i="123"/>
  <c r="C55" i="123"/>
  <c r="C56" i="123"/>
  <c r="C57" i="123"/>
  <c r="C58" i="123"/>
  <c r="C59" i="123"/>
  <c r="C60" i="123"/>
  <c r="C61" i="123"/>
  <c r="C62" i="123"/>
  <c r="C63" i="123"/>
  <c r="C64" i="123"/>
  <c r="C65" i="123"/>
  <c r="C66" i="123"/>
  <c r="C67" i="123"/>
  <c r="C68" i="123"/>
  <c r="C69" i="123"/>
  <c r="C70" i="123"/>
  <c r="E71" i="123"/>
  <c r="C72" i="123"/>
  <c r="E72" i="123"/>
  <c r="F72" i="123"/>
  <c r="C73" i="123"/>
  <c r="E78" i="123" s="1"/>
  <c r="E73" i="123"/>
  <c r="F73" i="123"/>
  <c r="C74" i="123"/>
  <c r="C75" i="123"/>
  <c r="E75" i="123"/>
  <c r="C76" i="123"/>
  <c r="C77" i="123"/>
  <c r="E77" i="123"/>
  <c r="F77" i="123"/>
  <c r="C78" i="123"/>
  <c r="C79" i="123"/>
  <c r="E79" i="123"/>
  <c r="C80" i="123"/>
  <c r="C81" i="123"/>
  <c r="E81" i="123"/>
  <c r="C82" i="123"/>
  <c r="C83" i="123"/>
  <c r="E83" i="123" s="1"/>
  <c r="C84" i="123"/>
  <c r="C85" i="123"/>
  <c r="C86" i="123"/>
  <c r="C87" i="123"/>
  <c r="C88" i="123"/>
  <c r="C89" i="123"/>
  <c r="E89" i="123"/>
  <c r="C90" i="123"/>
  <c r="C91" i="123"/>
  <c r="E91" i="123" s="1"/>
  <c r="C92" i="123"/>
  <c r="C93" i="123"/>
  <c r="E93" i="123"/>
  <c r="C94" i="123"/>
  <c r="C95" i="123"/>
  <c r="E95" i="123"/>
  <c r="C96" i="123"/>
  <c r="N18" i="123"/>
  <c r="N19" i="123"/>
  <c r="N20" i="123"/>
  <c r="N21" i="123"/>
  <c r="N22" i="123"/>
  <c r="N23" i="123"/>
  <c r="J23" i="123" s="1"/>
  <c r="N24" i="123"/>
  <c r="N25" i="123"/>
  <c r="J25" i="123" s="1"/>
  <c r="N26" i="123"/>
  <c r="N27" i="123"/>
  <c r="N28" i="123"/>
  <c r="N29" i="123"/>
  <c r="N30" i="123"/>
  <c r="N31" i="123"/>
  <c r="J31" i="123" s="1"/>
  <c r="N32" i="123"/>
  <c r="N33" i="123"/>
  <c r="J33" i="123" s="1"/>
  <c r="N34" i="123"/>
  <c r="N35" i="123"/>
  <c r="N36" i="123"/>
  <c r="N37" i="123"/>
  <c r="N38" i="123"/>
  <c r="N39" i="123"/>
  <c r="J39" i="123" s="1"/>
  <c r="N40" i="123"/>
  <c r="N41" i="123"/>
  <c r="J41" i="123" s="1"/>
  <c r="N42" i="123"/>
  <c r="N43" i="123"/>
  <c r="N44" i="123"/>
  <c r="N45" i="123"/>
  <c r="N46" i="123"/>
  <c r="N47" i="123"/>
  <c r="J47" i="123" s="1"/>
  <c r="N48" i="123"/>
  <c r="N49" i="123"/>
  <c r="J49" i="123" s="1"/>
  <c r="N50" i="123"/>
  <c r="J18" i="123"/>
  <c r="J19" i="123"/>
  <c r="J20" i="123"/>
  <c r="J21" i="123"/>
  <c r="J22" i="123"/>
  <c r="J24" i="123"/>
  <c r="J26" i="123"/>
  <c r="J27" i="123"/>
  <c r="J28" i="123"/>
  <c r="J29" i="123"/>
  <c r="J30" i="123"/>
  <c r="J32" i="123"/>
  <c r="J34" i="123"/>
  <c r="J35" i="123"/>
  <c r="J36" i="123"/>
  <c r="J37" i="123"/>
  <c r="J38" i="123"/>
  <c r="J40" i="123"/>
  <c r="J42" i="123"/>
  <c r="J43" i="123"/>
  <c r="J44" i="123"/>
  <c r="J45" i="123"/>
  <c r="J46" i="123"/>
  <c r="J48" i="123"/>
  <c r="J50" i="123"/>
  <c r="A13" i="123"/>
  <c r="G20" i="123" s="1"/>
  <c r="A17" i="123"/>
  <c r="B17" i="123"/>
  <c r="B18" i="123"/>
  <c r="B19" i="123"/>
  <c r="G19" i="123"/>
  <c r="A20" i="123"/>
  <c r="B20" i="123"/>
  <c r="A21" i="123"/>
  <c r="A22" i="123" s="1"/>
  <c r="A23" i="123" s="1"/>
  <c r="A45" i="123"/>
  <c r="G50" i="123" s="1"/>
  <c r="B45" i="123"/>
  <c r="B46" i="123"/>
  <c r="B47" i="123"/>
  <c r="A48" i="123"/>
  <c r="B48" i="123"/>
  <c r="A49" i="123"/>
  <c r="A50" i="123" s="1"/>
  <c r="A51" i="123" s="1"/>
  <c r="A52" i="123" s="1"/>
  <c r="A53" i="123" s="1"/>
  <c r="G49" i="123"/>
  <c r="A71" i="123"/>
  <c r="G78" i="123" s="1"/>
  <c r="B71" i="123"/>
  <c r="B72" i="123"/>
  <c r="B73" i="123" s="1"/>
  <c r="G72" i="123"/>
  <c r="A74" i="123"/>
  <c r="A75" i="123" s="1"/>
  <c r="A76" i="123" s="1"/>
  <c r="A77" i="123" s="1"/>
  <c r="A78" i="123" s="1"/>
  <c r="A79" i="123" s="1"/>
  <c r="H4" i="123"/>
  <c r="E5" i="123"/>
  <c r="H5" i="123"/>
  <c r="H6" i="123"/>
  <c r="H7" i="123"/>
  <c r="H8" i="123"/>
  <c r="H9" i="123"/>
  <c r="H10" i="123"/>
  <c r="B11" i="123"/>
  <c r="C11" i="123" s="1"/>
  <c r="D11" i="123" s="1"/>
  <c r="E11" i="123" s="1"/>
  <c r="F11" i="123" s="1"/>
  <c r="G11" i="123" s="1"/>
  <c r="J11" i="123"/>
  <c r="K11" i="123"/>
  <c r="L11" i="123"/>
  <c r="M11" i="123" s="1"/>
  <c r="N11" i="123" s="1"/>
  <c r="A98" i="123"/>
  <c r="A102" i="123"/>
  <c r="B102" i="123"/>
  <c r="B103" i="123"/>
  <c r="E103" i="123"/>
  <c r="N103" i="123"/>
  <c r="J103" i="123" s="1"/>
  <c r="B104" i="123"/>
  <c r="C104" i="123"/>
  <c r="N104" i="123"/>
  <c r="J104" i="123" s="1"/>
  <c r="A105" i="123"/>
  <c r="B105" i="123"/>
  <c r="G105" i="123"/>
  <c r="J105" i="123"/>
  <c r="N105" i="123"/>
  <c r="A106" i="123"/>
  <c r="B106" i="123"/>
  <c r="C106" i="123"/>
  <c r="N106" i="123"/>
  <c r="J106" i="123" s="1"/>
  <c r="J107" i="123"/>
  <c r="N107" i="123"/>
  <c r="J108" i="123"/>
  <c r="N108" i="123"/>
  <c r="J109" i="123"/>
  <c r="C103" i="123" s="1"/>
  <c r="N109" i="123"/>
  <c r="J110" i="123"/>
  <c r="N110" i="123"/>
  <c r="N111" i="123"/>
  <c r="J111" i="123" s="1"/>
  <c r="J112" i="123"/>
  <c r="N112" i="123"/>
  <c r="J113" i="123"/>
  <c r="N113" i="123"/>
  <c r="N114" i="123"/>
  <c r="J114" i="123" s="1"/>
  <c r="N115" i="123"/>
  <c r="J115" i="123" s="1"/>
  <c r="N116" i="123"/>
  <c r="J116" i="123" s="1"/>
  <c r="J117" i="123"/>
  <c r="N117" i="123"/>
  <c r="J118" i="123"/>
  <c r="N118" i="123"/>
  <c r="N119" i="123"/>
  <c r="J119" i="123" s="1"/>
  <c r="N120" i="123"/>
  <c r="J120" i="123" s="1"/>
  <c r="J121" i="123"/>
  <c r="N121" i="123"/>
  <c r="N122" i="123"/>
  <c r="J122" i="123" s="1"/>
  <c r="J123" i="123"/>
  <c r="N123" i="123"/>
  <c r="N124" i="123"/>
  <c r="J124" i="123" s="1"/>
  <c r="N125" i="123"/>
  <c r="J125" i="123" s="1"/>
  <c r="J126" i="123"/>
  <c r="N126" i="123"/>
  <c r="N127" i="123"/>
  <c r="J127" i="123" s="1"/>
  <c r="J128" i="123"/>
  <c r="N128" i="123"/>
  <c r="N129" i="123"/>
  <c r="J129" i="123" s="1"/>
  <c r="A130" i="123"/>
  <c r="B130" i="123"/>
  <c r="E130" i="123"/>
  <c r="N130" i="123"/>
  <c r="J130" i="123" s="1"/>
  <c r="B131" i="123"/>
  <c r="G131" i="123"/>
  <c r="N131" i="123"/>
  <c r="J131" i="123" s="1"/>
  <c r="B132" i="123"/>
  <c r="N132" i="123"/>
  <c r="J132" i="123" s="1"/>
  <c r="A133" i="123"/>
  <c r="J133" i="123"/>
  <c r="N133" i="123"/>
  <c r="J134" i="123"/>
  <c r="N134" i="123"/>
  <c r="N135" i="123"/>
  <c r="J135" i="123" s="1"/>
  <c r="A156" i="123"/>
  <c r="E156" i="123" s="1"/>
  <c r="B156" i="123"/>
  <c r="B157" i="123"/>
  <c r="B158" i="123"/>
  <c r="G158" i="123"/>
  <c r="A159" i="123"/>
  <c r="A160" i="123"/>
  <c r="A161" i="123" s="1"/>
  <c r="A183" i="123"/>
  <c r="A187" i="123"/>
  <c r="E187" i="123" s="1"/>
  <c r="B187" i="123"/>
  <c r="B188" i="123"/>
  <c r="B189" i="123"/>
  <c r="A190" i="123"/>
  <c r="B190" i="123"/>
  <c r="A191" i="123"/>
  <c r="A192" i="123" s="1"/>
  <c r="A193" i="123" s="1"/>
  <c r="A194" i="123" s="1"/>
  <c r="A195" i="123" s="1"/>
  <c r="A196" i="123" s="1"/>
  <c r="A197" i="123" s="1"/>
  <c r="A198" i="123" s="1"/>
  <c r="A199" i="123" s="1"/>
  <c r="A200" i="123" s="1"/>
  <c r="A201" i="123" s="1"/>
  <c r="A202" i="123" s="1"/>
  <c r="A203" i="123" s="1"/>
  <c r="A204" i="123" s="1"/>
  <c r="A205" i="123" s="1"/>
  <c r="A206" i="123" s="1"/>
  <c r="A215" i="123"/>
  <c r="B215" i="123"/>
  <c r="E215" i="123"/>
  <c r="B216" i="123"/>
  <c r="B217" i="123"/>
  <c r="A218" i="123"/>
  <c r="A219" i="123" s="1"/>
  <c r="A220" i="123"/>
  <c r="A221" i="123"/>
  <c r="A222" i="123" s="1"/>
  <c r="A223" i="123" s="1"/>
  <c r="A241" i="123"/>
  <c r="B241" i="123"/>
  <c r="B242" i="123"/>
  <c r="B243" i="123"/>
  <c r="A244" i="123"/>
  <c r="A245" i="123" s="1"/>
  <c r="B244" i="123"/>
  <c r="G244" i="123"/>
  <c r="A246" i="123"/>
  <c r="A247" i="123" s="1"/>
  <c r="A268" i="123"/>
  <c r="A272" i="123"/>
  <c r="E272" i="123" s="1"/>
  <c r="B272" i="123"/>
  <c r="B273" i="123"/>
  <c r="C273" i="123"/>
  <c r="G273" i="123"/>
  <c r="N273" i="123"/>
  <c r="B274" i="123"/>
  <c r="G274" i="123"/>
  <c r="N274" i="123"/>
  <c r="A275" i="123"/>
  <c r="B275" i="123"/>
  <c r="G275" i="123"/>
  <c r="N275" i="123"/>
  <c r="A276" i="123"/>
  <c r="A277" i="123" s="1"/>
  <c r="N276" i="123"/>
  <c r="N277" i="123"/>
  <c r="A278" i="123"/>
  <c r="N278" i="123"/>
  <c r="N279" i="123"/>
  <c r="C274" i="123"/>
  <c r="N280" i="123"/>
  <c r="N281" i="123"/>
  <c r="N282" i="123"/>
  <c r="N283" i="123"/>
  <c r="N284" i="123"/>
  <c r="N285" i="123"/>
  <c r="N286" i="123"/>
  <c r="N287" i="123"/>
  <c r="N288" i="123"/>
  <c r="N289" i="123"/>
  <c r="N290" i="123"/>
  <c r="N291" i="123"/>
  <c r="N292" i="123"/>
  <c r="N293" i="123"/>
  <c r="N294" i="123"/>
  <c r="N295" i="123"/>
  <c r="N296" i="123"/>
  <c r="N297" i="123"/>
  <c r="N298" i="123"/>
  <c r="N299" i="123"/>
  <c r="A300" i="123"/>
  <c r="B300" i="123"/>
  <c r="E300" i="123"/>
  <c r="N300" i="123"/>
  <c r="B301" i="123"/>
  <c r="G301" i="123"/>
  <c r="N301" i="123"/>
  <c r="N302" i="123"/>
  <c r="A303" i="123"/>
  <c r="A304" i="123" s="1"/>
  <c r="A305" i="123" s="1"/>
  <c r="A306" i="123" s="1"/>
  <c r="A307" i="123" s="1"/>
  <c r="N303" i="123"/>
  <c r="N304" i="123"/>
  <c r="N305" i="123"/>
  <c r="A326" i="123"/>
  <c r="E326" i="123" s="1"/>
  <c r="B326" i="123"/>
  <c r="B327" i="123"/>
  <c r="A329" i="123"/>
  <c r="A330" i="123"/>
  <c r="A331" i="123" s="1"/>
  <c r="A332" i="123" s="1"/>
  <c r="A333" i="123"/>
  <c r="A334" i="123" s="1"/>
  <c r="A335" i="123" s="1"/>
  <c r="A336" i="123"/>
  <c r="A353" i="123"/>
  <c r="A357" i="123"/>
  <c r="E357" i="123" s="1"/>
  <c r="B357" i="123"/>
  <c r="B358" i="123"/>
  <c r="F358" i="123" s="1"/>
  <c r="G358" i="123"/>
  <c r="J358" i="123"/>
  <c r="N358" i="123"/>
  <c r="B359" i="123"/>
  <c r="G359" i="123"/>
  <c r="J359" i="123"/>
  <c r="N359" i="123"/>
  <c r="A360" i="123"/>
  <c r="B360" i="123"/>
  <c r="G360" i="123"/>
  <c r="J360" i="123"/>
  <c r="N360" i="123"/>
  <c r="A361" i="123"/>
  <c r="N361" i="123"/>
  <c r="J361" i="123" s="1"/>
  <c r="J362" i="123"/>
  <c r="N362" i="123"/>
  <c r="N363" i="123"/>
  <c r="J363" i="123" s="1"/>
  <c r="N364" i="123"/>
  <c r="J364" i="123" s="1"/>
  <c r="C358" i="123" s="1"/>
  <c r="J365" i="123"/>
  <c r="C359" i="123" s="1"/>
  <c r="N365" i="123"/>
  <c r="J366" i="123"/>
  <c r="C412" i="123" s="1"/>
  <c r="N366" i="123"/>
  <c r="N367" i="123"/>
  <c r="J367" i="123" s="1"/>
  <c r="J368" i="123"/>
  <c r="C414" i="123" s="1"/>
  <c r="N368" i="123"/>
  <c r="N369" i="123"/>
  <c r="J369" i="123" s="1"/>
  <c r="J370" i="123"/>
  <c r="N370" i="123"/>
  <c r="N371" i="123"/>
  <c r="J371" i="123" s="1"/>
  <c r="N372" i="123"/>
  <c r="J372" i="123" s="1"/>
  <c r="J373" i="123"/>
  <c r="N373" i="123"/>
  <c r="N374" i="123"/>
  <c r="J374" i="123" s="1"/>
  <c r="N375" i="123"/>
  <c r="J375" i="123" s="1"/>
  <c r="J376" i="123"/>
  <c r="N376" i="123"/>
  <c r="N377" i="123"/>
  <c r="J377" i="123" s="1"/>
  <c r="J378" i="123"/>
  <c r="N378" i="123"/>
  <c r="N379" i="123"/>
  <c r="J379" i="123" s="1"/>
  <c r="N380" i="123"/>
  <c r="J380" i="123" s="1"/>
  <c r="J381" i="123"/>
  <c r="N381" i="123"/>
  <c r="J382" i="123"/>
  <c r="N382" i="123"/>
  <c r="N383" i="123"/>
  <c r="J383" i="123" s="1"/>
  <c r="J384" i="123"/>
  <c r="N384" i="123"/>
  <c r="A385" i="123"/>
  <c r="E385" i="123" s="1"/>
  <c r="B385" i="123"/>
  <c r="J385" i="123"/>
  <c r="N385" i="123"/>
  <c r="B386" i="123"/>
  <c r="C386" i="123"/>
  <c r="G386" i="123"/>
  <c r="J386" i="123"/>
  <c r="N386" i="123"/>
  <c r="B387" i="123"/>
  <c r="G387" i="123"/>
  <c r="N387" i="123"/>
  <c r="J387" i="123" s="1"/>
  <c r="A388" i="123"/>
  <c r="G388" i="123" s="1"/>
  <c r="J388" i="123"/>
  <c r="N388" i="123"/>
  <c r="A389" i="123"/>
  <c r="N389" i="123"/>
  <c r="J389" i="123" s="1"/>
  <c r="J390" i="123"/>
  <c r="N390" i="123"/>
  <c r="A411" i="123"/>
  <c r="B411" i="123"/>
  <c r="E411" i="123"/>
  <c r="B412" i="123"/>
  <c r="F412" i="123" s="1"/>
  <c r="B413" i="123"/>
  <c r="C413" i="123"/>
  <c r="A414" i="123"/>
  <c r="B414" i="123"/>
  <c r="A415" i="123"/>
  <c r="B415" i="123"/>
  <c r="C415" i="123" s="1"/>
  <c r="B416" i="123"/>
  <c r="A438" i="123"/>
  <c r="A442" i="123"/>
  <c r="E442" i="123" s="1"/>
  <c r="B442" i="123"/>
  <c r="B443" i="123"/>
  <c r="G443" i="123"/>
  <c r="J443" i="123"/>
  <c r="N443" i="123"/>
  <c r="B444" i="123"/>
  <c r="J444" i="123"/>
  <c r="N444" i="123"/>
  <c r="A445" i="123"/>
  <c r="N445" i="123"/>
  <c r="J445" i="123" s="1"/>
  <c r="J446" i="123"/>
  <c r="N446" i="123"/>
  <c r="N447" i="123"/>
  <c r="J447" i="123" s="1"/>
  <c r="J448" i="123"/>
  <c r="N448" i="123"/>
  <c r="J449" i="123"/>
  <c r="N449" i="123"/>
  <c r="N450" i="123"/>
  <c r="J450" i="123" s="1"/>
  <c r="C471" i="123" s="1"/>
  <c r="J451" i="123"/>
  <c r="N451" i="123"/>
  <c r="N452" i="123"/>
  <c r="J452" i="123" s="1"/>
  <c r="N453" i="123"/>
  <c r="J453" i="123" s="1"/>
  <c r="J454" i="123"/>
  <c r="N454" i="123"/>
  <c r="N455" i="123"/>
  <c r="J455" i="123" s="1"/>
  <c r="N456" i="123"/>
  <c r="J456" i="123" s="1"/>
  <c r="N457" i="123"/>
  <c r="J457" i="123" s="1"/>
  <c r="N458" i="123"/>
  <c r="J458" i="123" s="1"/>
  <c r="N459" i="123"/>
  <c r="J459" i="123" s="1"/>
  <c r="N460" i="123"/>
  <c r="J460" i="123" s="1"/>
  <c r="N461" i="123"/>
  <c r="J461" i="123" s="1"/>
  <c r="J462" i="123"/>
  <c r="N462" i="123"/>
  <c r="N463" i="123"/>
  <c r="J463" i="123" s="1"/>
  <c r="N464" i="123"/>
  <c r="J464" i="123" s="1"/>
  <c r="N465" i="123"/>
  <c r="J465" i="123" s="1"/>
  <c r="N466" i="123"/>
  <c r="J466" i="123" s="1"/>
  <c r="N467" i="123"/>
  <c r="J467" i="123" s="1"/>
  <c r="N468" i="123"/>
  <c r="J468" i="123" s="1"/>
  <c r="N469" i="123"/>
  <c r="J469" i="123" s="1"/>
  <c r="A470" i="123"/>
  <c r="B470" i="123"/>
  <c r="E470" i="123"/>
  <c r="J470" i="123"/>
  <c r="N470" i="123"/>
  <c r="B471" i="123"/>
  <c r="F471" i="123"/>
  <c r="G471" i="123"/>
  <c r="J471" i="123"/>
  <c r="N471" i="123"/>
  <c r="B472" i="123"/>
  <c r="C472" i="123"/>
  <c r="G472" i="123"/>
  <c r="J472" i="123"/>
  <c r="N472" i="123"/>
  <c r="A473" i="123"/>
  <c r="B473" i="123"/>
  <c r="C473" i="123"/>
  <c r="E473" i="123"/>
  <c r="G473" i="123"/>
  <c r="J473" i="123"/>
  <c r="N473" i="123"/>
  <c r="A474" i="123"/>
  <c r="B474" i="123"/>
  <c r="G474" i="123"/>
  <c r="N474" i="123"/>
  <c r="J474" i="123" s="1"/>
  <c r="A475" i="123"/>
  <c r="N475" i="123"/>
  <c r="J475" i="123" s="1"/>
  <c r="A496" i="123"/>
  <c r="E496" i="123" s="1"/>
  <c r="B496" i="123"/>
  <c r="B497" i="123"/>
  <c r="F497" i="123"/>
  <c r="G498" i="123"/>
  <c r="A499" i="123"/>
  <c r="A523" i="123"/>
  <c r="A527" i="123"/>
  <c r="B527" i="123"/>
  <c r="E527" i="123"/>
  <c r="B528" i="123"/>
  <c r="N528" i="123"/>
  <c r="J528" i="123" s="1"/>
  <c r="B529" i="123"/>
  <c r="E529" i="123"/>
  <c r="J529" i="123"/>
  <c r="N529" i="123"/>
  <c r="A530" i="123"/>
  <c r="B530" i="123"/>
  <c r="C530" i="123" s="1"/>
  <c r="J530" i="123"/>
  <c r="N530" i="123"/>
  <c r="A531" i="123"/>
  <c r="A532" i="123" s="1"/>
  <c r="A533" i="123" s="1"/>
  <c r="B531" i="123"/>
  <c r="B532" i="123" s="1"/>
  <c r="N531" i="123"/>
  <c r="J531" i="123" s="1"/>
  <c r="J532" i="123"/>
  <c r="N532" i="123"/>
  <c r="N533" i="123"/>
  <c r="J533" i="123" s="1"/>
  <c r="J534" i="123"/>
  <c r="C528" i="123" s="1"/>
  <c r="N534" i="123"/>
  <c r="J535" i="123"/>
  <c r="C529" i="123" s="1"/>
  <c r="N535" i="123"/>
  <c r="N536" i="123"/>
  <c r="J536" i="123" s="1"/>
  <c r="N537" i="123"/>
  <c r="J537" i="123" s="1"/>
  <c r="J538" i="123"/>
  <c r="N538" i="123"/>
  <c r="N539" i="123"/>
  <c r="J539" i="123" s="1"/>
  <c r="J540" i="123"/>
  <c r="N540" i="123"/>
  <c r="N541" i="123"/>
  <c r="J541" i="123" s="1"/>
  <c r="N542" i="123"/>
  <c r="J542" i="123" s="1"/>
  <c r="J543" i="123"/>
  <c r="N543" i="123"/>
  <c r="J544" i="123"/>
  <c r="N544" i="123"/>
  <c r="N545" i="123"/>
  <c r="J545" i="123" s="1"/>
  <c r="J546" i="123"/>
  <c r="N546" i="123"/>
  <c r="N547" i="123"/>
  <c r="J547" i="123" s="1"/>
  <c r="N548" i="123"/>
  <c r="J548" i="123" s="1"/>
  <c r="J549" i="123"/>
  <c r="N549" i="123"/>
  <c r="J550" i="123"/>
  <c r="N550" i="123"/>
  <c r="N551" i="123"/>
  <c r="J551" i="123" s="1"/>
  <c r="J552" i="123"/>
  <c r="N552" i="123"/>
  <c r="N553" i="123"/>
  <c r="J553" i="123" s="1"/>
  <c r="J554" i="123"/>
  <c r="N554" i="123"/>
  <c r="A555" i="123"/>
  <c r="B555" i="123"/>
  <c r="E555" i="123"/>
  <c r="N555" i="123"/>
  <c r="J555" i="123" s="1"/>
  <c r="B556" i="123"/>
  <c r="C556" i="123"/>
  <c r="G556" i="123"/>
  <c r="N556" i="123"/>
  <c r="J556" i="123" s="1"/>
  <c r="B557" i="123"/>
  <c r="C557" i="123"/>
  <c r="G557" i="123"/>
  <c r="N557" i="123"/>
  <c r="J557" i="123" s="1"/>
  <c r="A558" i="123"/>
  <c r="B558" i="123"/>
  <c r="G558" i="123"/>
  <c r="J558" i="123"/>
  <c r="N558" i="123"/>
  <c r="A559" i="123"/>
  <c r="A560" i="123" s="1"/>
  <c r="G559" i="123"/>
  <c r="N559" i="123"/>
  <c r="J559" i="123" s="1"/>
  <c r="J560" i="123"/>
  <c r="N560" i="123"/>
  <c r="A581" i="123"/>
  <c r="E581" i="123" s="1"/>
  <c r="B581" i="123"/>
  <c r="B582" i="123"/>
  <c r="B583" i="123" s="1"/>
  <c r="A584" i="123"/>
  <c r="G584" i="123"/>
  <c r="A585" i="123"/>
  <c r="A586" i="123"/>
  <c r="L13" i="8"/>
  <c r="F556" i="123" l="1"/>
  <c r="F274" i="123"/>
  <c r="F188" i="123"/>
  <c r="F84" i="123"/>
  <c r="F92" i="123"/>
  <c r="F87" i="123"/>
  <c r="F96" i="123"/>
  <c r="F91" i="123"/>
  <c r="F79" i="123"/>
  <c r="F74" i="123"/>
  <c r="F94" i="123"/>
  <c r="F90" i="123"/>
  <c r="F86" i="123"/>
  <c r="F81" i="123"/>
  <c r="F89" i="123"/>
  <c r="F85" i="123"/>
  <c r="F75" i="123"/>
  <c r="F93" i="123"/>
  <c r="F83" i="123"/>
  <c r="F76" i="123"/>
  <c r="F95" i="123"/>
  <c r="F88" i="123"/>
  <c r="F78" i="123"/>
  <c r="F82" i="123"/>
  <c r="F70" i="123"/>
  <c r="F49" i="123"/>
  <c r="F46" i="123"/>
  <c r="F66" i="123"/>
  <c r="F55" i="123"/>
  <c r="F69" i="123"/>
  <c r="F53" i="123"/>
  <c r="F58" i="123"/>
  <c r="F48" i="123"/>
  <c r="F50" i="123"/>
  <c r="F61" i="123"/>
  <c r="F54" i="123"/>
  <c r="F64" i="123"/>
  <c r="F57" i="123"/>
  <c r="F60" i="123"/>
  <c r="F52" i="123"/>
  <c r="F62" i="123"/>
  <c r="F59" i="123"/>
  <c r="F51" i="123"/>
  <c r="F68" i="123"/>
  <c r="F65" i="123"/>
  <c r="F56" i="123"/>
  <c r="C216" i="123"/>
  <c r="E216" i="123" s="1"/>
  <c r="E87" i="123"/>
  <c r="E85" i="123"/>
  <c r="E70" i="123"/>
  <c r="E68" i="123"/>
  <c r="E66" i="123"/>
  <c r="E64" i="123"/>
  <c r="E62" i="123"/>
  <c r="E60" i="123"/>
  <c r="E58" i="123"/>
  <c r="E56" i="123"/>
  <c r="E54" i="123"/>
  <c r="E52" i="123"/>
  <c r="E50" i="123"/>
  <c r="E48" i="123"/>
  <c r="E46" i="123"/>
  <c r="F43" i="123"/>
  <c r="F41" i="123"/>
  <c r="F39" i="123"/>
  <c r="F37" i="123"/>
  <c r="F35" i="123"/>
  <c r="F33" i="123"/>
  <c r="F31" i="123"/>
  <c r="F29" i="123"/>
  <c r="F27" i="123"/>
  <c r="F25" i="123"/>
  <c r="F23" i="123"/>
  <c r="F21" i="123"/>
  <c r="F19" i="123"/>
  <c r="E41" i="123"/>
  <c r="E37" i="123"/>
  <c r="E35" i="123"/>
  <c r="E33" i="123"/>
  <c r="E29" i="123"/>
  <c r="E27" i="123"/>
  <c r="E25" i="123"/>
  <c r="E23" i="123"/>
  <c r="E21" i="123"/>
  <c r="E19" i="123"/>
  <c r="E94" i="123"/>
  <c r="E88" i="123"/>
  <c r="E82" i="123"/>
  <c r="E76" i="123"/>
  <c r="F67" i="123"/>
  <c r="E92" i="123"/>
  <c r="E86" i="123"/>
  <c r="E80" i="123"/>
  <c r="E74" i="123"/>
  <c r="F63" i="123"/>
  <c r="E69" i="123"/>
  <c r="E67" i="123"/>
  <c r="E65" i="123"/>
  <c r="E63" i="123"/>
  <c r="E61" i="123"/>
  <c r="E59" i="123"/>
  <c r="E57" i="123"/>
  <c r="E55" i="123"/>
  <c r="E53" i="123"/>
  <c r="E51" i="123"/>
  <c r="E49" i="123"/>
  <c r="F44" i="123"/>
  <c r="F42" i="123"/>
  <c r="F40" i="123"/>
  <c r="F38" i="123"/>
  <c r="F36" i="123"/>
  <c r="F34" i="123"/>
  <c r="F32" i="123"/>
  <c r="F30" i="123"/>
  <c r="F28" i="123"/>
  <c r="F26" i="123"/>
  <c r="F24" i="123"/>
  <c r="F22" i="123"/>
  <c r="F20" i="123"/>
  <c r="E96" i="123"/>
  <c r="E90" i="123"/>
  <c r="E84" i="123"/>
  <c r="E44" i="123"/>
  <c r="E42" i="123"/>
  <c r="E40" i="123"/>
  <c r="E38" i="123"/>
  <c r="E36" i="123"/>
  <c r="E34" i="123"/>
  <c r="E32" i="123"/>
  <c r="E30" i="123"/>
  <c r="E28" i="123"/>
  <c r="E26" i="123"/>
  <c r="E24" i="123"/>
  <c r="E22" i="123"/>
  <c r="E20" i="123"/>
  <c r="G23" i="123"/>
  <c r="A24" i="123"/>
  <c r="A25" i="123" s="1"/>
  <c r="A26" i="123" s="1"/>
  <c r="A27" i="123" s="1"/>
  <c r="A80" i="123"/>
  <c r="A81" i="123" s="1"/>
  <c r="A82" i="123" s="1"/>
  <c r="A83" i="123" s="1"/>
  <c r="A84" i="123" s="1"/>
  <c r="A85" i="123" s="1"/>
  <c r="A86" i="123" s="1"/>
  <c r="A87" i="123" s="1"/>
  <c r="G79" i="123"/>
  <c r="B74" i="123"/>
  <c r="G53" i="123"/>
  <c r="A54" i="123"/>
  <c r="A55" i="123" s="1"/>
  <c r="A56" i="123" s="1"/>
  <c r="A57" i="123" s="1"/>
  <c r="G497" i="123"/>
  <c r="G335" i="123"/>
  <c r="G328" i="123"/>
  <c r="F273" i="123"/>
  <c r="G218" i="123"/>
  <c r="G80" i="123"/>
  <c r="G48" i="123"/>
  <c r="G26" i="123"/>
  <c r="G583" i="123"/>
  <c r="G412" i="123"/>
  <c r="G334" i="123"/>
  <c r="G327" i="123"/>
  <c r="G223" i="123"/>
  <c r="G157" i="123"/>
  <c r="G81" i="123"/>
  <c r="G73" i="123"/>
  <c r="G47" i="123"/>
  <c r="G25" i="123"/>
  <c r="G582" i="123"/>
  <c r="G333" i="123"/>
  <c r="G82" i="123"/>
  <c r="G74" i="123"/>
  <c r="G24" i="123"/>
  <c r="B21" i="123"/>
  <c r="G75" i="123"/>
  <c r="G83" i="123"/>
  <c r="G331" i="123"/>
  <c r="G242" i="123"/>
  <c r="G132" i="123"/>
  <c r="G84" i="123"/>
  <c r="G76" i="123"/>
  <c r="B49" i="123"/>
  <c r="G22" i="123"/>
  <c r="G330" i="123"/>
  <c r="G302" i="123"/>
  <c r="G85" i="123"/>
  <c r="G77" i="123"/>
  <c r="G51" i="123"/>
  <c r="G21" i="123"/>
  <c r="G585" i="123"/>
  <c r="G413" i="123"/>
  <c r="G305" i="123"/>
  <c r="G216" i="123"/>
  <c r="G159" i="123"/>
  <c r="G86" i="123"/>
  <c r="G52" i="123"/>
  <c r="F472" i="123"/>
  <c r="F189" i="123"/>
  <c r="E528" i="123"/>
  <c r="C558" i="123"/>
  <c r="G586" i="123"/>
  <c r="A587" i="123"/>
  <c r="E530" i="123"/>
  <c r="F529" i="123"/>
  <c r="F528" i="123"/>
  <c r="F582" i="123"/>
  <c r="A500" i="123"/>
  <c r="G499" i="123"/>
  <c r="A534" i="123"/>
  <c r="G533" i="123"/>
  <c r="G560" i="123"/>
  <c r="A561" i="123"/>
  <c r="E359" i="123"/>
  <c r="E358" i="123"/>
  <c r="C583" i="123"/>
  <c r="B584" i="123"/>
  <c r="B533" i="123"/>
  <c r="C532" i="123"/>
  <c r="C444" i="123"/>
  <c r="B445" i="123"/>
  <c r="C531" i="123"/>
  <c r="G475" i="123"/>
  <c r="A476" i="123"/>
  <c r="E471" i="123"/>
  <c r="E472" i="123"/>
  <c r="E413" i="123"/>
  <c r="G336" i="123"/>
  <c r="A337" i="123"/>
  <c r="A338" i="123" s="1"/>
  <c r="F473" i="123"/>
  <c r="C582" i="123"/>
  <c r="E557" i="123"/>
  <c r="E556" i="123"/>
  <c r="E386" i="123"/>
  <c r="B559" i="123"/>
  <c r="F474" i="123"/>
  <c r="G528" i="123"/>
  <c r="G529" i="123"/>
  <c r="G532" i="123"/>
  <c r="G531" i="123"/>
  <c r="G530" i="123"/>
  <c r="B498" i="123"/>
  <c r="C497" i="123"/>
  <c r="C474" i="123"/>
  <c r="B475" i="123"/>
  <c r="A416" i="123"/>
  <c r="A417" i="123" s="1"/>
  <c r="G415" i="123"/>
  <c r="E414" i="123"/>
  <c r="E412" i="123"/>
  <c r="E415" i="123"/>
  <c r="C360" i="123"/>
  <c r="B361" i="123"/>
  <c r="F360" i="123"/>
  <c r="C327" i="123"/>
  <c r="B328" i="123"/>
  <c r="A446" i="123"/>
  <c r="A447" i="123" s="1"/>
  <c r="G445" i="123"/>
  <c r="F416" i="123"/>
  <c r="F414" i="123"/>
  <c r="F359" i="123"/>
  <c r="F443" i="123"/>
  <c r="A390" i="123"/>
  <c r="G389" i="123"/>
  <c r="A362" i="123"/>
  <c r="A363" i="123" s="1"/>
  <c r="G361" i="123"/>
  <c r="B417" i="123"/>
  <c r="C416" i="123"/>
  <c r="C443" i="123"/>
  <c r="G362" i="123"/>
  <c r="G416" i="123"/>
  <c r="G414" i="123"/>
  <c r="A308" i="123"/>
  <c r="G307" i="123"/>
  <c r="E274" i="123"/>
  <c r="C244" i="123"/>
  <c r="E244" i="123" s="1"/>
  <c r="F244" i="123"/>
  <c r="B245" i="123"/>
  <c r="G206" i="123"/>
  <c r="A207" i="123"/>
  <c r="A208" i="123" s="1"/>
  <c r="G278" i="123"/>
  <c r="A279" i="123"/>
  <c r="A280" i="123" s="1"/>
  <c r="A281" i="123" s="1"/>
  <c r="E243" i="123"/>
  <c r="E242" i="123"/>
  <c r="F386" i="123"/>
  <c r="F387" i="123"/>
  <c r="F275" i="123"/>
  <c r="G280" i="123"/>
  <c r="G446" i="123"/>
  <c r="C387" i="123"/>
  <c r="E189" i="123"/>
  <c r="E188" i="123"/>
  <c r="F216" i="123"/>
  <c r="G197" i="123"/>
  <c r="G444" i="123"/>
  <c r="F415" i="123"/>
  <c r="F413" i="123"/>
  <c r="B388" i="123"/>
  <c r="C301" i="123"/>
  <c r="B302" i="123"/>
  <c r="E273" i="123"/>
  <c r="A248" i="123"/>
  <c r="A249" i="123" s="1"/>
  <c r="G247" i="123"/>
  <c r="G224" i="123"/>
  <c r="G222" i="123"/>
  <c r="G217" i="123"/>
  <c r="G204" i="123"/>
  <c r="G196" i="123"/>
  <c r="G303" i="123"/>
  <c r="C275" i="123"/>
  <c r="E275" i="123" s="1"/>
  <c r="B276" i="123"/>
  <c r="F243" i="123"/>
  <c r="C190" i="123"/>
  <c r="B191" i="123"/>
  <c r="F190" i="123"/>
  <c r="G188" i="123"/>
  <c r="G161" i="123"/>
  <c r="A162" i="123"/>
  <c r="C157" i="123"/>
  <c r="G304" i="123"/>
  <c r="G276" i="123"/>
  <c r="G306" i="123"/>
  <c r="G332" i="123"/>
  <c r="G277" i="123"/>
  <c r="G279" i="123"/>
  <c r="G329" i="123"/>
  <c r="G337" i="123"/>
  <c r="A224" i="123"/>
  <c r="A225" i="123" s="1"/>
  <c r="G220" i="123"/>
  <c r="G219" i="123"/>
  <c r="C217" i="123"/>
  <c r="B218" i="123"/>
  <c r="G205" i="123"/>
  <c r="G201" i="123"/>
  <c r="G193" i="123"/>
  <c r="G191" i="123"/>
  <c r="G199" i="123"/>
  <c r="G207" i="123"/>
  <c r="G192" i="123"/>
  <c r="G200" i="123"/>
  <c r="G194" i="123"/>
  <c r="G202" i="123"/>
  <c r="G195" i="123"/>
  <c r="G203" i="123"/>
  <c r="G221" i="123"/>
  <c r="G246" i="123"/>
  <c r="G245" i="123"/>
  <c r="G189" i="123"/>
  <c r="G190" i="123"/>
  <c r="G198" i="123"/>
  <c r="G243" i="123"/>
  <c r="C158" i="123"/>
  <c r="B159" i="123"/>
  <c r="A134" i="123"/>
  <c r="G133" i="123"/>
  <c r="F103" i="123"/>
  <c r="F104" i="123"/>
  <c r="G160" i="123"/>
  <c r="B107" i="123"/>
  <c r="C132" i="123"/>
  <c r="B133" i="123"/>
  <c r="G106" i="123"/>
  <c r="A107" i="123"/>
  <c r="A108" i="123" s="1"/>
  <c r="E105" i="123"/>
  <c r="E104" i="123"/>
  <c r="C131" i="123"/>
  <c r="C105" i="123"/>
  <c r="G103" i="123"/>
  <c r="G104" i="123"/>
  <c r="G107" i="123"/>
  <c r="AD122" i="122"/>
  <c r="AD161" i="122"/>
  <c r="AE122" i="122"/>
  <c r="AF122" i="122"/>
  <c r="AG122" i="122"/>
  <c r="AH122" i="122"/>
  <c r="AI122" i="122"/>
  <c r="AJ122" i="122"/>
  <c r="AK122" i="122"/>
  <c r="AL122" i="122"/>
  <c r="AM122" i="122"/>
  <c r="AN122" i="122"/>
  <c r="AO122" i="122"/>
  <c r="AP122" i="122"/>
  <c r="AQ122" i="122"/>
  <c r="AR122" i="122"/>
  <c r="AS122" i="122"/>
  <c r="AT122" i="122"/>
  <c r="AU122" i="122"/>
  <c r="AV122" i="122"/>
  <c r="AW122" i="122"/>
  <c r="AX122" i="122"/>
  <c r="AY122" i="122"/>
  <c r="AZ122" i="122"/>
  <c r="BA122" i="122"/>
  <c r="BB122" i="122"/>
  <c r="Q12" i="25"/>
  <c r="Q11" i="25"/>
  <c r="Q10" i="25"/>
  <c r="Q8" i="25"/>
  <c r="Q7" i="25"/>
  <c r="Q6" i="25"/>
  <c r="Q4" i="25"/>
  <c r="Q3" i="25"/>
  <c r="Q2" i="25"/>
  <c r="AD100" i="122"/>
  <c r="AD101" i="122"/>
  <c r="AD102" i="122"/>
  <c r="AD103" i="122"/>
  <c r="AD104" i="122"/>
  <c r="AD105" i="122"/>
  <c r="AD106" i="122"/>
  <c r="AD107" i="122"/>
  <c r="AF167" i="122"/>
  <c r="AF87" i="122"/>
  <c r="AD87" i="122"/>
  <c r="AD167" i="122"/>
  <c r="BB241" i="122"/>
  <c r="BA241" i="122"/>
  <c r="AZ241" i="122"/>
  <c r="AY241" i="122"/>
  <c r="AX241" i="122"/>
  <c r="AW241" i="122"/>
  <c r="AV241" i="122"/>
  <c r="AU241" i="122"/>
  <c r="AT241" i="122"/>
  <c r="AS241" i="122"/>
  <c r="AR241" i="122"/>
  <c r="AQ241" i="122"/>
  <c r="AP241" i="122"/>
  <c r="AO241" i="122"/>
  <c r="AN241" i="122"/>
  <c r="AM241" i="122"/>
  <c r="AL241" i="122"/>
  <c r="AK241" i="122"/>
  <c r="AJ241" i="122"/>
  <c r="AI241" i="122"/>
  <c r="AH241" i="122"/>
  <c r="AG241" i="122"/>
  <c r="AF241" i="122"/>
  <c r="AE241" i="122"/>
  <c r="AD241" i="122"/>
  <c r="BB202" i="122"/>
  <c r="BA202" i="122"/>
  <c r="AZ202" i="122"/>
  <c r="AY202" i="122"/>
  <c r="AX202" i="122"/>
  <c r="AW202" i="122"/>
  <c r="AV202" i="122"/>
  <c r="AU202" i="122"/>
  <c r="AT202" i="122"/>
  <c r="AS202" i="122"/>
  <c r="AR202" i="122"/>
  <c r="AQ202" i="122"/>
  <c r="AP202" i="122"/>
  <c r="AO202" i="122"/>
  <c r="AN202" i="122"/>
  <c r="AM202" i="122"/>
  <c r="AL202" i="122"/>
  <c r="AK202" i="122"/>
  <c r="AJ202" i="122"/>
  <c r="AI202" i="122"/>
  <c r="AH202" i="122"/>
  <c r="AG202" i="122"/>
  <c r="AF202" i="122"/>
  <c r="AE202" i="122"/>
  <c r="AD202" i="122"/>
  <c r="BB161" i="122"/>
  <c r="BA161" i="122"/>
  <c r="AZ161" i="122"/>
  <c r="AY161" i="122"/>
  <c r="AX161" i="122"/>
  <c r="AW161" i="122"/>
  <c r="AV161" i="122"/>
  <c r="AU161" i="122"/>
  <c r="AT161" i="122"/>
  <c r="AS161" i="122"/>
  <c r="AR161" i="122"/>
  <c r="AQ161" i="122"/>
  <c r="AP161" i="122"/>
  <c r="AO161" i="122"/>
  <c r="AN161" i="122"/>
  <c r="AM161" i="122"/>
  <c r="AL161" i="122"/>
  <c r="AK161" i="122"/>
  <c r="AJ161" i="122"/>
  <c r="AI161" i="122"/>
  <c r="AH161" i="122"/>
  <c r="AG161" i="122"/>
  <c r="AF161" i="122"/>
  <c r="AE161" i="122"/>
  <c r="BB81" i="122"/>
  <c r="BA81" i="122"/>
  <c r="AZ81" i="122"/>
  <c r="AY81" i="122"/>
  <c r="AX81" i="122"/>
  <c r="AW81" i="122"/>
  <c r="AV81" i="122"/>
  <c r="AU81" i="122"/>
  <c r="AT81" i="122"/>
  <c r="AS81" i="122"/>
  <c r="AR81" i="122"/>
  <c r="AQ81" i="122"/>
  <c r="AP81" i="122"/>
  <c r="AO81" i="122"/>
  <c r="AN81" i="122"/>
  <c r="AM81" i="122"/>
  <c r="AL81" i="122"/>
  <c r="AK81" i="122"/>
  <c r="AJ81" i="122"/>
  <c r="AI81" i="122"/>
  <c r="AH81" i="122"/>
  <c r="AG81" i="122"/>
  <c r="AF81" i="122"/>
  <c r="AE81" i="122"/>
  <c r="AD81" i="122"/>
  <c r="BB42" i="122"/>
  <c r="AG42" i="122"/>
  <c r="AH42" i="122"/>
  <c r="AI42" i="122"/>
  <c r="AJ42" i="122"/>
  <c r="AK42" i="122"/>
  <c r="AL42" i="122"/>
  <c r="AM42" i="122"/>
  <c r="AN42" i="122"/>
  <c r="AO42" i="122"/>
  <c r="AP42" i="122"/>
  <c r="AQ42" i="122"/>
  <c r="AR42" i="122"/>
  <c r="AS42" i="122"/>
  <c r="AT42" i="122"/>
  <c r="AU42" i="122"/>
  <c r="AV42" i="122"/>
  <c r="AW42" i="122"/>
  <c r="AX42" i="122"/>
  <c r="AY42" i="122"/>
  <c r="AZ42" i="122"/>
  <c r="BA42" i="122"/>
  <c r="AE42" i="122"/>
  <c r="AF42" i="122"/>
  <c r="AD42" i="122"/>
  <c r="D122" i="122"/>
  <c r="AD20" i="122"/>
  <c r="AD21" i="122"/>
  <c r="AD22" i="122"/>
  <c r="AD23" i="122"/>
  <c r="AD24" i="122"/>
  <c r="AD9" i="122"/>
  <c r="AD10" i="122"/>
  <c r="AD11" i="122"/>
  <c r="AD12" i="122"/>
  <c r="AD13" i="122"/>
  <c r="AD14" i="122"/>
  <c r="AD15" i="122"/>
  <c r="AD16" i="122"/>
  <c r="AD17" i="122"/>
  <c r="AD18" i="122"/>
  <c r="AD19" i="122"/>
  <c r="AE9" i="122"/>
  <c r="AF9" i="122"/>
  <c r="AG9" i="122"/>
  <c r="AH9" i="122"/>
  <c r="AI9" i="122"/>
  <c r="AJ9" i="122"/>
  <c r="AK9" i="122"/>
  <c r="AL9" i="122"/>
  <c r="AM9" i="122"/>
  <c r="AN9" i="122"/>
  <c r="AO9" i="122"/>
  <c r="AP9" i="122"/>
  <c r="AQ9" i="122"/>
  <c r="AR9" i="122"/>
  <c r="AS9" i="122"/>
  <c r="AT9" i="122"/>
  <c r="AU9" i="122"/>
  <c r="AV9" i="122"/>
  <c r="AW9" i="122"/>
  <c r="AX9" i="122"/>
  <c r="AY9" i="122"/>
  <c r="AZ9" i="122"/>
  <c r="BA9" i="122"/>
  <c r="BB9" i="122"/>
  <c r="AE10" i="122"/>
  <c r="AF10" i="122"/>
  <c r="AG10" i="122"/>
  <c r="AH10" i="122"/>
  <c r="AI10" i="122"/>
  <c r="AJ10" i="122"/>
  <c r="AK10" i="122"/>
  <c r="AL10" i="122"/>
  <c r="AM10" i="122"/>
  <c r="AN10" i="122"/>
  <c r="AO10" i="122"/>
  <c r="AP10" i="122"/>
  <c r="AQ10" i="122"/>
  <c r="AR10" i="122"/>
  <c r="AS10" i="122"/>
  <c r="AT10" i="122"/>
  <c r="AU10" i="122"/>
  <c r="AV10" i="122"/>
  <c r="AW10" i="122"/>
  <c r="AX10" i="122"/>
  <c r="AY10" i="122"/>
  <c r="AZ10" i="122"/>
  <c r="BA10" i="122"/>
  <c r="BB10" i="122"/>
  <c r="AE11" i="122"/>
  <c r="AF11" i="122"/>
  <c r="AG11" i="122"/>
  <c r="AH11" i="122"/>
  <c r="AI11" i="122"/>
  <c r="AJ11" i="122"/>
  <c r="AK11" i="122"/>
  <c r="AL11" i="122"/>
  <c r="AM11" i="122"/>
  <c r="AN11" i="122"/>
  <c r="AO11" i="122"/>
  <c r="AP11" i="122"/>
  <c r="AQ11" i="122"/>
  <c r="AR11" i="122"/>
  <c r="AS11" i="122"/>
  <c r="AT11" i="122"/>
  <c r="AU11" i="122"/>
  <c r="AV11" i="122"/>
  <c r="AW11" i="122"/>
  <c r="AX11" i="122"/>
  <c r="AY11" i="122"/>
  <c r="AZ11" i="122"/>
  <c r="BA11" i="122"/>
  <c r="BB11" i="122"/>
  <c r="AE12" i="122"/>
  <c r="AF12" i="122"/>
  <c r="AG12" i="122"/>
  <c r="AH12" i="122"/>
  <c r="AI12" i="122"/>
  <c r="AJ12" i="122"/>
  <c r="AK12" i="122"/>
  <c r="AL12" i="122"/>
  <c r="AM12" i="122"/>
  <c r="AN12" i="122"/>
  <c r="AO12" i="122"/>
  <c r="AP12" i="122"/>
  <c r="AQ12" i="122"/>
  <c r="AR12" i="122"/>
  <c r="AS12" i="122"/>
  <c r="AT12" i="122"/>
  <c r="AU12" i="122"/>
  <c r="AV12" i="122"/>
  <c r="AW12" i="122"/>
  <c r="AX12" i="122"/>
  <c r="AY12" i="122"/>
  <c r="AZ12" i="122"/>
  <c r="BA12" i="122"/>
  <c r="BB12" i="122"/>
  <c r="AE13" i="122"/>
  <c r="AF13" i="122"/>
  <c r="AG13" i="122"/>
  <c r="AH13" i="122"/>
  <c r="AI13" i="122"/>
  <c r="AJ13" i="122"/>
  <c r="AK13" i="122"/>
  <c r="AL13" i="122"/>
  <c r="AM13" i="122"/>
  <c r="AN13" i="122"/>
  <c r="AO13" i="122"/>
  <c r="AP13" i="122"/>
  <c r="AQ13" i="122"/>
  <c r="AR13" i="122"/>
  <c r="AS13" i="122"/>
  <c r="AT13" i="122"/>
  <c r="AU13" i="122"/>
  <c r="AV13" i="122"/>
  <c r="AW13" i="122"/>
  <c r="AX13" i="122"/>
  <c r="AY13" i="122"/>
  <c r="AZ13" i="122"/>
  <c r="BA13" i="122"/>
  <c r="BB13" i="122"/>
  <c r="AE14" i="122"/>
  <c r="AF14" i="122"/>
  <c r="AG14" i="122"/>
  <c r="AH14" i="122"/>
  <c r="AI14" i="122"/>
  <c r="AJ14" i="122"/>
  <c r="AK14" i="122"/>
  <c r="AL14" i="122"/>
  <c r="AM14" i="122"/>
  <c r="AN14" i="122"/>
  <c r="AO14" i="122"/>
  <c r="AP14" i="122"/>
  <c r="AQ14" i="122"/>
  <c r="AR14" i="122"/>
  <c r="AS14" i="122"/>
  <c r="AT14" i="122"/>
  <c r="AU14" i="122"/>
  <c r="AV14" i="122"/>
  <c r="AW14" i="122"/>
  <c r="AX14" i="122"/>
  <c r="AY14" i="122"/>
  <c r="AZ14" i="122"/>
  <c r="BA14" i="122"/>
  <c r="BB14" i="122"/>
  <c r="AE15" i="122"/>
  <c r="AF15" i="122"/>
  <c r="AG15" i="122"/>
  <c r="AH15" i="122"/>
  <c r="AI15" i="122"/>
  <c r="AJ15" i="122"/>
  <c r="AK15" i="122"/>
  <c r="AL15" i="122"/>
  <c r="AM15" i="122"/>
  <c r="AN15" i="122"/>
  <c r="AO15" i="122"/>
  <c r="AP15" i="122"/>
  <c r="AQ15" i="122"/>
  <c r="AR15" i="122"/>
  <c r="AS15" i="122"/>
  <c r="AT15" i="122"/>
  <c r="AU15" i="122"/>
  <c r="AV15" i="122"/>
  <c r="AW15" i="122"/>
  <c r="AX15" i="122"/>
  <c r="AY15" i="122"/>
  <c r="AZ15" i="122"/>
  <c r="BA15" i="122"/>
  <c r="BB15" i="122"/>
  <c r="AE16" i="122"/>
  <c r="AF16" i="122"/>
  <c r="AG16" i="122"/>
  <c r="AH16" i="122"/>
  <c r="AI16" i="122"/>
  <c r="AJ16" i="122"/>
  <c r="AK16" i="122"/>
  <c r="AL16" i="122"/>
  <c r="AM16" i="122"/>
  <c r="AN16" i="122"/>
  <c r="AO16" i="122"/>
  <c r="AP16" i="122"/>
  <c r="AQ16" i="122"/>
  <c r="AR16" i="122"/>
  <c r="AS16" i="122"/>
  <c r="AT16" i="122"/>
  <c r="AU16" i="122"/>
  <c r="AV16" i="122"/>
  <c r="AW16" i="122"/>
  <c r="AX16" i="122"/>
  <c r="AY16" i="122"/>
  <c r="AZ16" i="122"/>
  <c r="BA16" i="122"/>
  <c r="BB16" i="122"/>
  <c r="AE17" i="122"/>
  <c r="AF17" i="122"/>
  <c r="AG17" i="122"/>
  <c r="AH17" i="122"/>
  <c r="AI17" i="122"/>
  <c r="AJ17" i="122"/>
  <c r="AK17" i="122"/>
  <c r="AL17" i="122"/>
  <c r="AM17" i="122"/>
  <c r="AN17" i="122"/>
  <c r="AO17" i="122"/>
  <c r="AP17" i="122"/>
  <c r="AQ17" i="122"/>
  <c r="AR17" i="122"/>
  <c r="AS17" i="122"/>
  <c r="AT17" i="122"/>
  <c r="AU17" i="122"/>
  <c r="AV17" i="122"/>
  <c r="AW17" i="122"/>
  <c r="AX17" i="122"/>
  <c r="AY17" i="122"/>
  <c r="AZ17" i="122"/>
  <c r="BA17" i="122"/>
  <c r="BB17" i="122"/>
  <c r="AE18" i="122"/>
  <c r="AF18" i="122"/>
  <c r="AG18" i="122"/>
  <c r="AH18" i="122"/>
  <c r="AI18" i="122"/>
  <c r="AJ18" i="122"/>
  <c r="AK18" i="122"/>
  <c r="AL18" i="122"/>
  <c r="AM18" i="122"/>
  <c r="AN18" i="122"/>
  <c r="AO18" i="122"/>
  <c r="AP18" i="122"/>
  <c r="AQ18" i="122"/>
  <c r="AR18" i="122"/>
  <c r="AS18" i="122"/>
  <c r="AT18" i="122"/>
  <c r="AU18" i="122"/>
  <c r="AV18" i="122"/>
  <c r="AW18" i="122"/>
  <c r="AX18" i="122"/>
  <c r="AY18" i="122"/>
  <c r="AZ18" i="122"/>
  <c r="BA18" i="122"/>
  <c r="BB18" i="122"/>
  <c r="AE19" i="122"/>
  <c r="AF19" i="122"/>
  <c r="AG19" i="122"/>
  <c r="AH19" i="122"/>
  <c r="AI19" i="122"/>
  <c r="AJ19" i="122"/>
  <c r="AK19" i="122"/>
  <c r="AL19" i="122"/>
  <c r="AM19" i="122"/>
  <c r="AN19" i="122"/>
  <c r="AO19" i="122"/>
  <c r="AP19" i="122"/>
  <c r="AQ19" i="122"/>
  <c r="AR19" i="122"/>
  <c r="AS19" i="122"/>
  <c r="AT19" i="122"/>
  <c r="AU19" i="122"/>
  <c r="AV19" i="122"/>
  <c r="AW19" i="122"/>
  <c r="AX19" i="122"/>
  <c r="AY19" i="122"/>
  <c r="AZ19" i="122"/>
  <c r="BA19" i="122"/>
  <c r="BB19" i="122"/>
  <c r="AE20" i="122"/>
  <c r="AF20" i="122"/>
  <c r="AG20" i="122"/>
  <c r="AH20" i="122"/>
  <c r="AI20" i="122"/>
  <c r="AJ20" i="122"/>
  <c r="AK20" i="122"/>
  <c r="AL20" i="122"/>
  <c r="AM20" i="122"/>
  <c r="AN20" i="122"/>
  <c r="AO20" i="122"/>
  <c r="AP20" i="122"/>
  <c r="AQ20" i="122"/>
  <c r="AR20" i="122"/>
  <c r="AS20" i="122"/>
  <c r="AT20" i="122"/>
  <c r="AU20" i="122"/>
  <c r="AV20" i="122"/>
  <c r="AW20" i="122"/>
  <c r="AX20" i="122"/>
  <c r="AY20" i="122"/>
  <c r="AZ20" i="122"/>
  <c r="BA20" i="122"/>
  <c r="BB20" i="122"/>
  <c r="AE21" i="122"/>
  <c r="AF21" i="122"/>
  <c r="AG21" i="122"/>
  <c r="AH21" i="122"/>
  <c r="AI21" i="122"/>
  <c r="AJ21" i="122"/>
  <c r="AK21" i="122"/>
  <c r="AL21" i="122"/>
  <c r="AM21" i="122"/>
  <c r="AN21" i="122"/>
  <c r="AO21" i="122"/>
  <c r="AP21" i="122"/>
  <c r="AQ21" i="122"/>
  <c r="AR21" i="122"/>
  <c r="AS21" i="122"/>
  <c r="AT21" i="122"/>
  <c r="AU21" i="122"/>
  <c r="AV21" i="122"/>
  <c r="AW21" i="122"/>
  <c r="AX21" i="122"/>
  <c r="AY21" i="122"/>
  <c r="AZ21" i="122"/>
  <c r="BA21" i="122"/>
  <c r="BB21" i="122"/>
  <c r="AE22" i="122"/>
  <c r="AF22" i="122"/>
  <c r="AG22" i="122"/>
  <c r="AH22" i="122"/>
  <c r="AI22" i="122"/>
  <c r="AJ22" i="122"/>
  <c r="AK22" i="122"/>
  <c r="AL22" i="122"/>
  <c r="AM22" i="122"/>
  <c r="AN22" i="122"/>
  <c r="AO22" i="122"/>
  <c r="AP22" i="122"/>
  <c r="AQ22" i="122"/>
  <c r="AR22" i="122"/>
  <c r="AS22" i="122"/>
  <c r="AT22" i="122"/>
  <c r="AU22" i="122"/>
  <c r="AV22" i="122"/>
  <c r="AW22" i="122"/>
  <c r="AX22" i="122"/>
  <c r="AY22" i="122"/>
  <c r="AZ22" i="122"/>
  <c r="BA22" i="122"/>
  <c r="BB22" i="122"/>
  <c r="AE23" i="122"/>
  <c r="AF23" i="122"/>
  <c r="AG23" i="122"/>
  <c r="AH23" i="122"/>
  <c r="AI23" i="122"/>
  <c r="AJ23" i="122"/>
  <c r="AK23" i="122"/>
  <c r="AL23" i="122"/>
  <c r="AM23" i="122"/>
  <c r="AN23" i="122"/>
  <c r="AO23" i="122"/>
  <c r="AP23" i="122"/>
  <c r="AQ23" i="122"/>
  <c r="AR23" i="122"/>
  <c r="AS23" i="122"/>
  <c r="AT23" i="122"/>
  <c r="AU23" i="122"/>
  <c r="AV23" i="122"/>
  <c r="AW23" i="122"/>
  <c r="AX23" i="122"/>
  <c r="AY23" i="122"/>
  <c r="AZ23" i="122"/>
  <c r="BA23" i="122"/>
  <c r="BB23" i="122"/>
  <c r="AE24" i="122"/>
  <c r="AF24" i="122"/>
  <c r="AG24" i="122"/>
  <c r="AH24" i="122"/>
  <c r="AI24" i="122"/>
  <c r="AJ24" i="122"/>
  <c r="AK24" i="122"/>
  <c r="AL24" i="122"/>
  <c r="AM24" i="122"/>
  <c r="AN24" i="122"/>
  <c r="AO24" i="122"/>
  <c r="AP24" i="122"/>
  <c r="AQ24" i="122"/>
  <c r="AR24" i="122"/>
  <c r="AS24" i="122"/>
  <c r="AT24" i="122"/>
  <c r="AU24" i="122"/>
  <c r="AV24" i="122"/>
  <c r="AW24" i="122"/>
  <c r="AX24" i="122"/>
  <c r="AY24" i="122"/>
  <c r="AZ24" i="122"/>
  <c r="BA24" i="122"/>
  <c r="BB24" i="122"/>
  <c r="AD25" i="122"/>
  <c r="AE25" i="122"/>
  <c r="AF25" i="122"/>
  <c r="AG25" i="122"/>
  <c r="AH25" i="122"/>
  <c r="AI25" i="122"/>
  <c r="AJ25" i="122"/>
  <c r="AK25" i="122"/>
  <c r="AL25" i="122"/>
  <c r="AM25" i="122"/>
  <c r="AN25" i="122"/>
  <c r="AO25" i="122"/>
  <c r="AP25" i="122"/>
  <c r="AQ25" i="122"/>
  <c r="AR25" i="122"/>
  <c r="AS25" i="122"/>
  <c r="AT25" i="122"/>
  <c r="AU25" i="122"/>
  <c r="AV25" i="122"/>
  <c r="AW25" i="122"/>
  <c r="AX25" i="122"/>
  <c r="AY25" i="122"/>
  <c r="AZ25" i="122"/>
  <c r="BA25" i="122"/>
  <c r="BB25" i="122"/>
  <c r="AD26" i="122"/>
  <c r="AE26" i="122"/>
  <c r="AF26" i="122"/>
  <c r="AG26" i="122"/>
  <c r="AH26" i="122"/>
  <c r="AI26" i="122"/>
  <c r="AJ26" i="122"/>
  <c r="AK26" i="122"/>
  <c r="AL26" i="122"/>
  <c r="AM26" i="122"/>
  <c r="AN26" i="122"/>
  <c r="AO26" i="122"/>
  <c r="AP26" i="122"/>
  <c r="AQ26" i="122"/>
  <c r="AR26" i="122"/>
  <c r="AS26" i="122"/>
  <c r="AT26" i="122"/>
  <c r="AU26" i="122"/>
  <c r="AV26" i="122"/>
  <c r="AW26" i="122"/>
  <c r="AX26" i="122"/>
  <c r="AY26" i="122"/>
  <c r="AZ26" i="122"/>
  <c r="BA26" i="122"/>
  <c r="BB26" i="122"/>
  <c r="AD27" i="122"/>
  <c r="AE27" i="122"/>
  <c r="AF27" i="122"/>
  <c r="AG27" i="122"/>
  <c r="AH27" i="122"/>
  <c r="AI27" i="122"/>
  <c r="AJ27" i="122"/>
  <c r="AK27" i="122"/>
  <c r="AL27" i="122"/>
  <c r="AM27" i="122"/>
  <c r="AN27" i="122"/>
  <c r="AO27" i="122"/>
  <c r="AP27" i="122"/>
  <c r="AQ27" i="122"/>
  <c r="AR27" i="122"/>
  <c r="AS27" i="122"/>
  <c r="AT27" i="122"/>
  <c r="AU27" i="122"/>
  <c r="AV27" i="122"/>
  <c r="AW27" i="122"/>
  <c r="AX27" i="122"/>
  <c r="AY27" i="122"/>
  <c r="AZ27" i="122"/>
  <c r="BA27" i="122"/>
  <c r="BB27" i="122"/>
  <c r="AD28" i="122"/>
  <c r="AE28" i="122"/>
  <c r="AF28" i="122"/>
  <c r="AG28" i="122"/>
  <c r="AH28" i="122"/>
  <c r="AI28" i="122"/>
  <c r="AJ28" i="122"/>
  <c r="AK28" i="122"/>
  <c r="AL28" i="122"/>
  <c r="AM28" i="122"/>
  <c r="AN28" i="122"/>
  <c r="AO28" i="122"/>
  <c r="AP28" i="122"/>
  <c r="AQ28" i="122"/>
  <c r="AR28" i="122"/>
  <c r="AS28" i="122"/>
  <c r="AT28" i="122"/>
  <c r="AU28" i="122"/>
  <c r="AV28" i="122"/>
  <c r="AW28" i="122"/>
  <c r="AX28" i="122"/>
  <c r="AY28" i="122"/>
  <c r="AZ28" i="122"/>
  <c r="BA28" i="122"/>
  <c r="BB28" i="122"/>
  <c r="AD29" i="122"/>
  <c r="AE29" i="122"/>
  <c r="AF29" i="122"/>
  <c r="AG29" i="122"/>
  <c r="AH29" i="122"/>
  <c r="AI29" i="122"/>
  <c r="AJ29" i="122"/>
  <c r="AK29" i="122"/>
  <c r="AL29" i="122"/>
  <c r="AM29" i="122"/>
  <c r="AN29" i="122"/>
  <c r="AO29" i="122"/>
  <c r="AP29" i="122"/>
  <c r="AQ29" i="122"/>
  <c r="AR29" i="122"/>
  <c r="AS29" i="122"/>
  <c r="AT29" i="122"/>
  <c r="AU29" i="122"/>
  <c r="AV29" i="122"/>
  <c r="AW29" i="122"/>
  <c r="AX29" i="122"/>
  <c r="AY29" i="122"/>
  <c r="AZ29" i="122"/>
  <c r="BA29" i="122"/>
  <c r="BB29" i="122"/>
  <c r="AD30" i="122"/>
  <c r="AE30" i="122"/>
  <c r="AF30" i="122"/>
  <c r="AG30" i="122"/>
  <c r="AH30" i="122"/>
  <c r="AI30" i="122"/>
  <c r="AJ30" i="122"/>
  <c r="AK30" i="122"/>
  <c r="AL30" i="122"/>
  <c r="AM30" i="122"/>
  <c r="AN30" i="122"/>
  <c r="AO30" i="122"/>
  <c r="AP30" i="122"/>
  <c r="AQ30" i="122"/>
  <c r="AR30" i="122"/>
  <c r="AS30" i="122"/>
  <c r="AT30" i="122"/>
  <c r="AU30" i="122"/>
  <c r="AV30" i="122"/>
  <c r="AW30" i="122"/>
  <c r="AX30" i="122"/>
  <c r="AY30" i="122"/>
  <c r="AZ30" i="122"/>
  <c r="BA30" i="122"/>
  <c r="BB30" i="122"/>
  <c r="AD31" i="122"/>
  <c r="AE31" i="122"/>
  <c r="AF31" i="122"/>
  <c r="AG31" i="122"/>
  <c r="AH31" i="122"/>
  <c r="AI31" i="122"/>
  <c r="AJ31" i="122"/>
  <c r="AK31" i="122"/>
  <c r="AL31" i="122"/>
  <c r="AM31" i="122"/>
  <c r="AN31" i="122"/>
  <c r="AO31" i="122"/>
  <c r="AP31" i="122"/>
  <c r="AQ31" i="122"/>
  <c r="AR31" i="122"/>
  <c r="AS31" i="122"/>
  <c r="AT31" i="122"/>
  <c r="AU31" i="122"/>
  <c r="AV31" i="122"/>
  <c r="AW31" i="122"/>
  <c r="AX31" i="122"/>
  <c r="AY31" i="122"/>
  <c r="AZ31" i="122"/>
  <c r="BA31" i="122"/>
  <c r="BB31" i="122"/>
  <c r="AD32" i="122"/>
  <c r="AE32" i="122"/>
  <c r="AF32" i="122"/>
  <c r="AG32" i="122"/>
  <c r="AH32" i="122"/>
  <c r="AI32" i="122"/>
  <c r="AJ32" i="122"/>
  <c r="AK32" i="122"/>
  <c r="AL32" i="122"/>
  <c r="AM32" i="122"/>
  <c r="AN32" i="122"/>
  <c r="AO32" i="122"/>
  <c r="AP32" i="122"/>
  <c r="AQ32" i="122"/>
  <c r="AR32" i="122"/>
  <c r="AS32" i="122"/>
  <c r="AT32" i="122"/>
  <c r="AU32" i="122"/>
  <c r="AV32" i="122"/>
  <c r="AW32" i="122"/>
  <c r="AX32" i="122"/>
  <c r="AY32" i="122"/>
  <c r="AZ32" i="122"/>
  <c r="BA32" i="122"/>
  <c r="BB32" i="122"/>
  <c r="AD33" i="122"/>
  <c r="AE33" i="122"/>
  <c r="AF33" i="122"/>
  <c r="AG33" i="122"/>
  <c r="AH33" i="122"/>
  <c r="AI33" i="122"/>
  <c r="AJ33" i="122"/>
  <c r="AK33" i="122"/>
  <c r="AL33" i="122"/>
  <c r="AM33" i="122"/>
  <c r="AN33" i="122"/>
  <c r="AO33" i="122"/>
  <c r="AP33" i="122"/>
  <c r="AQ33" i="122"/>
  <c r="AR33" i="122"/>
  <c r="AS33" i="122"/>
  <c r="AT33" i="122"/>
  <c r="AU33" i="122"/>
  <c r="AV33" i="122"/>
  <c r="AW33" i="122"/>
  <c r="AX33" i="122"/>
  <c r="AY33" i="122"/>
  <c r="AZ33" i="122"/>
  <c r="BA33" i="122"/>
  <c r="BB33" i="122"/>
  <c r="AD34" i="122"/>
  <c r="AE34" i="122"/>
  <c r="AF34" i="122"/>
  <c r="AG34" i="122"/>
  <c r="AH34" i="122"/>
  <c r="AI34" i="122"/>
  <c r="AJ34" i="122"/>
  <c r="AK34" i="122"/>
  <c r="AL34" i="122"/>
  <c r="AM34" i="122"/>
  <c r="AN34" i="122"/>
  <c r="AO34" i="122"/>
  <c r="AP34" i="122"/>
  <c r="AQ34" i="122"/>
  <c r="AR34" i="122"/>
  <c r="AS34" i="122"/>
  <c r="AT34" i="122"/>
  <c r="AU34" i="122"/>
  <c r="AV34" i="122"/>
  <c r="AW34" i="122"/>
  <c r="AX34" i="122"/>
  <c r="AY34" i="122"/>
  <c r="AZ34" i="122"/>
  <c r="BA34" i="122"/>
  <c r="BB34" i="122"/>
  <c r="AD35" i="122"/>
  <c r="AE35" i="122"/>
  <c r="AF35" i="122"/>
  <c r="AG35" i="122"/>
  <c r="AH35" i="122"/>
  <c r="AI35" i="122"/>
  <c r="AJ35" i="122"/>
  <c r="AK35" i="122"/>
  <c r="AL35" i="122"/>
  <c r="AM35" i="122"/>
  <c r="AN35" i="122"/>
  <c r="AO35" i="122"/>
  <c r="AP35" i="122"/>
  <c r="AQ35" i="122"/>
  <c r="AR35" i="122"/>
  <c r="AS35" i="122"/>
  <c r="AT35" i="122"/>
  <c r="AU35" i="122"/>
  <c r="AV35" i="122"/>
  <c r="AW35" i="122"/>
  <c r="AX35" i="122"/>
  <c r="AY35" i="122"/>
  <c r="AZ35" i="122"/>
  <c r="BA35" i="122"/>
  <c r="BB35" i="122"/>
  <c r="AD36" i="122"/>
  <c r="AE36" i="122"/>
  <c r="AF36" i="122"/>
  <c r="AG36" i="122"/>
  <c r="AH36" i="122"/>
  <c r="AI36" i="122"/>
  <c r="AJ36" i="122"/>
  <c r="AK36" i="122"/>
  <c r="AL36" i="122"/>
  <c r="AM36" i="122"/>
  <c r="AN36" i="122"/>
  <c r="AO36" i="122"/>
  <c r="AP36" i="122"/>
  <c r="AQ36" i="122"/>
  <c r="AR36" i="122"/>
  <c r="AS36" i="122"/>
  <c r="AT36" i="122"/>
  <c r="AU36" i="122"/>
  <c r="AV36" i="122"/>
  <c r="AW36" i="122"/>
  <c r="AX36" i="122"/>
  <c r="AY36" i="122"/>
  <c r="AZ36" i="122"/>
  <c r="BA36" i="122"/>
  <c r="BB36" i="122"/>
  <c r="AD37" i="122"/>
  <c r="AE37" i="122"/>
  <c r="AF37" i="122"/>
  <c r="AG37" i="122"/>
  <c r="AH37" i="122"/>
  <c r="AI37" i="122"/>
  <c r="AJ37" i="122"/>
  <c r="AK37" i="122"/>
  <c r="AL37" i="122"/>
  <c r="AM37" i="122"/>
  <c r="AN37" i="122"/>
  <c r="AO37" i="122"/>
  <c r="AP37" i="122"/>
  <c r="AQ37" i="122"/>
  <c r="AR37" i="122"/>
  <c r="AS37" i="122"/>
  <c r="AT37" i="122"/>
  <c r="AU37" i="122"/>
  <c r="AV37" i="122"/>
  <c r="AW37" i="122"/>
  <c r="AX37" i="122"/>
  <c r="AY37" i="122"/>
  <c r="AZ37" i="122"/>
  <c r="BA37" i="122"/>
  <c r="BB37" i="122"/>
  <c r="AD38" i="122"/>
  <c r="AE38" i="122"/>
  <c r="AF38" i="122"/>
  <c r="AG38" i="122"/>
  <c r="AH38" i="122"/>
  <c r="AI38" i="122"/>
  <c r="AJ38" i="122"/>
  <c r="AK38" i="122"/>
  <c r="AL38" i="122"/>
  <c r="AM38" i="122"/>
  <c r="AN38" i="122"/>
  <c r="AO38" i="122"/>
  <c r="AP38" i="122"/>
  <c r="AQ38" i="122"/>
  <c r="AR38" i="122"/>
  <c r="AS38" i="122"/>
  <c r="AT38" i="122"/>
  <c r="AU38" i="122"/>
  <c r="AV38" i="122"/>
  <c r="AW38" i="122"/>
  <c r="AX38" i="122"/>
  <c r="AY38" i="122"/>
  <c r="AZ38" i="122"/>
  <c r="BA38" i="122"/>
  <c r="BB38" i="122"/>
  <c r="AD39" i="122"/>
  <c r="AE39" i="122"/>
  <c r="AF39" i="122"/>
  <c r="AG39" i="122"/>
  <c r="AH39" i="122"/>
  <c r="AI39" i="122"/>
  <c r="AJ39" i="122"/>
  <c r="AK39" i="122"/>
  <c r="AL39" i="122"/>
  <c r="AM39" i="122"/>
  <c r="AN39" i="122"/>
  <c r="AO39" i="122"/>
  <c r="AP39" i="122"/>
  <c r="AQ39" i="122"/>
  <c r="AR39" i="122"/>
  <c r="AS39" i="122"/>
  <c r="AT39" i="122"/>
  <c r="AU39" i="122"/>
  <c r="AV39" i="122"/>
  <c r="AW39" i="122"/>
  <c r="AX39" i="122"/>
  <c r="AY39" i="122"/>
  <c r="AZ39" i="122"/>
  <c r="BA39" i="122"/>
  <c r="BB39" i="122"/>
  <c r="AD40" i="122"/>
  <c r="AE40" i="122"/>
  <c r="AF40" i="122"/>
  <c r="AG40" i="122"/>
  <c r="AH40" i="122"/>
  <c r="AI40" i="122"/>
  <c r="AJ40" i="122"/>
  <c r="AK40" i="122"/>
  <c r="AL40" i="122"/>
  <c r="AM40" i="122"/>
  <c r="AN40" i="122"/>
  <c r="AO40" i="122"/>
  <c r="AP40" i="122"/>
  <c r="AQ40" i="122"/>
  <c r="AR40" i="122"/>
  <c r="AS40" i="122"/>
  <c r="AT40" i="122"/>
  <c r="AU40" i="122"/>
  <c r="AV40" i="122"/>
  <c r="AW40" i="122"/>
  <c r="AX40" i="122"/>
  <c r="AY40" i="122"/>
  <c r="AZ40" i="122"/>
  <c r="BA40" i="122"/>
  <c r="BB40" i="122"/>
  <c r="AD41" i="122"/>
  <c r="AE41" i="122"/>
  <c r="AF41" i="122"/>
  <c r="AG41" i="122"/>
  <c r="AH41" i="122"/>
  <c r="AI41" i="122"/>
  <c r="AJ41" i="122"/>
  <c r="AK41" i="122"/>
  <c r="AL41" i="122"/>
  <c r="AM41" i="122"/>
  <c r="AN41" i="122"/>
  <c r="AO41" i="122"/>
  <c r="AP41" i="122"/>
  <c r="AQ41" i="122"/>
  <c r="AR41" i="122"/>
  <c r="AS41" i="122"/>
  <c r="AT41" i="122"/>
  <c r="AU41" i="122"/>
  <c r="AV41" i="122"/>
  <c r="AW41" i="122"/>
  <c r="AX41" i="122"/>
  <c r="AY41" i="122"/>
  <c r="AZ41" i="122"/>
  <c r="BA41" i="122"/>
  <c r="BB41" i="122"/>
  <c r="AD48" i="122"/>
  <c r="AD49" i="122"/>
  <c r="AD50" i="122"/>
  <c r="AD51" i="122"/>
  <c r="AD52" i="122"/>
  <c r="AD53" i="122"/>
  <c r="AD54" i="122"/>
  <c r="AD55" i="122"/>
  <c r="AD56" i="122"/>
  <c r="AD57" i="122"/>
  <c r="AD58" i="122"/>
  <c r="AD59" i="122"/>
  <c r="AD60" i="122"/>
  <c r="AD61" i="122"/>
  <c r="AD62" i="122"/>
  <c r="AD63" i="122"/>
  <c r="AD64" i="122"/>
  <c r="AD65" i="122"/>
  <c r="AD66" i="122"/>
  <c r="AD67" i="122"/>
  <c r="AD68" i="122"/>
  <c r="AD69" i="122"/>
  <c r="AD70" i="122"/>
  <c r="AD71" i="122"/>
  <c r="AD72" i="122"/>
  <c r="AD73" i="122"/>
  <c r="AD74" i="122"/>
  <c r="AD75" i="122"/>
  <c r="AD76" i="122"/>
  <c r="AD77" i="122"/>
  <c r="AD78" i="122"/>
  <c r="AD79" i="122"/>
  <c r="AD80" i="122"/>
  <c r="AE48" i="122"/>
  <c r="AF48" i="122"/>
  <c r="AG48" i="122"/>
  <c r="AH48" i="122"/>
  <c r="AI48" i="122"/>
  <c r="AJ48" i="122"/>
  <c r="AK48" i="122"/>
  <c r="AL48" i="122"/>
  <c r="AM48" i="122"/>
  <c r="AN48" i="122"/>
  <c r="AO48" i="122"/>
  <c r="AP48" i="122"/>
  <c r="AQ48" i="122"/>
  <c r="AR48" i="122"/>
  <c r="AS48" i="122"/>
  <c r="AT48" i="122"/>
  <c r="AU48" i="122"/>
  <c r="AV48" i="122"/>
  <c r="AW48" i="122"/>
  <c r="AX48" i="122"/>
  <c r="AY48" i="122"/>
  <c r="AZ48" i="122"/>
  <c r="BA48" i="122"/>
  <c r="BB48" i="122"/>
  <c r="AE49" i="122"/>
  <c r="AF49" i="122"/>
  <c r="AG49" i="122"/>
  <c r="AH49" i="122"/>
  <c r="AI49" i="122"/>
  <c r="AJ49" i="122"/>
  <c r="AK49" i="122"/>
  <c r="AL49" i="122"/>
  <c r="AM49" i="122"/>
  <c r="AN49" i="122"/>
  <c r="AO49" i="122"/>
  <c r="AP49" i="122"/>
  <c r="AQ49" i="122"/>
  <c r="AR49" i="122"/>
  <c r="AS49" i="122"/>
  <c r="AT49" i="122"/>
  <c r="AU49" i="122"/>
  <c r="AV49" i="122"/>
  <c r="AW49" i="122"/>
  <c r="AX49" i="122"/>
  <c r="AY49" i="122"/>
  <c r="AZ49" i="122"/>
  <c r="BA49" i="122"/>
  <c r="BB49" i="122"/>
  <c r="AE50" i="122"/>
  <c r="AF50" i="122"/>
  <c r="AG50" i="122"/>
  <c r="AH50" i="122"/>
  <c r="AI50" i="122"/>
  <c r="AJ50" i="122"/>
  <c r="AK50" i="122"/>
  <c r="AL50" i="122"/>
  <c r="AM50" i="122"/>
  <c r="AN50" i="122"/>
  <c r="AO50" i="122"/>
  <c r="AP50" i="122"/>
  <c r="AQ50" i="122"/>
  <c r="AR50" i="122"/>
  <c r="AS50" i="122"/>
  <c r="AT50" i="122"/>
  <c r="AU50" i="122"/>
  <c r="AV50" i="122"/>
  <c r="AW50" i="122"/>
  <c r="AX50" i="122"/>
  <c r="AY50" i="122"/>
  <c r="AZ50" i="122"/>
  <c r="BA50" i="122"/>
  <c r="BB50" i="122"/>
  <c r="AE51" i="122"/>
  <c r="AF51" i="122"/>
  <c r="AG51" i="122"/>
  <c r="AH51" i="122"/>
  <c r="AI51" i="122"/>
  <c r="AJ51" i="122"/>
  <c r="AK51" i="122"/>
  <c r="AL51" i="122"/>
  <c r="AM51" i="122"/>
  <c r="AN51" i="122"/>
  <c r="AO51" i="122"/>
  <c r="AP51" i="122"/>
  <c r="AQ51" i="122"/>
  <c r="AR51" i="122"/>
  <c r="AS51" i="122"/>
  <c r="AT51" i="122"/>
  <c r="AU51" i="122"/>
  <c r="AV51" i="122"/>
  <c r="AW51" i="122"/>
  <c r="AX51" i="122"/>
  <c r="AY51" i="122"/>
  <c r="AZ51" i="122"/>
  <c r="BA51" i="122"/>
  <c r="BB51" i="122"/>
  <c r="AE52" i="122"/>
  <c r="AF52" i="122"/>
  <c r="AG52" i="122"/>
  <c r="AH52" i="122"/>
  <c r="AI52" i="122"/>
  <c r="AJ52" i="122"/>
  <c r="AK52" i="122"/>
  <c r="AL52" i="122"/>
  <c r="AM52" i="122"/>
  <c r="AN52" i="122"/>
  <c r="AO52" i="122"/>
  <c r="AP52" i="122"/>
  <c r="AQ52" i="122"/>
  <c r="AR52" i="122"/>
  <c r="AS52" i="122"/>
  <c r="AT52" i="122"/>
  <c r="AU52" i="122"/>
  <c r="AV52" i="122"/>
  <c r="AW52" i="122"/>
  <c r="AX52" i="122"/>
  <c r="AY52" i="122"/>
  <c r="AZ52" i="122"/>
  <c r="BA52" i="122"/>
  <c r="BB52" i="122"/>
  <c r="AE53" i="122"/>
  <c r="AF53" i="122"/>
  <c r="AG53" i="122"/>
  <c r="AH53" i="122"/>
  <c r="AI53" i="122"/>
  <c r="AJ53" i="122"/>
  <c r="AK53" i="122"/>
  <c r="AL53" i="122"/>
  <c r="AM53" i="122"/>
  <c r="AN53" i="122"/>
  <c r="AO53" i="122"/>
  <c r="AP53" i="122"/>
  <c r="AQ53" i="122"/>
  <c r="AR53" i="122"/>
  <c r="AS53" i="122"/>
  <c r="AT53" i="122"/>
  <c r="AU53" i="122"/>
  <c r="AV53" i="122"/>
  <c r="AW53" i="122"/>
  <c r="AX53" i="122"/>
  <c r="AY53" i="122"/>
  <c r="AZ53" i="122"/>
  <c r="BA53" i="122"/>
  <c r="BB53" i="122"/>
  <c r="AE54" i="122"/>
  <c r="AF54" i="122"/>
  <c r="AG54" i="122"/>
  <c r="AH54" i="122"/>
  <c r="AI54" i="122"/>
  <c r="AJ54" i="122"/>
  <c r="AK54" i="122"/>
  <c r="AL54" i="122"/>
  <c r="AM54" i="122"/>
  <c r="AN54" i="122"/>
  <c r="AO54" i="122"/>
  <c r="AP54" i="122"/>
  <c r="AQ54" i="122"/>
  <c r="AR54" i="122"/>
  <c r="AS54" i="122"/>
  <c r="AT54" i="122"/>
  <c r="AU54" i="122"/>
  <c r="AV54" i="122"/>
  <c r="AW54" i="122"/>
  <c r="AX54" i="122"/>
  <c r="AY54" i="122"/>
  <c r="AZ54" i="122"/>
  <c r="BA54" i="122"/>
  <c r="BB54" i="122"/>
  <c r="AE55" i="122"/>
  <c r="AF55" i="122"/>
  <c r="AG55" i="122"/>
  <c r="AH55" i="122"/>
  <c r="AI55" i="122"/>
  <c r="AJ55" i="122"/>
  <c r="AK55" i="122"/>
  <c r="AL55" i="122"/>
  <c r="AM55" i="122"/>
  <c r="AN55" i="122"/>
  <c r="AO55" i="122"/>
  <c r="AP55" i="122"/>
  <c r="AQ55" i="122"/>
  <c r="AR55" i="122"/>
  <c r="AS55" i="122"/>
  <c r="AT55" i="122"/>
  <c r="AU55" i="122"/>
  <c r="AV55" i="122"/>
  <c r="AW55" i="122"/>
  <c r="AX55" i="122"/>
  <c r="AY55" i="122"/>
  <c r="AZ55" i="122"/>
  <c r="BA55" i="122"/>
  <c r="BB55" i="122"/>
  <c r="AE56" i="122"/>
  <c r="AF56" i="122"/>
  <c r="AG56" i="122"/>
  <c r="AH56" i="122"/>
  <c r="AI56" i="122"/>
  <c r="AJ56" i="122"/>
  <c r="AK56" i="122"/>
  <c r="AL56" i="122"/>
  <c r="AM56" i="122"/>
  <c r="AN56" i="122"/>
  <c r="AO56" i="122"/>
  <c r="AP56" i="122"/>
  <c r="AQ56" i="122"/>
  <c r="AR56" i="122"/>
  <c r="AS56" i="122"/>
  <c r="AT56" i="122"/>
  <c r="AU56" i="122"/>
  <c r="AV56" i="122"/>
  <c r="AW56" i="122"/>
  <c r="AX56" i="122"/>
  <c r="AY56" i="122"/>
  <c r="AZ56" i="122"/>
  <c r="BA56" i="122"/>
  <c r="BB56" i="122"/>
  <c r="AE57" i="122"/>
  <c r="AF57" i="122"/>
  <c r="AG57" i="122"/>
  <c r="AH57" i="122"/>
  <c r="AI57" i="122"/>
  <c r="AJ57" i="122"/>
  <c r="AK57" i="122"/>
  <c r="AL57" i="122"/>
  <c r="AM57" i="122"/>
  <c r="AN57" i="122"/>
  <c r="AO57" i="122"/>
  <c r="AP57" i="122"/>
  <c r="AQ57" i="122"/>
  <c r="AR57" i="122"/>
  <c r="AS57" i="122"/>
  <c r="AT57" i="122"/>
  <c r="AU57" i="122"/>
  <c r="AV57" i="122"/>
  <c r="AW57" i="122"/>
  <c r="AX57" i="122"/>
  <c r="AY57" i="122"/>
  <c r="AZ57" i="122"/>
  <c r="BA57" i="122"/>
  <c r="BB57" i="122"/>
  <c r="AE58" i="122"/>
  <c r="AF58" i="122"/>
  <c r="AG58" i="122"/>
  <c r="AH58" i="122"/>
  <c r="AI58" i="122"/>
  <c r="AJ58" i="122"/>
  <c r="AK58" i="122"/>
  <c r="AL58" i="122"/>
  <c r="AM58" i="122"/>
  <c r="AN58" i="122"/>
  <c r="AO58" i="122"/>
  <c r="AP58" i="122"/>
  <c r="AQ58" i="122"/>
  <c r="AR58" i="122"/>
  <c r="AS58" i="122"/>
  <c r="AT58" i="122"/>
  <c r="AU58" i="122"/>
  <c r="AV58" i="122"/>
  <c r="AW58" i="122"/>
  <c r="AX58" i="122"/>
  <c r="AY58" i="122"/>
  <c r="AZ58" i="122"/>
  <c r="BA58" i="122"/>
  <c r="BB58" i="122"/>
  <c r="AE59" i="122"/>
  <c r="AF59" i="122"/>
  <c r="AG59" i="122"/>
  <c r="AH59" i="122"/>
  <c r="AI59" i="122"/>
  <c r="AJ59" i="122"/>
  <c r="AK59" i="122"/>
  <c r="AL59" i="122"/>
  <c r="AM59" i="122"/>
  <c r="AN59" i="122"/>
  <c r="AO59" i="122"/>
  <c r="AP59" i="122"/>
  <c r="AQ59" i="122"/>
  <c r="AR59" i="122"/>
  <c r="AS59" i="122"/>
  <c r="AT59" i="122"/>
  <c r="AU59" i="122"/>
  <c r="AV59" i="122"/>
  <c r="AW59" i="122"/>
  <c r="AX59" i="122"/>
  <c r="AY59" i="122"/>
  <c r="AZ59" i="122"/>
  <c r="BA59" i="122"/>
  <c r="BB59" i="122"/>
  <c r="AE60" i="122"/>
  <c r="AF60" i="122"/>
  <c r="AG60" i="122"/>
  <c r="AH60" i="122"/>
  <c r="AI60" i="122"/>
  <c r="AJ60" i="122"/>
  <c r="AK60" i="122"/>
  <c r="AL60" i="122"/>
  <c r="AM60" i="122"/>
  <c r="AN60" i="122"/>
  <c r="AO60" i="122"/>
  <c r="AP60" i="122"/>
  <c r="AQ60" i="122"/>
  <c r="AR60" i="122"/>
  <c r="AS60" i="122"/>
  <c r="AT60" i="122"/>
  <c r="AU60" i="122"/>
  <c r="AV60" i="122"/>
  <c r="AW60" i="122"/>
  <c r="AX60" i="122"/>
  <c r="AY60" i="122"/>
  <c r="AZ60" i="122"/>
  <c r="BA60" i="122"/>
  <c r="BB60" i="122"/>
  <c r="AE61" i="122"/>
  <c r="AF61" i="122"/>
  <c r="AG61" i="122"/>
  <c r="AH61" i="122"/>
  <c r="AI61" i="122"/>
  <c r="AJ61" i="122"/>
  <c r="AK61" i="122"/>
  <c r="AL61" i="122"/>
  <c r="AM61" i="122"/>
  <c r="AN61" i="122"/>
  <c r="AO61" i="122"/>
  <c r="AP61" i="122"/>
  <c r="AQ61" i="122"/>
  <c r="AR61" i="122"/>
  <c r="AS61" i="122"/>
  <c r="AT61" i="122"/>
  <c r="AU61" i="122"/>
  <c r="AV61" i="122"/>
  <c r="AW61" i="122"/>
  <c r="AX61" i="122"/>
  <c r="AY61" i="122"/>
  <c r="AZ61" i="122"/>
  <c r="BA61" i="122"/>
  <c r="BB61" i="122"/>
  <c r="AE62" i="122"/>
  <c r="AF62" i="122"/>
  <c r="AG62" i="122"/>
  <c r="AH62" i="122"/>
  <c r="AI62" i="122"/>
  <c r="AJ62" i="122"/>
  <c r="AK62" i="122"/>
  <c r="AL62" i="122"/>
  <c r="AM62" i="122"/>
  <c r="AN62" i="122"/>
  <c r="AO62" i="122"/>
  <c r="AP62" i="122"/>
  <c r="AQ62" i="122"/>
  <c r="AR62" i="122"/>
  <c r="AS62" i="122"/>
  <c r="AT62" i="122"/>
  <c r="AU62" i="122"/>
  <c r="AV62" i="122"/>
  <c r="AW62" i="122"/>
  <c r="AX62" i="122"/>
  <c r="AY62" i="122"/>
  <c r="AZ62" i="122"/>
  <c r="BA62" i="122"/>
  <c r="BB62" i="122"/>
  <c r="AE63" i="122"/>
  <c r="AF63" i="122"/>
  <c r="AG63" i="122"/>
  <c r="AH63" i="122"/>
  <c r="AI63" i="122"/>
  <c r="AJ63" i="122"/>
  <c r="AK63" i="122"/>
  <c r="AL63" i="122"/>
  <c r="AM63" i="122"/>
  <c r="AN63" i="122"/>
  <c r="AO63" i="122"/>
  <c r="AP63" i="122"/>
  <c r="AQ63" i="122"/>
  <c r="AR63" i="122"/>
  <c r="AS63" i="122"/>
  <c r="AT63" i="122"/>
  <c r="AU63" i="122"/>
  <c r="AV63" i="122"/>
  <c r="AW63" i="122"/>
  <c r="AX63" i="122"/>
  <c r="AY63" i="122"/>
  <c r="AZ63" i="122"/>
  <c r="BA63" i="122"/>
  <c r="BB63" i="122"/>
  <c r="AE64" i="122"/>
  <c r="AF64" i="122"/>
  <c r="AG64" i="122"/>
  <c r="AH64" i="122"/>
  <c r="AI64" i="122"/>
  <c r="AJ64" i="122"/>
  <c r="AK64" i="122"/>
  <c r="AL64" i="122"/>
  <c r="AM64" i="122"/>
  <c r="AN64" i="122"/>
  <c r="AO64" i="122"/>
  <c r="AP64" i="122"/>
  <c r="AQ64" i="122"/>
  <c r="AR64" i="122"/>
  <c r="AS64" i="122"/>
  <c r="AT64" i="122"/>
  <c r="AU64" i="122"/>
  <c r="AV64" i="122"/>
  <c r="AW64" i="122"/>
  <c r="AX64" i="122"/>
  <c r="AY64" i="122"/>
  <c r="AZ64" i="122"/>
  <c r="BA64" i="122"/>
  <c r="BB64" i="122"/>
  <c r="AE65" i="122"/>
  <c r="AF65" i="122"/>
  <c r="AG65" i="122"/>
  <c r="AH65" i="122"/>
  <c r="AI65" i="122"/>
  <c r="AJ65" i="122"/>
  <c r="AK65" i="122"/>
  <c r="AL65" i="122"/>
  <c r="AM65" i="122"/>
  <c r="AN65" i="122"/>
  <c r="AO65" i="122"/>
  <c r="AP65" i="122"/>
  <c r="AQ65" i="122"/>
  <c r="AR65" i="122"/>
  <c r="AS65" i="122"/>
  <c r="AT65" i="122"/>
  <c r="AU65" i="122"/>
  <c r="AV65" i="122"/>
  <c r="AW65" i="122"/>
  <c r="AX65" i="122"/>
  <c r="AY65" i="122"/>
  <c r="AZ65" i="122"/>
  <c r="BA65" i="122"/>
  <c r="BB65" i="122"/>
  <c r="AE66" i="122"/>
  <c r="AF66" i="122"/>
  <c r="AG66" i="122"/>
  <c r="AH66" i="122"/>
  <c r="AI66" i="122"/>
  <c r="AJ66" i="122"/>
  <c r="AK66" i="122"/>
  <c r="AL66" i="122"/>
  <c r="AM66" i="122"/>
  <c r="AN66" i="122"/>
  <c r="AO66" i="122"/>
  <c r="AP66" i="122"/>
  <c r="AQ66" i="122"/>
  <c r="AR66" i="122"/>
  <c r="AS66" i="122"/>
  <c r="AT66" i="122"/>
  <c r="AU66" i="122"/>
  <c r="AV66" i="122"/>
  <c r="AW66" i="122"/>
  <c r="AX66" i="122"/>
  <c r="AY66" i="122"/>
  <c r="AZ66" i="122"/>
  <c r="BA66" i="122"/>
  <c r="BB66" i="122"/>
  <c r="AE67" i="122"/>
  <c r="AF67" i="122"/>
  <c r="AG67" i="122"/>
  <c r="AH67" i="122"/>
  <c r="AI67" i="122"/>
  <c r="AJ67" i="122"/>
  <c r="AK67" i="122"/>
  <c r="AL67" i="122"/>
  <c r="AM67" i="122"/>
  <c r="AN67" i="122"/>
  <c r="AO67" i="122"/>
  <c r="AP67" i="122"/>
  <c r="AQ67" i="122"/>
  <c r="AR67" i="122"/>
  <c r="AS67" i="122"/>
  <c r="AT67" i="122"/>
  <c r="AU67" i="122"/>
  <c r="AV67" i="122"/>
  <c r="AW67" i="122"/>
  <c r="AX67" i="122"/>
  <c r="AY67" i="122"/>
  <c r="AZ67" i="122"/>
  <c r="BA67" i="122"/>
  <c r="BB67" i="122"/>
  <c r="AE68" i="122"/>
  <c r="AF68" i="122"/>
  <c r="AG68" i="122"/>
  <c r="AH68" i="122"/>
  <c r="AI68" i="122"/>
  <c r="AJ68" i="122"/>
  <c r="AK68" i="122"/>
  <c r="AL68" i="122"/>
  <c r="AM68" i="122"/>
  <c r="AN68" i="122"/>
  <c r="AO68" i="122"/>
  <c r="AP68" i="122"/>
  <c r="AQ68" i="122"/>
  <c r="AR68" i="122"/>
  <c r="AS68" i="122"/>
  <c r="AT68" i="122"/>
  <c r="AU68" i="122"/>
  <c r="AV68" i="122"/>
  <c r="AW68" i="122"/>
  <c r="AX68" i="122"/>
  <c r="AY68" i="122"/>
  <c r="AZ68" i="122"/>
  <c r="BA68" i="122"/>
  <c r="BB68" i="122"/>
  <c r="AE69" i="122"/>
  <c r="AF69" i="122"/>
  <c r="AG69" i="122"/>
  <c r="AH69" i="122"/>
  <c r="AI69" i="122"/>
  <c r="AJ69" i="122"/>
  <c r="AK69" i="122"/>
  <c r="AL69" i="122"/>
  <c r="AM69" i="122"/>
  <c r="AN69" i="122"/>
  <c r="AO69" i="122"/>
  <c r="AP69" i="122"/>
  <c r="AQ69" i="122"/>
  <c r="AR69" i="122"/>
  <c r="AS69" i="122"/>
  <c r="AT69" i="122"/>
  <c r="AU69" i="122"/>
  <c r="AV69" i="122"/>
  <c r="AW69" i="122"/>
  <c r="AX69" i="122"/>
  <c r="AY69" i="122"/>
  <c r="AZ69" i="122"/>
  <c r="BA69" i="122"/>
  <c r="BB69" i="122"/>
  <c r="AE70" i="122"/>
  <c r="AF70" i="122"/>
  <c r="AG70" i="122"/>
  <c r="AH70" i="122"/>
  <c r="AI70" i="122"/>
  <c r="AJ70" i="122"/>
  <c r="AK70" i="122"/>
  <c r="AL70" i="122"/>
  <c r="AM70" i="122"/>
  <c r="AN70" i="122"/>
  <c r="AO70" i="122"/>
  <c r="AP70" i="122"/>
  <c r="AQ70" i="122"/>
  <c r="AR70" i="122"/>
  <c r="AS70" i="122"/>
  <c r="AT70" i="122"/>
  <c r="AU70" i="122"/>
  <c r="AV70" i="122"/>
  <c r="AW70" i="122"/>
  <c r="AX70" i="122"/>
  <c r="AY70" i="122"/>
  <c r="AZ70" i="122"/>
  <c r="BA70" i="122"/>
  <c r="BB70" i="122"/>
  <c r="AE71" i="122"/>
  <c r="AF71" i="122"/>
  <c r="AG71" i="122"/>
  <c r="AH71" i="122"/>
  <c r="AI71" i="122"/>
  <c r="AJ71" i="122"/>
  <c r="AK71" i="122"/>
  <c r="AL71" i="122"/>
  <c r="AM71" i="122"/>
  <c r="AN71" i="122"/>
  <c r="AO71" i="122"/>
  <c r="AP71" i="122"/>
  <c r="AQ71" i="122"/>
  <c r="AR71" i="122"/>
  <c r="AS71" i="122"/>
  <c r="AT71" i="122"/>
  <c r="AU71" i="122"/>
  <c r="AV71" i="122"/>
  <c r="AW71" i="122"/>
  <c r="AX71" i="122"/>
  <c r="AY71" i="122"/>
  <c r="AZ71" i="122"/>
  <c r="BA71" i="122"/>
  <c r="BB71" i="122"/>
  <c r="AE72" i="122"/>
  <c r="AF72" i="122"/>
  <c r="AG72" i="122"/>
  <c r="AH72" i="122"/>
  <c r="AI72" i="122"/>
  <c r="AJ72" i="122"/>
  <c r="AK72" i="122"/>
  <c r="AL72" i="122"/>
  <c r="AM72" i="122"/>
  <c r="AN72" i="122"/>
  <c r="AO72" i="122"/>
  <c r="AP72" i="122"/>
  <c r="AQ72" i="122"/>
  <c r="AR72" i="122"/>
  <c r="AS72" i="122"/>
  <c r="AT72" i="122"/>
  <c r="AU72" i="122"/>
  <c r="AV72" i="122"/>
  <c r="AW72" i="122"/>
  <c r="AX72" i="122"/>
  <c r="AY72" i="122"/>
  <c r="AZ72" i="122"/>
  <c r="BA72" i="122"/>
  <c r="BB72" i="122"/>
  <c r="AE73" i="122"/>
  <c r="AF73" i="122"/>
  <c r="AG73" i="122"/>
  <c r="AH73" i="122"/>
  <c r="AI73" i="122"/>
  <c r="AJ73" i="122"/>
  <c r="AK73" i="122"/>
  <c r="AL73" i="122"/>
  <c r="AM73" i="122"/>
  <c r="AN73" i="122"/>
  <c r="AO73" i="122"/>
  <c r="AP73" i="122"/>
  <c r="AQ73" i="122"/>
  <c r="AR73" i="122"/>
  <c r="AS73" i="122"/>
  <c r="AT73" i="122"/>
  <c r="AU73" i="122"/>
  <c r="AV73" i="122"/>
  <c r="AW73" i="122"/>
  <c r="AX73" i="122"/>
  <c r="AY73" i="122"/>
  <c r="AZ73" i="122"/>
  <c r="BA73" i="122"/>
  <c r="BB73" i="122"/>
  <c r="AE74" i="122"/>
  <c r="AF74" i="122"/>
  <c r="AG74" i="122"/>
  <c r="AH74" i="122"/>
  <c r="AI74" i="122"/>
  <c r="AJ74" i="122"/>
  <c r="AK74" i="122"/>
  <c r="AL74" i="122"/>
  <c r="AM74" i="122"/>
  <c r="AN74" i="122"/>
  <c r="AO74" i="122"/>
  <c r="AP74" i="122"/>
  <c r="AQ74" i="122"/>
  <c r="AR74" i="122"/>
  <c r="AS74" i="122"/>
  <c r="AT74" i="122"/>
  <c r="AU74" i="122"/>
  <c r="AV74" i="122"/>
  <c r="AW74" i="122"/>
  <c r="AX74" i="122"/>
  <c r="AY74" i="122"/>
  <c r="AZ74" i="122"/>
  <c r="BA74" i="122"/>
  <c r="BB74" i="122"/>
  <c r="AE75" i="122"/>
  <c r="AF75" i="122"/>
  <c r="AG75" i="122"/>
  <c r="AH75" i="122"/>
  <c r="AI75" i="122"/>
  <c r="AJ75" i="122"/>
  <c r="AK75" i="122"/>
  <c r="AL75" i="122"/>
  <c r="AM75" i="122"/>
  <c r="AN75" i="122"/>
  <c r="AO75" i="122"/>
  <c r="AP75" i="122"/>
  <c r="AQ75" i="122"/>
  <c r="AR75" i="122"/>
  <c r="AS75" i="122"/>
  <c r="AT75" i="122"/>
  <c r="AU75" i="122"/>
  <c r="AV75" i="122"/>
  <c r="AW75" i="122"/>
  <c r="AX75" i="122"/>
  <c r="AY75" i="122"/>
  <c r="AZ75" i="122"/>
  <c r="BA75" i="122"/>
  <c r="BB75" i="122"/>
  <c r="AE76" i="122"/>
  <c r="AF76" i="122"/>
  <c r="AG76" i="122"/>
  <c r="AH76" i="122"/>
  <c r="AI76" i="122"/>
  <c r="AJ76" i="122"/>
  <c r="AK76" i="122"/>
  <c r="AL76" i="122"/>
  <c r="AM76" i="122"/>
  <c r="AN76" i="122"/>
  <c r="AO76" i="122"/>
  <c r="AP76" i="122"/>
  <c r="AQ76" i="122"/>
  <c r="AR76" i="122"/>
  <c r="AS76" i="122"/>
  <c r="AT76" i="122"/>
  <c r="AU76" i="122"/>
  <c r="AV76" i="122"/>
  <c r="AW76" i="122"/>
  <c r="AX76" i="122"/>
  <c r="AY76" i="122"/>
  <c r="AZ76" i="122"/>
  <c r="BA76" i="122"/>
  <c r="BB76" i="122"/>
  <c r="AE77" i="122"/>
  <c r="AF77" i="122"/>
  <c r="AG77" i="122"/>
  <c r="AH77" i="122"/>
  <c r="AI77" i="122"/>
  <c r="AJ77" i="122"/>
  <c r="AK77" i="122"/>
  <c r="AL77" i="122"/>
  <c r="AM77" i="122"/>
  <c r="AN77" i="122"/>
  <c r="AO77" i="122"/>
  <c r="AP77" i="122"/>
  <c r="AQ77" i="122"/>
  <c r="AR77" i="122"/>
  <c r="AS77" i="122"/>
  <c r="AT77" i="122"/>
  <c r="AU77" i="122"/>
  <c r="AV77" i="122"/>
  <c r="AW77" i="122"/>
  <c r="AX77" i="122"/>
  <c r="AY77" i="122"/>
  <c r="AZ77" i="122"/>
  <c r="BA77" i="122"/>
  <c r="BB77" i="122"/>
  <c r="AE78" i="122"/>
  <c r="AF78" i="122"/>
  <c r="AG78" i="122"/>
  <c r="AH78" i="122"/>
  <c r="AI78" i="122"/>
  <c r="AJ78" i="122"/>
  <c r="AK78" i="122"/>
  <c r="AL78" i="122"/>
  <c r="AM78" i="122"/>
  <c r="AN78" i="122"/>
  <c r="AO78" i="122"/>
  <c r="AP78" i="122"/>
  <c r="AQ78" i="122"/>
  <c r="AR78" i="122"/>
  <c r="AS78" i="122"/>
  <c r="AT78" i="122"/>
  <c r="AU78" i="122"/>
  <c r="AV78" i="122"/>
  <c r="AW78" i="122"/>
  <c r="AX78" i="122"/>
  <c r="AY78" i="122"/>
  <c r="AZ78" i="122"/>
  <c r="BA78" i="122"/>
  <c r="BB78" i="122"/>
  <c r="AE79" i="122"/>
  <c r="AF79" i="122"/>
  <c r="AG79" i="122"/>
  <c r="AH79" i="122"/>
  <c r="AI79" i="122"/>
  <c r="AJ79" i="122"/>
  <c r="AK79" i="122"/>
  <c r="AL79" i="122"/>
  <c r="AM79" i="122"/>
  <c r="AN79" i="122"/>
  <c r="AO79" i="122"/>
  <c r="AP79" i="122"/>
  <c r="AQ79" i="122"/>
  <c r="AR79" i="122"/>
  <c r="AS79" i="122"/>
  <c r="AT79" i="122"/>
  <c r="AU79" i="122"/>
  <c r="AV79" i="122"/>
  <c r="AW79" i="122"/>
  <c r="AX79" i="122"/>
  <c r="AY79" i="122"/>
  <c r="AZ79" i="122"/>
  <c r="BA79" i="122"/>
  <c r="BB79" i="122"/>
  <c r="AE80" i="122"/>
  <c r="AF80" i="122"/>
  <c r="AG80" i="122"/>
  <c r="AH80" i="122"/>
  <c r="AI80" i="122"/>
  <c r="AJ80" i="122"/>
  <c r="AK80" i="122"/>
  <c r="AL80" i="122"/>
  <c r="AM80" i="122"/>
  <c r="AN80" i="122"/>
  <c r="AO80" i="122"/>
  <c r="AP80" i="122"/>
  <c r="AQ80" i="122"/>
  <c r="AR80" i="122"/>
  <c r="AS80" i="122"/>
  <c r="AT80" i="122"/>
  <c r="AU80" i="122"/>
  <c r="AV80" i="122"/>
  <c r="AW80" i="122"/>
  <c r="AX80" i="122"/>
  <c r="AY80" i="122"/>
  <c r="AZ80" i="122"/>
  <c r="BA80" i="122"/>
  <c r="BB80" i="122"/>
  <c r="AD89" i="122"/>
  <c r="AD90" i="122"/>
  <c r="AD91" i="122"/>
  <c r="AD92" i="122"/>
  <c r="AD93" i="122"/>
  <c r="AD94" i="122"/>
  <c r="AD95" i="122"/>
  <c r="AD96" i="122"/>
  <c r="AD97" i="122"/>
  <c r="AD98" i="122"/>
  <c r="AD99" i="122"/>
  <c r="AD108" i="122"/>
  <c r="AD109" i="122"/>
  <c r="AD110" i="122"/>
  <c r="AD111" i="122"/>
  <c r="AD112" i="122"/>
  <c r="AD113" i="122"/>
  <c r="AD114" i="122"/>
  <c r="AD115" i="122"/>
  <c r="AD116" i="122"/>
  <c r="AD117" i="122"/>
  <c r="AD118" i="122"/>
  <c r="AD119" i="122"/>
  <c r="AD120" i="122"/>
  <c r="AD121" i="122"/>
  <c r="AE89" i="122"/>
  <c r="AF89" i="122"/>
  <c r="AG89" i="122"/>
  <c r="AH89" i="122"/>
  <c r="AI89" i="122"/>
  <c r="AJ89" i="122"/>
  <c r="AK89" i="122"/>
  <c r="AL89" i="122"/>
  <c r="AM89" i="122"/>
  <c r="AN89" i="122"/>
  <c r="AO89" i="122"/>
  <c r="AP89" i="122"/>
  <c r="AQ89" i="122"/>
  <c r="AR89" i="122"/>
  <c r="AS89" i="122"/>
  <c r="AT89" i="122"/>
  <c r="AU89" i="122"/>
  <c r="AV89" i="122"/>
  <c r="AW89" i="122"/>
  <c r="AX89" i="122"/>
  <c r="AY89" i="122"/>
  <c r="AZ89" i="122"/>
  <c r="BA89" i="122"/>
  <c r="BB89" i="122"/>
  <c r="AE90" i="122"/>
  <c r="AF90" i="122"/>
  <c r="AG90" i="122"/>
  <c r="AH90" i="122"/>
  <c r="AI90" i="122"/>
  <c r="AJ90" i="122"/>
  <c r="AK90" i="122"/>
  <c r="AL90" i="122"/>
  <c r="AM90" i="122"/>
  <c r="AN90" i="122"/>
  <c r="AO90" i="122"/>
  <c r="AP90" i="122"/>
  <c r="AQ90" i="122"/>
  <c r="AR90" i="122"/>
  <c r="AS90" i="122"/>
  <c r="AT90" i="122"/>
  <c r="AU90" i="122"/>
  <c r="AV90" i="122"/>
  <c r="AW90" i="122"/>
  <c r="AX90" i="122"/>
  <c r="AY90" i="122"/>
  <c r="AZ90" i="122"/>
  <c r="BA90" i="122"/>
  <c r="BB90" i="122"/>
  <c r="AE91" i="122"/>
  <c r="AF91" i="122"/>
  <c r="AG91" i="122"/>
  <c r="AH91" i="122"/>
  <c r="AI91" i="122"/>
  <c r="AJ91" i="122"/>
  <c r="AK91" i="122"/>
  <c r="AL91" i="122"/>
  <c r="AM91" i="122"/>
  <c r="AN91" i="122"/>
  <c r="AO91" i="122"/>
  <c r="AP91" i="122"/>
  <c r="AQ91" i="122"/>
  <c r="AR91" i="122"/>
  <c r="AS91" i="122"/>
  <c r="AT91" i="122"/>
  <c r="AU91" i="122"/>
  <c r="AV91" i="122"/>
  <c r="AW91" i="122"/>
  <c r="AX91" i="122"/>
  <c r="AY91" i="122"/>
  <c r="AZ91" i="122"/>
  <c r="BA91" i="122"/>
  <c r="BB91" i="122"/>
  <c r="AE92" i="122"/>
  <c r="AF92" i="122"/>
  <c r="AG92" i="122"/>
  <c r="AH92" i="122"/>
  <c r="AI92" i="122"/>
  <c r="AJ92" i="122"/>
  <c r="AK92" i="122"/>
  <c r="AL92" i="122"/>
  <c r="AM92" i="122"/>
  <c r="AN92" i="122"/>
  <c r="AO92" i="122"/>
  <c r="AP92" i="122"/>
  <c r="AQ92" i="122"/>
  <c r="AR92" i="122"/>
  <c r="AS92" i="122"/>
  <c r="AT92" i="122"/>
  <c r="AU92" i="122"/>
  <c r="AV92" i="122"/>
  <c r="AW92" i="122"/>
  <c r="AX92" i="122"/>
  <c r="AY92" i="122"/>
  <c r="AZ92" i="122"/>
  <c r="BA92" i="122"/>
  <c r="BB92" i="122"/>
  <c r="AE93" i="122"/>
  <c r="AF93" i="122"/>
  <c r="AG93" i="122"/>
  <c r="AH93" i="122"/>
  <c r="AI93" i="122"/>
  <c r="AJ93" i="122"/>
  <c r="AK93" i="122"/>
  <c r="AL93" i="122"/>
  <c r="AM93" i="122"/>
  <c r="AN93" i="122"/>
  <c r="AO93" i="122"/>
  <c r="AP93" i="122"/>
  <c r="AQ93" i="122"/>
  <c r="AR93" i="122"/>
  <c r="AS93" i="122"/>
  <c r="AT93" i="122"/>
  <c r="AU93" i="122"/>
  <c r="AV93" i="122"/>
  <c r="AW93" i="122"/>
  <c r="AX93" i="122"/>
  <c r="AY93" i="122"/>
  <c r="AZ93" i="122"/>
  <c r="BA93" i="122"/>
  <c r="BB93" i="122"/>
  <c r="AE94" i="122"/>
  <c r="AF94" i="122"/>
  <c r="AG94" i="122"/>
  <c r="AH94" i="122"/>
  <c r="AI94" i="122"/>
  <c r="AJ94" i="122"/>
  <c r="AK94" i="122"/>
  <c r="AL94" i="122"/>
  <c r="AM94" i="122"/>
  <c r="AN94" i="122"/>
  <c r="AO94" i="122"/>
  <c r="AP94" i="122"/>
  <c r="AQ94" i="122"/>
  <c r="AR94" i="122"/>
  <c r="AS94" i="122"/>
  <c r="AT94" i="122"/>
  <c r="AU94" i="122"/>
  <c r="AV94" i="122"/>
  <c r="AW94" i="122"/>
  <c r="AX94" i="122"/>
  <c r="AY94" i="122"/>
  <c r="AZ94" i="122"/>
  <c r="BA94" i="122"/>
  <c r="BB94" i="122"/>
  <c r="AE95" i="122"/>
  <c r="AF95" i="122"/>
  <c r="AG95" i="122"/>
  <c r="AH95" i="122"/>
  <c r="AI95" i="122"/>
  <c r="AJ95" i="122"/>
  <c r="AK95" i="122"/>
  <c r="AL95" i="122"/>
  <c r="AM95" i="122"/>
  <c r="AN95" i="122"/>
  <c r="AO95" i="122"/>
  <c r="AP95" i="122"/>
  <c r="AQ95" i="122"/>
  <c r="AR95" i="122"/>
  <c r="AS95" i="122"/>
  <c r="AT95" i="122"/>
  <c r="AU95" i="122"/>
  <c r="AV95" i="122"/>
  <c r="AW95" i="122"/>
  <c r="AX95" i="122"/>
  <c r="AY95" i="122"/>
  <c r="AZ95" i="122"/>
  <c r="BA95" i="122"/>
  <c r="BB95" i="122"/>
  <c r="AE96" i="122"/>
  <c r="AF96" i="122"/>
  <c r="AG96" i="122"/>
  <c r="AH96" i="122"/>
  <c r="AI96" i="122"/>
  <c r="AJ96" i="122"/>
  <c r="AK96" i="122"/>
  <c r="AL96" i="122"/>
  <c r="AM96" i="122"/>
  <c r="AN96" i="122"/>
  <c r="AO96" i="122"/>
  <c r="AP96" i="122"/>
  <c r="AQ96" i="122"/>
  <c r="AR96" i="122"/>
  <c r="AS96" i="122"/>
  <c r="AT96" i="122"/>
  <c r="AU96" i="122"/>
  <c r="AV96" i="122"/>
  <c r="AW96" i="122"/>
  <c r="AX96" i="122"/>
  <c r="AY96" i="122"/>
  <c r="AZ96" i="122"/>
  <c r="BA96" i="122"/>
  <c r="BB96" i="122"/>
  <c r="AE97" i="122"/>
  <c r="AF97" i="122"/>
  <c r="AG97" i="122"/>
  <c r="AH97" i="122"/>
  <c r="AI97" i="122"/>
  <c r="AJ97" i="122"/>
  <c r="AK97" i="122"/>
  <c r="AL97" i="122"/>
  <c r="AM97" i="122"/>
  <c r="AN97" i="122"/>
  <c r="AO97" i="122"/>
  <c r="AP97" i="122"/>
  <c r="AQ97" i="122"/>
  <c r="AR97" i="122"/>
  <c r="AS97" i="122"/>
  <c r="AT97" i="122"/>
  <c r="AU97" i="122"/>
  <c r="AV97" i="122"/>
  <c r="AW97" i="122"/>
  <c r="AX97" i="122"/>
  <c r="AY97" i="122"/>
  <c r="AZ97" i="122"/>
  <c r="BA97" i="122"/>
  <c r="BB97" i="122"/>
  <c r="AE98" i="122"/>
  <c r="AF98" i="122"/>
  <c r="AG98" i="122"/>
  <c r="AH98" i="122"/>
  <c r="AI98" i="122"/>
  <c r="AJ98" i="122"/>
  <c r="AK98" i="122"/>
  <c r="AL98" i="122"/>
  <c r="AM98" i="122"/>
  <c r="AN98" i="122"/>
  <c r="AO98" i="122"/>
  <c r="AP98" i="122"/>
  <c r="AQ98" i="122"/>
  <c r="AR98" i="122"/>
  <c r="AS98" i="122"/>
  <c r="AT98" i="122"/>
  <c r="AU98" i="122"/>
  <c r="AV98" i="122"/>
  <c r="AW98" i="122"/>
  <c r="AX98" i="122"/>
  <c r="AY98" i="122"/>
  <c r="AZ98" i="122"/>
  <c r="BA98" i="122"/>
  <c r="BB98" i="122"/>
  <c r="AE99" i="122"/>
  <c r="AF99" i="122"/>
  <c r="AG99" i="122"/>
  <c r="AH99" i="122"/>
  <c r="AI99" i="122"/>
  <c r="AJ99" i="122"/>
  <c r="AK99" i="122"/>
  <c r="AL99" i="122"/>
  <c r="AM99" i="122"/>
  <c r="AN99" i="122"/>
  <c r="AO99" i="122"/>
  <c r="AP99" i="122"/>
  <c r="AQ99" i="122"/>
  <c r="AR99" i="122"/>
  <c r="AS99" i="122"/>
  <c r="AT99" i="122"/>
  <c r="AU99" i="122"/>
  <c r="AV99" i="122"/>
  <c r="AW99" i="122"/>
  <c r="AX99" i="122"/>
  <c r="AY99" i="122"/>
  <c r="AZ99" i="122"/>
  <c r="BA99" i="122"/>
  <c r="BB99" i="122"/>
  <c r="AE100" i="122"/>
  <c r="AF100" i="122"/>
  <c r="AG100" i="122"/>
  <c r="AH100" i="122"/>
  <c r="AI100" i="122"/>
  <c r="AJ100" i="122"/>
  <c r="AK100" i="122"/>
  <c r="AL100" i="122"/>
  <c r="AM100" i="122"/>
  <c r="AN100" i="122"/>
  <c r="AO100" i="122"/>
  <c r="AP100" i="122"/>
  <c r="AQ100" i="122"/>
  <c r="AR100" i="122"/>
  <c r="AS100" i="122"/>
  <c r="AT100" i="122"/>
  <c r="AU100" i="122"/>
  <c r="AV100" i="122"/>
  <c r="AW100" i="122"/>
  <c r="AX100" i="122"/>
  <c r="AY100" i="122"/>
  <c r="AZ100" i="122"/>
  <c r="BA100" i="122"/>
  <c r="BB100" i="122"/>
  <c r="AE101" i="122"/>
  <c r="AF101" i="122"/>
  <c r="AG101" i="122"/>
  <c r="AH101" i="122"/>
  <c r="AI101" i="122"/>
  <c r="AJ101" i="122"/>
  <c r="AK101" i="122"/>
  <c r="AL101" i="122"/>
  <c r="AM101" i="122"/>
  <c r="AN101" i="122"/>
  <c r="AO101" i="122"/>
  <c r="AP101" i="122"/>
  <c r="AQ101" i="122"/>
  <c r="AR101" i="122"/>
  <c r="AS101" i="122"/>
  <c r="AT101" i="122"/>
  <c r="AU101" i="122"/>
  <c r="AV101" i="122"/>
  <c r="AW101" i="122"/>
  <c r="AX101" i="122"/>
  <c r="AY101" i="122"/>
  <c r="AZ101" i="122"/>
  <c r="BA101" i="122"/>
  <c r="BB101" i="122"/>
  <c r="AE102" i="122"/>
  <c r="AF102" i="122"/>
  <c r="AG102" i="122"/>
  <c r="AH102" i="122"/>
  <c r="AI102" i="122"/>
  <c r="AJ102" i="122"/>
  <c r="AK102" i="122"/>
  <c r="AL102" i="122"/>
  <c r="AM102" i="122"/>
  <c r="AN102" i="122"/>
  <c r="AO102" i="122"/>
  <c r="AP102" i="122"/>
  <c r="AQ102" i="122"/>
  <c r="AR102" i="122"/>
  <c r="AS102" i="122"/>
  <c r="AT102" i="122"/>
  <c r="AU102" i="122"/>
  <c r="AV102" i="122"/>
  <c r="AW102" i="122"/>
  <c r="AX102" i="122"/>
  <c r="AY102" i="122"/>
  <c r="AZ102" i="122"/>
  <c r="BA102" i="122"/>
  <c r="BB102" i="122"/>
  <c r="AE103" i="122"/>
  <c r="AF103" i="122"/>
  <c r="AG103" i="122"/>
  <c r="AH103" i="122"/>
  <c r="AI103" i="122"/>
  <c r="AJ103" i="122"/>
  <c r="AK103" i="122"/>
  <c r="AL103" i="122"/>
  <c r="AM103" i="122"/>
  <c r="AN103" i="122"/>
  <c r="AO103" i="122"/>
  <c r="AP103" i="122"/>
  <c r="AQ103" i="122"/>
  <c r="AR103" i="122"/>
  <c r="AS103" i="122"/>
  <c r="AT103" i="122"/>
  <c r="AU103" i="122"/>
  <c r="AV103" i="122"/>
  <c r="AW103" i="122"/>
  <c r="AX103" i="122"/>
  <c r="AY103" i="122"/>
  <c r="AZ103" i="122"/>
  <c r="BA103" i="122"/>
  <c r="BB103" i="122"/>
  <c r="AE104" i="122"/>
  <c r="AF104" i="122"/>
  <c r="AG104" i="122"/>
  <c r="AH104" i="122"/>
  <c r="AI104" i="122"/>
  <c r="AJ104" i="122"/>
  <c r="AK104" i="122"/>
  <c r="AL104" i="122"/>
  <c r="AM104" i="122"/>
  <c r="AN104" i="122"/>
  <c r="AO104" i="122"/>
  <c r="AP104" i="122"/>
  <c r="AQ104" i="122"/>
  <c r="AR104" i="122"/>
  <c r="AS104" i="122"/>
  <c r="AT104" i="122"/>
  <c r="AU104" i="122"/>
  <c r="AV104" i="122"/>
  <c r="AW104" i="122"/>
  <c r="AX104" i="122"/>
  <c r="AY104" i="122"/>
  <c r="AZ104" i="122"/>
  <c r="BA104" i="122"/>
  <c r="BB104" i="122"/>
  <c r="AE105" i="122"/>
  <c r="AF105" i="122"/>
  <c r="AG105" i="122"/>
  <c r="AH105" i="122"/>
  <c r="AI105" i="122"/>
  <c r="AJ105" i="122"/>
  <c r="AK105" i="122"/>
  <c r="AL105" i="122"/>
  <c r="AM105" i="122"/>
  <c r="AN105" i="122"/>
  <c r="AO105" i="122"/>
  <c r="AP105" i="122"/>
  <c r="AQ105" i="122"/>
  <c r="AR105" i="122"/>
  <c r="AS105" i="122"/>
  <c r="AT105" i="122"/>
  <c r="AU105" i="122"/>
  <c r="AV105" i="122"/>
  <c r="AW105" i="122"/>
  <c r="AX105" i="122"/>
  <c r="AY105" i="122"/>
  <c r="AZ105" i="122"/>
  <c r="BA105" i="122"/>
  <c r="BB105" i="122"/>
  <c r="AE106" i="122"/>
  <c r="AF106" i="122"/>
  <c r="AG106" i="122"/>
  <c r="AH106" i="122"/>
  <c r="AI106" i="122"/>
  <c r="AJ106" i="122"/>
  <c r="AK106" i="122"/>
  <c r="AL106" i="122"/>
  <c r="AM106" i="122"/>
  <c r="AN106" i="122"/>
  <c r="AO106" i="122"/>
  <c r="AP106" i="122"/>
  <c r="AQ106" i="122"/>
  <c r="AR106" i="122"/>
  <c r="AS106" i="122"/>
  <c r="AT106" i="122"/>
  <c r="AU106" i="122"/>
  <c r="AV106" i="122"/>
  <c r="AW106" i="122"/>
  <c r="AX106" i="122"/>
  <c r="AY106" i="122"/>
  <c r="AZ106" i="122"/>
  <c r="BA106" i="122"/>
  <c r="BB106" i="122"/>
  <c r="AE107" i="122"/>
  <c r="AF107" i="122"/>
  <c r="AG107" i="122"/>
  <c r="AH107" i="122"/>
  <c r="AI107" i="122"/>
  <c r="AJ107" i="122"/>
  <c r="AK107" i="122"/>
  <c r="AL107" i="122"/>
  <c r="AM107" i="122"/>
  <c r="AN107" i="122"/>
  <c r="AO107" i="122"/>
  <c r="AP107" i="122"/>
  <c r="AQ107" i="122"/>
  <c r="AR107" i="122"/>
  <c r="AS107" i="122"/>
  <c r="AT107" i="122"/>
  <c r="AU107" i="122"/>
  <c r="AV107" i="122"/>
  <c r="AW107" i="122"/>
  <c r="AX107" i="122"/>
  <c r="AY107" i="122"/>
  <c r="AZ107" i="122"/>
  <c r="BA107" i="122"/>
  <c r="BB107" i="122"/>
  <c r="AE108" i="122"/>
  <c r="AF108" i="122"/>
  <c r="AG108" i="122"/>
  <c r="AH108" i="122"/>
  <c r="AI108" i="122"/>
  <c r="AJ108" i="122"/>
  <c r="AK108" i="122"/>
  <c r="AL108" i="122"/>
  <c r="AM108" i="122"/>
  <c r="AN108" i="122"/>
  <c r="AO108" i="122"/>
  <c r="AP108" i="122"/>
  <c r="AQ108" i="122"/>
  <c r="AR108" i="122"/>
  <c r="AS108" i="122"/>
  <c r="AT108" i="122"/>
  <c r="AU108" i="122"/>
  <c r="AV108" i="122"/>
  <c r="AW108" i="122"/>
  <c r="AX108" i="122"/>
  <c r="AY108" i="122"/>
  <c r="AZ108" i="122"/>
  <c r="BA108" i="122"/>
  <c r="BB108" i="122"/>
  <c r="AE109" i="122"/>
  <c r="AF109" i="122"/>
  <c r="AG109" i="122"/>
  <c r="AH109" i="122"/>
  <c r="AI109" i="122"/>
  <c r="AJ109" i="122"/>
  <c r="AK109" i="122"/>
  <c r="AL109" i="122"/>
  <c r="AM109" i="122"/>
  <c r="AN109" i="122"/>
  <c r="AO109" i="122"/>
  <c r="AP109" i="122"/>
  <c r="AQ109" i="122"/>
  <c r="AR109" i="122"/>
  <c r="AS109" i="122"/>
  <c r="AT109" i="122"/>
  <c r="AU109" i="122"/>
  <c r="AV109" i="122"/>
  <c r="AW109" i="122"/>
  <c r="AX109" i="122"/>
  <c r="AY109" i="122"/>
  <c r="AZ109" i="122"/>
  <c r="BA109" i="122"/>
  <c r="BB109" i="122"/>
  <c r="AE110" i="122"/>
  <c r="AF110" i="122"/>
  <c r="AG110" i="122"/>
  <c r="AH110" i="122"/>
  <c r="AI110" i="122"/>
  <c r="AJ110" i="122"/>
  <c r="AK110" i="122"/>
  <c r="AL110" i="122"/>
  <c r="AM110" i="122"/>
  <c r="AN110" i="122"/>
  <c r="AO110" i="122"/>
  <c r="AP110" i="122"/>
  <c r="AQ110" i="122"/>
  <c r="AR110" i="122"/>
  <c r="AS110" i="122"/>
  <c r="AT110" i="122"/>
  <c r="AU110" i="122"/>
  <c r="AV110" i="122"/>
  <c r="AW110" i="122"/>
  <c r="AX110" i="122"/>
  <c r="AY110" i="122"/>
  <c r="AZ110" i="122"/>
  <c r="BA110" i="122"/>
  <c r="BB110" i="122"/>
  <c r="AE111" i="122"/>
  <c r="AF111" i="122"/>
  <c r="AG111" i="122"/>
  <c r="AH111" i="122"/>
  <c r="AI111" i="122"/>
  <c r="AJ111" i="122"/>
  <c r="AK111" i="122"/>
  <c r="AL111" i="122"/>
  <c r="AM111" i="122"/>
  <c r="AN111" i="122"/>
  <c r="AO111" i="122"/>
  <c r="AP111" i="122"/>
  <c r="AQ111" i="122"/>
  <c r="AR111" i="122"/>
  <c r="AS111" i="122"/>
  <c r="AT111" i="122"/>
  <c r="AU111" i="122"/>
  <c r="AV111" i="122"/>
  <c r="AW111" i="122"/>
  <c r="AX111" i="122"/>
  <c r="AY111" i="122"/>
  <c r="AZ111" i="122"/>
  <c r="BA111" i="122"/>
  <c r="BB111" i="122"/>
  <c r="AE112" i="122"/>
  <c r="AF112" i="122"/>
  <c r="AG112" i="122"/>
  <c r="AH112" i="122"/>
  <c r="AI112" i="122"/>
  <c r="AJ112" i="122"/>
  <c r="AK112" i="122"/>
  <c r="AL112" i="122"/>
  <c r="AM112" i="122"/>
  <c r="AN112" i="122"/>
  <c r="AO112" i="122"/>
  <c r="AP112" i="122"/>
  <c r="AQ112" i="122"/>
  <c r="AR112" i="122"/>
  <c r="AS112" i="122"/>
  <c r="AT112" i="122"/>
  <c r="AU112" i="122"/>
  <c r="AV112" i="122"/>
  <c r="AW112" i="122"/>
  <c r="AX112" i="122"/>
  <c r="AY112" i="122"/>
  <c r="AZ112" i="122"/>
  <c r="BA112" i="122"/>
  <c r="BB112" i="122"/>
  <c r="AE113" i="122"/>
  <c r="AF113" i="122"/>
  <c r="AG113" i="122"/>
  <c r="AH113" i="122"/>
  <c r="AI113" i="122"/>
  <c r="AJ113" i="122"/>
  <c r="AK113" i="122"/>
  <c r="AL113" i="122"/>
  <c r="AM113" i="122"/>
  <c r="AN113" i="122"/>
  <c r="AO113" i="122"/>
  <c r="AP113" i="122"/>
  <c r="AQ113" i="122"/>
  <c r="AR113" i="122"/>
  <c r="AS113" i="122"/>
  <c r="AT113" i="122"/>
  <c r="AU113" i="122"/>
  <c r="AV113" i="122"/>
  <c r="AW113" i="122"/>
  <c r="AX113" i="122"/>
  <c r="AY113" i="122"/>
  <c r="AZ113" i="122"/>
  <c r="BA113" i="122"/>
  <c r="BB113" i="122"/>
  <c r="AE114" i="122"/>
  <c r="AF114" i="122"/>
  <c r="AG114" i="122"/>
  <c r="AH114" i="122"/>
  <c r="AI114" i="122"/>
  <c r="AJ114" i="122"/>
  <c r="AK114" i="122"/>
  <c r="AL114" i="122"/>
  <c r="AM114" i="122"/>
  <c r="AN114" i="122"/>
  <c r="AO114" i="122"/>
  <c r="AP114" i="122"/>
  <c r="AQ114" i="122"/>
  <c r="AR114" i="122"/>
  <c r="AS114" i="122"/>
  <c r="AT114" i="122"/>
  <c r="AU114" i="122"/>
  <c r="AV114" i="122"/>
  <c r="AW114" i="122"/>
  <c r="AX114" i="122"/>
  <c r="AY114" i="122"/>
  <c r="AZ114" i="122"/>
  <c r="BA114" i="122"/>
  <c r="BB114" i="122"/>
  <c r="AE115" i="122"/>
  <c r="AF115" i="122"/>
  <c r="AG115" i="122"/>
  <c r="AH115" i="122"/>
  <c r="AI115" i="122"/>
  <c r="AJ115" i="122"/>
  <c r="AK115" i="122"/>
  <c r="AL115" i="122"/>
  <c r="AM115" i="122"/>
  <c r="AN115" i="122"/>
  <c r="AO115" i="122"/>
  <c r="AP115" i="122"/>
  <c r="AQ115" i="122"/>
  <c r="AR115" i="122"/>
  <c r="AS115" i="122"/>
  <c r="AT115" i="122"/>
  <c r="AU115" i="122"/>
  <c r="AV115" i="122"/>
  <c r="AW115" i="122"/>
  <c r="AX115" i="122"/>
  <c r="AY115" i="122"/>
  <c r="AZ115" i="122"/>
  <c r="BA115" i="122"/>
  <c r="BB115" i="122"/>
  <c r="AE116" i="122"/>
  <c r="AF116" i="122"/>
  <c r="AG116" i="122"/>
  <c r="AH116" i="122"/>
  <c r="AI116" i="122"/>
  <c r="AJ116" i="122"/>
  <c r="AK116" i="122"/>
  <c r="AL116" i="122"/>
  <c r="AM116" i="122"/>
  <c r="AN116" i="122"/>
  <c r="AO116" i="122"/>
  <c r="AP116" i="122"/>
  <c r="AQ116" i="122"/>
  <c r="AR116" i="122"/>
  <c r="AS116" i="122"/>
  <c r="AT116" i="122"/>
  <c r="AU116" i="122"/>
  <c r="AV116" i="122"/>
  <c r="AW116" i="122"/>
  <c r="AX116" i="122"/>
  <c r="AY116" i="122"/>
  <c r="AZ116" i="122"/>
  <c r="BA116" i="122"/>
  <c r="BB116" i="122"/>
  <c r="AE117" i="122"/>
  <c r="AF117" i="122"/>
  <c r="AG117" i="122"/>
  <c r="AH117" i="122"/>
  <c r="AI117" i="122"/>
  <c r="AJ117" i="122"/>
  <c r="AK117" i="122"/>
  <c r="AL117" i="122"/>
  <c r="AM117" i="122"/>
  <c r="AN117" i="122"/>
  <c r="AO117" i="122"/>
  <c r="AP117" i="122"/>
  <c r="AQ117" i="122"/>
  <c r="AR117" i="122"/>
  <c r="AS117" i="122"/>
  <c r="AT117" i="122"/>
  <c r="AU117" i="122"/>
  <c r="AV117" i="122"/>
  <c r="AW117" i="122"/>
  <c r="AX117" i="122"/>
  <c r="AY117" i="122"/>
  <c r="AZ117" i="122"/>
  <c r="BA117" i="122"/>
  <c r="BB117" i="122"/>
  <c r="AE118" i="122"/>
  <c r="AF118" i="122"/>
  <c r="AG118" i="122"/>
  <c r="AH118" i="122"/>
  <c r="AI118" i="122"/>
  <c r="AJ118" i="122"/>
  <c r="AK118" i="122"/>
  <c r="AL118" i="122"/>
  <c r="AM118" i="122"/>
  <c r="AN118" i="122"/>
  <c r="AO118" i="122"/>
  <c r="AP118" i="122"/>
  <c r="AQ118" i="122"/>
  <c r="AR118" i="122"/>
  <c r="AS118" i="122"/>
  <c r="AT118" i="122"/>
  <c r="AU118" i="122"/>
  <c r="AV118" i="122"/>
  <c r="AW118" i="122"/>
  <c r="AX118" i="122"/>
  <c r="AY118" i="122"/>
  <c r="AZ118" i="122"/>
  <c r="BA118" i="122"/>
  <c r="BB118" i="122"/>
  <c r="AE119" i="122"/>
  <c r="AF119" i="122"/>
  <c r="AG119" i="122"/>
  <c r="AH119" i="122"/>
  <c r="AI119" i="122"/>
  <c r="AJ119" i="122"/>
  <c r="AK119" i="122"/>
  <c r="AL119" i="122"/>
  <c r="AM119" i="122"/>
  <c r="AN119" i="122"/>
  <c r="AO119" i="122"/>
  <c r="AP119" i="122"/>
  <c r="AQ119" i="122"/>
  <c r="AR119" i="122"/>
  <c r="AS119" i="122"/>
  <c r="AT119" i="122"/>
  <c r="AU119" i="122"/>
  <c r="AV119" i="122"/>
  <c r="AW119" i="122"/>
  <c r="AX119" i="122"/>
  <c r="AY119" i="122"/>
  <c r="AZ119" i="122"/>
  <c r="BA119" i="122"/>
  <c r="BB119" i="122"/>
  <c r="AE120" i="122"/>
  <c r="AF120" i="122"/>
  <c r="AG120" i="122"/>
  <c r="AH120" i="122"/>
  <c r="AI120" i="122"/>
  <c r="AJ120" i="122"/>
  <c r="AK120" i="122"/>
  <c r="AL120" i="122"/>
  <c r="AM120" i="122"/>
  <c r="AN120" i="122"/>
  <c r="AO120" i="122"/>
  <c r="AP120" i="122"/>
  <c r="AQ120" i="122"/>
  <c r="AR120" i="122"/>
  <c r="AS120" i="122"/>
  <c r="AT120" i="122"/>
  <c r="AU120" i="122"/>
  <c r="AV120" i="122"/>
  <c r="AW120" i="122"/>
  <c r="AX120" i="122"/>
  <c r="AY120" i="122"/>
  <c r="AZ120" i="122"/>
  <c r="BA120" i="122"/>
  <c r="BB120" i="122"/>
  <c r="AE121" i="122"/>
  <c r="AF121" i="122"/>
  <c r="AG121" i="122"/>
  <c r="AH121" i="122"/>
  <c r="AI121" i="122"/>
  <c r="AJ121" i="122"/>
  <c r="AK121" i="122"/>
  <c r="AL121" i="122"/>
  <c r="AM121" i="122"/>
  <c r="AN121" i="122"/>
  <c r="AO121" i="122"/>
  <c r="AP121" i="122"/>
  <c r="AQ121" i="122"/>
  <c r="AR121" i="122"/>
  <c r="AS121" i="122"/>
  <c r="AT121" i="122"/>
  <c r="AU121" i="122"/>
  <c r="AV121" i="122"/>
  <c r="AW121" i="122"/>
  <c r="AX121" i="122"/>
  <c r="AY121" i="122"/>
  <c r="AZ121" i="122"/>
  <c r="BA121" i="122"/>
  <c r="BB121" i="122"/>
  <c r="AD128" i="122"/>
  <c r="AD129" i="122"/>
  <c r="AD130" i="122"/>
  <c r="AD131" i="122"/>
  <c r="AD132" i="122"/>
  <c r="AD133" i="122"/>
  <c r="AD134" i="122"/>
  <c r="AD135" i="122"/>
  <c r="AD136" i="122"/>
  <c r="AD137" i="122"/>
  <c r="AD138" i="122"/>
  <c r="AD139" i="122"/>
  <c r="AD140" i="122"/>
  <c r="AD141" i="122"/>
  <c r="AD142" i="122"/>
  <c r="AD143" i="122"/>
  <c r="AD144" i="122"/>
  <c r="AD145" i="122"/>
  <c r="AD146" i="122"/>
  <c r="AD147" i="122"/>
  <c r="AD148" i="122"/>
  <c r="AD149" i="122"/>
  <c r="AD150" i="122"/>
  <c r="AD151" i="122"/>
  <c r="AD152" i="122"/>
  <c r="AD153" i="122"/>
  <c r="AD154" i="122"/>
  <c r="AD155" i="122"/>
  <c r="AD156" i="122"/>
  <c r="AD157" i="122"/>
  <c r="AD158" i="122"/>
  <c r="AD159" i="122"/>
  <c r="AD160" i="122"/>
  <c r="AE128" i="122"/>
  <c r="AF128" i="122"/>
  <c r="AG128" i="122"/>
  <c r="AH128" i="122"/>
  <c r="AI128" i="122"/>
  <c r="AJ128" i="122"/>
  <c r="AK128" i="122"/>
  <c r="AL128" i="122"/>
  <c r="AM128" i="122"/>
  <c r="AN128" i="122"/>
  <c r="AO128" i="122"/>
  <c r="AP128" i="122"/>
  <c r="AQ128" i="122"/>
  <c r="AR128" i="122"/>
  <c r="AS128" i="122"/>
  <c r="AT128" i="122"/>
  <c r="AU128" i="122"/>
  <c r="AV128" i="122"/>
  <c r="AW128" i="122"/>
  <c r="AX128" i="122"/>
  <c r="AY128" i="122"/>
  <c r="AZ128" i="122"/>
  <c r="BA128" i="122"/>
  <c r="BB128" i="122"/>
  <c r="AE129" i="122"/>
  <c r="AF129" i="122"/>
  <c r="AG129" i="122"/>
  <c r="AH129" i="122"/>
  <c r="AI129" i="122"/>
  <c r="AJ129" i="122"/>
  <c r="AK129" i="122"/>
  <c r="AL129" i="122"/>
  <c r="AM129" i="122"/>
  <c r="AN129" i="122"/>
  <c r="AO129" i="122"/>
  <c r="AP129" i="122"/>
  <c r="AQ129" i="122"/>
  <c r="AR129" i="122"/>
  <c r="AS129" i="122"/>
  <c r="AT129" i="122"/>
  <c r="AU129" i="122"/>
  <c r="AV129" i="122"/>
  <c r="AW129" i="122"/>
  <c r="AX129" i="122"/>
  <c r="AY129" i="122"/>
  <c r="AZ129" i="122"/>
  <c r="BA129" i="122"/>
  <c r="BB129" i="122"/>
  <c r="AE130" i="122"/>
  <c r="AF130" i="122"/>
  <c r="AG130" i="122"/>
  <c r="AH130" i="122"/>
  <c r="AI130" i="122"/>
  <c r="AJ130" i="122"/>
  <c r="AK130" i="122"/>
  <c r="AL130" i="122"/>
  <c r="AM130" i="122"/>
  <c r="AN130" i="122"/>
  <c r="AO130" i="122"/>
  <c r="AP130" i="122"/>
  <c r="AQ130" i="122"/>
  <c r="AR130" i="122"/>
  <c r="AS130" i="122"/>
  <c r="AT130" i="122"/>
  <c r="AU130" i="122"/>
  <c r="AV130" i="122"/>
  <c r="AW130" i="122"/>
  <c r="AX130" i="122"/>
  <c r="AY130" i="122"/>
  <c r="AZ130" i="122"/>
  <c r="BA130" i="122"/>
  <c r="BB130" i="122"/>
  <c r="AE131" i="122"/>
  <c r="AF131" i="122"/>
  <c r="AG131" i="122"/>
  <c r="AH131" i="122"/>
  <c r="AI131" i="122"/>
  <c r="AJ131" i="122"/>
  <c r="AK131" i="122"/>
  <c r="AL131" i="122"/>
  <c r="AM131" i="122"/>
  <c r="AN131" i="122"/>
  <c r="AO131" i="122"/>
  <c r="AP131" i="122"/>
  <c r="AQ131" i="122"/>
  <c r="AR131" i="122"/>
  <c r="AS131" i="122"/>
  <c r="AT131" i="122"/>
  <c r="AU131" i="122"/>
  <c r="AV131" i="122"/>
  <c r="AW131" i="122"/>
  <c r="AX131" i="122"/>
  <c r="AY131" i="122"/>
  <c r="AZ131" i="122"/>
  <c r="BA131" i="122"/>
  <c r="BB131" i="122"/>
  <c r="AE132" i="122"/>
  <c r="AF132" i="122"/>
  <c r="AG132" i="122"/>
  <c r="AH132" i="122"/>
  <c r="AI132" i="122"/>
  <c r="AJ132" i="122"/>
  <c r="AK132" i="122"/>
  <c r="AL132" i="122"/>
  <c r="AM132" i="122"/>
  <c r="AN132" i="122"/>
  <c r="AO132" i="122"/>
  <c r="AP132" i="122"/>
  <c r="AQ132" i="122"/>
  <c r="AR132" i="122"/>
  <c r="AS132" i="122"/>
  <c r="AT132" i="122"/>
  <c r="AU132" i="122"/>
  <c r="AV132" i="122"/>
  <c r="AW132" i="122"/>
  <c r="AX132" i="122"/>
  <c r="AY132" i="122"/>
  <c r="AZ132" i="122"/>
  <c r="BA132" i="122"/>
  <c r="BB132" i="122"/>
  <c r="AE133" i="122"/>
  <c r="AF133" i="122"/>
  <c r="AG133" i="122"/>
  <c r="AH133" i="122"/>
  <c r="AI133" i="122"/>
  <c r="AJ133" i="122"/>
  <c r="AK133" i="122"/>
  <c r="AL133" i="122"/>
  <c r="AM133" i="122"/>
  <c r="AN133" i="122"/>
  <c r="AO133" i="122"/>
  <c r="AP133" i="122"/>
  <c r="AQ133" i="122"/>
  <c r="AR133" i="122"/>
  <c r="AS133" i="122"/>
  <c r="AT133" i="122"/>
  <c r="AU133" i="122"/>
  <c r="AV133" i="122"/>
  <c r="AW133" i="122"/>
  <c r="AX133" i="122"/>
  <c r="AY133" i="122"/>
  <c r="AZ133" i="122"/>
  <c r="BA133" i="122"/>
  <c r="BB133" i="122"/>
  <c r="AE134" i="122"/>
  <c r="AF134" i="122"/>
  <c r="AG134" i="122"/>
  <c r="AH134" i="122"/>
  <c r="AI134" i="122"/>
  <c r="AJ134" i="122"/>
  <c r="AK134" i="122"/>
  <c r="AL134" i="122"/>
  <c r="AM134" i="122"/>
  <c r="AN134" i="122"/>
  <c r="AO134" i="122"/>
  <c r="AP134" i="122"/>
  <c r="AQ134" i="122"/>
  <c r="AR134" i="122"/>
  <c r="AS134" i="122"/>
  <c r="AT134" i="122"/>
  <c r="AU134" i="122"/>
  <c r="AV134" i="122"/>
  <c r="AW134" i="122"/>
  <c r="AX134" i="122"/>
  <c r="AY134" i="122"/>
  <c r="AZ134" i="122"/>
  <c r="BA134" i="122"/>
  <c r="BB134" i="122"/>
  <c r="AE135" i="122"/>
  <c r="AF135" i="122"/>
  <c r="AG135" i="122"/>
  <c r="AH135" i="122"/>
  <c r="AI135" i="122"/>
  <c r="AJ135" i="122"/>
  <c r="AK135" i="122"/>
  <c r="AL135" i="122"/>
  <c r="AM135" i="122"/>
  <c r="AN135" i="122"/>
  <c r="AO135" i="122"/>
  <c r="AP135" i="122"/>
  <c r="AQ135" i="122"/>
  <c r="AR135" i="122"/>
  <c r="AS135" i="122"/>
  <c r="AT135" i="122"/>
  <c r="AU135" i="122"/>
  <c r="AV135" i="122"/>
  <c r="AW135" i="122"/>
  <c r="AX135" i="122"/>
  <c r="AY135" i="122"/>
  <c r="AZ135" i="122"/>
  <c r="BA135" i="122"/>
  <c r="BB135" i="122"/>
  <c r="AE136" i="122"/>
  <c r="AF136" i="122"/>
  <c r="AG136" i="122"/>
  <c r="AH136" i="122"/>
  <c r="AI136" i="122"/>
  <c r="AJ136" i="122"/>
  <c r="AK136" i="122"/>
  <c r="AL136" i="122"/>
  <c r="AM136" i="122"/>
  <c r="AN136" i="122"/>
  <c r="AO136" i="122"/>
  <c r="AP136" i="122"/>
  <c r="AQ136" i="122"/>
  <c r="AR136" i="122"/>
  <c r="AS136" i="122"/>
  <c r="AT136" i="122"/>
  <c r="AU136" i="122"/>
  <c r="AV136" i="122"/>
  <c r="AW136" i="122"/>
  <c r="AX136" i="122"/>
  <c r="AY136" i="122"/>
  <c r="AZ136" i="122"/>
  <c r="BA136" i="122"/>
  <c r="BB136" i="122"/>
  <c r="AE137" i="122"/>
  <c r="AF137" i="122"/>
  <c r="AG137" i="122"/>
  <c r="AH137" i="122"/>
  <c r="AI137" i="122"/>
  <c r="AJ137" i="122"/>
  <c r="AK137" i="122"/>
  <c r="AL137" i="122"/>
  <c r="AM137" i="122"/>
  <c r="AN137" i="122"/>
  <c r="AO137" i="122"/>
  <c r="AP137" i="122"/>
  <c r="AQ137" i="122"/>
  <c r="AR137" i="122"/>
  <c r="AS137" i="122"/>
  <c r="AT137" i="122"/>
  <c r="AU137" i="122"/>
  <c r="AV137" i="122"/>
  <c r="AW137" i="122"/>
  <c r="AX137" i="122"/>
  <c r="AY137" i="122"/>
  <c r="AZ137" i="122"/>
  <c r="BA137" i="122"/>
  <c r="BB137" i="122"/>
  <c r="AE138" i="122"/>
  <c r="AF138" i="122"/>
  <c r="AG138" i="122"/>
  <c r="AH138" i="122"/>
  <c r="AI138" i="122"/>
  <c r="AJ138" i="122"/>
  <c r="AK138" i="122"/>
  <c r="AL138" i="122"/>
  <c r="AM138" i="122"/>
  <c r="AN138" i="122"/>
  <c r="AO138" i="122"/>
  <c r="AP138" i="122"/>
  <c r="AQ138" i="122"/>
  <c r="AR138" i="122"/>
  <c r="AS138" i="122"/>
  <c r="AT138" i="122"/>
  <c r="AU138" i="122"/>
  <c r="AV138" i="122"/>
  <c r="AW138" i="122"/>
  <c r="AX138" i="122"/>
  <c r="AY138" i="122"/>
  <c r="AZ138" i="122"/>
  <c r="BA138" i="122"/>
  <c r="BB138" i="122"/>
  <c r="AE139" i="122"/>
  <c r="AF139" i="122"/>
  <c r="AG139" i="122"/>
  <c r="AH139" i="122"/>
  <c r="AI139" i="122"/>
  <c r="AJ139" i="122"/>
  <c r="AK139" i="122"/>
  <c r="AL139" i="122"/>
  <c r="AM139" i="122"/>
  <c r="AN139" i="122"/>
  <c r="AO139" i="122"/>
  <c r="AP139" i="122"/>
  <c r="AQ139" i="122"/>
  <c r="AR139" i="122"/>
  <c r="AS139" i="122"/>
  <c r="AT139" i="122"/>
  <c r="AU139" i="122"/>
  <c r="AV139" i="122"/>
  <c r="AW139" i="122"/>
  <c r="AX139" i="122"/>
  <c r="AY139" i="122"/>
  <c r="AZ139" i="122"/>
  <c r="BA139" i="122"/>
  <c r="BB139" i="122"/>
  <c r="AE140" i="122"/>
  <c r="AF140" i="122"/>
  <c r="AG140" i="122"/>
  <c r="AH140" i="122"/>
  <c r="AI140" i="122"/>
  <c r="AJ140" i="122"/>
  <c r="AK140" i="122"/>
  <c r="AL140" i="122"/>
  <c r="AM140" i="122"/>
  <c r="AN140" i="122"/>
  <c r="AO140" i="122"/>
  <c r="AP140" i="122"/>
  <c r="AQ140" i="122"/>
  <c r="AR140" i="122"/>
  <c r="AS140" i="122"/>
  <c r="AT140" i="122"/>
  <c r="AU140" i="122"/>
  <c r="AV140" i="122"/>
  <c r="AW140" i="122"/>
  <c r="AX140" i="122"/>
  <c r="AY140" i="122"/>
  <c r="AZ140" i="122"/>
  <c r="BA140" i="122"/>
  <c r="BB140" i="122"/>
  <c r="AE141" i="122"/>
  <c r="AF141" i="122"/>
  <c r="AG141" i="122"/>
  <c r="AH141" i="122"/>
  <c r="AI141" i="122"/>
  <c r="AJ141" i="122"/>
  <c r="AK141" i="122"/>
  <c r="AL141" i="122"/>
  <c r="AM141" i="122"/>
  <c r="AN141" i="122"/>
  <c r="AO141" i="122"/>
  <c r="AP141" i="122"/>
  <c r="AQ141" i="122"/>
  <c r="AR141" i="122"/>
  <c r="AS141" i="122"/>
  <c r="AT141" i="122"/>
  <c r="AU141" i="122"/>
  <c r="AV141" i="122"/>
  <c r="AW141" i="122"/>
  <c r="AX141" i="122"/>
  <c r="AY141" i="122"/>
  <c r="AZ141" i="122"/>
  <c r="BA141" i="122"/>
  <c r="BB141" i="122"/>
  <c r="AE142" i="122"/>
  <c r="AF142" i="122"/>
  <c r="AG142" i="122"/>
  <c r="AH142" i="122"/>
  <c r="AI142" i="122"/>
  <c r="AJ142" i="122"/>
  <c r="AK142" i="122"/>
  <c r="AL142" i="122"/>
  <c r="AM142" i="122"/>
  <c r="AN142" i="122"/>
  <c r="AO142" i="122"/>
  <c r="AP142" i="122"/>
  <c r="AQ142" i="122"/>
  <c r="AR142" i="122"/>
  <c r="AS142" i="122"/>
  <c r="AT142" i="122"/>
  <c r="AU142" i="122"/>
  <c r="AV142" i="122"/>
  <c r="AW142" i="122"/>
  <c r="AX142" i="122"/>
  <c r="AY142" i="122"/>
  <c r="AZ142" i="122"/>
  <c r="BA142" i="122"/>
  <c r="BB142" i="122"/>
  <c r="AE143" i="122"/>
  <c r="AF143" i="122"/>
  <c r="AG143" i="122"/>
  <c r="AH143" i="122"/>
  <c r="AI143" i="122"/>
  <c r="AJ143" i="122"/>
  <c r="AK143" i="122"/>
  <c r="AL143" i="122"/>
  <c r="AM143" i="122"/>
  <c r="AN143" i="122"/>
  <c r="AO143" i="122"/>
  <c r="AP143" i="122"/>
  <c r="AQ143" i="122"/>
  <c r="AR143" i="122"/>
  <c r="AS143" i="122"/>
  <c r="AT143" i="122"/>
  <c r="AU143" i="122"/>
  <c r="AV143" i="122"/>
  <c r="AW143" i="122"/>
  <c r="AX143" i="122"/>
  <c r="AY143" i="122"/>
  <c r="AZ143" i="122"/>
  <c r="BA143" i="122"/>
  <c r="BB143" i="122"/>
  <c r="AE144" i="122"/>
  <c r="AF144" i="122"/>
  <c r="AG144" i="122"/>
  <c r="AH144" i="122"/>
  <c r="AI144" i="122"/>
  <c r="AJ144" i="122"/>
  <c r="AK144" i="122"/>
  <c r="AL144" i="122"/>
  <c r="AM144" i="122"/>
  <c r="AN144" i="122"/>
  <c r="AO144" i="122"/>
  <c r="AP144" i="122"/>
  <c r="AQ144" i="122"/>
  <c r="AR144" i="122"/>
  <c r="AS144" i="122"/>
  <c r="AT144" i="122"/>
  <c r="AU144" i="122"/>
  <c r="AV144" i="122"/>
  <c r="AW144" i="122"/>
  <c r="AX144" i="122"/>
  <c r="AY144" i="122"/>
  <c r="AZ144" i="122"/>
  <c r="BA144" i="122"/>
  <c r="BB144" i="122"/>
  <c r="AE145" i="122"/>
  <c r="AF145" i="122"/>
  <c r="AG145" i="122"/>
  <c r="AH145" i="122"/>
  <c r="AI145" i="122"/>
  <c r="AJ145" i="122"/>
  <c r="AK145" i="122"/>
  <c r="AL145" i="122"/>
  <c r="AM145" i="122"/>
  <c r="AN145" i="122"/>
  <c r="AO145" i="122"/>
  <c r="AP145" i="122"/>
  <c r="AQ145" i="122"/>
  <c r="AR145" i="122"/>
  <c r="AS145" i="122"/>
  <c r="AT145" i="122"/>
  <c r="AU145" i="122"/>
  <c r="AV145" i="122"/>
  <c r="AW145" i="122"/>
  <c r="AX145" i="122"/>
  <c r="AY145" i="122"/>
  <c r="AZ145" i="122"/>
  <c r="BA145" i="122"/>
  <c r="BB145" i="122"/>
  <c r="AE146" i="122"/>
  <c r="AF146" i="122"/>
  <c r="AG146" i="122"/>
  <c r="AH146" i="122"/>
  <c r="AI146" i="122"/>
  <c r="AJ146" i="122"/>
  <c r="AK146" i="122"/>
  <c r="AL146" i="122"/>
  <c r="AM146" i="122"/>
  <c r="AN146" i="122"/>
  <c r="AO146" i="122"/>
  <c r="AP146" i="122"/>
  <c r="AQ146" i="122"/>
  <c r="AR146" i="122"/>
  <c r="AS146" i="122"/>
  <c r="AT146" i="122"/>
  <c r="AU146" i="122"/>
  <c r="AV146" i="122"/>
  <c r="AW146" i="122"/>
  <c r="AX146" i="122"/>
  <c r="AY146" i="122"/>
  <c r="AZ146" i="122"/>
  <c r="BA146" i="122"/>
  <c r="BB146" i="122"/>
  <c r="AE147" i="122"/>
  <c r="AF147" i="122"/>
  <c r="AG147" i="122"/>
  <c r="AH147" i="122"/>
  <c r="AI147" i="122"/>
  <c r="AJ147" i="122"/>
  <c r="AK147" i="122"/>
  <c r="AL147" i="122"/>
  <c r="AM147" i="122"/>
  <c r="AN147" i="122"/>
  <c r="AO147" i="122"/>
  <c r="AP147" i="122"/>
  <c r="AQ147" i="122"/>
  <c r="AR147" i="122"/>
  <c r="AS147" i="122"/>
  <c r="AT147" i="122"/>
  <c r="AU147" i="122"/>
  <c r="AV147" i="122"/>
  <c r="AW147" i="122"/>
  <c r="AX147" i="122"/>
  <c r="AY147" i="122"/>
  <c r="AZ147" i="122"/>
  <c r="BA147" i="122"/>
  <c r="BB147" i="122"/>
  <c r="AE148" i="122"/>
  <c r="AF148" i="122"/>
  <c r="AG148" i="122"/>
  <c r="AH148" i="122"/>
  <c r="AI148" i="122"/>
  <c r="AJ148" i="122"/>
  <c r="AK148" i="122"/>
  <c r="AL148" i="122"/>
  <c r="AM148" i="122"/>
  <c r="AN148" i="122"/>
  <c r="AO148" i="122"/>
  <c r="AP148" i="122"/>
  <c r="AQ148" i="122"/>
  <c r="AR148" i="122"/>
  <c r="AS148" i="122"/>
  <c r="AT148" i="122"/>
  <c r="AU148" i="122"/>
  <c r="AV148" i="122"/>
  <c r="AW148" i="122"/>
  <c r="AX148" i="122"/>
  <c r="AY148" i="122"/>
  <c r="AZ148" i="122"/>
  <c r="BA148" i="122"/>
  <c r="BB148" i="122"/>
  <c r="AE149" i="122"/>
  <c r="AF149" i="122"/>
  <c r="AG149" i="122"/>
  <c r="AH149" i="122"/>
  <c r="AI149" i="122"/>
  <c r="AJ149" i="122"/>
  <c r="AK149" i="122"/>
  <c r="AL149" i="122"/>
  <c r="AM149" i="122"/>
  <c r="AN149" i="122"/>
  <c r="AO149" i="122"/>
  <c r="AP149" i="122"/>
  <c r="AQ149" i="122"/>
  <c r="AR149" i="122"/>
  <c r="AS149" i="122"/>
  <c r="AT149" i="122"/>
  <c r="AU149" i="122"/>
  <c r="AV149" i="122"/>
  <c r="AW149" i="122"/>
  <c r="AX149" i="122"/>
  <c r="AY149" i="122"/>
  <c r="AZ149" i="122"/>
  <c r="BA149" i="122"/>
  <c r="BB149" i="122"/>
  <c r="AE150" i="122"/>
  <c r="AF150" i="122"/>
  <c r="AG150" i="122"/>
  <c r="AH150" i="122"/>
  <c r="AI150" i="122"/>
  <c r="AJ150" i="122"/>
  <c r="AK150" i="122"/>
  <c r="AL150" i="122"/>
  <c r="AM150" i="122"/>
  <c r="AN150" i="122"/>
  <c r="AO150" i="122"/>
  <c r="AP150" i="122"/>
  <c r="AQ150" i="122"/>
  <c r="AR150" i="122"/>
  <c r="AS150" i="122"/>
  <c r="AT150" i="122"/>
  <c r="AU150" i="122"/>
  <c r="AV150" i="122"/>
  <c r="AW150" i="122"/>
  <c r="AX150" i="122"/>
  <c r="AY150" i="122"/>
  <c r="AZ150" i="122"/>
  <c r="BA150" i="122"/>
  <c r="BB150" i="122"/>
  <c r="AE151" i="122"/>
  <c r="AF151" i="122"/>
  <c r="AG151" i="122"/>
  <c r="AH151" i="122"/>
  <c r="AI151" i="122"/>
  <c r="AJ151" i="122"/>
  <c r="AK151" i="122"/>
  <c r="AL151" i="122"/>
  <c r="AM151" i="122"/>
  <c r="AN151" i="122"/>
  <c r="AO151" i="122"/>
  <c r="AP151" i="122"/>
  <c r="AQ151" i="122"/>
  <c r="AR151" i="122"/>
  <c r="AS151" i="122"/>
  <c r="AT151" i="122"/>
  <c r="AU151" i="122"/>
  <c r="AV151" i="122"/>
  <c r="AW151" i="122"/>
  <c r="AX151" i="122"/>
  <c r="AY151" i="122"/>
  <c r="AZ151" i="122"/>
  <c r="BA151" i="122"/>
  <c r="BB151" i="122"/>
  <c r="AE152" i="122"/>
  <c r="AF152" i="122"/>
  <c r="AG152" i="122"/>
  <c r="AH152" i="122"/>
  <c r="AI152" i="122"/>
  <c r="AJ152" i="122"/>
  <c r="AK152" i="122"/>
  <c r="AL152" i="122"/>
  <c r="AM152" i="122"/>
  <c r="AN152" i="122"/>
  <c r="AO152" i="122"/>
  <c r="AP152" i="122"/>
  <c r="AQ152" i="122"/>
  <c r="AR152" i="122"/>
  <c r="AS152" i="122"/>
  <c r="AT152" i="122"/>
  <c r="AU152" i="122"/>
  <c r="AV152" i="122"/>
  <c r="AW152" i="122"/>
  <c r="AX152" i="122"/>
  <c r="AY152" i="122"/>
  <c r="AZ152" i="122"/>
  <c r="BA152" i="122"/>
  <c r="BB152" i="122"/>
  <c r="AE153" i="122"/>
  <c r="AF153" i="122"/>
  <c r="AG153" i="122"/>
  <c r="AH153" i="122"/>
  <c r="AI153" i="122"/>
  <c r="AJ153" i="122"/>
  <c r="AK153" i="122"/>
  <c r="AL153" i="122"/>
  <c r="AM153" i="122"/>
  <c r="AN153" i="122"/>
  <c r="AO153" i="122"/>
  <c r="AP153" i="122"/>
  <c r="AQ153" i="122"/>
  <c r="AR153" i="122"/>
  <c r="AS153" i="122"/>
  <c r="AT153" i="122"/>
  <c r="AU153" i="122"/>
  <c r="AV153" i="122"/>
  <c r="AW153" i="122"/>
  <c r="AX153" i="122"/>
  <c r="AY153" i="122"/>
  <c r="AZ153" i="122"/>
  <c r="BA153" i="122"/>
  <c r="BB153" i="122"/>
  <c r="AE154" i="122"/>
  <c r="AF154" i="122"/>
  <c r="AG154" i="122"/>
  <c r="AH154" i="122"/>
  <c r="AI154" i="122"/>
  <c r="AJ154" i="122"/>
  <c r="AK154" i="122"/>
  <c r="AL154" i="122"/>
  <c r="AM154" i="122"/>
  <c r="AN154" i="122"/>
  <c r="AO154" i="122"/>
  <c r="AP154" i="122"/>
  <c r="AQ154" i="122"/>
  <c r="AR154" i="122"/>
  <c r="AS154" i="122"/>
  <c r="AT154" i="122"/>
  <c r="AU154" i="122"/>
  <c r="AV154" i="122"/>
  <c r="AW154" i="122"/>
  <c r="AX154" i="122"/>
  <c r="AY154" i="122"/>
  <c r="AZ154" i="122"/>
  <c r="BA154" i="122"/>
  <c r="BB154" i="122"/>
  <c r="AE155" i="122"/>
  <c r="AF155" i="122"/>
  <c r="AG155" i="122"/>
  <c r="AH155" i="122"/>
  <c r="AI155" i="122"/>
  <c r="AJ155" i="122"/>
  <c r="AK155" i="122"/>
  <c r="AL155" i="122"/>
  <c r="AM155" i="122"/>
  <c r="AN155" i="122"/>
  <c r="AO155" i="122"/>
  <c r="AP155" i="122"/>
  <c r="AQ155" i="122"/>
  <c r="AR155" i="122"/>
  <c r="AS155" i="122"/>
  <c r="AT155" i="122"/>
  <c r="AU155" i="122"/>
  <c r="AV155" i="122"/>
  <c r="AW155" i="122"/>
  <c r="AX155" i="122"/>
  <c r="AY155" i="122"/>
  <c r="AZ155" i="122"/>
  <c r="BA155" i="122"/>
  <c r="BB155" i="122"/>
  <c r="AE156" i="122"/>
  <c r="AF156" i="122"/>
  <c r="AG156" i="122"/>
  <c r="AH156" i="122"/>
  <c r="AI156" i="122"/>
  <c r="AJ156" i="122"/>
  <c r="AK156" i="122"/>
  <c r="AL156" i="122"/>
  <c r="AM156" i="122"/>
  <c r="AN156" i="122"/>
  <c r="AO156" i="122"/>
  <c r="AP156" i="122"/>
  <c r="AQ156" i="122"/>
  <c r="AR156" i="122"/>
  <c r="AS156" i="122"/>
  <c r="AT156" i="122"/>
  <c r="AU156" i="122"/>
  <c r="AV156" i="122"/>
  <c r="AW156" i="122"/>
  <c r="AX156" i="122"/>
  <c r="AY156" i="122"/>
  <c r="AZ156" i="122"/>
  <c r="BA156" i="122"/>
  <c r="BB156" i="122"/>
  <c r="AE157" i="122"/>
  <c r="AF157" i="122"/>
  <c r="AG157" i="122"/>
  <c r="AH157" i="122"/>
  <c r="AI157" i="122"/>
  <c r="AJ157" i="122"/>
  <c r="AK157" i="122"/>
  <c r="AL157" i="122"/>
  <c r="AM157" i="122"/>
  <c r="AN157" i="122"/>
  <c r="AO157" i="122"/>
  <c r="AP157" i="122"/>
  <c r="AQ157" i="122"/>
  <c r="AR157" i="122"/>
  <c r="AS157" i="122"/>
  <c r="AT157" i="122"/>
  <c r="AU157" i="122"/>
  <c r="AV157" i="122"/>
  <c r="AW157" i="122"/>
  <c r="AX157" i="122"/>
  <c r="AY157" i="122"/>
  <c r="AZ157" i="122"/>
  <c r="BA157" i="122"/>
  <c r="BB157" i="122"/>
  <c r="AE158" i="122"/>
  <c r="AF158" i="122"/>
  <c r="AG158" i="122"/>
  <c r="AH158" i="122"/>
  <c r="AI158" i="122"/>
  <c r="AJ158" i="122"/>
  <c r="AK158" i="122"/>
  <c r="AL158" i="122"/>
  <c r="AM158" i="122"/>
  <c r="AN158" i="122"/>
  <c r="AO158" i="122"/>
  <c r="AP158" i="122"/>
  <c r="AQ158" i="122"/>
  <c r="AR158" i="122"/>
  <c r="AS158" i="122"/>
  <c r="AT158" i="122"/>
  <c r="AU158" i="122"/>
  <c r="AV158" i="122"/>
  <c r="AW158" i="122"/>
  <c r="AX158" i="122"/>
  <c r="AY158" i="122"/>
  <c r="AZ158" i="122"/>
  <c r="BA158" i="122"/>
  <c r="BB158" i="122"/>
  <c r="AE159" i="122"/>
  <c r="AF159" i="122"/>
  <c r="AG159" i="122"/>
  <c r="AH159" i="122"/>
  <c r="AI159" i="122"/>
  <c r="AJ159" i="122"/>
  <c r="AK159" i="122"/>
  <c r="AL159" i="122"/>
  <c r="AM159" i="122"/>
  <c r="AN159" i="122"/>
  <c r="AO159" i="122"/>
  <c r="AP159" i="122"/>
  <c r="AQ159" i="122"/>
  <c r="AR159" i="122"/>
  <c r="AS159" i="122"/>
  <c r="AT159" i="122"/>
  <c r="AU159" i="122"/>
  <c r="AV159" i="122"/>
  <c r="AW159" i="122"/>
  <c r="AX159" i="122"/>
  <c r="AY159" i="122"/>
  <c r="AZ159" i="122"/>
  <c r="BA159" i="122"/>
  <c r="BB159" i="122"/>
  <c r="AE160" i="122"/>
  <c r="AF160" i="122"/>
  <c r="AG160" i="122"/>
  <c r="AH160" i="122"/>
  <c r="AI160" i="122"/>
  <c r="AJ160" i="122"/>
  <c r="AK160" i="122"/>
  <c r="AL160" i="122"/>
  <c r="AM160" i="122"/>
  <c r="AN160" i="122"/>
  <c r="AO160" i="122"/>
  <c r="AP160" i="122"/>
  <c r="AQ160" i="122"/>
  <c r="AR160" i="122"/>
  <c r="AS160" i="122"/>
  <c r="AT160" i="122"/>
  <c r="AU160" i="122"/>
  <c r="AV160" i="122"/>
  <c r="AW160" i="122"/>
  <c r="AX160" i="122"/>
  <c r="AY160" i="122"/>
  <c r="AZ160" i="122"/>
  <c r="BA160" i="122"/>
  <c r="BB160" i="122"/>
  <c r="G56" i="123" l="1"/>
  <c r="A88" i="123"/>
  <c r="G87" i="123"/>
  <c r="G55" i="123"/>
  <c r="G27" i="123"/>
  <c r="A28" i="123"/>
  <c r="G57" i="123"/>
  <c r="A58" i="123"/>
  <c r="F532" i="123"/>
  <c r="G54" i="123"/>
  <c r="B75" i="123"/>
  <c r="B50" i="123"/>
  <c r="B22" i="123"/>
  <c r="A163" i="123"/>
  <c r="G162" i="123"/>
  <c r="F131" i="123"/>
  <c r="F132" i="123"/>
  <c r="B446" i="123"/>
  <c r="C445" i="123"/>
  <c r="E131" i="123"/>
  <c r="E132" i="123"/>
  <c r="A109" i="123"/>
  <c r="G108" i="123"/>
  <c r="G225" i="123"/>
  <c r="A226" i="123"/>
  <c r="E217" i="123"/>
  <c r="B246" i="123"/>
  <c r="C245" i="123"/>
  <c r="E245" i="123" s="1"/>
  <c r="E444" i="123"/>
  <c r="E443" i="123"/>
  <c r="E445" i="123"/>
  <c r="G363" i="123"/>
  <c r="A364" i="123"/>
  <c r="C328" i="123"/>
  <c r="B329" i="123"/>
  <c r="F328" i="123"/>
  <c r="B476" i="123"/>
  <c r="C475" i="123"/>
  <c r="C559" i="123"/>
  <c r="B560" i="123"/>
  <c r="F559" i="123"/>
  <c r="E360" i="123"/>
  <c r="E533" i="123"/>
  <c r="E327" i="123"/>
  <c r="F106" i="123"/>
  <c r="A135" i="123"/>
  <c r="G134" i="123"/>
  <c r="C302" i="123"/>
  <c r="E302" i="123" s="1"/>
  <c r="B303" i="123"/>
  <c r="F302" i="123"/>
  <c r="G390" i="123"/>
  <c r="A391" i="123"/>
  <c r="F327" i="123"/>
  <c r="E416" i="123"/>
  <c r="E474" i="123"/>
  <c r="G561" i="123"/>
  <c r="A562" i="123"/>
  <c r="G500" i="123"/>
  <c r="A501" i="123"/>
  <c r="F530" i="123"/>
  <c r="C133" i="123"/>
  <c r="B134" i="123"/>
  <c r="F133" i="123"/>
  <c r="G248" i="123"/>
  <c r="B192" i="123"/>
  <c r="C191" i="123"/>
  <c r="B277" i="123"/>
  <c r="C276" i="123"/>
  <c r="F301" i="123"/>
  <c r="F217" i="123"/>
  <c r="F558" i="123"/>
  <c r="G476" i="123"/>
  <c r="A477" i="123"/>
  <c r="C533" i="123"/>
  <c r="B534" i="123"/>
  <c r="F533" i="123"/>
  <c r="C159" i="123"/>
  <c r="B160" i="123"/>
  <c r="B219" i="123"/>
  <c r="F218" i="123"/>
  <c r="C218" i="123"/>
  <c r="E218" i="123" s="1"/>
  <c r="G249" i="123"/>
  <c r="A250" i="123"/>
  <c r="E301" i="123"/>
  <c r="A282" i="123"/>
  <c r="G281" i="123"/>
  <c r="B362" i="123"/>
  <c r="C361" i="123"/>
  <c r="A418" i="123"/>
  <c r="G417" i="123"/>
  <c r="E497" i="123"/>
  <c r="E498" i="123"/>
  <c r="E387" i="123"/>
  <c r="E583" i="123"/>
  <c r="E582" i="123"/>
  <c r="A339" i="123"/>
  <c r="G338" i="123"/>
  <c r="G587" i="123"/>
  <c r="A588" i="123"/>
  <c r="E532" i="123"/>
  <c r="C107" i="123"/>
  <c r="B108" i="123"/>
  <c r="E157" i="123"/>
  <c r="E159" i="123"/>
  <c r="E158" i="123"/>
  <c r="C388" i="123"/>
  <c r="B389" i="123"/>
  <c r="E190" i="123"/>
  <c r="A448" i="123"/>
  <c r="G447" i="123"/>
  <c r="C498" i="123"/>
  <c r="B499" i="123"/>
  <c r="E531" i="123"/>
  <c r="A535" i="123"/>
  <c r="G534" i="123"/>
  <c r="E106" i="123"/>
  <c r="F105" i="123"/>
  <c r="F158" i="123"/>
  <c r="F157" i="123"/>
  <c r="G208" i="123"/>
  <c r="A209" i="123"/>
  <c r="A309" i="123"/>
  <c r="G308" i="123"/>
  <c r="C417" i="123"/>
  <c r="B418" i="123"/>
  <c r="F444" i="123"/>
  <c r="F445" i="123"/>
  <c r="C584" i="123"/>
  <c r="E584" i="123" s="1"/>
  <c r="B585" i="123"/>
  <c r="F531" i="123"/>
  <c r="E558" i="123"/>
  <c r="F583" i="123"/>
  <c r="E161" i="122"/>
  <c r="F161" i="122"/>
  <c r="G161" i="122"/>
  <c r="H161" i="122"/>
  <c r="I161" i="122"/>
  <c r="J161" i="122"/>
  <c r="K161" i="122"/>
  <c r="L161" i="122"/>
  <c r="M161" i="122"/>
  <c r="N161" i="122"/>
  <c r="O161" i="122"/>
  <c r="P161" i="122"/>
  <c r="Q161" i="122"/>
  <c r="R161" i="122"/>
  <c r="S161" i="122"/>
  <c r="T161" i="122"/>
  <c r="U161" i="122"/>
  <c r="V161" i="122"/>
  <c r="W161" i="122"/>
  <c r="X161" i="122"/>
  <c r="Y161" i="122"/>
  <c r="Z161" i="122"/>
  <c r="AA161" i="122"/>
  <c r="AB161" i="122"/>
  <c r="D161" i="122"/>
  <c r="D202" i="122"/>
  <c r="D81" i="122"/>
  <c r="A29" i="123" l="1"/>
  <c r="G28" i="123"/>
  <c r="A89" i="123"/>
  <c r="G88" i="123"/>
  <c r="B23" i="123"/>
  <c r="A59" i="123"/>
  <c r="G58" i="123"/>
  <c r="B76" i="123"/>
  <c r="B51" i="123"/>
  <c r="C108" i="123"/>
  <c r="B109" i="123"/>
  <c r="F108" i="123"/>
  <c r="E276" i="123"/>
  <c r="A365" i="123"/>
  <c r="G364" i="123"/>
  <c r="C246" i="123"/>
  <c r="F246" i="123"/>
  <c r="B247" i="123"/>
  <c r="F159" i="123"/>
  <c r="A283" i="123"/>
  <c r="G282" i="123"/>
  <c r="F107" i="123"/>
  <c r="B278" i="123"/>
  <c r="C277" i="123"/>
  <c r="F277" i="123"/>
  <c r="C476" i="123"/>
  <c r="B477" i="123"/>
  <c r="F476" i="123"/>
  <c r="E133" i="123"/>
  <c r="G418" i="123"/>
  <c r="A419" i="123"/>
  <c r="F191" i="123"/>
  <c r="F475" i="123"/>
  <c r="G588" i="123"/>
  <c r="A589" i="123"/>
  <c r="E559" i="123"/>
  <c r="E388" i="123"/>
  <c r="A449" i="123"/>
  <c r="G448" i="123"/>
  <c r="E107" i="123"/>
  <c r="G339" i="123"/>
  <c r="A340" i="123"/>
  <c r="C534" i="123"/>
  <c r="F534" i="123"/>
  <c r="B535" i="123"/>
  <c r="A502" i="123"/>
  <c r="G501" i="123"/>
  <c r="A392" i="123"/>
  <c r="G391" i="123"/>
  <c r="E417" i="123"/>
  <c r="C499" i="123"/>
  <c r="F499" i="123"/>
  <c r="B500" i="123"/>
  <c r="G535" i="123"/>
  <c r="A536" i="123"/>
  <c r="E361" i="123"/>
  <c r="C219" i="123"/>
  <c r="B220" i="123"/>
  <c r="F584" i="123"/>
  <c r="B193" i="123"/>
  <c r="C192" i="123"/>
  <c r="E192" i="123" s="1"/>
  <c r="F134" i="123"/>
  <c r="C134" i="123"/>
  <c r="B135" i="123"/>
  <c r="C303" i="123"/>
  <c r="B304" i="123"/>
  <c r="E191" i="123"/>
  <c r="C585" i="123"/>
  <c r="B586" i="123"/>
  <c r="B419" i="123"/>
  <c r="C418" i="123"/>
  <c r="F417" i="123"/>
  <c r="G309" i="123"/>
  <c r="A310" i="123"/>
  <c r="B363" i="123"/>
  <c r="C362" i="123"/>
  <c r="F362" i="123"/>
  <c r="C160" i="123"/>
  <c r="B161" i="123"/>
  <c r="G477" i="123"/>
  <c r="A478" i="123"/>
  <c r="G562" i="123"/>
  <c r="A563" i="123"/>
  <c r="F245" i="123"/>
  <c r="A227" i="123"/>
  <c r="G226" i="123"/>
  <c r="A110" i="123"/>
  <c r="G109" i="123"/>
  <c r="B447" i="123"/>
  <c r="C446" i="123"/>
  <c r="F446" i="123"/>
  <c r="F389" i="123"/>
  <c r="B390" i="123"/>
  <c r="C389" i="123"/>
  <c r="F276" i="123"/>
  <c r="A210" i="123"/>
  <c r="G209" i="123"/>
  <c r="F498" i="123"/>
  <c r="F388" i="123"/>
  <c r="F361" i="123"/>
  <c r="A251" i="123"/>
  <c r="G250" i="123"/>
  <c r="E534" i="123"/>
  <c r="G135" i="123"/>
  <c r="A136" i="123"/>
  <c r="E475" i="123"/>
  <c r="E328" i="123"/>
  <c r="E329" i="123"/>
  <c r="C560" i="123"/>
  <c r="B561" i="123"/>
  <c r="B330" i="123"/>
  <c r="C329" i="123"/>
  <c r="A164" i="123"/>
  <c r="G163" i="123"/>
  <c r="AY5" i="8"/>
  <c r="AY6" i="8" s="1"/>
  <c r="AX5" i="8"/>
  <c r="AX6" i="8" s="1"/>
  <c r="U66" i="8"/>
  <c r="U67" i="8"/>
  <c r="U68" i="8"/>
  <c r="U69" i="8"/>
  <c r="U70" i="8"/>
  <c r="U71" i="8"/>
  <c r="U72" i="8"/>
  <c r="U73" i="8"/>
  <c r="U74" i="8"/>
  <c r="U75" i="8"/>
  <c r="U76" i="8"/>
  <c r="U77" i="8"/>
  <c r="U78" i="8"/>
  <c r="U79" i="8"/>
  <c r="U80" i="8"/>
  <c r="U81" i="8"/>
  <c r="U82" i="8"/>
  <c r="U83" i="8"/>
  <c r="U84" i="8"/>
  <c r="U85" i="8"/>
  <c r="U86" i="8"/>
  <c r="U87" i="8"/>
  <c r="U88" i="8"/>
  <c r="U89" i="8"/>
  <c r="U65" i="8"/>
  <c r="U145" i="8" s="1"/>
  <c r="U40" i="8"/>
  <c r="U41" i="8"/>
  <c r="U42" i="8"/>
  <c r="U43" i="8"/>
  <c r="U44" i="8"/>
  <c r="U45" i="8"/>
  <c r="U46" i="8"/>
  <c r="U47" i="8"/>
  <c r="U48" i="8"/>
  <c r="U49" i="8"/>
  <c r="U50" i="8"/>
  <c r="U51" i="8"/>
  <c r="U52" i="8"/>
  <c r="U53" i="8"/>
  <c r="U54" i="8"/>
  <c r="U55" i="8"/>
  <c r="U56" i="8"/>
  <c r="U57" i="8"/>
  <c r="U58" i="8"/>
  <c r="U59" i="8"/>
  <c r="U60" i="8"/>
  <c r="U61" i="8"/>
  <c r="U62" i="8"/>
  <c r="U63" i="8"/>
  <c r="U39" i="8"/>
  <c r="U14" i="8"/>
  <c r="U15" i="8"/>
  <c r="U16" i="8"/>
  <c r="U17" i="8"/>
  <c r="U18" i="8"/>
  <c r="U19" i="8"/>
  <c r="U20" i="8"/>
  <c r="U21" i="8"/>
  <c r="U22" i="8"/>
  <c r="U23" i="8"/>
  <c r="U24" i="8"/>
  <c r="U25" i="8"/>
  <c r="U26" i="8"/>
  <c r="U27" i="8"/>
  <c r="U28" i="8"/>
  <c r="U29" i="8"/>
  <c r="U30" i="8"/>
  <c r="U31" i="8"/>
  <c r="U32" i="8"/>
  <c r="U33" i="8"/>
  <c r="U34" i="8"/>
  <c r="U35" i="8"/>
  <c r="U36" i="8"/>
  <c r="U37" i="8"/>
  <c r="U13" i="8"/>
  <c r="A144" i="8"/>
  <c r="S146" i="8"/>
  <c r="T146" i="8"/>
  <c r="V146" i="8"/>
  <c r="W146" i="8"/>
  <c r="X146" i="8"/>
  <c r="AV146" i="8"/>
  <c r="AW146" i="8"/>
  <c r="AX146" i="8"/>
  <c r="S147" i="8"/>
  <c r="T147" i="8"/>
  <c r="V147" i="8"/>
  <c r="W147" i="8"/>
  <c r="X147" i="8"/>
  <c r="AV147" i="8"/>
  <c r="AW147" i="8"/>
  <c r="AX147" i="8"/>
  <c r="S148" i="8"/>
  <c r="T148" i="8"/>
  <c r="V148" i="8"/>
  <c r="W148" i="8"/>
  <c r="X148" i="8"/>
  <c r="AV148" i="8"/>
  <c r="AW148" i="8"/>
  <c r="AX148" i="8"/>
  <c r="S149" i="8"/>
  <c r="T149" i="8"/>
  <c r="V149" i="8"/>
  <c r="W149" i="8"/>
  <c r="X149" i="8"/>
  <c r="AV149" i="8"/>
  <c r="AW149" i="8"/>
  <c r="AX149" i="8"/>
  <c r="S150" i="8"/>
  <c r="T150" i="8"/>
  <c r="V150" i="8"/>
  <c r="W150" i="8"/>
  <c r="X150" i="8"/>
  <c r="AV150" i="8"/>
  <c r="AW150" i="8"/>
  <c r="AX150" i="8"/>
  <c r="S151" i="8"/>
  <c r="T151" i="8"/>
  <c r="V151" i="8"/>
  <c r="W151" i="8"/>
  <c r="X151" i="8"/>
  <c r="AV151" i="8"/>
  <c r="AW151" i="8"/>
  <c r="AX151" i="8"/>
  <c r="S152" i="8"/>
  <c r="T152" i="8"/>
  <c r="V152" i="8"/>
  <c r="W152" i="8"/>
  <c r="X152" i="8"/>
  <c r="AV152" i="8"/>
  <c r="AW152" i="8"/>
  <c r="AX152" i="8"/>
  <c r="S153" i="8"/>
  <c r="T153" i="8"/>
  <c r="V153" i="8"/>
  <c r="W153" i="8"/>
  <c r="X153" i="8"/>
  <c r="AV153" i="8"/>
  <c r="AW153" i="8"/>
  <c r="AX153" i="8"/>
  <c r="S154" i="8"/>
  <c r="T154" i="8"/>
  <c r="V154" i="8"/>
  <c r="W154" i="8"/>
  <c r="X154" i="8"/>
  <c r="AV154" i="8"/>
  <c r="AW154" i="8"/>
  <c r="AX154" i="8"/>
  <c r="S155" i="8"/>
  <c r="T155" i="8"/>
  <c r="V155" i="8"/>
  <c r="W155" i="8"/>
  <c r="X155" i="8"/>
  <c r="AV155" i="8"/>
  <c r="AW155" i="8"/>
  <c r="AX155" i="8"/>
  <c r="S156" i="8"/>
  <c r="T156" i="8"/>
  <c r="V156" i="8"/>
  <c r="W156" i="8"/>
  <c r="X156" i="8"/>
  <c r="AV156" i="8"/>
  <c r="AW156" i="8"/>
  <c r="AX156" i="8"/>
  <c r="S157" i="8"/>
  <c r="T157" i="8"/>
  <c r="V157" i="8"/>
  <c r="W157" i="8"/>
  <c r="X157" i="8"/>
  <c r="AV157" i="8"/>
  <c r="AW157" i="8"/>
  <c r="AX157" i="8"/>
  <c r="S158" i="8"/>
  <c r="T158" i="8"/>
  <c r="V158" i="8"/>
  <c r="W158" i="8"/>
  <c r="X158" i="8"/>
  <c r="AV158" i="8"/>
  <c r="AW158" i="8"/>
  <c r="AX158" i="8"/>
  <c r="S159" i="8"/>
  <c r="T159" i="8"/>
  <c r="V159" i="8"/>
  <c r="W159" i="8"/>
  <c r="X159" i="8"/>
  <c r="AV159" i="8"/>
  <c r="AW159" i="8"/>
  <c r="AX159" i="8"/>
  <c r="S160" i="8"/>
  <c r="T160" i="8"/>
  <c r="V160" i="8"/>
  <c r="W160" i="8"/>
  <c r="X160" i="8"/>
  <c r="AV160" i="8"/>
  <c r="AW160" i="8"/>
  <c r="AX160" i="8"/>
  <c r="S161" i="8"/>
  <c r="T161" i="8"/>
  <c r="V161" i="8"/>
  <c r="W161" i="8"/>
  <c r="X161" i="8"/>
  <c r="AV161" i="8"/>
  <c r="AW161" i="8"/>
  <c r="AX161" i="8"/>
  <c r="S162" i="8"/>
  <c r="T162" i="8"/>
  <c r="V162" i="8"/>
  <c r="W162" i="8"/>
  <c r="X162" i="8"/>
  <c r="AV162" i="8"/>
  <c r="AW162" i="8"/>
  <c r="AX162" i="8"/>
  <c r="S163" i="8"/>
  <c r="T163" i="8"/>
  <c r="V163" i="8"/>
  <c r="W163" i="8"/>
  <c r="X163" i="8"/>
  <c r="AV163" i="8"/>
  <c r="AW163" i="8"/>
  <c r="AX163" i="8"/>
  <c r="S164" i="8"/>
  <c r="T164" i="8"/>
  <c r="V164" i="8"/>
  <c r="W164" i="8"/>
  <c r="X164" i="8"/>
  <c r="AV164" i="8"/>
  <c r="AW164" i="8"/>
  <c r="AX164" i="8"/>
  <c r="S165" i="8"/>
  <c r="T165" i="8"/>
  <c r="V165" i="8"/>
  <c r="W165" i="8"/>
  <c r="X165" i="8"/>
  <c r="AV165" i="8"/>
  <c r="AW165" i="8"/>
  <c r="AX165" i="8"/>
  <c r="S166" i="8"/>
  <c r="T166" i="8"/>
  <c r="V166" i="8"/>
  <c r="W166" i="8"/>
  <c r="X166" i="8"/>
  <c r="AV166" i="8"/>
  <c r="AW166" i="8"/>
  <c r="AX166" i="8"/>
  <c r="S167" i="8"/>
  <c r="T167" i="8"/>
  <c r="V167" i="8"/>
  <c r="W167" i="8"/>
  <c r="X167" i="8"/>
  <c r="AV167" i="8"/>
  <c r="AW167" i="8"/>
  <c r="AX167" i="8"/>
  <c r="S168" i="8"/>
  <c r="T168" i="8"/>
  <c r="V168" i="8"/>
  <c r="W168" i="8"/>
  <c r="X168" i="8"/>
  <c r="AV168" i="8"/>
  <c r="AW168" i="8"/>
  <c r="AX168" i="8"/>
  <c r="S169" i="8"/>
  <c r="T169" i="8"/>
  <c r="V169" i="8"/>
  <c r="W169" i="8"/>
  <c r="X169" i="8"/>
  <c r="AV169" i="8"/>
  <c r="AW169" i="8"/>
  <c r="AX169" i="8"/>
  <c r="T145" i="8"/>
  <c r="V145" i="8"/>
  <c r="W145" i="8"/>
  <c r="X145" i="8"/>
  <c r="AV145" i="8"/>
  <c r="AW145" i="8"/>
  <c r="AX145" i="8"/>
  <c r="S145"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A118" i="8"/>
  <c r="AV120" i="8"/>
  <c r="AW120" i="8"/>
  <c r="AX120" i="8"/>
  <c r="AV121" i="8"/>
  <c r="AW121" i="8"/>
  <c r="AX121" i="8"/>
  <c r="AV122" i="8"/>
  <c r="AW122" i="8"/>
  <c r="AX122" i="8"/>
  <c r="AV123" i="8"/>
  <c r="AW123" i="8"/>
  <c r="AX123" i="8"/>
  <c r="AV124" i="8"/>
  <c r="AW124" i="8"/>
  <c r="AX124" i="8"/>
  <c r="AV125" i="8"/>
  <c r="AW125" i="8"/>
  <c r="AX125" i="8"/>
  <c r="AV126" i="8"/>
  <c r="AW126" i="8"/>
  <c r="AX126" i="8"/>
  <c r="AV127" i="8"/>
  <c r="AW127" i="8"/>
  <c r="AX127" i="8"/>
  <c r="AV128" i="8"/>
  <c r="AW128" i="8"/>
  <c r="AX128" i="8"/>
  <c r="AV129" i="8"/>
  <c r="AW129" i="8"/>
  <c r="AX129" i="8"/>
  <c r="AV130" i="8"/>
  <c r="AW130" i="8"/>
  <c r="AX130" i="8"/>
  <c r="AV131" i="8"/>
  <c r="AW131" i="8"/>
  <c r="AX131" i="8"/>
  <c r="AV132" i="8"/>
  <c r="AW132" i="8"/>
  <c r="AX132" i="8"/>
  <c r="AV133" i="8"/>
  <c r="AW133" i="8"/>
  <c r="AX133" i="8"/>
  <c r="AV134" i="8"/>
  <c r="AW134" i="8"/>
  <c r="AX134" i="8"/>
  <c r="AV135" i="8"/>
  <c r="AW135" i="8"/>
  <c r="AX135" i="8"/>
  <c r="AV136" i="8"/>
  <c r="AW136" i="8"/>
  <c r="AX136" i="8"/>
  <c r="AV137" i="8"/>
  <c r="AW137" i="8"/>
  <c r="AX137" i="8"/>
  <c r="AV138" i="8"/>
  <c r="AW138" i="8"/>
  <c r="AX138" i="8"/>
  <c r="AV139" i="8"/>
  <c r="AW139" i="8"/>
  <c r="AX139" i="8"/>
  <c r="AV140" i="8"/>
  <c r="AW140" i="8"/>
  <c r="AX140" i="8"/>
  <c r="AV141" i="8"/>
  <c r="AW141" i="8"/>
  <c r="AX141" i="8"/>
  <c r="AV142" i="8"/>
  <c r="AW142" i="8"/>
  <c r="AX142" i="8"/>
  <c r="AV143" i="8"/>
  <c r="AW143" i="8"/>
  <c r="AX143" i="8"/>
  <c r="AV119" i="8"/>
  <c r="AW119" i="8"/>
  <c r="AX119" i="8"/>
  <c r="A60" i="123" l="1"/>
  <c r="G59" i="123"/>
  <c r="A90" i="123"/>
  <c r="G89" i="123"/>
  <c r="B77" i="123"/>
  <c r="B24" i="123"/>
  <c r="A30" i="123"/>
  <c r="G29" i="123"/>
  <c r="B52" i="123"/>
  <c r="B248" i="123"/>
  <c r="C247" i="123"/>
  <c r="E247" i="123" s="1"/>
  <c r="F247" i="123"/>
  <c r="E160" i="123"/>
  <c r="F304" i="123"/>
  <c r="B305" i="123"/>
  <c r="C304" i="123"/>
  <c r="E304" i="123" s="1"/>
  <c r="G502" i="123"/>
  <c r="A503" i="123"/>
  <c r="C535" i="123"/>
  <c r="B536" i="123"/>
  <c r="A341" i="123"/>
  <c r="G340" i="123"/>
  <c r="A165" i="123"/>
  <c r="G164" i="123"/>
  <c r="A252" i="123"/>
  <c r="G251" i="123"/>
  <c r="F303" i="123"/>
  <c r="F160" i="123"/>
  <c r="F585" i="123"/>
  <c r="E303" i="123"/>
  <c r="G419" i="123"/>
  <c r="A420" i="123"/>
  <c r="E246" i="123"/>
  <c r="G136" i="123"/>
  <c r="A137" i="123"/>
  <c r="A211" i="123"/>
  <c r="G210" i="123"/>
  <c r="G110" i="123"/>
  <c r="A111" i="123"/>
  <c r="F418" i="123"/>
  <c r="E362" i="123"/>
  <c r="E560" i="123"/>
  <c r="E585" i="123"/>
  <c r="B562" i="123"/>
  <c r="C561" i="123"/>
  <c r="F561" i="123"/>
  <c r="G536" i="123"/>
  <c r="A537" i="123"/>
  <c r="A564" i="123"/>
  <c r="G563" i="123"/>
  <c r="A479" i="123"/>
  <c r="G478" i="123"/>
  <c r="B420" i="123"/>
  <c r="C419" i="123"/>
  <c r="B194" i="123"/>
  <c r="C193" i="123"/>
  <c r="B501" i="123"/>
  <c r="C500" i="123"/>
  <c r="A590" i="123"/>
  <c r="G589" i="123"/>
  <c r="E500" i="123"/>
  <c r="C477" i="123"/>
  <c r="B478" i="123"/>
  <c r="C161" i="123"/>
  <c r="F161" i="123"/>
  <c r="B162" i="123"/>
  <c r="F330" i="123"/>
  <c r="B331" i="123"/>
  <c r="C330" i="123"/>
  <c r="C390" i="123"/>
  <c r="B391" i="123"/>
  <c r="E446" i="123"/>
  <c r="E447" i="123"/>
  <c r="A228" i="123"/>
  <c r="G227" i="123"/>
  <c r="C363" i="123"/>
  <c r="B364" i="123"/>
  <c r="E389" i="123"/>
  <c r="C220" i="123"/>
  <c r="E220" i="123" s="1"/>
  <c r="B221" i="123"/>
  <c r="E499" i="123"/>
  <c r="E476" i="123"/>
  <c r="E477" i="123"/>
  <c r="F219" i="123"/>
  <c r="F329" i="123"/>
  <c r="C447" i="123"/>
  <c r="B448" i="123"/>
  <c r="G310" i="123"/>
  <c r="A311" i="123"/>
  <c r="C586" i="123"/>
  <c r="B587" i="123"/>
  <c r="F586" i="123"/>
  <c r="E219" i="123"/>
  <c r="E418" i="123"/>
  <c r="A450" i="123"/>
  <c r="G449" i="123"/>
  <c r="F192" i="123"/>
  <c r="E277" i="123"/>
  <c r="C109" i="123"/>
  <c r="B110" i="123"/>
  <c r="F560" i="123"/>
  <c r="E135" i="123"/>
  <c r="C135" i="123"/>
  <c r="B136" i="123"/>
  <c r="E561" i="123"/>
  <c r="G392" i="123"/>
  <c r="A393" i="123"/>
  <c r="E134" i="123"/>
  <c r="C278" i="123"/>
  <c r="B279" i="123"/>
  <c r="G283" i="123"/>
  <c r="A284" i="123"/>
  <c r="A366" i="123"/>
  <c r="G365" i="123"/>
  <c r="E108" i="123"/>
  <c r="U153" i="8"/>
  <c r="U147" i="8"/>
  <c r="U151" i="8"/>
  <c r="U159" i="8"/>
  <c r="U148" i="8"/>
  <c r="U156" i="8"/>
  <c r="U167" i="8"/>
  <c r="U162" i="8"/>
  <c r="U154" i="8"/>
  <c r="U146" i="8"/>
  <c r="U165" i="8"/>
  <c r="U157" i="8"/>
  <c r="U149" i="8"/>
  <c r="U168" i="8"/>
  <c r="U160" i="8"/>
  <c r="U152" i="8"/>
  <c r="U163" i="8"/>
  <c r="U155" i="8"/>
  <c r="U166" i="8"/>
  <c r="U158" i="8"/>
  <c r="U150" i="8"/>
  <c r="U169" i="8"/>
  <c r="U161" i="8"/>
  <c r="U164" i="8"/>
  <c r="V120" i="8"/>
  <c r="W120" i="8"/>
  <c r="X120" i="8"/>
  <c r="V121" i="8"/>
  <c r="W121" i="8"/>
  <c r="X121" i="8"/>
  <c r="V122" i="8"/>
  <c r="W122" i="8"/>
  <c r="X122" i="8"/>
  <c r="V123" i="8"/>
  <c r="W123" i="8"/>
  <c r="X123" i="8"/>
  <c r="V124" i="8"/>
  <c r="W124" i="8"/>
  <c r="X124" i="8"/>
  <c r="V125" i="8"/>
  <c r="W125" i="8"/>
  <c r="X125" i="8"/>
  <c r="V126" i="8"/>
  <c r="W126" i="8"/>
  <c r="X126" i="8"/>
  <c r="V127" i="8"/>
  <c r="W127" i="8"/>
  <c r="X127" i="8"/>
  <c r="V128" i="8"/>
  <c r="W128" i="8"/>
  <c r="X128" i="8"/>
  <c r="V129" i="8"/>
  <c r="W129" i="8"/>
  <c r="X129" i="8"/>
  <c r="V130" i="8"/>
  <c r="W130" i="8"/>
  <c r="X130" i="8"/>
  <c r="V131" i="8"/>
  <c r="W131" i="8"/>
  <c r="X131" i="8"/>
  <c r="V132" i="8"/>
  <c r="W132" i="8"/>
  <c r="X132" i="8"/>
  <c r="V133" i="8"/>
  <c r="W133" i="8"/>
  <c r="X133" i="8"/>
  <c r="V134" i="8"/>
  <c r="W134" i="8"/>
  <c r="X134" i="8"/>
  <c r="V135" i="8"/>
  <c r="W135" i="8"/>
  <c r="X135" i="8"/>
  <c r="V136" i="8"/>
  <c r="W136" i="8"/>
  <c r="X136" i="8"/>
  <c r="V137" i="8"/>
  <c r="W137" i="8"/>
  <c r="X137" i="8"/>
  <c r="V138" i="8"/>
  <c r="W138" i="8"/>
  <c r="X138" i="8"/>
  <c r="V139" i="8"/>
  <c r="W139" i="8"/>
  <c r="X139" i="8"/>
  <c r="V140" i="8"/>
  <c r="W140" i="8"/>
  <c r="X140" i="8"/>
  <c r="V141" i="8"/>
  <c r="W141" i="8"/>
  <c r="X141" i="8"/>
  <c r="V142" i="8"/>
  <c r="W142" i="8"/>
  <c r="X142" i="8"/>
  <c r="V143" i="8"/>
  <c r="W143" i="8"/>
  <c r="X143" i="8"/>
  <c r="V119" i="8"/>
  <c r="W119" i="8"/>
  <c r="X119" i="8"/>
  <c r="U120" i="8"/>
  <c r="U121" i="8"/>
  <c r="U122" i="8"/>
  <c r="U123" i="8"/>
  <c r="U124" i="8"/>
  <c r="U125" i="8"/>
  <c r="U126" i="8"/>
  <c r="U127" i="8"/>
  <c r="U128" i="8"/>
  <c r="U129" i="8"/>
  <c r="U130" i="8"/>
  <c r="U131" i="8"/>
  <c r="U132" i="8"/>
  <c r="U133" i="8"/>
  <c r="U134" i="8"/>
  <c r="U135" i="8"/>
  <c r="U136" i="8"/>
  <c r="U137" i="8"/>
  <c r="U138" i="8"/>
  <c r="U139" i="8"/>
  <c r="U140" i="8"/>
  <c r="U141" i="8"/>
  <c r="U142" i="8"/>
  <c r="U143" i="8"/>
  <c r="U119"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B145" i="8"/>
  <c r="B119" i="8"/>
  <c r="B93" i="8"/>
  <c r="P297" i="8"/>
  <c r="P298" i="8" s="1"/>
  <c r="P299" i="8" s="1"/>
  <c r="P300" i="8" s="1"/>
  <c r="P301" i="8" s="1"/>
  <c r="P302" i="8" s="1"/>
  <c r="P303" i="8" s="1"/>
  <c r="P304" i="8" s="1"/>
  <c r="P305" i="8" s="1"/>
  <c r="P306" i="8" s="1"/>
  <c r="P307" i="8" s="1"/>
  <c r="P308" i="8" s="1"/>
  <c r="P309" i="8" s="1"/>
  <c r="P310" i="8" s="1"/>
  <c r="P311" i="8" s="1"/>
  <c r="P312" i="8" s="1"/>
  <c r="P313" i="8" s="1"/>
  <c r="P314" i="8" s="1"/>
  <c r="P315" i="8" s="1"/>
  <c r="P316" i="8" s="1"/>
  <c r="P317" i="8" s="1"/>
  <c r="P275" i="8"/>
  <c r="Q275" i="8" s="1"/>
  <c r="R275" i="8" s="1"/>
  <c r="S275" i="8" s="1"/>
  <c r="T275" i="8" s="1"/>
  <c r="U275" i="8" s="1"/>
  <c r="V275" i="8" s="1"/>
  <c r="W275" i="8" s="1"/>
  <c r="O275" i="8"/>
  <c r="P274" i="8"/>
  <c r="C275" i="8"/>
  <c r="D275" i="8" s="1"/>
  <c r="E275" i="8" s="1"/>
  <c r="F275" i="8" s="1"/>
  <c r="G275" i="8" s="1"/>
  <c r="H275" i="8" s="1"/>
  <c r="I275" i="8" s="1"/>
  <c r="J275" i="8" s="1"/>
  <c r="K275" i="8" s="1"/>
  <c r="L275" i="8" s="1"/>
  <c r="M275" i="8" s="1"/>
  <c r="N275" i="8" s="1"/>
  <c r="C174" i="8"/>
  <c r="D174" i="8" s="1"/>
  <c r="E174" i="8" s="1"/>
  <c r="F174" i="8" s="1"/>
  <c r="C226" i="8"/>
  <c r="D226" i="8" s="1"/>
  <c r="E226" i="8" s="1"/>
  <c r="F226" i="8" s="1"/>
  <c r="G226" i="8" s="1"/>
  <c r="H226" i="8" s="1"/>
  <c r="I226" i="8" s="1"/>
  <c r="J226" i="8" s="1"/>
  <c r="K226" i="8" s="1"/>
  <c r="L226" i="8" s="1"/>
  <c r="M226" i="8" s="1"/>
  <c r="P225" i="8"/>
  <c r="B53" i="123" l="1"/>
  <c r="A91" i="123"/>
  <c r="G90" i="123"/>
  <c r="A31" i="123"/>
  <c r="G30" i="123"/>
  <c r="A61" i="123"/>
  <c r="G60" i="123"/>
  <c r="B78" i="123"/>
  <c r="B25" i="123"/>
  <c r="E391" i="123"/>
  <c r="F447" i="123"/>
  <c r="A253" i="123"/>
  <c r="G252" i="123"/>
  <c r="F278" i="123"/>
  <c r="E109" i="123"/>
  <c r="A451" i="123"/>
  <c r="G450" i="123"/>
  <c r="B222" i="123"/>
  <c r="C221" i="123"/>
  <c r="B392" i="123"/>
  <c r="C391" i="123"/>
  <c r="F391" i="123"/>
  <c r="G590" i="123"/>
  <c r="A591" i="123"/>
  <c r="E419" i="123"/>
  <c r="A112" i="123"/>
  <c r="G111" i="123"/>
  <c r="F390" i="123"/>
  <c r="F109" i="123"/>
  <c r="B365" i="123"/>
  <c r="C364" i="123"/>
  <c r="F364" i="123"/>
  <c r="C420" i="123"/>
  <c r="F420" i="123"/>
  <c r="B421" i="123"/>
  <c r="G165" i="123"/>
  <c r="A166" i="123"/>
  <c r="G341" i="123"/>
  <c r="A342" i="123"/>
  <c r="E161" i="123"/>
  <c r="E278" i="123"/>
  <c r="B563" i="123"/>
  <c r="C562" i="123"/>
  <c r="G420" i="123"/>
  <c r="A421" i="123"/>
  <c r="F220" i="123"/>
  <c r="E586" i="123"/>
  <c r="F363" i="123"/>
  <c r="B163" i="123"/>
  <c r="C162" i="123"/>
  <c r="F162" i="123"/>
  <c r="E193" i="123"/>
  <c r="E364" i="123"/>
  <c r="A538" i="123"/>
  <c r="G537" i="123"/>
  <c r="E390" i="123"/>
  <c r="C305" i="123"/>
  <c r="B306" i="123"/>
  <c r="B249" i="123"/>
  <c r="C248" i="123"/>
  <c r="A367" i="123"/>
  <c r="G366" i="123"/>
  <c r="A312" i="123"/>
  <c r="G311" i="123"/>
  <c r="E363" i="123"/>
  <c r="C194" i="123"/>
  <c r="B195" i="123"/>
  <c r="F419" i="123"/>
  <c r="C536" i="123"/>
  <c r="B537" i="123"/>
  <c r="E162" i="123"/>
  <c r="G393" i="123"/>
  <c r="A394" i="123"/>
  <c r="B479" i="123"/>
  <c r="C478" i="123"/>
  <c r="F478" i="123"/>
  <c r="F500" i="123"/>
  <c r="G479" i="123"/>
  <c r="A480" i="123"/>
  <c r="G211" i="123"/>
  <c r="A212" i="123"/>
  <c r="E330" i="123"/>
  <c r="E535" i="123"/>
  <c r="B111" i="123"/>
  <c r="C110" i="123"/>
  <c r="C136" i="123"/>
  <c r="B137" i="123"/>
  <c r="B332" i="123"/>
  <c r="C331" i="123"/>
  <c r="E331" i="123" s="1"/>
  <c r="B502" i="123"/>
  <c r="C501" i="123"/>
  <c r="A138" i="123"/>
  <c r="G137" i="123"/>
  <c r="F535" i="123"/>
  <c r="F279" i="123"/>
  <c r="B280" i="123"/>
  <c r="C279" i="123"/>
  <c r="F135" i="123"/>
  <c r="F136" i="123"/>
  <c r="A285" i="123"/>
  <c r="G284" i="123"/>
  <c r="B588" i="123"/>
  <c r="C587" i="123"/>
  <c r="B449" i="123"/>
  <c r="C448" i="123"/>
  <c r="A229" i="123"/>
  <c r="G228" i="123"/>
  <c r="F477" i="123"/>
  <c r="G564" i="123"/>
  <c r="A565" i="123"/>
  <c r="E562" i="123"/>
  <c r="F193" i="123"/>
  <c r="G503" i="123"/>
  <c r="A504" i="123"/>
  <c r="AX89" i="8"/>
  <c r="AX88" i="8"/>
  <c r="AX87" i="8"/>
  <c r="AX86" i="8"/>
  <c r="AX85" i="8"/>
  <c r="AX84" i="8"/>
  <c r="AX83" i="8"/>
  <c r="AX82" i="8"/>
  <c r="AX81" i="8"/>
  <c r="AX80" i="8"/>
  <c r="AX79" i="8"/>
  <c r="AX78" i="8"/>
  <c r="AX77" i="8"/>
  <c r="AX76" i="8"/>
  <c r="AX75" i="8"/>
  <c r="AX74" i="8"/>
  <c r="AX73" i="8"/>
  <c r="AX72" i="8"/>
  <c r="AX71" i="8"/>
  <c r="AX70" i="8"/>
  <c r="AX69" i="8"/>
  <c r="AX68" i="8"/>
  <c r="AX67" i="8"/>
  <c r="AX66" i="8"/>
  <c r="AX65" i="8"/>
  <c r="AX63" i="8"/>
  <c r="AX62" i="8"/>
  <c r="AX61" i="8"/>
  <c r="AX60" i="8"/>
  <c r="AX59" i="8"/>
  <c r="AX58" i="8"/>
  <c r="AX57" i="8"/>
  <c r="AX56" i="8"/>
  <c r="AX55" i="8"/>
  <c r="AX54" i="8"/>
  <c r="AX53" i="8"/>
  <c r="AX52" i="8"/>
  <c r="AX51" i="8"/>
  <c r="AX50" i="8"/>
  <c r="AX49" i="8"/>
  <c r="AX48" i="8"/>
  <c r="AX47" i="8"/>
  <c r="AX46" i="8"/>
  <c r="AX45" i="8"/>
  <c r="AX44" i="8"/>
  <c r="AX43" i="8"/>
  <c r="AX42" i="8"/>
  <c r="AX41" i="8"/>
  <c r="AX40" i="8"/>
  <c r="AX39" i="8"/>
  <c r="AX37" i="8"/>
  <c r="AX36" i="8"/>
  <c r="AX35" i="8"/>
  <c r="AX34" i="8"/>
  <c r="AX33" i="8"/>
  <c r="AX32" i="8"/>
  <c r="AX31" i="8"/>
  <c r="AX30" i="8"/>
  <c r="AX29" i="8"/>
  <c r="AX28" i="8"/>
  <c r="AX27" i="8"/>
  <c r="AX26" i="8"/>
  <c r="AX25" i="8"/>
  <c r="AX24" i="8"/>
  <c r="AX23" i="8"/>
  <c r="AX22" i="8"/>
  <c r="AX21" i="8"/>
  <c r="AX20" i="8"/>
  <c r="AX19" i="8"/>
  <c r="AX18" i="8"/>
  <c r="AX17" i="8"/>
  <c r="AX16" i="8"/>
  <c r="AX15" i="8"/>
  <c r="AX14" i="8"/>
  <c r="AX13" i="8"/>
  <c r="AK39" i="8"/>
  <c r="AJ39" i="8"/>
  <c r="G98" i="98"/>
  <c r="G99" i="98"/>
  <c r="H34" i="98"/>
  <c r="H33" i="98"/>
  <c r="I33" i="98" s="1"/>
  <c r="G28" i="98"/>
  <c r="G29" i="98" s="1"/>
  <c r="J50" i="119"/>
  <c r="J31" i="119"/>
  <c r="G50" i="98"/>
  <c r="G49" i="98"/>
  <c r="G48" i="98"/>
  <c r="G47" i="98"/>
  <c r="B3" i="8"/>
  <c r="C3" i="8" s="1"/>
  <c r="D3" i="8" s="1"/>
  <c r="E3" i="8" s="1"/>
  <c r="F3" i="8" s="1"/>
  <c r="G3" i="8" s="1"/>
  <c r="H3" i="8" s="1"/>
  <c r="I3" i="8" s="1"/>
  <c r="J3" i="8" s="1"/>
  <c r="K3" i="8" s="1"/>
  <c r="L3" i="8" s="1"/>
  <c r="M3" i="8" s="1"/>
  <c r="N3" i="8" s="1"/>
  <c r="O3" i="8" s="1"/>
  <c r="P3" i="8" s="1"/>
  <c r="Q3" i="8" s="1"/>
  <c r="R3" i="8" s="1"/>
  <c r="S3" i="8" s="1"/>
  <c r="T3" i="8" s="1"/>
  <c r="U3" i="8" s="1"/>
  <c r="V3" i="8" s="1"/>
  <c r="W3" i="8" s="1"/>
  <c r="X3" i="8"/>
  <c r="Y3" i="8" s="1"/>
  <c r="Z3" i="8" s="1"/>
  <c r="AA3" i="8" s="1"/>
  <c r="AB3" i="8" s="1"/>
  <c r="AC3" i="8" s="1"/>
  <c r="AD3" i="8" s="1"/>
  <c r="AE3" i="8" s="1"/>
  <c r="AF3" i="8" s="1"/>
  <c r="AG3" i="8" s="1"/>
  <c r="AH3" i="8" s="1"/>
  <c r="AI3" i="8" s="1"/>
  <c r="AJ3" i="8" s="1"/>
  <c r="AK3" i="8" s="1"/>
  <c r="AL3" i="8" s="1"/>
  <c r="AM3" i="8" s="1"/>
  <c r="AN3" i="8" s="1"/>
  <c r="AO3" i="8" s="1"/>
  <c r="AP3" i="8" s="1"/>
  <c r="AQ3" i="8" s="1"/>
  <c r="AR3" i="8" s="1"/>
  <c r="AS3" i="8" s="1"/>
  <c r="AT3" i="8" s="1"/>
  <c r="AU3" i="8" s="1"/>
  <c r="AV3" i="8" s="1"/>
  <c r="AW3" i="8" s="1"/>
  <c r="AX3" i="8" s="1"/>
  <c r="AY3" i="8" s="1"/>
  <c r="AZ3" i="8" s="1"/>
  <c r="BA3" i="8" s="1"/>
  <c r="BB3" i="8" s="1"/>
  <c r="BC3" i="8" s="1"/>
  <c r="B4" i="8"/>
  <c r="H4" i="8"/>
  <c r="I4" i="8" s="1"/>
  <c r="J4" i="8" s="1"/>
  <c r="J13" i="8" s="1"/>
  <c r="S4" i="8"/>
  <c r="T4" i="8"/>
  <c r="B5" i="8"/>
  <c r="H5" i="8"/>
  <c r="H6" i="8" s="1"/>
  <c r="O5" i="8"/>
  <c r="O6" i="8" s="1"/>
  <c r="S5" i="8"/>
  <c r="S6" i="8"/>
  <c r="T5" i="8"/>
  <c r="T6" i="8" s="1"/>
  <c r="V5" i="8"/>
  <c r="V6" i="8" s="1"/>
  <c r="W5" i="8"/>
  <c r="W6" i="8"/>
  <c r="X5" i="8"/>
  <c r="AF5" i="8"/>
  <c r="AG5" i="8"/>
  <c r="AH5" i="8"/>
  <c r="AH6" i="8" s="1"/>
  <c r="AI5" i="8"/>
  <c r="AI6" i="8" s="1"/>
  <c r="AJ5" i="8"/>
  <c r="AK5" i="8"/>
  <c r="AL5" i="8"/>
  <c r="AM5" i="8"/>
  <c r="AM6" i="8"/>
  <c r="AP5" i="8"/>
  <c r="AR5" i="8"/>
  <c r="AR6" i="8" s="1"/>
  <c r="AV5" i="8"/>
  <c r="AW5" i="8"/>
  <c r="B6" i="8"/>
  <c r="G6" i="8"/>
  <c r="K6" i="8"/>
  <c r="X6" i="8"/>
  <c r="AF6" i="8"/>
  <c r="AG6" i="8"/>
  <c r="AJ6" i="8"/>
  <c r="AK6" i="8"/>
  <c r="AL6" i="8"/>
  <c r="AV6" i="8"/>
  <c r="AW6" i="8"/>
  <c r="A12" i="8"/>
  <c r="B13" i="8"/>
  <c r="O13" i="8"/>
  <c r="S13" i="8"/>
  <c r="T13" i="8"/>
  <c r="V13" i="8"/>
  <c r="W13" i="8"/>
  <c r="X13" i="8"/>
  <c r="AV13" i="8"/>
  <c r="AW13" i="8"/>
  <c r="O14" i="8"/>
  <c r="S14" i="8"/>
  <c r="T14" i="8"/>
  <c r="V14" i="8"/>
  <c r="W14" i="8"/>
  <c r="X14" i="8"/>
  <c r="AV14" i="8"/>
  <c r="AW14" i="8"/>
  <c r="A15" i="8"/>
  <c r="A16" i="8"/>
  <c r="A17" i="8" s="1"/>
  <c r="A18" i="8" s="1"/>
  <c r="A19" i="8" s="1"/>
  <c r="A20" i="8" s="1"/>
  <c r="A21" i="8" s="1"/>
  <c r="A22" i="8" s="1"/>
  <c r="A23" i="8" s="1"/>
  <c r="A24" i="8" s="1"/>
  <c r="A25" i="8" s="1"/>
  <c r="A26" i="8" s="1"/>
  <c r="A27" i="8" s="1"/>
  <c r="A28" i="8" s="1"/>
  <c r="A29" i="8" s="1"/>
  <c r="A30" i="8" s="1"/>
  <c r="A31" i="8" s="1"/>
  <c r="A32" i="8" s="1"/>
  <c r="A33" i="8" s="1"/>
  <c r="A34" i="8" s="1"/>
  <c r="A35" i="8" s="1"/>
  <c r="A36" i="8" s="1"/>
  <c r="A37" i="8" s="1"/>
  <c r="O15" i="8"/>
  <c r="S15" i="8"/>
  <c r="T15" i="8"/>
  <c r="V15" i="8"/>
  <c r="W15" i="8"/>
  <c r="X15" i="8"/>
  <c r="AV15" i="8"/>
  <c r="AW15" i="8"/>
  <c r="O16" i="8"/>
  <c r="S16" i="8"/>
  <c r="T16" i="8"/>
  <c r="V16" i="8"/>
  <c r="W16" i="8"/>
  <c r="X16" i="8"/>
  <c r="AV16" i="8"/>
  <c r="AW16" i="8"/>
  <c r="O17" i="8"/>
  <c r="S17" i="8"/>
  <c r="T17" i="8"/>
  <c r="V17" i="8"/>
  <c r="W17" i="8"/>
  <c r="X17" i="8"/>
  <c r="AV17" i="8"/>
  <c r="AW17" i="8"/>
  <c r="O18" i="8"/>
  <c r="S18" i="8"/>
  <c r="T18" i="8"/>
  <c r="V18" i="8"/>
  <c r="W18" i="8"/>
  <c r="X18" i="8"/>
  <c r="AV18" i="8"/>
  <c r="AW18" i="8"/>
  <c r="O19" i="8"/>
  <c r="S19" i="8"/>
  <c r="T19" i="8"/>
  <c r="V19" i="8"/>
  <c r="W19" i="8"/>
  <c r="X19" i="8"/>
  <c r="AV19" i="8"/>
  <c r="AW19" i="8"/>
  <c r="O20" i="8"/>
  <c r="S20" i="8"/>
  <c r="T20" i="8"/>
  <c r="V20" i="8"/>
  <c r="W20" i="8"/>
  <c r="X20" i="8"/>
  <c r="AV20" i="8"/>
  <c r="AW20" i="8"/>
  <c r="O21" i="8"/>
  <c r="S21" i="8"/>
  <c r="T21" i="8"/>
  <c r="V21" i="8"/>
  <c r="W21" i="8"/>
  <c r="X21" i="8"/>
  <c r="AV21" i="8"/>
  <c r="AW21" i="8"/>
  <c r="O22" i="8"/>
  <c r="S22" i="8"/>
  <c r="T22" i="8"/>
  <c r="V22" i="8"/>
  <c r="W22" i="8"/>
  <c r="X22" i="8"/>
  <c r="AV22" i="8"/>
  <c r="AW22" i="8"/>
  <c r="O23" i="8"/>
  <c r="S23" i="8"/>
  <c r="T23" i="8"/>
  <c r="V23" i="8"/>
  <c r="W23" i="8"/>
  <c r="X23" i="8"/>
  <c r="AV23" i="8"/>
  <c r="AW23" i="8"/>
  <c r="O24" i="8"/>
  <c r="S24" i="8"/>
  <c r="T24" i="8"/>
  <c r="V24" i="8"/>
  <c r="W24" i="8"/>
  <c r="X24" i="8"/>
  <c r="AV24" i="8"/>
  <c r="AW24" i="8"/>
  <c r="O25" i="8"/>
  <c r="S25" i="8"/>
  <c r="T25" i="8"/>
  <c r="V25" i="8"/>
  <c r="W25" i="8"/>
  <c r="X25" i="8"/>
  <c r="AV25" i="8"/>
  <c r="AW25" i="8"/>
  <c r="O26" i="8"/>
  <c r="S26" i="8"/>
  <c r="T26" i="8"/>
  <c r="V26" i="8"/>
  <c r="W26" i="8"/>
  <c r="X26" i="8"/>
  <c r="AV26" i="8"/>
  <c r="AW26" i="8"/>
  <c r="O27" i="8"/>
  <c r="S27" i="8"/>
  <c r="T27" i="8"/>
  <c r="V27" i="8"/>
  <c r="W27" i="8"/>
  <c r="X27" i="8"/>
  <c r="AV27" i="8"/>
  <c r="AW27" i="8"/>
  <c r="O28" i="8"/>
  <c r="S28" i="8"/>
  <c r="T28" i="8"/>
  <c r="V28" i="8"/>
  <c r="W28" i="8"/>
  <c r="X28" i="8"/>
  <c r="AV28" i="8"/>
  <c r="AW28" i="8"/>
  <c r="O29" i="8"/>
  <c r="S29" i="8"/>
  <c r="T29" i="8"/>
  <c r="V29" i="8"/>
  <c r="W29" i="8"/>
  <c r="X29" i="8"/>
  <c r="AV29" i="8"/>
  <c r="AW29" i="8"/>
  <c r="O30" i="8"/>
  <c r="S30" i="8"/>
  <c r="T30" i="8"/>
  <c r="V30" i="8"/>
  <c r="W30" i="8"/>
  <c r="X30" i="8"/>
  <c r="AV30" i="8"/>
  <c r="AW30" i="8"/>
  <c r="O31" i="8"/>
  <c r="S31" i="8"/>
  <c r="T31" i="8"/>
  <c r="V31" i="8"/>
  <c r="W31" i="8"/>
  <c r="X31" i="8"/>
  <c r="AV31" i="8"/>
  <c r="AW31" i="8"/>
  <c r="O32" i="8"/>
  <c r="S32" i="8"/>
  <c r="T32" i="8"/>
  <c r="V32" i="8"/>
  <c r="W32" i="8"/>
  <c r="X32" i="8"/>
  <c r="AV32" i="8"/>
  <c r="AW32" i="8"/>
  <c r="O33" i="8"/>
  <c r="S33" i="8"/>
  <c r="T33" i="8"/>
  <c r="V33" i="8"/>
  <c r="W33" i="8"/>
  <c r="X33" i="8"/>
  <c r="AV33" i="8"/>
  <c r="AW33" i="8"/>
  <c r="O34" i="8"/>
  <c r="S34" i="8"/>
  <c r="T34" i="8"/>
  <c r="V34" i="8"/>
  <c r="W34" i="8"/>
  <c r="X34" i="8"/>
  <c r="AV34" i="8"/>
  <c r="AW34" i="8"/>
  <c r="O35" i="8"/>
  <c r="S35" i="8"/>
  <c r="T35" i="8"/>
  <c r="V35" i="8"/>
  <c r="W35" i="8"/>
  <c r="X35" i="8"/>
  <c r="AV35" i="8"/>
  <c r="AW35" i="8"/>
  <c r="O36" i="8"/>
  <c r="S36" i="8"/>
  <c r="T36" i="8"/>
  <c r="V36" i="8"/>
  <c r="W36" i="8"/>
  <c r="X36" i="8"/>
  <c r="AV36" i="8"/>
  <c r="AW36" i="8"/>
  <c r="O37" i="8"/>
  <c r="S37" i="8"/>
  <c r="T37" i="8"/>
  <c r="V37" i="8"/>
  <c r="W37" i="8"/>
  <c r="X37" i="8"/>
  <c r="AV37" i="8"/>
  <c r="AW37" i="8"/>
  <c r="A38" i="8"/>
  <c r="B39" i="8"/>
  <c r="O39" i="8"/>
  <c r="S39" i="8"/>
  <c r="T39" i="8"/>
  <c r="V39" i="8"/>
  <c r="W39" i="8"/>
  <c r="AV39" i="8"/>
  <c r="AW39" i="8"/>
  <c r="O40" i="8"/>
  <c r="S40" i="8"/>
  <c r="T40" i="8"/>
  <c r="V40" i="8"/>
  <c r="W40" i="8"/>
  <c r="AV40" i="8"/>
  <c r="AW40" i="8"/>
  <c r="A41" i="8"/>
  <c r="O41" i="8"/>
  <c r="S41" i="8"/>
  <c r="T41" i="8"/>
  <c r="V41" i="8"/>
  <c r="W41" i="8"/>
  <c r="AV41" i="8"/>
  <c r="AW41" i="8"/>
  <c r="A42" i="8"/>
  <c r="A43" i="8" s="1"/>
  <c r="A44" i="8" s="1"/>
  <c r="A45" i="8" s="1"/>
  <c r="A46" i="8" s="1"/>
  <c r="A47" i="8" s="1"/>
  <c r="A48" i="8" s="1"/>
  <c r="A49" i="8" s="1"/>
  <c r="A50" i="8" s="1"/>
  <c r="A51" i="8" s="1"/>
  <c r="A52" i="8" s="1"/>
  <c r="A53" i="8" s="1"/>
  <c r="A54" i="8" s="1"/>
  <c r="A55" i="8" s="1"/>
  <c r="A56" i="8" s="1"/>
  <c r="O42" i="8"/>
  <c r="S42" i="8"/>
  <c r="T42" i="8"/>
  <c r="V42" i="8"/>
  <c r="W42" i="8"/>
  <c r="AV42" i="8"/>
  <c r="AW42" i="8"/>
  <c r="O43" i="8"/>
  <c r="S43" i="8"/>
  <c r="T43" i="8"/>
  <c r="V43" i="8"/>
  <c r="W43" i="8"/>
  <c r="AV43" i="8"/>
  <c r="AW43" i="8"/>
  <c r="O44" i="8"/>
  <c r="S44" i="8"/>
  <c r="T44" i="8"/>
  <c r="V44" i="8"/>
  <c r="W44" i="8"/>
  <c r="AV44" i="8"/>
  <c r="AW44" i="8"/>
  <c r="O45" i="8"/>
  <c r="S45" i="8"/>
  <c r="T45" i="8"/>
  <c r="V45" i="8"/>
  <c r="W45" i="8"/>
  <c r="AV45" i="8"/>
  <c r="AW45" i="8"/>
  <c r="O46" i="8"/>
  <c r="S46" i="8"/>
  <c r="T46" i="8"/>
  <c r="V46" i="8"/>
  <c r="W46" i="8"/>
  <c r="AV46" i="8"/>
  <c r="AW46" i="8"/>
  <c r="O47" i="8"/>
  <c r="S47" i="8"/>
  <c r="T47" i="8"/>
  <c r="V47" i="8"/>
  <c r="W47" i="8"/>
  <c r="AV47" i="8"/>
  <c r="AW47" i="8"/>
  <c r="O48" i="8"/>
  <c r="S48" i="8"/>
  <c r="T48" i="8"/>
  <c r="V48" i="8"/>
  <c r="W48" i="8"/>
  <c r="AV48" i="8"/>
  <c r="AW48" i="8"/>
  <c r="O49" i="8"/>
  <c r="S49" i="8"/>
  <c r="T49" i="8"/>
  <c r="V49" i="8"/>
  <c r="W49" i="8"/>
  <c r="AV49" i="8"/>
  <c r="AW49" i="8"/>
  <c r="O50" i="8"/>
  <c r="S50" i="8"/>
  <c r="T50" i="8"/>
  <c r="V50" i="8"/>
  <c r="W50" i="8"/>
  <c r="AV50" i="8"/>
  <c r="AW50" i="8"/>
  <c r="O51" i="8"/>
  <c r="S51" i="8"/>
  <c r="T51" i="8"/>
  <c r="V51" i="8"/>
  <c r="W51" i="8"/>
  <c r="AV51" i="8"/>
  <c r="AW51" i="8"/>
  <c r="O52" i="8"/>
  <c r="S52" i="8"/>
  <c r="T52" i="8"/>
  <c r="V52" i="8"/>
  <c r="W52" i="8"/>
  <c r="AV52" i="8"/>
  <c r="AW52" i="8"/>
  <c r="O53" i="8"/>
  <c r="S53" i="8"/>
  <c r="T53" i="8"/>
  <c r="V53" i="8"/>
  <c r="W53" i="8"/>
  <c r="AV53" i="8"/>
  <c r="AW53" i="8"/>
  <c r="O54" i="8"/>
  <c r="S54" i="8"/>
  <c r="T54" i="8"/>
  <c r="V54" i="8"/>
  <c r="W54" i="8"/>
  <c r="AV54" i="8"/>
  <c r="AW54" i="8"/>
  <c r="O55" i="8"/>
  <c r="S55" i="8"/>
  <c r="T55" i="8"/>
  <c r="V55" i="8"/>
  <c r="W55" i="8"/>
  <c r="AV55" i="8"/>
  <c r="AW55" i="8"/>
  <c r="A57" i="8"/>
  <c r="A58" i="8" s="1"/>
  <c r="A59" i="8" s="1"/>
  <c r="A60" i="8" s="1"/>
  <c r="A61" i="8" s="1"/>
  <c r="A62" i="8" s="1"/>
  <c r="A63" i="8" s="1"/>
  <c r="O56" i="8"/>
  <c r="S56" i="8"/>
  <c r="T56" i="8"/>
  <c r="V56" i="8"/>
  <c r="W56" i="8"/>
  <c r="AV56" i="8"/>
  <c r="AW56" i="8"/>
  <c r="O57" i="8"/>
  <c r="S57" i="8"/>
  <c r="T57" i="8"/>
  <c r="V57" i="8"/>
  <c r="W57" i="8"/>
  <c r="AV57" i="8"/>
  <c r="AW57" i="8"/>
  <c r="O58" i="8"/>
  <c r="S58" i="8"/>
  <c r="T58" i="8"/>
  <c r="V58" i="8"/>
  <c r="W58" i="8"/>
  <c r="AV58" i="8"/>
  <c r="AW58" i="8"/>
  <c r="O59" i="8"/>
  <c r="S59" i="8"/>
  <c r="T59" i="8"/>
  <c r="V59" i="8"/>
  <c r="W59" i="8"/>
  <c r="AV59" i="8"/>
  <c r="AW59" i="8"/>
  <c r="O60" i="8"/>
  <c r="S60" i="8"/>
  <c r="T60" i="8"/>
  <c r="V60" i="8"/>
  <c r="W60" i="8"/>
  <c r="AV60" i="8"/>
  <c r="AW60" i="8"/>
  <c r="O61" i="8"/>
  <c r="S61" i="8"/>
  <c r="T61" i="8"/>
  <c r="V61" i="8"/>
  <c r="W61" i="8"/>
  <c r="AV61" i="8"/>
  <c r="AW61" i="8"/>
  <c r="O62" i="8"/>
  <c r="S62" i="8"/>
  <c r="T62" i="8"/>
  <c r="V62" i="8"/>
  <c r="W62" i="8"/>
  <c r="AV62" i="8"/>
  <c r="AW62" i="8"/>
  <c r="O63" i="8"/>
  <c r="S63" i="8"/>
  <c r="T63" i="8"/>
  <c r="V63" i="8"/>
  <c r="W63" i="8"/>
  <c r="AV63" i="8"/>
  <c r="AW63" i="8"/>
  <c r="A64" i="8"/>
  <c r="B65" i="8"/>
  <c r="H65" i="8" s="1"/>
  <c r="A67" i="8"/>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2" i="8"/>
  <c r="B94" i="8"/>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A95" i="8"/>
  <c r="A96" i="8" s="1"/>
  <c r="A97" i="8" s="1"/>
  <c r="A98" i="8" s="1"/>
  <c r="A99" i="8" s="1"/>
  <c r="A100" i="8" s="1"/>
  <c r="A101" i="8"/>
  <c r="A102" i="8" s="1"/>
  <c r="A103" i="8" s="1"/>
  <c r="A104" i="8" s="1"/>
  <c r="A105" i="8" s="1"/>
  <c r="A106" i="8" s="1"/>
  <c r="A107" i="8" s="1"/>
  <c r="A108" i="8" s="1"/>
  <c r="A109" i="8" s="1"/>
  <c r="A110" i="8" s="1"/>
  <c r="A111" i="8" s="1"/>
  <c r="A112" i="8" s="1"/>
  <c r="A113" i="8" s="1"/>
  <c r="A114" i="8" s="1"/>
  <c r="A115" i="8" s="1"/>
  <c r="A116" i="8" s="1"/>
  <c r="A117" i="8" s="1"/>
  <c r="B120" i="8"/>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A121" i="8"/>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B146" i="8"/>
  <c r="B147" i="8" s="1"/>
  <c r="B148" i="8" s="1"/>
  <c r="B149" i="8" s="1"/>
  <c r="B150" i="8" s="1"/>
  <c r="B151" i="8" s="1"/>
  <c r="B152" i="8" s="1"/>
  <c r="B153" i="8" s="1"/>
  <c r="B154" i="8" s="1"/>
  <c r="B155" i="8" s="1"/>
  <c r="B156" i="8" s="1"/>
  <c r="B157" i="8" s="1"/>
  <c r="B158" i="8" s="1"/>
  <c r="B159" i="8" s="1"/>
  <c r="B160" i="8" s="1"/>
  <c r="B161" i="8" s="1"/>
  <c r="B162" i="8" s="1"/>
  <c r="B163" i="8" s="1"/>
  <c r="B164" i="8" s="1"/>
  <c r="B165" i="8" s="1"/>
  <c r="B166" i="8" s="1"/>
  <c r="B167" i="8" s="1"/>
  <c r="B168" i="8" s="1"/>
  <c r="B169" i="8" s="1"/>
  <c r="A147" i="8"/>
  <c r="A148" i="8"/>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G174" i="8"/>
  <c r="H174" i="8" s="1"/>
  <c r="I174" i="8" s="1"/>
  <c r="W175" i="8"/>
  <c r="AT175" i="8"/>
  <c r="BO175" i="8"/>
  <c r="Y176" i="8"/>
  <c r="AV176" i="8" s="1"/>
  <c r="BQ176" i="8" s="1"/>
  <c r="I184" i="8"/>
  <c r="J184" i="8"/>
  <c r="K184" i="8"/>
  <c r="L184" i="8"/>
  <c r="O184" i="8"/>
  <c r="P184" i="8"/>
  <c r="AE184" i="8"/>
  <c r="AF184" i="8"/>
  <c r="AN184" i="8"/>
  <c r="AO184" i="8"/>
  <c r="BB184" i="8"/>
  <c r="BC184" i="8"/>
  <c r="BK184" i="8"/>
  <c r="BL184" i="8"/>
  <c r="BT184" i="8"/>
  <c r="BX184" i="8" s="1"/>
  <c r="BW184" i="8"/>
  <c r="BY184" i="8" s="1"/>
  <c r="CA184" i="8"/>
  <c r="CB184" i="8"/>
  <c r="CC184" i="8"/>
  <c r="CD184" i="8"/>
  <c r="CE184" i="8"/>
  <c r="CF184" i="8"/>
  <c r="CG184" i="8"/>
  <c r="CH184" i="8"/>
  <c r="CI184" i="8"/>
  <c r="CJ184" i="8"/>
  <c r="I185" i="8"/>
  <c r="J185" i="8"/>
  <c r="K185" i="8"/>
  <c r="L185" i="8"/>
  <c r="O185" i="8"/>
  <c r="P185" i="8"/>
  <c r="AE185" i="8"/>
  <c r="AF185" i="8"/>
  <c r="AN185" i="8"/>
  <c r="AO185" i="8"/>
  <c r="BB185" i="8"/>
  <c r="BC185" i="8"/>
  <c r="BK185" i="8"/>
  <c r="BL185" i="8"/>
  <c r="BT185" i="8"/>
  <c r="BX185" i="8" s="1"/>
  <c r="BW185" i="8"/>
  <c r="BY185" i="8" s="1"/>
  <c r="CA185" i="8"/>
  <c r="CB185" i="8"/>
  <c r="CC185" i="8"/>
  <c r="CD185" i="8"/>
  <c r="CE185" i="8"/>
  <c r="CF185" i="8"/>
  <c r="CG185" i="8"/>
  <c r="CH185" i="8"/>
  <c r="CI185" i="8"/>
  <c r="CJ185" i="8"/>
  <c r="I186" i="8"/>
  <c r="J186" i="8"/>
  <c r="K186" i="8"/>
  <c r="L186" i="8"/>
  <c r="O186" i="8"/>
  <c r="P186" i="8"/>
  <c r="AE186" i="8"/>
  <c r="AF186" i="8"/>
  <c r="AN186" i="8"/>
  <c r="AO186" i="8"/>
  <c r="BB186" i="8"/>
  <c r="BC186" i="8"/>
  <c r="BK186" i="8"/>
  <c r="BL186" i="8"/>
  <c r="BT186" i="8"/>
  <c r="BX186" i="8" s="1"/>
  <c r="BW186" i="8"/>
  <c r="BY186" i="8" s="1"/>
  <c r="CA186" i="8"/>
  <c r="CB186" i="8"/>
  <c r="CC186" i="8"/>
  <c r="CD186" i="8"/>
  <c r="CE186" i="8"/>
  <c r="CF186" i="8"/>
  <c r="CG186" i="8"/>
  <c r="CH186" i="8"/>
  <c r="CI186" i="8"/>
  <c r="CJ186" i="8"/>
  <c r="I187" i="8"/>
  <c r="J187" i="8"/>
  <c r="K187" i="8"/>
  <c r="L187" i="8"/>
  <c r="O187" i="8"/>
  <c r="P187" i="8"/>
  <c r="AE187" i="8"/>
  <c r="AF187" i="8"/>
  <c r="AN187" i="8"/>
  <c r="AO187" i="8"/>
  <c r="BB187" i="8"/>
  <c r="BC187" i="8"/>
  <c r="BK187" i="8"/>
  <c r="BL187" i="8"/>
  <c r="BT187" i="8"/>
  <c r="BX187" i="8" s="1"/>
  <c r="BW187" i="8"/>
  <c r="BY187" i="8" s="1"/>
  <c r="CA187" i="8"/>
  <c r="CB187" i="8"/>
  <c r="CC187" i="8"/>
  <c r="CD187" i="8"/>
  <c r="CE187" i="8"/>
  <c r="CF187" i="8"/>
  <c r="CG187" i="8"/>
  <c r="CH187" i="8"/>
  <c r="CI187" i="8"/>
  <c r="CJ187" i="8"/>
  <c r="K13" i="8" s="1"/>
  <c r="I188" i="8"/>
  <c r="J188" i="8"/>
  <c r="K188" i="8"/>
  <c r="L188" i="8"/>
  <c r="O188" i="8"/>
  <c r="P188" i="8"/>
  <c r="AE188" i="8"/>
  <c r="AF188" i="8"/>
  <c r="AN188" i="8"/>
  <c r="AO188" i="8"/>
  <c r="AP188" i="8" s="1"/>
  <c r="BB188" i="8"/>
  <c r="BC188" i="8"/>
  <c r="BK188" i="8"/>
  <c r="BL188" i="8"/>
  <c r="BT188" i="8"/>
  <c r="BX188" i="8" s="1"/>
  <c r="BW188" i="8"/>
  <c r="BY188" i="8" s="1"/>
  <c r="CA188" i="8"/>
  <c r="CB188" i="8"/>
  <c r="CC188" i="8"/>
  <c r="CD188" i="8"/>
  <c r="CE188" i="8"/>
  <c r="CF188" i="8"/>
  <c r="CG188" i="8"/>
  <c r="CH188" i="8"/>
  <c r="CI188" i="8"/>
  <c r="CJ188" i="8"/>
  <c r="I189" i="8"/>
  <c r="J189" i="8"/>
  <c r="K189" i="8"/>
  <c r="L189" i="8"/>
  <c r="O189" i="8"/>
  <c r="P189" i="8"/>
  <c r="AE189" i="8"/>
  <c r="AF189" i="8"/>
  <c r="AN189" i="8"/>
  <c r="AO189" i="8"/>
  <c r="BB189" i="8"/>
  <c r="BC189" i="8"/>
  <c r="BK189" i="8"/>
  <c r="BL189" i="8"/>
  <c r="BT189" i="8"/>
  <c r="BX189" i="8" s="1"/>
  <c r="BW189" i="8"/>
  <c r="BY189" i="8" s="1"/>
  <c r="CA189" i="8"/>
  <c r="CB189" i="8"/>
  <c r="CC189" i="8"/>
  <c r="CD189" i="8"/>
  <c r="CE189" i="8"/>
  <c r="CF189" i="8"/>
  <c r="CG189" i="8"/>
  <c r="CH189" i="8"/>
  <c r="CI189" i="8"/>
  <c r="CJ189" i="8"/>
  <c r="I190" i="8"/>
  <c r="J190" i="8"/>
  <c r="K190" i="8"/>
  <c r="L190" i="8"/>
  <c r="O190" i="8"/>
  <c r="P190" i="8"/>
  <c r="AE190" i="8"/>
  <c r="AF190" i="8"/>
  <c r="AN190" i="8"/>
  <c r="AO190" i="8"/>
  <c r="BB190" i="8"/>
  <c r="BC190" i="8"/>
  <c r="BK190" i="8"/>
  <c r="BL190" i="8"/>
  <c r="BT190" i="8"/>
  <c r="BX190" i="8" s="1"/>
  <c r="BW190" i="8"/>
  <c r="BY190" i="8" s="1"/>
  <c r="CA190" i="8"/>
  <c r="CB190" i="8"/>
  <c r="CC190" i="8"/>
  <c r="CD190" i="8"/>
  <c r="CE190" i="8"/>
  <c r="CF190" i="8"/>
  <c r="CG190" i="8"/>
  <c r="CH190" i="8"/>
  <c r="CI190" i="8"/>
  <c r="CJ190" i="8"/>
  <c r="I191" i="8"/>
  <c r="J191" i="8"/>
  <c r="K191" i="8"/>
  <c r="L191" i="8"/>
  <c r="O191" i="8"/>
  <c r="P191" i="8"/>
  <c r="AE191" i="8"/>
  <c r="AF191" i="8"/>
  <c r="AN191" i="8"/>
  <c r="AO191" i="8"/>
  <c r="BB191" i="8"/>
  <c r="BC191" i="8"/>
  <c r="BK191" i="8"/>
  <c r="BL191" i="8"/>
  <c r="BT191" i="8"/>
  <c r="BX191" i="8" s="1"/>
  <c r="BW191" i="8"/>
  <c r="BY191" i="8" s="1"/>
  <c r="CA191" i="8"/>
  <c r="CB191" i="8"/>
  <c r="CC191" i="8"/>
  <c r="CD191" i="8"/>
  <c r="CE191" i="8"/>
  <c r="CF191" i="8"/>
  <c r="CG191" i="8"/>
  <c r="CH191" i="8"/>
  <c r="CI191" i="8"/>
  <c r="CJ191" i="8"/>
  <c r="I192" i="8"/>
  <c r="J192" i="8"/>
  <c r="K192" i="8"/>
  <c r="L192" i="8"/>
  <c r="O192" i="8"/>
  <c r="P192" i="8"/>
  <c r="AE192" i="8"/>
  <c r="AF192" i="8"/>
  <c r="AN192" i="8"/>
  <c r="AO192" i="8"/>
  <c r="BB192" i="8"/>
  <c r="BC192" i="8"/>
  <c r="BK192" i="8"/>
  <c r="BL192" i="8"/>
  <c r="BT192" i="8"/>
  <c r="BX192" i="8" s="1"/>
  <c r="BW192" i="8"/>
  <c r="BY192" i="8" s="1"/>
  <c r="CA192" i="8"/>
  <c r="CB192" i="8"/>
  <c r="CC192" i="8"/>
  <c r="CD192" i="8"/>
  <c r="CE192" i="8"/>
  <c r="CF192" i="8"/>
  <c r="CG192" i="8"/>
  <c r="CH192" i="8"/>
  <c r="CI192" i="8"/>
  <c r="CJ192" i="8"/>
  <c r="I193" i="8"/>
  <c r="J193" i="8"/>
  <c r="K193" i="8"/>
  <c r="L193" i="8"/>
  <c r="O193" i="8"/>
  <c r="P193" i="8"/>
  <c r="AE193" i="8"/>
  <c r="AF193" i="8"/>
  <c r="AN193" i="8"/>
  <c r="AO193" i="8"/>
  <c r="BB193" i="8"/>
  <c r="BC193" i="8"/>
  <c r="BK193" i="8"/>
  <c r="BL193" i="8"/>
  <c r="BT193" i="8"/>
  <c r="BX193" i="8" s="1"/>
  <c r="BW193" i="8"/>
  <c r="BY193" i="8" s="1"/>
  <c r="CA193" i="8"/>
  <c r="CB193" i="8"/>
  <c r="CC193" i="8"/>
  <c r="CD193" i="8"/>
  <c r="CE193" i="8"/>
  <c r="CF193" i="8"/>
  <c r="CG193" i="8"/>
  <c r="CH193" i="8"/>
  <c r="CI193" i="8"/>
  <c r="CJ193" i="8"/>
  <c r="I194" i="8"/>
  <c r="J194" i="8"/>
  <c r="K194" i="8"/>
  <c r="L194" i="8"/>
  <c r="O194" i="8"/>
  <c r="P194" i="8"/>
  <c r="AE194" i="8"/>
  <c r="AF194" i="8"/>
  <c r="AN194" i="8"/>
  <c r="AO194" i="8"/>
  <c r="BB194" i="8"/>
  <c r="BC194" i="8"/>
  <c r="BK194" i="8"/>
  <c r="BL194" i="8"/>
  <c r="BT194" i="8"/>
  <c r="BX194" i="8" s="1"/>
  <c r="BW194" i="8"/>
  <c r="BY194" i="8" s="1"/>
  <c r="CA194" i="8"/>
  <c r="CB194" i="8"/>
  <c r="CC194" i="8"/>
  <c r="CD194" i="8"/>
  <c r="CE194" i="8"/>
  <c r="CF194" i="8"/>
  <c r="CG194" i="8"/>
  <c r="CH194" i="8"/>
  <c r="CI194" i="8"/>
  <c r="CJ194" i="8"/>
  <c r="I195" i="8"/>
  <c r="J195" i="8"/>
  <c r="K195" i="8"/>
  <c r="L195" i="8"/>
  <c r="O195" i="8"/>
  <c r="P195" i="8"/>
  <c r="AE195" i="8"/>
  <c r="AF195" i="8"/>
  <c r="AN195" i="8"/>
  <c r="AO195" i="8"/>
  <c r="BB195" i="8"/>
  <c r="BC195" i="8"/>
  <c r="BK195" i="8"/>
  <c r="BL195" i="8"/>
  <c r="BT195" i="8"/>
  <c r="BX195" i="8" s="1"/>
  <c r="BW195" i="8"/>
  <c r="BY195" i="8" s="1"/>
  <c r="CA195" i="8"/>
  <c r="CB195" i="8"/>
  <c r="CC195" i="8"/>
  <c r="CD195" i="8"/>
  <c r="CE195" i="8"/>
  <c r="CF195" i="8"/>
  <c r="CG195" i="8"/>
  <c r="CH195" i="8"/>
  <c r="CI195" i="8"/>
  <c r="CJ195" i="8"/>
  <c r="I196" i="8"/>
  <c r="J196" i="8"/>
  <c r="K196" i="8"/>
  <c r="L196" i="8"/>
  <c r="O196" i="8"/>
  <c r="P196" i="8"/>
  <c r="AE196" i="8"/>
  <c r="AF196" i="8"/>
  <c r="AN196" i="8"/>
  <c r="AO196" i="8"/>
  <c r="BB196" i="8"/>
  <c r="BC196" i="8"/>
  <c r="BK196" i="8"/>
  <c r="BL196" i="8"/>
  <c r="BT196" i="8"/>
  <c r="BX196" i="8" s="1"/>
  <c r="BW196" i="8"/>
  <c r="BY196" i="8" s="1"/>
  <c r="CA196" i="8"/>
  <c r="CB196" i="8"/>
  <c r="CC196" i="8"/>
  <c r="CD196" i="8"/>
  <c r="CE196" i="8"/>
  <c r="CF196" i="8"/>
  <c r="CG196" i="8"/>
  <c r="CH196" i="8"/>
  <c r="CI196" i="8"/>
  <c r="CJ196" i="8"/>
  <c r="I197" i="8"/>
  <c r="J197" i="8"/>
  <c r="K197" i="8"/>
  <c r="L197" i="8"/>
  <c r="O197" i="8"/>
  <c r="P197" i="8"/>
  <c r="AE197" i="8"/>
  <c r="AF197" i="8"/>
  <c r="AN197" i="8"/>
  <c r="AO197" i="8"/>
  <c r="BB197" i="8"/>
  <c r="BC197" i="8"/>
  <c r="BK197" i="8"/>
  <c r="BL197" i="8"/>
  <c r="BT197" i="8"/>
  <c r="BX197" i="8" s="1"/>
  <c r="BW197" i="8"/>
  <c r="BY197" i="8" s="1"/>
  <c r="CA197" i="8"/>
  <c r="CB197" i="8"/>
  <c r="CC197" i="8"/>
  <c r="CD197" i="8"/>
  <c r="CE197" i="8"/>
  <c r="CF197" i="8"/>
  <c r="CG197" i="8"/>
  <c r="CH197" i="8"/>
  <c r="CI197" i="8"/>
  <c r="CJ197" i="8"/>
  <c r="I198" i="8"/>
  <c r="J198" i="8"/>
  <c r="K198" i="8"/>
  <c r="L198" i="8"/>
  <c r="O198" i="8"/>
  <c r="P198" i="8"/>
  <c r="Q198" i="8" s="1"/>
  <c r="AE198" i="8"/>
  <c r="AF198" i="8"/>
  <c r="AN198" i="8"/>
  <c r="AO198" i="8"/>
  <c r="BB198" i="8"/>
  <c r="BC198" i="8"/>
  <c r="BK198" i="8"/>
  <c r="BL198" i="8"/>
  <c r="BT198" i="8"/>
  <c r="BX198" i="8" s="1"/>
  <c r="BW198" i="8"/>
  <c r="BY198" i="8" s="1"/>
  <c r="CA198" i="8"/>
  <c r="CB198" i="8"/>
  <c r="CC198" i="8"/>
  <c r="CD198" i="8"/>
  <c r="CE198" i="8"/>
  <c r="CF198" i="8"/>
  <c r="CG198" i="8"/>
  <c r="CH198" i="8"/>
  <c r="CI198" i="8"/>
  <c r="CJ198" i="8"/>
  <c r="I199" i="8"/>
  <c r="J199" i="8"/>
  <c r="K199" i="8"/>
  <c r="L199" i="8"/>
  <c r="O199" i="8"/>
  <c r="P199" i="8"/>
  <c r="AE199" i="8"/>
  <c r="AF199" i="8"/>
  <c r="AN199" i="8"/>
  <c r="AO199" i="8"/>
  <c r="BB199" i="8"/>
  <c r="BC199" i="8"/>
  <c r="BK199" i="8"/>
  <c r="BL199" i="8"/>
  <c r="BT199" i="8"/>
  <c r="BX199" i="8" s="1"/>
  <c r="BW199" i="8"/>
  <c r="BY199" i="8" s="1"/>
  <c r="CA199" i="8"/>
  <c r="CB199" i="8"/>
  <c r="CC199" i="8"/>
  <c r="CD199" i="8"/>
  <c r="CE199" i="8"/>
  <c r="CF199" i="8"/>
  <c r="CG199" i="8"/>
  <c r="CH199" i="8"/>
  <c r="CI199" i="8"/>
  <c r="CJ199" i="8"/>
  <c r="I200" i="8"/>
  <c r="J200" i="8"/>
  <c r="K200" i="8"/>
  <c r="L200" i="8"/>
  <c r="O200" i="8"/>
  <c r="P200" i="8"/>
  <c r="AE200" i="8"/>
  <c r="AF200" i="8"/>
  <c r="AN200" i="8"/>
  <c r="AO200" i="8"/>
  <c r="BB200" i="8"/>
  <c r="BC200" i="8"/>
  <c r="BK200" i="8"/>
  <c r="BL200" i="8"/>
  <c r="BT200" i="8"/>
  <c r="BX200" i="8" s="1"/>
  <c r="BW200" i="8"/>
  <c r="BY200" i="8" s="1"/>
  <c r="CA200" i="8"/>
  <c r="CB200" i="8"/>
  <c r="CC200" i="8"/>
  <c r="CD200" i="8"/>
  <c r="CE200" i="8"/>
  <c r="CF200" i="8"/>
  <c r="CG200" i="8"/>
  <c r="CH200" i="8"/>
  <c r="CI200" i="8"/>
  <c r="CJ200" i="8"/>
  <c r="I201" i="8"/>
  <c r="J201" i="8"/>
  <c r="K201" i="8"/>
  <c r="L201" i="8"/>
  <c r="O201" i="8"/>
  <c r="P201" i="8"/>
  <c r="AE201" i="8"/>
  <c r="AF201" i="8"/>
  <c r="AN201" i="8"/>
  <c r="AO201" i="8"/>
  <c r="BB201" i="8"/>
  <c r="BC201" i="8"/>
  <c r="BK201" i="8"/>
  <c r="BL201" i="8"/>
  <c r="BT201" i="8"/>
  <c r="BX201" i="8" s="1"/>
  <c r="BW201" i="8"/>
  <c r="BY201" i="8" s="1"/>
  <c r="CA201" i="8"/>
  <c r="CB201" i="8"/>
  <c r="CC201" i="8"/>
  <c r="CD201" i="8"/>
  <c r="CE201" i="8"/>
  <c r="CF201" i="8"/>
  <c r="CG201" i="8"/>
  <c r="CH201" i="8"/>
  <c r="CI201" i="8"/>
  <c r="CJ201" i="8"/>
  <c r="I202" i="8"/>
  <c r="J202" i="8"/>
  <c r="K202" i="8"/>
  <c r="L202" i="8"/>
  <c r="O202" i="8"/>
  <c r="P202" i="8"/>
  <c r="AE202" i="8"/>
  <c r="AF202" i="8"/>
  <c r="AN202" i="8"/>
  <c r="AO202" i="8"/>
  <c r="BB202" i="8"/>
  <c r="BC202" i="8"/>
  <c r="BK202" i="8"/>
  <c r="BL202" i="8"/>
  <c r="BT202" i="8"/>
  <c r="BX202" i="8" s="1"/>
  <c r="BW202" i="8"/>
  <c r="BY202" i="8" s="1"/>
  <c r="CA202" i="8"/>
  <c r="CB202" i="8"/>
  <c r="CC202" i="8"/>
  <c r="CD202" i="8"/>
  <c r="CE202" i="8"/>
  <c r="CF202" i="8"/>
  <c r="CG202" i="8"/>
  <c r="CH202" i="8"/>
  <c r="CI202" i="8"/>
  <c r="CJ202" i="8"/>
  <c r="I203" i="8"/>
  <c r="J203" i="8"/>
  <c r="K203" i="8"/>
  <c r="L203" i="8"/>
  <c r="O203" i="8"/>
  <c r="P203" i="8"/>
  <c r="AE203" i="8"/>
  <c r="AF203" i="8"/>
  <c r="AN203" i="8"/>
  <c r="AO203" i="8"/>
  <c r="BB203" i="8"/>
  <c r="BC203" i="8"/>
  <c r="BK203" i="8"/>
  <c r="BL203" i="8"/>
  <c r="BT203" i="8"/>
  <c r="BX203" i="8" s="1"/>
  <c r="BW203" i="8"/>
  <c r="BY203" i="8" s="1"/>
  <c r="CA203" i="8"/>
  <c r="CB203" i="8"/>
  <c r="CC203" i="8"/>
  <c r="CD203" i="8"/>
  <c r="CE203" i="8"/>
  <c r="CF203" i="8"/>
  <c r="CG203" i="8"/>
  <c r="CH203" i="8"/>
  <c r="CI203" i="8"/>
  <c r="CJ203" i="8"/>
  <c r="I204" i="8"/>
  <c r="J204" i="8"/>
  <c r="K204" i="8"/>
  <c r="L204" i="8"/>
  <c r="O204" i="8"/>
  <c r="P204" i="8"/>
  <c r="AE204" i="8"/>
  <c r="AF204" i="8"/>
  <c r="AG204" i="8" s="1"/>
  <c r="AN204" i="8"/>
  <c r="AO204" i="8"/>
  <c r="BB204" i="8"/>
  <c r="BC204" i="8"/>
  <c r="BK204" i="8"/>
  <c r="BL204" i="8"/>
  <c r="BT204" i="8"/>
  <c r="BX204" i="8" s="1"/>
  <c r="BW204" i="8"/>
  <c r="BY204" i="8" s="1"/>
  <c r="CA204" i="8"/>
  <c r="CB204" i="8"/>
  <c r="CC204" i="8"/>
  <c r="CD204" i="8"/>
  <c r="CE204" i="8"/>
  <c r="CF204" i="8"/>
  <c r="CG204" i="8"/>
  <c r="CH204" i="8"/>
  <c r="CI204" i="8"/>
  <c r="CJ204" i="8"/>
  <c r="I205" i="8"/>
  <c r="J205" i="8"/>
  <c r="K205" i="8"/>
  <c r="L205" i="8"/>
  <c r="O205" i="8"/>
  <c r="P205" i="8"/>
  <c r="AE205" i="8"/>
  <c r="AF205" i="8"/>
  <c r="AN205" i="8"/>
  <c r="AO205" i="8"/>
  <c r="BB205" i="8"/>
  <c r="BC205" i="8"/>
  <c r="BK205" i="8"/>
  <c r="BL205" i="8"/>
  <c r="BT205" i="8"/>
  <c r="BX205" i="8" s="1"/>
  <c r="BW205" i="8"/>
  <c r="BY205" i="8" s="1"/>
  <c r="CA205" i="8"/>
  <c r="CB205" i="8"/>
  <c r="CC205" i="8"/>
  <c r="CD205" i="8"/>
  <c r="CE205" i="8"/>
  <c r="CF205" i="8"/>
  <c r="CG205" i="8"/>
  <c r="CH205" i="8"/>
  <c r="CI205" i="8"/>
  <c r="CJ205" i="8"/>
  <c r="I206" i="8"/>
  <c r="J206" i="8"/>
  <c r="K206" i="8"/>
  <c r="L206" i="8"/>
  <c r="O206" i="8"/>
  <c r="P206" i="8"/>
  <c r="AE206" i="8"/>
  <c r="AF206" i="8"/>
  <c r="AN206" i="8"/>
  <c r="AO206" i="8"/>
  <c r="BB206" i="8"/>
  <c r="BC206" i="8"/>
  <c r="BK206" i="8"/>
  <c r="BL206" i="8"/>
  <c r="BT206" i="8"/>
  <c r="BX206" i="8" s="1"/>
  <c r="BW206" i="8"/>
  <c r="BY206" i="8" s="1"/>
  <c r="CA206" i="8"/>
  <c r="CB206" i="8"/>
  <c r="CC206" i="8"/>
  <c r="CD206" i="8"/>
  <c r="CE206" i="8"/>
  <c r="CF206" i="8"/>
  <c r="CG206" i="8"/>
  <c r="CH206" i="8"/>
  <c r="CI206" i="8"/>
  <c r="CJ206" i="8"/>
  <c r="I207" i="8"/>
  <c r="J207" i="8"/>
  <c r="K207" i="8"/>
  <c r="L207" i="8"/>
  <c r="O207" i="8"/>
  <c r="P207" i="8"/>
  <c r="AE207" i="8"/>
  <c r="AF207" i="8"/>
  <c r="AN207" i="8"/>
  <c r="AO207" i="8"/>
  <c r="BB207" i="8"/>
  <c r="BC207" i="8"/>
  <c r="BK207" i="8"/>
  <c r="BL207" i="8"/>
  <c r="BT207" i="8"/>
  <c r="BX207" i="8" s="1"/>
  <c r="BW207" i="8"/>
  <c r="BY207" i="8" s="1"/>
  <c r="CA207" i="8"/>
  <c r="CB207" i="8"/>
  <c r="CC207" i="8"/>
  <c r="CD207" i="8"/>
  <c r="CE207" i="8"/>
  <c r="CF207" i="8"/>
  <c r="CG207" i="8"/>
  <c r="CH207" i="8"/>
  <c r="CI207" i="8"/>
  <c r="CJ207" i="8"/>
  <c r="I208" i="8"/>
  <c r="J208" i="8"/>
  <c r="K208" i="8"/>
  <c r="L208" i="8"/>
  <c r="O208" i="8"/>
  <c r="P208" i="8"/>
  <c r="AE208" i="8"/>
  <c r="AF208" i="8"/>
  <c r="AN208" i="8"/>
  <c r="AO208" i="8"/>
  <c r="BB208" i="8"/>
  <c r="BC208" i="8"/>
  <c r="BK208" i="8"/>
  <c r="BL208" i="8"/>
  <c r="BT208" i="8"/>
  <c r="BX208" i="8" s="1"/>
  <c r="BW208" i="8"/>
  <c r="BY208" i="8" s="1"/>
  <c r="CA208" i="8"/>
  <c r="CB208" i="8"/>
  <c r="CC208" i="8"/>
  <c r="CD208" i="8"/>
  <c r="CE208" i="8"/>
  <c r="CF208" i="8"/>
  <c r="CG208" i="8"/>
  <c r="CH208" i="8"/>
  <c r="CI208" i="8"/>
  <c r="CJ208" i="8"/>
  <c r="I209" i="8"/>
  <c r="J209" i="8"/>
  <c r="K209" i="8"/>
  <c r="L209" i="8"/>
  <c r="O209" i="8"/>
  <c r="P209" i="8"/>
  <c r="AE209" i="8"/>
  <c r="AF209" i="8"/>
  <c r="AN209" i="8"/>
  <c r="AO209" i="8"/>
  <c r="BB209" i="8"/>
  <c r="BC209" i="8"/>
  <c r="BK209" i="8"/>
  <c r="BL209" i="8"/>
  <c r="BT209" i="8"/>
  <c r="BX209" i="8" s="1"/>
  <c r="BW209" i="8"/>
  <c r="BY209" i="8" s="1"/>
  <c r="CA209" i="8"/>
  <c r="CB209" i="8"/>
  <c r="CC209" i="8"/>
  <c r="CD209" i="8"/>
  <c r="CE209" i="8"/>
  <c r="CF209" i="8"/>
  <c r="CG209" i="8"/>
  <c r="CH209" i="8"/>
  <c r="CI209" i="8"/>
  <c r="CJ209" i="8"/>
  <c r="I210" i="8"/>
  <c r="J210" i="8"/>
  <c r="K210" i="8"/>
  <c r="L210" i="8"/>
  <c r="O210" i="8"/>
  <c r="P210" i="8"/>
  <c r="AE210" i="8"/>
  <c r="AF210" i="8"/>
  <c r="AN210" i="8"/>
  <c r="AO210" i="8"/>
  <c r="BB210" i="8"/>
  <c r="BC210" i="8"/>
  <c r="BK210" i="8"/>
  <c r="BL210" i="8"/>
  <c r="BT210" i="8"/>
  <c r="BX210" i="8" s="1"/>
  <c r="BW210" i="8"/>
  <c r="BY210" i="8" s="1"/>
  <c r="CA210" i="8"/>
  <c r="CB210" i="8"/>
  <c r="CC210" i="8"/>
  <c r="CD210" i="8"/>
  <c r="CE210" i="8"/>
  <c r="CF210" i="8"/>
  <c r="CG210" i="8"/>
  <c r="CH210" i="8"/>
  <c r="CI210" i="8"/>
  <c r="CJ210" i="8"/>
  <c r="I211" i="8"/>
  <c r="J211" i="8"/>
  <c r="K211" i="8"/>
  <c r="L211" i="8"/>
  <c r="O211" i="8"/>
  <c r="P211" i="8"/>
  <c r="AE211" i="8"/>
  <c r="AF211" i="8"/>
  <c r="AN211" i="8"/>
  <c r="AO211" i="8"/>
  <c r="BB211" i="8"/>
  <c r="BC211" i="8"/>
  <c r="BK211" i="8"/>
  <c r="BL211" i="8"/>
  <c r="BT211" i="8"/>
  <c r="BX211" i="8" s="1"/>
  <c r="BW211" i="8"/>
  <c r="BY211" i="8" s="1"/>
  <c r="CA211" i="8"/>
  <c r="CB211" i="8"/>
  <c r="CC211" i="8"/>
  <c r="CD211" i="8"/>
  <c r="CE211" i="8"/>
  <c r="CF211" i="8"/>
  <c r="CG211" i="8"/>
  <c r="CH211" i="8"/>
  <c r="CI211" i="8"/>
  <c r="CJ211" i="8"/>
  <c r="I212" i="8"/>
  <c r="J212" i="8"/>
  <c r="K212" i="8"/>
  <c r="L212" i="8"/>
  <c r="O212" i="8"/>
  <c r="P212" i="8"/>
  <c r="AE212" i="8"/>
  <c r="AF212" i="8"/>
  <c r="AN212" i="8"/>
  <c r="AO212" i="8"/>
  <c r="BB212" i="8"/>
  <c r="BC212" i="8"/>
  <c r="BK212" i="8"/>
  <c r="BL212" i="8"/>
  <c r="BT212" i="8"/>
  <c r="BX212" i="8" s="1"/>
  <c r="BW212" i="8"/>
  <c r="BY212" i="8" s="1"/>
  <c r="CA212" i="8"/>
  <c r="CB212" i="8"/>
  <c r="CC212" i="8"/>
  <c r="CD212" i="8"/>
  <c r="CE212" i="8"/>
  <c r="CF212" i="8"/>
  <c r="CG212" i="8"/>
  <c r="CH212" i="8"/>
  <c r="CI212" i="8"/>
  <c r="CJ212" i="8"/>
  <c r="I213" i="8"/>
  <c r="J213" i="8"/>
  <c r="K213" i="8"/>
  <c r="L213" i="8"/>
  <c r="O213" i="8"/>
  <c r="P213" i="8"/>
  <c r="AE213" i="8"/>
  <c r="AF213" i="8"/>
  <c r="AN213" i="8"/>
  <c r="AO213" i="8"/>
  <c r="BB213" i="8"/>
  <c r="BC213" i="8"/>
  <c r="BK213" i="8"/>
  <c r="BL213" i="8"/>
  <c r="BT213" i="8"/>
  <c r="BX213" i="8" s="1"/>
  <c r="BW213" i="8"/>
  <c r="BY213" i="8" s="1"/>
  <c r="CA213" i="8"/>
  <c r="CB213" i="8"/>
  <c r="CC213" i="8"/>
  <c r="CD213" i="8"/>
  <c r="CE213" i="8"/>
  <c r="CF213" i="8"/>
  <c r="CG213" i="8"/>
  <c r="CH213" i="8"/>
  <c r="CI213" i="8"/>
  <c r="CJ213" i="8"/>
  <c r="I214" i="8"/>
  <c r="J214" i="8"/>
  <c r="K214" i="8"/>
  <c r="L214" i="8"/>
  <c r="O214" i="8"/>
  <c r="P214" i="8"/>
  <c r="AE214" i="8"/>
  <c r="AF214" i="8"/>
  <c r="AN214" i="8"/>
  <c r="AO214" i="8"/>
  <c r="BB214" i="8"/>
  <c r="BC214" i="8"/>
  <c r="BK214" i="8"/>
  <c r="BL214" i="8"/>
  <c r="BT214" i="8"/>
  <c r="BX214" i="8" s="1"/>
  <c r="BW214" i="8"/>
  <c r="BY214" i="8" s="1"/>
  <c r="CA214" i="8"/>
  <c r="CB214" i="8"/>
  <c r="CC214" i="8"/>
  <c r="CD214" i="8"/>
  <c r="CE214" i="8"/>
  <c r="CF214" i="8"/>
  <c r="CG214" i="8"/>
  <c r="CH214" i="8"/>
  <c r="CI214" i="8"/>
  <c r="CJ214" i="8"/>
  <c r="I215" i="8"/>
  <c r="J215" i="8"/>
  <c r="K215" i="8"/>
  <c r="L215" i="8"/>
  <c r="O215" i="8"/>
  <c r="P215" i="8"/>
  <c r="AE215" i="8"/>
  <c r="AF215" i="8"/>
  <c r="AN215" i="8"/>
  <c r="AO215" i="8"/>
  <c r="BB215" i="8"/>
  <c r="BC215" i="8"/>
  <c r="BK215" i="8"/>
  <c r="BL215" i="8"/>
  <c r="BT215" i="8"/>
  <c r="BX215" i="8" s="1"/>
  <c r="BW215" i="8"/>
  <c r="BY215" i="8" s="1"/>
  <c r="CA215" i="8"/>
  <c r="CB215" i="8"/>
  <c r="CC215" i="8"/>
  <c r="CD215" i="8"/>
  <c r="CE215" i="8"/>
  <c r="CF215" i="8"/>
  <c r="CG215" i="8"/>
  <c r="CH215" i="8"/>
  <c r="CI215" i="8"/>
  <c r="CJ215" i="8"/>
  <c r="I216" i="8"/>
  <c r="J216" i="8"/>
  <c r="K216" i="8"/>
  <c r="L216" i="8"/>
  <c r="O216" i="8"/>
  <c r="P216" i="8"/>
  <c r="AE216" i="8"/>
  <c r="AF216" i="8"/>
  <c r="AN216" i="8"/>
  <c r="AO216" i="8"/>
  <c r="BB216" i="8"/>
  <c r="BC216" i="8"/>
  <c r="BK216" i="8"/>
  <c r="BL216" i="8"/>
  <c r="BT216" i="8"/>
  <c r="BX216" i="8" s="1"/>
  <c r="BW216" i="8"/>
  <c r="BY216" i="8" s="1"/>
  <c r="CA216" i="8"/>
  <c r="CB216" i="8"/>
  <c r="CC216" i="8"/>
  <c r="CD216" i="8"/>
  <c r="CE216" i="8"/>
  <c r="CF216" i="8"/>
  <c r="CG216" i="8"/>
  <c r="CH216" i="8"/>
  <c r="CI216" i="8"/>
  <c r="CJ216" i="8"/>
  <c r="I217" i="8"/>
  <c r="J217" i="8"/>
  <c r="K217" i="8"/>
  <c r="L217" i="8"/>
  <c r="O217" i="8"/>
  <c r="P217" i="8"/>
  <c r="AN217" i="8"/>
  <c r="AO217" i="8"/>
  <c r="CE217" i="8"/>
  <c r="CF217" i="8"/>
  <c r="CG217" i="8"/>
  <c r="CH217" i="8"/>
  <c r="CJ217" i="8"/>
  <c r="I218" i="8"/>
  <c r="J218" i="8"/>
  <c r="K218" i="8"/>
  <c r="L218" i="8"/>
  <c r="O218" i="8"/>
  <c r="P218" i="8"/>
  <c r="AN218" i="8"/>
  <c r="AO218" i="8"/>
  <c r="CE218" i="8"/>
  <c r="CF218" i="8"/>
  <c r="CG218" i="8"/>
  <c r="CH218" i="8"/>
  <c r="CJ218" i="8"/>
  <c r="I219" i="8"/>
  <c r="J219" i="8"/>
  <c r="K219" i="8"/>
  <c r="L219" i="8"/>
  <c r="O219" i="8"/>
  <c r="P219" i="8"/>
  <c r="AN219" i="8"/>
  <c r="AO219" i="8"/>
  <c r="CE219" i="8"/>
  <c r="CF219" i="8"/>
  <c r="CG219" i="8"/>
  <c r="CH219" i="8"/>
  <c r="CJ219" i="8"/>
  <c r="I220" i="8"/>
  <c r="J220" i="8"/>
  <c r="K220" i="8"/>
  <c r="L220" i="8"/>
  <c r="O220" i="8"/>
  <c r="P220" i="8"/>
  <c r="AN220" i="8"/>
  <c r="AO220" i="8"/>
  <c r="CE220" i="8"/>
  <c r="CF220" i="8"/>
  <c r="CG220" i="8"/>
  <c r="CH220" i="8"/>
  <c r="CJ220" i="8"/>
  <c r="I221" i="8"/>
  <c r="J221" i="8"/>
  <c r="K221" i="8"/>
  <c r="L221" i="8"/>
  <c r="O221" i="8"/>
  <c r="P221" i="8"/>
  <c r="AN221" i="8"/>
  <c r="AO221" i="8"/>
  <c r="CE221" i="8"/>
  <c r="CF221" i="8"/>
  <c r="CG221" i="8"/>
  <c r="CH221" i="8"/>
  <c r="CJ221" i="8"/>
  <c r="Y4" i="8"/>
  <c r="Y5" i="8" s="1"/>
  <c r="AY39" i="8"/>
  <c r="AN4" i="8"/>
  <c r="AN5" i="8" s="1"/>
  <c r="AT4" i="8"/>
  <c r="AT5" i="8" s="1"/>
  <c r="B66" i="8"/>
  <c r="AU4" i="8"/>
  <c r="AU13" i="8" s="1"/>
  <c r="I34" i="98"/>
  <c r="H35" i="98"/>
  <c r="G35" i="98"/>
  <c r="J54" i="119"/>
  <c r="J55" i="119" s="1"/>
  <c r="CJ3" i="25"/>
  <c r="CJ7" i="25"/>
  <c r="CJ11" i="25"/>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5" i="125"/>
  <c r="E6" i="125"/>
  <c r="E7" i="125"/>
  <c r="E8" i="125"/>
  <c r="E9" i="125"/>
  <c r="E10" i="125"/>
  <c r="E11" i="125"/>
  <c r="E12" i="125"/>
  <c r="E13" i="125"/>
  <c r="E14" i="125"/>
  <c r="E15" i="125"/>
  <c r="E16" i="125"/>
  <c r="E17" i="125"/>
  <c r="E18" i="125"/>
  <c r="E19" i="125"/>
  <c r="E20" i="125"/>
  <c r="E21" i="125"/>
  <c r="E22" i="125"/>
  <c r="E23" i="125"/>
  <c r="E24" i="125"/>
  <c r="E25" i="125"/>
  <c r="E26" i="125"/>
  <c r="E27" i="125"/>
  <c r="E28" i="125"/>
  <c r="E29" i="125"/>
  <c r="E30" i="125"/>
  <c r="E31" i="125"/>
  <c r="E32" i="125"/>
  <c r="E33" i="125"/>
  <c r="E34" i="125"/>
  <c r="E35" i="125"/>
  <c r="E36" i="125"/>
  <c r="E37" i="125"/>
  <c r="E38" i="125"/>
  <c r="E39" i="125"/>
  <c r="E40" i="125"/>
  <c r="E41" i="125"/>
  <c r="E5" i="127"/>
  <c r="E6" i="127"/>
  <c r="E7" i="127"/>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BZ2" i="12"/>
  <c r="CA2" i="12"/>
  <c r="CB2" i="12"/>
  <c r="CC2" i="12"/>
  <c r="CD2" i="12"/>
  <c r="CE2" i="12"/>
  <c r="CG2" i="12"/>
  <c r="CH2" i="12"/>
  <c r="CI2" i="12"/>
  <c r="CJ2" i="12"/>
  <c r="CK2" i="12"/>
  <c r="CL2" i="12"/>
  <c r="CM2" i="12"/>
  <c r="CN2" i="12"/>
  <c r="CQ2" i="12"/>
  <c r="CR2" i="12"/>
  <c r="CS2" i="12"/>
  <c r="CT2" i="12"/>
  <c r="CU2" i="12"/>
  <c r="CV2" i="12"/>
  <c r="CW2" i="12"/>
  <c r="CX2" i="12"/>
  <c r="CY2" i="12"/>
  <c r="CZ2" i="12"/>
  <c r="DC2" i="12"/>
  <c r="DD2" i="12"/>
  <c r="DF2" i="12"/>
  <c r="DG2" i="12"/>
  <c r="DH2" i="12"/>
  <c r="DI2" i="12"/>
  <c r="BZ2" i="125"/>
  <c r="CA2" i="125"/>
  <c r="CB2" i="125"/>
  <c r="CC2" i="125"/>
  <c r="CD2" i="125"/>
  <c r="CE2" i="125"/>
  <c r="CG2" i="125"/>
  <c r="CH2" i="125"/>
  <c r="CI2" i="125"/>
  <c r="CJ2" i="125"/>
  <c r="CK2" i="125"/>
  <c r="CL2" i="125"/>
  <c r="CM2" i="125"/>
  <c r="CN2" i="125"/>
  <c r="CQ2" i="125"/>
  <c r="CR2" i="125"/>
  <c r="CS2" i="125"/>
  <c r="CT2" i="125"/>
  <c r="CU2" i="125"/>
  <c r="CV2" i="125"/>
  <c r="CW2" i="125"/>
  <c r="CX2" i="125"/>
  <c r="CY2" i="125"/>
  <c r="CZ2" i="125"/>
  <c r="DC2" i="125"/>
  <c r="DD2" i="125"/>
  <c r="DF2" i="125"/>
  <c r="DG2" i="125"/>
  <c r="DH2" i="125"/>
  <c r="DI2" i="125"/>
  <c r="BZ2" i="127"/>
  <c r="CA2" i="127"/>
  <c r="CB2" i="127"/>
  <c r="CC2" i="127"/>
  <c r="CD2" i="127"/>
  <c r="CE2" i="127"/>
  <c r="CG2" i="127"/>
  <c r="CH2" i="127"/>
  <c r="CI2" i="127"/>
  <c r="CJ2" i="127"/>
  <c r="CK2" i="127"/>
  <c r="CL2" i="127"/>
  <c r="CM2" i="127"/>
  <c r="CN2" i="127"/>
  <c r="CQ2" i="127"/>
  <c r="CR2" i="127"/>
  <c r="CS2" i="127"/>
  <c r="CT2" i="127"/>
  <c r="CU2" i="127"/>
  <c r="CV2" i="127"/>
  <c r="CW2" i="127"/>
  <c r="CX2" i="127"/>
  <c r="CY2" i="127"/>
  <c r="CZ2" i="127"/>
  <c r="DC2" i="127"/>
  <c r="DD2" i="127"/>
  <c r="DF2" i="127"/>
  <c r="DG2" i="127"/>
  <c r="DH2" i="127"/>
  <c r="DI2" i="127"/>
  <c r="D45" i="101"/>
  <c r="B7" i="101"/>
  <c r="D24" i="101"/>
  <c r="G16" i="101"/>
  <c r="E16" i="101"/>
  <c r="F16" i="101"/>
  <c r="F15" i="101"/>
  <c r="F14" i="101"/>
  <c r="H13" i="101"/>
  <c r="K13" i="101"/>
  <c r="G13" i="101"/>
  <c r="F13" i="101"/>
  <c r="H12" i="101"/>
  <c r="K12" i="101"/>
  <c r="G12" i="101"/>
  <c r="F12" i="101"/>
  <c r="H11" i="101"/>
  <c r="K11" i="101"/>
  <c r="G11" i="101"/>
  <c r="F11" i="101"/>
  <c r="H10" i="101"/>
  <c r="G10" i="101"/>
  <c r="F10" i="101"/>
  <c r="B28" i="101"/>
  <c r="G37" i="101"/>
  <c r="E37" i="101"/>
  <c r="F37" i="101"/>
  <c r="F36" i="101"/>
  <c r="F35" i="101"/>
  <c r="H34" i="101"/>
  <c r="K34" i="101"/>
  <c r="G34" i="101"/>
  <c r="F34" i="101"/>
  <c r="H33" i="101"/>
  <c r="K33" i="101"/>
  <c r="G33" i="101"/>
  <c r="F33" i="101"/>
  <c r="H32" i="101"/>
  <c r="K32" i="101"/>
  <c r="G32" i="101"/>
  <c r="F32" i="101"/>
  <c r="H31" i="101"/>
  <c r="K31" i="101"/>
  <c r="G31" i="101"/>
  <c r="F31" i="101"/>
  <c r="B49" i="101"/>
  <c r="A34" i="73"/>
  <c r="A23" i="73"/>
  <c r="A12" i="73"/>
  <c r="J49" i="119"/>
  <c r="J51" i="119" s="1"/>
  <c r="J35" i="119"/>
  <c r="J36" i="119" s="1"/>
  <c r="J30" i="119"/>
  <c r="A46" i="119"/>
  <c r="A27" i="119"/>
  <c r="J16" i="119"/>
  <c r="J17" i="119" s="1"/>
  <c r="J12" i="119"/>
  <c r="J11" i="119"/>
  <c r="L1" i="101"/>
  <c r="V1" i="73"/>
  <c r="A8" i="119"/>
  <c r="CS5" i="25"/>
  <c r="CS9" i="25"/>
  <c r="CS13" i="25"/>
  <c r="A12" i="120"/>
  <c r="A13" i="120"/>
  <c r="A9" i="120"/>
  <c r="M3" i="25" s="1"/>
  <c r="A10" i="120"/>
  <c r="A6" i="120"/>
  <c r="A7" i="120"/>
  <c r="A11" i="120"/>
  <c r="A8" i="120"/>
  <c r="A5" i="120"/>
  <c r="L12" i="120"/>
  <c r="L9" i="120"/>
  <c r="C7" i="25"/>
  <c r="C8" i="25"/>
  <c r="CS8" i="25"/>
  <c r="C6" i="25"/>
  <c r="CS6" i="25"/>
  <c r="C3" i="25"/>
  <c r="C4" i="25"/>
  <c r="C2" i="25"/>
  <c r="CS2" i="25" s="1"/>
  <c r="D4" i="25"/>
  <c r="B4" i="25"/>
  <c r="A4" i="25"/>
  <c r="D3" i="25"/>
  <c r="B3" i="25"/>
  <c r="A3" i="25"/>
  <c r="D2" i="25"/>
  <c r="B2" i="25"/>
  <c r="A2" i="25"/>
  <c r="D8" i="25"/>
  <c r="B8" i="25"/>
  <c r="A8" i="25"/>
  <c r="D7" i="25"/>
  <c r="B7" i="25"/>
  <c r="A7" i="25"/>
  <c r="D6" i="25"/>
  <c r="B6" i="25"/>
  <c r="A6" i="25"/>
  <c r="DC50" i="127"/>
  <c r="DC49" i="127"/>
  <c r="DC48" i="127"/>
  <c r="DC47" i="127"/>
  <c r="DC46" i="127"/>
  <c r="DC45" i="127"/>
  <c r="DC44" i="127"/>
  <c r="DC43" i="127"/>
  <c r="DC42" i="127"/>
  <c r="DC41" i="127"/>
  <c r="DC40" i="127"/>
  <c r="DC39" i="127"/>
  <c r="DC38" i="127"/>
  <c r="DC37" i="127"/>
  <c r="DC36" i="127"/>
  <c r="DC35" i="127"/>
  <c r="DC34" i="127"/>
  <c r="DC33" i="127"/>
  <c r="DC32" i="127"/>
  <c r="DC31" i="127"/>
  <c r="DC30" i="127"/>
  <c r="DC29" i="127"/>
  <c r="DC28" i="127"/>
  <c r="DC27" i="127"/>
  <c r="DC26" i="127"/>
  <c r="DC25" i="127"/>
  <c r="DC24" i="127"/>
  <c r="DC23" i="127"/>
  <c r="DC22" i="127"/>
  <c r="DC21" i="127"/>
  <c r="DC20" i="127"/>
  <c r="DC19" i="127"/>
  <c r="DC18" i="127"/>
  <c r="DC17" i="127"/>
  <c r="DC16" i="127"/>
  <c r="DC15" i="127"/>
  <c r="DC14" i="127"/>
  <c r="DC13" i="127"/>
  <c r="DC12" i="127"/>
  <c r="DC11" i="127"/>
  <c r="DC10" i="127"/>
  <c r="DC9" i="127"/>
  <c r="DC8" i="127"/>
  <c r="DC7" i="127"/>
  <c r="DC6" i="127"/>
  <c r="DC5" i="127"/>
  <c r="B1" i="125"/>
  <c r="DC50" i="125"/>
  <c r="DC49" i="125"/>
  <c r="DC48" i="125"/>
  <c r="DC47" i="125"/>
  <c r="DC46" i="125"/>
  <c r="DC45" i="125"/>
  <c r="DC44" i="125"/>
  <c r="DC43" i="125"/>
  <c r="DC42" i="125"/>
  <c r="DC41" i="125"/>
  <c r="DC40" i="125"/>
  <c r="DC39" i="125"/>
  <c r="DC38" i="125"/>
  <c r="DC37" i="125"/>
  <c r="DC36" i="125"/>
  <c r="DC35" i="125"/>
  <c r="DC34" i="125"/>
  <c r="DC33" i="125"/>
  <c r="DC32" i="125"/>
  <c r="DC31" i="125"/>
  <c r="DC30" i="125"/>
  <c r="DC29" i="125"/>
  <c r="DC28" i="125"/>
  <c r="DC27" i="125"/>
  <c r="DC26" i="125"/>
  <c r="DC25" i="125"/>
  <c r="DC24" i="125"/>
  <c r="DC23" i="125"/>
  <c r="DC22" i="125"/>
  <c r="DC21" i="125"/>
  <c r="DC20" i="125"/>
  <c r="DC19" i="125"/>
  <c r="DC18" i="125"/>
  <c r="DC17" i="125"/>
  <c r="DC16" i="125"/>
  <c r="DC15" i="125"/>
  <c r="DC14" i="125"/>
  <c r="DC13" i="125"/>
  <c r="DC12" i="125"/>
  <c r="DC11" i="125"/>
  <c r="DC10" i="125"/>
  <c r="DC9" i="125"/>
  <c r="DC8" i="125"/>
  <c r="DC7" i="125"/>
  <c r="DC6" i="125"/>
  <c r="DC5" i="125"/>
  <c r="B1" i="127"/>
  <c r="G50" i="127"/>
  <c r="DM50" i="127"/>
  <c r="F50" i="127"/>
  <c r="D50" i="127"/>
  <c r="C50" i="127"/>
  <c r="B50" i="127"/>
  <c r="A50" i="127"/>
  <c r="G49" i="127"/>
  <c r="DM49" i="127"/>
  <c r="F49" i="127"/>
  <c r="D49" i="127"/>
  <c r="C49" i="127"/>
  <c r="B49" i="127"/>
  <c r="A49" i="127"/>
  <c r="G48" i="127"/>
  <c r="DM48" i="127" s="1"/>
  <c r="F48" i="127"/>
  <c r="D48" i="127"/>
  <c r="C48" i="127"/>
  <c r="B48" i="127"/>
  <c r="A48" i="127"/>
  <c r="G47" i="127"/>
  <c r="DM47" i="127" s="1"/>
  <c r="F47" i="127"/>
  <c r="D47" i="127"/>
  <c r="C47" i="127"/>
  <c r="B47" i="127"/>
  <c r="A47" i="127"/>
  <c r="G46" i="127"/>
  <c r="DM46" i="127" s="1"/>
  <c r="F46" i="127"/>
  <c r="D46" i="127"/>
  <c r="C46" i="127"/>
  <c r="B46" i="127"/>
  <c r="A46" i="127"/>
  <c r="G45" i="127"/>
  <c r="DM45" i="127" s="1"/>
  <c r="F45" i="127"/>
  <c r="D45" i="127"/>
  <c r="C45" i="127"/>
  <c r="B45" i="127"/>
  <c r="A45" i="127"/>
  <c r="G44" i="127"/>
  <c r="DG44" i="127" s="1"/>
  <c r="F44" i="127"/>
  <c r="D44" i="127"/>
  <c r="C44" i="127"/>
  <c r="B44" i="127"/>
  <c r="A44" i="127"/>
  <c r="G43" i="127"/>
  <c r="DM43" i="127" s="1"/>
  <c r="F43" i="127"/>
  <c r="D43" i="127"/>
  <c r="C43" i="127"/>
  <c r="B43" i="127"/>
  <c r="A43" i="127"/>
  <c r="G42" i="127"/>
  <c r="DM42" i="127" s="1"/>
  <c r="F42" i="127"/>
  <c r="D42" i="127"/>
  <c r="C42" i="127"/>
  <c r="B42" i="127"/>
  <c r="A42" i="127"/>
  <c r="G41" i="127"/>
  <c r="F41" i="127"/>
  <c r="D41" i="127"/>
  <c r="C41" i="127"/>
  <c r="B41" i="127"/>
  <c r="A41" i="127"/>
  <c r="G40" i="127"/>
  <c r="F40" i="127"/>
  <c r="D40" i="127"/>
  <c r="C40" i="127"/>
  <c r="B40" i="127"/>
  <c r="A40" i="127"/>
  <c r="G39" i="127"/>
  <c r="DS39" i="127" s="1"/>
  <c r="F39" i="127"/>
  <c r="D39" i="127"/>
  <c r="C39" i="127"/>
  <c r="B39" i="127"/>
  <c r="A39" i="127"/>
  <c r="G38" i="127"/>
  <c r="F38" i="127"/>
  <c r="D38" i="127"/>
  <c r="C38" i="127"/>
  <c r="B38" i="127"/>
  <c r="A38" i="127"/>
  <c r="G37" i="127"/>
  <c r="F37" i="127"/>
  <c r="D37" i="127"/>
  <c r="C37" i="127"/>
  <c r="B37" i="127"/>
  <c r="A37" i="127"/>
  <c r="G36" i="127"/>
  <c r="F36" i="127"/>
  <c r="D36" i="127"/>
  <c r="C36" i="127"/>
  <c r="B36" i="127"/>
  <c r="A36" i="127"/>
  <c r="G35" i="127"/>
  <c r="V35" i="127" s="1"/>
  <c r="F35" i="127"/>
  <c r="D35" i="127"/>
  <c r="C35" i="127"/>
  <c r="B35" i="127"/>
  <c r="A35" i="127"/>
  <c r="G34" i="127"/>
  <c r="F34" i="127"/>
  <c r="D34" i="127"/>
  <c r="C34" i="127"/>
  <c r="B34" i="127"/>
  <c r="A34" i="127"/>
  <c r="G33" i="127"/>
  <c r="F33" i="127"/>
  <c r="D33" i="127"/>
  <c r="C33" i="127"/>
  <c r="B33" i="127"/>
  <c r="A33" i="127"/>
  <c r="G32" i="127"/>
  <c r="F32" i="127"/>
  <c r="D32" i="127"/>
  <c r="C32" i="127"/>
  <c r="B32" i="127"/>
  <c r="A32" i="127"/>
  <c r="G31" i="127"/>
  <c r="DM31" i="127" s="1"/>
  <c r="F31" i="127"/>
  <c r="D31" i="127"/>
  <c r="C31" i="127"/>
  <c r="B31" i="127"/>
  <c r="A31" i="127"/>
  <c r="G30" i="127"/>
  <c r="F30" i="127"/>
  <c r="D30" i="127"/>
  <c r="C30" i="127"/>
  <c r="B30" i="127"/>
  <c r="A30" i="127"/>
  <c r="G29" i="127"/>
  <c r="F29" i="127"/>
  <c r="D29" i="127"/>
  <c r="C29" i="127"/>
  <c r="B29" i="127"/>
  <c r="A29" i="127"/>
  <c r="G28" i="127"/>
  <c r="DM28" i="127" s="1"/>
  <c r="F28" i="127"/>
  <c r="D28" i="127"/>
  <c r="C28" i="127"/>
  <c r="B28" i="127"/>
  <c r="A28" i="127"/>
  <c r="G27" i="127"/>
  <c r="DK27" i="127" s="1"/>
  <c r="F27" i="127"/>
  <c r="D27" i="127"/>
  <c r="C27" i="127"/>
  <c r="B27" i="127"/>
  <c r="A27" i="127"/>
  <c r="G26" i="127"/>
  <c r="DM26" i="127"/>
  <c r="F26" i="127"/>
  <c r="D26" i="127"/>
  <c r="C26" i="127"/>
  <c r="B26" i="127"/>
  <c r="A26" i="127"/>
  <c r="G25" i="127"/>
  <c r="DM25" i="127"/>
  <c r="F25" i="127"/>
  <c r="D25" i="127"/>
  <c r="C25" i="127"/>
  <c r="B25" i="127"/>
  <c r="A25" i="127"/>
  <c r="G24" i="127"/>
  <c r="DM24" i="127" s="1"/>
  <c r="F24" i="127"/>
  <c r="D24" i="127"/>
  <c r="C24" i="127"/>
  <c r="B24" i="127"/>
  <c r="A24" i="127"/>
  <c r="G23" i="127"/>
  <c r="DM23" i="127" s="1"/>
  <c r="F23" i="127"/>
  <c r="D23" i="127"/>
  <c r="C23" i="127"/>
  <c r="B23" i="127"/>
  <c r="A23" i="127"/>
  <c r="G22" i="127"/>
  <c r="DM22" i="127"/>
  <c r="F22" i="127"/>
  <c r="D22" i="127"/>
  <c r="C22" i="127"/>
  <c r="B22" i="127"/>
  <c r="A22" i="127"/>
  <c r="G21" i="127"/>
  <c r="DM21" i="127" s="1"/>
  <c r="F21" i="127"/>
  <c r="D21" i="127"/>
  <c r="C21" i="127"/>
  <c r="B21" i="127"/>
  <c r="A21" i="127"/>
  <c r="G20" i="127"/>
  <c r="DM20" i="127" s="1"/>
  <c r="F20" i="127"/>
  <c r="D20" i="127"/>
  <c r="C20" i="127"/>
  <c r="B20" i="127"/>
  <c r="A20" i="127"/>
  <c r="G19" i="127"/>
  <c r="DM19" i="127" s="1"/>
  <c r="F19" i="127"/>
  <c r="D19" i="127"/>
  <c r="C19" i="127"/>
  <c r="B19" i="127"/>
  <c r="A19" i="127"/>
  <c r="G18" i="127"/>
  <c r="DM18" i="127" s="1"/>
  <c r="F18" i="127"/>
  <c r="D18" i="127"/>
  <c r="C18" i="127"/>
  <c r="B18" i="127"/>
  <c r="A18" i="127"/>
  <c r="G17" i="127"/>
  <c r="DM17" i="127" s="1"/>
  <c r="F17" i="127"/>
  <c r="D17" i="127"/>
  <c r="C17" i="127"/>
  <c r="B17" i="127"/>
  <c r="A17" i="127"/>
  <c r="G16" i="127"/>
  <c r="DQ16" i="127" s="1"/>
  <c r="F16" i="127"/>
  <c r="D16" i="127"/>
  <c r="C16" i="127"/>
  <c r="B16" i="127"/>
  <c r="A16" i="127"/>
  <c r="G15" i="127"/>
  <c r="F15" i="127"/>
  <c r="D15" i="127"/>
  <c r="C15" i="127"/>
  <c r="B15" i="127"/>
  <c r="A15" i="127"/>
  <c r="G14" i="127"/>
  <c r="DK14" i="127" s="1"/>
  <c r="F14" i="127"/>
  <c r="D14" i="127"/>
  <c r="C14" i="127"/>
  <c r="B14" i="127"/>
  <c r="A14" i="127"/>
  <c r="G13" i="127"/>
  <c r="F13" i="127"/>
  <c r="D13" i="127"/>
  <c r="C13" i="127"/>
  <c r="B13" i="127"/>
  <c r="A13" i="127"/>
  <c r="G12" i="127"/>
  <c r="Y12" i="127" s="1"/>
  <c r="F12" i="127"/>
  <c r="D12" i="127"/>
  <c r="C12" i="127"/>
  <c r="B12" i="127"/>
  <c r="A12" i="127"/>
  <c r="G11" i="127"/>
  <c r="DW11" i="127" s="1"/>
  <c r="F11" i="127"/>
  <c r="D11" i="127"/>
  <c r="C11" i="127"/>
  <c r="B11" i="127"/>
  <c r="A11" i="127"/>
  <c r="G10" i="127"/>
  <c r="BS10" i="127" s="1"/>
  <c r="F10" i="127"/>
  <c r="D10" i="127"/>
  <c r="C10" i="127"/>
  <c r="B10" i="127"/>
  <c r="A10" i="127"/>
  <c r="G9" i="127"/>
  <c r="F9" i="127"/>
  <c r="D9" i="127"/>
  <c r="C9" i="127"/>
  <c r="B9" i="127"/>
  <c r="A9" i="127"/>
  <c r="G8" i="127"/>
  <c r="BP8" i="127" s="1"/>
  <c r="F8" i="127"/>
  <c r="D8" i="127"/>
  <c r="C8" i="127"/>
  <c r="B8" i="127"/>
  <c r="A8" i="127"/>
  <c r="G7" i="127"/>
  <c r="F7" i="127"/>
  <c r="D7" i="127"/>
  <c r="C7" i="127"/>
  <c r="B7" i="127"/>
  <c r="A7" i="127"/>
  <c r="G6" i="127"/>
  <c r="DS6" i="127" s="1"/>
  <c r="F6" i="127"/>
  <c r="D6" i="127"/>
  <c r="C6" i="127"/>
  <c r="B6" i="127"/>
  <c r="A6" i="127"/>
  <c r="G5" i="127"/>
  <c r="F5" i="127"/>
  <c r="D5" i="127"/>
  <c r="C5" i="127"/>
  <c r="B5" i="127"/>
  <c r="A5" i="127"/>
  <c r="CZ4" i="127"/>
  <c r="CY4" i="127"/>
  <c r="CX4" i="127"/>
  <c r="CW4" i="127"/>
  <c r="CV4" i="127"/>
  <c r="CU4" i="127"/>
  <c r="CS4" i="127"/>
  <c r="CR4" i="127"/>
  <c r="CQ4" i="127"/>
  <c r="CE4" i="127"/>
  <c r="CD4" i="127"/>
  <c r="CC4" i="127"/>
  <c r="CB4" i="127"/>
  <c r="CA4" i="127"/>
  <c r="BZ4" i="127"/>
  <c r="BY4" i="127"/>
  <c r="BB13" i="127"/>
  <c r="BB11" i="127"/>
  <c r="G50" i="125"/>
  <c r="F50" i="125"/>
  <c r="D50" i="125"/>
  <c r="C50" i="125"/>
  <c r="B50" i="125"/>
  <c r="A50" i="125"/>
  <c r="G49" i="125"/>
  <c r="O49" i="125" s="1"/>
  <c r="F49" i="125"/>
  <c r="D49" i="125"/>
  <c r="C49" i="125"/>
  <c r="B49" i="125"/>
  <c r="A49" i="125"/>
  <c r="G48" i="125"/>
  <c r="F48" i="125"/>
  <c r="D48" i="125"/>
  <c r="C48" i="125"/>
  <c r="B48" i="125"/>
  <c r="A48" i="125"/>
  <c r="G47" i="125"/>
  <c r="CI47" i="125"/>
  <c r="F47" i="125"/>
  <c r="D47" i="125"/>
  <c r="C47" i="125"/>
  <c r="B47" i="125"/>
  <c r="A47" i="125"/>
  <c r="G46" i="125"/>
  <c r="F46" i="125"/>
  <c r="D46" i="125"/>
  <c r="C46" i="125"/>
  <c r="B46" i="125"/>
  <c r="A46" i="125"/>
  <c r="G45" i="125"/>
  <c r="F45" i="125"/>
  <c r="D45" i="125"/>
  <c r="C45" i="125"/>
  <c r="B45" i="125"/>
  <c r="A45" i="125"/>
  <c r="G44" i="125"/>
  <c r="AQ44" i="125" s="1"/>
  <c r="F44" i="125"/>
  <c r="D44" i="125"/>
  <c r="C44" i="125"/>
  <c r="B44" i="125"/>
  <c r="A44" i="125"/>
  <c r="G43" i="125"/>
  <c r="F43" i="125"/>
  <c r="D43" i="125"/>
  <c r="C43" i="125"/>
  <c r="B43" i="125"/>
  <c r="A43" i="125"/>
  <c r="G42" i="125"/>
  <c r="CK42" i="125"/>
  <c r="F42" i="125"/>
  <c r="D42" i="125"/>
  <c r="C42" i="125"/>
  <c r="B42" i="125"/>
  <c r="A42" i="125"/>
  <c r="G41" i="125"/>
  <c r="F41" i="125"/>
  <c r="D41" i="125"/>
  <c r="C41" i="125"/>
  <c r="B41" i="125"/>
  <c r="A41" i="125"/>
  <c r="G40" i="125"/>
  <c r="F40" i="125"/>
  <c r="D40" i="125"/>
  <c r="C40" i="125"/>
  <c r="B40" i="125"/>
  <c r="A40" i="125"/>
  <c r="G39" i="125"/>
  <c r="F39" i="125"/>
  <c r="D39" i="125"/>
  <c r="C39" i="125"/>
  <c r="B39" i="125"/>
  <c r="A39" i="125"/>
  <c r="G38" i="125"/>
  <c r="F38" i="125"/>
  <c r="D38" i="125"/>
  <c r="C38" i="125"/>
  <c r="B38" i="125"/>
  <c r="A38" i="125"/>
  <c r="G37" i="125"/>
  <c r="F37" i="125"/>
  <c r="D37" i="125"/>
  <c r="C37" i="125"/>
  <c r="B37" i="125"/>
  <c r="A37" i="125"/>
  <c r="G36" i="125"/>
  <c r="F36" i="125"/>
  <c r="D36" i="125"/>
  <c r="C36" i="125"/>
  <c r="B36" i="125"/>
  <c r="A36" i="125"/>
  <c r="G35" i="125"/>
  <c r="F35" i="125"/>
  <c r="D35" i="125"/>
  <c r="C35" i="125"/>
  <c r="B35" i="125"/>
  <c r="A35" i="125"/>
  <c r="G34" i="125"/>
  <c r="F34" i="125"/>
  <c r="D34" i="125"/>
  <c r="C34" i="125"/>
  <c r="B34" i="125"/>
  <c r="A34" i="125"/>
  <c r="G33" i="125"/>
  <c r="F33" i="125"/>
  <c r="D33" i="125"/>
  <c r="C33" i="125"/>
  <c r="B33" i="125"/>
  <c r="A33" i="125"/>
  <c r="G32" i="125"/>
  <c r="F32" i="125"/>
  <c r="D32" i="125"/>
  <c r="C32" i="125"/>
  <c r="B32" i="125"/>
  <c r="A32" i="125"/>
  <c r="G31" i="125"/>
  <c r="P31" i="125" s="1"/>
  <c r="F31" i="125"/>
  <c r="D31" i="125"/>
  <c r="C31" i="125"/>
  <c r="B31" i="125"/>
  <c r="A31" i="125"/>
  <c r="G30" i="125"/>
  <c r="F30" i="125"/>
  <c r="D30" i="125"/>
  <c r="C30" i="125"/>
  <c r="B30" i="125"/>
  <c r="A30" i="125"/>
  <c r="G29" i="125"/>
  <c r="F29" i="125"/>
  <c r="D29" i="125"/>
  <c r="C29" i="125"/>
  <c r="B29" i="125"/>
  <c r="A29" i="125"/>
  <c r="G28" i="125"/>
  <c r="F28" i="125"/>
  <c r="D28" i="125"/>
  <c r="C28" i="125"/>
  <c r="B28" i="125"/>
  <c r="A28" i="125"/>
  <c r="G27" i="125"/>
  <c r="BB27" i="125" s="1"/>
  <c r="F27" i="125"/>
  <c r="D27" i="125"/>
  <c r="C27" i="125"/>
  <c r="B27" i="125"/>
  <c r="A27" i="125"/>
  <c r="G26" i="125"/>
  <c r="F26" i="125"/>
  <c r="D26" i="125"/>
  <c r="C26" i="125"/>
  <c r="B26" i="125"/>
  <c r="A26" i="125"/>
  <c r="G25" i="125"/>
  <c r="F25" i="125"/>
  <c r="D25" i="125"/>
  <c r="C25" i="125"/>
  <c r="B25" i="125"/>
  <c r="A25" i="125"/>
  <c r="G24" i="125"/>
  <c r="F24" i="125"/>
  <c r="D24" i="125"/>
  <c r="C24" i="125"/>
  <c r="B24" i="125"/>
  <c r="A24" i="125"/>
  <c r="G23" i="125"/>
  <c r="Z23" i="125" s="1"/>
  <c r="F23" i="125"/>
  <c r="D23" i="125"/>
  <c r="C23" i="125"/>
  <c r="B23" i="125"/>
  <c r="A23" i="125"/>
  <c r="G22" i="125"/>
  <c r="F22" i="125"/>
  <c r="D22" i="125"/>
  <c r="C22" i="125"/>
  <c r="B22" i="125"/>
  <c r="A22" i="125"/>
  <c r="G21" i="125"/>
  <c r="F21" i="125"/>
  <c r="D21" i="125"/>
  <c r="C21" i="125"/>
  <c r="B21" i="125"/>
  <c r="A21" i="125"/>
  <c r="G20" i="125"/>
  <c r="F20" i="125"/>
  <c r="D20" i="125"/>
  <c r="C20" i="125"/>
  <c r="B20" i="125"/>
  <c r="A20" i="125"/>
  <c r="G19" i="125"/>
  <c r="P19" i="125" s="1"/>
  <c r="F19" i="125"/>
  <c r="D19" i="125"/>
  <c r="C19" i="125"/>
  <c r="B19" i="125"/>
  <c r="A19" i="125"/>
  <c r="G18" i="125"/>
  <c r="F18" i="125"/>
  <c r="D18" i="125"/>
  <c r="C18" i="125"/>
  <c r="B18" i="125"/>
  <c r="A18" i="125"/>
  <c r="G17" i="125"/>
  <c r="F17" i="125"/>
  <c r="D17" i="125"/>
  <c r="C17" i="125"/>
  <c r="B17" i="125"/>
  <c r="A17" i="125"/>
  <c r="G16" i="125"/>
  <c r="F16" i="125"/>
  <c r="D16" i="125"/>
  <c r="C16" i="125"/>
  <c r="B16" i="125"/>
  <c r="A16" i="125"/>
  <c r="G15" i="125"/>
  <c r="DL15" i="125" s="1"/>
  <c r="F15" i="125"/>
  <c r="D15" i="125"/>
  <c r="C15" i="125"/>
  <c r="B15" i="125"/>
  <c r="A15" i="125"/>
  <c r="G14" i="125"/>
  <c r="F14" i="125"/>
  <c r="D14" i="125"/>
  <c r="C14" i="125"/>
  <c r="B14" i="125"/>
  <c r="A14" i="125"/>
  <c r="G13" i="125"/>
  <c r="F13" i="125"/>
  <c r="D13" i="125"/>
  <c r="C13" i="125"/>
  <c r="B13" i="125"/>
  <c r="A13" i="125"/>
  <c r="G12" i="125"/>
  <c r="F12" i="125"/>
  <c r="D12" i="125"/>
  <c r="C12" i="125"/>
  <c r="B12" i="125"/>
  <c r="A12" i="125"/>
  <c r="G11" i="125"/>
  <c r="H11" i="125" s="1"/>
  <c r="F11" i="125"/>
  <c r="D11" i="125"/>
  <c r="C11" i="125"/>
  <c r="B11" i="125"/>
  <c r="A11" i="125"/>
  <c r="G10" i="125"/>
  <c r="F10" i="125"/>
  <c r="D10" i="125"/>
  <c r="C10" i="125"/>
  <c r="B10" i="125"/>
  <c r="A10" i="125"/>
  <c r="G9" i="125"/>
  <c r="F9" i="125"/>
  <c r="D9" i="125"/>
  <c r="C9" i="125"/>
  <c r="B9" i="125"/>
  <c r="A9" i="125"/>
  <c r="G8" i="125"/>
  <c r="F8" i="125"/>
  <c r="D8" i="125"/>
  <c r="C8" i="125"/>
  <c r="B8" i="125"/>
  <c r="A8" i="125"/>
  <c r="G7" i="125"/>
  <c r="F7" i="125"/>
  <c r="D7" i="125"/>
  <c r="C7" i="125"/>
  <c r="B7" i="125"/>
  <c r="A7" i="125"/>
  <c r="G6" i="125"/>
  <c r="F6" i="125"/>
  <c r="D6" i="125"/>
  <c r="C6" i="125"/>
  <c r="B6" i="125"/>
  <c r="A6" i="125"/>
  <c r="G5" i="125"/>
  <c r="F5" i="125"/>
  <c r="D5" i="125"/>
  <c r="C5" i="125"/>
  <c r="B5" i="125"/>
  <c r="A5" i="125"/>
  <c r="CZ4" i="125"/>
  <c r="CY4" i="125"/>
  <c r="CX4" i="125"/>
  <c r="CW4" i="125"/>
  <c r="CV4" i="125"/>
  <c r="CU4" i="125"/>
  <c r="CS4" i="125"/>
  <c r="CR4" i="125"/>
  <c r="CQ4" i="125"/>
  <c r="CE4" i="125"/>
  <c r="CD4" i="125"/>
  <c r="CC4" i="125"/>
  <c r="CB4" i="125"/>
  <c r="CA4" i="125"/>
  <c r="BZ4" i="125"/>
  <c r="BY4" i="125"/>
  <c r="Y33" i="125"/>
  <c r="BB28" i="125"/>
  <c r="BB26" i="125"/>
  <c r="BI7" i="25"/>
  <c r="BH7" i="25"/>
  <c r="BJ7" i="25"/>
  <c r="Z26" i="125"/>
  <c r="Y36" i="125"/>
  <c r="AC42" i="125"/>
  <c r="DL32" i="125"/>
  <c r="DK32" i="125"/>
  <c r="DN32" i="125"/>
  <c r="DM32" i="125"/>
  <c r="DL40" i="125"/>
  <c r="DK40" i="125"/>
  <c r="DN40" i="125"/>
  <c r="DM40" i="125"/>
  <c r="Z24" i="125"/>
  <c r="Y38" i="125"/>
  <c r="DL33" i="125"/>
  <c r="DK33" i="125"/>
  <c r="DN33" i="125"/>
  <c r="DM33" i="125"/>
  <c r="DM39" i="125"/>
  <c r="DL41" i="125"/>
  <c r="DK41" i="125"/>
  <c r="DN41" i="125"/>
  <c r="DM41" i="125"/>
  <c r="AW42" i="125"/>
  <c r="DL30" i="125"/>
  <c r="DK30" i="125"/>
  <c r="DN30" i="125"/>
  <c r="DM30" i="125"/>
  <c r="DL34" i="125"/>
  <c r="DK34" i="125"/>
  <c r="DN34" i="125"/>
  <c r="DM34" i="125"/>
  <c r="Y40" i="125"/>
  <c r="DM7" i="127"/>
  <c r="DL7" i="127"/>
  <c r="DK7" i="127"/>
  <c r="DN7" i="127"/>
  <c r="DM9" i="127"/>
  <c r="DN9" i="127"/>
  <c r="DL9" i="127"/>
  <c r="DK9" i="127"/>
  <c r="DM13" i="127"/>
  <c r="DL13" i="127"/>
  <c r="DK13" i="127"/>
  <c r="DN13" i="127"/>
  <c r="DM15" i="127"/>
  <c r="DN15" i="127"/>
  <c r="DL15" i="127"/>
  <c r="DK15" i="127"/>
  <c r="DK31" i="127"/>
  <c r="DN31" i="127"/>
  <c r="DM33" i="127"/>
  <c r="DK33" i="127"/>
  <c r="DN33" i="127"/>
  <c r="DL33" i="127"/>
  <c r="DM37" i="127"/>
  <c r="DK37" i="127"/>
  <c r="DN37" i="127"/>
  <c r="DL37" i="127"/>
  <c r="DL39" i="127"/>
  <c r="DK39" i="127"/>
  <c r="DM41" i="127"/>
  <c r="DK41" i="127"/>
  <c r="DN41" i="127"/>
  <c r="DL41" i="127"/>
  <c r="DL8" i="127"/>
  <c r="DK8" i="127"/>
  <c r="DL14" i="127"/>
  <c r="DK16" i="127"/>
  <c r="DN16" i="127"/>
  <c r="DM30" i="127"/>
  <c r="DL30" i="127"/>
  <c r="DK30" i="127"/>
  <c r="DN30" i="127"/>
  <c r="DM32" i="127"/>
  <c r="DN32" i="127"/>
  <c r="DL32" i="127"/>
  <c r="DK32" i="127"/>
  <c r="DM34" i="127"/>
  <c r="DL34" i="127"/>
  <c r="DK34" i="127"/>
  <c r="DN34" i="127"/>
  <c r="DM38" i="127"/>
  <c r="DL38" i="127"/>
  <c r="DK38" i="127"/>
  <c r="DN38" i="127"/>
  <c r="DM40" i="127"/>
  <c r="DN40" i="127"/>
  <c r="DL40" i="127"/>
  <c r="DK40" i="127"/>
  <c r="DM44" i="127"/>
  <c r="DN9" i="125"/>
  <c r="DM9" i="125"/>
  <c r="DL9" i="125"/>
  <c r="DK9" i="125"/>
  <c r="DN6" i="125"/>
  <c r="DM6" i="125"/>
  <c r="DL6" i="125"/>
  <c r="DK6" i="125"/>
  <c r="DN8" i="125"/>
  <c r="DM8" i="125"/>
  <c r="DL8" i="125"/>
  <c r="DK8" i="125"/>
  <c r="DN10" i="125"/>
  <c r="DM10" i="125"/>
  <c r="DL10" i="125"/>
  <c r="DK10" i="125"/>
  <c r="DN17" i="125"/>
  <c r="DM17" i="125"/>
  <c r="DL17" i="125"/>
  <c r="DK17" i="125"/>
  <c r="DK19" i="125"/>
  <c r="DN21" i="125"/>
  <c r="DM21" i="125"/>
  <c r="DL21" i="125"/>
  <c r="DK21" i="125"/>
  <c r="DN25" i="125"/>
  <c r="DM25" i="125"/>
  <c r="DK25" i="125"/>
  <c r="DL25" i="125"/>
  <c r="DK27" i="125"/>
  <c r="DN14" i="125"/>
  <c r="DM14" i="125"/>
  <c r="DL14" i="125"/>
  <c r="DK14" i="125"/>
  <c r="DN16" i="125"/>
  <c r="DM16" i="125"/>
  <c r="DK16" i="125"/>
  <c r="DL16" i="125"/>
  <c r="DN18" i="125"/>
  <c r="DK18" i="125"/>
  <c r="DM18" i="125"/>
  <c r="DL18" i="125"/>
  <c r="DN20" i="125"/>
  <c r="DM20" i="125"/>
  <c r="DK20" i="125"/>
  <c r="DL20" i="125"/>
  <c r="DN22" i="125"/>
  <c r="DM22" i="125"/>
  <c r="DK22" i="125"/>
  <c r="DL22" i="125"/>
  <c r="DN24" i="125"/>
  <c r="DM24" i="125"/>
  <c r="DL24" i="125"/>
  <c r="DK24" i="125"/>
  <c r="DN26" i="125"/>
  <c r="DK26" i="125"/>
  <c r="DM26" i="125"/>
  <c r="DL26" i="125"/>
  <c r="DN28" i="125"/>
  <c r="DM28" i="125"/>
  <c r="DK28" i="125"/>
  <c r="DL28" i="125"/>
  <c r="DL19" i="127"/>
  <c r="DK19" i="127"/>
  <c r="DN19" i="127"/>
  <c r="DN18" i="127"/>
  <c r="DL18" i="127"/>
  <c r="DK18" i="127"/>
  <c r="DN22" i="127"/>
  <c r="DL22" i="127"/>
  <c r="DK22" i="127"/>
  <c r="DN24" i="127"/>
  <c r="DK24" i="127"/>
  <c r="DL24" i="127"/>
  <c r="DN26" i="127"/>
  <c r="DK26" i="127"/>
  <c r="DL26" i="127"/>
  <c r="DL28" i="127"/>
  <c r="DK17" i="127"/>
  <c r="DN17" i="127"/>
  <c r="DL17" i="127"/>
  <c r="DK21" i="127"/>
  <c r="DL21" i="127"/>
  <c r="DL23" i="127"/>
  <c r="DN23" i="127"/>
  <c r="DK23" i="127"/>
  <c r="DK25" i="127"/>
  <c r="DL25" i="127"/>
  <c r="DN25" i="127"/>
  <c r="Y35" i="127"/>
  <c r="BQ42" i="125"/>
  <c r="CH47" i="125"/>
  <c r="DH47" i="125"/>
  <c r="BR31" i="125"/>
  <c r="BP33" i="125"/>
  <c r="DR33" i="125"/>
  <c r="DS33" i="125"/>
  <c r="DQ33" i="125"/>
  <c r="BR33" i="125"/>
  <c r="BS41" i="125"/>
  <c r="BP41" i="125"/>
  <c r="DR41" i="125"/>
  <c r="DS41" i="125"/>
  <c r="BR41" i="125"/>
  <c r="DQ41" i="125"/>
  <c r="BR46" i="125"/>
  <c r="DS46" i="125"/>
  <c r="DQ46" i="125"/>
  <c r="BP46" i="125"/>
  <c r="DR46" i="125"/>
  <c r="DQ48" i="125"/>
  <c r="BR48" i="125"/>
  <c r="DS48" i="125"/>
  <c r="DR48" i="125"/>
  <c r="BP48" i="125"/>
  <c r="BS50" i="125"/>
  <c r="BR50" i="125"/>
  <c r="DS50" i="125"/>
  <c r="BP50" i="125"/>
  <c r="DQ50" i="125"/>
  <c r="DR50" i="125"/>
  <c r="BS6" i="125"/>
  <c r="DR6" i="125"/>
  <c r="BR6" i="125"/>
  <c r="DQ6" i="125"/>
  <c r="BP6" i="125"/>
  <c r="DS6" i="125"/>
  <c r="BS8" i="125"/>
  <c r="BP8" i="125"/>
  <c r="DR8" i="125"/>
  <c r="DS8" i="125"/>
  <c r="BR8" i="125"/>
  <c r="DQ8" i="125"/>
  <c r="BS10" i="125"/>
  <c r="BP10" i="125"/>
  <c r="BR10" i="125"/>
  <c r="DQ10" i="125"/>
  <c r="DR10" i="125"/>
  <c r="DS10" i="125"/>
  <c r="BS14" i="125"/>
  <c r="DR14" i="125"/>
  <c r="BR14" i="125"/>
  <c r="DQ14" i="125"/>
  <c r="BP14" i="125"/>
  <c r="DS14" i="125"/>
  <c r="BS16" i="125"/>
  <c r="BP16" i="125"/>
  <c r="DR16" i="125"/>
  <c r="DS16" i="125"/>
  <c r="BR16" i="125"/>
  <c r="DQ16" i="125"/>
  <c r="BS18" i="125"/>
  <c r="BP18" i="125"/>
  <c r="DR18" i="125"/>
  <c r="BR18" i="125"/>
  <c r="DQ18" i="125"/>
  <c r="DS18" i="125"/>
  <c r="BS20" i="125"/>
  <c r="BP20" i="125"/>
  <c r="DR20" i="125"/>
  <c r="DS20" i="125"/>
  <c r="DQ20" i="125"/>
  <c r="BR20" i="125"/>
  <c r="BS22" i="125"/>
  <c r="BR22" i="125"/>
  <c r="DQ22" i="125"/>
  <c r="BP22" i="125"/>
  <c r="DR22" i="125"/>
  <c r="DS22" i="125"/>
  <c r="BP24" i="125"/>
  <c r="DR24" i="125"/>
  <c r="DS24" i="125"/>
  <c r="BR24" i="125"/>
  <c r="DQ24" i="125"/>
  <c r="L26" i="125"/>
  <c r="BP26" i="125"/>
  <c r="DR26" i="125"/>
  <c r="BR26" i="125"/>
  <c r="DQ26" i="125"/>
  <c r="DS26" i="125"/>
  <c r="J26" i="125"/>
  <c r="BP28" i="125"/>
  <c r="DR28" i="125"/>
  <c r="DS28" i="125"/>
  <c r="DQ28" i="125"/>
  <c r="BR28" i="125"/>
  <c r="BR30" i="125"/>
  <c r="DS30" i="125"/>
  <c r="DQ30" i="125"/>
  <c r="BP30" i="125"/>
  <c r="DR30" i="125"/>
  <c r="DQ32" i="125"/>
  <c r="BR32" i="125"/>
  <c r="DS32" i="125"/>
  <c r="DR32" i="125"/>
  <c r="BP32" i="125"/>
  <c r="BR34" i="125"/>
  <c r="DS34" i="125"/>
  <c r="BP34" i="125"/>
  <c r="DQ34" i="125"/>
  <c r="DR34" i="125"/>
  <c r="BS40" i="125"/>
  <c r="DQ40" i="125"/>
  <c r="BR40" i="125"/>
  <c r="DS40" i="125"/>
  <c r="DR40" i="125"/>
  <c r="BP40" i="125"/>
  <c r="BS42" i="125"/>
  <c r="BR42" i="125"/>
  <c r="DS42" i="125"/>
  <c r="BP42" i="125"/>
  <c r="DQ42" i="125"/>
  <c r="DR42" i="125"/>
  <c r="BS45" i="125"/>
  <c r="BP45" i="125"/>
  <c r="DR45" i="125"/>
  <c r="DS45" i="125"/>
  <c r="DQ45" i="125"/>
  <c r="BR45" i="125"/>
  <c r="BS47" i="125"/>
  <c r="BP47" i="125"/>
  <c r="BR47" i="125"/>
  <c r="DQ47" i="125"/>
  <c r="DR47" i="125"/>
  <c r="DS47" i="125"/>
  <c r="BT47" i="125"/>
  <c r="CU47" i="125"/>
  <c r="DQ7" i="125"/>
  <c r="BS9" i="125"/>
  <c r="BR9" i="125"/>
  <c r="DS9" i="125"/>
  <c r="DQ9" i="125"/>
  <c r="BP9" i="125"/>
  <c r="DR9" i="125"/>
  <c r="BP15" i="125"/>
  <c r="BS17" i="125"/>
  <c r="BR17" i="125"/>
  <c r="DS17" i="125"/>
  <c r="BP17" i="125"/>
  <c r="DQ17" i="125"/>
  <c r="DR17" i="125"/>
  <c r="BS21" i="125"/>
  <c r="BR21" i="125"/>
  <c r="DS21" i="125"/>
  <c r="DQ21" i="125"/>
  <c r="BP21" i="125"/>
  <c r="DR21" i="125"/>
  <c r="BR25" i="125"/>
  <c r="DS25" i="125"/>
  <c r="BP25" i="125"/>
  <c r="DQ25" i="125"/>
  <c r="DR25" i="125"/>
  <c r="I42" i="125"/>
  <c r="BS43" i="125"/>
  <c r="DR43" i="125"/>
  <c r="BR43" i="125"/>
  <c r="DQ43" i="125"/>
  <c r="BP43" i="125"/>
  <c r="DS43" i="125"/>
  <c r="BV47" i="125"/>
  <c r="CV47" i="125"/>
  <c r="X38" i="127"/>
  <c r="BS7" i="127"/>
  <c r="BP7" i="127"/>
  <c r="BR7" i="127"/>
  <c r="DQ7" i="127"/>
  <c r="DR7" i="127"/>
  <c r="DS7" i="127"/>
  <c r="BS9" i="127"/>
  <c r="BP9" i="127"/>
  <c r="BR9" i="127"/>
  <c r="DS9" i="127"/>
  <c r="DQ9" i="127"/>
  <c r="DR9" i="127"/>
  <c r="BP13" i="127"/>
  <c r="BR13" i="127"/>
  <c r="DS13" i="127"/>
  <c r="DQ13" i="127"/>
  <c r="DR13" i="127"/>
  <c r="BS42" i="127"/>
  <c r="BR42" i="127"/>
  <c r="BP42" i="127"/>
  <c r="DS42" i="127"/>
  <c r="DQ42" i="127"/>
  <c r="DR42" i="127"/>
  <c r="BS43" i="127"/>
  <c r="BR43" i="127"/>
  <c r="BP43" i="127"/>
  <c r="DS43" i="127"/>
  <c r="DQ43" i="127"/>
  <c r="DR43" i="127"/>
  <c r="BS48" i="127"/>
  <c r="BP48" i="127"/>
  <c r="BR48" i="127"/>
  <c r="DQ48" i="127"/>
  <c r="DR48" i="127"/>
  <c r="DS48" i="127"/>
  <c r="BS15" i="127"/>
  <c r="BP15" i="127"/>
  <c r="BR15" i="127"/>
  <c r="DQ15" i="127"/>
  <c r="DS15" i="127"/>
  <c r="DR15" i="127"/>
  <c r="BS17" i="127"/>
  <c r="BP17" i="127"/>
  <c r="BR17" i="127"/>
  <c r="DS17" i="127"/>
  <c r="DQ17" i="127"/>
  <c r="DR17" i="127"/>
  <c r="BS19" i="127"/>
  <c r="BP19" i="127"/>
  <c r="BR19" i="127"/>
  <c r="DQ19" i="127"/>
  <c r="DS19" i="127"/>
  <c r="DR19" i="127"/>
  <c r="BS21" i="127"/>
  <c r="BR21" i="127"/>
  <c r="DQ21" i="127"/>
  <c r="DR21" i="127"/>
  <c r="BS23" i="127"/>
  <c r="BP23" i="127"/>
  <c r="BR23" i="127"/>
  <c r="DQ23" i="127"/>
  <c r="DS23" i="127"/>
  <c r="DR23" i="127"/>
  <c r="BS25" i="127"/>
  <c r="BP25" i="127"/>
  <c r="BR25" i="127"/>
  <c r="DS25" i="127"/>
  <c r="DQ25" i="127"/>
  <c r="DR25" i="127"/>
  <c r="BR27" i="127"/>
  <c r="DQ27" i="127"/>
  <c r="DS27" i="127"/>
  <c r="BS31" i="127"/>
  <c r="DS31" i="127"/>
  <c r="DQ31" i="127"/>
  <c r="BR33" i="127"/>
  <c r="BP33" i="127"/>
  <c r="DR33" i="127"/>
  <c r="DS33" i="127"/>
  <c r="DQ33" i="127"/>
  <c r="T42" i="127"/>
  <c r="BS45" i="127"/>
  <c r="BR45" i="127"/>
  <c r="BP45" i="127"/>
  <c r="DR45" i="127"/>
  <c r="DS45" i="127"/>
  <c r="DQ45" i="127"/>
  <c r="BS47" i="127"/>
  <c r="BR47" i="127"/>
  <c r="BP47" i="127"/>
  <c r="DQ47" i="127"/>
  <c r="DR47" i="127"/>
  <c r="DS47" i="127"/>
  <c r="BB48" i="127"/>
  <c r="BR50" i="127"/>
  <c r="BP50" i="127"/>
  <c r="DS50" i="127"/>
  <c r="DQ50" i="127"/>
  <c r="DR50" i="127"/>
  <c r="BB15" i="127"/>
  <c r="DR6" i="127"/>
  <c r="BS8" i="127"/>
  <c r="DS8" i="127"/>
  <c r="DQ8" i="127"/>
  <c r="BP14" i="127"/>
  <c r="DP35" i="127"/>
  <c r="DS35" i="127"/>
  <c r="BR37" i="127"/>
  <c r="BP37" i="127"/>
  <c r="DR37" i="127"/>
  <c r="DS37" i="127"/>
  <c r="DQ37" i="127"/>
  <c r="BR39" i="127"/>
  <c r="BP39" i="127"/>
  <c r="BS41" i="127"/>
  <c r="BR41" i="127"/>
  <c r="BP41" i="127"/>
  <c r="DR41" i="127"/>
  <c r="DS41" i="127"/>
  <c r="DQ41" i="127"/>
  <c r="AP42" i="127"/>
  <c r="BP44" i="127"/>
  <c r="BR44" i="127"/>
  <c r="DR44" i="127"/>
  <c r="DS44" i="127"/>
  <c r="T47" i="127"/>
  <c r="BP38" i="127"/>
  <c r="BR38" i="127"/>
  <c r="DS38" i="127"/>
  <c r="DQ38" i="127"/>
  <c r="DR38" i="127"/>
  <c r="BS40" i="127"/>
  <c r="BP40" i="127"/>
  <c r="BR40" i="127"/>
  <c r="DQ40" i="127"/>
  <c r="DR40" i="127"/>
  <c r="DS40" i="127"/>
  <c r="BS16" i="127"/>
  <c r="BP16" i="127"/>
  <c r="DR16" i="127"/>
  <c r="BS18" i="127"/>
  <c r="BR18" i="127"/>
  <c r="BP18" i="127"/>
  <c r="DS18" i="127"/>
  <c r="DQ18" i="127"/>
  <c r="DR18" i="127"/>
  <c r="BP20" i="127"/>
  <c r="BS22" i="127"/>
  <c r="BR22" i="127"/>
  <c r="BP22" i="127"/>
  <c r="DS22" i="127"/>
  <c r="DQ22" i="127"/>
  <c r="DR22" i="127"/>
  <c r="BS24" i="127"/>
  <c r="BR24" i="127"/>
  <c r="BP24" i="127"/>
  <c r="DR24" i="127"/>
  <c r="DS24" i="127"/>
  <c r="DQ24" i="127"/>
  <c r="BR26" i="127"/>
  <c r="BP26" i="127"/>
  <c r="DR26" i="127"/>
  <c r="DS26" i="127"/>
  <c r="DQ26" i="127"/>
  <c r="DR28" i="127"/>
  <c r="BS30" i="127"/>
  <c r="BP30" i="127"/>
  <c r="BR30" i="127"/>
  <c r="DS30" i="127"/>
  <c r="DQ30" i="127"/>
  <c r="DR30" i="127"/>
  <c r="BS32" i="127"/>
  <c r="BP32" i="127"/>
  <c r="BR32" i="127"/>
  <c r="DQ32" i="127"/>
  <c r="DR32" i="127"/>
  <c r="DS32" i="127"/>
  <c r="BS34" i="127"/>
  <c r="BR34" i="127"/>
  <c r="BP34" i="127"/>
  <c r="DS34" i="127"/>
  <c r="DQ34" i="127"/>
  <c r="DR34" i="127"/>
  <c r="BS46" i="127"/>
  <c r="BP46" i="127"/>
  <c r="BR46" i="127"/>
  <c r="DS46" i="127"/>
  <c r="DQ46" i="127"/>
  <c r="DR46" i="127"/>
  <c r="BS49" i="127"/>
  <c r="BR49" i="127"/>
  <c r="BP49" i="127"/>
  <c r="DR49" i="127"/>
  <c r="DQ49" i="127"/>
  <c r="DS49" i="127"/>
  <c r="CS3" i="25"/>
  <c r="DP13" i="127"/>
  <c r="BS13" i="127"/>
  <c r="DV38" i="127"/>
  <c r="BS38" i="127"/>
  <c r="L33" i="127"/>
  <c r="BS33" i="127"/>
  <c r="AT50" i="127"/>
  <c r="BS50" i="127"/>
  <c r="AI26" i="127"/>
  <c r="BS26" i="127"/>
  <c r="DV37" i="127"/>
  <c r="BS37" i="127"/>
  <c r="CJ44" i="127"/>
  <c r="AQ33" i="125"/>
  <c r="BS33" i="125"/>
  <c r="BS46" i="125"/>
  <c r="AX46" i="125"/>
  <c r="CZ48" i="125"/>
  <c r="BS48" i="125"/>
  <c r="CA46" i="125"/>
  <c r="CM46" i="125"/>
  <c r="CZ46" i="125"/>
  <c r="BT50" i="125"/>
  <c r="DH50" i="125"/>
  <c r="X26" i="125"/>
  <c r="L25" i="125"/>
  <c r="BS25" i="125"/>
  <c r="DO28" i="125"/>
  <c r="BS28" i="125"/>
  <c r="DO30" i="125"/>
  <c r="BS30" i="125"/>
  <c r="DP32" i="125"/>
  <c r="BS32" i="125"/>
  <c r="M42" i="125"/>
  <c r="AG42" i="125"/>
  <c r="CO42" i="125"/>
  <c r="S46" i="125"/>
  <c r="BU42" i="125"/>
  <c r="CN42" i="125"/>
  <c r="DD42" i="125"/>
  <c r="CC46" i="125"/>
  <c r="CN46" i="125"/>
  <c r="BU48" i="125"/>
  <c r="DG48" i="125"/>
  <c r="CH50" i="125"/>
  <c r="Z32" i="125"/>
  <c r="L32" i="125"/>
  <c r="DP34" i="125"/>
  <c r="BS34" i="125"/>
  <c r="Q42" i="125"/>
  <c r="AO42" i="125"/>
  <c r="DA42" i="125"/>
  <c r="Z46" i="125"/>
  <c r="CB42" i="125"/>
  <c r="CU42" i="125"/>
  <c r="DF42" i="125"/>
  <c r="BT46" i="125"/>
  <c r="CH46" i="125"/>
  <c r="CT46" i="125"/>
  <c r="DH46" i="125"/>
  <c r="CB47" i="125"/>
  <c r="CM47" i="125"/>
  <c r="CZ47" i="125"/>
  <c r="CH48" i="125"/>
  <c r="CT50" i="125"/>
  <c r="DO24" i="125"/>
  <c r="BS24" i="125"/>
  <c r="DO26" i="125"/>
  <c r="BS26" i="125"/>
  <c r="Y42" i="125"/>
  <c r="AS42" i="125"/>
  <c r="DP42" i="125"/>
  <c r="AH46" i="125"/>
  <c r="CE42" i="125"/>
  <c r="CX42" i="125"/>
  <c r="BU46" i="125"/>
  <c r="CI46" i="125"/>
  <c r="CV46" i="125"/>
  <c r="DI46" i="125"/>
  <c r="CC47" i="125"/>
  <c r="CQ47" i="125"/>
  <c r="CU48" i="125"/>
  <c r="DU43" i="125"/>
  <c r="BH43" i="125"/>
  <c r="DW43" i="125"/>
  <c r="BN43" i="125"/>
  <c r="H43" i="125"/>
  <c r="DI43" i="125"/>
  <c r="DD43" i="125"/>
  <c r="CX43" i="125"/>
  <c r="CT43" i="125"/>
  <c r="CN43" i="125"/>
  <c r="DG43" i="125"/>
  <c r="CY43" i="125"/>
  <c r="CS43" i="125"/>
  <c r="CL43" i="125"/>
  <c r="CH43" i="125"/>
  <c r="CC43" i="125"/>
  <c r="BY43" i="125"/>
  <c r="DF43" i="125"/>
  <c r="CW43" i="125"/>
  <c r="CR43" i="125"/>
  <c r="CK43" i="125"/>
  <c r="CG43" i="125"/>
  <c r="CB43" i="125"/>
  <c r="BV43" i="125"/>
  <c r="BQ43" i="125"/>
  <c r="AK43" i="125"/>
  <c r="DV43" i="125"/>
  <c r="DU45" i="125"/>
  <c r="DW45" i="125"/>
  <c r="BN45" i="125"/>
  <c r="BH45" i="125"/>
  <c r="H45" i="125"/>
  <c r="DG45" i="125"/>
  <c r="CZ45" i="125"/>
  <c r="CV45" i="125"/>
  <c r="CR45" i="125"/>
  <c r="CL45" i="125"/>
  <c r="CH45" i="125"/>
  <c r="CC45" i="125"/>
  <c r="BY45" i="125"/>
  <c r="DF45" i="125"/>
  <c r="CX45" i="125"/>
  <c r="CS45" i="125"/>
  <c r="CK45" i="125"/>
  <c r="CE45" i="125"/>
  <c r="BZ45" i="125"/>
  <c r="BQ45" i="125"/>
  <c r="BX45" i="125"/>
  <c r="AE45" i="125"/>
  <c r="S45" i="125"/>
  <c r="DD45" i="125"/>
  <c r="CW45" i="125"/>
  <c r="CQ45" i="125"/>
  <c r="CJ45" i="125"/>
  <c r="CD45" i="125"/>
  <c r="BV45" i="125"/>
  <c r="BM45" i="125"/>
  <c r="AU45" i="125"/>
  <c r="Z45" i="125"/>
  <c r="O45" i="125"/>
  <c r="BT43" i="125"/>
  <c r="CM43" i="125"/>
  <c r="CM45" i="125"/>
  <c r="CY45" i="125"/>
  <c r="X24" i="125"/>
  <c r="Z28" i="125"/>
  <c r="J24" i="125"/>
  <c r="L28" i="125"/>
  <c r="I43" i="125"/>
  <c r="AO43" i="125"/>
  <c r="CO43" i="125"/>
  <c r="J45" i="125"/>
  <c r="DV50" i="125"/>
  <c r="BN50" i="125"/>
  <c r="BH50" i="125"/>
  <c r="DW50" i="125"/>
  <c r="H50" i="125"/>
  <c r="DF50" i="125"/>
  <c r="CY50" i="125"/>
  <c r="CU50" i="125"/>
  <c r="CQ50" i="125"/>
  <c r="CK50" i="125"/>
  <c r="CG50" i="125"/>
  <c r="CB50" i="125"/>
  <c r="BV50" i="125"/>
  <c r="BQ50" i="125"/>
  <c r="DG50" i="125"/>
  <c r="CX50" i="125"/>
  <c r="CS50" i="125"/>
  <c r="CL50" i="125"/>
  <c r="CE50" i="125"/>
  <c r="BZ50" i="125"/>
  <c r="DD50" i="125"/>
  <c r="CW50" i="125"/>
  <c r="CR50" i="125"/>
  <c r="CJ50" i="125"/>
  <c r="CD50" i="125"/>
  <c r="BY50" i="125"/>
  <c r="BM50" i="125"/>
  <c r="CY48" i="127"/>
  <c r="CL48" i="127"/>
  <c r="Z48" i="127"/>
  <c r="CQ48" i="127"/>
  <c r="K48" i="127"/>
  <c r="BV48" i="125"/>
  <c r="BU50" i="125"/>
  <c r="DI50" i="125"/>
  <c r="Z25" i="125"/>
  <c r="X28" i="125"/>
  <c r="X29" i="125"/>
  <c r="L24" i="125"/>
  <c r="L30" i="125"/>
  <c r="AA33" i="125"/>
  <c r="DU42" i="125"/>
  <c r="BN42" i="125"/>
  <c r="BH42" i="125"/>
  <c r="DW42" i="125"/>
  <c r="H42" i="125"/>
  <c r="DH42" i="125"/>
  <c r="CW42" i="125"/>
  <c r="CS42" i="125"/>
  <c r="CM42" i="125"/>
  <c r="CI42" i="125"/>
  <c r="CD42" i="125"/>
  <c r="BZ42" i="125"/>
  <c r="BT42" i="125"/>
  <c r="DG42" i="125"/>
  <c r="CZ42" i="125"/>
  <c r="CV42" i="125"/>
  <c r="CR42" i="125"/>
  <c r="CL42" i="125"/>
  <c r="CH42" i="125"/>
  <c r="CC42" i="125"/>
  <c r="BY42" i="125"/>
  <c r="U42" i="125"/>
  <c r="AK42" i="125"/>
  <c r="BA42" i="125"/>
  <c r="DV42" i="125"/>
  <c r="M43" i="125"/>
  <c r="AC43" i="125"/>
  <c r="AS43" i="125"/>
  <c r="DA43" i="125"/>
  <c r="BA44" i="125"/>
  <c r="BY44" i="125"/>
  <c r="T45" i="125"/>
  <c r="DJ45" i="125"/>
  <c r="CS47" i="127"/>
  <c r="CA47" i="127"/>
  <c r="CF47" i="127"/>
  <c r="J48" i="127"/>
  <c r="BV42" i="125"/>
  <c r="CG42" i="125"/>
  <c r="CQ42" i="125"/>
  <c r="CY42" i="125"/>
  <c r="DI42" i="125"/>
  <c r="BZ43" i="125"/>
  <c r="CI43" i="125"/>
  <c r="CU43" i="125"/>
  <c r="DH43" i="125"/>
  <c r="BT45" i="125"/>
  <c r="CG45" i="125"/>
  <c r="CT45" i="125"/>
  <c r="DH45" i="125"/>
  <c r="CB48" i="125"/>
  <c r="CN48" i="125"/>
  <c r="CA50" i="125"/>
  <c r="CM50" i="125"/>
  <c r="CZ50" i="125"/>
  <c r="DI47" i="127"/>
  <c r="U43" i="125"/>
  <c r="BA43" i="125"/>
  <c r="AJ45" i="125"/>
  <c r="CD43" i="125"/>
  <c r="CZ43" i="125"/>
  <c r="CA45" i="125"/>
  <c r="Y43" i="125"/>
  <c r="AP45" i="125"/>
  <c r="BN48" i="125"/>
  <c r="BH48" i="125"/>
  <c r="DW48" i="125"/>
  <c r="H48" i="125"/>
  <c r="DH48" i="125"/>
  <c r="CW48" i="125"/>
  <c r="CS48" i="125"/>
  <c r="CM48" i="125"/>
  <c r="CI48" i="125"/>
  <c r="CD48" i="125"/>
  <c r="BZ48" i="125"/>
  <c r="BT48" i="125"/>
  <c r="DF48" i="125"/>
  <c r="CY48" i="125"/>
  <c r="CT48" i="125"/>
  <c r="CL48" i="125"/>
  <c r="CG48" i="125"/>
  <c r="CA48" i="125"/>
  <c r="DD48" i="125"/>
  <c r="CX48" i="125"/>
  <c r="CR48" i="125"/>
  <c r="CK48" i="125"/>
  <c r="CE48" i="125"/>
  <c r="BY48" i="125"/>
  <c r="BQ48" i="125"/>
  <c r="BU43" i="125"/>
  <c r="CE43" i="125"/>
  <c r="CQ43" i="125"/>
  <c r="CB45" i="125"/>
  <c r="CN45" i="125"/>
  <c r="CJ48" i="125"/>
  <c r="CV48" i="125"/>
  <c r="DI48" i="125"/>
  <c r="CI50" i="125"/>
  <c r="CV50" i="125"/>
  <c r="DG48" i="127"/>
  <c r="G38" i="101"/>
  <c r="BB24" i="125"/>
  <c r="Z30" i="125"/>
  <c r="Y34" i="125"/>
  <c r="Y37" i="125"/>
  <c r="Y41" i="125"/>
  <c r="L29" i="125"/>
  <c r="Q43" i="125"/>
  <c r="AG43" i="125"/>
  <c r="AW43" i="125"/>
  <c r="DP43" i="125"/>
  <c r="X45" i="125"/>
  <c r="DT45" i="125"/>
  <c r="CL44" i="127"/>
  <c r="AN44" i="127"/>
  <c r="AQ48" i="127"/>
  <c r="BM42" i="125"/>
  <c r="CA42" i="125"/>
  <c r="CJ42" i="125"/>
  <c r="CT42" i="125"/>
  <c r="BM43" i="125"/>
  <c r="CA43" i="125"/>
  <c r="CJ43" i="125"/>
  <c r="CV43" i="125"/>
  <c r="BU45" i="125"/>
  <c r="CI45" i="125"/>
  <c r="CU45" i="125"/>
  <c r="DI45" i="125"/>
  <c r="BM48" i="125"/>
  <c r="CC48" i="125"/>
  <c r="CQ48" i="125"/>
  <c r="CC50" i="125"/>
  <c r="CN50" i="125"/>
  <c r="BM48" i="127"/>
  <c r="BH47" i="125"/>
  <c r="DW47" i="125"/>
  <c r="BN47" i="125"/>
  <c r="H47" i="125"/>
  <c r="DI47" i="125"/>
  <c r="DD47" i="125"/>
  <c r="CX47" i="125"/>
  <c r="CT47" i="125"/>
  <c r="CN47" i="125"/>
  <c r="CJ47" i="125"/>
  <c r="CE47" i="125"/>
  <c r="CA47" i="125"/>
  <c r="BU47" i="125"/>
  <c r="BM47" i="125"/>
  <c r="CE42" i="127"/>
  <c r="BT42" i="127"/>
  <c r="BM46" i="125"/>
  <c r="BY46" i="125"/>
  <c r="CD46" i="125"/>
  <c r="CJ46" i="125"/>
  <c r="CR46" i="125"/>
  <c r="CW46" i="125"/>
  <c r="DD46" i="125"/>
  <c r="BQ47" i="125"/>
  <c r="BY47" i="125"/>
  <c r="CD47" i="125"/>
  <c r="CK47" i="125"/>
  <c r="CR47" i="125"/>
  <c r="CW47" i="125"/>
  <c r="DF47" i="125"/>
  <c r="BV49" i="125"/>
  <c r="CS42" i="127"/>
  <c r="DT46" i="125"/>
  <c r="DW46" i="125"/>
  <c r="BN46" i="125"/>
  <c r="BH46" i="125"/>
  <c r="H46" i="125"/>
  <c r="DF46" i="125"/>
  <c r="CY46" i="125"/>
  <c r="CU46" i="125"/>
  <c r="CQ46" i="125"/>
  <c r="CK46" i="125"/>
  <c r="CG46" i="125"/>
  <c r="CB46" i="125"/>
  <c r="BV46" i="125"/>
  <c r="BQ46" i="125"/>
  <c r="AP46" i="125"/>
  <c r="BZ46" i="125"/>
  <c r="CE46" i="125"/>
  <c r="CL46" i="125"/>
  <c r="CS46" i="125"/>
  <c r="CX46" i="125"/>
  <c r="DG46" i="125"/>
  <c r="BZ47" i="125"/>
  <c r="CG47" i="125"/>
  <c r="CL47" i="125"/>
  <c r="CS47" i="125"/>
  <c r="CY47" i="125"/>
  <c r="DG47" i="125"/>
  <c r="BH6" i="125"/>
  <c r="BN6" i="125"/>
  <c r="DW6" i="125"/>
  <c r="H6" i="125"/>
  <c r="H12" i="125"/>
  <c r="BH18" i="125"/>
  <c r="BN18" i="125"/>
  <c r="DW18" i="125"/>
  <c r="H18" i="125"/>
  <c r="DU22" i="125"/>
  <c r="BH22" i="125"/>
  <c r="BN22" i="125"/>
  <c r="DW22" i="125"/>
  <c r="H22" i="125"/>
  <c r="DU25" i="125"/>
  <c r="X25" i="125"/>
  <c r="J25" i="125"/>
  <c r="J27" i="125"/>
  <c r="J29" i="125"/>
  <c r="AI33" i="125"/>
  <c r="DU34" i="125"/>
  <c r="BH34" i="125"/>
  <c r="DW34" i="125"/>
  <c r="BN34" i="125"/>
  <c r="H34" i="125"/>
  <c r="DU35" i="125"/>
  <c r="DU36" i="125"/>
  <c r="H36" i="125"/>
  <c r="AF36" i="125"/>
  <c r="DU37" i="125"/>
  <c r="H37" i="125"/>
  <c r="DU38" i="125"/>
  <c r="H38" i="125"/>
  <c r="N38" i="125" s="1"/>
  <c r="DU40" i="125"/>
  <c r="BN40" i="125"/>
  <c r="BH40" i="125"/>
  <c r="DW40" i="125"/>
  <c r="H40" i="125"/>
  <c r="DU41" i="125"/>
  <c r="DW41" i="125"/>
  <c r="BN41" i="125"/>
  <c r="BH41" i="125"/>
  <c r="H41" i="125"/>
  <c r="BN8" i="125"/>
  <c r="DW8" i="125"/>
  <c r="BH8" i="125"/>
  <c r="H8" i="125"/>
  <c r="BH10" i="125"/>
  <c r="BN10" i="125"/>
  <c r="DW10" i="125"/>
  <c r="H10" i="125"/>
  <c r="BH14" i="125"/>
  <c r="BN14" i="125"/>
  <c r="DW14" i="125"/>
  <c r="H14" i="125"/>
  <c r="BN20" i="125"/>
  <c r="BH20" i="125"/>
  <c r="DW20" i="125"/>
  <c r="H20" i="125"/>
  <c r="DU27" i="125"/>
  <c r="H5" i="125"/>
  <c r="DW9" i="125"/>
  <c r="BN9" i="125"/>
  <c r="BH9" i="125"/>
  <c r="H9" i="125"/>
  <c r="H13" i="125"/>
  <c r="DW17" i="125"/>
  <c r="BN17" i="125"/>
  <c r="BH17" i="125"/>
  <c r="H17" i="125"/>
  <c r="DW21" i="125"/>
  <c r="BH21" i="125"/>
  <c r="BN21" i="125"/>
  <c r="H21" i="125"/>
  <c r="DV24" i="125"/>
  <c r="BN24" i="125"/>
  <c r="DW24" i="125"/>
  <c r="BH24" i="125"/>
  <c r="H24" i="125"/>
  <c r="N24" i="125" s="1"/>
  <c r="DU24" i="125"/>
  <c r="DV26" i="125"/>
  <c r="BH26" i="125"/>
  <c r="BN26" i="125"/>
  <c r="DW26" i="125"/>
  <c r="H26" i="125"/>
  <c r="DU26" i="125"/>
  <c r="DV28" i="125"/>
  <c r="BN28" i="125"/>
  <c r="BH28" i="125"/>
  <c r="DW28" i="125"/>
  <c r="H28" i="125"/>
  <c r="DU28" i="125"/>
  <c r="DV30" i="125"/>
  <c r="BH30" i="125"/>
  <c r="BN30" i="125"/>
  <c r="DW30" i="125"/>
  <c r="H30" i="125"/>
  <c r="DU30" i="125"/>
  <c r="BN32" i="125"/>
  <c r="DW32" i="125"/>
  <c r="BH32" i="125"/>
  <c r="H32" i="125"/>
  <c r="DP36" i="125"/>
  <c r="DQ36" i="125"/>
  <c r="DP37" i="125"/>
  <c r="DQ37" i="125"/>
  <c r="DP38" i="125"/>
  <c r="DQ38" i="125"/>
  <c r="DP40" i="125"/>
  <c r="DP41" i="125"/>
  <c r="BN16" i="125"/>
  <c r="DW16" i="125"/>
  <c r="BH16" i="125"/>
  <c r="H16" i="125"/>
  <c r="DV25" i="125"/>
  <c r="DW25" i="125"/>
  <c r="BN25" i="125"/>
  <c r="BH25" i="125"/>
  <c r="H25" i="125"/>
  <c r="DV29" i="125"/>
  <c r="H29" i="125"/>
  <c r="DU29" i="125"/>
  <c r="BB25" i="125"/>
  <c r="Z29" i="125"/>
  <c r="J23" i="125"/>
  <c r="DO25" i="125"/>
  <c r="J28" i="125"/>
  <c r="DO29" i="125"/>
  <c r="DW29" i="125" s="1"/>
  <c r="J30" i="125"/>
  <c r="J32" i="125"/>
  <c r="DW33" i="125"/>
  <c r="BN33" i="125"/>
  <c r="BH33" i="125"/>
  <c r="H33" i="125"/>
  <c r="DV33" i="125"/>
  <c r="DV34" i="125"/>
  <c r="DV36" i="125"/>
  <c r="DV37" i="125"/>
  <c r="DV38" i="125"/>
  <c r="DV40" i="125"/>
  <c r="DV41" i="125"/>
  <c r="DO5" i="127"/>
  <c r="DW5" i="127" s="1"/>
  <c r="DF43" i="127"/>
  <c r="BN43" i="127"/>
  <c r="DW43" i="127"/>
  <c r="BH43" i="127"/>
  <c r="DU43" i="127"/>
  <c r="BQ43" i="127"/>
  <c r="DI43" i="127"/>
  <c r="DV34" i="127"/>
  <c r="DO37" i="127"/>
  <c r="DO38" i="127"/>
  <c r="AJ43" i="127"/>
  <c r="DF47" i="127"/>
  <c r="BN47" i="127"/>
  <c r="DW47" i="127"/>
  <c r="BH47" i="127"/>
  <c r="DJ47" i="127"/>
  <c r="X39" i="127"/>
  <c r="DW8" i="127"/>
  <c r="DV10" i="127"/>
  <c r="DP15" i="127"/>
  <c r="DW15" i="127"/>
  <c r="DP17" i="127"/>
  <c r="DW17" i="127"/>
  <c r="DV19" i="127"/>
  <c r="DV21" i="127"/>
  <c r="DV23" i="127"/>
  <c r="I42" i="127"/>
  <c r="AC42" i="127"/>
  <c r="CF42" i="127"/>
  <c r="P43" i="127"/>
  <c r="AR43" i="127"/>
  <c r="CT44" i="127"/>
  <c r="BH44" i="127"/>
  <c r="DW44" i="127"/>
  <c r="L47" i="127"/>
  <c r="N47" i="127" s="1"/>
  <c r="AJ47" i="127"/>
  <c r="CD43" i="127"/>
  <c r="CX43" i="127"/>
  <c r="CA44" i="127"/>
  <c r="DI44" i="127"/>
  <c r="CI47" i="127"/>
  <c r="CY47" i="127"/>
  <c r="BY48" i="127"/>
  <c r="J9" i="127"/>
  <c r="DP11" i="127"/>
  <c r="DS11" i="127" s="1"/>
  <c r="DV18" i="127"/>
  <c r="DV22" i="127"/>
  <c r="DP24" i="127"/>
  <c r="DW24" i="127"/>
  <c r="DW37" i="127"/>
  <c r="DW38" i="127"/>
  <c r="DV40" i="127"/>
  <c r="AF43" i="127"/>
  <c r="CN43" i="127"/>
  <c r="Z13" i="127"/>
  <c r="Y37" i="127"/>
  <c r="DV33" i="127"/>
  <c r="DO39" i="127"/>
  <c r="DP40" i="127"/>
  <c r="CZ42" i="127"/>
  <c r="BN42" i="127"/>
  <c r="DW42" i="127"/>
  <c r="BH42" i="127"/>
  <c r="U42" i="127"/>
  <c r="AT42" i="127"/>
  <c r="L43" i="127"/>
  <c r="DG45" i="127"/>
  <c r="BH45" i="127"/>
  <c r="BN45" i="127"/>
  <c r="DW45" i="127"/>
  <c r="AF47" i="127"/>
  <c r="CX50" i="127"/>
  <c r="BN50" i="127"/>
  <c r="DW50" i="127"/>
  <c r="BH50" i="127"/>
  <c r="BY42" i="127"/>
  <c r="CT42" i="127"/>
  <c r="BU43" i="127"/>
  <c r="CQ43" i="127"/>
  <c r="CG47" i="127"/>
  <c r="CX47" i="127"/>
  <c r="DH50" i="127"/>
  <c r="X26" i="127"/>
  <c r="Y38" i="127"/>
  <c r="DV13" i="127"/>
  <c r="DU25" i="127"/>
  <c r="AQ26" i="127"/>
  <c r="AS26" i="127"/>
  <c r="DP32" i="127"/>
  <c r="DO33" i="127"/>
  <c r="DW33" i="127"/>
  <c r="DO41" i="127"/>
  <c r="L42" i="127"/>
  <c r="AG42" i="127"/>
  <c r="T43" i="127"/>
  <c r="DO43" i="127"/>
  <c r="L44" i="127"/>
  <c r="DO44" i="127"/>
  <c r="BN46" i="127"/>
  <c r="DW46" i="127"/>
  <c r="BH46" i="127"/>
  <c r="P47" i="127"/>
  <c r="AR47" i="127"/>
  <c r="DF48" i="127"/>
  <c r="BH48" i="127"/>
  <c r="BN48" i="127"/>
  <c r="DW48" i="127"/>
  <c r="AA48" i="127"/>
  <c r="DG49" i="127"/>
  <c r="BN49" i="127"/>
  <c r="BH49" i="127"/>
  <c r="DW49" i="127"/>
  <c r="DB50" i="127"/>
  <c r="CJ42" i="127"/>
  <c r="DD42" i="127"/>
  <c r="CE43" i="127"/>
  <c r="CY44" i="127"/>
  <c r="BZ47" i="127"/>
  <c r="CN47" i="127"/>
  <c r="CC48" i="127"/>
  <c r="CZ48" i="127"/>
  <c r="BT50" i="127"/>
  <c r="AD49" i="127"/>
  <c r="AX49" i="127"/>
  <c r="DJ49" i="127"/>
  <c r="BY49" i="127"/>
  <c r="CL49" i="127"/>
  <c r="CW49" i="127"/>
  <c r="DH49" i="127"/>
  <c r="J18" i="127"/>
  <c r="DP22" i="127"/>
  <c r="J23" i="127"/>
  <c r="L34" i="127"/>
  <c r="M34" i="127"/>
  <c r="DU35" i="127"/>
  <c r="J49" i="127"/>
  <c r="AH49" i="127"/>
  <c r="BB49" i="127"/>
  <c r="BM49" i="127"/>
  <c r="CC49" i="127"/>
  <c r="CM49" i="127"/>
  <c r="CZ49" i="127"/>
  <c r="BB10" i="127"/>
  <c r="DV17" i="127"/>
  <c r="DP18" i="127"/>
  <c r="DP23" i="127"/>
  <c r="DU34" i="127"/>
  <c r="DV35" i="127"/>
  <c r="M42" i="127"/>
  <c r="Y42" i="127"/>
  <c r="AJ42" i="127"/>
  <c r="AU42" i="127"/>
  <c r="AB43" i="127"/>
  <c r="AV43" i="127"/>
  <c r="BX44" i="127"/>
  <c r="AB47" i="127"/>
  <c r="AV47" i="127"/>
  <c r="R48" i="127"/>
  <c r="AI48" i="127"/>
  <c r="CP48" i="127"/>
  <c r="R49" i="127"/>
  <c r="AL49" i="127"/>
  <c r="CP49" i="127"/>
  <c r="BM42" i="127"/>
  <c r="CA42" i="127"/>
  <c r="CL42" i="127"/>
  <c r="CW42" i="127"/>
  <c r="DH42" i="127"/>
  <c r="BV43" i="127"/>
  <c r="CI43" i="127"/>
  <c r="CU43" i="127"/>
  <c r="DD43" i="127"/>
  <c r="CQ44" i="127"/>
  <c r="BT47" i="127"/>
  <c r="CB47" i="127"/>
  <c r="CK47" i="127"/>
  <c r="CT47" i="127"/>
  <c r="CG48" i="127"/>
  <c r="CR48" i="127"/>
  <c r="CD49" i="127"/>
  <c r="CR49" i="127"/>
  <c r="CE50" i="127"/>
  <c r="Y36" i="127"/>
  <c r="Q42" i="127"/>
  <c r="AB42" i="127"/>
  <c r="AK42" i="127"/>
  <c r="BX42" i="127"/>
  <c r="AF44" i="127"/>
  <c r="V48" i="127"/>
  <c r="AL48" i="127"/>
  <c r="V49" i="127"/>
  <c r="AT49" i="127"/>
  <c r="DB49" i="127"/>
  <c r="Z50" i="127"/>
  <c r="CD42" i="127"/>
  <c r="CM42" i="127"/>
  <c r="BZ43" i="127"/>
  <c r="CK43" i="127"/>
  <c r="CW43" i="127"/>
  <c r="BU44" i="127"/>
  <c r="CH44" i="127"/>
  <c r="BU47" i="127"/>
  <c r="CE47" i="127"/>
  <c r="CM47" i="127"/>
  <c r="CU47" i="127"/>
  <c r="BV48" i="127"/>
  <c r="CH48" i="127"/>
  <c r="CV48" i="127"/>
  <c r="BT49" i="127"/>
  <c r="CH49" i="127"/>
  <c r="CV49" i="127"/>
  <c r="CS50" i="127"/>
  <c r="DU5" i="127"/>
  <c r="H5" i="127"/>
  <c r="AN5" i="127" s="1"/>
  <c r="DV36" i="127"/>
  <c r="H36" i="127"/>
  <c r="DU36" i="127"/>
  <c r="DU41" i="127"/>
  <c r="P45" i="127"/>
  <c r="AR45" i="127"/>
  <c r="DT46" i="127"/>
  <c r="H46" i="127"/>
  <c r="DF46" i="127"/>
  <c r="CY46" i="127"/>
  <c r="CU46" i="127"/>
  <c r="CQ46" i="127"/>
  <c r="CK46" i="127"/>
  <c r="CG46" i="127"/>
  <c r="CB46" i="127"/>
  <c r="BV46" i="127"/>
  <c r="DG46" i="127"/>
  <c r="CX46" i="127"/>
  <c r="CS46" i="127"/>
  <c r="CL46" i="127"/>
  <c r="CE46" i="127"/>
  <c r="BZ46" i="127"/>
  <c r="CF46" i="127"/>
  <c r="AR46" i="127"/>
  <c r="AB46" i="127"/>
  <c r="L46" i="127"/>
  <c r="N46" i="127" s="1"/>
  <c r="CS45" i="127"/>
  <c r="Z15" i="127"/>
  <c r="X36" i="127"/>
  <c r="J15" i="127"/>
  <c r="DU16" i="127"/>
  <c r="H16" i="127"/>
  <c r="J20" i="127"/>
  <c r="H21" i="127"/>
  <c r="DO25" i="127"/>
  <c r="DW25" i="127"/>
  <c r="H25" i="127"/>
  <c r="N25" i="127" s="1"/>
  <c r="H32" i="127"/>
  <c r="L41" i="127"/>
  <c r="DV41" i="127"/>
  <c r="R45" i="127"/>
  <c r="AX45" i="127"/>
  <c r="AJ46" i="127"/>
  <c r="AX50" i="127"/>
  <c r="CD45" i="127"/>
  <c r="CV45" i="127"/>
  <c r="BQ46" i="127"/>
  <c r="CI46" i="127"/>
  <c r="CR46" i="127"/>
  <c r="DI46" i="127"/>
  <c r="BU50" i="127"/>
  <c r="CW50" i="127"/>
  <c r="BA16" i="127"/>
  <c r="Y40" i="127"/>
  <c r="DU8" i="127"/>
  <c r="H8" i="127"/>
  <c r="DU13" i="127"/>
  <c r="H13" i="127"/>
  <c r="J16" i="127"/>
  <c r="DU17" i="127"/>
  <c r="H17" i="127"/>
  <c r="J21" i="127"/>
  <c r="H22" i="127"/>
  <c r="J25" i="127"/>
  <c r="H26" i="127"/>
  <c r="L32" i="127"/>
  <c r="H33" i="127"/>
  <c r="DP33" i="127"/>
  <c r="H34" i="127"/>
  <c r="N34" i="127" s="1"/>
  <c r="DO34" i="127"/>
  <c r="L36" i="127"/>
  <c r="H37" i="127"/>
  <c r="DP37" i="127"/>
  <c r="H38" i="127"/>
  <c r="DP38" i="127"/>
  <c r="H39" i="127"/>
  <c r="DU39" i="127"/>
  <c r="L40" i="127"/>
  <c r="L45" i="127"/>
  <c r="T45" i="127"/>
  <c r="AF45" i="127"/>
  <c r="DO45" i="127"/>
  <c r="T46" i="127"/>
  <c r="AN46" i="127"/>
  <c r="DO46" i="127"/>
  <c r="J50" i="127"/>
  <c r="AH50" i="127"/>
  <c r="BY45" i="127"/>
  <c r="CG45" i="127"/>
  <c r="CQ45" i="127"/>
  <c r="CW45" i="127"/>
  <c r="BT46" i="127"/>
  <c r="CC46" i="127"/>
  <c r="CJ46" i="127"/>
  <c r="CT46" i="127"/>
  <c r="BZ50" i="127"/>
  <c r="CM50" i="127"/>
  <c r="DU7" i="127"/>
  <c r="H7" i="127"/>
  <c r="AN7" i="127"/>
  <c r="DV9" i="127"/>
  <c r="H9" i="127"/>
  <c r="DU11" i="127"/>
  <c r="H11" i="127"/>
  <c r="AJ11" i="127" s="1"/>
  <c r="DU15" i="127"/>
  <c r="H15" i="127"/>
  <c r="N15" i="127" s="1"/>
  <c r="H19" i="127"/>
  <c r="H20" i="127"/>
  <c r="H24" i="127"/>
  <c r="H41" i="127"/>
  <c r="H45" i="127"/>
  <c r="DI45" i="127"/>
  <c r="DD45" i="127"/>
  <c r="CX45" i="127"/>
  <c r="CT45" i="127"/>
  <c r="CN45" i="127"/>
  <c r="CJ45" i="127"/>
  <c r="CE45" i="127"/>
  <c r="CA45" i="127"/>
  <c r="BU45" i="127"/>
  <c r="BQ45" i="127"/>
  <c r="DH45" i="127"/>
  <c r="CZ45" i="127"/>
  <c r="CU45" i="127"/>
  <c r="CM45" i="127"/>
  <c r="CH45" i="127"/>
  <c r="CB45" i="127"/>
  <c r="BT45" i="127"/>
  <c r="BM45" i="127"/>
  <c r="BC45" i="127"/>
  <c r="AJ45" i="127"/>
  <c r="V45" i="127"/>
  <c r="Q45" i="127"/>
  <c r="J45" i="127"/>
  <c r="X45" i="127"/>
  <c r="AF46" i="127"/>
  <c r="CC45" i="127"/>
  <c r="CK45" i="127"/>
  <c r="BY46" i="127"/>
  <c r="CH46" i="127"/>
  <c r="CN46" i="127"/>
  <c r="CW46" i="127"/>
  <c r="DH46" i="127"/>
  <c r="J11" i="127"/>
  <c r="J19" i="127"/>
  <c r="J24" i="127"/>
  <c r="DV30" i="127"/>
  <c r="H30" i="127"/>
  <c r="J36" i="127"/>
  <c r="H40" i="127"/>
  <c r="DU40" i="127"/>
  <c r="I45" i="127"/>
  <c r="AB45" i="127"/>
  <c r="P46" i="127"/>
  <c r="BX46" i="127"/>
  <c r="DV50" i="127"/>
  <c r="H50" i="127"/>
  <c r="DG50" i="127"/>
  <c r="CZ50" i="127"/>
  <c r="CV50" i="127"/>
  <c r="CR50" i="127"/>
  <c r="CL50" i="127"/>
  <c r="CH50" i="127"/>
  <c r="CC50" i="127"/>
  <c r="BY50" i="127"/>
  <c r="BM50" i="127"/>
  <c r="DF50" i="127"/>
  <c r="CY50" i="127"/>
  <c r="CU50" i="127"/>
  <c r="CQ50" i="127"/>
  <c r="CK50" i="127"/>
  <c r="CG50" i="127"/>
  <c r="CB50" i="127"/>
  <c r="BV50" i="127"/>
  <c r="DD50" i="127"/>
  <c r="CT50" i="127"/>
  <c r="CJ50" i="127"/>
  <c r="CA50" i="127"/>
  <c r="BQ50" i="127"/>
  <c r="DJ50" i="127"/>
  <c r="BB50" i="127"/>
  <c r="AL50" i="127"/>
  <c r="V50" i="127"/>
  <c r="AD50" i="127"/>
  <c r="BV45" i="127"/>
  <c r="CL45" i="127"/>
  <c r="DF45" i="127"/>
  <c r="CA46" i="127"/>
  <c r="CZ46" i="127"/>
  <c r="CI50" i="127"/>
  <c r="DI50" i="127"/>
  <c r="V9" i="127"/>
  <c r="Y16" i="127"/>
  <c r="X37" i="127"/>
  <c r="X40" i="127"/>
  <c r="Y41" i="127"/>
  <c r="DU10" i="127"/>
  <c r="DV11" i="127"/>
  <c r="J13" i="127"/>
  <c r="H14" i="127"/>
  <c r="DV15" i="127"/>
  <c r="DP16" i="127"/>
  <c r="J17" i="127"/>
  <c r="DU18" i="127"/>
  <c r="H18" i="127"/>
  <c r="BC18" i="127"/>
  <c r="DP21" i="127"/>
  <c r="J22" i="127"/>
  <c r="H23" i="127"/>
  <c r="DV24" i="127"/>
  <c r="AU25" i="127"/>
  <c r="AA26" i="127"/>
  <c r="AC26" i="127"/>
  <c r="DV27" i="127"/>
  <c r="H27" i="127"/>
  <c r="N27" i="127" s="1"/>
  <c r="DV29" i="127"/>
  <c r="H29" i="127"/>
  <c r="AN29" i="127" s="1"/>
  <c r="DU31" i="127"/>
  <c r="DO32" i="127"/>
  <c r="DT32" i="127"/>
  <c r="J33" i="127"/>
  <c r="DU33" i="127"/>
  <c r="J34" i="127"/>
  <c r="DP34" i="127"/>
  <c r="H35" i="127"/>
  <c r="M36" i="127"/>
  <c r="O36" i="127"/>
  <c r="L37" i="127"/>
  <c r="DU37" i="127"/>
  <c r="L38" i="127"/>
  <c r="M38" i="127"/>
  <c r="DU38" i="127"/>
  <c r="L39" i="127"/>
  <c r="M39" i="127"/>
  <c r="P39" i="127"/>
  <c r="Q39" i="127"/>
  <c r="DV39" i="127"/>
  <c r="DO40" i="127"/>
  <c r="DW40" i="127"/>
  <c r="BH40" i="127"/>
  <c r="DP41" i="127"/>
  <c r="DO42" i="127"/>
  <c r="H42" i="127"/>
  <c r="DF42" i="127"/>
  <c r="CY42" i="127"/>
  <c r="CU42" i="127"/>
  <c r="CQ42" i="127"/>
  <c r="CK42" i="127"/>
  <c r="CG42" i="127"/>
  <c r="CB42" i="127"/>
  <c r="BV42" i="127"/>
  <c r="DI42" i="127"/>
  <c r="CV42" i="127"/>
  <c r="CN42" i="127"/>
  <c r="CI42" i="127"/>
  <c r="CC42" i="127"/>
  <c r="BU42" i="127"/>
  <c r="P42" i="127"/>
  <c r="X42" i="127"/>
  <c r="AF42" i="127"/>
  <c r="AN42" i="127"/>
  <c r="BC42" i="127"/>
  <c r="DT43" i="127"/>
  <c r="H43" i="127"/>
  <c r="N43" i="127" s="1"/>
  <c r="DG43" i="127"/>
  <c r="CZ43" i="127"/>
  <c r="CV43" i="127"/>
  <c r="CR43" i="127"/>
  <c r="CL43" i="127"/>
  <c r="CH43" i="127"/>
  <c r="CC43" i="127"/>
  <c r="BY43" i="127"/>
  <c r="BM43" i="127"/>
  <c r="DH43" i="127"/>
  <c r="CY43" i="127"/>
  <c r="CT43" i="127"/>
  <c r="CM43" i="127"/>
  <c r="CG43" i="127"/>
  <c r="CA43" i="127"/>
  <c r="BT43" i="127"/>
  <c r="BX43" i="127"/>
  <c r="X43" i="127"/>
  <c r="AN43" i="127"/>
  <c r="CF43" i="127"/>
  <c r="DT44" i="127"/>
  <c r="H44" i="127"/>
  <c r="DH44" i="127"/>
  <c r="CW44" i="127"/>
  <c r="CS44" i="127"/>
  <c r="CM44" i="127"/>
  <c r="CI44" i="127"/>
  <c r="CD44" i="127"/>
  <c r="BZ44" i="127"/>
  <c r="BT44" i="127"/>
  <c r="DD44" i="127"/>
  <c r="CX44" i="127"/>
  <c r="CR44" i="127"/>
  <c r="CK44" i="127"/>
  <c r="CE44" i="127"/>
  <c r="BY44" i="127"/>
  <c r="DU44" i="127"/>
  <c r="AJ44" i="127"/>
  <c r="T44" i="127"/>
  <c r="AB44" i="127"/>
  <c r="AV44" i="127"/>
  <c r="M45" i="127"/>
  <c r="U45" i="127"/>
  <c r="AN45" i="127"/>
  <c r="X46" i="127"/>
  <c r="AV46" i="127"/>
  <c r="DU46" i="127"/>
  <c r="R50" i="127"/>
  <c r="AP50" i="127"/>
  <c r="CP50" i="127"/>
  <c r="BQ42" i="127"/>
  <c r="BZ42" i="127"/>
  <c r="CH42" i="127"/>
  <c r="CR42" i="127"/>
  <c r="CX42" i="127"/>
  <c r="DG42" i="127"/>
  <c r="CB43" i="127"/>
  <c r="CJ43" i="127"/>
  <c r="CS43" i="127"/>
  <c r="BM44" i="127"/>
  <c r="BV44" i="127"/>
  <c r="CG44" i="127"/>
  <c r="CN44" i="127"/>
  <c r="CV44" i="127"/>
  <c r="DF44" i="127"/>
  <c r="BZ45" i="127"/>
  <c r="CI45" i="127"/>
  <c r="CR45" i="127"/>
  <c r="CY45" i="127"/>
  <c r="BM46" i="127"/>
  <c r="BU46" i="127"/>
  <c r="CD46" i="127"/>
  <c r="CM46" i="127"/>
  <c r="CV46" i="127"/>
  <c r="DD46" i="127"/>
  <c r="CD50" i="127"/>
  <c r="CN50" i="127"/>
  <c r="H47" i="127"/>
  <c r="DH47" i="127"/>
  <c r="DG47" i="127"/>
  <c r="CZ47" i="127"/>
  <c r="CV47" i="127"/>
  <c r="CR47" i="127"/>
  <c r="CL47" i="127"/>
  <c r="CH47" i="127"/>
  <c r="CC47" i="127"/>
  <c r="BY47" i="127"/>
  <c r="BM47" i="127"/>
  <c r="X47" i="127"/>
  <c r="AN47" i="127"/>
  <c r="BX47" i="127"/>
  <c r="H48" i="127"/>
  <c r="DI48" i="127"/>
  <c r="DD48" i="127"/>
  <c r="CX48" i="127"/>
  <c r="CT48" i="127"/>
  <c r="CN48" i="127"/>
  <c r="CJ48" i="127"/>
  <c r="CE48" i="127"/>
  <c r="CA48" i="127"/>
  <c r="BU48" i="127"/>
  <c r="BQ48" i="127"/>
  <c r="DH48" i="127"/>
  <c r="CW48" i="127"/>
  <c r="CS48" i="127"/>
  <c r="CM48" i="127"/>
  <c r="CI48" i="127"/>
  <c r="CD48" i="127"/>
  <c r="BZ48" i="127"/>
  <c r="BT48" i="127"/>
  <c r="S48" i="127"/>
  <c r="AD48" i="127"/>
  <c r="AT48" i="127"/>
  <c r="DV49" i="127"/>
  <c r="H49" i="127"/>
  <c r="DF49" i="127"/>
  <c r="CY49" i="127"/>
  <c r="CU49" i="127"/>
  <c r="CQ49" i="127"/>
  <c r="CK49" i="127"/>
  <c r="CG49" i="127"/>
  <c r="CB49" i="127"/>
  <c r="BV49" i="127"/>
  <c r="DI49" i="127"/>
  <c r="DD49" i="127"/>
  <c r="CX49" i="127"/>
  <c r="CT49" i="127"/>
  <c r="CN49" i="127"/>
  <c r="CJ49" i="127"/>
  <c r="CE49" i="127"/>
  <c r="CA49" i="127"/>
  <c r="BU49" i="127"/>
  <c r="BQ49" i="127"/>
  <c r="Z49" i="127"/>
  <c r="AP49" i="127"/>
  <c r="BQ47" i="127"/>
  <c r="BV47" i="127"/>
  <c r="CD47" i="127"/>
  <c r="CJ47" i="127"/>
  <c r="CQ47" i="127"/>
  <c r="CW47" i="127"/>
  <c r="DD47" i="127"/>
  <c r="CB48" i="127"/>
  <c r="CK48" i="127"/>
  <c r="CU48" i="127"/>
  <c r="BZ49" i="127"/>
  <c r="CI49" i="127"/>
  <c r="CS49" i="127"/>
  <c r="Y39" i="127"/>
  <c r="H16" i="101"/>
  <c r="K16" i="101"/>
  <c r="G17" i="101"/>
  <c r="H37" i="101"/>
  <c r="K37" i="101"/>
  <c r="K38" i="101"/>
  <c r="D43" i="101"/>
  <c r="D46" i="101"/>
  <c r="K10" i="101"/>
  <c r="X30" i="125"/>
  <c r="X32" i="125"/>
  <c r="I36" i="125"/>
  <c r="BA36" i="125"/>
  <c r="BA37" i="125"/>
  <c r="I37" i="125"/>
  <c r="I38" i="125"/>
  <c r="BA38" i="125"/>
  <c r="BA40" i="125"/>
  <c r="I40" i="125"/>
  <c r="L5" i="125"/>
  <c r="N5" i="125" s="1"/>
  <c r="X5" i="125"/>
  <c r="DO5" i="125"/>
  <c r="DT5" i="125"/>
  <c r="DU5" i="125"/>
  <c r="L6" i="125"/>
  <c r="X6" i="125"/>
  <c r="DO6" i="125"/>
  <c r="DT6" i="125"/>
  <c r="DU6" i="125"/>
  <c r="L8" i="125"/>
  <c r="X8" i="125"/>
  <c r="DO8" i="125"/>
  <c r="DT8" i="125"/>
  <c r="DU8" i="125"/>
  <c r="L9" i="125"/>
  <c r="X9" i="125"/>
  <c r="DO9" i="125"/>
  <c r="DT9" i="125"/>
  <c r="DU9" i="125"/>
  <c r="L10" i="125"/>
  <c r="X10" i="125"/>
  <c r="DO10" i="125"/>
  <c r="DT10" i="125"/>
  <c r="DU10" i="125"/>
  <c r="X11" i="125"/>
  <c r="X12" i="125"/>
  <c r="DO12" i="125"/>
  <c r="DU12" i="125"/>
  <c r="L13" i="125"/>
  <c r="X13" i="125"/>
  <c r="DO13" i="125"/>
  <c r="DT13" i="125"/>
  <c r="DU13" i="125"/>
  <c r="L14" i="125"/>
  <c r="X14" i="125"/>
  <c r="DO14" i="125"/>
  <c r="DT14" i="125"/>
  <c r="DU14" i="125"/>
  <c r="L16" i="125"/>
  <c r="X16" i="125"/>
  <c r="DO16" i="125"/>
  <c r="DT16" i="125"/>
  <c r="DU16" i="125"/>
  <c r="L17" i="125"/>
  <c r="X17" i="125"/>
  <c r="DO17" i="125"/>
  <c r="DT17" i="125"/>
  <c r="DU17" i="125"/>
  <c r="L18" i="125"/>
  <c r="X18" i="125"/>
  <c r="DO18" i="125"/>
  <c r="DT18" i="125"/>
  <c r="DU18" i="125"/>
  <c r="L20" i="125"/>
  <c r="N20" i="125" s="1"/>
  <c r="X20" i="125"/>
  <c r="DO20" i="125"/>
  <c r="DT20" i="125"/>
  <c r="DU20" i="125"/>
  <c r="L21" i="125"/>
  <c r="X21" i="125"/>
  <c r="DO21" i="125"/>
  <c r="DT21" i="125"/>
  <c r="DU21" i="125"/>
  <c r="L22" i="125"/>
  <c r="X22" i="125"/>
  <c r="AI22" i="125"/>
  <c r="V24" i="125"/>
  <c r="V25" i="125"/>
  <c r="V26" i="125"/>
  <c r="V28" i="125"/>
  <c r="I5" i="125"/>
  <c r="Y5" i="125"/>
  <c r="BA5" i="125"/>
  <c r="DP5" i="125"/>
  <c r="DS5" i="125" s="1"/>
  <c r="DV5" i="125"/>
  <c r="I6" i="125"/>
  <c r="M6" i="125"/>
  <c r="P6" i="125"/>
  <c r="Q6" i="125"/>
  <c r="Y6" i="125"/>
  <c r="BA6" i="125"/>
  <c r="DP6" i="125"/>
  <c r="DV6" i="125"/>
  <c r="I7" i="125"/>
  <c r="I8" i="125"/>
  <c r="M8" i="125"/>
  <c r="P8" i="125"/>
  <c r="Q8" i="125"/>
  <c r="Y8" i="125"/>
  <c r="BA8" i="125"/>
  <c r="DP8" i="125"/>
  <c r="DV8" i="125"/>
  <c r="I9" i="125"/>
  <c r="M9" i="125"/>
  <c r="P9" i="125"/>
  <c r="Q9" i="125"/>
  <c r="Y9" i="125"/>
  <c r="BA9" i="125"/>
  <c r="DP9" i="125"/>
  <c r="DV9" i="125"/>
  <c r="I10" i="125"/>
  <c r="M10" i="125"/>
  <c r="P10" i="125"/>
  <c r="Q10" i="125"/>
  <c r="Y10" i="125"/>
  <c r="BA10" i="125"/>
  <c r="DP10" i="125"/>
  <c r="DV10" i="125"/>
  <c r="I11" i="125"/>
  <c r="I12" i="125"/>
  <c r="Y12" i="125"/>
  <c r="BA12" i="125"/>
  <c r="DP12" i="125"/>
  <c r="DS12" i="125"/>
  <c r="DV12" i="125"/>
  <c r="I13" i="125"/>
  <c r="K13" i="125"/>
  <c r="M13" i="125"/>
  <c r="P13" i="125"/>
  <c r="Q13" i="125"/>
  <c r="Y13" i="125"/>
  <c r="BA13" i="125"/>
  <c r="DP13" i="125"/>
  <c r="DS13" i="125"/>
  <c r="DV13" i="125"/>
  <c r="I14" i="125"/>
  <c r="M14" i="125"/>
  <c r="P14" i="125"/>
  <c r="Q14" i="125"/>
  <c r="Y14" i="125"/>
  <c r="BA14" i="125"/>
  <c r="DP14" i="125"/>
  <c r="DV14" i="125"/>
  <c r="P15" i="125"/>
  <c r="I16" i="125"/>
  <c r="M16" i="125"/>
  <c r="P16" i="125"/>
  <c r="Q16" i="125"/>
  <c r="Y16" i="125"/>
  <c r="BA16" i="125"/>
  <c r="DP16" i="125"/>
  <c r="DV16" i="125"/>
  <c r="I17" i="125"/>
  <c r="M17" i="125"/>
  <c r="P17" i="125"/>
  <c r="Q17" i="125"/>
  <c r="Y17" i="125"/>
  <c r="BA17" i="125"/>
  <c r="DP17" i="125"/>
  <c r="DV17" i="125"/>
  <c r="I18" i="125"/>
  <c r="M18" i="125"/>
  <c r="P18" i="125"/>
  <c r="Q18" i="125"/>
  <c r="Y18" i="125"/>
  <c r="BA18" i="125"/>
  <c r="DP18" i="125"/>
  <c r="DV18" i="125"/>
  <c r="I20" i="125"/>
  <c r="M20" i="125"/>
  <c r="P20" i="125"/>
  <c r="Q20" i="125"/>
  <c r="Y20" i="125"/>
  <c r="BA20" i="125"/>
  <c r="DP20" i="125"/>
  <c r="DV20" i="125"/>
  <c r="I21" i="125"/>
  <c r="M21" i="125"/>
  <c r="P21" i="125"/>
  <c r="Q21" i="125"/>
  <c r="Y21" i="125"/>
  <c r="BA21" i="125"/>
  <c r="DP21" i="125"/>
  <c r="DV21" i="125"/>
  <c r="I22" i="125"/>
  <c r="M22" i="125"/>
  <c r="P22" i="125"/>
  <c r="Q22" i="125"/>
  <c r="Z22" i="125"/>
  <c r="AE22" i="125"/>
  <c r="AJ22" i="125"/>
  <c r="AU22" i="125"/>
  <c r="BB29" i="125"/>
  <c r="V29" i="125"/>
  <c r="BB30" i="125"/>
  <c r="V30" i="125"/>
  <c r="V32" i="125"/>
  <c r="BA32" i="125"/>
  <c r="V33" i="125"/>
  <c r="BA33" i="125"/>
  <c r="I33" i="125"/>
  <c r="I34" i="125"/>
  <c r="BA34" i="125"/>
  <c r="BA41" i="125"/>
  <c r="I41" i="125"/>
  <c r="J5" i="125"/>
  <c r="V5" i="125"/>
  <c r="Z5" i="125"/>
  <c r="BB5" i="125"/>
  <c r="J6" i="125"/>
  <c r="V6" i="125"/>
  <c r="Z6" i="125"/>
  <c r="BB6" i="125"/>
  <c r="BB7" i="125"/>
  <c r="J8" i="125"/>
  <c r="V8" i="125"/>
  <c r="Z8" i="125"/>
  <c r="BB8" i="125"/>
  <c r="J9" i="125"/>
  <c r="V9" i="125"/>
  <c r="Z9" i="125"/>
  <c r="BB9" i="125"/>
  <c r="J10" i="125"/>
  <c r="V10" i="125"/>
  <c r="Z10" i="125"/>
  <c r="BB10" i="125"/>
  <c r="J12" i="125"/>
  <c r="V12" i="125"/>
  <c r="Z12" i="125"/>
  <c r="BB12" i="125"/>
  <c r="J13" i="125"/>
  <c r="V13" i="125"/>
  <c r="Z13" i="125"/>
  <c r="BR13" i="125"/>
  <c r="BB13" i="125"/>
  <c r="J14" i="125"/>
  <c r="V14" i="125"/>
  <c r="Z14" i="125"/>
  <c r="BB14" i="125"/>
  <c r="V15" i="125"/>
  <c r="J16" i="125"/>
  <c r="V16" i="125"/>
  <c r="Z16" i="125"/>
  <c r="BB16" i="125"/>
  <c r="J17" i="125"/>
  <c r="V17" i="125"/>
  <c r="Z17" i="125"/>
  <c r="BB17" i="125"/>
  <c r="J18" i="125"/>
  <c r="V18" i="125"/>
  <c r="Z18" i="125"/>
  <c r="BB18" i="125"/>
  <c r="V19" i="125"/>
  <c r="J20" i="125"/>
  <c r="V20" i="125"/>
  <c r="Z20" i="125"/>
  <c r="BB20" i="125"/>
  <c r="J21" i="125"/>
  <c r="V21" i="125"/>
  <c r="Z21" i="125"/>
  <c r="BB21" i="125"/>
  <c r="J22" i="125"/>
  <c r="V22" i="125"/>
  <c r="AA22" i="125"/>
  <c r="AF22" i="125"/>
  <c r="AQ22" i="125"/>
  <c r="AV22" i="125"/>
  <c r="BB22" i="125"/>
  <c r="W5" i="125"/>
  <c r="AA5" i="125"/>
  <c r="AE5" i="125"/>
  <c r="AF5" i="125" s="1"/>
  <c r="AI5" i="125"/>
  <c r="AM5" i="125"/>
  <c r="AN5" i="125" s="1"/>
  <c r="AQ5" i="125"/>
  <c r="AU5" i="125"/>
  <c r="K6" i="125"/>
  <c r="O6" i="125"/>
  <c r="W6" i="125"/>
  <c r="AA6" i="125"/>
  <c r="AB6" i="125"/>
  <c r="AE6" i="125"/>
  <c r="AF6" i="125"/>
  <c r="AI6" i="125"/>
  <c r="AJ6" i="125"/>
  <c r="AM6" i="125"/>
  <c r="AN6" i="125"/>
  <c r="AQ6" i="125"/>
  <c r="AR6" i="125"/>
  <c r="AU6" i="125"/>
  <c r="AV6" i="125"/>
  <c r="BC6" i="125"/>
  <c r="AG7" i="125"/>
  <c r="AW7" i="125"/>
  <c r="K8" i="125"/>
  <c r="O8" i="125"/>
  <c r="W8" i="125"/>
  <c r="AA8" i="125"/>
  <c r="AC8" i="125"/>
  <c r="AE8" i="125"/>
  <c r="AF8" i="125"/>
  <c r="AI8" i="125"/>
  <c r="AJ8" i="125"/>
  <c r="AM8" i="125"/>
  <c r="AO8" i="125"/>
  <c r="AP8" i="125"/>
  <c r="AQ8" i="125"/>
  <c r="AS8" i="125"/>
  <c r="AT8" i="125"/>
  <c r="AU8" i="125"/>
  <c r="AV8" i="125"/>
  <c r="BC8" i="125"/>
  <c r="K9" i="125"/>
  <c r="O9" i="125"/>
  <c r="W9" i="125"/>
  <c r="AA9" i="125"/>
  <c r="AB9" i="125"/>
  <c r="AE9" i="125"/>
  <c r="AG9" i="125"/>
  <c r="AI9" i="125"/>
  <c r="AK9" i="125"/>
  <c r="AL9" i="125"/>
  <c r="AM9" i="125"/>
  <c r="AO9" i="125"/>
  <c r="AP9" i="125"/>
  <c r="AQ9" i="125"/>
  <c r="AR9" i="125"/>
  <c r="AU9" i="125"/>
  <c r="AW9" i="125"/>
  <c r="AX9" i="125"/>
  <c r="BC9" i="125"/>
  <c r="K10" i="125"/>
  <c r="O10" i="125"/>
  <c r="W10" i="125"/>
  <c r="AA10" i="125"/>
  <c r="AB10" i="125"/>
  <c r="AE10" i="125"/>
  <c r="AF10" i="125"/>
  <c r="AI10" i="125"/>
  <c r="AJ10" i="125"/>
  <c r="AM10" i="125"/>
  <c r="AN10" i="125"/>
  <c r="AQ10" i="125"/>
  <c r="AR10" i="125"/>
  <c r="AU10" i="125"/>
  <c r="AV10" i="125"/>
  <c r="BC10" i="125"/>
  <c r="W12" i="125"/>
  <c r="AA12" i="125"/>
  <c r="AC12" i="125"/>
  <c r="AE12" i="125"/>
  <c r="AF12" i="125"/>
  <c r="AI12" i="125"/>
  <c r="AM12" i="125"/>
  <c r="AO12" i="125" s="1"/>
  <c r="AQ12" i="125"/>
  <c r="AR12" i="125" s="1"/>
  <c r="AU12" i="125"/>
  <c r="O13" i="125"/>
  <c r="W13" i="125"/>
  <c r="AA13" i="125"/>
  <c r="AB13" i="125"/>
  <c r="AE13" i="125"/>
  <c r="AG13" i="125"/>
  <c r="AI13" i="125"/>
  <c r="AK13" i="125"/>
  <c r="AL13" i="125"/>
  <c r="AM13" i="125"/>
  <c r="AO13" i="125"/>
  <c r="AP13" i="125"/>
  <c r="AQ13" i="125"/>
  <c r="AR13" i="125"/>
  <c r="AU13" i="125"/>
  <c r="AW13" i="125"/>
  <c r="AX13" i="125"/>
  <c r="BC13" i="125"/>
  <c r="K14" i="125"/>
  <c r="O14" i="125"/>
  <c r="W14" i="125"/>
  <c r="AA14" i="125"/>
  <c r="AB14" i="125"/>
  <c r="AE14" i="125"/>
  <c r="AF14" i="125"/>
  <c r="AI14" i="125"/>
  <c r="AJ14" i="125"/>
  <c r="AM14" i="125"/>
  <c r="AN14" i="125"/>
  <c r="AQ14" i="125"/>
  <c r="AR14" i="125"/>
  <c r="AU14" i="125"/>
  <c r="AV14" i="125"/>
  <c r="BC14" i="125"/>
  <c r="AU15" i="125"/>
  <c r="K16" i="125"/>
  <c r="O16" i="125"/>
  <c r="W16" i="125"/>
  <c r="AA16" i="125"/>
  <c r="AC16" i="125"/>
  <c r="AE16" i="125"/>
  <c r="AF16" i="125"/>
  <c r="AI16" i="125"/>
  <c r="AJ16" i="125"/>
  <c r="AM16" i="125"/>
  <c r="AO16" i="125"/>
  <c r="AP16" i="125"/>
  <c r="AQ16" i="125"/>
  <c r="AS16" i="125"/>
  <c r="AT16" i="125"/>
  <c r="AU16" i="125"/>
  <c r="AV16" i="125"/>
  <c r="BC16" i="125"/>
  <c r="K17" i="125"/>
  <c r="O17" i="125"/>
  <c r="W17" i="125"/>
  <c r="AA17" i="125"/>
  <c r="AB17" i="125"/>
  <c r="AE17" i="125"/>
  <c r="AG17" i="125"/>
  <c r="AI17" i="125"/>
  <c r="AK17" i="125"/>
  <c r="AL17" i="125"/>
  <c r="AM17" i="125"/>
  <c r="AO17" i="125"/>
  <c r="AP17" i="125"/>
  <c r="AQ17" i="125"/>
  <c r="AR17" i="125"/>
  <c r="AU17" i="125"/>
  <c r="AW17" i="125"/>
  <c r="AX17" i="125"/>
  <c r="BC17" i="125"/>
  <c r="K18" i="125"/>
  <c r="O18" i="125"/>
  <c r="W18" i="125"/>
  <c r="AA18" i="125"/>
  <c r="AB18" i="125"/>
  <c r="AE18" i="125"/>
  <c r="AF18" i="125"/>
  <c r="AI18" i="125"/>
  <c r="AJ18" i="125"/>
  <c r="AM18" i="125"/>
  <c r="AN18" i="125"/>
  <c r="AQ18" i="125"/>
  <c r="AR18" i="125"/>
  <c r="AU18" i="125"/>
  <c r="AV18" i="125"/>
  <c r="BC18" i="125"/>
  <c r="K19" i="125"/>
  <c r="AJ19" i="125"/>
  <c r="K20" i="125"/>
  <c r="O20" i="125"/>
  <c r="W20" i="125"/>
  <c r="AA20" i="125"/>
  <c r="AC20" i="125"/>
  <c r="AE20" i="125"/>
  <c r="AF20" i="125"/>
  <c r="AI20" i="125"/>
  <c r="AJ20" i="125"/>
  <c r="AM20" i="125"/>
  <c r="AO20" i="125"/>
  <c r="AP20" i="125"/>
  <c r="AQ20" i="125"/>
  <c r="AS20" i="125"/>
  <c r="AT20" i="125"/>
  <c r="AU20" i="125"/>
  <c r="AV20" i="125"/>
  <c r="BC20" i="125"/>
  <c r="K21" i="125"/>
  <c r="O21" i="125"/>
  <c r="W21" i="125"/>
  <c r="AA21" i="125"/>
  <c r="AB21" i="125"/>
  <c r="AE21" i="125"/>
  <c r="AG21" i="125"/>
  <c r="AI21" i="125"/>
  <c r="AK21" i="125"/>
  <c r="AL21" i="125"/>
  <c r="AM21" i="125"/>
  <c r="AO21" i="125"/>
  <c r="AP21" i="125"/>
  <c r="AQ21" i="125"/>
  <c r="AR21" i="125"/>
  <c r="AU21" i="125"/>
  <c r="AW21" i="125"/>
  <c r="AX21" i="125"/>
  <c r="BC21" i="125"/>
  <c r="DV22" i="125"/>
  <c r="DP22" i="125"/>
  <c r="BA22" i="125"/>
  <c r="AW22" i="125"/>
  <c r="AX22" i="125"/>
  <c r="AS22" i="125"/>
  <c r="AT22" i="125"/>
  <c r="AO22" i="125"/>
  <c r="AP22" i="125"/>
  <c r="AK22" i="125"/>
  <c r="AL22" i="125"/>
  <c r="AG22" i="125"/>
  <c r="AC22" i="125"/>
  <c r="Y22" i="125"/>
  <c r="K22" i="125"/>
  <c r="O22" i="125"/>
  <c r="W22" i="125"/>
  <c r="AB22" i="125"/>
  <c r="AH22" i="125"/>
  <c r="AM22" i="125"/>
  <c r="AN22" i="125"/>
  <c r="AR22" i="125"/>
  <c r="BC22" i="125"/>
  <c r="DO22" i="125"/>
  <c r="DT22" i="125"/>
  <c r="W24" i="125"/>
  <c r="AA24" i="125"/>
  <c r="AE24" i="125"/>
  <c r="AI24" i="125"/>
  <c r="AM24" i="125"/>
  <c r="AQ24" i="125"/>
  <c r="AU24" i="125"/>
  <c r="W25" i="125"/>
  <c r="AA25" i="125"/>
  <c r="AE25" i="125"/>
  <c r="AI25" i="125"/>
  <c r="AM25" i="125"/>
  <c r="AQ25" i="125"/>
  <c r="AU25" i="125"/>
  <c r="W26" i="125"/>
  <c r="AA26" i="125"/>
  <c r="AE26" i="125"/>
  <c r="AI26" i="125"/>
  <c r="AM26" i="125"/>
  <c r="AQ26" i="125"/>
  <c r="AU26" i="125"/>
  <c r="AI27" i="125"/>
  <c r="W28" i="125"/>
  <c r="AA28" i="125"/>
  <c r="AE28" i="125"/>
  <c r="AI28" i="125"/>
  <c r="AM28" i="125"/>
  <c r="AQ28" i="125"/>
  <c r="AU28" i="125"/>
  <c r="W29" i="125"/>
  <c r="AA29" i="125"/>
  <c r="AC29" i="125" s="1"/>
  <c r="AD29" i="125" s="1"/>
  <c r="AE29" i="125"/>
  <c r="AG29" i="125" s="1"/>
  <c r="AI29" i="125"/>
  <c r="AK29" i="125" s="1"/>
  <c r="AM29" i="125"/>
  <c r="AO29" i="125" s="1"/>
  <c r="AP29" i="125" s="1"/>
  <c r="AQ29" i="125"/>
  <c r="AU29" i="125"/>
  <c r="W30" i="125"/>
  <c r="AA30" i="125"/>
  <c r="AE30" i="125"/>
  <c r="AI30" i="125"/>
  <c r="AM30" i="125"/>
  <c r="AQ30" i="125"/>
  <c r="AU30" i="125"/>
  <c r="AU31" i="125"/>
  <c r="DU32" i="125"/>
  <c r="DO32" i="125"/>
  <c r="DT32" i="125"/>
  <c r="W32" i="125"/>
  <c r="AA32" i="125"/>
  <c r="AE32" i="125"/>
  <c r="AI32" i="125"/>
  <c r="AM32" i="125"/>
  <c r="AQ32" i="125"/>
  <c r="AU32" i="125"/>
  <c r="DU33" i="125"/>
  <c r="DO33" i="125"/>
  <c r="X33" i="125"/>
  <c r="L33" i="125"/>
  <c r="M33" i="125"/>
  <c r="BB33" i="125"/>
  <c r="W33" i="125"/>
  <c r="AC33" i="125"/>
  <c r="AM33" i="125"/>
  <c r="AO33" i="125"/>
  <c r="AS33" i="125"/>
  <c r="I24" i="125"/>
  <c r="M24" i="125"/>
  <c r="P24" i="125"/>
  <c r="Q24" i="125"/>
  <c r="S24" i="125"/>
  <c r="Y24" i="125"/>
  <c r="AC24" i="125"/>
  <c r="AG24" i="125"/>
  <c r="AK24" i="125"/>
  <c r="AO24" i="125"/>
  <c r="AP24" i="125"/>
  <c r="AS24" i="125"/>
  <c r="AW24" i="125"/>
  <c r="AX24" i="125"/>
  <c r="BA24" i="125"/>
  <c r="DP24" i="125"/>
  <c r="I25" i="125"/>
  <c r="M25" i="125"/>
  <c r="P25" i="125"/>
  <c r="Q25" i="125"/>
  <c r="Y25" i="125"/>
  <c r="AC25" i="125"/>
  <c r="AG25" i="125"/>
  <c r="AK25" i="125"/>
  <c r="AL25" i="125"/>
  <c r="AO25" i="125"/>
  <c r="AP25" i="125"/>
  <c r="AS25" i="125"/>
  <c r="AT25" i="125"/>
  <c r="AW25" i="125"/>
  <c r="BA25" i="125"/>
  <c r="DP25" i="125"/>
  <c r="I26" i="125"/>
  <c r="M26" i="125"/>
  <c r="P26" i="125"/>
  <c r="Y26" i="125"/>
  <c r="AC26" i="125"/>
  <c r="AG26" i="125"/>
  <c r="AK26" i="125"/>
  <c r="AO26" i="125"/>
  <c r="AP26" i="125"/>
  <c r="AS26" i="125"/>
  <c r="AW26" i="125"/>
  <c r="BA26" i="125"/>
  <c r="DP26" i="125"/>
  <c r="AX27" i="125"/>
  <c r="I28" i="125"/>
  <c r="M28" i="125"/>
  <c r="P28" i="125"/>
  <c r="Q28" i="125"/>
  <c r="S28" i="125"/>
  <c r="Y28" i="125"/>
  <c r="AC28" i="125"/>
  <c r="AG28" i="125"/>
  <c r="AK28" i="125"/>
  <c r="AO28" i="125"/>
  <c r="AP28" i="125"/>
  <c r="AS28" i="125"/>
  <c r="AW28" i="125"/>
  <c r="AX28" i="125"/>
  <c r="BA28" i="125"/>
  <c r="DP28" i="125"/>
  <c r="I29" i="125"/>
  <c r="M29" i="125"/>
  <c r="P29" i="125" s="1"/>
  <c r="Q29" i="125" s="1"/>
  <c r="Y29" i="125"/>
  <c r="BA29" i="125"/>
  <c r="BC29" i="125" s="1"/>
  <c r="DP29" i="125"/>
  <c r="DQ29" i="125" s="1"/>
  <c r="I30" i="125"/>
  <c r="M30" i="125"/>
  <c r="P30" i="125"/>
  <c r="Y30" i="125"/>
  <c r="AC30" i="125"/>
  <c r="AG30" i="125"/>
  <c r="AK30" i="125"/>
  <c r="AO30" i="125"/>
  <c r="AP30" i="125"/>
  <c r="AS30" i="125"/>
  <c r="AW30" i="125"/>
  <c r="BA30" i="125"/>
  <c r="DP30" i="125"/>
  <c r="Q31" i="125"/>
  <c r="AP31" i="125"/>
  <c r="I32" i="125"/>
  <c r="M32" i="125"/>
  <c r="P32" i="125"/>
  <c r="Q32" i="125"/>
  <c r="U32" i="125"/>
  <c r="Y32" i="125"/>
  <c r="AC32" i="125"/>
  <c r="AG32" i="125"/>
  <c r="AK32" i="125"/>
  <c r="AO32" i="125"/>
  <c r="AP32" i="125"/>
  <c r="AS32" i="125"/>
  <c r="AW32" i="125"/>
  <c r="AX32" i="125"/>
  <c r="BB32" i="125"/>
  <c r="DV32" i="125"/>
  <c r="J33" i="125"/>
  <c r="Z33" i="125"/>
  <c r="AE33" i="125"/>
  <c r="AG33" i="125"/>
  <c r="AK33" i="125"/>
  <c r="AU33" i="125"/>
  <c r="AW33" i="125"/>
  <c r="DP33" i="125"/>
  <c r="DV47" i="125"/>
  <c r="DP47" i="125"/>
  <c r="DA47" i="125"/>
  <c r="CO47" i="125"/>
  <c r="BA47" i="125"/>
  <c r="AW47" i="125"/>
  <c r="AS47" i="125"/>
  <c r="AO47" i="125"/>
  <c r="AK47" i="125"/>
  <c r="AG47" i="125"/>
  <c r="AC47" i="125"/>
  <c r="Y47" i="125"/>
  <c r="U47" i="125"/>
  <c r="Q47" i="125"/>
  <c r="M47" i="125"/>
  <c r="I47" i="125"/>
  <c r="DU47" i="125"/>
  <c r="DO47" i="125"/>
  <c r="CF47" i="125"/>
  <c r="BX47" i="125"/>
  <c r="AV47" i="125"/>
  <c r="AR47" i="125"/>
  <c r="AN47" i="125"/>
  <c r="AJ47" i="125"/>
  <c r="AF47" i="125"/>
  <c r="AB47" i="125"/>
  <c r="X47" i="125"/>
  <c r="T47" i="125"/>
  <c r="P47" i="125"/>
  <c r="L47" i="125"/>
  <c r="DJ47" i="125"/>
  <c r="DB47" i="125"/>
  <c r="CP47" i="125"/>
  <c r="BB47" i="125"/>
  <c r="AX47" i="125"/>
  <c r="AZ47" i="125" s="1"/>
  <c r="AT47" i="125"/>
  <c r="AP47" i="125"/>
  <c r="AL47" i="125"/>
  <c r="AH47" i="125"/>
  <c r="AD47" i="125"/>
  <c r="Z47" i="125"/>
  <c r="V47" i="125"/>
  <c r="R47" i="125"/>
  <c r="J47" i="125"/>
  <c r="W47" i="125"/>
  <c r="AM47" i="125"/>
  <c r="BC47" i="125"/>
  <c r="DV48" i="125"/>
  <c r="DP48" i="125"/>
  <c r="DA48" i="125"/>
  <c r="CO48" i="125"/>
  <c r="BA48" i="125"/>
  <c r="AW48" i="125"/>
  <c r="AS48" i="125"/>
  <c r="AO48" i="125"/>
  <c r="AK48" i="125"/>
  <c r="AG48" i="125"/>
  <c r="AC48" i="125"/>
  <c r="Y48" i="125"/>
  <c r="U48" i="125"/>
  <c r="Q48" i="125"/>
  <c r="M48" i="125"/>
  <c r="I48" i="125"/>
  <c r="DU48" i="125"/>
  <c r="DO48" i="125"/>
  <c r="CF48" i="125"/>
  <c r="BX48" i="125"/>
  <c r="AV48" i="125"/>
  <c r="AR48" i="125"/>
  <c r="AN48" i="125"/>
  <c r="AJ48" i="125"/>
  <c r="AF48" i="125"/>
  <c r="AB48" i="125"/>
  <c r="X48" i="125"/>
  <c r="T48" i="125"/>
  <c r="P48" i="125"/>
  <c r="L48" i="125"/>
  <c r="DT48" i="125"/>
  <c r="DK48" i="125"/>
  <c r="BW48" i="125"/>
  <c r="BO48" i="125"/>
  <c r="BC48" i="125"/>
  <c r="DJ48" i="125"/>
  <c r="DB48" i="125"/>
  <c r="CP48" i="125"/>
  <c r="BB48" i="125"/>
  <c r="AX48" i="125"/>
  <c r="AT48" i="125"/>
  <c r="AP48" i="125"/>
  <c r="AL48" i="125"/>
  <c r="AH48" i="125"/>
  <c r="AD48" i="125"/>
  <c r="Z48" i="125"/>
  <c r="V48" i="125"/>
  <c r="R48" i="125"/>
  <c r="J48" i="125"/>
  <c r="W48" i="125"/>
  <c r="AM48" i="125"/>
  <c r="J34" i="125"/>
  <c r="V34" i="125"/>
  <c r="Z34" i="125"/>
  <c r="BB34" i="125"/>
  <c r="BB35" i="125"/>
  <c r="J36" i="125"/>
  <c r="V36" i="125"/>
  <c r="Z36" i="125"/>
  <c r="BB36" i="125"/>
  <c r="J37" i="125"/>
  <c r="V37" i="125"/>
  <c r="Z37" i="125"/>
  <c r="BB37" i="125"/>
  <c r="J38" i="125"/>
  <c r="V38" i="125"/>
  <c r="Z38" i="125"/>
  <c r="BB38" i="125"/>
  <c r="BB39" i="125"/>
  <c r="J40" i="125"/>
  <c r="V40" i="125"/>
  <c r="Z40" i="125"/>
  <c r="BB40" i="125"/>
  <c r="J41" i="125"/>
  <c r="V41" i="125"/>
  <c r="Z41" i="125"/>
  <c r="BB41" i="125"/>
  <c r="J42" i="125"/>
  <c r="R42" i="125"/>
  <c r="V42" i="125"/>
  <c r="Z42" i="125"/>
  <c r="AD42" i="125"/>
  <c r="AH42" i="125"/>
  <c r="AL42" i="125"/>
  <c r="AP42" i="125"/>
  <c r="AT42" i="125"/>
  <c r="AX42" i="125"/>
  <c r="BB42" i="125"/>
  <c r="CP42" i="125"/>
  <c r="DB42" i="125"/>
  <c r="DJ42" i="125"/>
  <c r="J43" i="125"/>
  <c r="R43" i="125"/>
  <c r="V43" i="125"/>
  <c r="Z43" i="125"/>
  <c r="AD43" i="125"/>
  <c r="AH43" i="125"/>
  <c r="AL43" i="125"/>
  <c r="AP43" i="125"/>
  <c r="AT43" i="125"/>
  <c r="AX43" i="125"/>
  <c r="BB43" i="125"/>
  <c r="CP43" i="125"/>
  <c r="DB43" i="125"/>
  <c r="DJ43" i="125"/>
  <c r="AD44" i="125"/>
  <c r="AL44" i="125"/>
  <c r="CF44" i="125"/>
  <c r="DB44" i="125"/>
  <c r="K45" i="125"/>
  <c r="P45" i="125"/>
  <c r="V45" i="125"/>
  <c r="AA45" i="125"/>
  <c r="AF45" i="125"/>
  <c r="AL45" i="125"/>
  <c r="AQ45" i="125"/>
  <c r="AV45" i="125"/>
  <c r="BB45" i="125"/>
  <c r="BO45" i="125"/>
  <c r="CP45" i="125"/>
  <c r="DK45" i="125"/>
  <c r="J46" i="125"/>
  <c r="O46" i="125"/>
  <c r="T46" i="125"/>
  <c r="AA46" i="125"/>
  <c r="AI46" i="125"/>
  <c r="AQ46" i="125"/>
  <c r="BO46" i="125"/>
  <c r="DK46" i="125"/>
  <c r="K47" i="125"/>
  <c r="AA47" i="125"/>
  <c r="AQ47" i="125"/>
  <c r="BO47" i="125"/>
  <c r="DK47" i="125"/>
  <c r="K48" i="125"/>
  <c r="AA48" i="125"/>
  <c r="AQ48" i="125"/>
  <c r="K34" i="125"/>
  <c r="W34" i="125"/>
  <c r="AA34" i="125"/>
  <c r="AC34" i="125"/>
  <c r="AD34" i="125"/>
  <c r="AE34" i="125"/>
  <c r="AG34" i="125"/>
  <c r="AI34" i="125"/>
  <c r="AK34" i="125"/>
  <c r="AL34" i="125"/>
  <c r="AM34" i="125"/>
  <c r="AO34" i="125"/>
  <c r="AP34" i="125"/>
  <c r="AQ34" i="125"/>
  <c r="AS34" i="125"/>
  <c r="AT34" i="125"/>
  <c r="AU34" i="125"/>
  <c r="AW34" i="125"/>
  <c r="AX34" i="125"/>
  <c r="BC34" i="125"/>
  <c r="AA35" i="125"/>
  <c r="AK35" i="125"/>
  <c r="AW35" i="125"/>
  <c r="K36" i="125"/>
  <c r="W36" i="125"/>
  <c r="AA36" i="125"/>
  <c r="AC36" i="125"/>
  <c r="AE36" i="125"/>
  <c r="AG36" i="125"/>
  <c r="AI36" i="125"/>
  <c r="AK36" i="125"/>
  <c r="AM36" i="125"/>
  <c r="AO36" i="125"/>
  <c r="AQ36" i="125"/>
  <c r="AS36" i="125"/>
  <c r="AU36" i="125"/>
  <c r="AW36" i="125"/>
  <c r="K37" i="125"/>
  <c r="W37" i="125"/>
  <c r="AA37" i="125"/>
  <c r="AC37" i="125"/>
  <c r="AE37" i="125"/>
  <c r="AG37" i="125"/>
  <c r="AI37" i="125"/>
  <c r="AK37" i="125"/>
  <c r="AL37" i="125"/>
  <c r="AM37" i="125"/>
  <c r="AO37" i="125"/>
  <c r="AY37" i="125" s="1"/>
  <c r="AQ37" i="125"/>
  <c r="AS37" i="125"/>
  <c r="AU37" i="125"/>
  <c r="AW37" i="125"/>
  <c r="AX37" i="125"/>
  <c r="BC37" i="125"/>
  <c r="W38" i="125"/>
  <c r="AA38" i="125"/>
  <c r="AC38" i="125"/>
  <c r="AD38" i="125"/>
  <c r="AE38" i="125"/>
  <c r="AG38" i="125"/>
  <c r="AI38" i="125"/>
  <c r="AK38" i="125"/>
  <c r="AL38" i="125"/>
  <c r="AM38" i="125"/>
  <c r="AO38" i="125"/>
  <c r="AP38" i="125"/>
  <c r="AQ38" i="125"/>
  <c r="AS38" i="125"/>
  <c r="AT38" i="125"/>
  <c r="AU38" i="125"/>
  <c r="AW38" i="125"/>
  <c r="AY38" i="125" s="1"/>
  <c r="AX38" i="125"/>
  <c r="BC38" i="125"/>
  <c r="K39" i="125"/>
  <c r="AE39" i="125"/>
  <c r="AG39" i="125"/>
  <c r="AI39" i="125"/>
  <c r="AQ39" i="125"/>
  <c r="AT39" i="125"/>
  <c r="K40" i="125"/>
  <c r="W40" i="125"/>
  <c r="AA40" i="125"/>
  <c r="AC40" i="125"/>
  <c r="AE40" i="125"/>
  <c r="AG40" i="125"/>
  <c r="AH40" i="125"/>
  <c r="AI40" i="125"/>
  <c r="AK40" i="125"/>
  <c r="AL40" i="125"/>
  <c r="AM40" i="125"/>
  <c r="AO40" i="125"/>
  <c r="AP40" i="125"/>
  <c r="AQ40" i="125"/>
  <c r="AS40" i="125"/>
  <c r="AT40" i="125"/>
  <c r="AU40" i="125"/>
  <c r="AW40" i="125"/>
  <c r="AX40" i="125"/>
  <c r="BC40" i="125"/>
  <c r="K41" i="125"/>
  <c r="W41" i="125"/>
  <c r="AA41" i="125"/>
  <c r="AC41" i="125"/>
  <c r="AE41" i="125"/>
  <c r="AG41" i="125"/>
  <c r="AI41" i="125"/>
  <c r="AK41" i="125"/>
  <c r="AL41" i="125"/>
  <c r="AM41" i="125"/>
  <c r="AO41" i="125"/>
  <c r="AP41" i="125"/>
  <c r="AQ41" i="125"/>
  <c r="AS41" i="125"/>
  <c r="AT41" i="125"/>
  <c r="AU41" i="125"/>
  <c r="AW41" i="125"/>
  <c r="AX41" i="125"/>
  <c r="BC41" i="125"/>
  <c r="K42" i="125"/>
  <c r="O42" i="125"/>
  <c r="S42" i="125"/>
  <c r="W42" i="125"/>
  <c r="AA42" i="125"/>
  <c r="AE42" i="125"/>
  <c r="AI42" i="125"/>
  <c r="AM42" i="125"/>
  <c r="AQ42" i="125"/>
  <c r="AU42" i="125"/>
  <c r="BC42" i="125"/>
  <c r="BO42" i="125"/>
  <c r="BW42" i="125"/>
  <c r="DK42" i="125"/>
  <c r="DT42" i="125"/>
  <c r="K43" i="125"/>
  <c r="O43" i="125"/>
  <c r="S43" i="125"/>
  <c r="W43" i="125"/>
  <c r="AA43" i="125"/>
  <c r="AE43" i="125"/>
  <c r="AI43" i="125"/>
  <c r="AM43" i="125"/>
  <c r="AQ43" i="125"/>
  <c r="AU43" i="125"/>
  <c r="BC43" i="125"/>
  <c r="BO43" i="125"/>
  <c r="BW43" i="125"/>
  <c r="DK43" i="125"/>
  <c r="DT43" i="125"/>
  <c r="K44" i="125"/>
  <c r="S44" i="125"/>
  <c r="AM44" i="125"/>
  <c r="DV45" i="125"/>
  <c r="DP45" i="125"/>
  <c r="DA45" i="125"/>
  <c r="CO45" i="125"/>
  <c r="BA45" i="125"/>
  <c r="AW45" i="125"/>
  <c r="AS45" i="125"/>
  <c r="AO45" i="125"/>
  <c r="AK45" i="125"/>
  <c r="AG45" i="125"/>
  <c r="AC45" i="125"/>
  <c r="Y45" i="125"/>
  <c r="U45" i="125"/>
  <c r="Q45" i="125"/>
  <c r="M45" i="125"/>
  <c r="I45" i="125"/>
  <c r="L45" i="125"/>
  <c r="R45" i="125"/>
  <c r="W45" i="125"/>
  <c r="AB45" i="125"/>
  <c r="AH45" i="125"/>
  <c r="AM45" i="125"/>
  <c r="AR45" i="125"/>
  <c r="AX45" i="125"/>
  <c r="BC45" i="125"/>
  <c r="CF45" i="125"/>
  <c r="DB45" i="125"/>
  <c r="DO45" i="125"/>
  <c r="K46" i="125"/>
  <c r="P46" i="125"/>
  <c r="V46" i="125"/>
  <c r="AD46" i="125"/>
  <c r="AL46" i="125"/>
  <c r="AT46" i="125"/>
  <c r="BB46" i="125"/>
  <c r="O47" i="125"/>
  <c r="AE47" i="125"/>
  <c r="AU47" i="125"/>
  <c r="DT47" i="125"/>
  <c r="O48" i="125"/>
  <c r="AE48" i="125"/>
  <c r="AU48" i="125"/>
  <c r="L34" i="125"/>
  <c r="X34" i="125"/>
  <c r="AB34" i="125"/>
  <c r="AF34" i="125"/>
  <c r="AJ34" i="125"/>
  <c r="AN34" i="125"/>
  <c r="AR34" i="125"/>
  <c r="AV34" i="125"/>
  <c r="DO34" i="125"/>
  <c r="DT34" i="125"/>
  <c r="X35" i="125"/>
  <c r="L36" i="125"/>
  <c r="X36" i="125"/>
  <c r="DO36" i="125"/>
  <c r="L37" i="125"/>
  <c r="X37" i="125"/>
  <c r="AN37" i="125"/>
  <c r="DO37" i="125"/>
  <c r="L38" i="125"/>
  <c r="X38" i="125"/>
  <c r="AB38" i="125"/>
  <c r="AV38" i="125"/>
  <c r="DO38" i="125"/>
  <c r="DT38" i="125"/>
  <c r="AJ39" i="125"/>
  <c r="AR39" i="125"/>
  <c r="L40" i="125"/>
  <c r="X40" i="125"/>
  <c r="AB40" i="125"/>
  <c r="AF40" i="125"/>
  <c r="AJ40" i="125"/>
  <c r="AN40" i="125"/>
  <c r="AR40" i="125"/>
  <c r="AV40" i="125"/>
  <c r="DO40" i="125"/>
  <c r="DT40" i="125"/>
  <c r="L41" i="125"/>
  <c r="X41" i="125"/>
  <c r="AB41" i="125"/>
  <c r="AF41" i="125"/>
  <c r="AJ41" i="125"/>
  <c r="AN41" i="125"/>
  <c r="AR41" i="125"/>
  <c r="AV41" i="125"/>
  <c r="DO41" i="125"/>
  <c r="DT41" i="125"/>
  <c r="L42" i="125"/>
  <c r="N42" i="125" s="1"/>
  <c r="P42" i="125"/>
  <c r="T42" i="125"/>
  <c r="X42" i="125"/>
  <c r="AB42" i="125"/>
  <c r="AF42" i="125"/>
  <c r="AJ42" i="125"/>
  <c r="AN42" i="125"/>
  <c r="AR42" i="125"/>
  <c r="AV42" i="125"/>
  <c r="BX42" i="125"/>
  <c r="CF42" i="125"/>
  <c r="DO42" i="125"/>
  <c r="L43" i="125"/>
  <c r="N43" i="125" s="1"/>
  <c r="P43" i="125"/>
  <c r="T43" i="125"/>
  <c r="X43" i="125"/>
  <c r="AB43" i="125"/>
  <c r="AF43" i="125"/>
  <c r="AJ43" i="125"/>
  <c r="AN43" i="125"/>
  <c r="AR43" i="125"/>
  <c r="AV43" i="125"/>
  <c r="BX43" i="125"/>
  <c r="CF43" i="125"/>
  <c r="DO43" i="125"/>
  <c r="P44" i="125"/>
  <c r="T44" i="125"/>
  <c r="AB44" i="125"/>
  <c r="AD45" i="125"/>
  <c r="AI45" i="125"/>
  <c r="AN45" i="125"/>
  <c r="AT45" i="125"/>
  <c r="BW45" i="125"/>
  <c r="DV46" i="125"/>
  <c r="DP46" i="125"/>
  <c r="DA46" i="125"/>
  <c r="CO46" i="125"/>
  <c r="BA46" i="125"/>
  <c r="AW46" i="125"/>
  <c r="AS46" i="125"/>
  <c r="AO46" i="125"/>
  <c r="AK46" i="125"/>
  <c r="AG46" i="125"/>
  <c r="AC46" i="125"/>
  <c r="Y46" i="125"/>
  <c r="U46" i="125"/>
  <c r="Q46" i="125"/>
  <c r="M46" i="125"/>
  <c r="I46" i="125"/>
  <c r="DU46" i="125"/>
  <c r="DO46" i="125"/>
  <c r="CF46" i="125"/>
  <c r="BX46" i="125"/>
  <c r="AV46" i="125"/>
  <c r="AR46" i="125"/>
  <c r="AN46" i="125"/>
  <c r="AJ46" i="125"/>
  <c r="AF46" i="125"/>
  <c r="AB46" i="125"/>
  <c r="X46" i="125"/>
  <c r="DJ46" i="125"/>
  <c r="DB46" i="125"/>
  <c r="CP46" i="125"/>
  <c r="L46" i="125"/>
  <c r="R46" i="125"/>
  <c r="W46" i="125"/>
  <c r="AE46" i="125"/>
  <c r="AM46" i="125"/>
  <c r="AU46" i="125"/>
  <c r="BC46" i="125"/>
  <c r="BW46" i="125"/>
  <c r="S47" i="125"/>
  <c r="AI47" i="125"/>
  <c r="BW47" i="125"/>
  <c r="S48" i="125"/>
  <c r="AI48" i="125"/>
  <c r="DB49" i="125"/>
  <c r="DJ49" i="125"/>
  <c r="J50" i="125"/>
  <c r="R50" i="125"/>
  <c r="V50" i="125"/>
  <c r="Z50" i="125"/>
  <c r="AD50" i="125"/>
  <c r="AH50" i="125"/>
  <c r="AL50" i="125"/>
  <c r="AZ50" i="125" s="1"/>
  <c r="AP50" i="125"/>
  <c r="AT50" i="125"/>
  <c r="AX50" i="125"/>
  <c r="BB50" i="125"/>
  <c r="CP50" i="125"/>
  <c r="DB50" i="125"/>
  <c r="DJ50" i="125"/>
  <c r="Y22" i="127"/>
  <c r="Z22" i="127"/>
  <c r="Y23" i="127"/>
  <c r="Z23" i="127"/>
  <c r="Z24" i="127"/>
  <c r="Y24" i="127"/>
  <c r="Z25" i="127"/>
  <c r="Y25" i="127"/>
  <c r="I5" i="127"/>
  <c r="Y5" i="127"/>
  <c r="BA5" i="127"/>
  <c r="DP5" i="127"/>
  <c r="DQ5" i="127" s="1"/>
  <c r="DV5" i="127"/>
  <c r="BP5" i="127" s="1"/>
  <c r="I7" i="127"/>
  <c r="Y7" i="127"/>
  <c r="BA7" i="127"/>
  <c r="DP7" i="127"/>
  <c r="DV7" i="127"/>
  <c r="K8" i="127"/>
  <c r="Y8" i="127"/>
  <c r="DP8" i="127"/>
  <c r="DV8" i="127"/>
  <c r="I9" i="127"/>
  <c r="K9" i="127"/>
  <c r="Y9" i="127"/>
  <c r="I11" i="127"/>
  <c r="Y11" i="127"/>
  <c r="I13" i="127"/>
  <c r="Y13" i="127"/>
  <c r="I15" i="127"/>
  <c r="K15" i="127"/>
  <c r="Y15" i="127"/>
  <c r="I16" i="127"/>
  <c r="K16" i="127"/>
  <c r="K50" i="125"/>
  <c r="O50" i="125"/>
  <c r="S50" i="125"/>
  <c r="W50" i="125"/>
  <c r="AA50" i="125"/>
  <c r="AE50" i="125"/>
  <c r="AI50" i="125"/>
  <c r="AM50" i="125"/>
  <c r="AQ50" i="125"/>
  <c r="AU50" i="125"/>
  <c r="BC50" i="125"/>
  <c r="BO50" i="125"/>
  <c r="BW50" i="125"/>
  <c r="DK50" i="125"/>
  <c r="DT50" i="125"/>
  <c r="BB16" i="127"/>
  <c r="V16" i="127"/>
  <c r="BB17" i="127"/>
  <c r="V17" i="127"/>
  <c r="BA17" i="127"/>
  <c r="I17" i="127"/>
  <c r="K17" i="127"/>
  <c r="BB18" i="127"/>
  <c r="V18" i="127"/>
  <c r="BA18" i="127"/>
  <c r="I18" i="127"/>
  <c r="K18" i="127"/>
  <c r="BB19" i="127"/>
  <c r="V19" i="127"/>
  <c r="BA19" i="127"/>
  <c r="I19" i="127"/>
  <c r="K19" i="127"/>
  <c r="V20" i="127"/>
  <c r="I21" i="127"/>
  <c r="BB21" i="127"/>
  <c r="V21" i="127"/>
  <c r="BA21" i="127"/>
  <c r="BA32" i="127"/>
  <c r="V32" i="127"/>
  <c r="I32" i="127"/>
  <c r="V33" i="127"/>
  <c r="BA33" i="127"/>
  <c r="I33" i="127"/>
  <c r="V34" i="127"/>
  <c r="I34" i="127"/>
  <c r="K34" i="127"/>
  <c r="BA34" i="127"/>
  <c r="BA41" i="127"/>
  <c r="I41" i="127"/>
  <c r="K41" i="127"/>
  <c r="J5" i="127"/>
  <c r="K5" i="127" s="1"/>
  <c r="V5" i="127"/>
  <c r="Z5" i="127"/>
  <c r="BB5" i="127"/>
  <c r="J6" i="127"/>
  <c r="J7" i="127"/>
  <c r="V7" i="127"/>
  <c r="Z7" i="127"/>
  <c r="BB7" i="127"/>
  <c r="J8" i="127"/>
  <c r="Z8" i="127"/>
  <c r="BC8" i="127"/>
  <c r="Z9" i="127"/>
  <c r="AQ9" i="127"/>
  <c r="AR9" i="127"/>
  <c r="Z10" i="127"/>
  <c r="Z11" i="127"/>
  <c r="L50" i="125"/>
  <c r="P50" i="125"/>
  <c r="T50" i="125"/>
  <c r="X50" i="125"/>
  <c r="AB50" i="125"/>
  <c r="AF50" i="125"/>
  <c r="AJ50" i="125"/>
  <c r="AN50" i="125"/>
  <c r="AR50" i="125"/>
  <c r="AV50" i="125"/>
  <c r="BX50" i="125"/>
  <c r="CF50" i="125"/>
  <c r="DO50" i="125"/>
  <c r="DU50" i="125"/>
  <c r="Z17" i="127"/>
  <c r="Y17" i="127"/>
  <c r="Z18" i="127"/>
  <c r="Y18" i="127"/>
  <c r="Z19" i="127"/>
  <c r="Y19" i="127"/>
  <c r="Y21" i="127"/>
  <c r="Z21" i="127"/>
  <c r="Z33" i="127"/>
  <c r="Y33" i="127"/>
  <c r="Z34" i="127"/>
  <c r="Y34" i="127"/>
  <c r="W5" i="127"/>
  <c r="AA5" i="127"/>
  <c r="AE5" i="127"/>
  <c r="AG5" i="127" s="1"/>
  <c r="AI5" i="127"/>
  <c r="AK5" i="127" s="1"/>
  <c r="AM5" i="127"/>
  <c r="AQ5" i="127"/>
  <c r="AU5" i="127"/>
  <c r="AI6" i="127"/>
  <c r="W7" i="127"/>
  <c r="AA7" i="127"/>
  <c r="AC7" i="127"/>
  <c r="AE7" i="127"/>
  <c r="AI7" i="127"/>
  <c r="AK7" i="127"/>
  <c r="AM7" i="127"/>
  <c r="AO7" i="127"/>
  <c r="AQ7" i="127"/>
  <c r="AS7" i="127"/>
  <c r="AU7" i="127"/>
  <c r="AA8" i="127"/>
  <c r="AE8" i="127"/>
  <c r="AI8" i="127"/>
  <c r="AL8" i="127"/>
  <c r="AM8" i="127"/>
  <c r="AP8" i="127"/>
  <c r="AQ8" i="127"/>
  <c r="AW8" i="127"/>
  <c r="DU9" i="127"/>
  <c r="DO9" i="127"/>
  <c r="DT9" i="127"/>
  <c r="AU9" i="127"/>
  <c r="AW9" i="127"/>
  <c r="AX9" i="127"/>
  <c r="W9" i="127"/>
  <c r="AA9" i="127"/>
  <c r="AC9" i="127"/>
  <c r="AE9" i="127"/>
  <c r="AG9" i="127"/>
  <c r="AI9" i="127"/>
  <c r="AK9" i="127"/>
  <c r="AL9" i="127"/>
  <c r="AM9" i="127"/>
  <c r="AN9" i="127"/>
  <c r="BA9" i="127"/>
  <c r="BA11" i="127"/>
  <c r="BA13" i="127"/>
  <c r="BA15" i="127"/>
  <c r="I49" i="125"/>
  <c r="M49" i="125"/>
  <c r="I50" i="125"/>
  <c r="M50" i="125"/>
  <c r="Q50" i="125"/>
  <c r="U50" i="125"/>
  <c r="Y50" i="125"/>
  <c r="AC50" i="125"/>
  <c r="AG50" i="125"/>
  <c r="AK50" i="125"/>
  <c r="AO50" i="125"/>
  <c r="AS50" i="125"/>
  <c r="AW50" i="125"/>
  <c r="BA50" i="125"/>
  <c r="CO50" i="125"/>
  <c r="DA50" i="125"/>
  <c r="DP50" i="125"/>
  <c r="I22" i="127"/>
  <c r="BB22" i="127"/>
  <c r="BC22" i="127"/>
  <c r="V22" i="127"/>
  <c r="BA22" i="127"/>
  <c r="I23" i="127"/>
  <c r="K23" i="127"/>
  <c r="BB23" i="127"/>
  <c r="V23" i="127"/>
  <c r="BA23" i="127"/>
  <c r="BB24" i="127"/>
  <c r="V24" i="127"/>
  <c r="BA24" i="127"/>
  <c r="I24" i="127"/>
  <c r="K24" i="127"/>
  <c r="V25" i="127"/>
  <c r="I25" i="127"/>
  <c r="K25" i="127"/>
  <c r="X32" i="127"/>
  <c r="X33" i="127"/>
  <c r="X34" i="127"/>
  <c r="BA35" i="127"/>
  <c r="I35" i="127"/>
  <c r="V36" i="127"/>
  <c r="I36" i="127"/>
  <c r="BA37" i="127"/>
  <c r="I37" i="127"/>
  <c r="I38" i="127"/>
  <c r="K38" i="127"/>
  <c r="BA38" i="127"/>
  <c r="I39" i="127"/>
  <c r="BA39" i="127"/>
  <c r="BC39" i="127"/>
  <c r="BA40" i="127"/>
  <c r="I40" i="127"/>
  <c r="X41" i="127"/>
  <c r="L5" i="127"/>
  <c r="X5" i="127"/>
  <c r="X6" i="127"/>
  <c r="L7" i="127"/>
  <c r="X7" i="127"/>
  <c r="DO7" i="127"/>
  <c r="X8" i="127"/>
  <c r="DO8" i="127"/>
  <c r="DT8" i="127"/>
  <c r="L9" i="127"/>
  <c r="X9" i="127"/>
  <c r="BB9" i="127"/>
  <c r="BC9" i="127"/>
  <c r="DP9" i="127"/>
  <c r="V10" i="127"/>
  <c r="V11" i="127"/>
  <c r="V13" i="127"/>
  <c r="V15" i="127"/>
  <c r="AC10" i="127"/>
  <c r="AS10" i="127"/>
  <c r="W11" i="127"/>
  <c r="AA11" i="127"/>
  <c r="AC11" i="127"/>
  <c r="AD11" i="127" s="1"/>
  <c r="AE11" i="127"/>
  <c r="AG11" i="127" s="1"/>
  <c r="AI11" i="127"/>
  <c r="AK11" i="127" s="1"/>
  <c r="AL11" i="127" s="1"/>
  <c r="AM11" i="127"/>
  <c r="AO11" i="127" s="1"/>
  <c r="AP11" i="127" s="1"/>
  <c r="AQ11" i="127"/>
  <c r="AS11" i="127"/>
  <c r="AT11" i="127" s="1"/>
  <c r="AU11" i="127"/>
  <c r="AW11" i="127" s="1"/>
  <c r="AX11" i="127" s="1"/>
  <c r="AM12" i="127"/>
  <c r="W13" i="127"/>
  <c r="AA13" i="127"/>
  <c r="AC13" i="127"/>
  <c r="AE13" i="127"/>
  <c r="AG13" i="127"/>
  <c r="AI13" i="127"/>
  <c r="AK13" i="127"/>
  <c r="AM13" i="127"/>
  <c r="AO13" i="127"/>
  <c r="AQ13" i="127"/>
  <c r="AS13" i="127"/>
  <c r="AT13" i="127"/>
  <c r="AU13" i="127"/>
  <c r="AW13" i="127"/>
  <c r="AK14" i="127"/>
  <c r="AU14" i="127"/>
  <c r="W15" i="127"/>
  <c r="AA15" i="127"/>
  <c r="AC15" i="127"/>
  <c r="AE15" i="127"/>
  <c r="AG15" i="127"/>
  <c r="AI15" i="127"/>
  <c r="AK15" i="127"/>
  <c r="AM15" i="127"/>
  <c r="AO15" i="127"/>
  <c r="AP15" i="127"/>
  <c r="AQ15" i="127"/>
  <c r="AS15" i="127"/>
  <c r="AU15" i="127"/>
  <c r="AW15" i="127"/>
  <c r="W16" i="127"/>
  <c r="AC16" i="127"/>
  <c r="AE16" i="127"/>
  <c r="AI16" i="127"/>
  <c r="AK16" i="127"/>
  <c r="AO16" i="127"/>
  <c r="AS16" i="127"/>
  <c r="AT16" i="127"/>
  <c r="AW16" i="127"/>
  <c r="W17" i="127"/>
  <c r="AA17" i="127"/>
  <c r="AC17" i="127"/>
  <c r="AE17" i="127"/>
  <c r="AG17" i="127"/>
  <c r="AI17" i="127"/>
  <c r="AK17" i="127"/>
  <c r="AL17" i="127"/>
  <c r="AM17" i="127"/>
  <c r="AO17" i="127"/>
  <c r="AP17" i="127"/>
  <c r="AQ17" i="127"/>
  <c r="AS17" i="127"/>
  <c r="AT17" i="127"/>
  <c r="AU17" i="127"/>
  <c r="AW17" i="127"/>
  <c r="AX17" i="127"/>
  <c r="BC17" i="127"/>
  <c r="W18" i="127"/>
  <c r="AA18" i="127"/>
  <c r="AC18" i="127"/>
  <c r="AE18" i="127"/>
  <c r="AG18" i="127"/>
  <c r="AI18" i="127"/>
  <c r="AK18" i="127"/>
  <c r="AM18" i="127"/>
  <c r="AO18" i="127"/>
  <c r="AQ18" i="127"/>
  <c r="AS18" i="127"/>
  <c r="AU18" i="127"/>
  <c r="AW18" i="127"/>
  <c r="DU19" i="127"/>
  <c r="DO19" i="127"/>
  <c r="DW19" i="127"/>
  <c r="W19" i="127"/>
  <c r="AA19" i="127"/>
  <c r="AC19" i="127"/>
  <c r="AE19" i="127"/>
  <c r="AG19" i="127"/>
  <c r="AI19" i="127"/>
  <c r="AK19" i="127"/>
  <c r="AM19" i="127"/>
  <c r="AO19" i="127"/>
  <c r="AQ19" i="127"/>
  <c r="AS19" i="127"/>
  <c r="AU19" i="127"/>
  <c r="AW19" i="127"/>
  <c r="AX19" i="127"/>
  <c r="DP19" i="127"/>
  <c r="L10" i="127"/>
  <c r="L11" i="127"/>
  <c r="X11" i="127"/>
  <c r="BQ11" i="127" s="1"/>
  <c r="DO11" i="127"/>
  <c r="DT11" i="127" s="1"/>
  <c r="L13" i="127"/>
  <c r="N13" i="127" s="1"/>
  <c r="X13" i="127"/>
  <c r="AJ13" i="127"/>
  <c r="DO13" i="127"/>
  <c r="DW13" i="127"/>
  <c r="AF14" i="127"/>
  <c r="L15" i="127"/>
  <c r="X15" i="127"/>
  <c r="DO15" i="127"/>
  <c r="DT15" i="127"/>
  <c r="L16" i="127"/>
  <c r="X16" i="127"/>
  <c r="DO16" i="127"/>
  <c r="L17" i="127"/>
  <c r="X17" i="127"/>
  <c r="DO17" i="127"/>
  <c r="DT17" i="127"/>
  <c r="L18" i="127"/>
  <c r="X18" i="127"/>
  <c r="DO18" i="127"/>
  <c r="DW18" i="127"/>
  <c r="L19" i="127"/>
  <c r="X19" i="127"/>
  <c r="L20" i="127"/>
  <c r="N20" i="127" s="1"/>
  <c r="L21" i="127"/>
  <c r="X21" i="127"/>
  <c r="DO21" i="127"/>
  <c r="DU21" i="127"/>
  <c r="L22" i="127"/>
  <c r="X22" i="127"/>
  <c r="DO22" i="127"/>
  <c r="DW22" i="127"/>
  <c r="DU22" i="127"/>
  <c r="L23" i="127"/>
  <c r="X23" i="127"/>
  <c r="DO23" i="127"/>
  <c r="DW23" i="127"/>
  <c r="DU23" i="127"/>
  <c r="L24" i="127"/>
  <c r="X24" i="127"/>
  <c r="DO24" i="127"/>
  <c r="DU24" i="127"/>
  <c r="L25" i="127"/>
  <c r="X25" i="127"/>
  <c r="DV26" i="127"/>
  <c r="DP26" i="127"/>
  <c r="BA26" i="127"/>
  <c r="AK26" i="127"/>
  <c r="Y26" i="127"/>
  <c r="I26" i="127"/>
  <c r="DU26" i="127"/>
  <c r="DO26" i="127"/>
  <c r="DW26" i="127"/>
  <c r="BB26" i="127"/>
  <c r="Z26" i="127"/>
  <c r="V26" i="127"/>
  <c r="J26" i="127"/>
  <c r="W26" i="127"/>
  <c r="AE26" i="127"/>
  <c r="AG26" i="127"/>
  <c r="AM26" i="127"/>
  <c r="AU26" i="127"/>
  <c r="AW26" i="127"/>
  <c r="AG20" i="127"/>
  <c r="AT20" i="127"/>
  <c r="K21" i="127"/>
  <c r="W21" i="127"/>
  <c r="AA21" i="127"/>
  <c r="AC21" i="127"/>
  <c r="AE21" i="127"/>
  <c r="AG21" i="127"/>
  <c r="AI21" i="127"/>
  <c r="AK21" i="127"/>
  <c r="AM21" i="127"/>
  <c r="AO21" i="127"/>
  <c r="AP21" i="127"/>
  <c r="AQ21" i="127"/>
  <c r="AS21" i="127"/>
  <c r="AU21" i="127"/>
  <c r="AW21" i="127"/>
  <c r="K22" i="127"/>
  <c r="W22" i="127"/>
  <c r="AA22" i="127"/>
  <c r="AC22" i="127"/>
  <c r="AE22" i="127"/>
  <c r="AG22" i="127"/>
  <c r="AI22" i="127"/>
  <c r="AK22" i="127"/>
  <c r="AM22" i="127"/>
  <c r="AO22" i="127"/>
  <c r="AQ22" i="127"/>
  <c r="AS22" i="127"/>
  <c r="AU22" i="127"/>
  <c r="AW22" i="127"/>
  <c r="W23" i="127"/>
  <c r="AA23" i="127"/>
  <c r="AC23" i="127"/>
  <c r="AE23" i="127"/>
  <c r="AG23" i="127"/>
  <c r="AI23" i="127"/>
  <c r="AK23" i="127"/>
  <c r="AM23" i="127"/>
  <c r="AO23" i="127"/>
  <c r="AQ23" i="127"/>
  <c r="AS23" i="127"/>
  <c r="AU23" i="127"/>
  <c r="AW23" i="127"/>
  <c r="W24" i="127"/>
  <c r="AA24" i="127"/>
  <c r="AC24" i="127"/>
  <c r="AE24" i="127"/>
  <c r="AG24" i="127"/>
  <c r="AI24" i="127"/>
  <c r="AK24" i="127"/>
  <c r="AM24" i="127"/>
  <c r="AO24" i="127"/>
  <c r="AQ24" i="127"/>
  <c r="AS24" i="127"/>
  <c r="AU24" i="127"/>
  <c r="AW24" i="127"/>
  <c r="DV25" i="127"/>
  <c r="DP25" i="127"/>
  <c r="BA25" i="127"/>
  <c r="AW25" i="127"/>
  <c r="AX25" i="127"/>
  <c r="BB25" i="127"/>
  <c r="W25" i="127"/>
  <c r="AA25" i="127"/>
  <c r="AC25" i="127"/>
  <c r="AE25" i="127"/>
  <c r="AG25" i="127"/>
  <c r="AH25" i="127"/>
  <c r="AI25" i="127"/>
  <c r="AK25" i="127"/>
  <c r="AL25" i="127"/>
  <c r="AM25" i="127"/>
  <c r="AO25" i="127"/>
  <c r="AP25" i="127"/>
  <c r="AQ25" i="127"/>
  <c r="AR25" i="127"/>
  <c r="L26" i="127"/>
  <c r="M26" i="127"/>
  <c r="J27" i="127"/>
  <c r="V27" i="127"/>
  <c r="Z27" i="127"/>
  <c r="BB27" i="127"/>
  <c r="J29" i="127"/>
  <c r="V29" i="127"/>
  <c r="Z29" i="127"/>
  <c r="BB29" i="127"/>
  <c r="CZ29" i="127" s="1"/>
  <c r="J30" i="127"/>
  <c r="V30" i="127"/>
  <c r="Z30" i="127"/>
  <c r="BB30" i="127"/>
  <c r="Y31" i="127"/>
  <c r="W27" i="127"/>
  <c r="AA27" i="127"/>
  <c r="AE27" i="127"/>
  <c r="AG27" i="127"/>
  <c r="AI27" i="127"/>
  <c r="AM27" i="127"/>
  <c r="AO27" i="127"/>
  <c r="AP27" i="127"/>
  <c r="AQ27" i="127"/>
  <c r="AS27" i="127"/>
  <c r="AT27" i="127"/>
  <c r="AU27" i="127"/>
  <c r="AG28" i="127"/>
  <c r="W29" i="127"/>
  <c r="AA29" i="127"/>
  <c r="AC29" i="127" s="1"/>
  <c r="AE29" i="127"/>
  <c r="AG29" i="127" s="1"/>
  <c r="AI29" i="127"/>
  <c r="AK29" i="127" s="1"/>
  <c r="AL29" i="127" s="1"/>
  <c r="AM29" i="127"/>
  <c r="AO29" i="127" s="1"/>
  <c r="AQ29" i="127"/>
  <c r="AS29" i="127" s="1"/>
  <c r="AT29" i="127" s="1"/>
  <c r="AU29" i="127"/>
  <c r="AW29" i="127" s="1"/>
  <c r="AX29" i="127" s="1"/>
  <c r="W30" i="127"/>
  <c r="AA30" i="127"/>
  <c r="AB30" i="127"/>
  <c r="AE30" i="127"/>
  <c r="AI30" i="127"/>
  <c r="AK30" i="127"/>
  <c r="AL30" i="127"/>
  <c r="AM30" i="127"/>
  <c r="AQ30" i="127"/>
  <c r="AR30" i="127"/>
  <c r="AU30" i="127"/>
  <c r="BB31" i="127"/>
  <c r="Z31" i="127"/>
  <c r="V31" i="127"/>
  <c r="J31" i="127"/>
  <c r="AU31" i="127"/>
  <c r="AW31" i="127"/>
  <c r="AX31" i="127"/>
  <c r="AQ31" i="127"/>
  <c r="AS31" i="127"/>
  <c r="AM31" i="127"/>
  <c r="AO31" i="127"/>
  <c r="AP31" i="127"/>
  <c r="AI31" i="127"/>
  <c r="AE31" i="127"/>
  <c r="AG31" i="127"/>
  <c r="AA31" i="127"/>
  <c r="W31" i="127"/>
  <c r="L31" i="127"/>
  <c r="M31" i="127"/>
  <c r="DV31" i="127"/>
  <c r="P34" i="127"/>
  <c r="Q34" i="127"/>
  <c r="S34" i="127"/>
  <c r="L27" i="127"/>
  <c r="M27" i="127"/>
  <c r="P27" i="127"/>
  <c r="Q27" i="127"/>
  <c r="X27" i="127"/>
  <c r="AN27" i="127"/>
  <c r="DO27" i="127"/>
  <c r="DU27" i="127"/>
  <c r="L29" i="127"/>
  <c r="X29" i="127"/>
  <c r="BQ29" i="127" s="1"/>
  <c r="DO29" i="127"/>
  <c r="DU29" i="127"/>
  <c r="L30" i="127"/>
  <c r="N30" i="127" s="1"/>
  <c r="X30" i="127"/>
  <c r="AN30" i="127"/>
  <c r="DO30" i="127"/>
  <c r="DT30" i="127"/>
  <c r="DU30" i="127"/>
  <c r="AK31" i="127"/>
  <c r="AL31" i="127"/>
  <c r="BA31" i="127"/>
  <c r="DO31" i="127"/>
  <c r="DT31" i="127"/>
  <c r="I27" i="127"/>
  <c r="Y27" i="127"/>
  <c r="AC27" i="127"/>
  <c r="AK27" i="127"/>
  <c r="AL27" i="127"/>
  <c r="AW27" i="127"/>
  <c r="AX27" i="127"/>
  <c r="BA27" i="127"/>
  <c r="DP27" i="127"/>
  <c r="I28" i="127"/>
  <c r="I29" i="127"/>
  <c r="Y29" i="127"/>
  <c r="BA29" i="127"/>
  <c r="DP29" i="127"/>
  <c r="BP29" i="127" s="1"/>
  <c r="I30" i="127"/>
  <c r="Y30" i="127"/>
  <c r="AG30" i="127"/>
  <c r="AH30" i="127"/>
  <c r="AO30" i="127"/>
  <c r="AP30" i="127"/>
  <c r="AW30" i="127"/>
  <c r="AX30" i="127"/>
  <c r="BA30" i="127"/>
  <c r="DP30" i="127"/>
  <c r="I31" i="127"/>
  <c r="X31" i="127"/>
  <c r="DP31" i="127"/>
  <c r="AU32" i="127"/>
  <c r="AQ32" i="127"/>
  <c r="AS32" i="127"/>
  <c r="AT32" i="127"/>
  <c r="AM32" i="127"/>
  <c r="AI32" i="127"/>
  <c r="AK32" i="127"/>
  <c r="AL32" i="127"/>
  <c r="AE32" i="127"/>
  <c r="AA32" i="127"/>
  <c r="AC32" i="127"/>
  <c r="AD32" i="127"/>
  <c r="W32" i="127"/>
  <c r="BB32" i="127"/>
  <c r="Z32" i="127"/>
  <c r="DV32" i="127"/>
  <c r="P38" i="127"/>
  <c r="Q38" i="127"/>
  <c r="R38" i="127"/>
  <c r="DT38" i="127"/>
  <c r="J32" i="127"/>
  <c r="Y32" i="127"/>
  <c r="AG32" i="127"/>
  <c r="AH32" i="127"/>
  <c r="AO32" i="127"/>
  <c r="DU32" i="127"/>
  <c r="M33" i="127"/>
  <c r="P33" i="127"/>
  <c r="Q33" i="127"/>
  <c r="S33" i="127"/>
  <c r="BB33" i="127"/>
  <c r="BC33" i="127"/>
  <c r="BB34" i="127"/>
  <c r="Z35" i="127"/>
  <c r="BB35" i="127"/>
  <c r="DT39" i="127"/>
  <c r="W33" i="127"/>
  <c r="AA33" i="127"/>
  <c r="AE33" i="127"/>
  <c r="AI33" i="127"/>
  <c r="AM33" i="127"/>
  <c r="AQ33" i="127"/>
  <c r="AU33" i="127"/>
  <c r="O34" i="127"/>
  <c r="W34" i="127"/>
  <c r="AA34" i="127"/>
  <c r="AE34" i="127"/>
  <c r="AI34" i="127"/>
  <c r="AM34" i="127"/>
  <c r="AQ34" i="127"/>
  <c r="AU34" i="127"/>
  <c r="K35" i="127"/>
  <c r="W35" i="127"/>
  <c r="AA35" i="127"/>
  <c r="AE35" i="127"/>
  <c r="AI35" i="127"/>
  <c r="AM35" i="127"/>
  <c r="AQ35" i="127"/>
  <c r="AU35" i="127"/>
  <c r="AU36" i="127"/>
  <c r="AQ36" i="127"/>
  <c r="AM36" i="127"/>
  <c r="AI36" i="127"/>
  <c r="AJ36" i="127"/>
  <c r="AE36" i="127"/>
  <c r="AA36" i="127"/>
  <c r="BB36" i="127"/>
  <c r="Z36" i="127"/>
  <c r="W36" i="127"/>
  <c r="BA36" i="127"/>
  <c r="DO36" i="127"/>
  <c r="DT40" i="127"/>
  <c r="M40" i="127"/>
  <c r="P40" i="127"/>
  <c r="Q40" i="127"/>
  <c r="S40" i="127"/>
  <c r="M41" i="127"/>
  <c r="P41" i="127"/>
  <c r="Q41" i="127"/>
  <c r="S41" i="127"/>
  <c r="DP36" i="127"/>
  <c r="DQ36" i="127"/>
  <c r="DT37" i="127"/>
  <c r="J37" i="127"/>
  <c r="V37" i="127"/>
  <c r="Z37" i="127"/>
  <c r="BB37" i="127"/>
  <c r="J38" i="127"/>
  <c r="V38" i="127"/>
  <c r="Z38" i="127"/>
  <c r="BB38" i="127"/>
  <c r="J39" i="127"/>
  <c r="K39" i="127"/>
  <c r="V39" i="127"/>
  <c r="Z39" i="127"/>
  <c r="BB39" i="127"/>
  <c r="J40" i="127"/>
  <c r="V40" i="127"/>
  <c r="Z40" i="127"/>
  <c r="BB40" i="127"/>
  <c r="J41" i="127"/>
  <c r="R41" i="127"/>
  <c r="V41" i="127"/>
  <c r="Z41" i="127"/>
  <c r="BB41" i="127"/>
  <c r="J42" i="127"/>
  <c r="R42" i="127"/>
  <c r="V42" i="127"/>
  <c r="Z42" i="127"/>
  <c r="AD42" i="127"/>
  <c r="AH42" i="127"/>
  <c r="AL42" i="127"/>
  <c r="AQ42" i="127"/>
  <c r="AV42" i="127"/>
  <c r="W37" i="127"/>
  <c r="AA37" i="127"/>
  <c r="AE37" i="127"/>
  <c r="AI37" i="127"/>
  <c r="AM37" i="127"/>
  <c r="AQ37" i="127"/>
  <c r="AU37" i="127"/>
  <c r="O38" i="127"/>
  <c r="W38" i="127"/>
  <c r="AA38" i="127"/>
  <c r="AE38" i="127"/>
  <c r="AI38" i="127"/>
  <c r="AM38" i="127"/>
  <c r="AQ38" i="127"/>
  <c r="AU38" i="127"/>
  <c r="W39" i="127"/>
  <c r="AA39" i="127"/>
  <c r="AE39" i="127"/>
  <c r="AI39" i="127"/>
  <c r="AM39" i="127"/>
  <c r="AQ39" i="127"/>
  <c r="AU39" i="127"/>
  <c r="W40" i="127"/>
  <c r="AA40" i="127"/>
  <c r="AE40" i="127"/>
  <c r="AI40" i="127"/>
  <c r="AM40" i="127"/>
  <c r="AQ40" i="127"/>
  <c r="AU40" i="127"/>
  <c r="O41" i="127"/>
  <c r="W41" i="127"/>
  <c r="AA41" i="127"/>
  <c r="AE41" i="127"/>
  <c r="AI41" i="127"/>
  <c r="AM41" i="127"/>
  <c r="AQ41" i="127"/>
  <c r="AU41" i="127"/>
  <c r="DT42" i="127"/>
  <c r="DK42" i="127"/>
  <c r="DJ42" i="127"/>
  <c r="DB42" i="127"/>
  <c r="CP42" i="127"/>
  <c r="BB42" i="127"/>
  <c r="AX42" i="127"/>
  <c r="DV42" i="127"/>
  <c r="DP42" i="127"/>
  <c r="DA42" i="127"/>
  <c r="CO42" i="127"/>
  <c r="BA42" i="127"/>
  <c r="AW42" i="127"/>
  <c r="AS42" i="127"/>
  <c r="AO42" i="127"/>
  <c r="K42" i="127"/>
  <c r="O42" i="127"/>
  <c r="S42" i="127"/>
  <c r="W42" i="127"/>
  <c r="AA42" i="127"/>
  <c r="AE42" i="127"/>
  <c r="AI42" i="127"/>
  <c r="AM42" i="127"/>
  <c r="AR42" i="127"/>
  <c r="BO42" i="127"/>
  <c r="BW42" i="127"/>
  <c r="DU42" i="127"/>
  <c r="I43" i="127"/>
  <c r="M43" i="127"/>
  <c r="Q43" i="127"/>
  <c r="U43" i="127"/>
  <c r="Y43" i="127"/>
  <c r="AC43" i="127"/>
  <c r="AG43" i="127"/>
  <c r="AK43" i="127"/>
  <c r="AO43" i="127"/>
  <c r="AS43" i="127"/>
  <c r="AW43" i="127"/>
  <c r="BA43" i="127"/>
  <c r="CO43" i="127"/>
  <c r="DA43" i="127"/>
  <c r="DP43" i="127"/>
  <c r="DV43" i="127"/>
  <c r="I44" i="127"/>
  <c r="M44" i="127"/>
  <c r="Q44" i="127"/>
  <c r="U44" i="127"/>
  <c r="Y44" i="127"/>
  <c r="AC44" i="127"/>
  <c r="AG44" i="127"/>
  <c r="AK44" i="127"/>
  <c r="AO44" i="127"/>
  <c r="AS44" i="127"/>
  <c r="AW44" i="127"/>
  <c r="BA44" i="127"/>
  <c r="CO44" i="127"/>
  <c r="DA44" i="127"/>
  <c r="DP44" i="127"/>
  <c r="DV44" i="127"/>
  <c r="Y45" i="127"/>
  <c r="AC45" i="127"/>
  <c r="AG45" i="127"/>
  <c r="AK45" i="127"/>
  <c r="AO45" i="127"/>
  <c r="AT45" i="127"/>
  <c r="BW45" i="127"/>
  <c r="DU45" i="127"/>
  <c r="J43" i="127"/>
  <c r="R43" i="127"/>
  <c r="V43" i="127"/>
  <c r="Z43" i="127"/>
  <c r="AD43" i="127"/>
  <c r="AH43" i="127"/>
  <c r="AL43" i="127"/>
  <c r="AP43" i="127"/>
  <c r="AZ43" i="127" s="1"/>
  <c r="AT43" i="127"/>
  <c r="AX43" i="127"/>
  <c r="BB43" i="127"/>
  <c r="CP43" i="127"/>
  <c r="DB43" i="127"/>
  <c r="DJ43" i="127"/>
  <c r="J44" i="127"/>
  <c r="R44" i="127"/>
  <c r="V44" i="127"/>
  <c r="Z44" i="127"/>
  <c r="AD44" i="127"/>
  <c r="AH44" i="127"/>
  <c r="AL44" i="127"/>
  <c r="AP44" i="127"/>
  <c r="AT44" i="127"/>
  <c r="AX44" i="127"/>
  <c r="BB44" i="127"/>
  <c r="CP44" i="127"/>
  <c r="DB44" i="127"/>
  <c r="DJ44" i="127"/>
  <c r="Z45" i="127"/>
  <c r="AD45" i="127"/>
  <c r="AH45" i="127"/>
  <c r="AL45" i="127"/>
  <c r="AP45" i="127"/>
  <c r="AU45" i="127"/>
  <c r="BX45" i="127"/>
  <c r="CF45" i="127"/>
  <c r="K43" i="127"/>
  <c r="O43" i="127"/>
  <c r="S43" i="127"/>
  <c r="W43" i="127"/>
  <c r="AA43" i="127"/>
  <c r="AE43" i="127"/>
  <c r="AI43" i="127"/>
  <c r="AM43" i="127"/>
  <c r="AQ43" i="127"/>
  <c r="AU43" i="127"/>
  <c r="BC43" i="127"/>
  <c r="BO43" i="127"/>
  <c r="BW43" i="127"/>
  <c r="DK43" i="127"/>
  <c r="K44" i="127"/>
  <c r="O44" i="127"/>
  <c r="S44" i="127"/>
  <c r="W44" i="127"/>
  <c r="AA44" i="127"/>
  <c r="AE44" i="127"/>
  <c r="AI44" i="127"/>
  <c r="AM44" i="127"/>
  <c r="AQ44" i="127"/>
  <c r="AU44" i="127"/>
  <c r="BC44" i="127"/>
  <c r="BO44" i="127"/>
  <c r="BW44" i="127"/>
  <c r="DK44" i="127"/>
  <c r="DT45" i="127"/>
  <c r="DK45" i="127"/>
  <c r="DJ45" i="127"/>
  <c r="DB45" i="127"/>
  <c r="CP45" i="127"/>
  <c r="DV45" i="127"/>
  <c r="DP45" i="127"/>
  <c r="DA45" i="127"/>
  <c r="CO45" i="127"/>
  <c r="BA45" i="127"/>
  <c r="AW45" i="127"/>
  <c r="AS45" i="127"/>
  <c r="K45" i="127"/>
  <c r="O45" i="127"/>
  <c r="S45" i="127"/>
  <c r="W45" i="127"/>
  <c r="AA45" i="127"/>
  <c r="AE45" i="127"/>
  <c r="AI45" i="127"/>
  <c r="AM45" i="127"/>
  <c r="AQ45" i="127"/>
  <c r="AV45" i="127"/>
  <c r="BB45" i="127"/>
  <c r="BO45" i="127"/>
  <c r="I46" i="127"/>
  <c r="M46" i="127"/>
  <c r="Q46" i="127"/>
  <c r="U46" i="127"/>
  <c r="Y46" i="127"/>
  <c r="AC46" i="127"/>
  <c r="AG46" i="127"/>
  <c r="AK46" i="127"/>
  <c r="AO46" i="127"/>
  <c r="AS46" i="127"/>
  <c r="AW46" i="127"/>
  <c r="BA46" i="127"/>
  <c r="CO46" i="127"/>
  <c r="DA46" i="127"/>
  <c r="DP46" i="127"/>
  <c r="DV46" i="127"/>
  <c r="I47" i="127"/>
  <c r="M47" i="127"/>
  <c r="Q47" i="127"/>
  <c r="U47" i="127"/>
  <c r="Y47" i="127"/>
  <c r="AC47" i="127"/>
  <c r="AG47" i="127"/>
  <c r="AK47" i="127"/>
  <c r="AO47" i="127"/>
  <c r="AS47" i="127"/>
  <c r="AW47" i="127"/>
  <c r="BA47" i="127"/>
  <c r="CO47" i="127"/>
  <c r="DA47" i="127"/>
  <c r="DK47" i="127"/>
  <c r="DV48" i="127"/>
  <c r="DP48" i="127"/>
  <c r="DA48" i="127"/>
  <c r="CO48" i="127"/>
  <c r="BA48" i="127"/>
  <c r="AW48" i="127"/>
  <c r="AS48" i="127"/>
  <c r="AO48" i="127"/>
  <c r="AK48" i="127"/>
  <c r="AG48" i="127"/>
  <c r="AC48" i="127"/>
  <c r="Y48" i="127"/>
  <c r="U48" i="127"/>
  <c r="Q48" i="127"/>
  <c r="M48" i="127"/>
  <c r="I48" i="127"/>
  <c r="DU48" i="127"/>
  <c r="DO48" i="127"/>
  <c r="CF48" i="127"/>
  <c r="BX48" i="127"/>
  <c r="AV48" i="127"/>
  <c r="AR48" i="127"/>
  <c r="AN48" i="127"/>
  <c r="AJ48" i="127"/>
  <c r="AF48" i="127"/>
  <c r="AB48" i="127"/>
  <c r="X48" i="127"/>
  <c r="T48" i="127"/>
  <c r="P48" i="127"/>
  <c r="L48" i="127"/>
  <c r="N48" i="127" s="1"/>
  <c r="O48" i="127"/>
  <c r="W48" i="127"/>
  <c r="AE48" i="127"/>
  <c r="AM48" i="127"/>
  <c r="AU48" i="127"/>
  <c r="BC48" i="127"/>
  <c r="DT48" i="127"/>
  <c r="J46" i="127"/>
  <c r="R46" i="127"/>
  <c r="V46" i="127"/>
  <c r="Z46" i="127"/>
  <c r="AD46" i="127"/>
  <c r="AH46" i="127"/>
  <c r="AL46" i="127"/>
  <c r="AP46" i="127"/>
  <c r="AT46" i="127"/>
  <c r="AX46" i="127"/>
  <c r="BB46" i="127"/>
  <c r="CP46" i="127"/>
  <c r="DB46" i="127"/>
  <c r="DJ46" i="127"/>
  <c r="J47" i="127"/>
  <c r="R47" i="127"/>
  <c r="V47" i="127"/>
  <c r="Z47" i="127"/>
  <c r="AD47" i="127"/>
  <c r="AH47" i="127"/>
  <c r="AL47" i="127"/>
  <c r="AP47" i="127"/>
  <c r="AT47" i="127"/>
  <c r="AX47" i="127"/>
  <c r="BB47" i="127"/>
  <c r="CP47" i="127"/>
  <c r="DB47" i="127"/>
  <c r="AH48" i="127"/>
  <c r="AP48" i="127"/>
  <c r="AX48" i="127"/>
  <c r="DB48" i="127"/>
  <c r="DJ48" i="127"/>
  <c r="K46" i="127"/>
  <c r="O46" i="127"/>
  <c r="S46" i="127"/>
  <c r="W46" i="127"/>
  <c r="AA46" i="127"/>
  <c r="AE46" i="127"/>
  <c r="AI46" i="127"/>
  <c r="AM46" i="127"/>
  <c r="AQ46" i="127"/>
  <c r="AU46" i="127"/>
  <c r="BC46" i="127"/>
  <c r="BO46" i="127"/>
  <c r="BW46" i="127"/>
  <c r="DK46" i="127"/>
  <c r="DV47" i="127"/>
  <c r="DP47" i="127"/>
  <c r="DU47" i="127"/>
  <c r="DO47" i="127"/>
  <c r="K47" i="127"/>
  <c r="O47" i="127"/>
  <c r="S47" i="127"/>
  <c r="W47" i="127"/>
  <c r="AA47" i="127"/>
  <c r="AE47" i="127"/>
  <c r="AI47" i="127"/>
  <c r="AM47" i="127"/>
  <c r="AQ47" i="127"/>
  <c r="AU47" i="127"/>
  <c r="BC47" i="127"/>
  <c r="BO47" i="127"/>
  <c r="BW47" i="127"/>
  <c r="DT47" i="127"/>
  <c r="BO48" i="127"/>
  <c r="BW48" i="127"/>
  <c r="DK48" i="127"/>
  <c r="K49" i="127"/>
  <c r="O49" i="127"/>
  <c r="S49" i="127"/>
  <c r="W49" i="127"/>
  <c r="AA49" i="127"/>
  <c r="AE49" i="127"/>
  <c r="AI49" i="127"/>
  <c r="AM49" i="127"/>
  <c r="AQ49" i="127"/>
  <c r="AU49" i="127"/>
  <c r="BC49" i="127"/>
  <c r="BO49" i="127"/>
  <c r="BW49" i="127"/>
  <c r="DK49" i="127"/>
  <c r="DT49" i="127"/>
  <c r="K50" i="127"/>
  <c r="O50" i="127"/>
  <c r="S50" i="127"/>
  <c r="W50" i="127"/>
  <c r="AA50" i="127"/>
  <c r="AE50" i="127"/>
  <c r="AI50" i="127"/>
  <c r="AM50" i="127"/>
  <c r="AQ50" i="127"/>
  <c r="AU50" i="127"/>
  <c r="BC50" i="127"/>
  <c r="BO50" i="127"/>
  <c r="BW50" i="127"/>
  <c r="DK50" i="127"/>
  <c r="DT50" i="127"/>
  <c r="L49" i="127"/>
  <c r="P49" i="127"/>
  <c r="T49" i="127"/>
  <c r="X49" i="127"/>
  <c r="AB49" i="127"/>
  <c r="AF49" i="127"/>
  <c r="AJ49" i="127"/>
  <c r="AN49" i="127"/>
  <c r="AR49" i="127"/>
  <c r="AV49" i="127"/>
  <c r="BX49" i="127"/>
  <c r="CF49" i="127"/>
  <c r="DO49" i="127"/>
  <c r="DU49" i="127"/>
  <c r="L50" i="127"/>
  <c r="P50" i="127"/>
  <c r="T50" i="127"/>
  <c r="X50" i="127"/>
  <c r="AB50" i="127"/>
  <c r="AF50" i="127"/>
  <c r="AJ50" i="127"/>
  <c r="AN50" i="127"/>
  <c r="AR50" i="127"/>
  <c r="AV50" i="127"/>
  <c r="BX50" i="127"/>
  <c r="CF50" i="127"/>
  <c r="DO50" i="127"/>
  <c r="DU50" i="127"/>
  <c r="I49" i="127"/>
  <c r="M49" i="127"/>
  <c r="Q49" i="127"/>
  <c r="U49" i="127"/>
  <c r="Y49" i="127"/>
  <c r="AC49" i="127"/>
  <c r="AG49" i="127"/>
  <c r="AK49" i="127"/>
  <c r="AO49" i="127"/>
  <c r="AS49" i="127"/>
  <c r="AW49" i="127"/>
  <c r="BA49" i="127"/>
  <c r="CO49" i="127"/>
  <c r="DA49" i="127"/>
  <c r="DP49" i="127"/>
  <c r="I50" i="127"/>
  <c r="M50" i="127"/>
  <c r="Q50" i="127"/>
  <c r="U50" i="127"/>
  <c r="Y50" i="127"/>
  <c r="AC50" i="127"/>
  <c r="AG50" i="127"/>
  <c r="AK50" i="127"/>
  <c r="AO50" i="127"/>
  <c r="AS50" i="127"/>
  <c r="AW50" i="127"/>
  <c r="BA50" i="127"/>
  <c r="CO50" i="127"/>
  <c r="DA50" i="127"/>
  <c r="DP50" i="127"/>
  <c r="L6" i="120"/>
  <c r="BH3" i="25"/>
  <c r="Z7" i="25"/>
  <c r="AD3" i="25"/>
  <c r="AF3" i="25" s="1"/>
  <c r="AJ7" i="25"/>
  <c r="AN7" i="25"/>
  <c r="BG7" i="25"/>
  <c r="AD7" i="25"/>
  <c r="AF7" i="25" s="1"/>
  <c r="W3" i="25"/>
  <c r="BE7" i="25"/>
  <c r="BJ3" i="25"/>
  <c r="BI3" i="25"/>
  <c r="AJ3" i="25"/>
  <c r="BE3" i="25"/>
  <c r="AN3" i="25"/>
  <c r="AZ3" i="25"/>
  <c r="AV7" i="25"/>
  <c r="W7" i="25"/>
  <c r="BG3" i="25"/>
  <c r="AV3" i="25"/>
  <c r="AR3" i="25"/>
  <c r="AR7" i="25"/>
  <c r="AZ7" i="25"/>
  <c r="X3" i="25"/>
  <c r="X7" i="25"/>
  <c r="DW13" i="125"/>
  <c r="BS13" i="125"/>
  <c r="DR13" i="125"/>
  <c r="DQ13" i="125"/>
  <c r="BP13" i="125"/>
  <c r="AR38" i="125"/>
  <c r="AV36" i="125"/>
  <c r="DS37" i="125"/>
  <c r="AJ37" i="125"/>
  <c r="AL36" i="125"/>
  <c r="DT36" i="127"/>
  <c r="AJ38" i="125"/>
  <c r="K38" i="125"/>
  <c r="K35" i="125"/>
  <c r="DT35" i="127"/>
  <c r="BC36" i="125"/>
  <c r="K36" i="127"/>
  <c r="AT37" i="125"/>
  <c r="BC36" i="127"/>
  <c r="AB36" i="127"/>
  <c r="AR36" i="127"/>
  <c r="AF38" i="125"/>
  <c r="DT37" i="125"/>
  <c r="AJ35" i="125"/>
  <c r="AP37" i="125"/>
  <c r="DS38" i="125"/>
  <c r="AN38" i="125"/>
  <c r="DR38" i="125"/>
  <c r="DR37" i="125"/>
  <c r="AV37" i="125"/>
  <c r="AF37" i="125"/>
  <c r="AR37" i="125"/>
  <c r="AB37" i="125"/>
  <c r="AB36" i="125"/>
  <c r="AB35" i="125"/>
  <c r="DR35" i="125"/>
  <c r="AH36" i="125"/>
  <c r="DR36" i="125"/>
  <c r="AN36" i="125"/>
  <c r="AR35" i="125"/>
  <c r="AT36" i="125"/>
  <c r="AX35" i="125"/>
  <c r="AH35" i="125"/>
  <c r="DS36" i="125"/>
  <c r="DS35" i="125"/>
  <c r="AR36" i="125"/>
  <c r="AX36" i="125"/>
  <c r="DT36" i="125"/>
  <c r="AJ36" i="125"/>
  <c r="AN35" i="125"/>
  <c r="AP36" i="125"/>
  <c r="AT35" i="125"/>
  <c r="AD35" i="125"/>
  <c r="AC36" i="127"/>
  <c r="AD36" i="127"/>
  <c r="P36" i="127"/>
  <c r="Q36" i="127"/>
  <c r="S36" i="127"/>
  <c r="DR36" i="127"/>
  <c r="DS36" i="127"/>
  <c r="DR35" i="127"/>
  <c r="DQ35" i="127"/>
  <c r="BC12" i="125"/>
  <c r="DT12" i="125"/>
  <c r="K12" i="125"/>
  <c r="BC12" i="127"/>
  <c r="AF12" i="127"/>
  <c r="DR5" i="125"/>
  <c r="DR12" i="125"/>
  <c r="DQ12" i="125"/>
  <c r="DS12" i="127"/>
  <c r="DR5" i="127"/>
  <c r="DS5" i="127"/>
  <c r="BS5" i="127" s="1"/>
  <c r="BC11" i="125"/>
  <c r="AJ11" i="125"/>
  <c r="DT11" i="125"/>
  <c r="AR11" i="125"/>
  <c r="AB11" i="125"/>
  <c r="DS11" i="125"/>
  <c r="DQ11" i="125"/>
  <c r="K11" i="127"/>
  <c r="N48" i="125"/>
  <c r="N33" i="127"/>
  <c r="N47" i="125"/>
  <c r="N46" i="125"/>
  <c r="N38" i="127"/>
  <c r="N36" i="127"/>
  <c r="N50" i="127"/>
  <c r="N42" i="127"/>
  <c r="N32" i="127"/>
  <c r="N40" i="127"/>
  <c r="K17" i="101"/>
  <c r="D22" i="101"/>
  <c r="D25" i="101"/>
  <c r="H17" i="101"/>
  <c r="AK5" i="125"/>
  <c r="AG5" i="125"/>
  <c r="AH5" i="125" s="1"/>
  <c r="AL29" i="125"/>
  <c r="AB5" i="125"/>
  <c r="DT7" i="127"/>
  <c r="DW7" i="127"/>
  <c r="AS8" i="127"/>
  <c r="AT8" i="127"/>
  <c r="AR8" i="127"/>
  <c r="DT29" i="127"/>
  <c r="DT27" i="127"/>
  <c r="DW27" i="127"/>
  <c r="BC7" i="127"/>
  <c r="R39" i="127"/>
  <c r="S39" i="127"/>
  <c r="M37" i="127"/>
  <c r="N37" i="127"/>
  <c r="DT10" i="127"/>
  <c r="AC8" i="127"/>
  <c r="AD8" i="127"/>
  <c r="AB8" i="127"/>
  <c r="AR11" i="127"/>
  <c r="AB11" i="127"/>
  <c r="DW28" i="127"/>
  <c r="AT24" i="127"/>
  <c r="AP23" i="127"/>
  <c r="AW7" i="127"/>
  <c r="AX7" i="127"/>
  <c r="AV7" i="127"/>
  <c r="AG7" i="127"/>
  <c r="AF7" i="127"/>
  <c r="DT41" i="127"/>
  <c r="DW41" i="127"/>
  <c r="BH39" i="127"/>
  <c r="AN18" i="127"/>
  <c r="AJ17" i="127"/>
  <c r="AO12" i="127"/>
  <c r="AP12" i="127" s="1"/>
  <c r="DT34" i="127"/>
  <c r="DW34" i="127"/>
  <c r="M35" i="127"/>
  <c r="BH38" i="127"/>
  <c r="AL22" i="127"/>
  <c r="AT7" i="127"/>
  <c r="N39" i="127"/>
  <c r="DW9" i="127"/>
  <c r="K37" i="127"/>
  <c r="AL21" i="127"/>
  <c r="K32" i="127"/>
  <c r="AL24" i="127"/>
  <c r="AX23" i="127"/>
  <c r="AX21" i="127"/>
  <c r="DT24" i="127"/>
  <c r="DT21" i="127"/>
  <c r="AP7" i="127"/>
  <c r="BC41" i="127"/>
  <c r="K33" i="127"/>
  <c r="K7" i="127"/>
  <c r="AV16" i="127"/>
  <c r="DW32" i="127"/>
  <c r="DW21" i="127"/>
  <c r="AF29" i="127"/>
  <c r="AP24" i="127"/>
  <c r="O33" i="127"/>
  <c r="AX24" i="127"/>
  <c r="AT21" i="127"/>
  <c r="AP18" i="127"/>
  <c r="AF9" i="127"/>
  <c r="BC24" i="127"/>
  <c r="AL7" i="127"/>
  <c r="N44" i="127"/>
  <c r="BC19" i="127"/>
  <c r="DT33" i="127"/>
  <c r="BC16" i="127"/>
  <c r="DW30" i="127"/>
  <c r="O39" i="127"/>
  <c r="AF32" i="127"/>
  <c r="AV32" i="127"/>
  <c r="AN31" i="127"/>
  <c r="BC30" i="127"/>
  <c r="AX22" i="127"/>
  <c r="AR19" i="127"/>
  <c r="AF18" i="127"/>
  <c r="AR17" i="127"/>
  <c r="AF16" i="127"/>
  <c r="AJ15" i="127"/>
  <c r="AB13" i="127"/>
  <c r="AV10" i="127"/>
  <c r="AT19" i="127"/>
  <c r="AL18" i="127"/>
  <c r="AP13" i="127"/>
  <c r="BC37" i="127"/>
  <c r="BC23" i="127"/>
  <c r="S38" i="127"/>
  <c r="AT22" i="127"/>
  <c r="AL16" i="127"/>
  <c r="BC21" i="127"/>
  <c r="K13" i="127"/>
  <c r="AR15" i="127"/>
  <c r="DT22" i="127"/>
  <c r="AJ19" i="127"/>
  <c r="DT18" i="127"/>
  <c r="DT13" i="127"/>
  <c r="AP19" i="127"/>
  <c r="AX18" i="127"/>
  <c r="BC13" i="127"/>
  <c r="AL13" i="127"/>
  <c r="AP10" i="127"/>
  <c r="K40" i="127"/>
  <c r="AK36" i="127"/>
  <c r="AL36" i="127"/>
  <c r="AP32" i="127"/>
  <c r="AN32" i="127"/>
  <c r="M32" i="127"/>
  <c r="O32" i="127"/>
  <c r="AS30" i="127"/>
  <c r="AT30" i="127"/>
  <c r="AC30" i="127"/>
  <c r="BC29" i="127"/>
  <c r="AP22" i="127"/>
  <c r="AB19" i="127"/>
  <c r="AV18" i="127"/>
  <c r="AB17" i="127"/>
  <c r="AR13" i="127"/>
  <c r="AL19" i="127"/>
  <c r="DT19" i="127"/>
  <c r="AT18" i="127"/>
  <c r="AX13" i="127"/>
  <c r="AO9" i="127"/>
  <c r="AP9" i="127"/>
  <c r="BC40" i="127"/>
  <c r="BC35" i="127"/>
  <c r="AS9" i="127"/>
  <c r="AT9" i="127"/>
  <c r="N41" i="127"/>
  <c r="AS5" i="127"/>
  <c r="AC5" i="127"/>
  <c r="N49" i="127"/>
  <c r="R40" i="127"/>
  <c r="AS36" i="127"/>
  <c r="AT36" i="127"/>
  <c r="AS25" i="127"/>
  <c r="AT25" i="127"/>
  <c r="AT23" i="127"/>
  <c r="AP20" i="127"/>
  <c r="AV19" i="127"/>
  <c r="AF19" i="127"/>
  <c r="AJ18" i="127"/>
  <c r="AN17" i="127"/>
  <c r="AR16" i="127"/>
  <c r="AB16" i="127"/>
  <c r="AV15" i="127"/>
  <c r="AF15" i="127"/>
  <c r="AN13" i="127"/>
  <c r="AX16" i="127"/>
  <c r="BC15" i="127"/>
  <c r="AL15" i="127"/>
  <c r="AJ9" i="127"/>
  <c r="AN8" i="127"/>
  <c r="AR7" i="127"/>
  <c r="AB7" i="127"/>
  <c r="AO5" i="127"/>
  <c r="AB15" i="127"/>
  <c r="AX15" i="127"/>
  <c r="AC28" i="127"/>
  <c r="AV29" i="127"/>
  <c r="DT23" i="127"/>
  <c r="O40" i="127"/>
  <c r="AJ32" i="127"/>
  <c r="AV31" i="127"/>
  <c r="BC27" i="127"/>
  <c r="BC31" i="127"/>
  <c r="AB31" i="127"/>
  <c r="AT31" i="127"/>
  <c r="AL23" i="127"/>
  <c r="AN19" i="127"/>
  <c r="AR18" i="127"/>
  <c r="AB18" i="127"/>
  <c r="AV17" i="127"/>
  <c r="AF17" i="127"/>
  <c r="DT16" i="127"/>
  <c r="AJ16" i="127"/>
  <c r="AN15" i="127"/>
  <c r="AB14" i="127"/>
  <c r="AV13" i="127"/>
  <c r="AF13" i="127"/>
  <c r="AJ12" i="127"/>
  <c r="AN11" i="127"/>
  <c r="AP16" i="127"/>
  <c r="AT15" i="127"/>
  <c r="AB9" i="127"/>
  <c r="AV8" i="127"/>
  <c r="AF8" i="127"/>
  <c r="AJ7" i="127"/>
  <c r="N45" i="127"/>
  <c r="H38" i="101"/>
  <c r="P26" i="127"/>
  <c r="AH9" i="127"/>
  <c r="S27" i="127"/>
  <c r="U27" i="127"/>
  <c r="T27" i="127"/>
  <c r="R27" i="127"/>
  <c r="AH8" i="127"/>
  <c r="AH31" i="127"/>
  <c r="AH7" i="127"/>
  <c r="O31" i="127"/>
  <c r="P31" i="127"/>
  <c r="Q31" i="127"/>
  <c r="AW39" i="127"/>
  <c r="AX39" i="127"/>
  <c r="AV39" i="127"/>
  <c r="AB38" i="127"/>
  <c r="AC38" i="127"/>
  <c r="AO37" i="127"/>
  <c r="AP37" i="127"/>
  <c r="AN37" i="127"/>
  <c r="AF36" i="127"/>
  <c r="AG36" i="127"/>
  <c r="AF35" i="127"/>
  <c r="AG35" i="127"/>
  <c r="AS34" i="127"/>
  <c r="AT34" i="127"/>
  <c r="AR34" i="127"/>
  <c r="AK41" i="127"/>
  <c r="AL41" i="127"/>
  <c r="AJ41" i="127"/>
  <c r="AV40" i="127"/>
  <c r="AW40" i="127"/>
  <c r="AX40" i="127"/>
  <c r="AF40" i="127"/>
  <c r="AG40" i="127"/>
  <c r="AS39" i="127"/>
  <c r="AT39" i="127"/>
  <c r="AR39" i="127"/>
  <c r="AC39" i="127"/>
  <c r="AB39" i="127"/>
  <c r="AO38" i="127"/>
  <c r="AP38" i="127"/>
  <c r="AN38" i="127"/>
  <c r="AK37" i="127"/>
  <c r="AL37" i="127"/>
  <c r="AJ37" i="127"/>
  <c r="U41" i="127"/>
  <c r="T41" i="127"/>
  <c r="AR35" i="127"/>
  <c r="AS35" i="127"/>
  <c r="AT35" i="127"/>
  <c r="AB35" i="127"/>
  <c r="AC35" i="127"/>
  <c r="AO34" i="127"/>
  <c r="AP34" i="127"/>
  <c r="AN34" i="127"/>
  <c r="AK33" i="127"/>
  <c r="AJ33" i="127"/>
  <c r="AB32" i="127"/>
  <c r="AV30" i="127"/>
  <c r="AF30" i="127"/>
  <c r="AJ29" i="127"/>
  <c r="AR27" i="127"/>
  <c r="AB27" i="127"/>
  <c r="O28" i="127"/>
  <c r="O27" i="127"/>
  <c r="AD25" i="127"/>
  <c r="BC25" i="127"/>
  <c r="AH24" i="127"/>
  <c r="AD23" i="127"/>
  <c r="AN25" i="127"/>
  <c r="AR24" i="127"/>
  <c r="AB24" i="127"/>
  <c r="M24" i="127"/>
  <c r="AV23" i="127"/>
  <c r="AF23" i="127"/>
  <c r="AJ22" i="127"/>
  <c r="AN21" i="127"/>
  <c r="AH19" i="127"/>
  <c r="AH18" i="127"/>
  <c r="AH17" i="127"/>
  <c r="AH16" i="127"/>
  <c r="AH15" i="127"/>
  <c r="AH13" i="127"/>
  <c r="N50" i="125"/>
  <c r="R31" i="125"/>
  <c r="T31" i="125"/>
  <c r="U31" i="125"/>
  <c r="S31" i="125"/>
  <c r="AD20" i="125"/>
  <c r="AD16" i="125"/>
  <c r="AD12" i="125"/>
  <c r="AD8" i="125"/>
  <c r="R22" i="125"/>
  <c r="T22" i="125"/>
  <c r="U22" i="125"/>
  <c r="S22" i="125"/>
  <c r="T20" i="125"/>
  <c r="R20" i="125"/>
  <c r="U20" i="125"/>
  <c r="S20" i="125"/>
  <c r="R18" i="125"/>
  <c r="S18" i="125"/>
  <c r="T18" i="125"/>
  <c r="U18" i="125"/>
  <c r="T16" i="125"/>
  <c r="R16" i="125"/>
  <c r="U16" i="125"/>
  <c r="S16" i="125"/>
  <c r="R14" i="125"/>
  <c r="S14" i="125"/>
  <c r="T14" i="125"/>
  <c r="U14" i="125"/>
  <c r="R10" i="125"/>
  <c r="S10" i="125"/>
  <c r="T10" i="125"/>
  <c r="U10" i="125"/>
  <c r="T8" i="125"/>
  <c r="R8" i="125"/>
  <c r="U8" i="125"/>
  <c r="S8" i="125"/>
  <c r="R6" i="125"/>
  <c r="S6" i="125"/>
  <c r="T6" i="125"/>
  <c r="U6" i="125"/>
  <c r="AO41" i="127"/>
  <c r="AP41" i="127"/>
  <c r="AN41" i="127"/>
  <c r="AK40" i="127"/>
  <c r="AL40" i="127"/>
  <c r="AJ40" i="127"/>
  <c r="AG39" i="127"/>
  <c r="AF39" i="127"/>
  <c r="AR38" i="127"/>
  <c r="AS38" i="127"/>
  <c r="AT38" i="127"/>
  <c r="AV36" i="127"/>
  <c r="AW36" i="127"/>
  <c r="AX36" i="127"/>
  <c r="AV35" i="127"/>
  <c r="AW35" i="127"/>
  <c r="AX35" i="127"/>
  <c r="AC34" i="127"/>
  <c r="AY34" i="127" s="1"/>
  <c r="AB34" i="127"/>
  <c r="AO33" i="127"/>
  <c r="AN33" i="127"/>
  <c r="AW41" i="127"/>
  <c r="AX41" i="127"/>
  <c r="AV41" i="127"/>
  <c r="AG41" i="127"/>
  <c r="AF41" i="127"/>
  <c r="AS40" i="127"/>
  <c r="AT40" i="127"/>
  <c r="AR40" i="127"/>
  <c r="AC40" i="127"/>
  <c r="AB40" i="127"/>
  <c r="AO39" i="127"/>
  <c r="AP39" i="127"/>
  <c r="AN39" i="127"/>
  <c r="BC38" i="127"/>
  <c r="AJ38" i="127"/>
  <c r="AK38" i="127"/>
  <c r="AL38" i="127"/>
  <c r="AW37" i="127"/>
  <c r="AX37" i="127"/>
  <c r="AV37" i="127"/>
  <c r="AG37" i="127"/>
  <c r="AF37" i="127"/>
  <c r="AN36" i="127"/>
  <c r="AO36" i="127"/>
  <c r="AP36" i="127"/>
  <c r="AN35" i="127"/>
  <c r="AO35" i="127"/>
  <c r="AP35" i="127"/>
  <c r="BC34" i="127"/>
  <c r="AK34" i="127"/>
  <c r="AL34" i="127"/>
  <c r="AJ34" i="127"/>
  <c r="AW33" i="127"/>
  <c r="AX33" i="127"/>
  <c r="AV33" i="127"/>
  <c r="AG33" i="127"/>
  <c r="AF33" i="127"/>
  <c r="T36" i="127"/>
  <c r="R36" i="127"/>
  <c r="R34" i="127"/>
  <c r="U34" i="127"/>
  <c r="T34" i="127"/>
  <c r="AR31" i="127"/>
  <c r="K30" i="127"/>
  <c r="K27" i="127"/>
  <c r="AH27" i="127"/>
  <c r="AD24" i="127"/>
  <c r="AH21" i="127"/>
  <c r="AD20" i="127"/>
  <c r="AJ25" i="127"/>
  <c r="AN24" i="127"/>
  <c r="AR23" i="127"/>
  <c r="AB23" i="127"/>
  <c r="N23" i="127"/>
  <c r="M23" i="127"/>
  <c r="AV22" i="127"/>
  <c r="AF22" i="127"/>
  <c r="AJ21" i="127"/>
  <c r="AD19" i="127"/>
  <c r="AD18" i="127"/>
  <c r="AD17" i="127"/>
  <c r="AD16" i="127"/>
  <c r="AD15" i="127"/>
  <c r="AD13" i="127"/>
  <c r="T27" i="125"/>
  <c r="R27" i="125"/>
  <c r="U27" i="125"/>
  <c r="S27" i="125"/>
  <c r="AH21" i="125"/>
  <c r="AH19" i="125"/>
  <c r="AH17" i="125"/>
  <c r="AH15" i="125"/>
  <c r="AH13" i="125"/>
  <c r="AZ13" i="125" s="1"/>
  <c r="AH11" i="125"/>
  <c r="AH9" i="125"/>
  <c r="AH7" i="125"/>
  <c r="AS41" i="127"/>
  <c r="AT41" i="127"/>
  <c r="AR41" i="127"/>
  <c r="AC41" i="127"/>
  <c r="AB41" i="127"/>
  <c r="AN40" i="127"/>
  <c r="AO40" i="127"/>
  <c r="AP40" i="127"/>
  <c r="AK39" i="127"/>
  <c r="AL39" i="127"/>
  <c r="AJ39" i="127"/>
  <c r="AW38" i="127"/>
  <c r="AX38" i="127"/>
  <c r="AV38" i="127"/>
  <c r="AG38" i="127"/>
  <c r="AF38" i="127"/>
  <c r="AS37" i="127"/>
  <c r="AT37" i="127"/>
  <c r="AR37" i="127"/>
  <c r="AC37" i="127"/>
  <c r="AB37" i="127"/>
  <c r="U40" i="127"/>
  <c r="T40" i="127"/>
  <c r="AJ35" i="127"/>
  <c r="AK35" i="127"/>
  <c r="AL35" i="127"/>
  <c r="AW34" i="127"/>
  <c r="AX34" i="127"/>
  <c r="AV34" i="127"/>
  <c r="AG34" i="127"/>
  <c r="AF34" i="127"/>
  <c r="AS33" i="127"/>
  <c r="AR33" i="127"/>
  <c r="AC33" i="127"/>
  <c r="AB33" i="127"/>
  <c r="R33" i="127"/>
  <c r="U33" i="127"/>
  <c r="T33" i="127"/>
  <c r="AR32" i="127"/>
  <c r="P32" i="127"/>
  <c r="Q32" i="127"/>
  <c r="M30" i="127"/>
  <c r="AC31" i="127"/>
  <c r="AR29" i="127"/>
  <c r="AV28" i="127"/>
  <c r="AJ27" i="127"/>
  <c r="AJ31" i="127"/>
  <c r="K31" i="127"/>
  <c r="AD27" i="127"/>
  <c r="AH22" i="127"/>
  <c r="AD21" i="127"/>
  <c r="AF25" i="127"/>
  <c r="AJ24" i="127"/>
  <c r="AN23" i="127"/>
  <c r="AR22" i="127"/>
  <c r="AB22" i="127"/>
  <c r="M22" i="127"/>
  <c r="AV21" i="127"/>
  <c r="AF21" i="127"/>
  <c r="AV25" i="127"/>
  <c r="DT25" i="127"/>
  <c r="AD7" i="127"/>
  <c r="P33" i="125"/>
  <c r="U21" i="125"/>
  <c r="T21" i="125"/>
  <c r="S21" i="125"/>
  <c r="R21" i="125"/>
  <c r="T19" i="125"/>
  <c r="S19" i="125"/>
  <c r="U19" i="125"/>
  <c r="R19" i="125"/>
  <c r="U17" i="125"/>
  <c r="T17" i="125"/>
  <c r="S17" i="125"/>
  <c r="R17" i="125"/>
  <c r="T15" i="125"/>
  <c r="S15" i="125"/>
  <c r="U15" i="125"/>
  <c r="R15" i="125"/>
  <c r="U13" i="125"/>
  <c r="T13" i="125"/>
  <c r="S13" i="125"/>
  <c r="R13" i="125"/>
  <c r="U9" i="125"/>
  <c r="T9" i="125"/>
  <c r="S9" i="125"/>
  <c r="R9" i="125"/>
  <c r="T7" i="125"/>
  <c r="S7" i="125"/>
  <c r="U7" i="125"/>
  <c r="R7" i="125"/>
  <c r="P23" i="125"/>
  <c r="U39" i="127"/>
  <c r="T39" i="127"/>
  <c r="AW32" i="127"/>
  <c r="T38" i="127"/>
  <c r="U38" i="127"/>
  <c r="BC32" i="127"/>
  <c r="AF31" i="127"/>
  <c r="AJ30" i="127"/>
  <c r="AV27" i="127"/>
  <c r="AF27" i="127"/>
  <c r="AH23" i="127"/>
  <c r="AD22" i="127"/>
  <c r="K26" i="127"/>
  <c r="AO26" i="127"/>
  <c r="AB25" i="127"/>
  <c r="M25" i="127"/>
  <c r="AV24" i="127"/>
  <c r="AF24" i="127"/>
  <c r="AJ23" i="127"/>
  <c r="AN22" i="127"/>
  <c r="AR21" i="127"/>
  <c r="AB21" i="127"/>
  <c r="M21" i="127"/>
  <c r="AF20" i="127"/>
  <c r="N19" i="127"/>
  <c r="M19" i="127"/>
  <c r="N18" i="127"/>
  <c r="M18" i="127"/>
  <c r="M17" i="127"/>
  <c r="M16" i="127"/>
  <c r="M15" i="127"/>
  <c r="M13" i="127"/>
  <c r="M11" i="127"/>
  <c r="O11" i="127" s="1"/>
  <c r="N9" i="127"/>
  <c r="M9" i="127"/>
  <c r="M8" i="127"/>
  <c r="N7" i="127"/>
  <c r="M7" i="127"/>
  <c r="M5" i="127"/>
  <c r="P5" i="127" s="1"/>
  <c r="AV9" i="127"/>
  <c r="AD9" i="127"/>
  <c r="T25" i="125"/>
  <c r="R25" i="125"/>
  <c r="U25" i="125"/>
  <c r="S25" i="125"/>
  <c r="N45" i="125"/>
  <c r="AH38" i="125"/>
  <c r="AH34" i="125"/>
  <c r="AZ34" i="125" s="1"/>
  <c r="AL32" i="125"/>
  <c r="AT30" i="125"/>
  <c r="AD30" i="125"/>
  <c r="AL28" i="125"/>
  <c r="U28" i="125"/>
  <c r="AT26" i="125"/>
  <c r="AD26" i="125"/>
  <c r="AX25" i="125"/>
  <c r="AH25" i="125"/>
  <c r="AL24" i="125"/>
  <c r="U24" i="125"/>
  <c r="AN32" i="125"/>
  <c r="BC31" i="125"/>
  <c r="AJ31" i="125"/>
  <c r="BC30" i="125"/>
  <c r="AJ30" i="125"/>
  <c r="AJ29" i="125"/>
  <c r="BC28" i="125"/>
  <c r="AJ28" i="125"/>
  <c r="BC27" i="125"/>
  <c r="AJ27" i="125"/>
  <c r="BC26" i="125"/>
  <c r="AJ26" i="125"/>
  <c r="BC25" i="125"/>
  <c r="AJ25" i="125"/>
  <c r="BC24" i="125"/>
  <c r="AJ24" i="125"/>
  <c r="AS21" i="125"/>
  <c r="AT21" i="125"/>
  <c r="AC21" i="125"/>
  <c r="AY21" i="125" s="1"/>
  <c r="AK20" i="125"/>
  <c r="AL20" i="125"/>
  <c r="AS19" i="125"/>
  <c r="AT19" i="125"/>
  <c r="AC19" i="125"/>
  <c r="AK18" i="125"/>
  <c r="AL18" i="125"/>
  <c r="AS17" i="125"/>
  <c r="AT17" i="125"/>
  <c r="AC17" i="125"/>
  <c r="AK16" i="125"/>
  <c r="AL16" i="125"/>
  <c r="AS15" i="125"/>
  <c r="AT15" i="125"/>
  <c r="AC15" i="125"/>
  <c r="AK14" i="125"/>
  <c r="AL14" i="125"/>
  <c r="AS13" i="125"/>
  <c r="AT13" i="125"/>
  <c r="AC13" i="125"/>
  <c r="AS11" i="125"/>
  <c r="AT11" i="125" s="1"/>
  <c r="AC11" i="125"/>
  <c r="AK10" i="125"/>
  <c r="AL10" i="125"/>
  <c r="AS9" i="125"/>
  <c r="AT9" i="125"/>
  <c r="AC9" i="125"/>
  <c r="AK8" i="125"/>
  <c r="AL8" i="125"/>
  <c r="AS7" i="125"/>
  <c r="AT7" i="125"/>
  <c r="AC7" i="125"/>
  <c r="AK6" i="125"/>
  <c r="AL6" i="125"/>
  <c r="AC5" i="125"/>
  <c r="AD5" i="125" s="1"/>
  <c r="AN21" i="125"/>
  <c r="AR20" i="125"/>
  <c r="AB20" i="125"/>
  <c r="AV19" i="125"/>
  <c r="AF19" i="125"/>
  <c r="AN17" i="125"/>
  <c r="AR16" i="125"/>
  <c r="AB16" i="125"/>
  <c r="AV15" i="125"/>
  <c r="AF15" i="125"/>
  <c r="AN13" i="125"/>
  <c r="AB12" i="125"/>
  <c r="AV11" i="125"/>
  <c r="AF11" i="125"/>
  <c r="AN9" i="125"/>
  <c r="AR8" i="125"/>
  <c r="AB8" i="125"/>
  <c r="AV7" i="125"/>
  <c r="AF7" i="125"/>
  <c r="N41" i="125"/>
  <c r="M41" i="125"/>
  <c r="N40" i="125"/>
  <c r="M40" i="125"/>
  <c r="M39" i="125"/>
  <c r="M38" i="125"/>
  <c r="N37" i="125"/>
  <c r="M37" i="125"/>
  <c r="N36" i="125"/>
  <c r="M36" i="125"/>
  <c r="M35" i="125"/>
  <c r="N34" i="125"/>
  <c r="M34" i="125"/>
  <c r="AH41" i="125"/>
  <c r="AH37" i="125"/>
  <c r="AH32" i="125"/>
  <c r="R32" i="125"/>
  <c r="T32" i="125"/>
  <c r="AH28" i="125"/>
  <c r="T28" i="125"/>
  <c r="R28" i="125"/>
  <c r="AD25" i="125"/>
  <c r="AH24" i="125"/>
  <c r="T24" i="125"/>
  <c r="R24" i="125"/>
  <c r="AJ32" i="125"/>
  <c r="S32" i="125"/>
  <c r="AV31" i="125"/>
  <c r="AF31" i="125"/>
  <c r="O31" i="125"/>
  <c r="AV30" i="125"/>
  <c r="AF30" i="125"/>
  <c r="O30" i="125"/>
  <c r="AF29" i="125"/>
  <c r="O29" i="125"/>
  <c r="AV28" i="125"/>
  <c r="AF28" i="125"/>
  <c r="O28" i="125"/>
  <c r="AV27" i="125"/>
  <c r="AF27" i="125"/>
  <c r="O27" i="125"/>
  <c r="AV26" i="125"/>
  <c r="AF26" i="125"/>
  <c r="O26" i="125"/>
  <c r="AV25" i="125"/>
  <c r="AF25" i="125"/>
  <c r="O25" i="125"/>
  <c r="AV24" i="125"/>
  <c r="AF24" i="125"/>
  <c r="O24" i="125"/>
  <c r="AW20" i="125"/>
  <c r="AX20" i="125"/>
  <c r="AG20" i="125"/>
  <c r="AO19" i="125"/>
  <c r="AP19" i="125"/>
  <c r="AW18" i="125"/>
  <c r="AX18" i="125"/>
  <c r="AG18" i="125"/>
  <c r="AW16" i="125"/>
  <c r="AX16" i="125"/>
  <c r="AG16" i="125"/>
  <c r="AO15" i="125"/>
  <c r="AP15" i="125"/>
  <c r="AW14" i="125"/>
  <c r="AX14" i="125"/>
  <c r="AG14" i="125"/>
  <c r="AG12" i="125"/>
  <c r="AW10" i="125"/>
  <c r="AX10" i="125"/>
  <c r="AG10" i="125"/>
  <c r="AW8" i="125"/>
  <c r="AX8" i="125"/>
  <c r="AG8" i="125"/>
  <c r="AO7" i="125"/>
  <c r="AP7" i="125"/>
  <c r="AW6" i="125"/>
  <c r="AX6" i="125"/>
  <c r="AG6" i="125"/>
  <c r="AJ21" i="125"/>
  <c r="AN20" i="125"/>
  <c r="AJ17" i="125"/>
  <c r="AN16" i="125"/>
  <c r="AJ13" i="125"/>
  <c r="AN12" i="125"/>
  <c r="AJ9" i="125"/>
  <c r="AN8" i="125"/>
  <c r="AJ5" i="125"/>
  <c r="AD41" i="125"/>
  <c r="AD37" i="125"/>
  <c r="AT32" i="125"/>
  <c r="AD32" i="125"/>
  <c r="AY32" i="125"/>
  <c r="AH31" i="125"/>
  <c r="AL30" i="125"/>
  <c r="AT28" i="125"/>
  <c r="AZ28" i="125" s="1"/>
  <c r="AD28" i="125"/>
  <c r="AH27" i="125"/>
  <c r="AL26" i="125"/>
  <c r="AT24" i="125"/>
  <c r="AD24" i="125"/>
  <c r="AV32" i="125"/>
  <c r="AF32" i="125"/>
  <c r="O32" i="125"/>
  <c r="AR31" i="125"/>
  <c r="AB31" i="125"/>
  <c r="K31" i="125"/>
  <c r="AR30" i="125"/>
  <c r="AB30" i="125"/>
  <c r="K30" i="125"/>
  <c r="AR28" i="125"/>
  <c r="AB28" i="125"/>
  <c r="K28" i="125"/>
  <c r="AR27" i="125"/>
  <c r="AB27" i="125"/>
  <c r="K27" i="125"/>
  <c r="AR26" i="125"/>
  <c r="AB26" i="125"/>
  <c r="K26" i="125"/>
  <c r="AR25" i="125"/>
  <c r="AB25" i="125"/>
  <c r="K25" i="125"/>
  <c r="AR24" i="125"/>
  <c r="AB24" i="125"/>
  <c r="K24" i="125"/>
  <c r="AK19" i="125"/>
  <c r="AL19" i="125"/>
  <c r="AS18" i="125"/>
  <c r="AT18" i="125"/>
  <c r="AC18" i="125"/>
  <c r="AK15" i="125"/>
  <c r="AL15" i="125"/>
  <c r="AS14" i="125"/>
  <c r="AT14" i="125"/>
  <c r="AC14" i="125"/>
  <c r="AK11" i="125"/>
  <c r="AL11" i="125" s="1"/>
  <c r="AS10" i="125"/>
  <c r="AT10" i="125"/>
  <c r="AC10" i="125"/>
  <c r="AK7" i="125"/>
  <c r="AL7" i="125"/>
  <c r="AS6" i="125"/>
  <c r="AT6" i="125"/>
  <c r="AC6" i="125"/>
  <c r="AD22" i="125"/>
  <c r="N22" i="125"/>
  <c r="AV21" i="125"/>
  <c r="AF21" i="125"/>
  <c r="N18" i="125"/>
  <c r="AV17" i="125"/>
  <c r="AF17" i="125"/>
  <c r="AV13" i="125"/>
  <c r="AF13" i="125"/>
  <c r="N10" i="125"/>
  <c r="AV9" i="125"/>
  <c r="AF9" i="125"/>
  <c r="N6" i="125"/>
  <c r="AD40" i="125"/>
  <c r="AD36" i="125"/>
  <c r="AZ36" i="125" s="1"/>
  <c r="AD31" i="125"/>
  <c r="AX30" i="125"/>
  <c r="AH30" i="125"/>
  <c r="Q30" i="125"/>
  <c r="N28" i="125"/>
  <c r="AD27" i="125"/>
  <c r="AX26" i="125"/>
  <c r="AH26" i="125"/>
  <c r="Q26" i="125"/>
  <c r="AR32" i="125"/>
  <c r="AB32" i="125"/>
  <c r="K32" i="125"/>
  <c r="DT31" i="125"/>
  <c r="AN31" i="125"/>
  <c r="DT30" i="125"/>
  <c r="AN30" i="125"/>
  <c r="AN29" i="125"/>
  <c r="DT28" i="125"/>
  <c r="AN28" i="125"/>
  <c r="DT27" i="125"/>
  <c r="AN27" i="125"/>
  <c r="DT26" i="125"/>
  <c r="AN26" i="125"/>
  <c r="DT25" i="125"/>
  <c r="AN25" i="125"/>
  <c r="DT24" i="125"/>
  <c r="AN24" i="125"/>
  <c r="N32" i="125"/>
  <c r="AX33" i="125"/>
  <c r="K33" i="125"/>
  <c r="BC32" i="125"/>
  <c r="N30" i="125"/>
  <c r="AO18" i="125"/>
  <c r="AP18" i="125"/>
  <c r="AO14" i="125"/>
  <c r="AP14" i="125"/>
  <c r="AO10" i="125"/>
  <c r="AP10" i="125"/>
  <c r="AO6" i="125"/>
  <c r="AP6" i="125"/>
  <c r="K23" i="125"/>
  <c r="AT23" i="125"/>
  <c r="AP23" i="125"/>
  <c r="N21" i="125"/>
  <c r="N17" i="125"/>
  <c r="N13" i="125"/>
  <c r="N9" i="125"/>
  <c r="N26" i="125"/>
  <c r="B167" i="122"/>
  <c r="B87" i="122"/>
  <c r="AD7" i="122"/>
  <c r="B7" i="122"/>
  <c r="AC3" i="25"/>
  <c r="AE3" i="25" s="1"/>
  <c r="AM3" i="25"/>
  <c r="BP3" i="25"/>
  <c r="BN7" i="25"/>
  <c r="R7" i="25"/>
  <c r="S7" i="25" s="1"/>
  <c r="AU7" i="25"/>
  <c r="BN3" i="25"/>
  <c r="AC7" i="25"/>
  <c r="AE7" i="25" s="1"/>
  <c r="AM7" i="25"/>
  <c r="R3" i="25"/>
  <c r="S3" i="25" s="1"/>
  <c r="Z3" i="25"/>
  <c r="AQ7" i="25"/>
  <c r="Y7" i="25"/>
  <c r="AY7" i="25"/>
  <c r="AU3" i="25"/>
  <c r="AQ3" i="25"/>
  <c r="BP7" i="25"/>
  <c r="AY3" i="25"/>
  <c r="AI7" i="25"/>
  <c r="AI3" i="25"/>
  <c r="BH13" i="125"/>
  <c r="U36" i="127"/>
  <c r="AL5" i="125"/>
  <c r="BH22" i="127"/>
  <c r="BH31" i="127"/>
  <c r="BH25" i="127"/>
  <c r="P37" i="127"/>
  <c r="O37" i="127"/>
  <c r="AD30" i="127"/>
  <c r="P35" i="127"/>
  <c r="O35" i="127"/>
  <c r="BH27" i="127"/>
  <c r="BH32" i="127"/>
  <c r="BH33" i="127"/>
  <c r="BH34" i="127"/>
  <c r="BH41" i="127"/>
  <c r="AT33" i="127"/>
  <c r="AX32" i="127"/>
  <c r="AZ32" i="127"/>
  <c r="AP33" i="127"/>
  <c r="AL33" i="127"/>
  <c r="AZ33" i="127" s="1"/>
  <c r="AN33" i="125"/>
  <c r="AH10" i="125"/>
  <c r="AZ10" i="125" s="1"/>
  <c r="AH16" i="125"/>
  <c r="O34" i="125"/>
  <c r="P34" i="125"/>
  <c r="O36" i="125"/>
  <c r="P36" i="125"/>
  <c r="O38" i="125"/>
  <c r="P38" i="125"/>
  <c r="O40" i="125"/>
  <c r="P40" i="125"/>
  <c r="Q40" i="125"/>
  <c r="AD11" i="125"/>
  <c r="AD17" i="125"/>
  <c r="AT33" i="125"/>
  <c r="Q14" i="127"/>
  <c r="P16" i="127"/>
  <c r="Q16" i="127"/>
  <c r="O16" i="127"/>
  <c r="P18" i="127"/>
  <c r="O18" i="127"/>
  <c r="O25" i="127"/>
  <c r="P25" i="127"/>
  <c r="Q25" i="127"/>
  <c r="AB26" i="127"/>
  <c r="AJ26" i="127"/>
  <c r="AL26" i="127"/>
  <c r="BC26" i="127"/>
  <c r="AR26" i="127"/>
  <c r="O30" i="127"/>
  <c r="P30" i="127"/>
  <c r="Q30" i="127"/>
  <c r="AY33" i="127"/>
  <c r="AD33" i="127"/>
  <c r="AH34" i="127"/>
  <c r="O23" i="127"/>
  <c r="P23" i="127"/>
  <c r="AH39" i="127"/>
  <c r="AH35" i="127"/>
  <c r="AD38" i="127"/>
  <c r="AX26" i="127"/>
  <c r="AT26" i="127"/>
  <c r="O26" i="127"/>
  <c r="AR23" i="125"/>
  <c r="AB23" i="125"/>
  <c r="AX23" i="125"/>
  <c r="AH23" i="125"/>
  <c r="BC23" i="125"/>
  <c r="AJ23" i="125"/>
  <c r="AV23" i="125"/>
  <c r="AF23" i="125"/>
  <c r="AD33" i="125"/>
  <c r="R30" i="125"/>
  <c r="T30" i="125"/>
  <c r="U30" i="125"/>
  <c r="S30" i="125"/>
  <c r="AL33" i="125"/>
  <c r="AH14" i="125"/>
  <c r="AH20" i="125"/>
  <c r="AD23" i="125"/>
  <c r="AD15" i="125"/>
  <c r="DT23" i="125"/>
  <c r="P7" i="127"/>
  <c r="Q7" i="127"/>
  <c r="O7" i="127"/>
  <c r="P9" i="127"/>
  <c r="Q9" i="127"/>
  <c r="O9" i="127"/>
  <c r="Q33" i="125"/>
  <c r="AV26" i="127"/>
  <c r="AH33" i="127"/>
  <c r="AD34" i="127"/>
  <c r="AH33" i="125"/>
  <c r="O20" i="127"/>
  <c r="AH26" i="127"/>
  <c r="AD35" i="127"/>
  <c r="DT26" i="127"/>
  <c r="Q26" i="127"/>
  <c r="AD14" i="125"/>
  <c r="AH8" i="125"/>
  <c r="AZ8" i="125" s="1"/>
  <c r="AH18" i="125"/>
  <c r="O35" i="125"/>
  <c r="P35" i="125"/>
  <c r="O37" i="125"/>
  <c r="P37" i="125"/>
  <c r="O39" i="125"/>
  <c r="P39" i="125"/>
  <c r="Q39" i="125"/>
  <c r="O41" i="125"/>
  <c r="P41" i="125"/>
  <c r="Q41" i="125"/>
  <c r="AD13" i="125"/>
  <c r="AD21" i="125"/>
  <c r="AV33" i="125"/>
  <c r="P11" i="127"/>
  <c r="Q11" i="127" s="1"/>
  <c r="P13" i="127"/>
  <c r="O13" i="127"/>
  <c r="P15" i="127"/>
  <c r="O15" i="127"/>
  <c r="P17" i="127"/>
  <c r="O17" i="127"/>
  <c r="P19" i="127"/>
  <c r="Q19" i="127"/>
  <c r="O19" i="127"/>
  <c r="AD26" i="127"/>
  <c r="O23" i="125"/>
  <c r="O33" i="125"/>
  <c r="O22" i="127"/>
  <c r="P22" i="127"/>
  <c r="Q22" i="127"/>
  <c r="R32" i="127"/>
  <c r="S32" i="127"/>
  <c r="T32" i="127"/>
  <c r="U32" i="127"/>
  <c r="AD37" i="127"/>
  <c r="AH37" i="127"/>
  <c r="AZ37" i="127" s="1"/>
  <c r="P24" i="127"/>
  <c r="O24" i="127"/>
  <c r="AF26" i="127"/>
  <c r="AH40" i="127"/>
  <c r="AH36" i="127"/>
  <c r="AZ36" i="127"/>
  <c r="S31" i="127"/>
  <c r="U31" i="127"/>
  <c r="R31" i="127"/>
  <c r="T31" i="127"/>
  <c r="AR33" i="125"/>
  <c r="AB33" i="125"/>
  <c r="DT33" i="125"/>
  <c r="AP33" i="125"/>
  <c r="AJ33" i="125"/>
  <c r="BC33" i="125"/>
  <c r="N33" i="125"/>
  <c r="T26" i="125"/>
  <c r="R26" i="125"/>
  <c r="U26" i="125"/>
  <c r="S26" i="125"/>
  <c r="AL23" i="125"/>
  <c r="AD6" i="125"/>
  <c r="AD10" i="125"/>
  <c r="AD18" i="125"/>
  <c r="AH6" i="125"/>
  <c r="AH12" i="125"/>
  <c r="AN23" i="125"/>
  <c r="AD7" i="125"/>
  <c r="AD9" i="125"/>
  <c r="AD19" i="125"/>
  <c r="AF33" i="125"/>
  <c r="P8" i="127"/>
  <c r="O8" i="127"/>
  <c r="P21" i="127"/>
  <c r="Q21" i="127"/>
  <c r="O21" i="127"/>
  <c r="AP26" i="127"/>
  <c r="AN26" i="127"/>
  <c r="Q23" i="125"/>
  <c r="AD31" i="127"/>
  <c r="AH38" i="127"/>
  <c r="AD41" i="127"/>
  <c r="AZ41" i="127" s="1"/>
  <c r="N26" i="127"/>
  <c r="AD40" i="127"/>
  <c r="AH41" i="127"/>
  <c r="AD39" i="127"/>
  <c r="BB3" i="25"/>
  <c r="Y3" i="25"/>
  <c r="AX7" i="25"/>
  <c r="AW3" i="25"/>
  <c r="AG3" i="25"/>
  <c r="AT3" i="25"/>
  <c r="AT7" i="25"/>
  <c r="BF7" i="25"/>
  <c r="BB7" i="25"/>
  <c r="AK7" i="25"/>
  <c r="AG7" i="25"/>
  <c r="AO7" i="25"/>
  <c r="BA3" i="25"/>
  <c r="AH7" i="25"/>
  <c r="AS3" i="25"/>
  <c r="AX3" i="25"/>
  <c r="AP3" i="25"/>
  <c r="AL7" i="25"/>
  <c r="BC3" i="25"/>
  <c r="AB3" i="25"/>
  <c r="AP7" i="25"/>
  <c r="AS7" i="25"/>
  <c r="AB7" i="25"/>
  <c r="AK3" i="25"/>
  <c r="AL3" i="25"/>
  <c r="AH3" i="25"/>
  <c r="AO3" i="25"/>
  <c r="AA7" i="25"/>
  <c r="BA7" i="25"/>
  <c r="AW7" i="25"/>
  <c r="BF3" i="25"/>
  <c r="BC7" i="25"/>
  <c r="Q38" i="125"/>
  <c r="Q37" i="125"/>
  <c r="R37" i="125"/>
  <c r="Q35" i="125"/>
  <c r="Q36" i="125"/>
  <c r="T36" i="125"/>
  <c r="Q34" i="125"/>
  <c r="BH26" i="127"/>
  <c r="Q18" i="127"/>
  <c r="BH9" i="127"/>
  <c r="BH7" i="127"/>
  <c r="BH19" i="127"/>
  <c r="AZ39" i="127"/>
  <c r="Q17" i="127"/>
  <c r="BH17" i="127"/>
  <c r="Q13" i="127"/>
  <c r="BH13" i="127"/>
  <c r="Q23" i="127"/>
  <c r="R23" i="127"/>
  <c r="BH21" i="127"/>
  <c r="BH16" i="127"/>
  <c r="BH18" i="127"/>
  <c r="BH23" i="127"/>
  <c r="Q24" i="127"/>
  <c r="R24" i="127"/>
  <c r="BH24" i="127"/>
  <c r="Q8" i="127"/>
  <c r="BH8" i="127"/>
  <c r="Q15" i="127"/>
  <c r="S15" i="127"/>
  <c r="BH15" i="127"/>
  <c r="Q35" i="127"/>
  <c r="Q20" i="127"/>
  <c r="BH30" i="127"/>
  <c r="BH37" i="127"/>
  <c r="Q37" i="127"/>
  <c r="T23" i="125"/>
  <c r="S23" i="125"/>
  <c r="U23" i="125"/>
  <c r="R23" i="125"/>
  <c r="S24" i="127"/>
  <c r="T24" i="127"/>
  <c r="R17" i="127"/>
  <c r="U17" i="127"/>
  <c r="S17" i="127"/>
  <c r="T17" i="127"/>
  <c r="U13" i="127"/>
  <c r="R13" i="127"/>
  <c r="S13" i="127"/>
  <c r="T13" i="127"/>
  <c r="S33" i="125"/>
  <c r="U33" i="125"/>
  <c r="T33" i="125"/>
  <c r="R33" i="125"/>
  <c r="R9" i="127"/>
  <c r="U9" i="127"/>
  <c r="S9" i="127"/>
  <c r="T9" i="127"/>
  <c r="R18" i="127"/>
  <c r="U18" i="127"/>
  <c r="S18" i="127"/>
  <c r="T18" i="127"/>
  <c r="T10" i="127"/>
  <c r="U40" i="125"/>
  <c r="T40" i="125"/>
  <c r="R40" i="125"/>
  <c r="S40" i="125"/>
  <c r="U36" i="125"/>
  <c r="U8" i="127"/>
  <c r="T8" i="127"/>
  <c r="R8" i="127"/>
  <c r="S8" i="127"/>
  <c r="U39" i="125"/>
  <c r="R39" i="125"/>
  <c r="T39" i="125"/>
  <c r="S39" i="125"/>
  <c r="U23" i="127"/>
  <c r="S23" i="127"/>
  <c r="S30" i="127"/>
  <c r="T30" i="127"/>
  <c r="R30" i="127"/>
  <c r="U30" i="127"/>
  <c r="U21" i="127"/>
  <c r="R21" i="127"/>
  <c r="T21" i="127"/>
  <c r="S21" i="127"/>
  <c r="U6" i="127"/>
  <c r="U41" i="125"/>
  <c r="T41" i="125"/>
  <c r="R41" i="125"/>
  <c r="S41" i="125"/>
  <c r="U37" i="125"/>
  <c r="T37" i="125"/>
  <c r="R25" i="127"/>
  <c r="U25" i="127"/>
  <c r="S25" i="127"/>
  <c r="T25" i="127"/>
  <c r="U35" i="125"/>
  <c r="R35" i="125"/>
  <c r="T35" i="125"/>
  <c r="S35" i="125"/>
  <c r="U22" i="127"/>
  <c r="R22" i="127"/>
  <c r="S22" i="127"/>
  <c r="T22" i="127"/>
  <c r="R19" i="127"/>
  <c r="U19" i="127"/>
  <c r="S19" i="127"/>
  <c r="T19" i="127"/>
  <c r="R15" i="127"/>
  <c r="S26" i="127"/>
  <c r="U26" i="127"/>
  <c r="R26" i="127"/>
  <c r="T26" i="127"/>
  <c r="U7" i="127"/>
  <c r="R7" i="127"/>
  <c r="T7" i="127"/>
  <c r="S7" i="127"/>
  <c r="R16" i="127"/>
  <c r="U16" i="127"/>
  <c r="S16" i="127"/>
  <c r="T16" i="127"/>
  <c r="U38" i="125"/>
  <c r="T38" i="125"/>
  <c r="R38" i="125"/>
  <c r="S38" i="125"/>
  <c r="U34" i="125"/>
  <c r="T34" i="125"/>
  <c r="R34" i="125"/>
  <c r="S34" i="125"/>
  <c r="BD7" i="25"/>
  <c r="BD3" i="25"/>
  <c r="AA3" i="25"/>
  <c r="S37" i="125"/>
  <c r="S36" i="125"/>
  <c r="R36" i="125"/>
  <c r="T15" i="127"/>
  <c r="T23" i="127"/>
  <c r="U24" i="127"/>
  <c r="U15" i="127"/>
  <c r="U37" i="127"/>
  <c r="T37" i="127"/>
  <c r="S37" i="127"/>
  <c r="R37" i="127"/>
  <c r="S35" i="127"/>
  <c r="U35" i="127"/>
  <c r="R35" i="127"/>
  <c r="T35" i="127"/>
  <c r="A18" i="12"/>
  <c r="B18" i="12"/>
  <c r="C18" i="12"/>
  <c r="D18" i="12"/>
  <c r="F18" i="12"/>
  <c r="G18" i="12"/>
  <c r="DC18" i="12"/>
  <c r="A19" i="12"/>
  <c r="B19" i="12"/>
  <c r="C19" i="12"/>
  <c r="D19" i="12"/>
  <c r="F19" i="12"/>
  <c r="G19" i="12"/>
  <c r="DC19" i="12"/>
  <c r="A20" i="12"/>
  <c r="B20" i="12"/>
  <c r="C20" i="12"/>
  <c r="D20" i="12"/>
  <c r="F20" i="12"/>
  <c r="G20" i="12"/>
  <c r="DC20" i="12"/>
  <c r="A21" i="12"/>
  <c r="B21" i="12"/>
  <c r="C21" i="12"/>
  <c r="D21" i="12"/>
  <c r="F21" i="12"/>
  <c r="G21" i="12"/>
  <c r="DC21" i="12"/>
  <c r="A22" i="12"/>
  <c r="B22" i="12"/>
  <c r="C22" i="12"/>
  <c r="D22" i="12"/>
  <c r="F22" i="12"/>
  <c r="G22" i="12"/>
  <c r="CM22" i="12" s="1"/>
  <c r="DC22" i="12"/>
  <c r="A23" i="12"/>
  <c r="B23" i="12"/>
  <c r="C23" i="12"/>
  <c r="D23" i="12"/>
  <c r="F23" i="12"/>
  <c r="G23" i="12"/>
  <c r="AQ23" i="12" s="1"/>
  <c r="DC23" i="12"/>
  <c r="A24" i="12"/>
  <c r="B24" i="12"/>
  <c r="C24" i="12"/>
  <c r="D24" i="12"/>
  <c r="F24" i="12"/>
  <c r="G24" i="12"/>
  <c r="DC24" i="12"/>
  <c r="A25" i="12"/>
  <c r="B25" i="12"/>
  <c r="C25" i="12"/>
  <c r="D25" i="12"/>
  <c r="F25" i="12"/>
  <c r="G25" i="12"/>
  <c r="DC25" i="12"/>
  <c r="A26" i="12"/>
  <c r="B26" i="12"/>
  <c r="C26" i="12"/>
  <c r="D26" i="12"/>
  <c r="F26" i="12"/>
  <c r="G26" i="12"/>
  <c r="DC26" i="12"/>
  <c r="A27" i="12"/>
  <c r="B27" i="12"/>
  <c r="C27" i="12"/>
  <c r="D27" i="12"/>
  <c r="F27" i="12"/>
  <c r="G27" i="12"/>
  <c r="DC27" i="12"/>
  <c r="A28" i="12"/>
  <c r="B28" i="12"/>
  <c r="C28" i="12"/>
  <c r="D28" i="12"/>
  <c r="F28" i="12"/>
  <c r="G28" i="12"/>
  <c r="DC28" i="12"/>
  <c r="A29" i="12"/>
  <c r="B29" i="12"/>
  <c r="C29" i="12"/>
  <c r="D29" i="12"/>
  <c r="F29" i="12"/>
  <c r="G29" i="12"/>
  <c r="DC29" i="12"/>
  <c r="A30" i="12"/>
  <c r="B30" i="12"/>
  <c r="C30" i="12"/>
  <c r="D30" i="12"/>
  <c r="F30" i="12"/>
  <c r="G30" i="12"/>
  <c r="AT30" i="12" s="1"/>
  <c r="DC30" i="12"/>
  <c r="A31" i="12"/>
  <c r="B31" i="12"/>
  <c r="C31" i="12"/>
  <c r="D31" i="12"/>
  <c r="F31" i="12"/>
  <c r="G31" i="12"/>
  <c r="L31" i="12" s="1"/>
  <c r="DC31" i="12"/>
  <c r="A32" i="12"/>
  <c r="B32" i="12"/>
  <c r="C32" i="12"/>
  <c r="D32" i="12"/>
  <c r="F32" i="12"/>
  <c r="G32" i="12"/>
  <c r="DC32" i="12"/>
  <c r="A33" i="12"/>
  <c r="B33" i="12"/>
  <c r="C33" i="12"/>
  <c r="D33" i="12"/>
  <c r="F33" i="12"/>
  <c r="G33" i="12"/>
  <c r="DC33" i="12"/>
  <c r="A34" i="12"/>
  <c r="B34" i="12"/>
  <c r="C34" i="12"/>
  <c r="D34" i="12"/>
  <c r="F34" i="12"/>
  <c r="G34" i="12"/>
  <c r="DC34" i="12"/>
  <c r="A35" i="12"/>
  <c r="B35" i="12"/>
  <c r="C35" i="12"/>
  <c r="D35" i="12"/>
  <c r="F35" i="12"/>
  <c r="G35" i="12"/>
  <c r="DC35" i="12"/>
  <c r="A36" i="12"/>
  <c r="B36" i="12"/>
  <c r="C36" i="12"/>
  <c r="D36" i="12"/>
  <c r="F36" i="12"/>
  <c r="G36" i="12"/>
  <c r="DC36" i="12"/>
  <c r="A37" i="12"/>
  <c r="B37" i="12"/>
  <c r="C37" i="12"/>
  <c r="D37" i="12"/>
  <c r="F37" i="12"/>
  <c r="G37" i="12"/>
  <c r="DC37" i="12"/>
  <c r="A38" i="12"/>
  <c r="B38" i="12"/>
  <c r="C38" i="12"/>
  <c r="D38" i="12"/>
  <c r="F38" i="12"/>
  <c r="G38" i="12"/>
  <c r="CN38" i="12" s="1"/>
  <c r="DC38" i="12"/>
  <c r="A39" i="12"/>
  <c r="B39" i="12"/>
  <c r="C39" i="12"/>
  <c r="D39" i="12"/>
  <c r="F39" i="12"/>
  <c r="G39" i="12"/>
  <c r="DK39" i="12" s="1"/>
  <c r="DC39" i="12"/>
  <c r="A40" i="12"/>
  <c r="B40" i="12"/>
  <c r="C40" i="12"/>
  <c r="D40" i="12"/>
  <c r="F40" i="12"/>
  <c r="G40" i="12"/>
  <c r="DC40" i="12"/>
  <c r="A41" i="12"/>
  <c r="B41" i="12"/>
  <c r="C41" i="12"/>
  <c r="D41" i="12"/>
  <c r="F41" i="12"/>
  <c r="G41" i="12"/>
  <c r="DC41" i="12"/>
  <c r="A42" i="12"/>
  <c r="B42" i="12"/>
  <c r="C42" i="12"/>
  <c r="D42" i="12"/>
  <c r="F42" i="12"/>
  <c r="G42" i="12"/>
  <c r="AM42" i="12" s="1"/>
  <c r="AB42" i="12"/>
  <c r="AG42" i="12"/>
  <c r="BB42" i="12"/>
  <c r="CB42" i="12"/>
  <c r="CD42" i="12"/>
  <c r="CS42" i="12"/>
  <c r="DC42" i="12"/>
  <c r="DG42" i="12"/>
  <c r="A43" i="12"/>
  <c r="B43" i="12"/>
  <c r="C43" i="12"/>
  <c r="D43" i="12"/>
  <c r="F43" i="12"/>
  <c r="G43" i="12"/>
  <c r="R43" i="12" s="1"/>
  <c r="DC43" i="12"/>
  <c r="A44" i="12"/>
  <c r="B44" i="12"/>
  <c r="C44" i="12"/>
  <c r="D44" i="12"/>
  <c r="F44" i="12"/>
  <c r="G44" i="12"/>
  <c r="CJ44" i="12"/>
  <c r="DC44" i="12"/>
  <c r="A45" i="12"/>
  <c r="B45" i="12"/>
  <c r="C45" i="12"/>
  <c r="D45" i="12"/>
  <c r="F45" i="12"/>
  <c r="G45" i="12"/>
  <c r="DC45" i="12"/>
  <c r="A46" i="12"/>
  <c r="B46" i="12"/>
  <c r="C46" i="12"/>
  <c r="D46" i="12"/>
  <c r="F46" i="12"/>
  <c r="G46" i="12"/>
  <c r="CS46" i="12" s="1"/>
  <c r="BA46" i="12"/>
  <c r="CK46" i="12"/>
  <c r="DC46" i="12"/>
  <c r="DJ46" i="12"/>
  <c r="A47" i="12"/>
  <c r="B47" i="12"/>
  <c r="C47" i="12"/>
  <c r="D47" i="12"/>
  <c r="F47" i="12"/>
  <c r="G47" i="12"/>
  <c r="BC47" i="12" s="1"/>
  <c r="DC47" i="12"/>
  <c r="A48" i="12"/>
  <c r="B48" i="12"/>
  <c r="C48" i="12"/>
  <c r="D48" i="12"/>
  <c r="F48" i="12"/>
  <c r="G48" i="12"/>
  <c r="O48" i="12" s="1"/>
  <c r="DC48" i="12"/>
  <c r="A49" i="12"/>
  <c r="B49" i="12"/>
  <c r="C49" i="12"/>
  <c r="D49" i="12"/>
  <c r="F49" i="12"/>
  <c r="G49" i="12"/>
  <c r="DC49" i="12"/>
  <c r="A50" i="12"/>
  <c r="B50" i="12"/>
  <c r="C50" i="12"/>
  <c r="D50" i="12"/>
  <c r="F50" i="12"/>
  <c r="G50" i="12"/>
  <c r="AI50" i="12" s="1"/>
  <c r="BW50" i="12"/>
  <c r="DC50" i="12"/>
  <c r="CC46" i="12"/>
  <c r="DD42" i="12"/>
  <c r="CX42" i="12"/>
  <c r="CR42" i="12"/>
  <c r="CJ42" i="12"/>
  <c r="CC42" i="12"/>
  <c r="BV42" i="12"/>
  <c r="AW42" i="12"/>
  <c r="AN42" i="12"/>
  <c r="AE42" i="12"/>
  <c r="T42" i="12"/>
  <c r="DI42" i="12"/>
  <c r="DB42" i="12"/>
  <c r="CT42" i="12"/>
  <c r="CN42" i="12"/>
  <c r="CG42" i="12"/>
  <c r="BY42" i="12"/>
  <c r="BQ42" i="12"/>
  <c r="AS42" i="12"/>
  <c r="AI42" i="12"/>
  <c r="Y42" i="12"/>
  <c r="S42" i="12"/>
  <c r="CL47" i="12"/>
  <c r="DD44" i="12"/>
  <c r="AI47" i="12"/>
  <c r="DL40" i="12"/>
  <c r="DK40" i="12"/>
  <c r="DN40" i="12"/>
  <c r="DM40" i="12"/>
  <c r="DL32" i="12"/>
  <c r="DK32" i="12"/>
  <c r="DN32" i="12"/>
  <c r="DM32" i="12"/>
  <c r="DK41" i="12"/>
  <c r="DN41" i="12"/>
  <c r="DM41" i="12"/>
  <c r="DL41" i="12"/>
  <c r="DL33" i="12"/>
  <c r="DK33" i="12"/>
  <c r="DN33" i="12"/>
  <c r="DM33" i="12"/>
  <c r="F81" i="122"/>
  <c r="J81" i="122"/>
  <c r="N81" i="122"/>
  <c r="R81" i="122"/>
  <c r="V81" i="122"/>
  <c r="Z81" i="122"/>
  <c r="V42" i="122"/>
  <c r="H42" i="122"/>
  <c r="L42" i="122"/>
  <c r="P42" i="122"/>
  <c r="T42" i="122"/>
  <c r="Y42" i="122"/>
  <c r="K81" i="122"/>
  <c r="S81" i="122"/>
  <c r="AA81" i="122"/>
  <c r="I42" i="122"/>
  <c r="Q42" i="122"/>
  <c r="Z42" i="122"/>
  <c r="H81" i="122"/>
  <c r="P81" i="122"/>
  <c r="X81" i="122"/>
  <c r="G81" i="122"/>
  <c r="O81" i="122"/>
  <c r="W81" i="122"/>
  <c r="E42" i="122"/>
  <c r="M42" i="122"/>
  <c r="U42" i="122"/>
  <c r="L81" i="122"/>
  <c r="T81" i="122"/>
  <c r="AB81" i="122"/>
  <c r="Q81" i="122"/>
  <c r="J42" i="122"/>
  <c r="R42" i="122"/>
  <c r="AA42" i="122"/>
  <c r="S42" i="122"/>
  <c r="I81" i="122"/>
  <c r="Y81" i="122"/>
  <c r="F42" i="122"/>
  <c r="W42" i="122"/>
  <c r="G42" i="122"/>
  <c r="X42" i="122"/>
  <c r="E81" i="122"/>
  <c r="U81" i="122"/>
  <c r="K42" i="122"/>
  <c r="AB42" i="122"/>
  <c r="N42" i="122"/>
  <c r="M81" i="122"/>
  <c r="O42" i="122"/>
  <c r="AU34" i="12"/>
  <c r="DL34" i="12"/>
  <c r="DK34" i="12"/>
  <c r="DN34" i="12"/>
  <c r="DM34" i="12"/>
  <c r="CI50" i="12"/>
  <c r="CU47" i="12"/>
  <c r="DK42" i="12"/>
  <c r="DF42" i="12"/>
  <c r="DA42" i="12"/>
  <c r="CV42" i="12"/>
  <c r="CP42" i="12"/>
  <c r="CK42" i="12"/>
  <c r="CF42" i="12"/>
  <c r="BZ42" i="12"/>
  <c r="BU42" i="12"/>
  <c r="BA42" i="12"/>
  <c r="AR42" i="12"/>
  <c r="AJ42" i="12"/>
  <c r="AC42" i="12"/>
  <c r="W42" i="12"/>
  <c r="DL39" i="12"/>
  <c r="DM31" i="12"/>
  <c r="DN28" i="12"/>
  <c r="DM28" i="12"/>
  <c r="DL28" i="12"/>
  <c r="DK28" i="12"/>
  <c r="DN21" i="12"/>
  <c r="DM21" i="12"/>
  <c r="DL21" i="12"/>
  <c r="DK21" i="12"/>
  <c r="AU24" i="12"/>
  <c r="DN24" i="12"/>
  <c r="DM24" i="12"/>
  <c r="DL24" i="12"/>
  <c r="DK24" i="12"/>
  <c r="AM20" i="12"/>
  <c r="DN20" i="12"/>
  <c r="DM20" i="12"/>
  <c r="DL20" i="12"/>
  <c r="DK20" i="12"/>
  <c r="DK26" i="12"/>
  <c r="DN27" i="12"/>
  <c r="DM27" i="12"/>
  <c r="DL27" i="12"/>
  <c r="DK27" i="12"/>
  <c r="DK23" i="12"/>
  <c r="DN19" i="12"/>
  <c r="DM19" i="12"/>
  <c r="DL19" i="12"/>
  <c r="DK19" i="12"/>
  <c r="AQ50" i="12"/>
  <c r="DJ48" i="12"/>
  <c r="CQ50" i="12"/>
  <c r="CV48" i="12"/>
  <c r="DK47" i="12"/>
  <c r="CD47" i="12"/>
  <c r="AI46" i="12"/>
  <c r="BB48" i="12"/>
  <c r="O42" i="12"/>
  <c r="CN48" i="12"/>
  <c r="AO48" i="12"/>
  <c r="BU46" i="12"/>
  <c r="S46" i="12"/>
  <c r="CT44" i="12"/>
  <c r="K42" i="12"/>
  <c r="CF48" i="12"/>
  <c r="AE48" i="12"/>
  <c r="BX48" i="12"/>
  <c r="T48" i="12"/>
  <c r="BS45" i="12"/>
  <c r="BR45" i="12"/>
  <c r="DQ45" i="12"/>
  <c r="DS45" i="12"/>
  <c r="DR45" i="12"/>
  <c r="BP45" i="12"/>
  <c r="BR44" i="12"/>
  <c r="BP44" i="12"/>
  <c r="DQ44" i="12"/>
  <c r="DS44" i="12"/>
  <c r="DR44" i="12"/>
  <c r="BR43" i="12"/>
  <c r="BS50" i="12"/>
  <c r="BP50" i="12"/>
  <c r="DS50" i="12"/>
  <c r="DQ50" i="12"/>
  <c r="DR50" i="12"/>
  <c r="BR50" i="12"/>
  <c r="CZ48" i="12"/>
  <c r="CJ48" i="12"/>
  <c r="BT48" i="12"/>
  <c r="AJ48" i="12"/>
  <c r="M46" i="12"/>
  <c r="BP46" i="12"/>
  <c r="DS46" i="12"/>
  <c r="DQ46" i="12"/>
  <c r="DR46" i="12"/>
  <c r="BR46" i="12"/>
  <c r="CP45" i="12"/>
  <c r="CS44" i="12"/>
  <c r="CH44" i="12"/>
  <c r="BB44" i="12"/>
  <c r="AE44" i="12"/>
  <c r="BS42" i="12"/>
  <c r="BP42" i="12"/>
  <c r="DS42" i="12"/>
  <c r="DQ42" i="12"/>
  <c r="DR42" i="12"/>
  <c r="BR42" i="12"/>
  <c r="DR30" i="12"/>
  <c r="AJ44" i="12"/>
  <c r="BS41" i="12"/>
  <c r="BR41" i="12"/>
  <c r="DQ41" i="12"/>
  <c r="BP41" i="12"/>
  <c r="DR41" i="12"/>
  <c r="DS41" i="12"/>
  <c r="BP34" i="12"/>
  <c r="DS34" i="12"/>
  <c r="BR34" i="12"/>
  <c r="DQ34" i="12"/>
  <c r="DR34" i="12"/>
  <c r="BS48" i="12"/>
  <c r="BP48" i="12"/>
  <c r="DS48" i="12"/>
  <c r="DQ48" i="12"/>
  <c r="BR48" i="12"/>
  <c r="DR48" i="12"/>
  <c r="AX45" i="12"/>
  <c r="DJ44" i="12"/>
  <c r="CZ44" i="12"/>
  <c r="CO44" i="12"/>
  <c r="CD44" i="12"/>
  <c r="AU44" i="12"/>
  <c r="Y44" i="12"/>
  <c r="BP39" i="12"/>
  <c r="DR39" i="12"/>
  <c r="AI34" i="12"/>
  <c r="DS31" i="12"/>
  <c r="BR31" i="12"/>
  <c r="BS49" i="12"/>
  <c r="BR49" i="12"/>
  <c r="DQ49" i="12"/>
  <c r="BP49" i="12"/>
  <c r="DR49" i="12"/>
  <c r="DS49" i="12"/>
  <c r="BX44" i="12"/>
  <c r="CF43" i="12"/>
  <c r="BR33" i="12"/>
  <c r="DQ33" i="12"/>
  <c r="DR33" i="12"/>
  <c r="BP33" i="12"/>
  <c r="DS33" i="12"/>
  <c r="DF48" i="12"/>
  <c r="CR48" i="12"/>
  <c r="CB48" i="12"/>
  <c r="AU48" i="12"/>
  <c r="Y48" i="12"/>
  <c r="W47" i="12"/>
  <c r="DQ47" i="12"/>
  <c r="BP47" i="12"/>
  <c r="DR47" i="12"/>
  <c r="DS47" i="12"/>
  <c r="BR47" i="12"/>
  <c r="AA46" i="12"/>
  <c r="DF45" i="12"/>
  <c r="AB45" i="12"/>
  <c r="DI44" i="12"/>
  <c r="CX44" i="12"/>
  <c r="CN44" i="12"/>
  <c r="CC44" i="12"/>
  <c r="AO44" i="12"/>
  <c r="T44" i="12"/>
  <c r="L42" i="12"/>
  <c r="BS40" i="12"/>
  <c r="BP40" i="12"/>
  <c r="DQ40" i="12"/>
  <c r="DS40" i="12"/>
  <c r="BR40" i="12"/>
  <c r="DR40" i="12"/>
  <c r="AE34" i="12"/>
  <c r="AI33" i="12"/>
  <c r="BS32" i="12"/>
  <c r="BP32" i="12"/>
  <c r="DQ32" i="12"/>
  <c r="DS32" i="12"/>
  <c r="BR32" i="12"/>
  <c r="DR32" i="12"/>
  <c r="BP24" i="12"/>
  <c r="BR24" i="12"/>
  <c r="DQ24" i="12"/>
  <c r="DR24" i="12"/>
  <c r="DS24" i="12"/>
  <c r="AQ20" i="12"/>
  <c r="BP21" i="12"/>
  <c r="DR21" i="12"/>
  <c r="DS21" i="12"/>
  <c r="BR21" i="12"/>
  <c r="DQ21" i="12"/>
  <c r="DS18" i="12"/>
  <c r="BR18" i="12"/>
  <c r="BS28" i="12"/>
  <c r="DS28" i="12"/>
  <c r="BR28" i="12"/>
  <c r="DQ28" i="12"/>
  <c r="BP28" i="12"/>
  <c r="DR28" i="12"/>
  <c r="BR23" i="12"/>
  <c r="DS20" i="12"/>
  <c r="BR20" i="12"/>
  <c r="DQ20" i="12"/>
  <c r="DR20" i="12"/>
  <c r="BP20" i="12"/>
  <c r="BS27" i="12"/>
  <c r="BR27" i="12"/>
  <c r="DR27" i="12"/>
  <c r="DQ27" i="12"/>
  <c r="BP27" i="12"/>
  <c r="DS27" i="12"/>
  <c r="AA23" i="12"/>
  <c r="AE20" i="12"/>
  <c r="BR19" i="12"/>
  <c r="DR19" i="12"/>
  <c r="DQ19" i="12"/>
  <c r="BP19" i="12"/>
  <c r="DS19" i="12"/>
  <c r="DJ49" i="12"/>
  <c r="AE24" i="12"/>
  <c r="BS24" i="12"/>
  <c r="CY50" i="12"/>
  <c r="CA50" i="12"/>
  <c r="AM50" i="12"/>
  <c r="K50" i="12"/>
  <c r="DD49" i="12"/>
  <c r="BY49" i="12"/>
  <c r="DD48" i="12"/>
  <c r="CW48" i="12"/>
  <c r="CO48" i="12"/>
  <c r="CG48" i="12"/>
  <c r="BY48" i="12"/>
  <c r="BC48" i="12"/>
  <c r="AQ48" i="12"/>
  <c r="AF48" i="12"/>
  <c r="U48" i="12"/>
  <c r="J48" i="12"/>
  <c r="DD47" i="12"/>
  <c r="CN47" i="12"/>
  <c r="BO47" i="12"/>
  <c r="DH46" i="12"/>
  <c r="CY46" i="12"/>
  <c r="CQ46" i="12"/>
  <c r="CI46" i="12"/>
  <c r="CA46" i="12"/>
  <c r="BQ46" i="12"/>
  <c r="AW46" i="12"/>
  <c r="AO46" i="12"/>
  <c r="AG46" i="12"/>
  <c r="Y46" i="12"/>
  <c r="O46" i="12"/>
  <c r="CL43" i="12"/>
  <c r="AR43" i="12"/>
  <c r="AI40" i="12"/>
  <c r="AU35" i="12"/>
  <c r="AQ24" i="12"/>
  <c r="AA21" i="12"/>
  <c r="BS21" i="12"/>
  <c r="BQ49" i="12"/>
  <c r="V47" i="12"/>
  <c r="BS47" i="12"/>
  <c r="DF46" i="12"/>
  <c r="CW46" i="12"/>
  <c r="CO46" i="12"/>
  <c r="CG46" i="12"/>
  <c r="BY46" i="12"/>
  <c r="BO46" i="12"/>
  <c r="AU46" i="12"/>
  <c r="AM46" i="12"/>
  <c r="AE46" i="12"/>
  <c r="W46" i="12"/>
  <c r="AU26" i="12"/>
  <c r="AM24" i="12"/>
  <c r="AM19" i="12"/>
  <c r="BS19" i="12"/>
  <c r="CM49" i="12"/>
  <c r="I46" i="12"/>
  <c r="BS46" i="12"/>
  <c r="DG50" i="12"/>
  <c r="CM50" i="12"/>
  <c r="BC50" i="12"/>
  <c r="AA50" i="12"/>
  <c r="CU49" i="12"/>
  <c r="X49" i="12"/>
  <c r="DI48" i="12"/>
  <c r="DA48" i="12"/>
  <c r="CS48" i="12"/>
  <c r="CK48" i="12"/>
  <c r="CC48" i="12"/>
  <c r="BU48" i="12"/>
  <c r="AV48" i="12"/>
  <c r="AK48" i="12"/>
  <c r="AA48" i="12"/>
  <c r="P48" i="12"/>
  <c r="CY47" i="12"/>
  <c r="CE47" i="12"/>
  <c r="AL47" i="12"/>
  <c r="CU46" i="12"/>
  <c r="CM46" i="12"/>
  <c r="CE46" i="12"/>
  <c r="BW46" i="12"/>
  <c r="BC46" i="12"/>
  <c r="AS46" i="12"/>
  <c r="AK46" i="12"/>
  <c r="AC46" i="12"/>
  <c r="U46" i="12"/>
  <c r="K46" i="12"/>
  <c r="O44" i="12"/>
  <c r="BS44" i="12"/>
  <c r="DB43" i="12"/>
  <c r="BV43" i="12"/>
  <c r="AB43" i="12"/>
  <c r="AU37" i="12"/>
  <c r="L34" i="12"/>
  <c r="M34" i="12"/>
  <c r="BS34" i="12"/>
  <c r="AU33" i="12"/>
  <c r="BS33" i="12"/>
  <c r="AA24" i="12"/>
  <c r="AI23" i="12"/>
  <c r="J20" i="12"/>
  <c r="BS20" i="12"/>
  <c r="AQ21" i="12"/>
  <c r="R49" i="12"/>
  <c r="BH49" i="12"/>
  <c r="DW49" i="12"/>
  <c r="BN49" i="12"/>
  <c r="H49" i="12"/>
  <c r="BM49" i="12"/>
  <c r="DU49" i="12"/>
  <c r="DO49" i="12"/>
  <c r="DV49" i="12"/>
  <c r="DP49" i="12"/>
  <c r="DT49" i="12"/>
  <c r="BN48" i="12"/>
  <c r="DW48" i="12"/>
  <c r="BH48" i="12"/>
  <c r="H48" i="12"/>
  <c r="DO48" i="12"/>
  <c r="DV48" i="12"/>
  <c r="DP48" i="12"/>
  <c r="DT48" i="12"/>
  <c r="BM48" i="12"/>
  <c r="DU48" i="12"/>
  <c r="J50" i="12"/>
  <c r="BN50" i="12"/>
  <c r="DW50" i="12"/>
  <c r="BH50" i="12"/>
  <c r="H50" i="12"/>
  <c r="DT50" i="12"/>
  <c r="BM50" i="12"/>
  <c r="DU50" i="12"/>
  <c r="DO50" i="12"/>
  <c r="DV50" i="12"/>
  <c r="DP50" i="12"/>
  <c r="CJ49" i="12"/>
  <c r="BO49" i="12"/>
  <c r="DH48" i="12"/>
  <c r="CY48" i="12"/>
  <c r="CU48" i="12"/>
  <c r="CQ48" i="12"/>
  <c r="CM48" i="12"/>
  <c r="CI48" i="12"/>
  <c r="CE48" i="12"/>
  <c r="CA48" i="12"/>
  <c r="BW48" i="12"/>
  <c r="BQ48" i="12"/>
  <c r="BA48" i="12"/>
  <c r="AS48" i="12"/>
  <c r="AN48" i="12"/>
  <c r="AI48" i="12"/>
  <c r="AC48" i="12"/>
  <c r="X48" i="12"/>
  <c r="S48" i="12"/>
  <c r="L48" i="12"/>
  <c r="N48" i="12" s="1"/>
  <c r="AX47" i="12"/>
  <c r="Q46" i="12"/>
  <c r="BH45" i="12"/>
  <c r="BN45" i="12"/>
  <c r="DW45" i="12"/>
  <c r="H45" i="12"/>
  <c r="BM45" i="12"/>
  <c r="DU45" i="12"/>
  <c r="DO45" i="12"/>
  <c r="DV45" i="12"/>
  <c r="DP45" i="12"/>
  <c r="DT45" i="12"/>
  <c r="BN43" i="12"/>
  <c r="BH43" i="12"/>
  <c r="DV43" i="12"/>
  <c r="AQ35" i="12"/>
  <c r="AE33" i="12"/>
  <c r="AM29" i="12"/>
  <c r="L24" i="12"/>
  <c r="W50" i="12"/>
  <c r="CW49" i="12"/>
  <c r="CB49" i="12"/>
  <c r="AM49" i="12"/>
  <c r="DK48" i="12"/>
  <c r="DG48" i="12"/>
  <c r="DB48" i="12"/>
  <c r="CX48" i="12"/>
  <c r="CT48" i="12"/>
  <c r="CP48" i="12"/>
  <c r="CL48" i="12"/>
  <c r="CH48" i="12"/>
  <c r="CD48" i="12"/>
  <c r="BZ48" i="12"/>
  <c r="BV48" i="12"/>
  <c r="BO48" i="12"/>
  <c r="AW48" i="12"/>
  <c r="AR48" i="12"/>
  <c r="AM48" i="12"/>
  <c r="AG48" i="12"/>
  <c r="AB48" i="12"/>
  <c r="W48" i="12"/>
  <c r="Q48" i="12"/>
  <c r="K48" i="12"/>
  <c r="BN47" i="12"/>
  <c r="BH47" i="12"/>
  <c r="DW47" i="12"/>
  <c r="H47" i="12"/>
  <c r="N47" i="12" s="1"/>
  <c r="DP47" i="12"/>
  <c r="BM47" i="12"/>
  <c r="DT47" i="12"/>
  <c r="DU47" i="12"/>
  <c r="DO47" i="12"/>
  <c r="DV47" i="12"/>
  <c r="BN46" i="12"/>
  <c r="DW46" i="12"/>
  <c r="BH46" i="12"/>
  <c r="H46" i="12"/>
  <c r="DT46" i="12"/>
  <c r="BM46" i="12"/>
  <c r="DU46" i="12"/>
  <c r="DO46" i="12"/>
  <c r="DV46" i="12"/>
  <c r="DP46" i="12"/>
  <c r="I44" i="12"/>
  <c r="DW44" i="12"/>
  <c r="BH44" i="12"/>
  <c r="BN44" i="12"/>
  <c r="H44" i="12"/>
  <c r="DO44" i="12"/>
  <c r="DV44" i="12"/>
  <c r="DT44" i="12"/>
  <c r="DP44" i="12"/>
  <c r="BM44" i="12"/>
  <c r="DU44" i="12"/>
  <c r="I42" i="12"/>
  <c r="BN42" i="12"/>
  <c r="DW42" i="12"/>
  <c r="BH42" i="12"/>
  <c r="H42" i="12"/>
  <c r="N42" i="12" s="1"/>
  <c r="DT42" i="12"/>
  <c r="DV42" i="12"/>
  <c r="BM42" i="12"/>
  <c r="DU42" i="12"/>
  <c r="DO42" i="12"/>
  <c r="DP42" i="12"/>
  <c r="AI37" i="12"/>
  <c r="AA35" i="12"/>
  <c r="AM34" i="12"/>
  <c r="J28" i="12"/>
  <c r="BH28" i="12"/>
  <c r="BN28" i="12"/>
  <c r="DW28" i="12"/>
  <c r="H28" i="12"/>
  <c r="DO28" i="12"/>
  <c r="DP28" i="12"/>
  <c r="DU28" i="12"/>
  <c r="DV28" i="12"/>
  <c r="AE21" i="12"/>
  <c r="AU18" i="12"/>
  <c r="L36" i="12"/>
  <c r="M36" i="12"/>
  <c r="H36" i="12"/>
  <c r="N36" i="12" s="1"/>
  <c r="DO36" i="12"/>
  <c r="DP36" i="12"/>
  <c r="DS36" i="12"/>
  <c r="DU36" i="12"/>
  <c r="DV36" i="12"/>
  <c r="BN34" i="12"/>
  <c r="DW34" i="12"/>
  <c r="BH34" i="12"/>
  <c r="H34" i="12"/>
  <c r="DO34" i="12"/>
  <c r="DP34" i="12"/>
  <c r="DU34" i="12"/>
  <c r="DV34" i="12"/>
  <c r="L29" i="12"/>
  <c r="M29" i="12" s="1"/>
  <c r="H29" i="12"/>
  <c r="DO29" i="12"/>
  <c r="DW29" i="12" s="1"/>
  <c r="DP29" i="12"/>
  <c r="DR29" i="12" s="1"/>
  <c r="DU29" i="12"/>
  <c r="DV29" i="12"/>
  <c r="AU21" i="12"/>
  <c r="BH20" i="12"/>
  <c r="BN20" i="12"/>
  <c r="DW20" i="12"/>
  <c r="H20" i="12"/>
  <c r="DO20" i="12"/>
  <c r="DP20" i="12"/>
  <c r="DU20" i="12"/>
  <c r="DV20" i="12"/>
  <c r="L19" i="12"/>
  <c r="BN19" i="12"/>
  <c r="BH19" i="12"/>
  <c r="DW19" i="12"/>
  <c r="H19" i="12"/>
  <c r="DO19" i="12"/>
  <c r="DP19" i="12"/>
  <c r="DU19" i="12"/>
  <c r="DV19" i="12"/>
  <c r="AI39" i="12"/>
  <c r="DU39" i="12"/>
  <c r="DV39" i="12"/>
  <c r="J37" i="12"/>
  <c r="H37" i="12"/>
  <c r="DO37" i="12"/>
  <c r="DP37" i="12"/>
  <c r="DS37" i="12"/>
  <c r="DU37" i="12"/>
  <c r="DV37" i="12"/>
  <c r="L32" i="12"/>
  <c r="BH32" i="12"/>
  <c r="BN32" i="12"/>
  <c r="DW32" i="12"/>
  <c r="H32" i="12"/>
  <c r="DO32" i="12"/>
  <c r="DP32" i="12"/>
  <c r="DU32" i="12"/>
  <c r="DV32" i="12"/>
  <c r="DP31" i="12"/>
  <c r="DU31" i="12"/>
  <c r="L21" i="12"/>
  <c r="N21" i="12" s="1"/>
  <c r="BH21" i="12"/>
  <c r="DW21" i="12"/>
  <c r="BN21" i="12"/>
  <c r="H21" i="12"/>
  <c r="DO21" i="12"/>
  <c r="DP21" i="12"/>
  <c r="DU21" i="12"/>
  <c r="DV21" i="12"/>
  <c r="DP18" i="12"/>
  <c r="DU18" i="12"/>
  <c r="J41" i="12"/>
  <c r="BH41" i="12"/>
  <c r="DW41" i="12"/>
  <c r="BN41" i="12"/>
  <c r="H41" i="12"/>
  <c r="DO41" i="12"/>
  <c r="DP41" i="12"/>
  <c r="DU41" i="12"/>
  <c r="DV41" i="12"/>
  <c r="J40" i="12"/>
  <c r="BH40" i="12"/>
  <c r="BN40" i="12"/>
  <c r="DW40" i="12"/>
  <c r="H40" i="12"/>
  <c r="DO40" i="12"/>
  <c r="DP40" i="12"/>
  <c r="DU40" i="12"/>
  <c r="DV40" i="12"/>
  <c r="H35" i="12"/>
  <c r="DO35" i="12"/>
  <c r="DP35" i="12"/>
  <c r="DR35" i="12"/>
  <c r="DU35" i="12"/>
  <c r="DV35" i="12"/>
  <c r="AQ34" i="12"/>
  <c r="AA34" i="12"/>
  <c r="L33" i="12"/>
  <c r="BH33" i="12"/>
  <c r="DW33" i="12"/>
  <c r="BN33" i="12"/>
  <c r="H33" i="12"/>
  <c r="DO33" i="12"/>
  <c r="DP33" i="12"/>
  <c r="DU33" i="12"/>
  <c r="DV33" i="12"/>
  <c r="AI31" i="12"/>
  <c r="DW27" i="12"/>
  <c r="BN27" i="12"/>
  <c r="BH27" i="12"/>
  <c r="H27" i="12"/>
  <c r="DO27" i="12"/>
  <c r="DP27" i="12"/>
  <c r="DU27" i="12"/>
  <c r="DV27" i="12"/>
  <c r="J26" i="12"/>
  <c r="BN26" i="12"/>
  <c r="DV26" i="12"/>
  <c r="BH24" i="12"/>
  <c r="BN24" i="12"/>
  <c r="DW24" i="12"/>
  <c r="H24" i="12"/>
  <c r="N24" i="12" s="1"/>
  <c r="DO24" i="12"/>
  <c r="DP24" i="12"/>
  <c r="DU24" i="12"/>
  <c r="DV24" i="12"/>
  <c r="BN23" i="12"/>
  <c r="DW23" i="12"/>
  <c r="AI21" i="12"/>
  <c r="AP49" i="12"/>
  <c r="AB49" i="12"/>
  <c r="J49" i="12"/>
  <c r="J47" i="12"/>
  <c r="K47" i="12"/>
  <c r="R47" i="12"/>
  <c r="X47" i="12"/>
  <c r="AF47" i="12"/>
  <c r="AM47" i="12"/>
  <c r="AT47" i="12"/>
  <c r="AZ47" i="12" s="1"/>
  <c r="BZ47" i="12"/>
  <c r="L47" i="12"/>
  <c r="S47" i="12"/>
  <c r="AA47" i="12"/>
  <c r="AH47" i="12"/>
  <c r="AN47" i="12"/>
  <c r="AV47" i="12"/>
  <c r="BT47" i="12"/>
  <c r="CA47" i="12"/>
  <c r="CI47" i="12"/>
  <c r="CP47" i="12"/>
  <c r="CV47" i="12"/>
  <c r="DJ47" i="12"/>
  <c r="DH49" i="12"/>
  <c r="DB49" i="12"/>
  <c r="CR49" i="12"/>
  <c r="CG49" i="12"/>
  <c r="BW49" i="12"/>
  <c r="AX49" i="12"/>
  <c r="AI49" i="12"/>
  <c r="T49" i="12"/>
  <c r="DG47" i="12"/>
  <c r="DB47" i="12"/>
  <c r="CT47" i="12"/>
  <c r="CJ47" i="12"/>
  <c r="BX47" i="12"/>
  <c r="AR47" i="12"/>
  <c r="AD47" i="12"/>
  <c r="P47" i="12"/>
  <c r="I45" i="12"/>
  <c r="L45" i="12"/>
  <c r="N45" i="12" s="1"/>
  <c r="AH45" i="12"/>
  <c r="BZ45" i="12"/>
  <c r="CU45" i="12"/>
  <c r="DK45" i="12"/>
  <c r="R45" i="12"/>
  <c r="AM45" i="12"/>
  <c r="CE45" i="12"/>
  <c r="CZ45" i="12"/>
  <c r="W45" i="12"/>
  <c r="AR45" i="12"/>
  <c r="BO45" i="12"/>
  <c r="CJ45" i="12"/>
  <c r="DF49" i="12"/>
  <c r="CZ49" i="12"/>
  <c r="CO49" i="12"/>
  <c r="CE49" i="12"/>
  <c r="BT49" i="12"/>
  <c r="AT49" i="12"/>
  <c r="AE49" i="12"/>
  <c r="I48" i="12"/>
  <c r="M48" i="12"/>
  <c r="R48" i="12"/>
  <c r="V48" i="12"/>
  <c r="Z48" i="12"/>
  <c r="AD48" i="12"/>
  <c r="AH48" i="12"/>
  <c r="AL48" i="12"/>
  <c r="AP48" i="12"/>
  <c r="AT48" i="12"/>
  <c r="AX48" i="12"/>
  <c r="DF47" i="12"/>
  <c r="CZ47" i="12"/>
  <c r="CQ47" i="12"/>
  <c r="CF47" i="12"/>
  <c r="BV47" i="12"/>
  <c r="AQ47" i="12"/>
  <c r="AB47" i="12"/>
  <c r="BT45" i="12"/>
  <c r="DG44" i="12"/>
  <c r="DB44" i="12"/>
  <c r="CW44" i="12"/>
  <c r="CR44" i="12"/>
  <c r="CL44" i="12"/>
  <c r="CG44" i="12"/>
  <c r="CB44" i="12"/>
  <c r="BV44" i="12"/>
  <c r="BQ44" i="12"/>
  <c r="BA44" i="12"/>
  <c r="AS44" i="12"/>
  <c r="AN44" i="12"/>
  <c r="AI44" i="12"/>
  <c r="AC44" i="12"/>
  <c r="X44" i="12"/>
  <c r="S44" i="12"/>
  <c r="L44" i="12"/>
  <c r="CV43" i="12"/>
  <c r="CA43" i="12"/>
  <c r="AV42" i="12"/>
  <c r="AQ42" i="12"/>
  <c r="AK42" i="12"/>
  <c r="AF42" i="12"/>
  <c r="AA42" i="12"/>
  <c r="U42" i="12"/>
  <c r="P42" i="12"/>
  <c r="J42" i="12"/>
  <c r="AU40" i="12"/>
  <c r="AE40" i="12"/>
  <c r="AE37" i="12"/>
  <c r="AM35" i="12"/>
  <c r="L35" i="12"/>
  <c r="M35" i="12"/>
  <c r="AQ33" i="12"/>
  <c r="AA33" i="12"/>
  <c r="AM28" i="12"/>
  <c r="AM21" i="12"/>
  <c r="DK44" i="12"/>
  <c r="DF44" i="12"/>
  <c r="DA44" i="12"/>
  <c r="CV44" i="12"/>
  <c r="CP44" i="12"/>
  <c r="CK44" i="12"/>
  <c r="CF44" i="12"/>
  <c r="BZ44" i="12"/>
  <c r="BU44" i="12"/>
  <c r="AW44" i="12"/>
  <c r="AR44" i="12"/>
  <c r="AM44" i="12"/>
  <c r="AG44" i="12"/>
  <c r="AB44" i="12"/>
  <c r="W44" i="12"/>
  <c r="Q44" i="12"/>
  <c r="K44" i="12"/>
  <c r="AM40" i="12"/>
  <c r="L40" i="12"/>
  <c r="AM36" i="12"/>
  <c r="AI35" i="12"/>
  <c r="AM33" i="12"/>
  <c r="AI32" i="12"/>
  <c r="BY44" i="12"/>
  <c r="BT44" i="12"/>
  <c r="AV44" i="12"/>
  <c r="AQ44" i="12"/>
  <c r="AK44" i="12"/>
  <c r="AF44" i="12"/>
  <c r="AA44" i="12"/>
  <c r="U44" i="12"/>
  <c r="P44" i="12"/>
  <c r="J44" i="12"/>
  <c r="DI49" i="12"/>
  <c r="DA49" i="12"/>
  <c r="CV49" i="12"/>
  <c r="CQ49" i="12"/>
  <c r="CK49" i="12"/>
  <c r="CF49" i="12"/>
  <c r="CA49" i="12"/>
  <c r="BU49" i="12"/>
  <c r="AU49" i="12"/>
  <c r="AN49" i="12"/>
  <c r="AH49" i="12"/>
  <c r="Z49" i="12"/>
  <c r="S49" i="12"/>
  <c r="L49" i="12"/>
  <c r="DI46" i="12"/>
  <c r="DD46" i="12"/>
  <c r="CZ46" i="12"/>
  <c r="CV46" i="12"/>
  <c r="CR46" i="12"/>
  <c r="CN46" i="12"/>
  <c r="CJ46" i="12"/>
  <c r="CF46" i="12"/>
  <c r="CB46" i="12"/>
  <c r="BX46" i="12"/>
  <c r="BT46" i="12"/>
  <c r="AX46" i="12"/>
  <c r="AT46" i="12"/>
  <c r="AZ46" i="12" s="1"/>
  <c r="AP46" i="12"/>
  <c r="AL46" i="12"/>
  <c r="AH46" i="12"/>
  <c r="AD46" i="12"/>
  <c r="Z46" i="12"/>
  <c r="V46" i="12"/>
  <c r="R46" i="12"/>
  <c r="J46" i="12"/>
  <c r="DG45" i="12"/>
  <c r="DB45" i="12"/>
  <c r="CV45" i="12"/>
  <c r="CQ45" i="12"/>
  <c r="CL45" i="12"/>
  <c r="CF45" i="12"/>
  <c r="CA45" i="12"/>
  <c r="BV45" i="12"/>
  <c r="AT45" i="12"/>
  <c r="AN45" i="12"/>
  <c r="AI45" i="12"/>
  <c r="AD45" i="12"/>
  <c r="X45" i="12"/>
  <c r="S45" i="12"/>
  <c r="BW43" i="12"/>
  <c r="BB43" i="12"/>
  <c r="AU41" i="12"/>
  <c r="AM41" i="12"/>
  <c r="AE41" i="12"/>
  <c r="L41" i="12"/>
  <c r="AQ37" i="12"/>
  <c r="L37" i="12"/>
  <c r="M37" i="12"/>
  <c r="AI36" i="12"/>
  <c r="J34" i="12"/>
  <c r="AU32" i="12"/>
  <c r="AE32" i="12"/>
  <c r="AM27" i="12"/>
  <c r="AU20" i="12"/>
  <c r="AI20" i="12"/>
  <c r="DK50" i="12"/>
  <c r="CU50" i="12"/>
  <c r="CE50" i="12"/>
  <c r="BO50" i="12"/>
  <c r="AU50" i="12"/>
  <c r="AE50" i="12"/>
  <c r="O50" i="12"/>
  <c r="DK49" i="12"/>
  <c r="DG49" i="12"/>
  <c r="CY49" i="12"/>
  <c r="CS49" i="12"/>
  <c r="CN49" i="12"/>
  <c r="CI49" i="12"/>
  <c r="CC49" i="12"/>
  <c r="BX49" i="12"/>
  <c r="BC49" i="12"/>
  <c r="AR49" i="12"/>
  <c r="AJ49" i="12"/>
  <c r="AD49" i="12"/>
  <c r="W49" i="12"/>
  <c r="O49" i="12"/>
  <c r="DH47" i="12"/>
  <c r="CX47" i="12"/>
  <c r="CR47" i="12"/>
  <c r="CM47" i="12"/>
  <c r="CH47" i="12"/>
  <c r="CB47" i="12"/>
  <c r="BW47" i="12"/>
  <c r="BB47" i="12"/>
  <c r="AU47" i="12"/>
  <c r="AP47" i="12"/>
  <c r="AJ47" i="12"/>
  <c r="AE47" i="12"/>
  <c r="Z47" i="12"/>
  <c r="T47" i="12"/>
  <c r="O47" i="12"/>
  <c r="DK46" i="12"/>
  <c r="DG46" i="12"/>
  <c r="DB46" i="12"/>
  <c r="CX46" i="12"/>
  <c r="CT46" i="12"/>
  <c r="CP46" i="12"/>
  <c r="CL46" i="12"/>
  <c r="CH46" i="12"/>
  <c r="CD46" i="12"/>
  <c r="BZ46" i="12"/>
  <c r="BV46" i="12"/>
  <c r="BB46" i="12"/>
  <c r="AV46" i="12"/>
  <c r="AR46" i="12"/>
  <c r="AN46" i="12"/>
  <c r="AJ46" i="12"/>
  <c r="AF46" i="12"/>
  <c r="AB46" i="12"/>
  <c r="X46" i="12"/>
  <c r="T46" i="12"/>
  <c r="P46" i="12"/>
  <c r="L46" i="12"/>
  <c r="N46" i="12"/>
  <c r="DJ45" i="12"/>
  <c r="DD45" i="12"/>
  <c r="CY45" i="12"/>
  <c r="CT45" i="12"/>
  <c r="CN45" i="12"/>
  <c r="CI45" i="12"/>
  <c r="CD45" i="12"/>
  <c r="BX45" i="12"/>
  <c r="BC45" i="12"/>
  <c r="AV45" i="12"/>
  <c r="AQ45" i="12"/>
  <c r="AL45" i="12"/>
  <c r="AF45" i="12"/>
  <c r="AA45" i="12"/>
  <c r="V45" i="12"/>
  <c r="P45" i="12"/>
  <c r="K45" i="12"/>
  <c r="DH44" i="12"/>
  <c r="CY44" i="12"/>
  <c r="CU44" i="12"/>
  <c r="CQ44" i="12"/>
  <c r="CM44" i="12"/>
  <c r="CI44" i="12"/>
  <c r="CE44" i="12"/>
  <c r="CA44" i="12"/>
  <c r="BW44" i="12"/>
  <c r="BO44" i="12"/>
  <c r="BC44" i="12"/>
  <c r="AX44" i="12"/>
  <c r="AT44" i="12"/>
  <c r="AP44" i="12"/>
  <c r="AL44" i="12"/>
  <c r="AH44" i="12"/>
  <c r="AD44" i="12"/>
  <c r="Z44" i="12"/>
  <c r="V44" i="12"/>
  <c r="R44" i="12"/>
  <c r="M44" i="12"/>
  <c r="DK43" i="12"/>
  <c r="DF43" i="12"/>
  <c r="BT43" i="12"/>
  <c r="BO43" i="12"/>
  <c r="P43" i="12"/>
  <c r="K43" i="12"/>
  <c r="DH42" i="12"/>
  <c r="CY42" i="12"/>
  <c r="CU42" i="12"/>
  <c r="CQ42" i="12"/>
  <c r="CM42" i="12"/>
  <c r="CI42" i="12"/>
  <c r="CE42" i="12"/>
  <c r="CA42" i="12"/>
  <c r="BW42" i="12"/>
  <c r="BO42" i="12"/>
  <c r="BC42" i="12"/>
  <c r="AX42" i="12"/>
  <c r="AT42" i="12"/>
  <c r="AP42" i="12"/>
  <c r="AL42" i="12"/>
  <c r="AH42" i="12"/>
  <c r="AD42" i="12"/>
  <c r="Z42" i="12"/>
  <c r="V42" i="12"/>
  <c r="R42" i="12"/>
  <c r="M42" i="12"/>
  <c r="AQ41" i="12"/>
  <c r="AI41" i="12"/>
  <c r="AA41" i="12"/>
  <c r="AQ40" i="12"/>
  <c r="AA40" i="12"/>
  <c r="AM37" i="12"/>
  <c r="AA37" i="12"/>
  <c r="AQ36" i="12"/>
  <c r="AA36" i="12"/>
  <c r="J36" i="12"/>
  <c r="AE35" i="12"/>
  <c r="J35" i="12"/>
  <c r="J33" i="12"/>
  <c r="AM32" i="12"/>
  <c r="J32" i="12"/>
  <c r="AQ27" i="12"/>
  <c r="AI27" i="12"/>
  <c r="AA20" i="12"/>
  <c r="DH45" i="12"/>
  <c r="CX45" i="12"/>
  <c r="CR45" i="12"/>
  <c r="CM45" i="12"/>
  <c r="CH45" i="12"/>
  <c r="CB45" i="12"/>
  <c r="BW45" i="12"/>
  <c r="BB45" i="12"/>
  <c r="AU45" i="12"/>
  <c r="AP45" i="12"/>
  <c r="AJ45" i="12"/>
  <c r="AE45" i="12"/>
  <c r="Z45" i="12"/>
  <c r="T45" i="12"/>
  <c r="O45" i="12"/>
  <c r="J45" i="12"/>
  <c r="CY43" i="12"/>
  <c r="CT43" i="12"/>
  <c r="AP43" i="12"/>
  <c r="AJ43" i="12"/>
  <c r="AU36" i="12"/>
  <c r="AE36" i="12"/>
  <c r="AQ32" i="12"/>
  <c r="AA32" i="12"/>
  <c r="AA27" i="12"/>
  <c r="L27" i="12"/>
  <c r="M27" i="12"/>
  <c r="DI50" i="12"/>
  <c r="DA50" i="12"/>
  <c r="CW50" i="12"/>
  <c r="CS50" i="12"/>
  <c r="CO50" i="12"/>
  <c r="CK50" i="12"/>
  <c r="CG50" i="12"/>
  <c r="CC50" i="12"/>
  <c r="BY50" i="12"/>
  <c r="BU50" i="12"/>
  <c r="BQ50" i="12"/>
  <c r="BA50" i="12"/>
  <c r="AW50" i="12"/>
  <c r="AS50" i="12"/>
  <c r="AO50" i="12"/>
  <c r="AK50" i="12"/>
  <c r="AG50" i="12"/>
  <c r="AC50" i="12"/>
  <c r="Y50" i="12"/>
  <c r="U50" i="12"/>
  <c r="Q50" i="12"/>
  <c r="M50" i="12"/>
  <c r="I50" i="12"/>
  <c r="I49" i="12"/>
  <c r="M49" i="12"/>
  <c r="Q49" i="12"/>
  <c r="U49" i="12"/>
  <c r="Y49" i="12"/>
  <c r="AC49" i="12"/>
  <c r="AG49" i="12"/>
  <c r="AK49" i="12"/>
  <c r="AO49" i="12"/>
  <c r="AS49" i="12"/>
  <c r="AW49" i="12"/>
  <c r="BA49" i="12"/>
  <c r="I47" i="12"/>
  <c r="M47" i="12"/>
  <c r="Q47" i="12"/>
  <c r="U47" i="12"/>
  <c r="Y47" i="12"/>
  <c r="AC47" i="12"/>
  <c r="AG47" i="12"/>
  <c r="AK47" i="12"/>
  <c r="AO47" i="12"/>
  <c r="AS47" i="12"/>
  <c r="AW47" i="12"/>
  <c r="BA47" i="12"/>
  <c r="BQ47" i="12"/>
  <c r="BU47" i="12"/>
  <c r="BY47" i="12"/>
  <c r="CC47" i="12"/>
  <c r="CG47" i="12"/>
  <c r="CK47" i="12"/>
  <c r="CO47" i="12"/>
  <c r="CS47" i="12"/>
  <c r="CW47" i="12"/>
  <c r="DA47" i="12"/>
  <c r="DI47" i="12"/>
  <c r="DH50" i="12"/>
  <c r="DD50" i="12"/>
  <c r="CZ50" i="12"/>
  <c r="CV50" i="12"/>
  <c r="CR50" i="12"/>
  <c r="CN50" i="12"/>
  <c r="CJ50" i="12"/>
  <c r="CF50" i="12"/>
  <c r="CB50" i="12"/>
  <c r="BX50" i="12"/>
  <c r="BT50" i="12"/>
  <c r="AV50" i="12"/>
  <c r="AR50" i="12"/>
  <c r="AN50" i="12"/>
  <c r="AJ50" i="12"/>
  <c r="AF50" i="12"/>
  <c r="AB50" i="12"/>
  <c r="X50" i="12"/>
  <c r="T50" i="12"/>
  <c r="P50" i="12"/>
  <c r="L50" i="12"/>
  <c r="CX49" i="12"/>
  <c r="CT49" i="12"/>
  <c r="CP49" i="12"/>
  <c r="CL49" i="12"/>
  <c r="CH49" i="12"/>
  <c r="CD49" i="12"/>
  <c r="BZ49" i="12"/>
  <c r="BV49" i="12"/>
  <c r="BB49" i="12"/>
  <c r="AV49" i="12"/>
  <c r="AQ49" i="12"/>
  <c r="AL49" i="12"/>
  <c r="AF49" i="12"/>
  <c r="AA49" i="12"/>
  <c r="V49" i="12"/>
  <c r="P49" i="12"/>
  <c r="K49" i="12"/>
  <c r="DJ50" i="12"/>
  <c r="DF50" i="12"/>
  <c r="DB50" i="12"/>
  <c r="CX50" i="12"/>
  <c r="CT50" i="12"/>
  <c r="CP50" i="12"/>
  <c r="CL50" i="12"/>
  <c r="CH50" i="12"/>
  <c r="CD50" i="12"/>
  <c r="BZ50" i="12"/>
  <c r="BV50" i="12"/>
  <c r="BB50" i="12"/>
  <c r="AX50" i="12"/>
  <c r="AT50" i="12"/>
  <c r="AP50" i="12"/>
  <c r="AL50" i="12"/>
  <c r="AH50" i="12"/>
  <c r="AD50" i="12"/>
  <c r="Z50" i="12"/>
  <c r="V50" i="12"/>
  <c r="R50" i="12"/>
  <c r="M40" i="12"/>
  <c r="DI45" i="12"/>
  <c r="DA45" i="12"/>
  <c r="CW45" i="12"/>
  <c r="CS45" i="12"/>
  <c r="CO45" i="12"/>
  <c r="CK45" i="12"/>
  <c r="CG45" i="12"/>
  <c r="CC45" i="12"/>
  <c r="BY45" i="12"/>
  <c r="BU45" i="12"/>
  <c r="BQ45" i="12"/>
  <c r="BA45" i="12"/>
  <c r="AW45" i="12"/>
  <c r="AS45" i="12"/>
  <c r="AO45" i="12"/>
  <c r="AK45" i="12"/>
  <c r="AG45" i="12"/>
  <c r="AC45" i="12"/>
  <c r="Y45" i="12"/>
  <c r="U45" i="12"/>
  <c r="Q45" i="12"/>
  <c r="M45" i="12"/>
  <c r="CK43" i="12"/>
  <c r="CG43" i="12"/>
  <c r="AS43" i="12"/>
  <c r="AO43" i="12"/>
  <c r="M43" i="12"/>
  <c r="M41" i="12"/>
  <c r="M32" i="12"/>
  <c r="J29" i="12"/>
  <c r="M33" i="12"/>
  <c r="M31" i="12"/>
  <c r="AQ29" i="12"/>
  <c r="AR29" i="12" s="1"/>
  <c r="AA29" i="12"/>
  <c r="AB29" i="12" s="1"/>
  <c r="AE28" i="12"/>
  <c r="AU29" i="12"/>
  <c r="AW29" i="12" s="1"/>
  <c r="AE29" i="12"/>
  <c r="L28" i="12"/>
  <c r="AI28" i="12"/>
  <c r="AA28" i="12"/>
  <c r="AQ28" i="12"/>
  <c r="AI29" i="12"/>
  <c r="AJ29" i="12" s="1"/>
  <c r="AU28" i="12"/>
  <c r="AU27" i="12"/>
  <c r="AE27" i="12"/>
  <c r="L26" i="12"/>
  <c r="J27" i="12"/>
  <c r="AI24" i="12"/>
  <c r="M24" i="12"/>
  <c r="L23" i="12"/>
  <c r="J24" i="12"/>
  <c r="J19" i="12"/>
  <c r="M19" i="12"/>
  <c r="AI19" i="12"/>
  <c r="AE19" i="12"/>
  <c r="AU19" i="12"/>
  <c r="AA19" i="12"/>
  <c r="AQ19" i="12"/>
  <c r="M21" i="12"/>
  <c r="L20" i="12"/>
  <c r="J21" i="12"/>
  <c r="AB122" i="122"/>
  <c r="X122" i="122"/>
  <c r="T122" i="122"/>
  <c r="P122" i="122"/>
  <c r="L122" i="122"/>
  <c r="H122" i="122"/>
  <c r="AA122" i="122"/>
  <c r="W122" i="122"/>
  <c r="S122" i="122"/>
  <c r="O122" i="122"/>
  <c r="K122" i="122"/>
  <c r="G122" i="122"/>
  <c r="Z122" i="122"/>
  <c r="V122" i="122"/>
  <c r="R122" i="122"/>
  <c r="N122" i="122"/>
  <c r="J122" i="122"/>
  <c r="F122" i="122"/>
  <c r="Y122" i="122"/>
  <c r="U122" i="122"/>
  <c r="Q122" i="122"/>
  <c r="M122" i="122"/>
  <c r="I122" i="122"/>
  <c r="E122" i="122"/>
  <c r="W19" i="12"/>
  <c r="W20" i="12"/>
  <c r="Y21" i="12"/>
  <c r="Y23" i="12"/>
  <c r="Y24" i="12"/>
  <c r="W24" i="12"/>
  <c r="W26" i="12"/>
  <c r="Y27" i="12"/>
  <c r="W27" i="12"/>
  <c r="Y28" i="12"/>
  <c r="W29" i="12"/>
  <c r="Y32" i="12"/>
  <c r="W32" i="12"/>
  <c r="Y34" i="12"/>
  <c r="W34" i="12"/>
  <c r="W35" i="12"/>
  <c r="Y36" i="12"/>
  <c r="W36" i="12"/>
  <c r="W37" i="12"/>
  <c r="Y39" i="12"/>
  <c r="W41" i="12"/>
  <c r="B1" i="121"/>
  <c r="C1" i="121"/>
  <c r="D1" i="121"/>
  <c r="E1" i="121"/>
  <c r="F1" i="121"/>
  <c r="G1" i="121"/>
  <c r="H1" i="121"/>
  <c r="I1" i="121"/>
  <c r="J1" i="121"/>
  <c r="BR35" i="127"/>
  <c r="BR36" i="127"/>
  <c r="BP36" i="127"/>
  <c r="BP35" i="127"/>
  <c r="DQ36" i="12"/>
  <c r="DQ35" i="12"/>
  <c r="DQ37" i="12"/>
  <c r="DR36" i="12"/>
  <c r="DS35" i="12"/>
  <c r="DR37" i="12"/>
  <c r="BR12" i="127"/>
  <c r="N44" i="12"/>
  <c r="DH39" i="127"/>
  <c r="DH40" i="127"/>
  <c r="DH32" i="127"/>
  <c r="DH41" i="127"/>
  <c r="DH37" i="127"/>
  <c r="DH33" i="127"/>
  <c r="DH38" i="127"/>
  <c r="DH34" i="127"/>
  <c r="DH31" i="127"/>
  <c r="DH27" i="127"/>
  <c r="DH23" i="127"/>
  <c r="DH24" i="127"/>
  <c r="DH25" i="127"/>
  <c r="DH30" i="127"/>
  <c r="DH26" i="127"/>
  <c r="DH22" i="127"/>
  <c r="DH18" i="127"/>
  <c r="DH19" i="127"/>
  <c r="DH15" i="127"/>
  <c r="DH20" i="127"/>
  <c r="DH16" i="127"/>
  <c r="DH21" i="127"/>
  <c r="DH17" i="127"/>
  <c r="DH13" i="127"/>
  <c r="DH7" i="127"/>
  <c r="DH8" i="127"/>
  <c r="DH9" i="127"/>
  <c r="N49" i="12"/>
  <c r="W28" i="12"/>
  <c r="W21" i="12"/>
  <c r="Y18" i="12"/>
  <c r="Y19" i="12"/>
  <c r="Y29" i="12"/>
  <c r="W39" i="12"/>
  <c r="W31" i="12"/>
  <c r="Y20" i="12"/>
  <c r="Y33" i="12"/>
  <c r="Y40" i="12"/>
  <c r="Y35" i="12"/>
  <c r="Y37" i="12"/>
  <c r="Y41" i="12"/>
  <c r="W33" i="12"/>
  <c r="W40" i="12"/>
  <c r="M20" i="12"/>
  <c r="M28" i="12"/>
  <c r="M23" i="12"/>
  <c r="N50" i="12"/>
  <c r="BR35" i="125"/>
  <c r="BR37" i="125"/>
  <c r="BR38" i="125"/>
  <c r="BR36" i="125"/>
  <c r="BP36" i="125"/>
  <c r="BP35" i="125"/>
  <c r="BP38" i="125"/>
  <c r="BP37" i="125"/>
  <c r="DH33" i="125"/>
  <c r="DH16" i="125"/>
  <c r="DH17" i="125"/>
  <c r="DH18" i="125"/>
  <c r="DH19" i="125"/>
  <c r="DH34" i="125"/>
  <c r="DH31" i="125"/>
  <c r="DH24" i="125"/>
  <c r="DH21" i="125"/>
  <c r="DH6" i="125"/>
  <c r="DH7" i="125"/>
  <c r="DH22" i="125"/>
  <c r="DH28" i="125"/>
  <c r="DH25" i="125"/>
  <c r="DH40" i="125"/>
  <c r="DH8" i="125"/>
  <c r="DH9" i="125"/>
  <c r="DH10" i="125"/>
  <c r="DH26" i="125"/>
  <c r="DH23" i="125"/>
  <c r="DH39" i="125"/>
  <c r="DH32" i="125"/>
  <c r="DH41" i="125"/>
  <c r="DH13" i="125"/>
  <c r="DH14" i="125"/>
  <c r="DH15" i="125"/>
  <c r="DH30" i="125"/>
  <c r="DH27" i="125"/>
  <c r="DH20" i="125"/>
  <c r="BK7" i="25"/>
  <c r="BK3" i="25"/>
  <c r="BB41" i="12"/>
  <c r="BA41" i="12"/>
  <c r="V41" i="12"/>
  <c r="I41" i="12"/>
  <c r="AC41" i="12"/>
  <c r="AK41" i="12"/>
  <c r="AW41" i="12"/>
  <c r="X41" i="12"/>
  <c r="P41" i="12"/>
  <c r="AS41" i="12"/>
  <c r="Z41" i="12"/>
  <c r="AG41" i="12"/>
  <c r="AO41" i="12"/>
  <c r="BB37" i="12"/>
  <c r="AO37" i="12"/>
  <c r="V37" i="12"/>
  <c r="AC37" i="12"/>
  <c r="AS37" i="12"/>
  <c r="I37" i="12"/>
  <c r="AG37" i="12"/>
  <c r="AW37" i="12"/>
  <c r="AK37" i="12"/>
  <c r="BA37" i="12"/>
  <c r="Z37" i="12"/>
  <c r="X37" i="12"/>
  <c r="P37" i="12"/>
  <c r="V33" i="12"/>
  <c r="BB33" i="12"/>
  <c r="AS33" i="12"/>
  <c r="AC33" i="12"/>
  <c r="AO33" i="12"/>
  <c r="BA33" i="12"/>
  <c r="AK33" i="12"/>
  <c r="I33" i="12"/>
  <c r="AW33" i="12"/>
  <c r="AG33" i="12"/>
  <c r="X33" i="12"/>
  <c r="P33" i="12"/>
  <c r="Z33" i="12"/>
  <c r="AO29" i="12"/>
  <c r="V29" i="12"/>
  <c r="BA29" i="12"/>
  <c r="BB29" i="12"/>
  <c r="I29" i="12"/>
  <c r="X29" i="12"/>
  <c r="Z29" i="12"/>
  <c r="BB25" i="12"/>
  <c r="BA21" i="12"/>
  <c r="AS21" i="12"/>
  <c r="AK21" i="12"/>
  <c r="AW21" i="12"/>
  <c r="I21" i="12"/>
  <c r="AC21" i="12"/>
  <c r="AO21" i="12"/>
  <c r="V21" i="12"/>
  <c r="BB21" i="12"/>
  <c r="AG21" i="12"/>
  <c r="X21" i="12"/>
  <c r="Z21" i="12"/>
  <c r="P21" i="12"/>
  <c r="V40" i="12"/>
  <c r="BB40" i="12"/>
  <c r="AG40" i="12"/>
  <c r="AW40" i="12"/>
  <c r="BA40" i="12"/>
  <c r="AK40" i="12"/>
  <c r="I40" i="12"/>
  <c r="AO40" i="12"/>
  <c r="X40" i="12"/>
  <c r="AS40" i="12"/>
  <c r="AC40" i="12"/>
  <c r="Z40" i="12"/>
  <c r="P40" i="12"/>
  <c r="I36" i="12"/>
  <c r="BA36" i="12"/>
  <c r="V36" i="12"/>
  <c r="P36" i="12"/>
  <c r="AK36" i="12"/>
  <c r="AO36" i="12"/>
  <c r="BB36" i="12"/>
  <c r="AW36" i="12"/>
  <c r="AC36" i="12"/>
  <c r="AG36" i="12"/>
  <c r="Z36" i="12"/>
  <c r="AS36" i="12"/>
  <c r="X36" i="12"/>
  <c r="BA32" i="12"/>
  <c r="V32" i="12"/>
  <c r="AG32" i="12"/>
  <c r="I32" i="12"/>
  <c r="AW32" i="12"/>
  <c r="BB32" i="12"/>
  <c r="AK32" i="12"/>
  <c r="AS32" i="12"/>
  <c r="P32" i="12"/>
  <c r="AO32" i="12"/>
  <c r="X32" i="12"/>
  <c r="Z32" i="12"/>
  <c r="AC32" i="12"/>
  <c r="I28" i="12"/>
  <c r="AG28" i="12"/>
  <c r="BA28" i="12"/>
  <c r="V28" i="12"/>
  <c r="AK28" i="12"/>
  <c r="AO28" i="12"/>
  <c r="BB28" i="12"/>
  <c r="Z28" i="12"/>
  <c r="X28" i="12"/>
  <c r="AS28" i="12"/>
  <c r="AC28" i="12"/>
  <c r="AW28" i="12"/>
  <c r="P28" i="12"/>
  <c r="BA24" i="12"/>
  <c r="I24" i="12"/>
  <c r="AW24" i="12"/>
  <c r="BB24" i="12"/>
  <c r="AO24" i="12"/>
  <c r="AG24" i="12"/>
  <c r="V24" i="12"/>
  <c r="AC24" i="12"/>
  <c r="AS24" i="12"/>
  <c r="AK24" i="12"/>
  <c r="Z24" i="12"/>
  <c r="P24" i="12"/>
  <c r="X24" i="12"/>
  <c r="BA20" i="12"/>
  <c r="V20" i="12"/>
  <c r="AS20" i="12"/>
  <c r="BB20" i="12"/>
  <c r="I20" i="12"/>
  <c r="AG20" i="12"/>
  <c r="AO20" i="12"/>
  <c r="AK20" i="12"/>
  <c r="X20" i="12"/>
  <c r="AC20" i="12"/>
  <c r="Z20" i="12"/>
  <c r="AW20" i="12"/>
  <c r="P20" i="12"/>
  <c r="BB39" i="12"/>
  <c r="I39" i="12"/>
  <c r="AS39" i="12"/>
  <c r="BA39" i="12"/>
  <c r="V39" i="12"/>
  <c r="AK39" i="12"/>
  <c r="X39" i="12"/>
  <c r="AO39" i="12"/>
  <c r="Z39" i="12"/>
  <c r="AG39" i="12"/>
  <c r="AW39" i="12"/>
  <c r="AC39" i="12"/>
  <c r="P39" i="12"/>
  <c r="V35" i="12"/>
  <c r="BB35" i="12"/>
  <c r="AO35" i="12"/>
  <c r="I35" i="12"/>
  <c r="BA35" i="12"/>
  <c r="AK35" i="12"/>
  <c r="AW35" i="12"/>
  <c r="AG35" i="12"/>
  <c r="AS35" i="12"/>
  <c r="AC35" i="12"/>
  <c r="P35" i="12"/>
  <c r="X35" i="12"/>
  <c r="Z35" i="12"/>
  <c r="V31" i="12"/>
  <c r="BB31" i="12"/>
  <c r="I31" i="12"/>
  <c r="BA31" i="12"/>
  <c r="AK31" i="12"/>
  <c r="AW31" i="12"/>
  <c r="AG31" i="12"/>
  <c r="AS31" i="12"/>
  <c r="AC31" i="12"/>
  <c r="AO31" i="12"/>
  <c r="Z31" i="12"/>
  <c r="X31" i="12"/>
  <c r="P31" i="12"/>
  <c r="AC27" i="12"/>
  <c r="V27" i="12"/>
  <c r="AO27" i="12"/>
  <c r="BA27" i="12"/>
  <c r="BB27" i="12"/>
  <c r="I27" i="12"/>
  <c r="P27" i="12"/>
  <c r="X27" i="12"/>
  <c r="AG27" i="12"/>
  <c r="AW27" i="12"/>
  <c r="Z27" i="12"/>
  <c r="AK27" i="12"/>
  <c r="AS27" i="12"/>
  <c r="I23" i="12"/>
  <c r="V23" i="12"/>
  <c r="BB23" i="12"/>
  <c r="AS23" i="12"/>
  <c r="BA23" i="12"/>
  <c r="AG23" i="12"/>
  <c r="AC23" i="12"/>
  <c r="AW23" i="12"/>
  <c r="AK23" i="12"/>
  <c r="Z23" i="12"/>
  <c r="X23" i="12"/>
  <c r="AO23" i="12"/>
  <c r="P23" i="12"/>
  <c r="V19" i="12"/>
  <c r="AO19" i="12"/>
  <c r="BA19" i="12"/>
  <c r="I19" i="12"/>
  <c r="BB19" i="12"/>
  <c r="X19" i="12"/>
  <c r="AW19" i="12"/>
  <c r="AK19" i="12"/>
  <c r="AS19" i="12"/>
  <c r="AG19" i="12"/>
  <c r="AC19" i="12"/>
  <c r="Z19" i="12"/>
  <c r="P19" i="12"/>
  <c r="AC38" i="12"/>
  <c r="I34" i="12"/>
  <c r="AC34" i="12"/>
  <c r="AG34" i="12"/>
  <c r="AK34" i="12"/>
  <c r="AO34" i="12"/>
  <c r="AS34" i="12"/>
  <c r="AW34" i="12"/>
  <c r="BB34" i="12"/>
  <c r="BA34" i="12"/>
  <c r="P34" i="12"/>
  <c r="V34" i="12"/>
  <c r="X34" i="12"/>
  <c r="Z34" i="12"/>
  <c r="V30" i="12"/>
  <c r="I26" i="12"/>
  <c r="V26" i="12"/>
  <c r="Z26" i="12"/>
  <c r="AC26" i="12"/>
  <c r="AW22" i="12"/>
  <c r="AO18" i="12"/>
  <c r="AK18" i="12"/>
  <c r="BP37" i="12"/>
  <c r="BS37" i="12"/>
  <c r="BR37" i="12"/>
  <c r="BP35" i="12"/>
  <c r="BS35" i="12"/>
  <c r="BR35" i="12"/>
  <c r="BS36" i="12"/>
  <c r="BR36" i="12"/>
  <c r="BP36" i="12"/>
  <c r="K34" i="12"/>
  <c r="AP26" i="12"/>
  <c r="AL34" i="12"/>
  <c r="K35" i="12"/>
  <c r="AX34" i="12"/>
  <c r="K23" i="12"/>
  <c r="AX23" i="12"/>
  <c r="AX27" i="12"/>
  <c r="K27" i="12"/>
  <c r="AL35" i="12"/>
  <c r="AP35" i="12"/>
  <c r="AL26" i="12"/>
  <c r="AT34" i="12"/>
  <c r="K19" i="12"/>
  <c r="AL19" i="12"/>
  <c r="AT23" i="12"/>
  <c r="AT27" i="12"/>
  <c r="AP27" i="12"/>
  <c r="K31" i="12"/>
  <c r="AT35" i="12"/>
  <c r="AL39" i="12"/>
  <c r="K39" i="12"/>
  <c r="K24" i="12"/>
  <c r="AL32" i="12"/>
  <c r="K32" i="12"/>
  <c r="AP32" i="12"/>
  <c r="K40" i="12"/>
  <c r="K37" i="12"/>
  <c r="AX20" i="12"/>
  <c r="AL24" i="12"/>
  <c r="AX24" i="12"/>
  <c r="K28" i="12"/>
  <c r="K36" i="12"/>
  <c r="AT40" i="12"/>
  <c r="AL21" i="12"/>
  <c r="K41" i="12"/>
  <c r="K20" i="12"/>
  <c r="AP28" i="12"/>
  <c r="AT32" i="12"/>
  <c r="AP36" i="12"/>
  <c r="AX37" i="12"/>
  <c r="AT39" i="12"/>
  <c r="AL20" i="12"/>
  <c r="AP24" i="12"/>
  <c r="AX28" i="12"/>
  <c r="AT28" i="12"/>
  <c r="AL28" i="12"/>
  <c r="AX32" i="12"/>
  <c r="AP40" i="12"/>
  <c r="AL40" i="12"/>
  <c r="AX40" i="12"/>
  <c r="K21" i="12"/>
  <c r="AP21" i="12"/>
  <c r="AX33" i="12"/>
  <c r="K33" i="12"/>
  <c r="AT33" i="12"/>
  <c r="AL37" i="12"/>
  <c r="AP37" i="12"/>
  <c r="Q34" i="12"/>
  <c r="DH34" i="12"/>
  <c r="AD34" i="12"/>
  <c r="BC35" i="12"/>
  <c r="Q37" i="12"/>
  <c r="BC18" i="12"/>
  <c r="AH23" i="12"/>
  <c r="AH27" i="12"/>
  <c r="AD28" i="12"/>
  <c r="BC34" i="12"/>
  <c r="AD31" i="12"/>
  <c r="AH35" i="12"/>
  <c r="AH39" i="12"/>
  <c r="BC39" i="12"/>
  <c r="AD20" i="12"/>
  <c r="AH20" i="12"/>
  <c r="BC20" i="12"/>
  <c r="AD24" i="12"/>
  <c r="BC28" i="12"/>
  <c r="AH32" i="12"/>
  <c r="Q36" i="12"/>
  <c r="BC40" i="12"/>
  <c r="AD21" i="12"/>
  <c r="Q20" i="12"/>
  <c r="DH20" i="12"/>
  <c r="DH32" i="12"/>
  <c r="Q32" i="12"/>
  <c r="BC36" i="12"/>
  <c r="AD40" i="12"/>
  <c r="AH21" i="12"/>
  <c r="Q19" i="12"/>
  <c r="DH19" i="12"/>
  <c r="AD19" i="12"/>
  <c r="BC19" i="12"/>
  <c r="DH23" i="12"/>
  <c r="Q23" i="12"/>
  <c r="DH27" i="12"/>
  <c r="Q27" i="12"/>
  <c r="BC27" i="12"/>
  <c r="AD27" i="12"/>
  <c r="Q31" i="12"/>
  <c r="DH31" i="12"/>
  <c r="Q35" i="12"/>
  <c r="DH39" i="12"/>
  <c r="Q39" i="12"/>
  <c r="AH24" i="12"/>
  <c r="AD32" i="12"/>
  <c r="AD36" i="12"/>
  <c r="DH40" i="12"/>
  <c r="Q40" i="12"/>
  <c r="AH33" i="12"/>
  <c r="AD33" i="12"/>
  <c r="BC37" i="12"/>
  <c r="AD37" i="12"/>
  <c r="DH41" i="12"/>
  <c r="Q41" i="12"/>
  <c r="AD41" i="12"/>
  <c r="AY41" i="12"/>
  <c r="BC41" i="12"/>
  <c r="Q18" i="12"/>
  <c r="AH31" i="12"/>
  <c r="BC31" i="12"/>
  <c r="DH28" i="12"/>
  <c r="Q28" i="12"/>
  <c r="AH36" i="12"/>
  <c r="AH40" i="12"/>
  <c r="Q21" i="12"/>
  <c r="DH21" i="12"/>
  <c r="BC21" i="12"/>
  <c r="AH26" i="12"/>
  <c r="BC26" i="12"/>
  <c r="AH34" i="12"/>
  <c r="AH19" i="12"/>
  <c r="AD23" i="12"/>
  <c r="BC23" i="12"/>
  <c r="AD35" i="12"/>
  <c r="AD39" i="12"/>
  <c r="Q24" i="12"/>
  <c r="DH24" i="12"/>
  <c r="BC24" i="12"/>
  <c r="AH28" i="12"/>
  <c r="BC32" i="12"/>
  <c r="Q33" i="12"/>
  <c r="DH33" i="12"/>
  <c r="BC33" i="12"/>
  <c r="AH37" i="12"/>
  <c r="AH41" i="12"/>
  <c r="AR41" i="12"/>
  <c r="O41" i="12"/>
  <c r="N41" i="12"/>
  <c r="AV41" i="12"/>
  <c r="AJ41" i="12"/>
  <c r="AF41" i="12"/>
  <c r="AB41" i="12"/>
  <c r="AN41" i="12"/>
  <c r="AV37" i="12"/>
  <c r="AF37" i="12"/>
  <c r="AJ37" i="12"/>
  <c r="AR37" i="12"/>
  <c r="AN37" i="12"/>
  <c r="AB37" i="12"/>
  <c r="N37" i="12"/>
  <c r="O37" i="12"/>
  <c r="AX36" i="12"/>
  <c r="AV31" i="12"/>
  <c r="AF31" i="12"/>
  <c r="AR31" i="12"/>
  <c r="AJ31" i="12"/>
  <c r="AB31" i="12"/>
  <c r="O31" i="12"/>
  <c r="AN31" i="12"/>
  <c r="AF18" i="12"/>
  <c r="AR18" i="12"/>
  <c r="AP23" i="12"/>
  <c r="AJ34" i="12"/>
  <c r="N34" i="12"/>
  <c r="AV34" i="12"/>
  <c r="AF34" i="12"/>
  <c r="AR34" i="12"/>
  <c r="AB34" i="12"/>
  <c r="O34" i="12"/>
  <c r="AN34" i="12"/>
  <c r="AF22" i="12"/>
  <c r="AJ33" i="12"/>
  <c r="AB33" i="12"/>
  <c r="AV33" i="12"/>
  <c r="N33" i="12"/>
  <c r="AF33" i="12"/>
  <c r="AR33" i="12"/>
  <c r="AN33" i="12"/>
  <c r="O33" i="12"/>
  <c r="AR21" i="12"/>
  <c r="AB21" i="12"/>
  <c r="AN21" i="12"/>
  <c r="AJ21" i="12"/>
  <c r="AV21" i="12"/>
  <c r="AF21" i="12"/>
  <c r="O21" i="12"/>
  <c r="AL33" i="12"/>
  <c r="AT21" i="12"/>
  <c r="AN20" i="12"/>
  <c r="AR20" i="12"/>
  <c r="AB20" i="12"/>
  <c r="AV20" i="12"/>
  <c r="AJ20" i="12"/>
  <c r="AF20" i="12"/>
  <c r="N20" i="12"/>
  <c r="O20" i="12"/>
  <c r="AT37" i="12"/>
  <c r="AT36" i="12"/>
  <c r="AT20" i="12"/>
  <c r="N40" i="12"/>
  <c r="AF40" i="12"/>
  <c r="AJ40" i="12"/>
  <c r="AN40" i="12"/>
  <c r="AV40" i="12"/>
  <c r="AB40" i="12"/>
  <c r="AR40" i="12"/>
  <c r="O40" i="12"/>
  <c r="AR24" i="12"/>
  <c r="AF24" i="12"/>
  <c r="AB24" i="12"/>
  <c r="AN24" i="12"/>
  <c r="AV24" i="12"/>
  <c r="AJ24" i="12"/>
  <c r="O24" i="12"/>
  <c r="AP20" i="12"/>
  <c r="AL23" i="12"/>
  <c r="AL38" i="12"/>
  <c r="AL31" i="12"/>
  <c r="AP19" i="12"/>
  <c r="AR35" i="12"/>
  <c r="AV35" i="12"/>
  <c r="AB35" i="12"/>
  <c r="AF35" i="12"/>
  <c r="AJ35" i="12"/>
  <c r="N35" i="12"/>
  <c r="O35" i="12"/>
  <c r="AN35" i="12"/>
  <c r="AT31" i="12"/>
  <c r="AX31" i="12"/>
  <c r="AP41" i="12"/>
  <c r="AL41" i="12"/>
  <c r="AJ36" i="12"/>
  <c r="O36" i="12"/>
  <c r="AV36" i="12"/>
  <c r="AF36" i="12"/>
  <c r="AR36" i="12"/>
  <c r="AB36" i="12"/>
  <c r="AN36" i="12"/>
  <c r="AF32" i="12"/>
  <c r="N32" i="12"/>
  <c r="AV32" i="12"/>
  <c r="AR32" i="12"/>
  <c r="AB32" i="12"/>
  <c r="AJ32" i="12"/>
  <c r="AN32" i="12"/>
  <c r="O32" i="12"/>
  <c r="AJ39" i="12"/>
  <c r="AR39" i="12"/>
  <c r="AV39" i="12"/>
  <c r="AF39" i="12"/>
  <c r="AB39" i="12"/>
  <c r="AN39" i="12"/>
  <c r="O39" i="12"/>
  <c r="AX39" i="12"/>
  <c r="O19" i="12"/>
  <c r="AN19" i="12"/>
  <c r="AV19" i="12"/>
  <c r="AR19" i="12"/>
  <c r="AB19" i="12"/>
  <c r="AJ19" i="12"/>
  <c r="AF19" i="12"/>
  <c r="AP39" i="12"/>
  <c r="AJ23" i="12"/>
  <c r="AR23" i="12"/>
  <c r="AV23" i="12"/>
  <c r="AB23" i="12"/>
  <c r="AF23" i="12"/>
  <c r="AN23" i="12"/>
  <c r="O23" i="12"/>
  <c r="AP31" i="12"/>
  <c r="AT19" i="12"/>
  <c r="AP34" i="12"/>
  <c r="AT41" i="12"/>
  <c r="AP33" i="12"/>
  <c r="AR28" i="12"/>
  <c r="AV28" i="12"/>
  <c r="AN28" i="12"/>
  <c r="AJ28" i="12"/>
  <c r="AB28" i="12"/>
  <c r="AF28" i="12"/>
  <c r="N28" i="12"/>
  <c r="O28" i="12"/>
  <c r="AX41" i="12"/>
  <c r="AX21" i="12"/>
  <c r="AL36" i="12"/>
  <c r="AZ36" i="12" s="1"/>
  <c r="AT24" i="12"/>
  <c r="AJ27" i="12"/>
  <c r="N27" i="12"/>
  <c r="AN27" i="12"/>
  <c r="AR27" i="12"/>
  <c r="AF27" i="12"/>
  <c r="AV27" i="12"/>
  <c r="AB27" i="12"/>
  <c r="O27" i="12"/>
  <c r="AX19" i="12"/>
  <c r="AX35" i="12"/>
  <c r="AL27" i="12"/>
  <c r="AF26" i="12"/>
  <c r="AB26" i="12"/>
  <c r="O26" i="12"/>
  <c r="T24" i="12"/>
  <c r="R24" i="12"/>
  <c r="S24" i="12"/>
  <c r="U24" i="12"/>
  <c r="R41" i="12"/>
  <c r="S41" i="12"/>
  <c r="U41" i="12"/>
  <c r="T41" i="12"/>
  <c r="U40" i="12"/>
  <c r="R40" i="12"/>
  <c r="S40" i="12"/>
  <c r="T40" i="12"/>
  <c r="U31" i="12"/>
  <c r="S31" i="12"/>
  <c r="T31" i="12"/>
  <c r="R31" i="12"/>
  <c r="S23" i="12"/>
  <c r="T23" i="12"/>
  <c r="U23" i="12"/>
  <c r="R23" i="12"/>
  <c r="S19" i="12"/>
  <c r="R19" i="12"/>
  <c r="U19" i="12"/>
  <c r="T19" i="12"/>
  <c r="T20" i="12"/>
  <c r="U20" i="12"/>
  <c r="R20" i="12"/>
  <c r="S20" i="12"/>
  <c r="R39" i="12"/>
  <c r="U39" i="12"/>
  <c r="S39" i="12"/>
  <c r="T39" i="12"/>
  <c r="S32" i="12"/>
  <c r="T32" i="12"/>
  <c r="U32" i="12"/>
  <c r="R32" i="12"/>
  <c r="R36" i="12"/>
  <c r="T36" i="12"/>
  <c r="U36" i="12"/>
  <c r="S36" i="12"/>
  <c r="S37" i="12"/>
  <c r="T37" i="12"/>
  <c r="R37" i="12"/>
  <c r="U37" i="12"/>
  <c r="R34" i="12"/>
  <c r="T34" i="12"/>
  <c r="U34" i="12"/>
  <c r="S34" i="12"/>
  <c r="U21" i="12"/>
  <c r="T21" i="12"/>
  <c r="R21" i="12"/>
  <c r="S21" i="12"/>
  <c r="T35" i="12"/>
  <c r="R35" i="12"/>
  <c r="U35" i="12"/>
  <c r="S35" i="12"/>
  <c r="T27" i="12"/>
  <c r="R27" i="12"/>
  <c r="U27" i="12"/>
  <c r="S27" i="12"/>
  <c r="U38" i="12"/>
  <c r="S33" i="12"/>
  <c r="T33" i="12"/>
  <c r="R33" i="12"/>
  <c r="U33" i="12"/>
  <c r="S28" i="12"/>
  <c r="U28" i="12"/>
  <c r="T28" i="12"/>
  <c r="R28" i="12"/>
  <c r="AZ20" i="12"/>
  <c r="G52" i="101"/>
  <c r="G58" i="101"/>
  <c r="D66" i="101"/>
  <c r="J13" i="119"/>
  <c r="G55" i="101"/>
  <c r="G54" i="101"/>
  <c r="G53" i="101"/>
  <c r="G59" i="101"/>
  <c r="G6" i="12"/>
  <c r="BR6" i="12" s="1"/>
  <c r="DC6" i="12"/>
  <c r="G7" i="12"/>
  <c r="DP7" i="12" s="1"/>
  <c r="DC7" i="12"/>
  <c r="G8" i="12"/>
  <c r="DM8" i="12" s="1"/>
  <c r="DC8" i="12"/>
  <c r="G9" i="12"/>
  <c r="AQ9" i="12" s="1"/>
  <c r="DC9" i="12"/>
  <c r="G10" i="12"/>
  <c r="DK10" i="12" s="1"/>
  <c r="DC10" i="12"/>
  <c r="G11" i="12"/>
  <c r="DC11" i="12"/>
  <c r="G12" i="12"/>
  <c r="DC12" i="12"/>
  <c r="G13" i="12"/>
  <c r="K13" i="12" s="1"/>
  <c r="DC13" i="12"/>
  <c r="G14" i="12"/>
  <c r="DM14" i="12" s="1"/>
  <c r="DC14" i="12"/>
  <c r="G15" i="12"/>
  <c r="DL15" i="12" s="1"/>
  <c r="DC15" i="12"/>
  <c r="G16" i="12"/>
  <c r="DQ16" i="12" s="1"/>
  <c r="DC16" i="12"/>
  <c r="G17" i="12"/>
  <c r="AI17" i="12" s="1"/>
  <c r="DC17" i="12"/>
  <c r="DN10" i="12"/>
  <c r="DN8" i="12"/>
  <c r="DL8" i="12"/>
  <c r="DK8" i="12"/>
  <c r="DN6" i="12"/>
  <c r="DN7" i="12"/>
  <c r="DK7" i="12"/>
  <c r="DN16" i="12"/>
  <c r="DM16" i="12"/>
  <c r="DL16" i="12"/>
  <c r="DK15" i="12"/>
  <c r="BS16" i="12"/>
  <c r="BP16" i="12"/>
  <c r="BR16" i="12"/>
  <c r="DS16" i="12"/>
  <c r="DR16" i="12"/>
  <c r="BS14" i="12"/>
  <c r="DQ14" i="12"/>
  <c r="BS8" i="12"/>
  <c r="BR8" i="12"/>
  <c r="BP8" i="12"/>
  <c r="DQ8" i="12"/>
  <c r="DR8" i="12"/>
  <c r="DS8" i="12"/>
  <c r="BS6" i="12"/>
  <c r="DQ15" i="12"/>
  <c r="BP15" i="12"/>
  <c r="BR9" i="12"/>
  <c r="DR7" i="12"/>
  <c r="DQ7" i="12"/>
  <c r="BN15" i="12"/>
  <c r="DU15" i="12"/>
  <c r="DP13" i="12"/>
  <c r="DR11" i="12"/>
  <c r="BH7" i="12"/>
  <c r="DU7" i="12"/>
  <c r="BH16" i="12"/>
  <c r="BN16" i="12"/>
  <c r="DW16" i="12"/>
  <c r="H16" i="12"/>
  <c r="DO16" i="12"/>
  <c r="DP16" i="12"/>
  <c r="DU16" i="12"/>
  <c r="DV16" i="12"/>
  <c r="DO14" i="12"/>
  <c r="DU14" i="12"/>
  <c r="DV14" i="12"/>
  <c r="H12" i="12"/>
  <c r="DO12" i="12"/>
  <c r="DP12" i="12"/>
  <c r="DQ12" i="12"/>
  <c r="DU12" i="12"/>
  <c r="DV12" i="12"/>
  <c r="BN10" i="12"/>
  <c r="DW10" i="12"/>
  <c r="BH8" i="12"/>
  <c r="BN8" i="12"/>
  <c r="DW8" i="12"/>
  <c r="H8" i="12"/>
  <c r="DO8" i="12"/>
  <c r="DP8" i="12"/>
  <c r="DU8" i="12"/>
  <c r="DV8" i="12"/>
  <c r="DW6" i="12"/>
  <c r="DU6" i="12"/>
  <c r="J16" i="12"/>
  <c r="AQ16" i="12"/>
  <c r="BA16" i="12"/>
  <c r="AU16" i="12"/>
  <c r="AW16" i="12"/>
  <c r="AM16" i="12"/>
  <c r="AO16" i="12"/>
  <c r="AE16" i="12"/>
  <c r="AG16" i="12"/>
  <c r="AS16" i="12"/>
  <c r="J8" i="12"/>
  <c r="AI16" i="12"/>
  <c r="AK16" i="12"/>
  <c r="AA16" i="12"/>
  <c r="AC16" i="12"/>
  <c r="I16" i="12"/>
  <c r="L14" i="12"/>
  <c r="AS14" i="12"/>
  <c r="AW14" i="12"/>
  <c r="AS15" i="12"/>
  <c r="AA15" i="12"/>
  <c r="P15" i="12"/>
  <c r="I15" i="12"/>
  <c r="AF15" i="12"/>
  <c r="AW15" i="12"/>
  <c r="J15" i="12"/>
  <c r="BB15" i="12"/>
  <c r="L16" i="12"/>
  <c r="N16" i="12" s="1"/>
  <c r="M16" i="12"/>
  <c r="Q14" i="12"/>
  <c r="BB16" i="12"/>
  <c r="BB14" i="12"/>
  <c r="AX14" i="12"/>
  <c r="J14" i="12"/>
  <c r="J12" i="12"/>
  <c r="J10" i="12"/>
  <c r="DS12" i="12"/>
  <c r="DR12" i="12"/>
  <c r="K16" i="12"/>
  <c r="AD16" i="12"/>
  <c r="BC16" i="12"/>
  <c r="O16" i="12"/>
  <c r="AL15" i="12"/>
  <c r="O15" i="12"/>
  <c r="K14" i="12"/>
  <c r="AL16" i="12"/>
  <c r="AV16" i="12"/>
  <c r="AH15" i="12"/>
  <c r="AJ16" i="12"/>
  <c r="AV14" i="12"/>
  <c r="AF14" i="12"/>
  <c r="AJ15" i="12"/>
  <c r="P16" i="12"/>
  <c r="AN16" i="12"/>
  <c r="AC14" i="12"/>
  <c r="AH16" i="12"/>
  <c r="AR16" i="12"/>
  <c r="AX16" i="12"/>
  <c r="AF16" i="12"/>
  <c r="AT16" i="12"/>
  <c r="AB16" i="12"/>
  <c r="AP16" i="12"/>
  <c r="Q16" i="12"/>
  <c r="D12" i="25"/>
  <c r="D11" i="25"/>
  <c r="D10" i="25"/>
  <c r="DC5" i="12"/>
  <c r="B1" i="12"/>
  <c r="DT12" i="12" s="1"/>
  <c r="G5" i="12"/>
  <c r="Y5" i="12" s="1"/>
  <c r="CZ4" i="12"/>
  <c r="CY4" i="12"/>
  <c r="CX4" i="12"/>
  <c r="CW4" i="12"/>
  <c r="CV4" i="12"/>
  <c r="CU4" i="12"/>
  <c r="CS4" i="12"/>
  <c r="CR4" i="12"/>
  <c r="CQ4" i="12"/>
  <c r="CE4" i="12"/>
  <c r="CD4" i="12"/>
  <c r="CC4" i="12"/>
  <c r="CB4" i="12"/>
  <c r="CA4" i="12"/>
  <c r="BZ4" i="12"/>
  <c r="BY4" i="12"/>
  <c r="DP5" i="12"/>
  <c r="DT33" i="12"/>
  <c r="DT6" i="12"/>
  <c r="DT10" i="12"/>
  <c r="DT34" i="12"/>
  <c r="DT7" i="12"/>
  <c r="DT15" i="12"/>
  <c r="DT19" i="12"/>
  <c r="DT27" i="12"/>
  <c r="DT35" i="12"/>
  <c r="DT39" i="12"/>
  <c r="DT23" i="12"/>
  <c r="DT31" i="12"/>
  <c r="DT8" i="12"/>
  <c r="DT16" i="12"/>
  <c r="DT20" i="12"/>
  <c r="DT24" i="12"/>
  <c r="DT28" i="12"/>
  <c r="DT32" i="12"/>
  <c r="DT36" i="12"/>
  <c r="DT40" i="12"/>
  <c r="DT21" i="12"/>
  <c r="DT37" i="12"/>
  <c r="DT41" i="12"/>
  <c r="L81" i="98"/>
  <c r="E72" i="98"/>
  <c r="E71" i="98"/>
  <c r="E70" i="98"/>
  <c r="B13" i="120"/>
  <c r="B10" i="120"/>
  <c r="E8" i="25"/>
  <c r="E4" i="25"/>
  <c r="B7" i="120"/>
  <c r="B11" i="120"/>
  <c r="B8" i="120"/>
  <c r="E2" i="25"/>
  <c r="E6" i="25"/>
  <c r="B5" i="120"/>
  <c r="E10" i="25"/>
  <c r="B9" i="120"/>
  <c r="E3" i="25"/>
  <c r="E7" i="25"/>
  <c r="B12" i="120"/>
  <c r="B6" i="120"/>
  <c r="E12" i="25"/>
  <c r="E11" i="25"/>
  <c r="I39" i="98"/>
  <c r="H39" i="98"/>
  <c r="H41" i="98"/>
  <c r="H42" i="98"/>
  <c r="BS37" i="125"/>
  <c r="BS35" i="125"/>
  <c r="BS36" i="125"/>
  <c r="BS38" i="125"/>
  <c r="BS35" i="127"/>
  <c r="BS36" i="127"/>
  <c r="BS12" i="127"/>
  <c r="I42" i="98"/>
  <c r="I41" i="98"/>
  <c r="CM39" i="127"/>
  <c r="CM35" i="127"/>
  <c r="CM40" i="127"/>
  <c r="CM36" i="127"/>
  <c r="CM32" i="127"/>
  <c r="CM41" i="127"/>
  <c r="CM37" i="127"/>
  <c r="CM33" i="127"/>
  <c r="CM38" i="127"/>
  <c r="CM34" i="127"/>
  <c r="CM31" i="127"/>
  <c r="CM27" i="127"/>
  <c r="CM23" i="127"/>
  <c r="CM28" i="127"/>
  <c r="CM24" i="127"/>
  <c r="CM29" i="127"/>
  <c r="CM25" i="127"/>
  <c r="CM30" i="127"/>
  <c r="CM26" i="127"/>
  <c r="CM22" i="127"/>
  <c r="CM18" i="127"/>
  <c r="CM14" i="127"/>
  <c r="CM19" i="127"/>
  <c r="CM15" i="127"/>
  <c r="CM16" i="127"/>
  <c r="CM21" i="127"/>
  <c r="CM17" i="127"/>
  <c r="CM13" i="127"/>
  <c r="CM10" i="127"/>
  <c r="CM12" i="127"/>
  <c r="CM11" i="127"/>
  <c r="CM7" i="127"/>
  <c r="CM8" i="127"/>
  <c r="CM9" i="127"/>
  <c r="CN40" i="125"/>
  <c r="CN41" i="125"/>
  <c r="CN36" i="125"/>
  <c r="CN32" i="125"/>
  <c r="CN28" i="125"/>
  <c r="CN24" i="125"/>
  <c r="CN39" i="125"/>
  <c r="CN35" i="125"/>
  <c r="CN31" i="125"/>
  <c r="CN27" i="125"/>
  <c r="CN23" i="125"/>
  <c r="CN38" i="125"/>
  <c r="CN34" i="125"/>
  <c r="CN30" i="125"/>
  <c r="CN26" i="125"/>
  <c r="CN22" i="125"/>
  <c r="CN37" i="125"/>
  <c r="CN33" i="125"/>
  <c r="CN25" i="125"/>
  <c r="CN21" i="125"/>
  <c r="CN18" i="125"/>
  <c r="CN14" i="125"/>
  <c r="CN10" i="125"/>
  <c r="CN6" i="125"/>
  <c r="CN17" i="125"/>
  <c r="CN13" i="125"/>
  <c r="CN9" i="125"/>
  <c r="CN20" i="125"/>
  <c r="CN16" i="125"/>
  <c r="CN8" i="125"/>
  <c r="CN19" i="125"/>
  <c r="CN15" i="125"/>
  <c r="CN7" i="125"/>
  <c r="BM41" i="125"/>
  <c r="BM32" i="125"/>
  <c r="BM28" i="125"/>
  <c r="BO28" i="125"/>
  <c r="BM24" i="125"/>
  <c r="BM40" i="125"/>
  <c r="BO40" i="125"/>
  <c r="BM39" i="125"/>
  <c r="BM31" i="125"/>
  <c r="BM27" i="125"/>
  <c r="BM23" i="125"/>
  <c r="BM34" i="125"/>
  <c r="BM30" i="125"/>
  <c r="BO30" i="125"/>
  <c r="BM26" i="125"/>
  <c r="BM22" i="125"/>
  <c r="BO22" i="125"/>
  <c r="BM33" i="125"/>
  <c r="BM25" i="125"/>
  <c r="BO25" i="125"/>
  <c r="BM21" i="125"/>
  <c r="BM18" i="125"/>
  <c r="BO18" i="125"/>
  <c r="BM14" i="125"/>
  <c r="BM10" i="125"/>
  <c r="BO10" i="125"/>
  <c r="BM6" i="125"/>
  <c r="BM17" i="125"/>
  <c r="BO17" i="125"/>
  <c r="BM13" i="125"/>
  <c r="BN13" i="125"/>
  <c r="BM9" i="125"/>
  <c r="BO9" i="125"/>
  <c r="BM20" i="125"/>
  <c r="BO20" i="125"/>
  <c r="BM16" i="125"/>
  <c r="BM8" i="125"/>
  <c r="BO8" i="125"/>
  <c r="BM19" i="125"/>
  <c r="BO19" i="125"/>
  <c r="BM15" i="125"/>
  <c r="BM7" i="125"/>
  <c r="BO7" i="125"/>
  <c r="CM41" i="125"/>
  <c r="CM40" i="125"/>
  <c r="CM37" i="125"/>
  <c r="CM33" i="125"/>
  <c r="CM25" i="125"/>
  <c r="CM36" i="125"/>
  <c r="CM32" i="125"/>
  <c r="CM28" i="125"/>
  <c r="CM24" i="125"/>
  <c r="CM39" i="125"/>
  <c r="CM35" i="125"/>
  <c r="CM31" i="125"/>
  <c r="CM27" i="125"/>
  <c r="CM23" i="125"/>
  <c r="CM38" i="125"/>
  <c r="CM34" i="125"/>
  <c r="CM30" i="125"/>
  <c r="CM26" i="125"/>
  <c r="CM22" i="125"/>
  <c r="CM21" i="125"/>
  <c r="CM19" i="125"/>
  <c r="CM15" i="125"/>
  <c r="CM7" i="125"/>
  <c r="CM18" i="125"/>
  <c r="CM14" i="125"/>
  <c r="CM10" i="125"/>
  <c r="CM6" i="125"/>
  <c r="CM17" i="125"/>
  <c r="CM13" i="125"/>
  <c r="CM9" i="125"/>
  <c r="CM20" i="125"/>
  <c r="CM16" i="125"/>
  <c r="CM8" i="125"/>
  <c r="BM38" i="127"/>
  <c r="BN38" i="127"/>
  <c r="BO38" i="127"/>
  <c r="BM34" i="127"/>
  <c r="BM39" i="127"/>
  <c r="BN39" i="127"/>
  <c r="BM40" i="127"/>
  <c r="BM41" i="127"/>
  <c r="BM37" i="127"/>
  <c r="BN37" i="127"/>
  <c r="BM33" i="127"/>
  <c r="BM30" i="127"/>
  <c r="BM26" i="127"/>
  <c r="BN26" i="127"/>
  <c r="BM31" i="127"/>
  <c r="BM27" i="127"/>
  <c r="BM23" i="127"/>
  <c r="BM32" i="127"/>
  <c r="BM24" i="127"/>
  <c r="BM25" i="127"/>
  <c r="BM21" i="127"/>
  <c r="BM17" i="127"/>
  <c r="BN17" i="127"/>
  <c r="BO17" i="127"/>
  <c r="BM22" i="127"/>
  <c r="BM18" i="127"/>
  <c r="BM14" i="127"/>
  <c r="BM19" i="127"/>
  <c r="BM15" i="127"/>
  <c r="BM16" i="127"/>
  <c r="BM13" i="127"/>
  <c r="BM9" i="127"/>
  <c r="BM10" i="127"/>
  <c r="BM7" i="127"/>
  <c r="BM8" i="127"/>
  <c r="CN40" i="127"/>
  <c r="CN36" i="127"/>
  <c r="CN32" i="127"/>
  <c r="CN41" i="127"/>
  <c r="CN37" i="127"/>
  <c r="CN33" i="127"/>
  <c r="CN38" i="127"/>
  <c r="CN34" i="127"/>
  <c r="CN39" i="127"/>
  <c r="CN35" i="127"/>
  <c r="CN24" i="127"/>
  <c r="CN29" i="127"/>
  <c r="CN25" i="127"/>
  <c r="CN30" i="127"/>
  <c r="CN26" i="127"/>
  <c r="CN31" i="127"/>
  <c r="CN27" i="127"/>
  <c r="CN23" i="127"/>
  <c r="CN19" i="127"/>
  <c r="CN15" i="127"/>
  <c r="CN16" i="127"/>
  <c r="CN21" i="127"/>
  <c r="CN17" i="127"/>
  <c r="CN13" i="127"/>
  <c r="CN22" i="127"/>
  <c r="CN18" i="127"/>
  <c r="CN11" i="127"/>
  <c r="CN7" i="127"/>
  <c r="CN8" i="127"/>
  <c r="CN9" i="127"/>
  <c r="CM24" i="12"/>
  <c r="CM21" i="12"/>
  <c r="CM28" i="12"/>
  <c r="CM23" i="12"/>
  <c r="CM31" i="12"/>
  <c r="CM27" i="12"/>
  <c r="CM41" i="12"/>
  <c r="CM36" i="12"/>
  <c r="CM40" i="12"/>
  <c r="CM35" i="12"/>
  <c r="CM37" i="12"/>
  <c r="CM33" i="12"/>
  <c r="CM39" i="12"/>
  <c r="CM19" i="12"/>
  <c r="CM32" i="12"/>
  <c r="CM20" i="12"/>
  <c r="CM34" i="12"/>
  <c r="BO6" i="125"/>
  <c r="BO14" i="125"/>
  <c r="BO16" i="125"/>
  <c r="BO24" i="125"/>
  <c r="BO13" i="125"/>
  <c r="BO15" i="125"/>
  <c r="BO21" i="125"/>
  <c r="BO26" i="125"/>
  <c r="BO27" i="125"/>
  <c r="BO31" i="125"/>
  <c r="BO39" i="127"/>
  <c r="BO37" i="127"/>
  <c r="BO32" i="125"/>
  <c r="BO34" i="125"/>
  <c r="BO41" i="125"/>
  <c r="BO39" i="125"/>
  <c r="BO23" i="125"/>
  <c r="BO33" i="125"/>
  <c r="BO26" i="127"/>
  <c r="CN24" i="12"/>
  <c r="CN33" i="12"/>
  <c r="CN26" i="12"/>
  <c r="CN36" i="12"/>
  <c r="CN39" i="12"/>
  <c r="CN40" i="12"/>
  <c r="CN28" i="12"/>
  <c r="CN19" i="12"/>
  <c r="CN23" i="12"/>
  <c r="CN21" i="12"/>
  <c r="CN18" i="12"/>
  <c r="CN27" i="12"/>
  <c r="CN20" i="12"/>
  <c r="CN41" i="12"/>
  <c r="CN32" i="12"/>
  <c r="CN35" i="12"/>
  <c r="CN34" i="12"/>
  <c r="CN37" i="12"/>
  <c r="CN31" i="12"/>
  <c r="BM16" i="12"/>
  <c r="BM18" i="12"/>
  <c r="BM20" i="12"/>
  <c r="BO20" i="12"/>
  <c r="BM24" i="12"/>
  <c r="BO24" i="12"/>
  <c r="BM26" i="12"/>
  <c r="BM28" i="12"/>
  <c r="BO28" i="12"/>
  <c r="BM30" i="12"/>
  <c r="BM32" i="12"/>
  <c r="BO32" i="12"/>
  <c r="BM34" i="12"/>
  <c r="BO34" i="12"/>
  <c r="BM40" i="12"/>
  <c r="BO40" i="12"/>
  <c r="BM8" i="12"/>
  <c r="BM15" i="12"/>
  <c r="BM19" i="12"/>
  <c r="BO19" i="12"/>
  <c r="BM21" i="12"/>
  <c r="BO21" i="12"/>
  <c r="BM23" i="12"/>
  <c r="BO23" i="12"/>
  <c r="BM25" i="12"/>
  <c r="BM27" i="12"/>
  <c r="BO27" i="12"/>
  <c r="BM31" i="12"/>
  <c r="BO31" i="12"/>
  <c r="BM33" i="12"/>
  <c r="BO33" i="12"/>
  <c r="BM39" i="12"/>
  <c r="BO39" i="12"/>
  <c r="BM41" i="12"/>
  <c r="BO41" i="12"/>
  <c r="BL7" i="25"/>
  <c r="BN9" i="127"/>
  <c r="BO9" i="127"/>
  <c r="BN30" i="127"/>
  <c r="BN34" i="127"/>
  <c r="BO34" i="127"/>
  <c r="BN13" i="127"/>
  <c r="BO13" i="127"/>
  <c r="BN19" i="127"/>
  <c r="BO19" i="127"/>
  <c r="BN24" i="127"/>
  <c r="BO24" i="127"/>
  <c r="BN16" i="127"/>
  <c r="BO16" i="127"/>
  <c r="BN21" i="127"/>
  <c r="BO21" i="127"/>
  <c r="BN31" i="127"/>
  <c r="BO31" i="127"/>
  <c r="BN15" i="127"/>
  <c r="BO15" i="127"/>
  <c r="BN22" i="127"/>
  <c r="BO22" i="127"/>
  <c r="BN23" i="127"/>
  <c r="BO23" i="127"/>
  <c r="BN8" i="127"/>
  <c r="BO8" i="127"/>
  <c r="BN27" i="127"/>
  <c r="BO27" i="127"/>
  <c r="BN33" i="127"/>
  <c r="BO33" i="127"/>
  <c r="BN40" i="127"/>
  <c r="BO40" i="127"/>
  <c r="BN7" i="127"/>
  <c r="BO7" i="127"/>
  <c r="BN18" i="127"/>
  <c r="BO18" i="127"/>
  <c r="BN25" i="127"/>
  <c r="BO25" i="127"/>
  <c r="BN32" i="127"/>
  <c r="BO32" i="127"/>
  <c r="BN41" i="127"/>
  <c r="BO41" i="127"/>
  <c r="BL3" i="25"/>
  <c r="BO30" i="127"/>
  <c r="CN14" i="12"/>
  <c r="CN15" i="12"/>
  <c r="CN16" i="12"/>
  <c r="CM16" i="12"/>
  <c r="I32" i="98"/>
  <c r="H32" i="98"/>
  <c r="G32" i="98"/>
  <c r="G18" i="98"/>
  <c r="R16" i="12"/>
  <c r="L6" i="12"/>
  <c r="L11" i="12"/>
  <c r="L8" i="12"/>
  <c r="L12" i="12"/>
  <c r="N12" i="12" s="1"/>
  <c r="F5" i="12"/>
  <c r="A5" i="12"/>
  <c r="D5" i="12"/>
  <c r="C5" i="12"/>
  <c r="B5" i="12"/>
  <c r="C13" i="12"/>
  <c r="D13" i="12"/>
  <c r="A13" i="12"/>
  <c r="F13" i="12"/>
  <c r="B13" i="12"/>
  <c r="D17" i="12"/>
  <c r="A17" i="12"/>
  <c r="F17" i="12"/>
  <c r="B17" i="12"/>
  <c r="C17" i="12"/>
  <c r="D6" i="12"/>
  <c r="A6" i="12"/>
  <c r="F6" i="12"/>
  <c r="B6" i="12"/>
  <c r="C6" i="12"/>
  <c r="D10" i="12"/>
  <c r="A10" i="12"/>
  <c r="F10" i="12"/>
  <c r="B10" i="12"/>
  <c r="C10" i="12"/>
  <c r="B14" i="12"/>
  <c r="C14" i="12"/>
  <c r="D14" i="12"/>
  <c r="F14" i="12"/>
  <c r="A14" i="12"/>
  <c r="A7" i="12"/>
  <c r="F7" i="12"/>
  <c r="B7" i="12"/>
  <c r="C7" i="12"/>
  <c r="D7" i="12"/>
  <c r="A11" i="12"/>
  <c r="F11" i="12"/>
  <c r="B11" i="12"/>
  <c r="C11" i="12"/>
  <c r="D11" i="12"/>
  <c r="B15" i="12"/>
  <c r="C15" i="12"/>
  <c r="D15" i="12"/>
  <c r="A15" i="12"/>
  <c r="F15" i="12"/>
  <c r="C9" i="12"/>
  <c r="D9" i="12"/>
  <c r="A9" i="12"/>
  <c r="F9" i="12"/>
  <c r="B9" i="12"/>
  <c r="B8" i="12"/>
  <c r="C8" i="12"/>
  <c r="D8" i="12"/>
  <c r="F8" i="12"/>
  <c r="A8" i="12"/>
  <c r="B12" i="12"/>
  <c r="C12" i="12"/>
  <c r="D12" i="12"/>
  <c r="A12" i="12"/>
  <c r="F12" i="12"/>
  <c r="C16" i="12"/>
  <c r="D16" i="12"/>
  <c r="A16" i="12"/>
  <c r="F16" i="12"/>
  <c r="B16" i="12"/>
  <c r="DW36" i="125"/>
  <c r="BH36" i="125"/>
  <c r="DW36" i="127"/>
  <c r="DW36" i="12"/>
  <c r="BM37" i="12"/>
  <c r="BM35" i="125"/>
  <c r="BM38" i="125"/>
  <c r="BM36" i="127"/>
  <c r="BM37" i="125"/>
  <c r="BN37" i="125"/>
  <c r="BO37" i="125"/>
  <c r="BM36" i="125"/>
  <c r="BM35" i="127"/>
  <c r="BM36" i="12"/>
  <c r="BM35" i="12"/>
  <c r="DW35" i="125"/>
  <c r="DW35" i="127"/>
  <c r="DW35" i="12"/>
  <c r="DW38" i="125"/>
  <c r="DW37" i="125"/>
  <c r="BH37" i="125"/>
  <c r="DW37" i="12"/>
  <c r="DW12" i="12"/>
  <c r="DW12" i="125"/>
  <c r="DW12" i="127"/>
  <c r="DW11" i="12"/>
  <c r="DW11" i="125"/>
  <c r="DW5" i="125"/>
  <c r="DW29" i="127"/>
  <c r="T16" i="12"/>
  <c r="S14" i="12"/>
  <c r="U14" i="12"/>
  <c r="U16" i="12"/>
  <c r="S16" i="12"/>
  <c r="T15" i="12"/>
  <c r="S15" i="12"/>
  <c r="R15" i="12"/>
  <c r="BN36" i="125"/>
  <c r="BO36" i="125"/>
  <c r="BH38" i="125"/>
  <c r="BN38" i="125"/>
  <c r="BH37" i="12"/>
  <c r="BN37" i="12"/>
  <c r="BH35" i="12"/>
  <c r="BN35" i="12"/>
  <c r="BH35" i="127"/>
  <c r="BN35" i="127"/>
  <c r="BH36" i="12"/>
  <c r="BN36" i="12"/>
  <c r="BH35" i="125"/>
  <c r="BN35" i="125"/>
  <c r="BH36" i="127"/>
  <c r="BN36" i="127"/>
  <c r="BO35" i="125"/>
  <c r="BO36" i="12"/>
  <c r="BO35" i="12"/>
  <c r="BO35" i="127"/>
  <c r="BO37" i="12"/>
  <c r="BO38" i="125"/>
  <c r="BO36" i="127"/>
  <c r="DI32" i="127"/>
  <c r="DI38" i="127"/>
  <c r="DI28" i="127"/>
  <c r="DI30" i="127"/>
  <c r="DI27" i="127"/>
  <c r="DI17" i="127"/>
  <c r="DI41" i="127"/>
  <c r="DI34" i="127"/>
  <c r="DI24" i="127"/>
  <c r="DI26" i="127"/>
  <c r="DI23" i="127"/>
  <c r="DI16" i="127"/>
  <c r="DI13" i="127"/>
  <c r="DI7" i="127"/>
  <c r="DI40" i="127"/>
  <c r="DI37" i="127"/>
  <c r="DI39" i="127"/>
  <c r="DI22" i="127"/>
  <c r="DI19" i="127"/>
  <c r="DI18" i="127"/>
  <c r="DI8" i="127"/>
  <c r="DI33" i="127"/>
  <c r="DI25" i="127"/>
  <c r="DI31" i="127"/>
  <c r="DI15" i="127"/>
  <c r="DI21" i="127"/>
  <c r="DI9" i="127"/>
  <c r="DI40" i="125"/>
  <c r="DI32" i="125"/>
  <c r="DI31" i="125"/>
  <c r="DI34" i="125"/>
  <c r="DI21" i="125"/>
  <c r="DI6" i="125"/>
  <c r="DI8" i="125"/>
  <c r="DI7" i="125"/>
  <c r="DI39" i="125"/>
  <c r="DI28" i="125"/>
  <c r="DI27" i="125"/>
  <c r="DI30" i="125"/>
  <c r="DI33" i="125"/>
  <c r="DI18" i="125"/>
  <c r="DI17" i="125"/>
  <c r="DI20" i="125"/>
  <c r="DI19" i="125"/>
  <c r="DI41" i="125"/>
  <c r="DI24" i="125"/>
  <c r="DI23" i="125"/>
  <c r="DI26" i="125"/>
  <c r="DI14" i="125"/>
  <c r="DI13" i="125"/>
  <c r="DI16" i="125"/>
  <c r="DI15" i="125"/>
  <c r="DI22" i="125"/>
  <c r="DI25" i="125"/>
  <c r="DI10" i="125"/>
  <c r="DI9" i="125"/>
  <c r="G84" i="98"/>
  <c r="I82" i="98"/>
  <c r="DI34" i="12"/>
  <c r="DI40" i="12"/>
  <c r="DI26" i="12"/>
  <c r="DI24" i="12"/>
  <c r="DI41" i="12"/>
  <c r="DI21" i="12"/>
  <c r="DI18" i="12"/>
  <c r="DI33" i="12"/>
  <c r="DI32" i="12"/>
  <c r="DI23" i="12"/>
  <c r="DI31" i="12"/>
  <c r="DI39" i="12"/>
  <c r="DI28" i="12"/>
  <c r="DI20" i="12"/>
  <c r="DI19" i="12"/>
  <c r="DI27" i="12"/>
  <c r="I83" i="98"/>
  <c r="I84" i="98"/>
  <c r="L84" i="98"/>
  <c r="L82" i="98"/>
  <c r="L83" i="98"/>
  <c r="DG38" i="127"/>
  <c r="DG40" i="127"/>
  <c r="DG37" i="127"/>
  <c r="DG22" i="127"/>
  <c r="DG21" i="127"/>
  <c r="DG16" i="127"/>
  <c r="DG8" i="127"/>
  <c r="DG34" i="127"/>
  <c r="DG33" i="127"/>
  <c r="DG31" i="127"/>
  <c r="DG24" i="127"/>
  <c r="DG17" i="127"/>
  <c r="DG19" i="127"/>
  <c r="DG39" i="127"/>
  <c r="DG32" i="127"/>
  <c r="DG30" i="127"/>
  <c r="DG27" i="127"/>
  <c r="DG13" i="127"/>
  <c r="DG15" i="127"/>
  <c r="DG9" i="127"/>
  <c r="DG41" i="127"/>
  <c r="DG26" i="127"/>
  <c r="DG23" i="127"/>
  <c r="DG25" i="127"/>
  <c r="DG18" i="127"/>
  <c r="DG20" i="127"/>
  <c r="DG7" i="127"/>
  <c r="CU38" i="127"/>
  <c r="CU40" i="127"/>
  <c r="CU25" i="127"/>
  <c r="CU27" i="127"/>
  <c r="CU13" i="127"/>
  <c r="CU19" i="127"/>
  <c r="CU5" i="127"/>
  <c r="CU11" i="127"/>
  <c r="CU41" i="127"/>
  <c r="CU34" i="127"/>
  <c r="CU36" i="127"/>
  <c r="CU30" i="127"/>
  <c r="CU23" i="127"/>
  <c r="CU16" i="127"/>
  <c r="CU22" i="127"/>
  <c r="CU15" i="127"/>
  <c r="CU12" i="127"/>
  <c r="CU7" i="127"/>
  <c r="CU37" i="127"/>
  <c r="CU39" i="127"/>
  <c r="CU32" i="127"/>
  <c r="CU26" i="127"/>
  <c r="CU21" i="127"/>
  <c r="CU18" i="127"/>
  <c r="CU8" i="127"/>
  <c r="CU33" i="127"/>
  <c r="CU35" i="127"/>
  <c r="CU29" i="127"/>
  <c r="CU31" i="127"/>
  <c r="CU24" i="127"/>
  <c r="CU17" i="127"/>
  <c r="CU9" i="127"/>
  <c r="CR35" i="127"/>
  <c r="CR41" i="127"/>
  <c r="CR26" i="127"/>
  <c r="CR21" i="127"/>
  <c r="CR18" i="127"/>
  <c r="CR5" i="127"/>
  <c r="CR7" i="127"/>
  <c r="CR38" i="127"/>
  <c r="CR40" i="127"/>
  <c r="CR37" i="127"/>
  <c r="CR31" i="127"/>
  <c r="CR24" i="127"/>
  <c r="CR17" i="127"/>
  <c r="CR16" i="127"/>
  <c r="CR10" i="127"/>
  <c r="CR8" i="127"/>
  <c r="CR34" i="127"/>
  <c r="CR36" i="127"/>
  <c r="CR33" i="127"/>
  <c r="CR27" i="127"/>
  <c r="CR29" i="127"/>
  <c r="CR13" i="127"/>
  <c r="CR19" i="127"/>
  <c r="CR39" i="127"/>
  <c r="CR32" i="127"/>
  <c r="CR30" i="127"/>
  <c r="CR23" i="127"/>
  <c r="CR25" i="127"/>
  <c r="CR22" i="127"/>
  <c r="CR15" i="127"/>
  <c r="CR9" i="127"/>
  <c r="CR11" i="127"/>
  <c r="CQ33" i="127"/>
  <c r="CQ35" i="127"/>
  <c r="CQ29" i="127"/>
  <c r="CQ31" i="127"/>
  <c r="CQ24" i="127"/>
  <c r="CQ17" i="127"/>
  <c r="CQ8" i="127"/>
  <c r="CQ38" i="127"/>
  <c r="CQ40" i="127"/>
  <c r="CQ25" i="127"/>
  <c r="CQ27" i="127"/>
  <c r="CQ13" i="127"/>
  <c r="CQ19" i="127"/>
  <c r="CQ9" i="127"/>
  <c r="CQ11" i="127"/>
  <c r="CQ41" i="127"/>
  <c r="CQ34" i="127"/>
  <c r="CQ36" i="127"/>
  <c r="CQ30" i="127"/>
  <c r="CQ23" i="127"/>
  <c r="CQ16" i="127"/>
  <c r="CQ22" i="127"/>
  <c r="CQ15" i="127"/>
  <c r="CQ5" i="127"/>
  <c r="CQ7" i="127"/>
  <c r="CQ37" i="127"/>
  <c r="CQ39" i="127"/>
  <c r="CQ32" i="127"/>
  <c r="CQ26" i="127"/>
  <c r="CQ21" i="127"/>
  <c r="CQ18" i="127"/>
  <c r="CQ12" i="127"/>
  <c r="CQ10" i="127"/>
  <c r="CV38" i="127"/>
  <c r="CV34" i="127"/>
  <c r="CV39" i="127"/>
  <c r="CV35" i="127"/>
  <c r="CV40" i="127"/>
  <c r="CV36" i="127"/>
  <c r="CV32" i="127"/>
  <c r="CV41" i="127"/>
  <c r="CV37" i="127"/>
  <c r="CV33" i="127"/>
  <c r="CV30" i="127"/>
  <c r="CV26" i="127"/>
  <c r="CV31" i="127"/>
  <c r="CV27" i="127"/>
  <c r="CV23" i="127"/>
  <c r="CV28" i="127"/>
  <c r="CV24" i="127"/>
  <c r="CV29" i="127"/>
  <c r="CV25" i="127"/>
  <c r="CV21" i="127"/>
  <c r="CV17" i="127"/>
  <c r="CV13" i="127"/>
  <c r="CV22" i="127"/>
  <c r="CV18" i="127"/>
  <c r="CV19" i="127"/>
  <c r="CV15" i="127"/>
  <c r="CV16" i="127"/>
  <c r="CV9" i="127"/>
  <c r="CV10" i="127"/>
  <c r="CV11" i="127"/>
  <c r="CV7" i="127"/>
  <c r="CV8" i="127"/>
  <c r="CT40" i="127"/>
  <c r="CT36" i="127"/>
  <c r="CT32" i="127"/>
  <c r="CT41" i="127"/>
  <c r="CT37" i="127"/>
  <c r="CT33" i="127"/>
  <c r="CT38" i="127"/>
  <c r="CT34" i="127"/>
  <c r="CT39" i="127"/>
  <c r="CT35" i="127"/>
  <c r="CT24" i="127"/>
  <c r="CT25" i="127"/>
  <c r="CT30" i="127"/>
  <c r="CT26" i="127"/>
  <c r="CT31" i="127"/>
  <c r="CT27" i="127"/>
  <c r="CT23" i="127"/>
  <c r="CT19" i="127"/>
  <c r="CT15" i="127"/>
  <c r="CT16" i="127"/>
  <c r="CT21" i="127"/>
  <c r="CT17" i="127"/>
  <c r="CT13" i="127"/>
  <c r="CT22" i="127"/>
  <c r="CT18" i="127"/>
  <c r="CT7" i="127"/>
  <c r="CT8" i="127"/>
  <c r="CT9" i="127"/>
  <c r="CX40" i="127"/>
  <c r="CX36" i="127"/>
  <c r="CX32" i="127"/>
  <c r="CX41" i="127"/>
  <c r="CX37" i="127"/>
  <c r="CX33" i="127"/>
  <c r="CX38" i="127"/>
  <c r="CX34" i="127"/>
  <c r="CX39" i="127"/>
  <c r="CX35" i="127"/>
  <c r="CX24" i="127"/>
  <c r="CX29" i="127"/>
  <c r="CX25" i="127"/>
  <c r="CX30" i="127"/>
  <c r="CX26" i="127"/>
  <c r="CX31" i="127"/>
  <c r="CX27" i="127"/>
  <c r="CX23" i="127"/>
  <c r="CX19" i="127"/>
  <c r="CX15" i="127"/>
  <c r="CX16" i="127"/>
  <c r="CX21" i="127"/>
  <c r="CX17" i="127"/>
  <c r="CX13" i="127"/>
  <c r="CX22" i="127"/>
  <c r="CX18" i="127"/>
  <c r="CX11" i="127"/>
  <c r="CX7" i="127"/>
  <c r="CX8" i="127"/>
  <c r="CX9" i="127"/>
  <c r="CS39" i="127"/>
  <c r="CS35" i="127"/>
  <c r="CS40" i="127"/>
  <c r="CS36" i="127"/>
  <c r="CS32" i="127"/>
  <c r="CS41" i="127"/>
  <c r="CS37" i="127"/>
  <c r="CS33" i="127"/>
  <c r="CS38" i="127"/>
  <c r="CS34" i="127"/>
  <c r="CS31" i="127"/>
  <c r="CS27" i="127"/>
  <c r="CS23" i="127"/>
  <c r="CS24" i="127"/>
  <c r="CS29" i="127"/>
  <c r="CS25" i="127"/>
  <c r="CS30" i="127"/>
  <c r="CS26" i="127"/>
  <c r="CS22" i="127"/>
  <c r="CS18" i="127"/>
  <c r="CS19" i="127"/>
  <c r="CS15" i="127"/>
  <c r="CS16" i="127"/>
  <c r="CS21" i="127"/>
  <c r="CS17" i="127"/>
  <c r="CS13" i="127"/>
  <c r="CS11" i="127"/>
  <c r="CS7" i="127"/>
  <c r="CS8" i="127"/>
  <c r="CS9" i="127"/>
  <c r="CZ38" i="127"/>
  <c r="CZ34" i="127"/>
  <c r="CZ39" i="127"/>
  <c r="CZ35" i="127"/>
  <c r="CZ40" i="127"/>
  <c r="CZ36" i="127"/>
  <c r="CZ32" i="127"/>
  <c r="CZ41" i="127"/>
  <c r="CZ37" i="127"/>
  <c r="CZ33" i="127"/>
  <c r="CZ30" i="127"/>
  <c r="CZ26" i="127"/>
  <c r="CZ31" i="127"/>
  <c r="CZ27" i="127"/>
  <c r="CZ23" i="127"/>
  <c r="CZ28" i="127"/>
  <c r="CZ24" i="127"/>
  <c r="CZ25" i="127"/>
  <c r="CZ21" i="127"/>
  <c r="CZ17" i="127"/>
  <c r="CZ13" i="127"/>
  <c r="CZ18" i="127"/>
  <c r="CZ14" i="127"/>
  <c r="CZ22" i="127"/>
  <c r="CZ19" i="127"/>
  <c r="CZ15" i="127"/>
  <c r="CZ16" i="127"/>
  <c r="CZ9" i="127"/>
  <c r="CZ10" i="127"/>
  <c r="CZ11" i="127"/>
  <c r="CZ7" i="127"/>
  <c r="CZ8" i="127"/>
  <c r="CD3" i="25"/>
  <c r="CA3" i="25"/>
  <c r="CB3" i="25"/>
  <c r="BY3" i="25"/>
  <c r="BZ3" i="25"/>
  <c r="DF7" i="127"/>
  <c r="DJ7" i="127"/>
  <c r="DF21" i="127"/>
  <c r="DJ21" i="127"/>
  <c r="DF16" i="127"/>
  <c r="DJ16" i="127"/>
  <c r="DF13" i="127"/>
  <c r="DJ13" i="127"/>
  <c r="DF17" i="127"/>
  <c r="DJ17" i="127"/>
  <c r="DF32" i="127"/>
  <c r="DJ32" i="127"/>
  <c r="DF26" i="127"/>
  <c r="DJ26" i="127"/>
  <c r="DF31" i="127"/>
  <c r="DJ31" i="127"/>
  <c r="DF37" i="127"/>
  <c r="DJ37" i="127"/>
  <c r="DF30" i="127"/>
  <c r="DJ30" i="127"/>
  <c r="DF22" i="127"/>
  <c r="DJ22" i="127"/>
  <c r="DF41" i="127"/>
  <c r="DJ41" i="127"/>
  <c r="DF18" i="127"/>
  <c r="DJ18" i="127"/>
  <c r="DF25" i="127"/>
  <c r="DJ25" i="127"/>
  <c r="DF34" i="127"/>
  <c r="DJ34" i="127"/>
  <c r="DF8" i="127"/>
  <c r="DJ8" i="127"/>
  <c r="DF23" i="127"/>
  <c r="DJ23" i="127"/>
  <c r="DF38" i="127"/>
  <c r="DJ38" i="127"/>
  <c r="DF15" i="127"/>
  <c r="DJ15" i="127"/>
  <c r="DF9" i="127"/>
  <c r="DJ9" i="127"/>
  <c r="DF27" i="127"/>
  <c r="DJ27" i="127"/>
  <c r="DF33" i="127"/>
  <c r="DJ33" i="127"/>
  <c r="DF19" i="127"/>
  <c r="DJ19" i="127"/>
  <c r="CL35" i="127"/>
  <c r="CL41" i="127"/>
  <c r="CL26" i="127"/>
  <c r="CL21" i="127"/>
  <c r="CL18" i="127"/>
  <c r="CL7" i="127"/>
  <c r="CL38" i="127"/>
  <c r="CL40" i="127"/>
  <c r="CL37" i="127"/>
  <c r="CL31" i="127"/>
  <c r="CL24" i="127"/>
  <c r="CL17" i="127"/>
  <c r="CL16" i="127"/>
  <c r="CL8" i="127"/>
  <c r="CL34" i="127"/>
  <c r="CL36" i="127"/>
  <c r="CL33" i="127"/>
  <c r="CL27" i="127"/>
  <c r="CL29" i="127"/>
  <c r="CL13" i="127"/>
  <c r="CL19" i="127"/>
  <c r="CL12" i="127"/>
  <c r="CL39" i="127"/>
  <c r="CL32" i="127"/>
  <c r="CL30" i="127"/>
  <c r="CL23" i="127"/>
  <c r="CL25" i="127"/>
  <c r="CL22" i="127"/>
  <c r="CL15" i="127"/>
  <c r="CL9" i="127"/>
  <c r="CL11" i="127"/>
  <c r="DF24" i="127"/>
  <c r="DJ24" i="127"/>
  <c r="DF39" i="127"/>
  <c r="DJ39" i="127"/>
  <c r="DF40" i="127"/>
  <c r="DJ40" i="127"/>
  <c r="CK41" i="127"/>
  <c r="CK34" i="127"/>
  <c r="CK36" i="127"/>
  <c r="CK30" i="127"/>
  <c r="CK23" i="127"/>
  <c r="CK16" i="127"/>
  <c r="CK22" i="127"/>
  <c r="CK15" i="127"/>
  <c r="CK12" i="127"/>
  <c r="CK7" i="127"/>
  <c r="CK37" i="127"/>
  <c r="CK39" i="127"/>
  <c r="CK32" i="127"/>
  <c r="CK26" i="127"/>
  <c r="CK21" i="127"/>
  <c r="CK18" i="127"/>
  <c r="CK8" i="127"/>
  <c r="CK33" i="127"/>
  <c r="CK35" i="127"/>
  <c r="CK29" i="127"/>
  <c r="CK31" i="127"/>
  <c r="CK24" i="127"/>
  <c r="CK17" i="127"/>
  <c r="CK9" i="127"/>
  <c r="CK6" i="127"/>
  <c r="CK38" i="127"/>
  <c r="CK40" i="127"/>
  <c r="CK25" i="127"/>
  <c r="CK27" i="127"/>
  <c r="CK13" i="127"/>
  <c r="CK19" i="127"/>
  <c r="CK11" i="127"/>
  <c r="DD34" i="127"/>
  <c r="DD23" i="127"/>
  <c r="DD39" i="127"/>
  <c r="DD27" i="127"/>
  <c r="DD24" i="127"/>
  <c r="DD22" i="127"/>
  <c r="DD17" i="127"/>
  <c r="DD18" i="127"/>
  <c r="DD41" i="127"/>
  <c r="DD31" i="127"/>
  <c r="DD7" i="127"/>
  <c r="DD32" i="127"/>
  <c r="DD19" i="127"/>
  <c r="DD21" i="127"/>
  <c r="DD40" i="127"/>
  <c r="DD36" i="127"/>
  <c r="DD26" i="127"/>
  <c r="DD37" i="127"/>
  <c r="DD30" i="127"/>
  <c r="DD35" i="127"/>
  <c r="DD16" i="127"/>
  <c r="DD15" i="127"/>
  <c r="DD38" i="127"/>
  <c r="DD25" i="127"/>
  <c r="DD13" i="127"/>
  <c r="DD8" i="127"/>
  <c r="DD33" i="127"/>
  <c r="DD9" i="127"/>
  <c r="CJ36" i="127"/>
  <c r="CJ33" i="127"/>
  <c r="CJ35" i="127"/>
  <c r="CJ25" i="127"/>
  <c r="CJ27" i="127"/>
  <c r="CJ17" i="127"/>
  <c r="CJ9" i="127"/>
  <c r="CJ32" i="127"/>
  <c r="CJ38" i="127"/>
  <c r="CJ30" i="127"/>
  <c r="CJ23" i="127"/>
  <c r="CJ16" i="127"/>
  <c r="CJ13" i="127"/>
  <c r="CJ11" i="127"/>
  <c r="CJ41" i="127"/>
  <c r="CJ34" i="127"/>
  <c r="CJ24" i="127"/>
  <c r="CJ26" i="127"/>
  <c r="CJ19" i="127"/>
  <c r="CJ12" i="127"/>
  <c r="CJ22" i="127"/>
  <c r="CJ7" i="127"/>
  <c r="CJ40" i="127"/>
  <c r="CJ37" i="127"/>
  <c r="CJ39" i="127"/>
  <c r="CJ29" i="127"/>
  <c r="CJ31" i="127"/>
  <c r="CJ15" i="127"/>
  <c r="CJ21" i="127"/>
  <c r="CJ18" i="127"/>
  <c r="CJ8" i="127"/>
  <c r="CI36" i="127"/>
  <c r="CI38" i="127"/>
  <c r="CI23" i="127"/>
  <c r="CI29" i="127"/>
  <c r="CI22" i="127"/>
  <c r="CI15" i="127"/>
  <c r="CI17" i="127"/>
  <c r="CI11" i="127"/>
  <c r="CI9" i="127"/>
  <c r="CI39" i="127"/>
  <c r="CI41" i="127"/>
  <c r="CI34" i="127"/>
  <c r="CI25" i="127"/>
  <c r="CI18" i="127"/>
  <c r="CI13" i="127"/>
  <c r="CI7" i="127"/>
  <c r="CI35" i="127"/>
  <c r="CI37" i="127"/>
  <c r="CI31" i="127"/>
  <c r="CI24" i="127"/>
  <c r="CI30" i="127"/>
  <c r="CI16" i="127"/>
  <c r="CI8" i="127"/>
  <c r="CI40" i="127"/>
  <c r="CI33" i="127"/>
  <c r="CI27" i="127"/>
  <c r="CI32" i="127"/>
  <c r="CI26" i="127"/>
  <c r="CI19" i="127"/>
  <c r="CI21" i="127"/>
  <c r="CI6" i="127"/>
  <c r="BY35" i="127"/>
  <c r="BY37" i="127"/>
  <c r="BY31" i="127"/>
  <c r="BY21" i="127"/>
  <c r="BY16" i="127"/>
  <c r="BY38" i="127"/>
  <c r="BY40" i="127"/>
  <c r="BY33" i="127"/>
  <c r="BY27" i="127"/>
  <c r="BY24" i="127"/>
  <c r="BY17" i="127"/>
  <c r="BY19" i="127"/>
  <c r="BY9" i="127"/>
  <c r="BY13" i="127"/>
  <c r="BY8" i="127"/>
  <c r="BY34" i="127"/>
  <c r="BY36" i="127"/>
  <c r="BY30" i="127"/>
  <c r="BY23" i="127"/>
  <c r="BY29" i="127"/>
  <c r="BY22" i="127"/>
  <c r="BY15" i="127"/>
  <c r="BY11" i="127"/>
  <c r="BY39" i="127"/>
  <c r="BY41" i="127"/>
  <c r="BY26" i="127"/>
  <c r="BY32" i="127"/>
  <c r="BY25" i="127"/>
  <c r="BY18" i="127"/>
  <c r="BY7" i="127"/>
  <c r="BZ35" i="127"/>
  <c r="BZ37" i="127"/>
  <c r="BZ31" i="127"/>
  <c r="BZ30" i="127"/>
  <c r="BZ16" i="127"/>
  <c r="BZ12" i="127"/>
  <c r="CF12" i="127" s="1"/>
  <c r="BZ40" i="127"/>
  <c r="BZ33" i="127"/>
  <c r="BZ27" i="127"/>
  <c r="BZ24" i="127"/>
  <c r="BZ26" i="127"/>
  <c r="BZ19" i="127"/>
  <c r="BZ21" i="127"/>
  <c r="BZ8" i="127"/>
  <c r="BZ36" i="127"/>
  <c r="BZ38" i="127"/>
  <c r="BZ23" i="127"/>
  <c r="BZ29" i="127"/>
  <c r="BZ22" i="127"/>
  <c r="BZ15" i="127"/>
  <c r="BZ17" i="127"/>
  <c r="BZ11" i="127"/>
  <c r="BZ9" i="127"/>
  <c r="BZ39" i="127"/>
  <c r="BZ41" i="127"/>
  <c r="BZ34" i="127"/>
  <c r="BZ32" i="127"/>
  <c r="BZ25" i="127"/>
  <c r="BZ18" i="127"/>
  <c r="BZ13" i="127"/>
  <c r="BZ7" i="127"/>
  <c r="CW39" i="127"/>
  <c r="CW32" i="127"/>
  <c r="CW38" i="127"/>
  <c r="CW23" i="127"/>
  <c r="CW25" i="127"/>
  <c r="CW18" i="127"/>
  <c r="CW20" i="127"/>
  <c r="CW13" i="127"/>
  <c r="CW11" i="127"/>
  <c r="CW5" i="127"/>
  <c r="CW35" i="127"/>
  <c r="CW41" i="127"/>
  <c r="CW34" i="127"/>
  <c r="CW30" i="127"/>
  <c r="CW16" i="127"/>
  <c r="CW7" i="127"/>
  <c r="CW40" i="127"/>
  <c r="CW37" i="127"/>
  <c r="CW31" i="127"/>
  <c r="CW24" i="127"/>
  <c r="CW26" i="127"/>
  <c r="CW19" i="127"/>
  <c r="CW21" i="127"/>
  <c r="CW8" i="127"/>
  <c r="CW36" i="127"/>
  <c r="CW33" i="127"/>
  <c r="CW27" i="127"/>
  <c r="CW29" i="127"/>
  <c r="CW22" i="127"/>
  <c r="CW15" i="127"/>
  <c r="CW17" i="127"/>
  <c r="CW9" i="127"/>
  <c r="CC38" i="127"/>
  <c r="CC34" i="127"/>
  <c r="CC39" i="127"/>
  <c r="CC35" i="127"/>
  <c r="CC40" i="127"/>
  <c r="CC36" i="127"/>
  <c r="CC41" i="127"/>
  <c r="CC37" i="127"/>
  <c r="CC33" i="127"/>
  <c r="CC30" i="127"/>
  <c r="CC26" i="127"/>
  <c r="CC31" i="127"/>
  <c r="CC27" i="127"/>
  <c r="CC23" i="127"/>
  <c r="CC32" i="127"/>
  <c r="CC24" i="127"/>
  <c r="CC29" i="127"/>
  <c r="CC25" i="127"/>
  <c r="CC21" i="127"/>
  <c r="CC17" i="127"/>
  <c r="CC13" i="127"/>
  <c r="CC22" i="127"/>
  <c r="CC18" i="127"/>
  <c r="CC19" i="127"/>
  <c r="CC15" i="127"/>
  <c r="CC16" i="127"/>
  <c r="CC9" i="127"/>
  <c r="CC11" i="127"/>
  <c r="CC7" i="127"/>
  <c r="CC12" i="127"/>
  <c r="CC8" i="127"/>
  <c r="CD39" i="127"/>
  <c r="CD35" i="127"/>
  <c r="CD40" i="127"/>
  <c r="CD36" i="127"/>
  <c r="CD41" i="127"/>
  <c r="CD37" i="127"/>
  <c r="CD33" i="127"/>
  <c r="CD38" i="127"/>
  <c r="CD34" i="127"/>
  <c r="CD31" i="127"/>
  <c r="CD27" i="127"/>
  <c r="CD23" i="127"/>
  <c r="CD32" i="127"/>
  <c r="CD28" i="127"/>
  <c r="CD24" i="127"/>
  <c r="CD29" i="127"/>
  <c r="CD25" i="127"/>
  <c r="CD30" i="127"/>
  <c r="CD26" i="127"/>
  <c r="CD22" i="127"/>
  <c r="CD18" i="127"/>
  <c r="CD14" i="127"/>
  <c r="CD19" i="127"/>
  <c r="CD15" i="127"/>
  <c r="CD16" i="127"/>
  <c r="CD21" i="127"/>
  <c r="CD17" i="127"/>
  <c r="CD13" i="127"/>
  <c r="CD10" i="127"/>
  <c r="CD11" i="127"/>
  <c r="CD7" i="127"/>
  <c r="CD8" i="127"/>
  <c r="CD9" i="127"/>
  <c r="CH38" i="127"/>
  <c r="CH34" i="127"/>
  <c r="CH39" i="127"/>
  <c r="CH35" i="127"/>
  <c r="CH40" i="127"/>
  <c r="CH36" i="127"/>
  <c r="CH32" i="127"/>
  <c r="CH41" i="127"/>
  <c r="CH37" i="127"/>
  <c r="CH33" i="127"/>
  <c r="CH30" i="127"/>
  <c r="CH26" i="127"/>
  <c r="CH31" i="127"/>
  <c r="CH27" i="127"/>
  <c r="CH23" i="127"/>
  <c r="CH24" i="127"/>
  <c r="CH29" i="127"/>
  <c r="CH25" i="127"/>
  <c r="CH21" i="127"/>
  <c r="CH17" i="127"/>
  <c r="CH13" i="127"/>
  <c r="CH22" i="127"/>
  <c r="CH18" i="127"/>
  <c r="CH14" i="127"/>
  <c r="CH19" i="127"/>
  <c r="CH15" i="127"/>
  <c r="CH16" i="127"/>
  <c r="CH12" i="127"/>
  <c r="CH9" i="127"/>
  <c r="CH10" i="127"/>
  <c r="CH11" i="127"/>
  <c r="CH7" i="127"/>
  <c r="CH8" i="127"/>
  <c r="CY41" i="127"/>
  <c r="CY37" i="127"/>
  <c r="CY33" i="127"/>
  <c r="CY38" i="127"/>
  <c r="CY34" i="127"/>
  <c r="CY39" i="127"/>
  <c r="CY35" i="127"/>
  <c r="CY40" i="127"/>
  <c r="CY36" i="127"/>
  <c r="CY32" i="127"/>
  <c r="CY29" i="127"/>
  <c r="CY25" i="127"/>
  <c r="CY30" i="127"/>
  <c r="CY26" i="127"/>
  <c r="CY22" i="127"/>
  <c r="CY31" i="127"/>
  <c r="CY27" i="127"/>
  <c r="CY23" i="127"/>
  <c r="CY24" i="127"/>
  <c r="CY16" i="127"/>
  <c r="CY21" i="127"/>
  <c r="CY17" i="127"/>
  <c r="CY13" i="127"/>
  <c r="CY18" i="127"/>
  <c r="CY19" i="127"/>
  <c r="CY15" i="127"/>
  <c r="CY8" i="127"/>
  <c r="CY9" i="127"/>
  <c r="CY11" i="127"/>
  <c r="CY7" i="127"/>
  <c r="CG41" i="127"/>
  <c r="CG37" i="127"/>
  <c r="CG33" i="127"/>
  <c r="CG38" i="127"/>
  <c r="CG34" i="127"/>
  <c r="CG39" i="127"/>
  <c r="CG35" i="127"/>
  <c r="CG40" i="127"/>
  <c r="CG36" i="127"/>
  <c r="CG25" i="127"/>
  <c r="CG30" i="127"/>
  <c r="CG26" i="127"/>
  <c r="CG31" i="127"/>
  <c r="CG27" i="127"/>
  <c r="CG23" i="127"/>
  <c r="CG32" i="127"/>
  <c r="CG24" i="127"/>
  <c r="CG16" i="127"/>
  <c r="CG21" i="127"/>
  <c r="CG17" i="127"/>
  <c r="CG13" i="127"/>
  <c r="CG22" i="127"/>
  <c r="CG18" i="127"/>
  <c r="CG19" i="127"/>
  <c r="CG15" i="127"/>
  <c r="CG8" i="127"/>
  <c r="CG9" i="127"/>
  <c r="CG7" i="127"/>
  <c r="CA40" i="127"/>
  <c r="CA36" i="127"/>
  <c r="CA41" i="127"/>
  <c r="CA37" i="127"/>
  <c r="CA33" i="127"/>
  <c r="CA38" i="127"/>
  <c r="CA34" i="127"/>
  <c r="CA39" i="127"/>
  <c r="CA35" i="127"/>
  <c r="CA32" i="127"/>
  <c r="CA24" i="127"/>
  <c r="CA29" i="127"/>
  <c r="CA25" i="127"/>
  <c r="CA30" i="127"/>
  <c r="CA26" i="127"/>
  <c r="CA31" i="127"/>
  <c r="CA27" i="127"/>
  <c r="CA23" i="127"/>
  <c r="CA19" i="127"/>
  <c r="CA15" i="127"/>
  <c r="CA16" i="127"/>
  <c r="CA21" i="127"/>
  <c r="CA17" i="127"/>
  <c r="CA13" i="127"/>
  <c r="CA22" i="127"/>
  <c r="CA18" i="127"/>
  <c r="CA14" i="127"/>
  <c r="CA11" i="127"/>
  <c r="CA7" i="127"/>
  <c r="CA8" i="127"/>
  <c r="CA9" i="127"/>
  <c r="CB41" i="127"/>
  <c r="CB37" i="127"/>
  <c r="CB33" i="127"/>
  <c r="CB38" i="127"/>
  <c r="CB34" i="127"/>
  <c r="CB39" i="127"/>
  <c r="CB35" i="127"/>
  <c r="CB40" i="127"/>
  <c r="CB36" i="127"/>
  <c r="CB29" i="127"/>
  <c r="CB25" i="127"/>
  <c r="CB30" i="127"/>
  <c r="CB26" i="127"/>
  <c r="CB31" i="127"/>
  <c r="CB27" i="127"/>
  <c r="CB23" i="127"/>
  <c r="CB32" i="127"/>
  <c r="CB24" i="127"/>
  <c r="CB16" i="127"/>
  <c r="CB21" i="127"/>
  <c r="CB17" i="127"/>
  <c r="CB13" i="127"/>
  <c r="CB22" i="127"/>
  <c r="CB18" i="127"/>
  <c r="CB19" i="127"/>
  <c r="CB15" i="127"/>
  <c r="CB12" i="127"/>
  <c r="CB8" i="127"/>
  <c r="CB9" i="127"/>
  <c r="CB10" i="127"/>
  <c r="CB11" i="127"/>
  <c r="CB7" i="127"/>
  <c r="CE40" i="127"/>
  <c r="CE36" i="127"/>
  <c r="CE41" i="127"/>
  <c r="CE37" i="127"/>
  <c r="CE33" i="127"/>
  <c r="CE38" i="127"/>
  <c r="CE34" i="127"/>
  <c r="CE39" i="127"/>
  <c r="CE35" i="127"/>
  <c r="CE32" i="127"/>
  <c r="CE24" i="127"/>
  <c r="CE29" i="127"/>
  <c r="CE25" i="127"/>
  <c r="CE30" i="127"/>
  <c r="CE26" i="127"/>
  <c r="CE31" i="127"/>
  <c r="CE27" i="127"/>
  <c r="CE23" i="127"/>
  <c r="CE19" i="127"/>
  <c r="CE15" i="127"/>
  <c r="CE16" i="127"/>
  <c r="CE21" i="127"/>
  <c r="CE17" i="127"/>
  <c r="CE13" i="127"/>
  <c r="CE22" i="127"/>
  <c r="CE18" i="127"/>
  <c r="CE14" i="127"/>
  <c r="CE11" i="127"/>
  <c r="CE7" i="127"/>
  <c r="CE8" i="127"/>
  <c r="CE9" i="127"/>
  <c r="CE3" i="25"/>
  <c r="BQ3" i="25"/>
  <c r="CC3" i="25"/>
  <c r="CH3" i="25"/>
  <c r="CO40" i="127"/>
  <c r="CO37" i="127"/>
  <c r="CO9" i="127"/>
  <c r="CO23" i="127"/>
  <c r="CO30" i="127"/>
  <c r="CO33" i="127"/>
  <c r="CO7" i="127"/>
  <c r="CO36" i="127"/>
  <c r="CO19" i="127"/>
  <c r="CO13" i="127"/>
  <c r="CO38" i="127"/>
  <c r="CO16" i="127"/>
  <c r="CO31" i="127"/>
  <c r="CO39" i="127"/>
  <c r="CO15" i="127"/>
  <c r="CO22" i="127"/>
  <c r="CO32" i="127"/>
  <c r="CO26" i="127"/>
  <c r="CO34" i="127"/>
  <c r="CO41" i="127"/>
  <c r="CO8" i="127"/>
  <c r="CO17" i="127"/>
  <c r="CO24" i="127"/>
  <c r="CO27" i="127"/>
  <c r="CO25" i="127"/>
  <c r="CO35" i="127"/>
  <c r="CO18" i="127"/>
  <c r="CO21" i="127"/>
  <c r="CF8" i="127"/>
  <c r="CF14" i="127"/>
  <c r="CF17" i="127"/>
  <c r="CF15" i="127"/>
  <c r="CF31" i="127"/>
  <c r="CF35" i="127"/>
  <c r="CF33" i="127"/>
  <c r="CP33" i="127"/>
  <c r="CF40" i="127"/>
  <c r="CP40" i="127"/>
  <c r="CF18" i="127"/>
  <c r="CF21" i="127"/>
  <c r="CF19" i="127"/>
  <c r="CF26" i="127"/>
  <c r="CF24" i="127"/>
  <c r="CF39" i="127"/>
  <c r="CF37" i="127"/>
  <c r="CP37" i="127"/>
  <c r="CF7" i="127"/>
  <c r="CP7" i="127"/>
  <c r="DA7" i="127"/>
  <c r="CF22" i="127"/>
  <c r="CF16" i="127"/>
  <c r="CP16" i="127"/>
  <c r="CF23" i="127"/>
  <c r="CP23" i="127"/>
  <c r="CF30" i="127"/>
  <c r="CP30" i="127"/>
  <c r="CF34" i="127"/>
  <c r="CF41" i="127"/>
  <c r="CF9" i="127"/>
  <c r="CF11" i="127"/>
  <c r="CF13" i="127"/>
  <c r="CF27" i="127"/>
  <c r="CF25" i="127"/>
  <c r="CF32" i="127"/>
  <c r="CP32" i="127"/>
  <c r="CF38" i="127"/>
  <c r="CF36" i="127"/>
  <c r="CB15" i="12"/>
  <c r="CB16" i="12"/>
  <c r="CE16" i="12"/>
  <c r="BY16" i="12"/>
  <c r="BY15" i="12"/>
  <c r="BZ15" i="12"/>
  <c r="BZ16" i="12"/>
  <c r="CC16" i="12"/>
  <c r="CC15" i="12"/>
  <c r="CD16" i="12"/>
  <c r="CD15" i="12"/>
  <c r="CA15" i="12"/>
  <c r="CA16" i="12"/>
  <c r="BV3" i="25"/>
  <c r="BW3" i="25"/>
  <c r="CP25" i="127"/>
  <c r="CP36" i="127"/>
  <c r="DA36" i="127"/>
  <c r="CP27" i="127"/>
  <c r="DA27" i="127"/>
  <c r="CP39" i="127"/>
  <c r="DA39" i="127"/>
  <c r="CP8" i="127"/>
  <c r="CP9" i="127"/>
  <c r="DA9" i="127"/>
  <c r="CP34" i="127"/>
  <c r="DA34" i="127"/>
  <c r="CP18" i="127"/>
  <c r="CP15" i="127"/>
  <c r="DA15" i="127"/>
  <c r="CP13" i="127"/>
  <c r="DA13" i="127"/>
  <c r="CP17" i="127"/>
  <c r="CP38" i="127"/>
  <c r="DA38" i="127"/>
  <c r="CP41" i="127"/>
  <c r="DA41" i="127"/>
  <c r="CP21" i="127"/>
  <c r="DA21" i="127"/>
  <c r="CP31" i="127"/>
  <c r="CP24" i="127"/>
  <c r="CP22" i="127"/>
  <c r="DA22" i="127"/>
  <c r="CP26" i="127"/>
  <c r="DA26" i="127"/>
  <c r="CP35" i="127"/>
  <c r="DA35" i="127"/>
  <c r="CP19" i="127"/>
  <c r="DA19" i="127"/>
  <c r="DA10" i="127"/>
  <c r="CE15" i="12"/>
  <c r="DG22" i="125"/>
  <c r="DG25" i="125"/>
  <c r="DG28" i="125"/>
  <c r="DG31" i="125"/>
  <c r="DG10" i="125"/>
  <c r="DG13" i="125"/>
  <c r="DG9" i="125"/>
  <c r="DG34" i="125"/>
  <c r="DG21" i="125"/>
  <c r="DG24" i="125"/>
  <c r="DG27" i="125"/>
  <c r="DG8" i="125"/>
  <c r="DG7" i="125"/>
  <c r="DG6" i="125"/>
  <c r="DG41" i="125"/>
  <c r="DG30" i="125"/>
  <c r="DG33" i="125"/>
  <c r="DG39" i="125"/>
  <c r="DG23" i="125"/>
  <c r="DG19" i="125"/>
  <c r="DG18" i="125"/>
  <c r="DG20" i="125"/>
  <c r="DG40" i="125"/>
  <c r="DG26" i="125"/>
  <c r="DG32" i="125"/>
  <c r="DG16" i="125"/>
  <c r="DG15" i="125"/>
  <c r="DG14" i="125"/>
  <c r="DG17" i="125"/>
  <c r="CL38" i="125"/>
  <c r="CL22" i="125"/>
  <c r="CL25" i="125"/>
  <c r="CL28" i="125"/>
  <c r="CL31" i="125"/>
  <c r="CL16" i="125"/>
  <c r="CL15" i="125"/>
  <c r="CL14" i="125"/>
  <c r="CL13" i="125"/>
  <c r="CL34" i="125"/>
  <c r="CL37" i="125"/>
  <c r="CL21" i="125"/>
  <c r="CL24" i="125"/>
  <c r="CL27" i="125"/>
  <c r="CL10" i="125"/>
  <c r="CL9" i="125"/>
  <c r="CL41" i="125"/>
  <c r="CL30" i="125"/>
  <c r="CL33" i="125"/>
  <c r="CL36" i="125"/>
  <c r="CL39" i="125"/>
  <c r="CL23" i="125"/>
  <c r="CL8" i="125"/>
  <c r="CL7" i="125"/>
  <c r="CL6" i="125"/>
  <c r="CL40" i="125"/>
  <c r="CL26" i="125"/>
  <c r="CL32" i="125"/>
  <c r="CL35" i="125"/>
  <c r="CL20" i="125"/>
  <c r="CL19" i="125"/>
  <c r="CL18" i="125"/>
  <c r="CL17" i="125"/>
  <c r="CL24" i="12"/>
  <c r="CL35" i="12"/>
  <c r="CL23" i="12"/>
  <c r="CL28" i="12"/>
  <c r="CL40" i="12"/>
  <c r="CL41" i="12"/>
  <c r="CL34" i="12"/>
  <c r="CL19" i="12"/>
  <c r="CL33" i="12"/>
  <c r="CL32" i="12"/>
  <c r="CL39" i="12"/>
  <c r="CL18" i="12"/>
  <c r="CL36" i="12"/>
  <c r="CL27" i="12"/>
  <c r="CL21" i="12"/>
  <c r="CL31" i="12"/>
  <c r="CL20" i="12"/>
  <c r="CL37" i="12"/>
  <c r="CL15" i="12"/>
  <c r="CL14" i="12"/>
  <c r="CL16" i="12"/>
  <c r="DF39" i="125"/>
  <c r="DF23" i="125"/>
  <c r="DF26" i="125"/>
  <c r="DF32" i="125"/>
  <c r="DF17" i="125"/>
  <c r="DF16" i="125"/>
  <c r="DF15" i="125"/>
  <c r="DF14" i="125"/>
  <c r="DF22" i="125"/>
  <c r="DF25" i="125"/>
  <c r="DF28" i="125"/>
  <c r="DJ28" i="125"/>
  <c r="DF13" i="125"/>
  <c r="DF10" i="125"/>
  <c r="DJ10" i="125"/>
  <c r="DF41" i="125"/>
  <c r="DF31" i="125"/>
  <c r="DF34" i="125"/>
  <c r="DF21" i="125"/>
  <c r="DF24" i="125"/>
  <c r="DF9" i="125"/>
  <c r="DF8" i="125"/>
  <c r="DJ8" i="125"/>
  <c r="DF7" i="125"/>
  <c r="DF6" i="125"/>
  <c r="DF40" i="125"/>
  <c r="DJ40" i="125"/>
  <c r="DF27" i="125"/>
  <c r="DF30" i="125"/>
  <c r="DJ30" i="125"/>
  <c r="DF33" i="125"/>
  <c r="DF20" i="125"/>
  <c r="DF19" i="125"/>
  <c r="DF18" i="125"/>
  <c r="CK41" i="125"/>
  <c r="CK31" i="125"/>
  <c r="CK34" i="125"/>
  <c r="CK37" i="125"/>
  <c r="CK36" i="125"/>
  <c r="CK17" i="125"/>
  <c r="CK21" i="125"/>
  <c r="CK8" i="125"/>
  <c r="CK7" i="125"/>
  <c r="CK6" i="125"/>
  <c r="CK40" i="125"/>
  <c r="CK27" i="125"/>
  <c r="CK30" i="125"/>
  <c r="CK33" i="125"/>
  <c r="CK32" i="125"/>
  <c r="CK13" i="125"/>
  <c r="CK20" i="125"/>
  <c r="CK19" i="125"/>
  <c r="CK18" i="125"/>
  <c r="CK39" i="125"/>
  <c r="CK23" i="125"/>
  <c r="CK26" i="125"/>
  <c r="CK28" i="125"/>
  <c r="CK9" i="125"/>
  <c r="CK16" i="125"/>
  <c r="CK15" i="125"/>
  <c r="CK14" i="125"/>
  <c r="CK35" i="125"/>
  <c r="CK38" i="125"/>
  <c r="CK22" i="125"/>
  <c r="CK25" i="125"/>
  <c r="CK24" i="125"/>
  <c r="CK10" i="125"/>
  <c r="CK23" i="12"/>
  <c r="CK41" i="12"/>
  <c r="CK20" i="12"/>
  <c r="CK32" i="12"/>
  <c r="CK22" i="12"/>
  <c r="CK35" i="12"/>
  <c r="CK21" i="12"/>
  <c r="CK27" i="12"/>
  <c r="CK39" i="12"/>
  <c r="CK28" i="12"/>
  <c r="CK33" i="12"/>
  <c r="CK24" i="12"/>
  <c r="CK31" i="12"/>
  <c r="CK37" i="12"/>
  <c r="CK19" i="12"/>
  <c r="CK36" i="12"/>
  <c r="CK40" i="12"/>
  <c r="CK34" i="12"/>
  <c r="CK17" i="12"/>
  <c r="CK15" i="12"/>
  <c r="CK16" i="12"/>
  <c r="CI33" i="12"/>
  <c r="CI19" i="12"/>
  <c r="CI40" i="12"/>
  <c r="CI23" i="12"/>
  <c r="CI41" i="12"/>
  <c r="CI36" i="12"/>
  <c r="CI31" i="12"/>
  <c r="CI37" i="12"/>
  <c r="CI39" i="12"/>
  <c r="CI27" i="12"/>
  <c r="CI24" i="12"/>
  <c r="CI38" i="12"/>
  <c r="CI34" i="12"/>
  <c r="CI28" i="12"/>
  <c r="CI21" i="12"/>
  <c r="CI35" i="12"/>
  <c r="CI20" i="12"/>
  <c r="CI32" i="12"/>
  <c r="CI26" i="12"/>
  <c r="CI16" i="12"/>
  <c r="CI15" i="12"/>
  <c r="DD26" i="125"/>
  <c r="DD32" i="125"/>
  <c r="DD25" i="125"/>
  <c r="DD28" i="125"/>
  <c r="DD21" i="125"/>
  <c r="DD24" i="125"/>
  <c r="DD20" i="125"/>
  <c r="DD36" i="125"/>
  <c r="DD18" i="125"/>
  <c r="DD35" i="125"/>
  <c r="DD14" i="125"/>
  <c r="DD10" i="125"/>
  <c r="DD31" i="125"/>
  <c r="DD9" i="125"/>
  <c r="DD27" i="125"/>
  <c r="DD6" i="125"/>
  <c r="DD16" i="125"/>
  <c r="DD39" i="125"/>
  <c r="DD17" i="125"/>
  <c r="DD38" i="125"/>
  <c r="DD13" i="125"/>
  <c r="DD8" i="125"/>
  <c r="DD34" i="125"/>
  <c r="DD7" i="125"/>
  <c r="DD30" i="125"/>
  <c r="DD23" i="125"/>
  <c r="DD15" i="125"/>
  <c r="DD22" i="125"/>
  <c r="DD40" i="125"/>
  <c r="DD37" i="125"/>
  <c r="DD41" i="125"/>
  <c r="DD33" i="125"/>
  <c r="DD19" i="125"/>
  <c r="CU41" i="125"/>
  <c r="CU31" i="125"/>
  <c r="CU34" i="125"/>
  <c r="CU37" i="125"/>
  <c r="CU21" i="125"/>
  <c r="CU24" i="125"/>
  <c r="CU8" i="125"/>
  <c r="CU7" i="125"/>
  <c r="CU6" i="125"/>
  <c r="CU40" i="125"/>
  <c r="CU27" i="125"/>
  <c r="CU30" i="125"/>
  <c r="CU33" i="125"/>
  <c r="CU36" i="125"/>
  <c r="CU17" i="125"/>
  <c r="CU20" i="125"/>
  <c r="CU19" i="125"/>
  <c r="CU18" i="125"/>
  <c r="CU39" i="125"/>
  <c r="CU23" i="125"/>
  <c r="CU26" i="125"/>
  <c r="CU32" i="125"/>
  <c r="CU13" i="125"/>
  <c r="CU16" i="125"/>
  <c r="CU15" i="125"/>
  <c r="CU14" i="125"/>
  <c r="CU35" i="125"/>
  <c r="CU38" i="125"/>
  <c r="CU22" i="125"/>
  <c r="CU25" i="125"/>
  <c r="CU28" i="125"/>
  <c r="CU9" i="125"/>
  <c r="CU10" i="125"/>
  <c r="CJ36" i="125"/>
  <c r="CJ39" i="125"/>
  <c r="CJ23" i="125"/>
  <c r="CJ26" i="125"/>
  <c r="CJ14" i="125"/>
  <c r="CJ13" i="125"/>
  <c r="CJ16" i="125"/>
  <c r="CJ15" i="125"/>
  <c r="CJ32" i="125"/>
  <c r="CJ35" i="125"/>
  <c r="CJ38" i="125"/>
  <c r="CJ22" i="125"/>
  <c r="CJ25" i="125"/>
  <c r="CJ10" i="125"/>
  <c r="CJ9" i="125"/>
  <c r="CJ40" i="125"/>
  <c r="CJ28" i="125"/>
  <c r="CJ31" i="125"/>
  <c r="CJ34" i="125"/>
  <c r="CJ37" i="125"/>
  <c r="CJ21" i="125"/>
  <c r="CJ6" i="125"/>
  <c r="CJ8" i="125"/>
  <c r="CJ7" i="125"/>
  <c r="CJ41" i="125"/>
  <c r="CJ24" i="125"/>
  <c r="CJ27" i="125"/>
  <c r="CJ30" i="125"/>
  <c r="CJ33" i="125"/>
  <c r="CJ18" i="125"/>
  <c r="CJ17" i="125"/>
  <c r="CJ20" i="125"/>
  <c r="CJ19" i="125"/>
  <c r="CI41" i="125"/>
  <c r="CI28" i="125"/>
  <c r="CI31" i="125"/>
  <c r="CI34" i="125"/>
  <c r="CI19" i="125"/>
  <c r="CI18" i="125"/>
  <c r="CI21" i="125"/>
  <c r="CI8" i="125"/>
  <c r="CI40" i="125"/>
  <c r="CI25" i="125"/>
  <c r="CI24" i="125"/>
  <c r="CI27" i="125"/>
  <c r="CI30" i="125"/>
  <c r="CI15" i="125"/>
  <c r="CI14" i="125"/>
  <c r="CI17" i="125"/>
  <c r="CI20" i="125"/>
  <c r="CI37" i="125"/>
  <c r="CI36" i="125"/>
  <c r="CI39" i="125"/>
  <c r="CI23" i="125"/>
  <c r="CI26" i="125"/>
  <c r="CI10" i="125"/>
  <c r="CI13" i="125"/>
  <c r="CI16" i="125"/>
  <c r="CI33" i="125"/>
  <c r="CI32" i="125"/>
  <c r="CI35" i="125"/>
  <c r="CI38" i="125"/>
  <c r="CI22" i="125"/>
  <c r="CI7" i="125"/>
  <c r="CI6" i="125"/>
  <c r="CI9" i="125"/>
  <c r="CJ37" i="12"/>
  <c r="CJ23" i="12"/>
  <c r="CJ39" i="12"/>
  <c r="CJ19" i="12"/>
  <c r="CJ32" i="12"/>
  <c r="CJ20" i="12"/>
  <c r="CJ33" i="12"/>
  <c r="CJ34" i="12"/>
  <c r="CJ35" i="12"/>
  <c r="CJ36" i="12"/>
  <c r="CJ26" i="12"/>
  <c r="CJ24" i="12"/>
  <c r="CJ21" i="12"/>
  <c r="CJ40" i="12"/>
  <c r="CJ28" i="12"/>
  <c r="CJ31" i="12"/>
  <c r="CJ41" i="12"/>
  <c r="CJ27" i="12"/>
  <c r="CJ15" i="12"/>
  <c r="CJ16" i="12"/>
  <c r="CQ40" i="125"/>
  <c r="CQ27" i="125"/>
  <c r="CQ30" i="125"/>
  <c r="CQ33" i="125"/>
  <c r="CQ36" i="125"/>
  <c r="CQ17" i="125"/>
  <c r="CQ20" i="125"/>
  <c r="CQ19" i="125"/>
  <c r="CQ18" i="125"/>
  <c r="CQ39" i="125"/>
  <c r="CQ23" i="125"/>
  <c r="CQ26" i="125"/>
  <c r="CQ32" i="125"/>
  <c r="CQ13" i="125"/>
  <c r="CQ16" i="125"/>
  <c r="CQ15" i="125"/>
  <c r="CQ14" i="125"/>
  <c r="CQ35" i="125"/>
  <c r="CQ38" i="125"/>
  <c r="CQ22" i="125"/>
  <c r="CQ25" i="125"/>
  <c r="CQ28" i="125"/>
  <c r="CQ9" i="125"/>
  <c r="CQ10" i="125"/>
  <c r="CQ41" i="125"/>
  <c r="CQ31" i="125"/>
  <c r="CQ34" i="125"/>
  <c r="CQ37" i="125"/>
  <c r="CQ21" i="125"/>
  <c r="CQ24" i="125"/>
  <c r="CQ8" i="125"/>
  <c r="CQ7" i="125"/>
  <c r="CQ6" i="125"/>
  <c r="CR40" i="125"/>
  <c r="CR26" i="125"/>
  <c r="CR32" i="125"/>
  <c r="CR35" i="125"/>
  <c r="CR20" i="125"/>
  <c r="CR19" i="125"/>
  <c r="CR18" i="125"/>
  <c r="CR17" i="125"/>
  <c r="CR38" i="125"/>
  <c r="CR22" i="125"/>
  <c r="CR25" i="125"/>
  <c r="CR28" i="125"/>
  <c r="CR31" i="125"/>
  <c r="CR16" i="125"/>
  <c r="CR15" i="125"/>
  <c r="CR14" i="125"/>
  <c r="CR13" i="125"/>
  <c r="CR34" i="125"/>
  <c r="CR37" i="125"/>
  <c r="CR21" i="125"/>
  <c r="CR24" i="125"/>
  <c r="CR27" i="125"/>
  <c r="CR10" i="125"/>
  <c r="CR9" i="125"/>
  <c r="CR41" i="125"/>
  <c r="CR30" i="125"/>
  <c r="CR33" i="125"/>
  <c r="CR36" i="125"/>
  <c r="CR39" i="125"/>
  <c r="CR23" i="125"/>
  <c r="CR8" i="125"/>
  <c r="CR7" i="125"/>
  <c r="CR6" i="125"/>
  <c r="BZ40" i="125"/>
  <c r="BZ25" i="125"/>
  <c r="BZ24" i="125"/>
  <c r="BZ27" i="125"/>
  <c r="BZ30" i="125"/>
  <c r="BZ15" i="125"/>
  <c r="BZ14" i="125"/>
  <c r="BZ17" i="125"/>
  <c r="BZ20" i="125"/>
  <c r="BZ34" i="125"/>
  <c r="BZ21" i="125"/>
  <c r="BZ37" i="125"/>
  <c r="BZ36" i="125"/>
  <c r="BZ39" i="125"/>
  <c r="BZ23" i="125"/>
  <c r="BZ26" i="125"/>
  <c r="BZ10" i="125"/>
  <c r="BZ13" i="125"/>
  <c r="BZ16" i="125"/>
  <c r="BZ28" i="125"/>
  <c r="BZ18" i="125"/>
  <c r="BZ8" i="125"/>
  <c r="BZ33" i="125"/>
  <c r="BZ32" i="125"/>
  <c r="BZ35" i="125"/>
  <c r="BZ38" i="125"/>
  <c r="BZ22" i="125"/>
  <c r="BZ7" i="125"/>
  <c r="BZ6" i="125"/>
  <c r="BZ9" i="125"/>
  <c r="BZ41" i="125"/>
  <c r="BZ31" i="125"/>
  <c r="BZ19" i="125"/>
  <c r="BZ28" i="12"/>
  <c r="BZ23" i="12"/>
  <c r="BZ32" i="12"/>
  <c r="BZ31" i="12"/>
  <c r="BZ21" i="12"/>
  <c r="BZ35" i="12"/>
  <c r="BZ30" i="12"/>
  <c r="BZ36" i="12"/>
  <c r="BZ24" i="12"/>
  <c r="BZ40" i="12"/>
  <c r="BZ34" i="12"/>
  <c r="BZ33" i="12"/>
  <c r="BZ39" i="12"/>
  <c r="BZ41" i="12"/>
  <c r="BZ20" i="12"/>
  <c r="BZ19" i="12"/>
  <c r="BZ37" i="12"/>
  <c r="BZ26" i="12"/>
  <c r="BZ27" i="12"/>
  <c r="BY34" i="125"/>
  <c r="BY37" i="125"/>
  <c r="BY21" i="125"/>
  <c r="BY24" i="125"/>
  <c r="BY27" i="125"/>
  <c r="BY10" i="125"/>
  <c r="BY9" i="125"/>
  <c r="BY41" i="125"/>
  <c r="BY30" i="125"/>
  <c r="BY33" i="125"/>
  <c r="BY36" i="125"/>
  <c r="BY39" i="125"/>
  <c r="BY23" i="125"/>
  <c r="BY8" i="125"/>
  <c r="BY7" i="125"/>
  <c r="BY6" i="125"/>
  <c r="BY40" i="125"/>
  <c r="BY26" i="125"/>
  <c r="BY32" i="125"/>
  <c r="BY35" i="125"/>
  <c r="BY20" i="125"/>
  <c r="BY19" i="125"/>
  <c r="BY18" i="125"/>
  <c r="BY17" i="125"/>
  <c r="BY38" i="125"/>
  <c r="BY22" i="125"/>
  <c r="BY25" i="125"/>
  <c r="BY28" i="125"/>
  <c r="BY31" i="125"/>
  <c r="BY16" i="125"/>
  <c r="BY15" i="125"/>
  <c r="BY14" i="125"/>
  <c r="BY13" i="125"/>
  <c r="BY21" i="12"/>
  <c r="BY36" i="12"/>
  <c r="BY23" i="12"/>
  <c r="BY37" i="12"/>
  <c r="BY32" i="12"/>
  <c r="BY40" i="12"/>
  <c r="BY34" i="12"/>
  <c r="BY41" i="12"/>
  <c r="BY39" i="12"/>
  <c r="BY20" i="12"/>
  <c r="BY35" i="12"/>
  <c r="BY33" i="12"/>
  <c r="BY28" i="12"/>
  <c r="BY31" i="12"/>
  <c r="BY24" i="12"/>
  <c r="BY27" i="12"/>
  <c r="BY19" i="12"/>
  <c r="BY18" i="12"/>
  <c r="CW41" i="125"/>
  <c r="CW32" i="125"/>
  <c r="CW39" i="125"/>
  <c r="CW23" i="125"/>
  <c r="CW26" i="125"/>
  <c r="CW10" i="125"/>
  <c r="CW9" i="125"/>
  <c r="CW8" i="125"/>
  <c r="CW40" i="125"/>
  <c r="CW25" i="125"/>
  <c r="CW28" i="125"/>
  <c r="CW35" i="125"/>
  <c r="CW38" i="125"/>
  <c r="CW22" i="125"/>
  <c r="CW7" i="125"/>
  <c r="CW6" i="125"/>
  <c r="CW37" i="125"/>
  <c r="CW21" i="125"/>
  <c r="CW24" i="125"/>
  <c r="CW31" i="125"/>
  <c r="CW34" i="125"/>
  <c r="CW19" i="125"/>
  <c r="CW18" i="125"/>
  <c r="CW17" i="125"/>
  <c r="CW16" i="125"/>
  <c r="CW33" i="125"/>
  <c r="CW36" i="125"/>
  <c r="CW20" i="125"/>
  <c r="CW27" i="125"/>
  <c r="CW30" i="125"/>
  <c r="CW15" i="125"/>
  <c r="CW14" i="125"/>
  <c r="CW13" i="125"/>
  <c r="DA25" i="127"/>
  <c r="CV41" i="125"/>
  <c r="CV40" i="125"/>
  <c r="CV38" i="125"/>
  <c r="CV34" i="125"/>
  <c r="CV30" i="125"/>
  <c r="CV26" i="125"/>
  <c r="CV22" i="125"/>
  <c r="CV37" i="125"/>
  <c r="CV33" i="125"/>
  <c r="CV25" i="125"/>
  <c r="CV21" i="125"/>
  <c r="CV36" i="125"/>
  <c r="CV32" i="125"/>
  <c r="CV28" i="125"/>
  <c r="CV24" i="125"/>
  <c r="CV39" i="125"/>
  <c r="CV35" i="125"/>
  <c r="CV31" i="125"/>
  <c r="CV27" i="125"/>
  <c r="CV23" i="125"/>
  <c r="CV20" i="125"/>
  <c r="CV16" i="125"/>
  <c r="CV8" i="125"/>
  <c r="CV19" i="125"/>
  <c r="CV15" i="125"/>
  <c r="CV7" i="125"/>
  <c r="CV18" i="125"/>
  <c r="CV14" i="125"/>
  <c r="CV10" i="125"/>
  <c r="CV6" i="125"/>
  <c r="CV17" i="125"/>
  <c r="CV13" i="125"/>
  <c r="CV9" i="125"/>
  <c r="DA16" i="127"/>
  <c r="CG21" i="12"/>
  <c r="CG27" i="12"/>
  <c r="CG18" i="12"/>
  <c r="CG28" i="12"/>
  <c r="CG19" i="12"/>
  <c r="CG34" i="12"/>
  <c r="CG22" i="12"/>
  <c r="CG24" i="12"/>
  <c r="CG31" i="12"/>
  <c r="CG32" i="12"/>
  <c r="CG39" i="12"/>
  <c r="CG33" i="12"/>
  <c r="CG20" i="12"/>
  <c r="CG36" i="12"/>
  <c r="CG38" i="12"/>
  <c r="CG37" i="12"/>
  <c r="CG35" i="12"/>
  <c r="CG41" i="12"/>
  <c r="CG40" i="12"/>
  <c r="CG23" i="12"/>
  <c r="CG16" i="12"/>
  <c r="CG15" i="12"/>
  <c r="CC41" i="125"/>
  <c r="CC40" i="125"/>
  <c r="CC38" i="125"/>
  <c r="CC34" i="125"/>
  <c r="CC30" i="125"/>
  <c r="CC26" i="125"/>
  <c r="CC22" i="125"/>
  <c r="CC37" i="125"/>
  <c r="CC33" i="125"/>
  <c r="CC25" i="125"/>
  <c r="CC21" i="125"/>
  <c r="CC36" i="125"/>
  <c r="CC32" i="125"/>
  <c r="CC28" i="125"/>
  <c r="CC24" i="125"/>
  <c r="CC39" i="125"/>
  <c r="CC35" i="125"/>
  <c r="CC31" i="125"/>
  <c r="CC27" i="125"/>
  <c r="CC23" i="125"/>
  <c r="CC20" i="125"/>
  <c r="CC16" i="125"/>
  <c r="CC8" i="125"/>
  <c r="CC19" i="125"/>
  <c r="CC15" i="125"/>
  <c r="CC7" i="125"/>
  <c r="CC18" i="125"/>
  <c r="CC14" i="125"/>
  <c r="CC10" i="125"/>
  <c r="CC6" i="125"/>
  <c r="CC17" i="125"/>
  <c r="CC13" i="125"/>
  <c r="CC9" i="125"/>
  <c r="CS41" i="125"/>
  <c r="CS40" i="125"/>
  <c r="CS37" i="125"/>
  <c r="CS33" i="125"/>
  <c r="CS25" i="125"/>
  <c r="CS21" i="125"/>
  <c r="CS36" i="125"/>
  <c r="CS32" i="125"/>
  <c r="CS28" i="125"/>
  <c r="CS24" i="125"/>
  <c r="CS39" i="125"/>
  <c r="CS35" i="125"/>
  <c r="CS31" i="125"/>
  <c r="CS27" i="125"/>
  <c r="CS23" i="125"/>
  <c r="CS38" i="125"/>
  <c r="CS34" i="125"/>
  <c r="CS30" i="125"/>
  <c r="CS26" i="125"/>
  <c r="CS22" i="125"/>
  <c r="CS19" i="125"/>
  <c r="CS15" i="125"/>
  <c r="CS7" i="125"/>
  <c r="CS18" i="125"/>
  <c r="CS14" i="125"/>
  <c r="CS10" i="125"/>
  <c r="CS6" i="125"/>
  <c r="CS17" i="125"/>
  <c r="CS13" i="125"/>
  <c r="CS9" i="125"/>
  <c r="CS20" i="125"/>
  <c r="CS16" i="125"/>
  <c r="CS8" i="125"/>
  <c r="CH41" i="125"/>
  <c r="CH40" i="125"/>
  <c r="CH38" i="125"/>
  <c r="CH34" i="125"/>
  <c r="CH30" i="125"/>
  <c r="CH26" i="125"/>
  <c r="CH22" i="125"/>
  <c r="CH37" i="125"/>
  <c r="CH33" i="125"/>
  <c r="CH25" i="125"/>
  <c r="CH21" i="125"/>
  <c r="CH36" i="125"/>
  <c r="CH32" i="125"/>
  <c r="CH28" i="125"/>
  <c r="CH24" i="125"/>
  <c r="CH39" i="125"/>
  <c r="CH35" i="125"/>
  <c r="CH31" i="125"/>
  <c r="CH27" i="125"/>
  <c r="CH23" i="125"/>
  <c r="CH20" i="125"/>
  <c r="CH16" i="125"/>
  <c r="CH8" i="125"/>
  <c r="CH19" i="125"/>
  <c r="CH15" i="125"/>
  <c r="CH7" i="125"/>
  <c r="CH18" i="125"/>
  <c r="CH14" i="125"/>
  <c r="CH10" i="125"/>
  <c r="CH6" i="125"/>
  <c r="CH17" i="125"/>
  <c r="CH13" i="125"/>
  <c r="CH9" i="125"/>
  <c r="CZ41" i="125"/>
  <c r="CZ40" i="125"/>
  <c r="CZ38" i="125"/>
  <c r="CZ34" i="125"/>
  <c r="CZ30" i="125"/>
  <c r="CZ26" i="125"/>
  <c r="CZ22" i="125"/>
  <c r="CZ37" i="125"/>
  <c r="CZ33" i="125"/>
  <c r="CZ25" i="125"/>
  <c r="CZ21" i="125"/>
  <c r="CZ36" i="125"/>
  <c r="CZ32" i="125"/>
  <c r="CZ28" i="125"/>
  <c r="CZ24" i="125"/>
  <c r="CZ39" i="125"/>
  <c r="CZ35" i="125"/>
  <c r="CZ31" i="125"/>
  <c r="CZ27" i="125"/>
  <c r="CZ23" i="125"/>
  <c r="CZ16" i="125"/>
  <c r="CZ8" i="125"/>
  <c r="CZ19" i="125"/>
  <c r="CZ15" i="125"/>
  <c r="CZ7" i="125"/>
  <c r="CZ20" i="125"/>
  <c r="CZ18" i="125"/>
  <c r="CZ14" i="125"/>
  <c r="CZ10" i="125"/>
  <c r="CZ6" i="125"/>
  <c r="CZ17" i="125"/>
  <c r="CZ13" i="125"/>
  <c r="CZ9" i="125"/>
  <c r="CB32" i="12"/>
  <c r="CB19" i="12"/>
  <c r="CB21" i="12"/>
  <c r="CB26" i="12"/>
  <c r="CB27" i="12"/>
  <c r="CB37" i="12"/>
  <c r="CB23" i="12"/>
  <c r="CB31" i="12"/>
  <c r="CB34" i="12"/>
  <c r="CB33" i="12"/>
  <c r="CB30" i="12"/>
  <c r="CB28" i="12"/>
  <c r="CB41" i="12"/>
  <c r="CB36" i="12"/>
  <c r="CB39" i="12"/>
  <c r="CB20" i="12"/>
  <c r="CB18" i="12"/>
  <c r="CB40" i="12"/>
  <c r="CB24" i="12"/>
  <c r="CB35" i="12"/>
  <c r="DA24" i="127"/>
  <c r="DA18" i="127"/>
  <c r="CD33" i="12"/>
  <c r="CD26" i="12"/>
  <c r="CD19" i="12"/>
  <c r="CD31" i="12"/>
  <c r="CD37" i="12"/>
  <c r="CD21" i="12"/>
  <c r="CD40" i="12"/>
  <c r="CD39" i="12"/>
  <c r="CD35" i="12"/>
  <c r="CD41" i="12"/>
  <c r="CD27" i="12"/>
  <c r="CD28" i="12"/>
  <c r="CD32" i="12"/>
  <c r="CD18" i="12"/>
  <c r="CD34" i="12"/>
  <c r="CD36" i="12"/>
  <c r="CD24" i="12"/>
  <c r="CD23" i="12"/>
  <c r="CD20" i="12"/>
  <c r="CD41" i="125"/>
  <c r="CD40" i="125"/>
  <c r="CD37" i="125"/>
  <c r="CD33" i="125"/>
  <c r="CD25" i="125"/>
  <c r="CD36" i="125"/>
  <c r="CD32" i="125"/>
  <c r="CD28" i="125"/>
  <c r="CD24" i="125"/>
  <c r="CD39" i="125"/>
  <c r="CD35" i="125"/>
  <c r="CD31" i="125"/>
  <c r="CD27" i="125"/>
  <c r="CD23" i="125"/>
  <c r="CD38" i="125"/>
  <c r="CD34" i="125"/>
  <c r="CD30" i="125"/>
  <c r="CD26" i="125"/>
  <c r="CD22" i="125"/>
  <c r="CD21" i="125"/>
  <c r="CD19" i="125"/>
  <c r="CD15" i="125"/>
  <c r="CD7" i="125"/>
  <c r="CD18" i="125"/>
  <c r="CD14" i="125"/>
  <c r="CD10" i="125"/>
  <c r="CD6" i="125"/>
  <c r="CD17" i="125"/>
  <c r="CD13" i="125"/>
  <c r="CD9" i="125"/>
  <c r="CD20" i="125"/>
  <c r="CD16" i="125"/>
  <c r="CD8" i="125"/>
  <c r="DA40" i="127"/>
  <c r="DA31" i="127"/>
  <c r="DA8" i="127"/>
  <c r="CW27" i="12"/>
  <c r="CA40" i="12"/>
  <c r="CA34" i="12"/>
  <c r="CA28" i="12"/>
  <c r="CA31" i="12"/>
  <c r="CA24" i="12"/>
  <c r="CA23" i="12"/>
  <c r="CA19" i="12"/>
  <c r="CA32" i="12"/>
  <c r="CA36" i="12"/>
  <c r="CA41" i="12"/>
  <c r="CA33" i="12"/>
  <c r="CA39" i="12"/>
  <c r="CA37" i="12"/>
  <c r="CA35" i="12"/>
  <c r="CA21" i="12"/>
  <c r="CA20" i="12"/>
  <c r="CA27" i="12"/>
  <c r="CA26" i="12"/>
  <c r="DA30" i="127"/>
  <c r="CE20" i="12"/>
  <c r="CE23" i="12"/>
  <c r="CE19" i="12"/>
  <c r="CE25" i="12"/>
  <c r="CE31" i="12"/>
  <c r="CE32" i="12"/>
  <c r="CE33" i="12"/>
  <c r="CE35" i="12"/>
  <c r="CE40" i="12"/>
  <c r="CE30" i="12"/>
  <c r="CE27" i="12"/>
  <c r="CE18" i="12"/>
  <c r="CE24" i="12"/>
  <c r="CE41" i="12"/>
  <c r="CE37" i="12"/>
  <c r="CE39" i="12"/>
  <c r="CE28" i="12"/>
  <c r="CE36" i="12"/>
  <c r="CE21" i="12"/>
  <c r="CE34" i="12"/>
  <c r="CY41" i="125"/>
  <c r="CY40" i="125"/>
  <c r="CY39" i="125"/>
  <c r="CY35" i="125"/>
  <c r="CY31" i="125"/>
  <c r="CY27" i="125"/>
  <c r="CY23" i="125"/>
  <c r="CY38" i="125"/>
  <c r="CY34" i="125"/>
  <c r="CY30" i="125"/>
  <c r="CY26" i="125"/>
  <c r="CY22" i="125"/>
  <c r="CY37" i="125"/>
  <c r="CY33" i="125"/>
  <c r="CY25" i="125"/>
  <c r="CY21" i="125"/>
  <c r="CY36" i="125"/>
  <c r="CY32" i="125"/>
  <c r="CY28" i="125"/>
  <c r="CY24" i="125"/>
  <c r="CY20" i="125"/>
  <c r="CY17" i="125"/>
  <c r="CY13" i="125"/>
  <c r="CY9" i="125"/>
  <c r="CY16" i="125"/>
  <c r="CY8" i="125"/>
  <c r="CY19" i="125"/>
  <c r="CY15" i="125"/>
  <c r="CY7" i="125"/>
  <c r="CY18" i="125"/>
  <c r="CY14" i="125"/>
  <c r="CY10" i="125"/>
  <c r="CY6" i="125"/>
  <c r="DA33" i="127"/>
  <c r="CA40" i="125"/>
  <c r="CA41" i="125"/>
  <c r="CA36" i="125"/>
  <c r="CA32" i="125"/>
  <c r="CA28" i="125"/>
  <c r="CA24" i="125"/>
  <c r="CA39" i="125"/>
  <c r="CA35" i="125"/>
  <c r="CA31" i="125"/>
  <c r="CA27" i="125"/>
  <c r="CA23" i="125"/>
  <c r="CA38" i="125"/>
  <c r="CA34" i="125"/>
  <c r="CA30" i="125"/>
  <c r="CA26" i="125"/>
  <c r="CA22" i="125"/>
  <c r="CA37" i="125"/>
  <c r="CA33" i="125"/>
  <c r="CA25" i="125"/>
  <c r="CA21" i="125"/>
  <c r="CA18" i="125"/>
  <c r="CA14" i="125"/>
  <c r="CA10" i="125"/>
  <c r="CA6" i="125"/>
  <c r="CA17" i="125"/>
  <c r="CA13" i="125"/>
  <c r="CA9" i="125"/>
  <c r="CA20" i="125"/>
  <c r="CA16" i="125"/>
  <c r="CA8" i="125"/>
  <c r="CA19" i="125"/>
  <c r="CA15" i="125"/>
  <c r="CA7" i="125"/>
  <c r="CY39" i="12"/>
  <c r="CY36" i="12"/>
  <c r="CY27" i="12"/>
  <c r="CY41" i="12"/>
  <c r="CY34" i="12"/>
  <c r="CY20" i="12"/>
  <c r="CY28" i="12"/>
  <c r="CY40" i="12"/>
  <c r="CY38" i="12"/>
  <c r="CY37" i="12"/>
  <c r="CY21" i="12"/>
  <c r="CY35" i="12"/>
  <c r="CY18" i="12"/>
  <c r="CY19" i="12"/>
  <c r="CY31" i="12"/>
  <c r="CY24" i="12"/>
  <c r="CY23" i="12"/>
  <c r="CY32" i="12"/>
  <c r="CY33" i="12"/>
  <c r="CY16" i="12"/>
  <c r="CY15" i="12"/>
  <c r="DA32" i="127"/>
  <c r="CB41" i="125"/>
  <c r="CB40" i="125"/>
  <c r="CB39" i="125"/>
  <c r="CB35" i="125"/>
  <c r="CB31" i="125"/>
  <c r="CB27" i="125"/>
  <c r="CB23" i="125"/>
  <c r="CB38" i="125"/>
  <c r="CB34" i="125"/>
  <c r="CB30" i="125"/>
  <c r="CB26" i="125"/>
  <c r="CB22" i="125"/>
  <c r="CB37" i="125"/>
  <c r="CB33" i="125"/>
  <c r="CB25" i="125"/>
  <c r="CB36" i="125"/>
  <c r="CB32" i="125"/>
  <c r="CB28" i="125"/>
  <c r="CB24" i="125"/>
  <c r="CB17" i="125"/>
  <c r="CB13" i="125"/>
  <c r="CB9" i="125"/>
  <c r="CB21" i="125"/>
  <c r="CB20" i="125"/>
  <c r="CB16" i="125"/>
  <c r="CB8" i="125"/>
  <c r="CB19" i="125"/>
  <c r="CB15" i="125"/>
  <c r="CB7" i="125"/>
  <c r="CB18" i="125"/>
  <c r="CB14" i="125"/>
  <c r="CB10" i="125"/>
  <c r="CB6" i="125"/>
  <c r="DA23" i="127"/>
  <c r="CG41" i="125"/>
  <c r="CG40" i="125"/>
  <c r="CO40" i="125"/>
  <c r="CG39" i="125"/>
  <c r="CG35" i="125"/>
  <c r="CG31" i="125"/>
  <c r="CO31" i="125"/>
  <c r="CG27" i="125"/>
  <c r="CO27" i="125"/>
  <c r="CG23" i="125"/>
  <c r="CG38" i="125"/>
  <c r="CG34" i="125"/>
  <c r="CG30" i="125"/>
  <c r="CG26" i="125"/>
  <c r="CO26" i="125"/>
  <c r="CG22" i="125"/>
  <c r="CO22" i="125"/>
  <c r="CG37" i="125"/>
  <c r="CG33" i="125"/>
  <c r="CG25" i="125"/>
  <c r="CO25" i="125"/>
  <c r="CG36" i="125"/>
  <c r="CG32" i="125"/>
  <c r="CO32" i="125"/>
  <c r="CG28" i="125"/>
  <c r="CO28" i="125"/>
  <c r="CG24" i="125"/>
  <c r="CG17" i="125"/>
  <c r="CO17" i="125"/>
  <c r="CG13" i="125"/>
  <c r="CO13" i="125"/>
  <c r="CG9" i="125"/>
  <c r="CG20" i="125"/>
  <c r="CO20" i="125"/>
  <c r="CG16" i="125"/>
  <c r="CO16" i="125"/>
  <c r="CG8" i="125"/>
  <c r="CG19" i="125"/>
  <c r="CO19" i="125"/>
  <c r="CG15" i="125"/>
  <c r="CO15" i="125"/>
  <c r="CG7" i="125"/>
  <c r="CG21" i="125"/>
  <c r="CG18" i="125"/>
  <c r="CO18" i="125"/>
  <c r="CG14" i="125"/>
  <c r="CO14" i="125"/>
  <c r="CG10" i="125"/>
  <c r="CG6" i="125"/>
  <c r="CC20" i="12"/>
  <c r="CC35" i="12"/>
  <c r="CC37" i="12"/>
  <c r="CC39" i="12"/>
  <c r="CC31" i="12"/>
  <c r="CC40" i="12"/>
  <c r="CC36" i="12"/>
  <c r="CC27" i="12"/>
  <c r="CC21" i="12"/>
  <c r="CC33" i="12"/>
  <c r="CC41" i="12"/>
  <c r="CC34" i="12"/>
  <c r="CC19" i="12"/>
  <c r="CC18" i="12"/>
  <c r="CC24" i="12"/>
  <c r="CC32" i="12"/>
  <c r="CC23" i="12"/>
  <c r="CC28" i="12"/>
  <c r="CC26" i="12"/>
  <c r="DA37" i="127"/>
  <c r="CH24" i="12"/>
  <c r="CH18" i="12"/>
  <c r="CH36" i="12"/>
  <c r="CH35" i="12"/>
  <c r="CH19" i="12"/>
  <c r="CH20" i="12"/>
  <c r="CH34" i="12"/>
  <c r="CH37" i="12"/>
  <c r="CH23" i="12"/>
  <c r="CH39" i="12"/>
  <c r="CH40" i="12"/>
  <c r="CH28" i="12"/>
  <c r="CH32" i="12"/>
  <c r="CH41" i="12"/>
  <c r="CH27" i="12"/>
  <c r="CH33" i="12"/>
  <c r="CH21" i="12"/>
  <c r="CH31" i="12"/>
  <c r="CH15" i="12"/>
  <c r="CH14" i="12"/>
  <c r="CH16" i="12"/>
  <c r="CT40" i="125"/>
  <c r="CT41" i="125"/>
  <c r="CT36" i="125"/>
  <c r="CT32" i="125"/>
  <c r="CT28" i="125"/>
  <c r="CT24" i="125"/>
  <c r="CT39" i="125"/>
  <c r="CT35" i="125"/>
  <c r="CT31" i="125"/>
  <c r="CT27" i="125"/>
  <c r="CT23" i="125"/>
  <c r="CT38" i="125"/>
  <c r="CT34" i="125"/>
  <c r="CT30" i="125"/>
  <c r="CT26" i="125"/>
  <c r="CT22" i="125"/>
  <c r="CT37" i="125"/>
  <c r="CT33" i="125"/>
  <c r="CT25" i="125"/>
  <c r="CT21" i="125"/>
  <c r="CT18" i="125"/>
  <c r="CT14" i="125"/>
  <c r="CT10" i="125"/>
  <c r="CT6" i="125"/>
  <c r="CT17" i="125"/>
  <c r="CT13" i="125"/>
  <c r="CT9" i="125"/>
  <c r="CT20" i="125"/>
  <c r="CT16" i="125"/>
  <c r="CT8" i="125"/>
  <c r="CT19" i="125"/>
  <c r="CT15" i="125"/>
  <c r="CT7" i="125"/>
  <c r="CE40" i="125"/>
  <c r="CE41" i="125"/>
  <c r="CE36" i="125"/>
  <c r="CE32" i="125"/>
  <c r="CE28" i="125"/>
  <c r="CE24" i="125"/>
  <c r="CE39" i="125"/>
  <c r="CE35" i="125"/>
  <c r="CE31" i="125"/>
  <c r="CE27" i="125"/>
  <c r="CE23" i="125"/>
  <c r="CE38" i="125"/>
  <c r="CE34" i="125"/>
  <c r="CE30" i="125"/>
  <c r="CE26" i="125"/>
  <c r="CE22" i="125"/>
  <c r="CE37" i="125"/>
  <c r="CE33" i="125"/>
  <c r="CE25" i="125"/>
  <c r="CE21" i="125"/>
  <c r="CE18" i="125"/>
  <c r="CE14" i="125"/>
  <c r="CE10" i="125"/>
  <c r="CE6" i="125"/>
  <c r="CE17" i="125"/>
  <c r="CE13" i="125"/>
  <c r="CE9" i="125"/>
  <c r="CE20" i="125"/>
  <c r="CE16" i="125"/>
  <c r="CE8" i="125"/>
  <c r="CE19" i="125"/>
  <c r="CE15" i="125"/>
  <c r="CE7" i="125"/>
  <c r="CX40" i="125"/>
  <c r="CX41" i="125"/>
  <c r="CX36" i="125"/>
  <c r="CX32" i="125"/>
  <c r="CX28" i="125"/>
  <c r="CX24" i="125"/>
  <c r="CX39" i="125"/>
  <c r="CX35" i="125"/>
  <c r="CX31" i="125"/>
  <c r="CX27" i="125"/>
  <c r="CX23" i="125"/>
  <c r="CX38" i="125"/>
  <c r="CX34" i="125"/>
  <c r="CX30" i="125"/>
  <c r="CX26" i="125"/>
  <c r="CX22" i="125"/>
  <c r="CX37" i="125"/>
  <c r="CX33" i="125"/>
  <c r="CX25" i="125"/>
  <c r="CX21" i="125"/>
  <c r="CX18" i="125"/>
  <c r="CX14" i="125"/>
  <c r="CX10" i="125"/>
  <c r="CX6" i="125"/>
  <c r="CX17" i="125"/>
  <c r="CX13" i="125"/>
  <c r="CX9" i="125"/>
  <c r="CX16" i="125"/>
  <c r="CX8" i="125"/>
  <c r="CX20" i="125"/>
  <c r="CX19" i="125"/>
  <c r="CX15" i="125"/>
  <c r="CX7" i="125"/>
  <c r="DA17" i="127"/>
  <c r="DG13" i="12"/>
  <c r="DG15" i="12"/>
  <c r="DG16" i="12"/>
  <c r="BO16" i="12"/>
  <c r="CF16" i="12"/>
  <c r="CQ15" i="12"/>
  <c r="CQ16" i="12"/>
  <c r="DH13" i="12"/>
  <c r="DH16" i="12"/>
  <c r="DH15" i="12"/>
  <c r="BO15" i="12"/>
  <c r="CV15" i="12"/>
  <c r="CV14" i="12"/>
  <c r="CV16" i="12"/>
  <c r="CX16" i="12"/>
  <c r="CX15" i="12"/>
  <c r="CR14" i="12"/>
  <c r="CR15" i="12"/>
  <c r="CR16" i="12"/>
  <c r="CF15" i="12"/>
  <c r="CT14" i="12"/>
  <c r="CT16" i="12"/>
  <c r="CT15" i="12"/>
  <c r="DF16" i="12"/>
  <c r="DF15" i="12"/>
  <c r="DI15" i="12"/>
  <c r="DI16" i="12"/>
  <c r="CF14" i="12"/>
  <c r="BQ7" i="25"/>
  <c r="CE7" i="25"/>
  <c r="CH7" i="25"/>
  <c r="BY7" i="25"/>
  <c r="CC7" i="25"/>
  <c r="CA7" i="25"/>
  <c r="CD7" i="25"/>
  <c r="BZ7" i="25"/>
  <c r="CB7" i="25"/>
  <c r="CO38" i="125"/>
  <c r="CO35" i="125"/>
  <c r="DJ41" i="125"/>
  <c r="DJ20" i="125"/>
  <c r="DJ27" i="125"/>
  <c r="DJ17" i="125"/>
  <c r="DJ23" i="125"/>
  <c r="DJ34" i="125"/>
  <c r="DJ25" i="125"/>
  <c r="DJ14" i="125"/>
  <c r="DJ32" i="125"/>
  <c r="DJ39" i="125"/>
  <c r="DJ18" i="125"/>
  <c r="DJ9" i="125"/>
  <c r="DJ6" i="125"/>
  <c r="DJ24" i="125"/>
  <c r="DJ22" i="125"/>
  <c r="DJ15" i="125"/>
  <c r="DJ7" i="125"/>
  <c r="DJ21" i="125"/>
  <c r="DJ13" i="125"/>
  <c r="CO21" i="125"/>
  <c r="CO37" i="125"/>
  <c r="CO34" i="125"/>
  <c r="DJ19" i="125"/>
  <c r="DJ33" i="125"/>
  <c r="DJ31" i="125"/>
  <c r="DJ16" i="125"/>
  <c r="DJ26" i="125"/>
  <c r="BQ38" i="127"/>
  <c r="BQ34" i="127"/>
  <c r="BQ30" i="127"/>
  <c r="BQ26" i="127"/>
  <c r="BQ22" i="127"/>
  <c r="BQ18" i="127"/>
  <c r="BQ6" i="127"/>
  <c r="BQ41" i="127"/>
  <c r="BQ37" i="127"/>
  <c r="BQ33" i="127"/>
  <c r="BQ25" i="127"/>
  <c r="BQ21" i="127"/>
  <c r="BQ17" i="127"/>
  <c r="BQ13" i="127"/>
  <c r="BQ9" i="127"/>
  <c r="BQ5" i="127"/>
  <c r="BQ40" i="127"/>
  <c r="BQ36" i="127"/>
  <c r="BQ32" i="127"/>
  <c r="BQ24" i="127"/>
  <c r="BQ20" i="127"/>
  <c r="BQ16" i="127"/>
  <c r="BQ12" i="127"/>
  <c r="BQ8" i="127"/>
  <c r="BQ39" i="127"/>
  <c r="BQ35" i="127"/>
  <c r="BQ31" i="127"/>
  <c r="BQ27" i="127"/>
  <c r="BQ23" i="127"/>
  <c r="BQ19" i="127"/>
  <c r="BQ15" i="127"/>
  <c r="BQ7" i="127"/>
  <c r="CO6" i="125"/>
  <c r="CO36" i="125"/>
  <c r="CO41" i="125"/>
  <c r="CO33" i="125"/>
  <c r="CO30" i="125"/>
  <c r="CO10" i="125"/>
  <c r="CO7" i="125"/>
  <c r="CO8" i="125"/>
  <c r="CO24" i="125"/>
  <c r="CO9" i="125"/>
  <c r="CO23" i="125"/>
  <c r="CO39" i="125"/>
  <c r="DG21" i="12"/>
  <c r="DG23" i="12"/>
  <c r="DG41" i="12"/>
  <c r="DG39" i="12"/>
  <c r="DG32" i="12"/>
  <c r="DG24" i="12"/>
  <c r="DG19" i="12"/>
  <c r="DG40" i="12"/>
  <c r="DG27" i="12"/>
  <c r="DG34" i="12"/>
  <c r="DG31" i="12"/>
  <c r="DG28" i="12"/>
  <c r="DG25" i="12"/>
  <c r="DG20" i="12"/>
  <c r="DG33" i="12"/>
  <c r="CW28" i="12"/>
  <c r="CW23" i="12"/>
  <c r="CW35" i="12"/>
  <c r="CW31" i="12"/>
  <c r="DF34" i="12"/>
  <c r="DJ34" i="12"/>
  <c r="DF32" i="12"/>
  <c r="DJ32" i="12"/>
  <c r="DF40" i="12"/>
  <c r="DJ40" i="12"/>
  <c r="DF18" i="12"/>
  <c r="DF26" i="12"/>
  <c r="DF24" i="12"/>
  <c r="DJ24" i="12"/>
  <c r="DF20" i="12"/>
  <c r="DJ20" i="12"/>
  <c r="DF23" i="12"/>
  <c r="DJ23" i="12"/>
  <c r="DF27" i="12"/>
  <c r="DJ27" i="12"/>
  <c r="DF39" i="12"/>
  <c r="DJ39" i="12"/>
  <c r="DF41" i="12"/>
  <c r="DJ41" i="12"/>
  <c r="DF28" i="12"/>
  <c r="DF19" i="12"/>
  <c r="DF21" i="12"/>
  <c r="DF31" i="12"/>
  <c r="DF33" i="12"/>
  <c r="DJ33" i="12"/>
  <c r="CW41" i="12"/>
  <c r="CW37" i="12"/>
  <c r="CW20" i="12"/>
  <c r="CW36" i="12"/>
  <c r="CW40" i="12"/>
  <c r="CW33" i="12"/>
  <c r="CW32" i="12"/>
  <c r="CW21" i="12"/>
  <c r="CW19" i="12"/>
  <c r="CW18" i="12"/>
  <c r="CW15" i="12"/>
  <c r="CW16" i="12"/>
  <c r="CW39" i="12"/>
  <c r="CW24" i="12"/>
  <c r="CW34" i="12"/>
  <c r="DD15" i="12"/>
  <c r="DD16" i="12"/>
  <c r="DD36" i="12"/>
  <c r="DD35" i="12"/>
  <c r="DD27" i="12"/>
  <c r="DD40" i="12"/>
  <c r="DD23" i="12"/>
  <c r="DD26" i="12"/>
  <c r="DD33" i="12"/>
  <c r="DD31" i="12"/>
  <c r="DD34" i="12"/>
  <c r="DD32" i="12"/>
  <c r="DD19" i="12"/>
  <c r="DD20" i="12"/>
  <c r="DD21" i="12"/>
  <c r="DD37" i="12"/>
  <c r="DD24" i="12"/>
  <c r="DD39" i="12"/>
  <c r="DD28" i="12"/>
  <c r="DD30" i="12"/>
  <c r="DD41" i="12"/>
  <c r="CU40" i="12"/>
  <c r="CU34" i="12"/>
  <c r="CU28" i="12"/>
  <c r="CU27" i="12"/>
  <c r="CU37" i="12"/>
  <c r="CU36" i="12"/>
  <c r="CU33" i="12"/>
  <c r="CU24" i="12"/>
  <c r="CU20" i="12"/>
  <c r="CU21" i="12"/>
  <c r="CU23" i="12"/>
  <c r="CU39" i="12"/>
  <c r="CU19" i="12"/>
  <c r="CU35" i="12"/>
  <c r="CU26" i="12"/>
  <c r="CU32" i="12"/>
  <c r="CU31" i="12"/>
  <c r="CU41" i="12"/>
  <c r="CU18" i="12"/>
  <c r="CU16" i="12"/>
  <c r="CU15" i="12"/>
  <c r="CR24" i="12"/>
  <c r="CR37" i="12"/>
  <c r="CR41" i="12"/>
  <c r="CR36" i="12"/>
  <c r="CR35" i="12"/>
  <c r="CR39" i="12"/>
  <c r="CR34" i="12"/>
  <c r="CR23" i="12"/>
  <c r="CR19" i="12"/>
  <c r="CR21" i="12"/>
  <c r="CR26" i="12"/>
  <c r="CR28" i="12"/>
  <c r="CR31" i="12"/>
  <c r="CR20" i="12"/>
  <c r="CR38" i="12"/>
  <c r="CR33" i="12"/>
  <c r="CR40" i="12"/>
  <c r="CR32" i="12"/>
  <c r="CR27" i="12"/>
  <c r="CQ32" i="12"/>
  <c r="CQ34" i="12"/>
  <c r="CQ37" i="12"/>
  <c r="CQ39" i="12"/>
  <c r="CQ41" i="12"/>
  <c r="CQ20" i="12"/>
  <c r="CQ28" i="12"/>
  <c r="CQ18" i="12"/>
  <c r="CQ36" i="12"/>
  <c r="CQ40" i="12"/>
  <c r="CQ33" i="12"/>
  <c r="CQ21" i="12"/>
  <c r="CQ24" i="12"/>
  <c r="CQ31" i="12"/>
  <c r="CQ27" i="12"/>
  <c r="CQ19" i="12"/>
  <c r="CQ35" i="12"/>
  <c r="CQ23" i="12"/>
  <c r="CF7" i="125"/>
  <c r="CP7" i="125"/>
  <c r="CF8" i="125"/>
  <c r="CP8" i="125"/>
  <c r="CF6" i="125"/>
  <c r="CP6" i="125"/>
  <c r="CF21" i="125"/>
  <c r="CP21" i="125"/>
  <c r="DA21" i="125"/>
  <c r="CF37" i="125"/>
  <c r="CF34" i="125"/>
  <c r="CP34" i="125"/>
  <c r="CF31" i="125"/>
  <c r="CP31" i="125"/>
  <c r="CF28" i="125"/>
  <c r="CP28" i="125"/>
  <c r="CF40" i="125"/>
  <c r="CP40" i="125"/>
  <c r="CF20" i="12"/>
  <c r="CF35" i="12"/>
  <c r="CF33" i="12"/>
  <c r="CF19" i="12"/>
  <c r="CF40" i="12"/>
  <c r="CZ34" i="12"/>
  <c r="CZ36" i="12"/>
  <c r="CZ32" i="12"/>
  <c r="CZ39" i="12"/>
  <c r="CZ21" i="12"/>
  <c r="CZ33" i="12"/>
  <c r="CZ20" i="12"/>
  <c r="CZ37" i="12"/>
  <c r="CZ24" i="12"/>
  <c r="CZ40" i="12"/>
  <c r="CZ41" i="12"/>
  <c r="CZ28" i="12"/>
  <c r="CZ35" i="12"/>
  <c r="CZ19" i="12"/>
  <c r="CZ23" i="12"/>
  <c r="CZ27" i="12"/>
  <c r="CZ31" i="12"/>
  <c r="CZ18" i="12"/>
  <c r="CZ15" i="12"/>
  <c r="CZ16" i="12"/>
  <c r="CO16" i="12"/>
  <c r="CP16" i="12"/>
  <c r="CO41" i="12"/>
  <c r="CO36" i="12"/>
  <c r="CO24" i="12"/>
  <c r="CO19" i="12"/>
  <c r="CO27" i="12"/>
  <c r="CF9" i="125"/>
  <c r="CP9" i="125"/>
  <c r="CF10" i="125"/>
  <c r="CP10" i="125"/>
  <c r="CF25" i="125"/>
  <c r="CP25" i="125"/>
  <c r="CF22" i="125"/>
  <c r="CP22" i="125"/>
  <c r="CF38" i="125"/>
  <c r="CP38" i="125"/>
  <c r="CF35" i="125"/>
  <c r="CF32" i="125"/>
  <c r="CP32" i="125"/>
  <c r="CF21" i="12"/>
  <c r="CF18" i="12"/>
  <c r="CF41" i="12"/>
  <c r="CF23" i="12"/>
  <c r="CP14" i="12"/>
  <c r="CO35" i="12"/>
  <c r="CO20" i="12"/>
  <c r="CO26" i="12"/>
  <c r="CO22" i="12"/>
  <c r="CO28" i="12"/>
  <c r="CO21" i="12"/>
  <c r="CF15" i="125"/>
  <c r="CP15" i="125"/>
  <c r="CF16" i="125"/>
  <c r="CP16" i="125"/>
  <c r="CF13" i="125"/>
  <c r="CP13" i="125"/>
  <c r="CF14" i="125"/>
  <c r="CP14" i="125"/>
  <c r="CF26" i="125"/>
  <c r="CP26" i="125"/>
  <c r="CF23" i="125"/>
  <c r="CP23" i="125"/>
  <c r="CF39" i="125"/>
  <c r="CP39" i="125"/>
  <c r="CF36" i="125"/>
  <c r="CF26" i="12"/>
  <c r="CF37" i="12"/>
  <c r="CF36" i="12"/>
  <c r="CF24" i="12"/>
  <c r="CF28" i="12"/>
  <c r="CT32" i="12"/>
  <c r="CT31" i="12"/>
  <c r="CT21" i="12"/>
  <c r="CT28" i="12"/>
  <c r="CT33" i="12"/>
  <c r="CT18" i="12"/>
  <c r="CT19" i="12"/>
  <c r="CT37" i="12"/>
  <c r="CT36" i="12"/>
  <c r="CT34" i="12"/>
  <c r="CT24" i="12"/>
  <c r="CT27" i="12"/>
  <c r="CT26" i="12"/>
  <c r="CT23" i="12"/>
  <c r="CT41" i="12"/>
  <c r="CT35" i="12"/>
  <c r="CT40" i="12"/>
  <c r="CT39" i="12"/>
  <c r="CT20" i="12"/>
  <c r="CS20" i="12"/>
  <c r="CS24" i="12"/>
  <c r="CS33" i="12"/>
  <c r="CS21" i="12"/>
  <c r="CS36" i="12"/>
  <c r="CS28" i="12"/>
  <c r="CS18" i="12"/>
  <c r="CS35" i="12"/>
  <c r="CS38" i="12"/>
  <c r="CS27" i="12"/>
  <c r="CS19" i="12"/>
  <c r="CS40" i="12"/>
  <c r="CS39" i="12"/>
  <c r="CS41" i="12"/>
  <c r="CS31" i="12"/>
  <c r="CS37" i="12"/>
  <c r="CS26" i="12"/>
  <c r="CS25" i="12"/>
  <c r="CS34" i="12"/>
  <c r="CS32" i="12"/>
  <c r="CS23" i="12"/>
  <c r="CS16" i="12"/>
  <c r="CS14" i="12"/>
  <c r="CS15" i="12"/>
  <c r="CO15" i="12"/>
  <c r="CP15" i="12"/>
  <c r="CO23" i="12"/>
  <c r="CO37" i="12"/>
  <c r="CO33" i="12"/>
  <c r="CO32" i="12"/>
  <c r="CO34" i="12"/>
  <c r="CF19" i="125"/>
  <c r="CP19" i="125"/>
  <c r="CF20" i="125"/>
  <c r="CP20" i="125"/>
  <c r="CF17" i="125"/>
  <c r="CP17" i="125"/>
  <c r="CF18" i="125"/>
  <c r="CP18" i="125"/>
  <c r="CF33" i="125"/>
  <c r="CP33" i="125"/>
  <c r="CF30" i="125"/>
  <c r="CP30" i="125"/>
  <c r="CF27" i="125"/>
  <c r="CP27" i="125"/>
  <c r="CF24" i="125"/>
  <c r="CP24" i="125"/>
  <c r="DA24" i="125"/>
  <c r="CF41" i="125"/>
  <c r="CP41" i="125"/>
  <c r="CF27" i="12"/>
  <c r="CF39" i="12"/>
  <c r="CF32" i="12"/>
  <c r="CF31" i="12"/>
  <c r="CF34" i="12"/>
  <c r="CV28" i="12"/>
  <c r="CV21" i="12"/>
  <c r="CV32" i="12"/>
  <c r="CV40" i="12"/>
  <c r="CV37" i="12"/>
  <c r="CV19" i="12"/>
  <c r="CV35" i="12"/>
  <c r="CV26" i="12"/>
  <c r="CV31" i="12"/>
  <c r="CV18" i="12"/>
  <c r="CV27" i="12"/>
  <c r="CV36" i="12"/>
  <c r="CV34" i="12"/>
  <c r="CV33" i="12"/>
  <c r="CV39" i="12"/>
  <c r="CV41" i="12"/>
  <c r="CV23" i="12"/>
  <c r="CV20" i="12"/>
  <c r="CV24" i="12"/>
  <c r="CX28" i="12"/>
  <c r="CX21" i="12"/>
  <c r="CX24" i="12"/>
  <c r="CX33" i="12"/>
  <c r="CX20" i="12"/>
  <c r="CX39" i="12"/>
  <c r="CX38" i="12"/>
  <c r="CX31" i="12"/>
  <c r="CX27" i="12"/>
  <c r="CX23" i="12"/>
  <c r="CX40" i="12"/>
  <c r="CX41" i="12"/>
  <c r="CX35" i="12"/>
  <c r="CX37" i="12"/>
  <c r="CX19" i="12"/>
  <c r="CX32" i="12"/>
  <c r="CX34" i="12"/>
  <c r="CX36" i="12"/>
  <c r="CX26" i="12"/>
  <c r="CX18" i="12"/>
  <c r="CO17" i="12"/>
  <c r="CO40" i="12"/>
  <c r="CO39" i="12"/>
  <c r="CO31" i="12"/>
  <c r="CO18" i="12"/>
  <c r="DJ15" i="12"/>
  <c r="DJ14" i="12"/>
  <c r="DJ16" i="12"/>
  <c r="BO3" i="25"/>
  <c r="BV7" i="25"/>
  <c r="BW7" i="25"/>
  <c r="CP7" i="25" s="1"/>
  <c r="CP36" i="125"/>
  <c r="DA36" i="125"/>
  <c r="CP35" i="125"/>
  <c r="DA35" i="125"/>
  <c r="DF36" i="127"/>
  <c r="DF35" i="127"/>
  <c r="CP37" i="125"/>
  <c r="DA37" i="125"/>
  <c r="DF11" i="127"/>
  <c r="DJ31" i="12"/>
  <c r="DJ21" i="12"/>
  <c r="CP41" i="12"/>
  <c r="DJ19" i="12"/>
  <c r="DJ25" i="12"/>
  <c r="DJ26" i="12"/>
  <c r="BQ35" i="125"/>
  <c r="BQ27" i="125"/>
  <c r="BQ19" i="125"/>
  <c r="BQ40" i="125"/>
  <c r="BQ32" i="125"/>
  <c r="BQ24" i="125"/>
  <c r="BQ16" i="125"/>
  <c r="BQ8" i="125"/>
  <c r="BQ41" i="125"/>
  <c r="BQ33" i="125"/>
  <c r="BQ25" i="125"/>
  <c r="BQ17" i="125"/>
  <c r="BQ9" i="125"/>
  <c r="BQ38" i="125"/>
  <c r="BQ30" i="125"/>
  <c r="BQ22" i="125"/>
  <c r="BQ14" i="125"/>
  <c r="BQ6" i="125"/>
  <c r="BQ39" i="125"/>
  <c r="BQ31" i="125"/>
  <c r="BQ23" i="125"/>
  <c r="BQ15" i="125"/>
  <c r="BQ7" i="125"/>
  <c r="BQ36" i="125"/>
  <c r="BQ28" i="125"/>
  <c r="BQ20" i="125"/>
  <c r="BQ37" i="125"/>
  <c r="BQ21" i="125"/>
  <c r="BQ13" i="125"/>
  <c r="BQ34" i="125"/>
  <c r="BQ26" i="125"/>
  <c r="BQ18" i="125"/>
  <c r="BQ10" i="125"/>
  <c r="DJ28" i="12"/>
  <c r="DJ30" i="12"/>
  <c r="DJ18" i="12"/>
  <c r="CP32" i="12"/>
  <c r="DA32" i="12"/>
  <c r="CP36" i="12"/>
  <c r="DA15" i="12"/>
  <c r="CP24" i="12"/>
  <c r="DA24" i="12"/>
  <c r="DA14" i="12"/>
  <c r="CP37" i="12"/>
  <c r="DA37" i="12"/>
  <c r="DA16" i="12"/>
  <c r="CP21" i="12"/>
  <c r="DA21" i="12"/>
  <c r="CP40" i="12"/>
  <c r="DA17" i="125"/>
  <c r="DA20" i="125"/>
  <c r="CP23" i="12"/>
  <c r="CP34" i="12"/>
  <c r="DA41" i="125"/>
  <c r="DA33" i="125"/>
  <c r="DA19" i="125"/>
  <c r="CP28" i="12"/>
  <c r="DA23" i="125"/>
  <c r="DA13" i="125"/>
  <c r="DA41" i="12"/>
  <c r="DA32" i="125"/>
  <c r="DA25" i="125"/>
  <c r="CP20" i="12"/>
  <c r="DA34" i="125"/>
  <c r="DA27" i="125"/>
  <c r="CP39" i="12"/>
  <c r="DA30" i="125"/>
  <c r="DA39" i="125"/>
  <c r="DA14" i="125"/>
  <c r="DA22" i="125"/>
  <c r="DA40" i="12"/>
  <c r="CP35" i="12"/>
  <c r="DA31" i="125"/>
  <c r="DA6" i="125"/>
  <c r="CP31" i="12"/>
  <c r="CP27" i="12"/>
  <c r="DA18" i="125"/>
  <c r="CP26" i="12"/>
  <c r="DA26" i="125"/>
  <c r="DA16" i="125"/>
  <c r="CP18" i="12"/>
  <c r="DA10" i="125"/>
  <c r="CP19" i="12"/>
  <c r="DA40" i="125"/>
  <c r="DA8" i="125"/>
  <c r="DA36" i="12"/>
  <c r="DA15" i="125"/>
  <c r="DA38" i="125"/>
  <c r="DA9" i="125"/>
  <c r="CP33" i="12"/>
  <c r="DA28" i="125"/>
  <c r="DA7" i="125"/>
  <c r="W16" i="12"/>
  <c r="Y16" i="12"/>
  <c r="X16" i="12"/>
  <c r="BQ16" i="12"/>
  <c r="Z16" i="12"/>
  <c r="V16" i="12"/>
  <c r="X17" i="12"/>
  <c r="W15" i="12"/>
  <c r="Z15" i="12"/>
  <c r="X15" i="12"/>
  <c r="BQ15" i="12"/>
  <c r="Y15" i="12"/>
  <c r="V15" i="12"/>
  <c r="V14" i="12"/>
  <c r="W14" i="12"/>
  <c r="X14" i="12"/>
  <c r="BQ14" i="12"/>
  <c r="Z14" i="12"/>
  <c r="Y14" i="12"/>
  <c r="BO7" i="25"/>
  <c r="DG36" i="127"/>
  <c r="DG35" i="127"/>
  <c r="BQ23" i="12"/>
  <c r="BQ24" i="12"/>
  <c r="BQ21" i="12"/>
  <c r="BQ32" i="12"/>
  <c r="BQ20" i="12"/>
  <c r="BQ28" i="12"/>
  <c r="BQ40" i="12"/>
  <c r="BQ39" i="12"/>
  <c r="BQ41" i="12"/>
  <c r="BQ19" i="12"/>
  <c r="BQ34" i="12"/>
  <c r="BQ27" i="12"/>
  <c r="BQ33" i="12"/>
  <c r="BQ31" i="12"/>
  <c r="BQ26" i="12"/>
  <c r="BQ37" i="12"/>
  <c r="BQ35" i="12"/>
  <c r="BQ18" i="12"/>
  <c r="BQ36" i="12"/>
  <c r="DA31" i="12"/>
  <c r="DA28" i="12"/>
  <c r="DA19" i="12"/>
  <c r="DA18" i="12"/>
  <c r="DA33" i="12"/>
  <c r="DA35" i="12"/>
  <c r="DA39" i="12"/>
  <c r="DA20" i="12"/>
  <c r="DA34" i="12"/>
  <c r="DA23" i="12"/>
  <c r="DA26" i="12"/>
  <c r="DA27" i="12"/>
  <c r="AI9" i="12"/>
  <c r="W9" i="12"/>
  <c r="AE8" i="12"/>
  <c r="AI8" i="12"/>
  <c r="AQ8" i="12"/>
  <c r="AA8" i="12"/>
  <c r="AM8" i="12"/>
  <c r="AU8" i="12"/>
  <c r="M8" i="12"/>
  <c r="W8" i="12"/>
  <c r="Y8" i="12"/>
  <c r="DF37" i="125"/>
  <c r="DF35" i="125"/>
  <c r="DF38" i="125"/>
  <c r="DF36" i="125"/>
  <c r="DH35" i="127"/>
  <c r="DH36" i="127"/>
  <c r="BA8" i="12"/>
  <c r="AC8" i="12"/>
  <c r="AK8" i="12"/>
  <c r="AS8" i="12"/>
  <c r="BB8" i="12"/>
  <c r="I8" i="12"/>
  <c r="AG8" i="12"/>
  <c r="AO8" i="12"/>
  <c r="AW8" i="12"/>
  <c r="P8" i="12"/>
  <c r="V8" i="12"/>
  <c r="X8" i="12"/>
  <c r="Z8" i="12"/>
  <c r="AK9" i="12"/>
  <c r="X9" i="12"/>
  <c r="DF35" i="12"/>
  <c r="DF36" i="12"/>
  <c r="DF37" i="12"/>
  <c r="DI36" i="127"/>
  <c r="DJ36" i="127"/>
  <c r="DI35" i="127"/>
  <c r="DJ35" i="127"/>
  <c r="DG37" i="125"/>
  <c r="DG36" i="125"/>
  <c r="DG38" i="125"/>
  <c r="DG35" i="125"/>
  <c r="AP9" i="12"/>
  <c r="K8" i="12"/>
  <c r="AD9" i="12"/>
  <c r="AH8" i="12"/>
  <c r="CT8" i="12"/>
  <c r="CT9" i="12"/>
  <c r="Q8" i="12"/>
  <c r="DG8" i="12"/>
  <c r="DH8" i="12"/>
  <c r="DF8" i="12"/>
  <c r="DI8" i="12"/>
  <c r="AD8" i="12"/>
  <c r="CG8" i="12"/>
  <c r="DD8" i="12"/>
  <c r="BC8" i="12"/>
  <c r="CY8" i="12"/>
  <c r="DG37" i="12"/>
  <c r="DG35" i="12"/>
  <c r="DG36" i="12"/>
  <c r="DH36" i="125"/>
  <c r="DH37" i="125"/>
  <c r="DH38" i="125"/>
  <c r="DH35" i="125"/>
  <c r="BT40" i="127"/>
  <c r="BT33" i="127"/>
  <c r="BT27" i="127"/>
  <c r="BT24" i="127"/>
  <c r="BT26" i="127"/>
  <c r="BT19" i="127"/>
  <c r="BT21" i="127"/>
  <c r="BT8" i="127"/>
  <c r="BT36" i="127"/>
  <c r="BT38" i="127"/>
  <c r="BT23" i="127"/>
  <c r="BT29" i="127"/>
  <c r="BT22" i="127"/>
  <c r="BT15" i="127"/>
  <c r="BT17" i="127"/>
  <c r="BT11" i="127"/>
  <c r="BT9" i="127"/>
  <c r="BT39" i="127"/>
  <c r="BT41" i="127"/>
  <c r="BT34" i="127"/>
  <c r="BT32" i="127"/>
  <c r="BT25" i="127"/>
  <c r="BT18" i="127"/>
  <c r="BT13" i="127"/>
  <c r="BT7" i="127"/>
  <c r="BT35" i="127"/>
  <c r="BT37" i="127"/>
  <c r="BT31" i="127"/>
  <c r="BT30" i="127"/>
  <c r="BT16" i="127"/>
  <c r="BT12" i="127"/>
  <c r="BW12" i="127" s="1"/>
  <c r="N8" i="12"/>
  <c r="AV8" i="12"/>
  <c r="AF8" i="12"/>
  <c r="CL8" i="12"/>
  <c r="CJ8" i="12"/>
  <c r="CW8" i="12"/>
  <c r="CB8" i="12"/>
  <c r="CR8" i="12"/>
  <c r="O8" i="12"/>
  <c r="AJ8" i="12"/>
  <c r="CK8" i="12"/>
  <c r="CS8" i="12"/>
  <c r="CU8" i="12"/>
  <c r="CA8" i="12"/>
  <c r="CD8" i="12"/>
  <c r="CV8" i="12"/>
  <c r="AR8" i="12"/>
  <c r="AN8" i="12"/>
  <c r="CI8" i="12"/>
  <c r="CH8" i="12"/>
  <c r="BZ8" i="12"/>
  <c r="CE8" i="12"/>
  <c r="CX8" i="12"/>
  <c r="AB8" i="12"/>
  <c r="CN8" i="12"/>
  <c r="CM8" i="12"/>
  <c r="CC8" i="12"/>
  <c r="BY8" i="12"/>
  <c r="CQ8" i="12"/>
  <c r="AL8" i="12"/>
  <c r="AT8" i="12"/>
  <c r="CZ8" i="12"/>
  <c r="AP8" i="12"/>
  <c r="AX8" i="12"/>
  <c r="CC9" i="12"/>
  <c r="CL9" i="12"/>
  <c r="CR9" i="12"/>
  <c r="BQ8" i="12"/>
  <c r="DJ8" i="12"/>
  <c r="R8" i="12"/>
  <c r="S8" i="12"/>
  <c r="T8" i="12"/>
  <c r="U8" i="12"/>
  <c r="BR3" i="25"/>
  <c r="DH35" i="12"/>
  <c r="DH36" i="12"/>
  <c r="DH37" i="12"/>
  <c r="DI37" i="125"/>
  <c r="DJ37" i="125"/>
  <c r="DI38" i="125"/>
  <c r="DJ38" i="125"/>
  <c r="DI36" i="125"/>
  <c r="DJ36" i="125"/>
  <c r="DI35" i="125"/>
  <c r="DJ35" i="125"/>
  <c r="BU37" i="127"/>
  <c r="BU39" i="127"/>
  <c r="BU24" i="127"/>
  <c r="BU26" i="127"/>
  <c r="BU19" i="127"/>
  <c r="BU21" i="127"/>
  <c r="BU8" i="127"/>
  <c r="BU10" i="127"/>
  <c r="BU40" i="127"/>
  <c r="BU33" i="127"/>
  <c r="BU35" i="127"/>
  <c r="BU29" i="127"/>
  <c r="BU31" i="127"/>
  <c r="BU15" i="127"/>
  <c r="BU17" i="127"/>
  <c r="BU11" i="127"/>
  <c r="BU9" i="127"/>
  <c r="BU36" i="127"/>
  <c r="BU38" i="127"/>
  <c r="BU32" i="127"/>
  <c r="BU25" i="127"/>
  <c r="BU27" i="127"/>
  <c r="BU20" i="127"/>
  <c r="BU22" i="127"/>
  <c r="BU7" i="127"/>
  <c r="BU41" i="127"/>
  <c r="BU34" i="127"/>
  <c r="BU30" i="127"/>
  <c r="BU23" i="127"/>
  <c r="BU16" i="127"/>
  <c r="BU18" i="127"/>
  <c r="BU12" i="127"/>
  <c r="BU13" i="127"/>
  <c r="CO8" i="12"/>
  <c r="CF8" i="12"/>
  <c r="BO8" i="12"/>
  <c r="BS3" i="25"/>
  <c r="DI37" i="12"/>
  <c r="DJ37" i="12"/>
  <c r="DI36" i="12"/>
  <c r="DJ36" i="12"/>
  <c r="DI35" i="12"/>
  <c r="DJ35" i="12"/>
  <c r="BV23" i="127"/>
  <c r="BW23" i="127"/>
  <c r="BX23" i="127"/>
  <c r="BW28" i="127"/>
  <c r="BV19" i="127"/>
  <c r="BW19" i="127"/>
  <c r="BX19" i="127"/>
  <c r="BV12" i="127"/>
  <c r="BV13" i="127"/>
  <c r="BW13" i="127"/>
  <c r="BX13" i="127"/>
  <c r="BV33" i="127"/>
  <c r="BW33" i="127"/>
  <c r="BX33" i="127"/>
  <c r="BV16" i="127"/>
  <c r="BW16" i="127"/>
  <c r="BX16" i="127"/>
  <c r="BV38" i="127"/>
  <c r="BW38" i="127"/>
  <c r="BX38" i="127"/>
  <c r="BV39" i="127"/>
  <c r="BW39" i="127"/>
  <c r="BX39" i="127"/>
  <c r="BV32" i="127"/>
  <c r="BW32" i="127"/>
  <c r="BX32" i="127"/>
  <c r="BV14" i="127"/>
  <c r="BV37" i="127"/>
  <c r="BW37" i="127"/>
  <c r="BX37" i="127"/>
  <c r="BV30" i="127"/>
  <c r="BW30" i="127"/>
  <c r="BX30" i="127"/>
  <c r="BV31" i="127"/>
  <c r="BW31" i="127"/>
  <c r="BX31" i="127"/>
  <c r="BV40" i="127"/>
  <c r="BW40" i="127"/>
  <c r="BX40" i="127"/>
  <c r="BV18" i="127"/>
  <c r="BW18" i="127"/>
  <c r="BX18" i="127"/>
  <c r="BV34" i="127"/>
  <c r="BW34" i="127"/>
  <c r="BX34" i="127"/>
  <c r="BV8" i="127"/>
  <c r="BW8" i="127"/>
  <c r="BX8" i="127"/>
  <c r="BV41" i="127"/>
  <c r="BW41" i="127"/>
  <c r="BX41" i="127"/>
  <c r="BV25" i="127"/>
  <c r="BW25" i="127"/>
  <c r="BX25" i="127"/>
  <c r="BV15" i="127"/>
  <c r="BW15" i="127"/>
  <c r="BX15" i="127"/>
  <c r="BV17" i="127"/>
  <c r="BW17" i="127"/>
  <c r="BX17" i="127"/>
  <c r="BV22" i="127"/>
  <c r="BW22" i="127"/>
  <c r="BX22" i="127"/>
  <c r="BW6" i="127"/>
  <c r="BV29" i="127"/>
  <c r="BV11" i="127"/>
  <c r="BV27" i="127"/>
  <c r="BW27" i="127"/>
  <c r="BX27" i="127"/>
  <c r="BV9" i="127"/>
  <c r="BW9" i="127"/>
  <c r="BX9" i="127"/>
  <c r="BV26" i="127"/>
  <c r="BW26" i="127"/>
  <c r="BX26" i="127"/>
  <c r="BV35" i="127"/>
  <c r="BW35" i="127"/>
  <c r="BX35" i="127"/>
  <c r="BV36" i="127"/>
  <c r="BW36" i="127"/>
  <c r="BX36" i="127"/>
  <c r="BV24" i="127"/>
  <c r="BW24" i="127"/>
  <c r="BX24" i="127"/>
  <c r="BV7" i="127"/>
  <c r="BW7" i="127"/>
  <c r="BX7" i="127"/>
  <c r="BV21" i="127"/>
  <c r="BW21" i="127"/>
  <c r="BX21" i="127"/>
  <c r="CP8" i="12"/>
  <c r="DA8" i="12"/>
  <c r="DA9" i="12"/>
  <c r="BT3" i="25"/>
  <c r="DM36" i="127"/>
  <c r="DL36" i="127"/>
  <c r="DM35" i="127"/>
  <c r="DL35" i="127"/>
  <c r="DB36" i="127"/>
  <c r="DB25" i="127"/>
  <c r="DB38" i="127"/>
  <c r="DB5" i="127"/>
  <c r="DB20" i="127"/>
  <c r="DB35" i="127"/>
  <c r="DB27" i="127"/>
  <c r="DB22" i="127"/>
  <c r="DB41" i="127"/>
  <c r="DB40" i="127"/>
  <c r="DB14" i="127"/>
  <c r="DB16" i="127"/>
  <c r="DB19" i="127"/>
  <c r="DB21" i="127"/>
  <c r="DB6" i="127"/>
  <c r="DB37" i="127"/>
  <c r="DB7" i="127"/>
  <c r="DB11" i="127"/>
  <c r="DB17" i="127"/>
  <c r="DB8" i="127"/>
  <c r="DB31" i="127"/>
  <c r="DB32" i="127"/>
  <c r="DB33" i="127"/>
  <c r="DB28" i="127"/>
  <c r="DB9" i="127"/>
  <c r="DB18" i="127"/>
  <c r="DB12" i="127"/>
  <c r="DB26" i="127"/>
  <c r="DB24" i="127"/>
  <c r="DB10" i="127"/>
  <c r="DB15" i="127"/>
  <c r="DB34" i="127"/>
  <c r="DB30" i="127"/>
  <c r="DB39" i="127"/>
  <c r="DB13" i="127"/>
  <c r="DB23" i="127"/>
  <c r="AA11" i="12"/>
  <c r="AE11" i="12"/>
  <c r="AU11" i="12"/>
  <c r="AW11" i="12" s="1"/>
  <c r="AX11" i="12" s="1"/>
  <c r="AM11" i="12"/>
  <c r="AQ11" i="12"/>
  <c r="AI11" i="12"/>
  <c r="AK11" i="12" s="1"/>
  <c r="M11" i="12"/>
  <c r="W11" i="12"/>
  <c r="Y11" i="12"/>
  <c r="AE7" i="12"/>
  <c r="AM7" i="12"/>
  <c r="AU7" i="12"/>
  <c r="AQ7" i="12"/>
  <c r="AA7" i="12"/>
  <c r="AI7" i="12"/>
  <c r="M7" i="12"/>
  <c r="W7" i="12"/>
  <c r="Y7" i="12"/>
  <c r="AM12" i="12"/>
  <c r="AO12" i="12" s="1"/>
  <c r="AP12" i="12" s="1"/>
  <c r="AE12" i="12"/>
  <c r="AA12" i="12"/>
  <c r="AI12" i="12"/>
  <c r="AJ12" i="12" s="1"/>
  <c r="AQ12" i="12"/>
  <c r="AS12" i="12" s="1"/>
  <c r="AT12" i="12" s="1"/>
  <c r="AU12" i="12"/>
  <c r="AW12" i="12" s="1"/>
  <c r="M12" i="12"/>
  <c r="Y12" i="12"/>
  <c r="W12" i="12"/>
  <c r="AQ5" i="12"/>
  <c r="AS5" i="12" s="1"/>
  <c r="AE5" i="12"/>
  <c r="AG5" i="12" s="1"/>
  <c r="AM5" i="12"/>
  <c r="AA5" i="12"/>
  <c r="AU5" i="12"/>
  <c r="AW5" i="12" s="1"/>
  <c r="AI5" i="12"/>
  <c r="W5" i="12"/>
  <c r="AM6" i="12"/>
  <c r="AI6" i="12"/>
  <c r="AU6" i="12"/>
  <c r="AE6" i="12"/>
  <c r="AQ6" i="12"/>
  <c r="AA6" i="12"/>
  <c r="M6" i="12"/>
  <c r="W6" i="12"/>
  <c r="Y6" i="12"/>
  <c r="AA10" i="12"/>
  <c r="AM10" i="12"/>
  <c r="AU10" i="12"/>
  <c r="AE10" i="12"/>
  <c r="AI10" i="12"/>
  <c r="AQ10" i="12"/>
  <c r="M10" i="12"/>
  <c r="W10" i="12"/>
  <c r="Y10" i="12"/>
  <c r="CI3" i="25"/>
  <c r="DN36" i="127"/>
  <c r="DK36" i="127"/>
  <c r="DK35" i="127"/>
  <c r="DN35" i="127"/>
  <c r="DB29" i="127"/>
  <c r="BT33" i="125"/>
  <c r="BT32" i="125"/>
  <c r="BT35" i="125"/>
  <c r="BT38" i="125"/>
  <c r="BT22" i="125"/>
  <c r="BT10" i="125"/>
  <c r="BT9" i="125"/>
  <c r="BT41" i="125"/>
  <c r="BT28" i="125"/>
  <c r="BT31" i="125"/>
  <c r="BT34" i="125"/>
  <c r="BT21" i="125"/>
  <c r="BT7" i="125"/>
  <c r="BT6" i="125"/>
  <c r="BT8" i="125"/>
  <c r="BT40" i="125"/>
  <c r="BT25" i="125"/>
  <c r="BT24" i="125"/>
  <c r="BT27" i="125"/>
  <c r="BT30" i="125"/>
  <c r="BT19" i="125"/>
  <c r="BT18" i="125"/>
  <c r="BT17" i="125"/>
  <c r="BT20" i="125"/>
  <c r="BT37" i="125"/>
  <c r="BT36" i="125"/>
  <c r="BT39" i="125"/>
  <c r="BT23" i="125"/>
  <c r="BT26" i="125"/>
  <c r="BT15" i="125"/>
  <c r="BT14" i="125"/>
  <c r="BT13" i="125"/>
  <c r="BT16" i="125"/>
  <c r="B12" i="25"/>
  <c r="A12" i="25"/>
  <c r="B11" i="25"/>
  <c r="A11" i="25"/>
  <c r="B10" i="25"/>
  <c r="A10" i="25"/>
  <c r="C12" i="25"/>
  <c r="CS12" i="25" s="1"/>
  <c r="C11" i="25"/>
  <c r="P11" i="25" s="1"/>
  <c r="C10" i="25"/>
  <c r="H10" i="25" s="1"/>
  <c r="BR7" i="25"/>
  <c r="CS11" i="25"/>
  <c r="BU36" i="125"/>
  <c r="BU39" i="125"/>
  <c r="BU23" i="125"/>
  <c r="BU30" i="125"/>
  <c r="BU33" i="125"/>
  <c r="BU18" i="125"/>
  <c r="BU17" i="125"/>
  <c r="BU20" i="125"/>
  <c r="BU19" i="125"/>
  <c r="BU32" i="125"/>
  <c r="BU35" i="125"/>
  <c r="BU40" i="125"/>
  <c r="BU26" i="125"/>
  <c r="BU14" i="125"/>
  <c r="BU13" i="125"/>
  <c r="BU16" i="125"/>
  <c r="BU15" i="125"/>
  <c r="BU28" i="125"/>
  <c r="BU31" i="125"/>
  <c r="BU38" i="125"/>
  <c r="BU22" i="125"/>
  <c r="BU25" i="125"/>
  <c r="BU10" i="125"/>
  <c r="BU9" i="125"/>
  <c r="BU41" i="125"/>
  <c r="BU24" i="125"/>
  <c r="BU27" i="125"/>
  <c r="BU34" i="125"/>
  <c r="BU37" i="125"/>
  <c r="BU21" i="125"/>
  <c r="BU6" i="125"/>
  <c r="BU8" i="125"/>
  <c r="BU7" i="125"/>
  <c r="BT35" i="12"/>
  <c r="BT34" i="12"/>
  <c r="BT20" i="12"/>
  <c r="BT40" i="12"/>
  <c r="BT27" i="12"/>
  <c r="BT24" i="12"/>
  <c r="BT25" i="12"/>
  <c r="BT23" i="12"/>
  <c r="BT39" i="12"/>
  <c r="BT21" i="12"/>
  <c r="BT33" i="12"/>
  <c r="BT31" i="12"/>
  <c r="BT37" i="12"/>
  <c r="BT41" i="12"/>
  <c r="BT28" i="12"/>
  <c r="BT32" i="12"/>
  <c r="BT36" i="12"/>
  <c r="BT26" i="12"/>
  <c r="BT19" i="12"/>
  <c r="BT18" i="12"/>
  <c r="BT13" i="12"/>
  <c r="BT14" i="12"/>
  <c r="BT15" i="12"/>
  <c r="BT16" i="12"/>
  <c r="BT8" i="12"/>
  <c r="M11" i="25"/>
  <c r="I11" i="25"/>
  <c r="L11" i="25"/>
  <c r="J11" i="25"/>
  <c r="BS7" i="25"/>
  <c r="BV31" i="125"/>
  <c r="BW31" i="125"/>
  <c r="BX31" i="125"/>
  <c r="BV17" i="125"/>
  <c r="BW17" i="125"/>
  <c r="BX17" i="125"/>
  <c r="BV6" i="125"/>
  <c r="BW6" i="125"/>
  <c r="BX6" i="125"/>
  <c r="BV30" i="125"/>
  <c r="BW30" i="125"/>
  <c r="BX30" i="125"/>
  <c r="BV16" i="125"/>
  <c r="BW16" i="125"/>
  <c r="BX16" i="125"/>
  <c r="BV26" i="125"/>
  <c r="BW26" i="125"/>
  <c r="BX26" i="125"/>
  <c r="BV35" i="125"/>
  <c r="BW35" i="125"/>
  <c r="BX35" i="125"/>
  <c r="BV24" i="125"/>
  <c r="BW24" i="125"/>
  <c r="BX24" i="125"/>
  <c r="BV34" i="125"/>
  <c r="BW34" i="125"/>
  <c r="BX34" i="125"/>
  <c r="BV20" i="125"/>
  <c r="BW20" i="125"/>
  <c r="BX20" i="125"/>
  <c r="BV18" i="125"/>
  <c r="BW18" i="125"/>
  <c r="BX18" i="125"/>
  <c r="BV33" i="125"/>
  <c r="BW33" i="125"/>
  <c r="BX33" i="125"/>
  <c r="BV15" i="125"/>
  <c r="BW15" i="125"/>
  <c r="BX15" i="125"/>
  <c r="BV38" i="125"/>
  <c r="BW38" i="125"/>
  <c r="BX38" i="125"/>
  <c r="BV37" i="125"/>
  <c r="BW37" i="125"/>
  <c r="BX37" i="125"/>
  <c r="BV19" i="125"/>
  <c r="BW19" i="125"/>
  <c r="BX19" i="125"/>
  <c r="BV40" i="125"/>
  <c r="BW40" i="125"/>
  <c r="BX40" i="125"/>
  <c r="BV32" i="125"/>
  <c r="BW32" i="125"/>
  <c r="BX32" i="125"/>
  <c r="BV39" i="125"/>
  <c r="BW39" i="125"/>
  <c r="BX39" i="125"/>
  <c r="BV28" i="125"/>
  <c r="BW28" i="125"/>
  <c r="BX28" i="125"/>
  <c r="BV14" i="125"/>
  <c r="BW14" i="125"/>
  <c r="BX14" i="125"/>
  <c r="BV22" i="125"/>
  <c r="BW22" i="125"/>
  <c r="BX22" i="125"/>
  <c r="BV8" i="125"/>
  <c r="BW8" i="125"/>
  <c r="BX8" i="125"/>
  <c r="BV41" i="125"/>
  <c r="BW41" i="125"/>
  <c r="BX41" i="125"/>
  <c r="BV36" i="125"/>
  <c r="BW36" i="125"/>
  <c r="BX36" i="125"/>
  <c r="BV21" i="125"/>
  <c r="BW21" i="125"/>
  <c r="BX21" i="125"/>
  <c r="BV27" i="125"/>
  <c r="BW27" i="125"/>
  <c r="BX27" i="125"/>
  <c r="BV13" i="125"/>
  <c r="BW13" i="125"/>
  <c r="BX13" i="125"/>
  <c r="BV23" i="125"/>
  <c r="BW23" i="125"/>
  <c r="BX23" i="125"/>
  <c r="BV9" i="125"/>
  <c r="BW9" i="125"/>
  <c r="BX9" i="125"/>
  <c r="BV7" i="125"/>
  <c r="BW7" i="125"/>
  <c r="BX7" i="125"/>
  <c r="BV25" i="125"/>
  <c r="BW25" i="125"/>
  <c r="BX25" i="125"/>
  <c r="BV10" i="125"/>
  <c r="BW10" i="125"/>
  <c r="BX10" i="125"/>
  <c r="BU36" i="12"/>
  <c r="BU30" i="12"/>
  <c r="BU31" i="12"/>
  <c r="BU24" i="12"/>
  <c r="BU19" i="12"/>
  <c r="BU35" i="12"/>
  <c r="BU33" i="12"/>
  <c r="BU23" i="12"/>
  <c r="BU41" i="12"/>
  <c r="BU22" i="12"/>
  <c r="BU21" i="12"/>
  <c r="BU18" i="12"/>
  <c r="BU37" i="12"/>
  <c r="BU40" i="12"/>
  <c r="BU27" i="12"/>
  <c r="BU26" i="12"/>
  <c r="BU20" i="12"/>
  <c r="BU28" i="12"/>
  <c r="BU34" i="12"/>
  <c r="BU32" i="12"/>
  <c r="BU39" i="12"/>
  <c r="BU15" i="12"/>
  <c r="BU14" i="12"/>
  <c r="BU16" i="12"/>
  <c r="BU8" i="12"/>
  <c r="I11" i="12"/>
  <c r="BB5" i="12"/>
  <c r="BA5" i="12"/>
  <c r="I5" i="12"/>
  <c r="AK5" i="12"/>
  <c r="Z5" i="12"/>
  <c r="X5" i="12"/>
  <c r="BA6" i="12"/>
  <c r="I6" i="12"/>
  <c r="BB6" i="12"/>
  <c r="AS6" i="12"/>
  <c r="AO6" i="12"/>
  <c r="AG6" i="12"/>
  <c r="AC6" i="12"/>
  <c r="AW6" i="12"/>
  <c r="AK6" i="12"/>
  <c r="P6" i="12"/>
  <c r="V6" i="12"/>
  <c r="Z6" i="12"/>
  <c r="X6" i="12"/>
  <c r="I12" i="12"/>
  <c r="BB12" i="12"/>
  <c r="BA12" i="12"/>
  <c r="AG12" i="12"/>
  <c r="AC12" i="12"/>
  <c r="P12" i="12"/>
  <c r="Z12" i="12"/>
  <c r="X12" i="12"/>
  <c r="V12" i="12"/>
  <c r="BA7" i="12"/>
  <c r="BB7" i="12"/>
  <c r="I7" i="12"/>
  <c r="AK7" i="12"/>
  <c r="AW7" i="12"/>
  <c r="AS7" i="12"/>
  <c r="P7" i="12"/>
  <c r="AG7" i="12"/>
  <c r="AC7" i="12"/>
  <c r="AO7" i="12"/>
  <c r="X7" i="12"/>
  <c r="V7" i="12"/>
  <c r="Z7" i="12"/>
  <c r="I10" i="12"/>
  <c r="BB10" i="12"/>
  <c r="AS10" i="12"/>
  <c r="AC10" i="12"/>
  <c r="AO10" i="12"/>
  <c r="BA10" i="12"/>
  <c r="AK10" i="12"/>
  <c r="AW10" i="12"/>
  <c r="AG10" i="12"/>
  <c r="P10" i="12"/>
  <c r="X10" i="12"/>
  <c r="V10" i="12"/>
  <c r="Z10" i="12"/>
  <c r="AC11" i="12"/>
  <c r="BA11" i="12"/>
  <c r="BB11" i="12"/>
  <c r="AO11" i="12"/>
  <c r="AP11" i="12" s="1"/>
  <c r="P11" i="12"/>
  <c r="AS11" i="12"/>
  <c r="AT11" i="12" s="1"/>
  <c r="AG11" i="12"/>
  <c r="V11" i="12"/>
  <c r="Z11" i="12"/>
  <c r="X11" i="12"/>
  <c r="BT7" i="25"/>
  <c r="DM13" i="125"/>
  <c r="DL13" i="125"/>
  <c r="DM38" i="125"/>
  <c r="DL38" i="125"/>
  <c r="DM37" i="125"/>
  <c r="DL37" i="125"/>
  <c r="DM36" i="125"/>
  <c r="DL36" i="125"/>
  <c r="DM35" i="125"/>
  <c r="DL35" i="125"/>
  <c r="DB25" i="125"/>
  <c r="DB13" i="125"/>
  <c r="DB41" i="125"/>
  <c r="DB28" i="125"/>
  <c r="DB19" i="125"/>
  <c r="DB11" i="125"/>
  <c r="DB18" i="125"/>
  <c r="DB35" i="125"/>
  <c r="DB30" i="125"/>
  <c r="DB7" i="125"/>
  <c r="DB27" i="125"/>
  <c r="DB8" i="125"/>
  <c r="DB39" i="125"/>
  <c r="DB37" i="125"/>
  <c r="DB20" i="125"/>
  <c r="DB12" i="125"/>
  <c r="DB6" i="125"/>
  <c r="DB9" i="125"/>
  <c r="DB21" i="125"/>
  <c r="DB22" i="125"/>
  <c r="DB32" i="125"/>
  <c r="DB15" i="125"/>
  <c r="DB34" i="125"/>
  <c r="DB26" i="125"/>
  <c r="DB17" i="125"/>
  <c r="DB5" i="125"/>
  <c r="DB10" i="125"/>
  <c r="DB23" i="125"/>
  <c r="DB36" i="125"/>
  <c r="DB14" i="125"/>
  <c r="DB40" i="125"/>
  <c r="DB38" i="125"/>
  <c r="DB33" i="125"/>
  <c r="DB24" i="125"/>
  <c r="DB16" i="125"/>
  <c r="DB31" i="125"/>
  <c r="BV31" i="12"/>
  <c r="BW31" i="12"/>
  <c r="BX31" i="12"/>
  <c r="DB31" i="12"/>
  <c r="BV30" i="12"/>
  <c r="DB30" i="12"/>
  <c r="BV32" i="12"/>
  <c r="BW32" i="12"/>
  <c r="BX32" i="12"/>
  <c r="DB32" i="12"/>
  <c r="BV18" i="12"/>
  <c r="BW18" i="12"/>
  <c r="BX18" i="12"/>
  <c r="DB18" i="12"/>
  <c r="BV35" i="12"/>
  <c r="BW35" i="12"/>
  <c r="BX35" i="12"/>
  <c r="BV23" i="12"/>
  <c r="BW23" i="12"/>
  <c r="BX23" i="12"/>
  <c r="DB23" i="12"/>
  <c r="BV41" i="12"/>
  <c r="BW41" i="12"/>
  <c r="BX41" i="12"/>
  <c r="DB41" i="12"/>
  <c r="BV19" i="12"/>
  <c r="BW19" i="12"/>
  <c r="BX19" i="12"/>
  <c r="DB19" i="12"/>
  <c r="BV27" i="12"/>
  <c r="BW27" i="12"/>
  <c r="BX27" i="12"/>
  <c r="DB27" i="12"/>
  <c r="BV40" i="12"/>
  <c r="BW40" i="12"/>
  <c r="BX40" i="12"/>
  <c r="DB40" i="12"/>
  <c r="BV26" i="12"/>
  <c r="BW26" i="12"/>
  <c r="BX26" i="12"/>
  <c r="DB26" i="12"/>
  <c r="BV24" i="12"/>
  <c r="BW24" i="12"/>
  <c r="BX24" i="12"/>
  <c r="DB24" i="12"/>
  <c r="BV28" i="12"/>
  <c r="BW28" i="12"/>
  <c r="BX28" i="12"/>
  <c r="DB28" i="12"/>
  <c r="BV21" i="12"/>
  <c r="BW21" i="12"/>
  <c r="BX21" i="12"/>
  <c r="DB21" i="12"/>
  <c r="BV37" i="12"/>
  <c r="BW37" i="12"/>
  <c r="BX37" i="12"/>
  <c r="BV34" i="12"/>
  <c r="BW34" i="12"/>
  <c r="BX34" i="12"/>
  <c r="DB34" i="12"/>
  <c r="BV36" i="12"/>
  <c r="BW36" i="12"/>
  <c r="BX36" i="12"/>
  <c r="BV39" i="12"/>
  <c r="BW39" i="12"/>
  <c r="BX39" i="12"/>
  <c r="DB39" i="12"/>
  <c r="BV20" i="12"/>
  <c r="BW20" i="12"/>
  <c r="BX20" i="12"/>
  <c r="DB20" i="12"/>
  <c r="DB22" i="12"/>
  <c r="BV25" i="12"/>
  <c r="BX25" i="12"/>
  <c r="DB25" i="12"/>
  <c r="BV33" i="12"/>
  <c r="BW33" i="12"/>
  <c r="BX33" i="12"/>
  <c r="DB33" i="12"/>
  <c r="DB13" i="12"/>
  <c r="BW17" i="12"/>
  <c r="DB17" i="12"/>
  <c r="BV14" i="12"/>
  <c r="BW14" i="12"/>
  <c r="BX14" i="12"/>
  <c r="DB14" i="12"/>
  <c r="BV16" i="12"/>
  <c r="BW16" i="12"/>
  <c r="BX16" i="12"/>
  <c r="DB16" i="12"/>
  <c r="BV15" i="12"/>
  <c r="BW15" i="12"/>
  <c r="BX15" i="12"/>
  <c r="DB15" i="12"/>
  <c r="BV8" i="12"/>
  <c r="BW8" i="12"/>
  <c r="BX8" i="12"/>
  <c r="DB8" i="12"/>
  <c r="DB9" i="12"/>
  <c r="K10" i="12"/>
  <c r="AP10" i="12"/>
  <c r="K7" i="12"/>
  <c r="K12" i="12"/>
  <c r="BQ10" i="12"/>
  <c r="AX10" i="12"/>
  <c r="AT7" i="12"/>
  <c r="CZ7" i="12"/>
  <c r="K6" i="12"/>
  <c r="K11" i="12"/>
  <c r="AL10" i="12"/>
  <c r="AT10" i="12"/>
  <c r="AX7" i="12"/>
  <c r="AL6" i="12"/>
  <c r="AH7" i="12"/>
  <c r="CT7" i="12"/>
  <c r="BC12" i="12"/>
  <c r="Q6" i="12"/>
  <c r="DH6" i="12"/>
  <c r="DF6" i="12"/>
  <c r="DG6" i="12"/>
  <c r="DI6" i="12"/>
  <c r="AH6" i="12"/>
  <c r="CT6" i="12"/>
  <c r="AH11" i="12"/>
  <c r="BC11" i="12"/>
  <c r="AD10" i="12"/>
  <c r="CG10" i="12"/>
  <c r="DD10" i="12"/>
  <c r="AD11" i="12"/>
  <c r="Q7" i="12"/>
  <c r="DF7" i="12"/>
  <c r="DG7" i="12"/>
  <c r="DI7" i="12"/>
  <c r="DH7" i="12"/>
  <c r="AH12" i="12"/>
  <c r="BT6" i="12"/>
  <c r="BU6" i="12"/>
  <c r="BV6" i="12"/>
  <c r="BC6" i="12"/>
  <c r="CY6" i="12"/>
  <c r="BV10" i="12"/>
  <c r="BU10" i="12"/>
  <c r="BT10" i="12"/>
  <c r="Q10" i="12"/>
  <c r="DG10" i="12"/>
  <c r="DH10" i="12"/>
  <c r="DF10" i="12"/>
  <c r="DI10" i="12"/>
  <c r="BC10" i="12"/>
  <c r="CY10" i="12"/>
  <c r="BU7" i="12"/>
  <c r="BV7" i="12"/>
  <c r="BT7" i="12"/>
  <c r="Q12" i="12"/>
  <c r="Q11" i="12"/>
  <c r="AH10" i="12"/>
  <c r="CT10" i="12"/>
  <c r="AD7" i="12"/>
  <c r="CG7" i="12"/>
  <c r="DD7" i="12"/>
  <c r="BC7" i="12"/>
  <c r="CY7" i="12"/>
  <c r="AD12" i="12"/>
  <c r="AD6" i="12"/>
  <c r="CG6" i="12"/>
  <c r="DD6" i="12"/>
  <c r="CI7" i="25"/>
  <c r="V25" i="73" s="1"/>
  <c r="DN13" i="125"/>
  <c r="DK13" i="125"/>
  <c r="DB36" i="12"/>
  <c r="DM36" i="12"/>
  <c r="DL36" i="12"/>
  <c r="DB37" i="12"/>
  <c r="DM37" i="12"/>
  <c r="DL37" i="12"/>
  <c r="DB35" i="12"/>
  <c r="DM35" i="12"/>
  <c r="DL35" i="12"/>
  <c r="DB38" i="12"/>
  <c r="DL38" i="12"/>
  <c r="DK38" i="125"/>
  <c r="DN38" i="125"/>
  <c r="DK37" i="125"/>
  <c r="DN37" i="125"/>
  <c r="DK36" i="125"/>
  <c r="DN36" i="125"/>
  <c r="DK35" i="125"/>
  <c r="DN35" i="125"/>
  <c r="DB29" i="12"/>
  <c r="DB29" i="125"/>
  <c r="O6" i="12"/>
  <c r="AJ6" i="12"/>
  <c r="AR6" i="12"/>
  <c r="AV6" i="12"/>
  <c r="AN6" i="12"/>
  <c r="AF6" i="12"/>
  <c r="AB6" i="12"/>
  <c r="CU6" i="12"/>
  <c r="CK6" i="12"/>
  <c r="CA6" i="12"/>
  <c r="BY6" i="12"/>
  <c r="CV6" i="12"/>
  <c r="CN6" i="12"/>
  <c r="CI6" i="12"/>
  <c r="CW6" i="12"/>
  <c r="CB6" i="12"/>
  <c r="CX6" i="12"/>
  <c r="CJ6" i="12"/>
  <c r="CS6" i="12"/>
  <c r="CL6" i="12"/>
  <c r="BZ6" i="12"/>
  <c r="CD6" i="12"/>
  <c r="CR6" i="12"/>
  <c r="CH6" i="12"/>
  <c r="CM6" i="12"/>
  <c r="CC6" i="12"/>
  <c r="CE6" i="12"/>
  <c r="CQ6" i="12"/>
  <c r="CZ6" i="12"/>
  <c r="CZ10" i="12"/>
  <c r="AN12" i="12"/>
  <c r="O12" i="12"/>
  <c r="AB12" i="12"/>
  <c r="AF12" i="12"/>
  <c r="AR12" i="12"/>
  <c r="AV7" i="12"/>
  <c r="AF7" i="12"/>
  <c r="AJ7" i="12"/>
  <c r="AN7" i="12"/>
  <c r="AR7" i="12"/>
  <c r="O7" i="12"/>
  <c r="AB7" i="12"/>
  <c r="CH7" i="12"/>
  <c r="CJ7" i="12"/>
  <c r="CD7" i="12"/>
  <c r="CA7" i="12"/>
  <c r="CV7" i="12"/>
  <c r="CM7" i="12"/>
  <c r="CK7" i="12"/>
  <c r="CC7" i="12"/>
  <c r="CE7" i="12"/>
  <c r="CQ7" i="12"/>
  <c r="CI7" i="12"/>
  <c r="CN7" i="12"/>
  <c r="CS7" i="12"/>
  <c r="CW7" i="12"/>
  <c r="BY7" i="12"/>
  <c r="CX7" i="12"/>
  <c r="CU7" i="12"/>
  <c r="CL7" i="12"/>
  <c r="BZ7" i="12"/>
  <c r="CB7" i="12"/>
  <c r="CR7" i="12"/>
  <c r="AB11" i="12"/>
  <c r="AN11" i="12"/>
  <c r="AF11" i="12"/>
  <c r="O11" i="12"/>
  <c r="AR11" i="12"/>
  <c r="BQ6" i="12"/>
  <c r="BW6" i="12"/>
  <c r="AP7" i="12"/>
  <c r="AT6" i="12"/>
  <c r="AL7" i="12"/>
  <c r="AP6" i="12"/>
  <c r="O10" i="12"/>
  <c r="AV10" i="12"/>
  <c r="AJ10" i="12"/>
  <c r="AR10" i="12"/>
  <c r="AB10" i="12"/>
  <c r="AF10" i="12"/>
  <c r="AN10" i="12"/>
  <c r="CI10" i="12"/>
  <c r="CM10" i="12"/>
  <c r="CJ10" i="12"/>
  <c r="CA10" i="12"/>
  <c r="CD10" i="12"/>
  <c r="CX10" i="12"/>
  <c r="CS10" i="12"/>
  <c r="CU10" i="12"/>
  <c r="CW10" i="12"/>
  <c r="CE10" i="12"/>
  <c r="CQ10" i="12"/>
  <c r="CH10" i="12"/>
  <c r="CL10" i="12"/>
  <c r="CC10" i="12"/>
  <c r="BY10" i="12"/>
  <c r="CV10" i="12"/>
  <c r="CN10" i="12"/>
  <c r="CK10" i="12"/>
  <c r="BZ10" i="12"/>
  <c r="CB10" i="12"/>
  <c r="CR10" i="12"/>
  <c r="AX6" i="12"/>
  <c r="BQ7" i="12"/>
  <c r="BW7" i="12"/>
  <c r="BW10" i="12"/>
  <c r="S7" i="12"/>
  <c r="U7" i="12"/>
  <c r="R7" i="12"/>
  <c r="T7" i="12"/>
  <c r="U6" i="12"/>
  <c r="T6" i="12"/>
  <c r="S6" i="12"/>
  <c r="R6" i="12"/>
  <c r="U11" i="12"/>
  <c r="R11" i="12"/>
  <c r="T11" i="12"/>
  <c r="S11" i="12"/>
  <c r="T12" i="12"/>
  <c r="R12" i="12"/>
  <c r="U12" i="12"/>
  <c r="S12" i="12"/>
  <c r="DJ6" i="12"/>
  <c r="DJ10" i="12"/>
  <c r="U10" i="12"/>
  <c r="S10" i="12"/>
  <c r="R10" i="12"/>
  <c r="T10" i="12"/>
  <c r="DJ7" i="12"/>
  <c r="DK37" i="12"/>
  <c r="DN37" i="12"/>
  <c r="DK35" i="12"/>
  <c r="DN35" i="12"/>
  <c r="DK36" i="12"/>
  <c r="DN36" i="12"/>
  <c r="CO7" i="12"/>
  <c r="CO10" i="12"/>
  <c r="CO6" i="12"/>
  <c r="CF6" i="12"/>
  <c r="CF7" i="12"/>
  <c r="CF10" i="12"/>
  <c r="BO10" i="12"/>
  <c r="BX10" i="12"/>
  <c r="BO6" i="12"/>
  <c r="BX6" i="12"/>
  <c r="BO7" i="12"/>
  <c r="BX7" i="12"/>
  <c r="CP7" i="12"/>
  <c r="DA7" i="12"/>
  <c r="CP10" i="12"/>
  <c r="DA10" i="12"/>
  <c r="CP6" i="12"/>
  <c r="DA6" i="12"/>
  <c r="DB7" i="12"/>
  <c r="DB11" i="12"/>
  <c r="DB10" i="12"/>
  <c r="DB5" i="12"/>
  <c r="DB12" i="12"/>
  <c r="DB6" i="12"/>
  <c r="CI11" i="25"/>
  <c r="V36" i="73" s="1"/>
  <c r="F54" i="101"/>
  <c r="H54" i="101"/>
  <c r="E58" i="101"/>
  <c r="K54" i="101"/>
  <c r="F56" i="101"/>
  <c r="F57" i="101"/>
  <c r="F58" i="101"/>
  <c r="H58" i="101"/>
  <c r="K58" i="101"/>
  <c r="F55" i="101"/>
  <c r="H55" i="101"/>
  <c r="K55" i="101"/>
  <c r="F52" i="101"/>
  <c r="H52" i="101"/>
  <c r="F53" i="101"/>
  <c r="H53" i="101"/>
  <c r="K53" i="101"/>
  <c r="K52" i="101"/>
  <c r="K59" i="101"/>
  <c r="D64" i="101"/>
  <c r="D67" i="101"/>
  <c r="H59" i="101"/>
  <c r="BE11" i="25"/>
  <c r="BH11" i="25"/>
  <c r="I36" i="73" s="1"/>
  <c r="AI11" i="25"/>
  <c r="AP11" i="25"/>
  <c r="BB11" i="25"/>
  <c r="BV11" i="25"/>
  <c r="N36" i="73" s="1"/>
  <c r="AV11" i="25"/>
  <c r="BC11" i="25"/>
  <c r="K49" i="119" s="1"/>
  <c r="AT11" i="25"/>
  <c r="AC11" i="25"/>
  <c r="AE11" i="25" s="1"/>
  <c r="BZ11" i="25"/>
  <c r="W11" i="25"/>
  <c r="H49" i="119" s="1"/>
  <c r="BW11" i="25"/>
  <c r="CP11" i="25" s="1"/>
  <c r="BO11" i="25"/>
  <c r="D36" i="73" s="1"/>
  <c r="AW11" i="25"/>
  <c r="AM11" i="25"/>
  <c r="BQ11" i="25"/>
  <c r="BT11" i="25"/>
  <c r="F36" i="73" s="1"/>
  <c r="BN11" i="25"/>
  <c r="BF11" i="25"/>
  <c r="AL11" i="25"/>
  <c r="AH11" i="25"/>
  <c r="BS11" i="25"/>
  <c r="BJ11" i="25"/>
  <c r="K36" i="73" s="1"/>
  <c r="AB11" i="25"/>
  <c r="BY11" i="25"/>
  <c r="BG11" i="25"/>
  <c r="H36" i="73" s="1"/>
  <c r="AQ11" i="25"/>
  <c r="AJ11" i="25"/>
  <c r="BK11" i="25"/>
  <c r="CA11" i="25"/>
  <c r="AZ11" i="25"/>
  <c r="Z11" i="25"/>
  <c r="BP11" i="25"/>
  <c r="BR11" i="25"/>
  <c r="CE11" i="25"/>
  <c r="R36" i="73" s="1"/>
  <c r="AN11" i="25"/>
  <c r="Y11" i="25"/>
  <c r="F49" i="119" s="1"/>
  <c r="AD11" i="25"/>
  <c r="AF11" i="25" s="1"/>
  <c r="CD11" i="25"/>
  <c r="AK11" i="25"/>
  <c r="AY11" i="25"/>
  <c r="AU11" i="25"/>
  <c r="BA11" i="25"/>
  <c r="CB11" i="25"/>
  <c r="X11" i="25"/>
  <c r="I49" i="119" s="1"/>
  <c r="AO11" i="25"/>
  <c r="CC11" i="25"/>
  <c r="CH11" i="25"/>
  <c r="T36" i="73" s="1"/>
  <c r="BL11" i="25"/>
  <c r="AX11" i="25"/>
  <c r="AR11" i="25"/>
  <c r="BD11" i="25"/>
  <c r="L49" i="119" s="1"/>
  <c r="AS11" i="25"/>
  <c r="AA11" i="25"/>
  <c r="G49" i="119" s="1"/>
  <c r="BI11" i="25"/>
  <c r="J36" i="73" s="1"/>
  <c r="AG11" i="25"/>
  <c r="R11" i="25"/>
  <c r="H2" i="25"/>
  <c r="I6" i="25"/>
  <c r="K6" i="25"/>
  <c r="H6" i="25"/>
  <c r="I10" i="25"/>
  <c r="I2" i="25"/>
  <c r="K2" i="25"/>
  <c r="K4" i="25"/>
  <c r="K8" i="25"/>
  <c r="H4" i="25"/>
  <c r="I12" i="25"/>
  <c r="I8" i="25"/>
  <c r="H8" i="25"/>
  <c r="I4" i="25"/>
  <c r="L5" i="120"/>
  <c r="L4" i="25"/>
  <c r="M6" i="25"/>
  <c r="M8" i="25"/>
  <c r="L11" i="120"/>
  <c r="L13" i="120"/>
  <c r="L2" i="25"/>
  <c r="M2" i="25"/>
  <c r="M4" i="25"/>
  <c r="L6" i="25"/>
  <c r="L12" i="25"/>
  <c r="L8" i="120"/>
  <c r="L7" i="120"/>
  <c r="L10" i="120"/>
  <c r="L8" i="25"/>
  <c r="BJ12" i="25"/>
  <c r="AL6" i="25"/>
  <c r="BI2" i="25"/>
  <c r="AC6" i="25"/>
  <c r="BI8" i="25"/>
  <c r="Y8" i="25"/>
  <c r="BG12" i="25"/>
  <c r="AB8" i="25"/>
  <c r="AG6" i="25"/>
  <c r="BG8" i="25"/>
  <c r="BH2" i="25"/>
  <c r="AA8" i="25"/>
  <c r="BH6" i="25"/>
  <c r="AK6" i="25"/>
  <c r="BJ6" i="25"/>
  <c r="BH12" i="25"/>
  <c r="BG2" i="25"/>
  <c r="BJ8" i="25"/>
  <c r="BI6" i="25"/>
  <c r="AP8" i="25"/>
  <c r="BJ2" i="25"/>
  <c r="BH8" i="25"/>
  <c r="BI12" i="25"/>
  <c r="BG6" i="25"/>
  <c r="DM38" i="12" l="1"/>
  <c r="BV17" i="12"/>
  <c r="BX22" i="12"/>
  <c r="CP9" i="12"/>
  <c r="CF9" i="12"/>
  <c r="DH38" i="12"/>
  <c r="CD9" i="12"/>
  <c r="CW9" i="12"/>
  <c r="CI9" i="12"/>
  <c r="CN9" i="12"/>
  <c r="AH9" i="12"/>
  <c r="DF9" i="12"/>
  <c r="CZ9" i="12"/>
  <c r="Z9" i="12"/>
  <c r="P9" i="12"/>
  <c r="Y9" i="12"/>
  <c r="DA38" i="12"/>
  <c r="Y17" i="12"/>
  <c r="DA30" i="12"/>
  <c r="CV30" i="12"/>
  <c r="CF30" i="12"/>
  <c r="CS17" i="12"/>
  <c r="CS22" i="12"/>
  <c r="CZ38" i="12"/>
  <c r="CU30" i="12"/>
  <c r="DF30" i="12"/>
  <c r="DG30" i="12"/>
  <c r="CV13" i="12"/>
  <c r="BO13" i="12"/>
  <c r="CH38" i="12"/>
  <c r="CC22" i="12"/>
  <c r="CE22" i="12"/>
  <c r="CD22" i="12"/>
  <c r="CB38" i="12"/>
  <c r="BY30" i="12"/>
  <c r="CJ30" i="12"/>
  <c r="DI22" i="12"/>
  <c r="P13" i="12"/>
  <c r="AA13" i="12"/>
  <c r="DO13" i="12"/>
  <c r="AP38" i="12"/>
  <c r="BS38" i="12"/>
  <c r="P38" i="12"/>
  <c r="BS17" i="12"/>
  <c r="AC17" i="12"/>
  <c r="DR17" i="12"/>
  <c r="O17" i="12"/>
  <c r="CM17" i="12"/>
  <c r="DS17" i="12"/>
  <c r="DW17" i="12"/>
  <c r="AU17" i="12"/>
  <c r="AG17" i="12"/>
  <c r="AL17" i="12"/>
  <c r="DP17" i="12"/>
  <c r="M17" i="12"/>
  <c r="Q17" i="12"/>
  <c r="BR30" i="12"/>
  <c r="DW30" i="12"/>
  <c r="AE30" i="12"/>
  <c r="I30" i="12"/>
  <c r="Z30" i="12"/>
  <c r="AH30" i="12"/>
  <c r="BC30" i="12"/>
  <c r="AF30" i="12"/>
  <c r="CM30" i="12"/>
  <c r="AM30" i="12"/>
  <c r="BH30" i="12"/>
  <c r="AG30" i="12"/>
  <c r="X30" i="12"/>
  <c r="AJ30" i="12"/>
  <c r="AL30" i="12"/>
  <c r="CN30" i="12"/>
  <c r="H30" i="12"/>
  <c r="Y30" i="12"/>
  <c r="BB30" i="12"/>
  <c r="AK30" i="12"/>
  <c r="AR30" i="12"/>
  <c r="DL30" i="12"/>
  <c r="AQ30" i="12"/>
  <c r="DO30" i="12"/>
  <c r="W30" i="12"/>
  <c r="DK30" i="12"/>
  <c r="BP30" i="12"/>
  <c r="DP30" i="12"/>
  <c r="M30" i="12"/>
  <c r="BA30" i="12"/>
  <c r="P30" i="12"/>
  <c r="S30" i="12"/>
  <c r="DN30" i="12"/>
  <c r="DS30" i="12"/>
  <c r="AA30" i="12"/>
  <c r="DU30" i="12"/>
  <c r="AO30" i="12"/>
  <c r="AD30" i="12"/>
  <c r="O30" i="12"/>
  <c r="T30" i="12"/>
  <c r="DM30" i="12"/>
  <c r="DQ30" i="12"/>
  <c r="BS30" i="12"/>
  <c r="J30" i="12"/>
  <c r="DV30" i="12"/>
  <c r="BX38" i="12"/>
  <c r="BW22" i="12"/>
  <c r="BT22" i="12"/>
  <c r="CS9" i="12"/>
  <c r="CA9" i="12"/>
  <c r="AJ9" i="12"/>
  <c r="CH9" i="12"/>
  <c r="DI9" i="12"/>
  <c r="K9" i="12"/>
  <c r="AC9" i="12"/>
  <c r="I9" i="12"/>
  <c r="M9" i="12"/>
  <c r="DA22" i="12"/>
  <c r="BQ30" i="12"/>
  <c r="W17" i="12"/>
  <c r="CX22" i="12"/>
  <c r="CF22" i="12"/>
  <c r="CQ38" i="12"/>
  <c r="CU22" i="12"/>
  <c r="DG22" i="12"/>
  <c r="DI13" i="12"/>
  <c r="CH30" i="12"/>
  <c r="CY17" i="12"/>
  <c r="CY30" i="12"/>
  <c r="CA38" i="12"/>
  <c r="BZ22" i="12"/>
  <c r="CI30" i="12"/>
  <c r="CC13" i="12"/>
  <c r="CE13" i="12"/>
  <c r="AV17" i="12"/>
  <c r="AJ17" i="12"/>
  <c r="L17" i="12"/>
  <c r="J13" i="12"/>
  <c r="AX38" i="12"/>
  <c r="V38" i="12"/>
  <c r="W38" i="12"/>
  <c r="BN30" i="12"/>
  <c r="BS22" i="12"/>
  <c r="DV22" i="12"/>
  <c r="AU22" i="12"/>
  <c r="Y22" i="12"/>
  <c r="AS22" i="12"/>
  <c r="AB22" i="12"/>
  <c r="U22" i="12"/>
  <c r="CN22" i="12"/>
  <c r="BO22" i="12"/>
  <c r="BR22" i="12"/>
  <c r="BN22" i="12"/>
  <c r="AA22" i="12"/>
  <c r="V22" i="12"/>
  <c r="AG22" i="12"/>
  <c r="AT22" i="12"/>
  <c r="AN22" i="12"/>
  <c r="T22" i="12"/>
  <c r="DN22" i="12"/>
  <c r="BP22" i="12"/>
  <c r="DW22" i="12"/>
  <c r="AQ22" i="12"/>
  <c r="M22" i="12"/>
  <c r="BA22" i="12"/>
  <c r="AK22" i="12"/>
  <c r="AX22" i="12"/>
  <c r="BC22" i="12"/>
  <c r="AV22" i="12"/>
  <c r="AL22" i="12"/>
  <c r="S22" i="12"/>
  <c r="DT22" i="12"/>
  <c r="DM22" i="12"/>
  <c r="DQ22" i="12"/>
  <c r="BH22" i="12"/>
  <c r="L22" i="12"/>
  <c r="N22" i="12" s="1"/>
  <c r="DL22" i="12"/>
  <c r="DS22" i="12"/>
  <c r="H22" i="12"/>
  <c r="AM22" i="12"/>
  <c r="BB22" i="12"/>
  <c r="Z22" i="12"/>
  <c r="K22" i="12"/>
  <c r="AP22" i="12"/>
  <c r="Q22" i="12"/>
  <c r="AH22" i="12"/>
  <c r="AJ22" i="12"/>
  <c r="DK22" i="12"/>
  <c r="DR22" i="12"/>
  <c r="DO22" i="12"/>
  <c r="J22" i="12"/>
  <c r="W22" i="12"/>
  <c r="I22" i="12"/>
  <c r="P22" i="12"/>
  <c r="DH22" i="12"/>
  <c r="AD22" i="12"/>
  <c r="AR22" i="12"/>
  <c r="DP22" i="12"/>
  <c r="BX9" i="12"/>
  <c r="BX13" i="12"/>
  <c r="BW38" i="12"/>
  <c r="BV22" i="12"/>
  <c r="BU13" i="12"/>
  <c r="BT9" i="12"/>
  <c r="BT30" i="12"/>
  <c r="CO9" i="12"/>
  <c r="R9" i="12"/>
  <c r="CU9" i="12"/>
  <c r="CJ9" i="12"/>
  <c r="AF9" i="12"/>
  <c r="AR9" i="12"/>
  <c r="DG38" i="12"/>
  <c r="DG9" i="12"/>
  <c r="AO9" i="12"/>
  <c r="AG9" i="12"/>
  <c r="AA9" i="12"/>
  <c r="BQ38" i="12"/>
  <c r="CP22" i="12"/>
  <c r="CS30" i="12"/>
  <c r="CT30" i="12"/>
  <c r="CZ30" i="12"/>
  <c r="CQ30" i="12"/>
  <c r="CU38" i="12"/>
  <c r="DD38" i="12"/>
  <c r="CW30" i="12"/>
  <c r="CW38" i="12"/>
  <c r="CF17" i="12"/>
  <c r="CC30" i="12"/>
  <c r="CA30" i="12"/>
  <c r="CD30" i="12"/>
  <c r="BY38" i="12"/>
  <c r="BZ38" i="12"/>
  <c r="CJ38" i="12"/>
  <c r="CI22" i="12"/>
  <c r="CK30" i="12"/>
  <c r="CL13" i="12"/>
  <c r="DT30" i="12"/>
  <c r="AP17" i="12"/>
  <c r="AC13" i="12"/>
  <c r="BH15" i="12"/>
  <c r="BS15" i="12"/>
  <c r="AT38" i="12"/>
  <c r="AP30" i="12"/>
  <c r="AN30" i="12"/>
  <c r="AZ24" i="12"/>
  <c r="L30" i="12"/>
  <c r="AM38" i="12"/>
  <c r="H38" i="12"/>
  <c r="BW9" i="12"/>
  <c r="BW13" i="12"/>
  <c r="BV38" i="12"/>
  <c r="AY10" i="12"/>
  <c r="AY7" i="12"/>
  <c r="BT17" i="12"/>
  <c r="S9" i="12"/>
  <c r="DJ9" i="12"/>
  <c r="AN9" i="12"/>
  <c r="CM9" i="12"/>
  <c r="CX9" i="12"/>
  <c r="AB9" i="12"/>
  <c r="CY9" i="12"/>
  <c r="DH9" i="12"/>
  <c r="DF38" i="12"/>
  <c r="AS9" i="12"/>
  <c r="CP38" i="12"/>
  <c r="CT38" i="12"/>
  <c r="CO13" i="12"/>
  <c r="CR22" i="12"/>
  <c r="DD17" i="12"/>
  <c r="CW13" i="12"/>
  <c r="DJ22" i="12"/>
  <c r="DF17" i="12"/>
  <c r="CE38" i="12"/>
  <c r="CG30" i="12"/>
  <c r="CL22" i="12"/>
  <c r="AP13" i="12"/>
  <c r="AS13" i="12"/>
  <c r="BA17" i="12"/>
  <c r="DL17" i="12"/>
  <c r="DS15" i="12"/>
  <c r="H15" i="12"/>
  <c r="AC15" i="12"/>
  <c r="AG15" i="12"/>
  <c r="AR15" i="12"/>
  <c r="U15" i="12"/>
  <c r="DO15" i="12"/>
  <c r="L15" i="12"/>
  <c r="AK15" i="12"/>
  <c r="K15" i="12"/>
  <c r="DP15" i="12"/>
  <c r="M15" i="12"/>
  <c r="AO15" i="12"/>
  <c r="BC15" i="12"/>
  <c r="CM15" i="12"/>
  <c r="DN15" i="12"/>
  <c r="BR15" i="12"/>
  <c r="DV15" i="12"/>
  <c r="AI15" i="12"/>
  <c r="AU15" i="12"/>
  <c r="Q15" i="12"/>
  <c r="AX15" i="12"/>
  <c r="AP15" i="12"/>
  <c r="AD15" i="12"/>
  <c r="DM15" i="12"/>
  <c r="DR15" i="12"/>
  <c r="DW15" i="12"/>
  <c r="AE15" i="12"/>
  <c r="AM15" i="12"/>
  <c r="AQ15" i="12"/>
  <c r="AN15" i="12"/>
  <c r="BA15" i="12"/>
  <c r="AV15" i="12"/>
  <c r="AT15" i="12"/>
  <c r="AB15" i="12"/>
  <c r="H11" i="12"/>
  <c r="N11" i="12" s="1"/>
  <c r="DO11" i="12"/>
  <c r="J11" i="12"/>
  <c r="DP11" i="12"/>
  <c r="DU11" i="12"/>
  <c r="DS11" i="12"/>
  <c r="DT11" i="12"/>
  <c r="DV11" i="12"/>
  <c r="DQ11" i="12"/>
  <c r="BR7" i="12"/>
  <c r="DV7" i="12"/>
  <c r="DS7" i="12"/>
  <c r="DW7" i="12"/>
  <c r="BN7" i="12"/>
  <c r="J7" i="12"/>
  <c r="BM7" i="12"/>
  <c r="L7" i="12"/>
  <c r="DM7" i="12"/>
  <c r="BS7" i="12"/>
  <c r="H7" i="12"/>
  <c r="DL7" i="12"/>
  <c r="BP7" i="12"/>
  <c r="DO7" i="12"/>
  <c r="AB30" i="12"/>
  <c r="Q38" i="12"/>
  <c r="K30" i="12"/>
  <c r="AQ38" i="12"/>
  <c r="AI30" i="12"/>
  <c r="DU22" i="12"/>
  <c r="DV9" i="12"/>
  <c r="J9" i="12"/>
  <c r="DM9" i="12"/>
  <c r="BS9" i="12"/>
  <c r="DN38" i="12"/>
  <c r="BV9" i="12"/>
  <c r="BV13" i="12"/>
  <c r="BT38" i="12"/>
  <c r="T9" i="12"/>
  <c r="AX9" i="12"/>
  <c r="AZ9" i="12" s="1"/>
  <c r="AV9" i="12"/>
  <c r="O9" i="12"/>
  <c r="BZ9" i="12"/>
  <c r="BC9" i="12"/>
  <c r="Q9" i="12"/>
  <c r="AW9" i="12"/>
  <c r="AU9" i="12"/>
  <c r="BQ22" i="12"/>
  <c r="Z17" i="12"/>
  <c r="CP30" i="12"/>
  <c r="DJ13" i="12"/>
  <c r="CO38" i="12"/>
  <c r="CF38" i="12"/>
  <c r="DF22" i="12"/>
  <c r="CY13" i="12"/>
  <c r="CA22" i="12"/>
  <c r="CB22" i="12"/>
  <c r="BY22" i="12"/>
  <c r="CL38" i="12"/>
  <c r="DI30" i="12"/>
  <c r="AW17" i="12"/>
  <c r="DU9" i="12"/>
  <c r="DO17" i="12"/>
  <c r="R22" i="12"/>
  <c r="AV30" i="12"/>
  <c r="AZ31" i="12"/>
  <c r="Q30" i="12"/>
  <c r="AZ35" i="12"/>
  <c r="AO22" i="12"/>
  <c r="AW30" i="12"/>
  <c r="AY27" i="12"/>
  <c r="AY31" i="12"/>
  <c r="AY35" i="12"/>
  <c r="AY39" i="12"/>
  <c r="AU30" i="12"/>
  <c r="DO38" i="12"/>
  <c r="AI38" i="12"/>
  <c r="DQ38" i="12"/>
  <c r="BA38" i="12"/>
  <c r="AK38" i="12"/>
  <c r="AY38" i="12" s="1"/>
  <c r="AR38" i="12"/>
  <c r="R38" i="12"/>
  <c r="DP38" i="12"/>
  <c r="AE38" i="12"/>
  <c r="BB38" i="12"/>
  <c r="X38" i="12"/>
  <c r="BP38" i="12"/>
  <c r="AD38" i="12"/>
  <c r="AJ38" i="12"/>
  <c r="T38" i="12"/>
  <c r="DR38" i="12"/>
  <c r="J38" i="12"/>
  <c r="AA38" i="12"/>
  <c r="I38" i="12"/>
  <c r="AG38" i="12"/>
  <c r="BR38" i="12"/>
  <c r="BC38" i="12"/>
  <c r="AH38" i="12"/>
  <c r="AN38" i="12"/>
  <c r="S38" i="12"/>
  <c r="DU38" i="12"/>
  <c r="DV38" i="12"/>
  <c r="Z38" i="12"/>
  <c r="AV38" i="12"/>
  <c r="CM38" i="12"/>
  <c r="L38" i="12"/>
  <c r="AU38" i="12"/>
  <c r="Y38" i="12"/>
  <c r="DS38" i="12"/>
  <c r="AW38" i="12"/>
  <c r="K38" i="12"/>
  <c r="AB38" i="12"/>
  <c r="DT38" i="12"/>
  <c r="M38" i="12"/>
  <c r="DK38" i="12"/>
  <c r="BX30" i="12"/>
  <c r="BU9" i="12"/>
  <c r="BU38" i="12"/>
  <c r="DJ38" i="12"/>
  <c r="U9" i="12"/>
  <c r="BQ9" i="12"/>
  <c r="CV9" i="12"/>
  <c r="CB9" i="12"/>
  <c r="CQ9" i="12"/>
  <c r="DD9" i="12"/>
  <c r="BA9" i="12"/>
  <c r="AM9" i="12"/>
  <c r="V17" i="12"/>
  <c r="DA17" i="12"/>
  <c r="CX30" i="12"/>
  <c r="CV38" i="12"/>
  <c r="CP13" i="12"/>
  <c r="CQ22" i="12"/>
  <c r="CR30" i="12"/>
  <c r="DD13" i="12"/>
  <c r="CW22" i="12"/>
  <c r="CX17" i="12"/>
  <c r="CC38" i="12"/>
  <c r="CY22" i="12"/>
  <c r="CK13" i="12"/>
  <c r="CK38" i="12"/>
  <c r="BZ17" i="12"/>
  <c r="BO38" i="12"/>
  <c r="BN38" i="12"/>
  <c r="R17" i="12"/>
  <c r="BM22" i="12"/>
  <c r="DO9" i="12"/>
  <c r="U30" i="12"/>
  <c r="AX30" i="12"/>
  <c r="O22" i="12"/>
  <c r="AF38" i="12"/>
  <c r="DH30" i="12"/>
  <c r="X22" i="12"/>
  <c r="AS30" i="12"/>
  <c r="AS38" i="12"/>
  <c r="AE22" i="12"/>
  <c r="DL13" i="12"/>
  <c r="X13" i="12"/>
  <c r="Q13" i="12"/>
  <c r="DQ13" i="12"/>
  <c r="AO13" i="12"/>
  <c r="AJ13" i="12"/>
  <c r="AW13" i="12"/>
  <c r="AH13" i="12"/>
  <c r="R13" i="12"/>
  <c r="BN13" i="12"/>
  <c r="BX17" i="12"/>
  <c r="BW30" i="12"/>
  <c r="BU17" i="12"/>
  <c r="DI38" i="12"/>
  <c r="BO9" i="12"/>
  <c r="AT9" i="12"/>
  <c r="CK9" i="12"/>
  <c r="BY9" i="12"/>
  <c r="CE9" i="12"/>
  <c r="CG9" i="12"/>
  <c r="AL9" i="12"/>
  <c r="V9" i="12"/>
  <c r="BB9" i="12"/>
  <c r="AE9" i="12"/>
  <c r="BQ13" i="12"/>
  <c r="BQ17" i="12"/>
  <c r="DA13" i="12"/>
  <c r="DJ17" i="12"/>
  <c r="CP17" i="12"/>
  <c r="CV22" i="12"/>
  <c r="CO30" i="12"/>
  <c r="CS13" i="12"/>
  <c r="CT22" i="12"/>
  <c r="CZ22" i="12"/>
  <c r="DD22" i="12"/>
  <c r="CT13" i="12"/>
  <c r="CH13" i="12"/>
  <c r="CH22" i="12"/>
  <c r="CD38" i="12"/>
  <c r="CJ22" i="12"/>
  <c r="CI17" i="12"/>
  <c r="CL30" i="12"/>
  <c r="CA17" i="12"/>
  <c r="BH38" i="12"/>
  <c r="DW38" i="12"/>
  <c r="BM38" i="12"/>
  <c r="BO30" i="12"/>
  <c r="DT17" i="12"/>
  <c r="AX13" i="12"/>
  <c r="R30" i="12"/>
  <c r="O38" i="12"/>
  <c r="AC22" i="12"/>
  <c r="AC30" i="12"/>
  <c r="AO38" i="12"/>
  <c r="AI22" i="12"/>
  <c r="AY20" i="12"/>
  <c r="AY24" i="12"/>
  <c r="M39" i="12"/>
  <c r="Q43" i="12"/>
  <c r="AW43" i="12"/>
  <c r="CO43" i="12"/>
  <c r="AU43" i="12"/>
  <c r="DD43" i="12"/>
  <c r="AZ45" i="12"/>
  <c r="J31" i="12"/>
  <c r="V43" i="12"/>
  <c r="BZ43" i="12"/>
  <c r="S43" i="12"/>
  <c r="CB43" i="12"/>
  <c r="BH23" i="12"/>
  <c r="DO31" i="12"/>
  <c r="DP39" i="12"/>
  <c r="AU31" i="12"/>
  <c r="DO43" i="12"/>
  <c r="DW43" i="12"/>
  <c r="DG43" i="12"/>
  <c r="DR31" i="12"/>
  <c r="BR39" i="12"/>
  <c r="DS43" i="12"/>
  <c r="DL23" i="12"/>
  <c r="DN31" i="12"/>
  <c r="AQ46" i="12"/>
  <c r="CZ42" i="12"/>
  <c r="BX42" i="12"/>
  <c r="X42" i="12"/>
  <c r="AZ40" i="12"/>
  <c r="Y31" i="12"/>
  <c r="U43" i="12"/>
  <c r="BA43" i="12"/>
  <c r="CS43" i="12"/>
  <c r="AZ49" i="12"/>
  <c r="J43" i="12"/>
  <c r="BC43" i="12"/>
  <c r="DJ43" i="12"/>
  <c r="AA43" i="12"/>
  <c r="CE43" i="12"/>
  <c r="X43" i="12"/>
  <c r="CH43" i="12"/>
  <c r="DV23" i="12"/>
  <c r="J23" i="12"/>
  <c r="H31" i="12"/>
  <c r="N31" i="12" s="1"/>
  <c r="DO39" i="12"/>
  <c r="AY48" i="12"/>
  <c r="DU43" i="12"/>
  <c r="I43" i="12"/>
  <c r="BS31" i="12"/>
  <c r="BP31" i="12"/>
  <c r="DQ39" i="12"/>
  <c r="AX43" i="12"/>
  <c r="DR43" i="12"/>
  <c r="DM23" i="12"/>
  <c r="DK31" i="12"/>
  <c r="CW42" i="12"/>
  <c r="BT42" i="12"/>
  <c r="Q42" i="12"/>
  <c r="AY32" i="12"/>
  <c r="AY40" i="12"/>
  <c r="Y43" i="12"/>
  <c r="BQ43" i="12"/>
  <c r="CW43" i="12"/>
  <c r="O43" i="12"/>
  <c r="BX43" i="12"/>
  <c r="AF43" i="12"/>
  <c r="CJ43" i="12"/>
  <c r="AD43" i="12"/>
  <c r="CM43" i="12"/>
  <c r="AM31" i="12"/>
  <c r="DU23" i="12"/>
  <c r="BH31" i="12"/>
  <c r="H39" i="12"/>
  <c r="DT43" i="12"/>
  <c r="AA31" i="12"/>
  <c r="DS23" i="12"/>
  <c r="DQ31" i="12"/>
  <c r="BS39" i="12"/>
  <c r="BP43" i="12"/>
  <c r="DN23" i="12"/>
  <c r="DL31" i="12"/>
  <c r="AZ32" i="12"/>
  <c r="AY37" i="12"/>
  <c r="W23" i="12"/>
  <c r="AM39" i="12"/>
  <c r="AC43" i="12"/>
  <c r="BU43" i="12"/>
  <c r="DA43" i="12"/>
  <c r="AU39" i="12"/>
  <c r="T43" i="12"/>
  <c r="CD43" i="12"/>
  <c r="AM23" i="12"/>
  <c r="AL43" i="12"/>
  <c r="CP43" i="12"/>
  <c r="AQ39" i="12"/>
  <c r="AI43" i="12"/>
  <c r="CR43" i="12"/>
  <c r="DP23" i="12"/>
  <c r="DW31" i="12"/>
  <c r="DW39" i="12"/>
  <c r="N19" i="12"/>
  <c r="BM43" i="12"/>
  <c r="BP23" i="12"/>
  <c r="AU23" i="12"/>
  <c r="W43" i="12"/>
  <c r="AQ31" i="12"/>
  <c r="AM43" i="12"/>
  <c r="DQ43" i="12"/>
  <c r="AE23" i="12"/>
  <c r="DM39" i="12"/>
  <c r="S50" i="12"/>
  <c r="CO42" i="12"/>
  <c r="AU42" i="12"/>
  <c r="AZ34" i="12"/>
  <c r="L39" i="12"/>
  <c r="AG43" i="12"/>
  <c r="BY43" i="12"/>
  <c r="DI43" i="12"/>
  <c r="AE39" i="12"/>
  <c r="Z43" i="12"/>
  <c r="CI43" i="12"/>
  <c r="AQ43" i="12"/>
  <c r="CU43" i="12"/>
  <c r="AN43" i="12"/>
  <c r="CX43" i="12"/>
  <c r="L43" i="12"/>
  <c r="DO23" i="12"/>
  <c r="BN31" i="12"/>
  <c r="BH39" i="12"/>
  <c r="AE31" i="12"/>
  <c r="DP43" i="12"/>
  <c r="DQ23" i="12"/>
  <c r="CQ43" i="12"/>
  <c r="BS43" i="12"/>
  <c r="DN39" i="12"/>
  <c r="DA46" i="12"/>
  <c r="CL42" i="12"/>
  <c r="AO42" i="12"/>
  <c r="AY42" i="12" s="1"/>
  <c r="AY16" i="12"/>
  <c r="BP10" i="12"/>
  <c r="AY34" i="12"/>
  <c r="AA39" i="12"/>
  <c r="AK43" i="12"/>
  <c r="CC43" i="12"/>
  <c r="AY45" i="12"/>
  <c r="J39" i="12"/>
  <c r="AZ50" i="12"/>
  <c r="AY50" i="12"/>
  <c r="AE43" i="12"/>
  <c r="CN43" i="12"/>
  <c r="AV43" i="12"/>
  <c r="CZ43" i="12"/>
  <c r="AT43" i="12"/>
  <c r="DH43" i="12"/>
  <c r="AH43" i="12"/>
  <c r="H23" i="12"/>
  <c r="N23" i="12" s="1"/>
  <c r="DV31" i="12"/>
  <c r="BN39" i="12"/>
  <c r="AV29" i="12"/>
  <c r="H43" i="12"/>
  <c r="BS23" i="12"/>
  <c r="DR23" i="12"/>
  <c r="DS39" i="12"/>
  <c r="DJ42" i="12"/>
  <c r="CH42" i="12"/>
  <c r="AZ33" i="125"/>
  <c r="AY6" i="125"/>
  <c r="AC49" i="125"/>
  <c r="AB49" i="125"/>
  <c r="AV44" i="125"/>
  <c r="AE27" i="125"/>
  <c r="AI19" i="125"/>
  <c r="AE15" i="125"/>
  <c r="BR49" i="125"/>
  <c r="CU49" i="125"/>
  <c r="DV49" i="125"/>
  <c r="CR49" i="125"/>
  <c r="CJ49" i="125"/>
  <c r="BQ49" i="125"/>
  <c r="AL49" i="125"/>
  <c r="K49" i="125"/>
  <c r="AQ49" i="125"/>
  <c r="AJ49" i="125"/>
  <c r="AK49" i="125"/>
  <c r="DQ49" i="125"/>
  <c r="DI49" i="125"/>
  <c r="BH49" i="125"/>
  <c r="CL49" i="125"/>
  <c r="CQ49" i="125"/>
  <c r="BZ49" i="125"/>
  <c r="BT49" i="125"/>
  <c r="BN49" i="125"/>
  <c r="CH49" i="125"/>
  <c r="CW49" i="125"/>
  <c r="CE49" i="125"/>
  <c r="J49" i="125"/>
  <c r="AT49" i="125"/>
  <c r="S49" i="125"/>
  <c r="BC49" i="125"/>
  <c r="L49" i="125"/>
  <c r="AR49" i="125"/>
  <c r="CG49" i="125"/>
  <c r="DW49" i="125"/>
  <c r="CC49" i="125"/>
  <c r="DD49" i="125"/>
  <c r="CK49" i="125"/>
  <c r="R49" i="125"/>
  <c r="AX49" i="125"/>
  <c r="W49" i="125"/>
  <c r="BO49" i="125"/>
  <c r="P49" i="125"/>
  <c r="AV49" i="125"/>
  <c r="Q49" i="125"/>
  <c r="AW49" i="125"/>
  <c r="BS49" i="125"/>
  <c r="CN49" i="125"/>
  <c r="CT49" i="125"/>
  <c r="H49" i="125"/>
  <c r="BY49" i="125"/>
  <c r="CS49" i="125"/>
  <c r="V49" i="125"/>
  <c r="BB49" i="125"/>
  <c r="AA49" i="125"/>
  <c r="BW49" i="125"/>
  <c r="T49" i="125"/>
  <c r="BX49" i="125"/>
  <c r="U49" i="125"/>
  <c r="BA49" i="125"/>
  <c r="BP49" i="125"/>
  <c r="DH49" i="125"/>
  <c r="DG49" i="125"/>
  <c r="BM49" i="125"/>
  <c r="CX49" i="125"/>
  <c r="Z49" i="125"/>
  <c r="CP49" i="125"/>
  <c r="AE49" i="125"/>
  <c r="DK49" i="125"/>
  <c r="X49" i="125"/>
  <c r="CF49" i="125"/>
  <c r="Y49" i="125"/>
  <c r="CO49" i="125"/>
  <c r="CM49" i="125"/>
  <c r="CB49" i="125"/>
  <c r="DS49" i="125"/>
  <c r="CY49" i="125"/>
  <c r="CI49" i="125"/>
  <c r="CV49" i="125"/>
  <c r="CD49" i="125"/>
  <c r="AZ32" i="125"/>
  <c r="CZ49" i="125"/>
  <c r="DQ44" i="125"/>
  <c r="AC44" i="125"/>
  <c r="DH44" i="125"/>
  <c r="DF44" i="125"/>
  <c r="U44" i="125"/>
  <c r="Y44" i="125"/>
  <c r="AH44" i="125"/>
  <c r="O44" i="125"/>
  <c r="AU44" i="125"/>
  <c r="X44" i="125"/>
  <c r="DJ44" i="125"/>
  <c r="DR44" i="125"/>
  <c r="CH44" i="125"/>
  <c r="CP44" i="125"/>
  <c r="CW44" i="125"/>
  <c r="CY44" i="125"/>
  <c r="DD44" i="125"/>
  <c r="AS44" i="125"/>
  <c r="BR44" i="125"/>
  <c r="AG44" i="125"/>
  <c r="CS44" i="125"/>
  <c r="CT44" i="125"/>
  <c r="CX44" i="125"/>
  <c r="DU44" i="125"/>
  <c r="CB44" i="125"/>
  <c r="AP44" i="125"/>
  <c r="W44" i="125"/>
  <c r="BO44" i="125"/>
  <c r="AF44" i="125"/>
  <c r="DK44" i="125"/>
  <c r="DS44" i="125"/>
  <c r="DI44" i="125"/>
  <c r="BV44" i="125"/>
  <c r="Q44" i="125"/>
  <c r="DO44" i="125"/>
  <c r="CM44" i="125"/>
  <c r="CL44" i="125"/>
  <c r="CR44" i="125"/>
  <c r="CN44" i="125"/>
  <c r="J44" i="125"/>
  <c r="AT44" i="125"/>
  <c r="DV44" i="125"/>
  <c r="AA44" i="125"/>
  <c r="BW44" i="125"/>
  <c r="AJ44" i="125"/>
  <c r="BP44" i="125"/>
  <c r="CV44" i="125"/>
  <c r="AW44" i="125"/>
  <c r="BN44" i="125"/>
  <c r="CI44" i="125"/>
  <c r="CG44" i="125"/>
  <c r="CK44" i="125"/>
  <c r="CZ44" i="125"/>
  <c r="R44" i="125"/>
  <c r="AX44" i="125"/>
  <c r="DP44" i="125"/>
  <c r="AE44" i="125"/>
  <c r="AN44" i="125"/>
  <c r="CU44" i="125"/>
  <c r="M44" i="125"/>
  <c r="CJ44" i="125"/>
  <c r="DW44" i="125"/>
  <c r="CD44" i="125"/>
  <c r="CA44" i="125"/>
  <c r="CE44" i="125"/>
  <c r="BM44" i="125"/>
  <c r="V44" i="125"/>
  <c r="BB44" i="125"/>
  <c r="DA44" i="125"/>
  <c r="AI44" i="125"/>
  <c r="L44" i="125"/>
  <c r="AR44" i="125"/>
  <c r="BU44" i="125"/>
  <c r="BS44" i="125"/>
  <c r="I44" i="125"/>
  <c r="H44" i="125"/>
  <c r="BT44" i="125"/>
  <c r="AK44" i="125"/>
  <c r="BQ44" i="125"/>
  <c r="CQ44" i="125"/>
  <c r="DP49" i="125"/>
  <c r="AP49" i="125"/>
  <c r="CC44" i="125"/>
  <c r="BZ44" i="125"/>
  <c r="DM7" i="125"/>
  <c r="BR7" i="125"/>
  <c r="BH7" i="125"/>
  <c r="P7" i="125"/>
  <c r="K7" i="125"/>
  <c r="AJ7" i="125"/>
  <c r="BC7" i="125"/>
  <c r="DL7" i="125"/>
  <c r="DS7" i="125"/>
  <c r="H7" i="125"/>
  <c r="L7" i="125"/>
  <c r="Q7" i="125"/>
  <c r="O7" i="125"/>
  <c r="AM7" i="125"/>
  <c r="DK7" i="125"/>
  <c r="BP7" i="125"/>
  <c r="X7" i="125"/>
  <c r="Y7" i="125"/>
  <c r="W7" i="125"/>
  <c r="AN7" i="125"/>
  <c r="DO7" i="125"/>
  <c r="BA7" i="125"/>
  <c r="J7" i="125"/>
  <c r="AA7" i="125"/>
  <c r="AQ7" i="125"/>
  <c r="DT7" i="125"/>
  <c r="DP7" i="125"/>
  <c r="V7" i="125"/>
  <c r="AB7" i="125"/>
  <c r="AR7" i="125"/>
  <c r="BS7" i="125"/>
  <c r="DU7" i="125"/>
  <c r="DV7" i="125"/>
  <c r="Z7" i="125"/>
  <c r="AE7" i="125"/>
  <c r="AU7" i="125"/>
  <c r="DN7" i="125"/>
  <c r="DR7" i="125"/>
  <c r="BN7" i="125"/>
  <c r="M7" i="125"/>
  <c r="AI7" i="125"/>
  <c r="AX7" i="125"/>
  <c r="DU11" i="125"/>
  <c r="BA11" i="125"/>
  <c r="AE11" i="125"/>
  <c r="DP11" i="125"/>
  <c r="AG11" i="125"/>
  <c r="DR11" i="125"/>
  <c r="AI11" i="125"/>
  <c r="DV11" i="125"/>
  <c r="J11" i="125"/>
  <c r="AM11" i="125"/>
  <c r="K11" i="125"/>
  <c r="AQ11" i="125"/>
  <c r="L11" i="125"/>
  <c r="M11" i="125" s="1"/>
  <c r="V11" i="125"/>
  <c r="AU11" i="125"/>
  <c r="AW11" i="125" s="1"/>
  <c r="AX11" i="125" s="1"/>
  <c r="DO11" i="125"/>
  <c r="Y11" i="125"/>
  <c r="BB11" i="125"/>
  <c r="AA11" i="125"/>
  <c r="BN15" i="125"/>
  <c r="DO15" i="125"/>
  <c r="Y15" i="125"/>
  <c r="BB15" i="125"/>
  <c r="AI15" i="125"/>
  <c r="AX15" i="125"/>
  <c r="BS15" i="125"/>
  <c r="BH15" i="125"/>
  <c r="DT15" i="125"/>
  <c r="BA15" i="125"/>
  <c r="K15" i="125"/>
  <c r="AJ15" i="125"/>
  <c r="BC15" i="125"/>
  <c r="DQ15" i="125"/>
  <c r="DW15" i="125"/>
  <c r="DU15" i="125"/>
  <c r="DP15" i="125"/>
  <c r="O15" i="125"/>
  <c r="AM15" i="125"/>
  <c r="DN15" i="125"/>
  <c r="BR15" i="125"/>
  <c r="H15" i="125"/>
  <c r="DV15" i="125"/>
  <c r="W15" i="125"/>
  <c r="AN15" i="125"/>
  <c r="DK15" i="125"/>
  <c r="DR15" i="125"/>
  <c r="I15" i="125"/>
  <c r="AA15" i="125"/>
  <c r="AQ15" i="125"/>
  <c r="DM15" i="125"/>
  <c r="DS15" i="125"/>
  <c r="M15" i="125"/>
  <c r="J15" i="125"/>
  <c r="AB15" i="125"/>
  <c r="AR15" i="125"/>
  <c r="X15" i="125"/>
  <c r="Q15" i="125"/>
  <c r="Z15" i="125"/>
  <c r="AG15" i="125"/>
  <c r="AW15" i="125"/>
  <c r="BR19" i="125"/>
  <c r="DW19" i="125"/>
  <c r="Y19" i="125"/>
  <c r="BB19" i="125"/>
  <c r="O19" i="125"/>
  <c r="AM19" i="125"/>
  <c r="DS19" i="125"/>
  <c r="BH19" i="125"/>
  <c r="BA19" i="125"/>
  <c r="W19" i="125"/>
  <c r="AN19" i="125"/>
  <c r="BP19" i="125"/>
  <c r="BN19" i="125"/>
  <c r="L19" i="125"/>
  <c r="DP19" i="125"/>
  <c r="AA19" i="125"/>
  <c r="AQ19" i="125"/>
  <c r="DN19" i="125"/>
  <c r="H19" i="125"/>
  <c r="X19" i="125"/>
  <c r="DV19" i="125"/>
  <c r="AB19" i="125"/>
  <c r="AR19" i="125"/>
  <c r="DM19" i="125"/>
  <c r="DO19" i="125"/>
  <c r="I19" i="125"/>
  <c r="AE19" i="125"/>
  <c r="AU19" i="125"/>
  <c r="DL19" i="125"/>
  <c r="BS19" i="125"/>
  <c r="DT19" i="125"/>
  <c r="M19" i="125"/>
  <c r="J19" i="125"/>
  <c r="AG19" i="125"/>
  <c r="AW19" i="125"/>
  <c r="DR19" i="125"/>
  <c r="Q19" i="125"/>
  <c r="Z19" i="125"/>
  <c r="BS23" i="125"/>
  <c r="BN23" i="125"/>
  <c r="AS23" i="125"/>
  <c r="M23" i="125"/>
  <c r="DU23" i="125"/>
  <c r="DQ23" i="125"/>
  <c r="BH23" i="125"/>
  <c r="AO23" i="125"/>
  <c r="W23" i="125"/>
  <c r="BR23" i="125"/>
  <c r="AU23" i="125"/>
  <c r="DW23" i="125"/>
  <c r="AK23" i="125"/>
  <c r="AM23" i="125"/>
  <c r="DN23" i="125"/>
  <c r="DS23" i="125"/>
  <c r="H23" i="125"/>
  <c r="AG23" i="125"/>
  <c r="AY23" i="125" s="1"/>
  <c r="DO23" i="125"/>
  <c r="DK23" i="125"/>
  <c r="DR23" i="125"/>
  <c r="AA23" i="125"/>
  <c r="AI23" i="125"/>
  <c r="DV23" i="125"/>
  <c r="AC23" i="125"/>
  <c r="DM23" i="125"/>
  <c r="BP23" i="125"/>
  <c r="BB23" i="125"/>
  <c r="X23" i="125"/>
  <c r="DP23" i="125"/>
  <c r="Y23" i="125"/>
  <c r="AE23" i="125"/>
  <c r="AQ23" i="125"/>
  <c r="AW23" i="125"/>
  <c r="L23" i="125"/>
  <c r="BS27" i="125"/>
  <c r="BH27" i="125"/>
  <c r="AM27" i="125"/>
  <c r="AK27" i="125"/>
  <c r="BA27" i="125"/>
  <c r="DQ27" i="125"/>
  <c r="BN27" i="125"/>
  <c r="L27" i="125"/>
  <c r="DO27" i="125"/>
  <c r="AQ27" i="125"/>
  <c r="I27" i="125"/>
  <c r="AL27" i="125"/>
  <c r="DP27" i="125"/>
  <c r="DR27" i="125"/>
  <c r="H27" i="125"/>
  <c r="AU27" i="125"/>
  <c r="M27" i="125"/>
  <c r="AO27" i="125"/>
  <c r="DN27" i="125"/>
  <c r="BR27" i="125"/>
  <c r="P27" i="125"/>
  <c r="AP27" i="125"/>
  <c r="DM27" i="125"/>
  <c r="DS27" i="125"/>
  <c r="Z27" i="125"/>
  <c r="X27" i="125"/>
  <c r="W27" i="125"/>
  <c r="Q27" i="125"/>
  <c r="AS27" i="125"/>
  <c r="DL27" i="125"/>
  <c r="BP27" i="125"/>
  <c r="AA27" i="125"/>
  <c r="Y27" i="125"/>
  <c r="AT27" i="125"/>
  <c r="DW27" i="125"/>
  <c r="V27" i="125"/>
  <c r="BP31" i="125"/>
  <c r="BN31" i="125"/>
  <c r="BB31" i="125"/>
  <c r="W31" i="125"/>
  <c r="Y31" i="125"/>
  <c r="AT31" i="125"/>
  <c r="DR31" i="125"/>
  <c r="BH31" i="125"/>
  <c r="X31" i="125"/>
  <c r="V31" i="125"/>
  <c r="AA31" i="125"/>
  <c r="AC31" i="125"/>
  <c r="AW31" i="125"/>
  <c r="DS31" i="125"/>
  <c r="DW31" i="125"/>
  <c r="DU31" i="125"/>
  <c r="AE31" i="125"/>
  <c r="AG31" i="125"/>
  <c r="AX31" i="125"/>
  <c r="DL31" i="125"/>
  <c r="J31" i="125"/>
  <c r="H31" i="125"/>
  <c r="AI31" i="125"/>
  <c r="AK31" i="125"/>
  <c r="BA31" i="125"/>
  <c r="DK31" i="125"/>
  <c r="BS31" i="125"/>
  <c r="AM31" i="125"/>
  <c r="I31" i="125"/>
  <c r="AL31" i="125"/>
  <c r="DP31" i="125"/>
  <c r="DN31" i="125"/>
  <c r="Z31" i="125"/>
  <c r="DO31" i="125"/>
  <c r="AQ31" i="125"/>
  <c r="M31" i="125"/>
  <c r="AO31" i="125"/>
  <c r="DQ31" i="125"/>
  <c r="DV31" i="125"/>
  <c r="W35" i="125"/>
  <c r="AM35" i="125"/>
  <c r="L35" i="125"/>
  <c r="DV35" i="125"/>
  <c r="AC35" i="125"/>
  <c r="AP35" i="125"/>
  <c r="AF35" i="125"/>
  <c r="Y35" i="125"/>
  <c r="DP35" i="125"/>
  <c r="BA35" i="125"/>
  <c r="J35" i="125"/>
  <c r="AE35" i="125"/>
  <c r="AQ35" i="125"/>
  <c r="AV35" i="125"/>
  <c r="BC35" i="125"/>
  <c r="DQ35" i="125"/>
  <c r="I35" i="125"/>
  <c r="V35" i="125"/>
  <c r="AG35" i="125"/>
  <c r="AS35" i="125"/>
  <c r="AY35" i="125" s="1"/>
  <c r="DO35" i="125"/>
  <c r="Z35" i="125"/>
  <c r="AI35" i="125"/>
  <c r="AU35" i="125"/>
  <c r="DT35" i="125"/>
  <c r="H35" i="125"/>
  <c r="BS39" i="125"/>
  <c r="BH39" i="125"/>
  <c r="DV39" i="125"/>
  <c r="AH39" i="125"/>
  <c r="AS39" i="125"/>
  <c r="AN39" i="125"/>
  <c r="BR39" i="125"/>
  <c r="DW39" i="125"/>
  <c r="DQ39" i="125"/>
  <c r="BN39" i="125"/>
  <c r="W39" i="125"/>
  <c r="AK39" i="125"/>
  <c r="AU39" i="125"/>
  <c r="AV39" i="125"/>
  <c r="DL39" i="125"/>
  <c r="BP39" i="125"/>
  <c r="H39" i="125"/>
  <c r="DP39" i="125"/>
  <c r="BA39" i="125"/>
  <c r="J39" i="125"/>
  <c r="AA39" i="125"/>
  <c r="AL39" i="125"/>
  <c r="AW39" i="125"/>
  <c r="L39" i="125"/>
  <c r="N39" i="125" s="1"/>
  <c r="DO39" i="125"/>
  <c r="DK39" i="125"/>
  <c r="DR39" i="125"/>
  <c r="Y39" i="125"/>
  <c r="I39" i="125"/>
  <c r="V39" i="125"/>
  <c r="AC39" i="125"/>
  <c r="AM39" i="125"/>
  <c r="AX39" i="125"/>
  <c r="AZ39" i="125" s="1"/>
  <c r="X39" i="125"/>
  <c r="DT39" i="125"/>
  <c r="DN39" i="125"/>
  <c r="DS39" i="125"/>
  <c r="Z39" i="125"/>
  <c r="AD39" i="125"/>
  <c r="AO39" i="125"/>
  <c r="BC39" i="125"/>
  <c r="AB39" i="125"/>
  <c r="DU39" i="125"/>
  <c r="AY14" i="125"/>
  <c r="DA49" i="125"/>
  <c r="DU49" i="125"/>
  <c r="DT49" i="125"/>
  <c r="AH49" i="125"/>
  <c r="AF39" i="125"/>
  <c r="CO44" i="125"/>
  <c r="AP39" i="125"/>
  <c r="AO35" i="125"/>
  <c r="Z44" i="125"/>
  <c r="AW27" i="125"/>
  <c r="W11" i="125"/>
  <c r="DU19" i="125"/>
  <c r="L15" i="125"/>
  <c r="N15" i="125" s="1"/>
  <c r="DV27" i="125"/>
  <c r="DF49" i="125"/>
  <c r="BH44" i="125"/>
  <c r="BU49" i="125"/>
  <c r="DG44" i="125"/>
  <c r="AO44" i="125"/>
  <c r="DQ19" i="125"/>
  <c r="AS49" i="125"/>
  <c r="DO49" i="125"/>
  <c r="AU49" i="125"/>
  <c r="AD49" i="125"/>
  <c r="AL35" i="125"/>
  <c r="AS31" i="125"/>
  <c r="AZ30" i="125"/>
  <c r="AG27" i="125"/>
  <c r="AY27" i="125" s="1"/>
  <c r="BC19" i="125"/>
  <c r="Z11" i="125"/>
  <c r="I23" i="125"/>
  <c r="DW7" i="125"/>
  <c r="DR49" i="125"/>
  <c r="AZ16" i="125"/>
  <c r="AO49" i="125"/>
  <c r="AN49" i="125"/>
  <c r="AM49" i="125"/>
  <c r="DT44" i="125"/>
  <c r="AC27" i="125"/>
  <c r="V23" i="125"/>
  <c r="AX19" i="125"/>
  <c r="BA23" i="125"/>
  <c r="L31" i="125"/>
  <c r="N31" i="125" s="1"/>
  <c r="DL23" i="125"/>
  <c r="DM31" i="125"/>
  <c r="AY9" i="125"/>
  <c r="AG49" i="125"/>
  <c r="AF49" i="125"/>
  <c r="AI49" i="125"/>
  <c r="BX44" i="125"/>
  <c r="BC44" i="125"/>
  <c r="CA49" i="125"/>
  <c r="AZ43" i="125"/>
  <c r="AY33" i="125"/>
  <c r="BC5" i="125"/>
  <c r="K29" i="125"/>
  <c r="K5" i="125"/>
  <c r="N16" i="125"/>
  <c r="N14" i="125"/>
  <c r="N8" i="125"/>
  <c r="N25" i="125"/>
  <c r="AY50" i="125"/>
  <c r="AY43" i="125"/>
  <c r="BV5" i="127"/>
  <c r="BR29" i="127"/>
  <c r="DQ29" i="127"/>
  <c r="DS29" i="125"/>
  <c r="N29" i="127"/>
  <c r="AH29" i="127"/>
  <c r="AN16" i="127"/>
  <c r="AM16" i="127"/>
  <c r="L8" i="127"/>
  <c r="N8" i="127" s="1"/>
  <c r="AU8" i="127"/>
  <c r="AG8" i="127"/>
  <c r="AV5" i="127"/>
  <c r="V8" i="127"/>
  <c r="BR5" i="127"/>
  <c r="DR29" i="125"/>
  <c r="AR29" i="125"/>
  <c r="DO35" i="127"/>
  <c r="H31" i="127"/>
  <c r="N31" i="127" s="1"/>
  <c r="CC44" i="127"/>
  <c r="X35" i="127"/>
  <c r="L35" i="127"/>
  <c r="N35" i="127" s="1"/>
  <c r="DV12" i="127"/>
  <c r="CU44" i="127"/>
  <c r="BN44" i="127"/>
  <c r="DP39" i="127"/>
  <c r="DS16" i="127"/>
  <c r="DR39" i="127"/>
  <c r="BR8" i="127"/>
  <c r="BR31" i="127"/>
  <c r="DL27" i="127"/>
  <c r="DN8" i="127"/>
  <c r="DN39" i="127"/>
  <c r="DM27" i="127"/>
  <c r="CG5" i="127"/>
  <c r="AD5" i="127"/>
  <c r="DR29" i="127"/>
  <c r="AZ46" i="127"/>
  <c r="AY46" i="127"/>
  <c r="AY45" i="127"/>
  <c r="AT5" i="127"/>
  <c r="DQ5" i="125"/>
  <c r="N16" i="127"/>
  <c r="N21" i="127"/>
  <c r="N11" i="127"/>
  <c r="AY40" i="127"/>
  <c r="DS29" i="127"/>
  <c r="BS29" i="127" s="1"/>
  <c r="AU16" i="127"/>
  <c r="AG16" i="127"/>
  <c r="AO8" i="127"/>
  <c r="W8" i="127"/>
  <c r="Z16" i="127"/>
  <c r="I12" i="127"/>
  <c r="BA8" i="127"/>
  <c r="AH29" i="125"/>
  <c r="H12" i="127"/>
  <c r="AZ49" i="127"/>
  <c r="X44" i="127"/>
  <c r="J35" i="127"/>
  <c r="DW39" i="127"/>
  <c r="DV16" i="127"/>
  <c r="BR16" i="127"/>
  <c r="DQ44" i="127"/>
  <c r="BS39" i="127"/>
  <c r="DR27" i="127"/>
  <c r="DL16" i="127"/>
  <c r="DM8" i="127"/>
  <c r="DM39" i="127"/>
  <c r="CD5" i="127"/>
  <c r="J5" i="12"/>
  <c r="K5" i="12" s="1"/>
  <c r="AB29" i="125"/>
  <c r="AY41" i="127"/>
  <c r="V5" i="12"/>
  <c r="CK5" i="127"/>
  <c r="CL5" i="127"/>
  <c r="CX5" i="127"/>
  <c r="CM5" i="127"/>
  <c r="AZ45" i="127"/>
  <c r="AP29" i="127"/>
  <c r="N22" i="127"/>
  <c r="DW16" i="127"/>
  <c r="AQ16" i="127"/>
  <c r="AA16" i="127"/>
  <c r="AU12" i="127"/>
  <c r="AW12" i="127" s="1"/>
  <c r="AX12" i="127" s="1"/>
  <c r="AJ8" i="127"/>
  <c r="N5" i="127"/>
  <c r="AX8" i="127"/>
  <c r="AK8" i="127"/>
  <c r="BB8" i="127"/>
  <c r="I8" i="127"/>
  <c r="BC5" i="127"/>
  <c r="CF44" i="127"/>
  <c r="CZ44" i="127"/>
  <c r="CB44" i="127"/>
  <c r="DW31" i="127"/>
  <c r="AR44" i="127"/>
  <c r="BQ44" i="127"/>
  <c r="BS44" i="127"/>
  <c r="DQ39" i="127"/>
  <c r="DR8" i="127"/>
  <c r="DR31" i="127"/>
  <c r="BP27" i="127"/>
  <c r="DS21" i="127"/>
  <c r="DN27" i="127"/>
  <c r="P44" i="127"/>
  <c r="DM16" i="127"/>
  <c r="DL31" i="127"/>
  <c r="CH5" i="127"/>
  <c r="AY38" i="127"/>
  <c r="AR5" i="127"/>
  <c r="AY15" i="127"/>
  <c r="N24" i="127"/>
  <c r="N17" i="127"/>
  <c r="BP31" i="127"/>
  <c r="BS27" i="127"/>
  <c r="BP21" i="127"/>
  <c r="DN21" i="127"/>
  <c r="AX29" i="12"/>
  <c r="AC29" i="12"/>
  <c r="AP29" i="12"/>
  <c r="N29" i="12"/>
  <c r="AK29" i="12"/>
  <c r="AS29" i="12"/>
  <c r="AF29" i="12"/>
  <c r="BC29" i="12"/>
  <c r="AC5" i="12"/>
  <c r="U29" i="125"/>
  <c r="S29" i="125"/>
  <c r="R29" i="125"/>
  <c r="T29" i="125"/>
  <c r="DT29" i="125"/>
  <c r="N29" i="125"/>
  <c r="AO5" i="125"/>
  <c r="AP5" i="125" s="1"/>
  <c r="M5" i="125"/>
  <c r="K29" i="127"/>
  <c r="M29" i="127"/>
  <c r="CY5" i="127"/>
  <c r="AF5" i="127"/>
  <c r="CF29" i="127"/>
  <c r="AB29" i="127"/>
  <c r="M12" i="127"/>
  <c r="O12" i="127" s="1"/>
  <c r="AH12" i="127"/>
  <c r="DR12" i="127"/>
  <c r="AQ12" i="127"/>
  <c r="AR12" i="127" s="1"/>
  <c r="DU12" i="127"/>
  <c r="CT12" i="127"/>
  <c r="CR12" i="127"/>
  <c r="AV12" i="127"/>
  <c r="AI12" i="127"/>
  <c r="AK12" i="127" s="1"/>
  <c r="AL12" i="127" s="1"/>
  <c r="DQ12" i="127"/>
  <c r="J12" i="127"/>
  <c r="K12" i="127"/>
  <c r="DO12" i="127"/>
  <c r="DT12" i="127" s="1"/>
  <c r="AG12" i="127"/>
  <c r="DP12" i="127"/>
  <c r="CI12" i="127"/>
  <c r="CS12" i="127"/>
  <c r="CX12" i="127"/>
  <c r="CV12" i="127"/>
  <c r="CN12" i="127"/>
  <c r="AB12" i="127"/>
  <c r="X12" i="127"/>
  <c r="AE12" i="127"/>
  <c r="V12" i="127"/>
  <c r="Z12" i="127"/>
  <c r="BP12" i="127"/>
  <c r="L12" i="127"/>
  <c r="N12" i="127" s="1"/>
  <c r="AA12" i="127"/>
  <c r="AC12" i="127" s="1"/>
  <c r="BA12" i="127"/>
  <c r="BB12" i="127"/>
  <c r="CE12" i="127"/>
  <c r="CA12" i="127"/>
  <c r="CY12" i="127"/>
  <c r="CD12" i="127"/>
  <c r="CW12" i="127"/>
  <c r="BY12" i="127"/>
  <c r="CZ12" i="127"/>
  <c r="AN12" i="127"/>
  <c r="W12" i="127"/>
  <c r="BV6" i="127"/>
  <c r="BV28" i="127"/>
  <c r="BQ10" i="127"/>
  <c r="CP10" i="127"/>
  <c r="CE6" i="127"/>
  <c r="CA6" i="127"/>
  <c r="CY6" i="127"/>
  <c r="CY14" i="127"/>
  <c r="CY28" i="127"/>
  <c r="CH28" i="127"/>
  <c r="CC14" i="127"/>
  <c r="CW28" i="127"/>
  <c r="BZ20" i="127"/>
  <c r="BY14" i="127"/>
  <c r="CI10" i="127"/>
  <c r="CJ20" i="127"/>
  <c r="CK10" i="127"/>
  <c r="CL6" i="127"/>
  <c r="CL28" i="127"/>
  <c r="DJ14" i="127"/>
  <c r="DD6" i="127"/>
  <c r="CT28" i="127"/>
  <c r="DG28" i="127"/>
  <c r="BO6" i="127"/>
  <c r="BO14" i="127"/>
  <c r="CN6" i="127"/>
  <c r="BM28" i="127"/>
  <c r="S10" i="127"/>
  <c r="BH20" i="127"/>
  <c r="P14" i="127"/>
  <c r="AV20" i="127"/>
  <c r="AH20" i="127"/>
  <c r="AT6" i="127"/>
  <c r="AR14" i="127"/>
  <c r="AT28" i="127"/>
  <c r="AL28" i="127"/>
  <c r="AX10" i="127"/>
  <c r="DT28" i="127"/>
  <c r="DU28" i="127"/>
  <c r="AX28" i="127"/>
  <c r="AE28" i="127"/>
  <c r="BB28" i="127"/>
  <c r="AS20" i="127"/>
  <c r="AE20" i="127"/>
  <c r="X14" i="127"/>
  <c r="AY16" i="127"/>
  <c r="AT14" i="127"/>
  <c r="AI14" i="127"/>
  <c r="AQ10" i="127"/>
  <c r="AA10" i="127"/>
  <c r="L6" i="127"/>
  <c r="BC14" i="127"/>
  <c r="AW6" i="127"/>
  <c r="AG6" i="127"/>
  <c r="Z20" i="127"/>
  <c r="BB20" i="127"/>
  <c r="Y14" i="127"/>
  <c r="DV20" i="127"/>
  <c r="DU14" i="127"/>
  <c r="DP14" i="127"/>
  <c r="BP28" i="127"/>
  <c r="BR20" i="127"/>
  <c r="BR14" i="127"/>
  <c r="BR6" i="127"/>
  <c r="DK28" i="127"/>
  <c r="DM14" i="127"/>
  <c r="BX20" i="127"/>
  <c r="BU14" i="127"/>
  <c r="BQ28" i="127"/>
  <c r="BQ14" i="127"/>
  <c r="CP6" i="127"/>
  <c r="CE10" i="127"/>
  <c r="CE28" i="127"/>
  <c r="CA10" i="127"/>
  <c r="CA28" i="127"/>
  <c r="CY10" i="127"/>
  <c r="CC6" i="127"/>
  <c r="CC28" i="127"/>
  <c r="BZ6" i="127"/>
  <c r="CK14" i="127"/>
  <c r="DF14" i="127"/>
  <c r="CT6" i="127"/>
  <c r="CR14" i="127"/>
  <c r="CU6" i="127"/>
  <c r="CU20" i="127"/>
  <c r="BN14" i="127"/>
  <c r="CN10" i="127"/>
  <c r="CN28" i="127"/>
  <c r="DH6" i="127"/>
  <c r="DH28" i="127"/>
  <c r="R10" i="127"/>
  <c r="O6" i="127"/>
  <c r="P20" i="127"/>
  <c r="O10" i="127"/>
  <c r="AB10" i="127"/>
  <c r="AX20" i="127"/>
  <c r="AS28" i="127"/>
  <c r="AL6" i="127"/>
  <c r="AZ25" i="127"/>
  <c r="AL10" i="127"/>
  <c r="AR28" i="127"/>
  <c r="DP28" i="127"/>
  <c r="DO28" i="127"/>
  <c r="AW28" i="127"/>
  <c r="AA28" i="127"/>
  <c r="Z28" i="127"/>
  <c r="AQ20" i="127"/>
  <c r="AC20" i="127"/>
  <c r="L14" i="127"/>
  <c r="N14" i="127" s="1"/>
  <c r="AS14" i="127"/>
  <c r="AG14" i="127"/>
  <c r="AO10" i="127"/>
  <c r="W10" i="127"/>
  <c r="BA14" i="127"/>
  <c r="AU6" i="127"/>
  <c r="AE6" i="127"/>
  <c r="Y20" i="127"/>
  <c r="I20" i="127"/>
  <c r="K14" i="127"/>
  <c r="Y10" i="127"/>
  <c r="DV6" i="127"/>
  <c r="H28" i="127"/>
  <c r="J10" i="127"/>
  <c r="DW6" i="127"/>
  <c r="BR28" i="127"/>
  <c r="BS20" i="127"/>
  <c r="DQ10" i="127"/>
  <c r="BP6" i="127"/>
  <c r="DV14" i="127"/>
  <c r="BB14" i="127"/>
  <c r="BW20" i="127"/>
  <c r="BU28" i="127"/>
  <c r="BT10" i="127"/>
  <c r="DA28" i="127"/>
  <c r="CP28" i="127"/>
  <c r="CF6" i="127"/>
  <c r="CC10" i="127"/>
  <c r="BZ10" i="127"/>
  <c r="BY28" i="127"/>
  <c r="CI14" i="127"/>
  <c r="CI20" i="127"/>
  <c r="CJ6" i="127"/>
  <c r="CJ28" i="127"/>
  <c r="DD14" i="127"/>
  <c r="CK20" i="127"/>
  <c r="CL10" i="127"/>
  <c r="CS20" i="127"/>
  <c r="CX14" i="127"/>
  <c r="CX20" i="127"/>
  <c r="CT10" i="127"/>
  <c r="CR20" i="127"/>
  <c r="CU10" i="127"/>
  <c r="DI6" i="127"/>
  <c r="DI10" i="127"/>
  <c r="DH10" i="127"/>
  <c r="DH14" i="127"/>
  <c r="U10" i="127"/>
  <c r="Q6" i="127"/>
  <c r="Q10" i="127"/>
  <c r="BH28" i="127"/>
  <c r="BH10" i="127"/>
  <c r="AH10" i="127"/>
  <c r="AN6" i="127"/>
  <c r="AR10" i="127"/>
  <c r="AF6" i="127"/>
  <c r="AZ24" i="127"/>
  <c r="AB28" i="127"/>
  <c r="BA28" i="127"/>
  <c r="X28" i="127"/>
  <c r="AU28" i="127"/>
  <c r="W28" i="127"/>
  <c r="V28" i="127"/>
  <c r="AO20" i="127"/>
  <c r="AA20" i="127"/>
  <c r="AQ14" i="127"/>
  <c r="AE14" i="127"/>
  <c r="AM10" i="127"/>
  <c r="AS6" i="127"/>
  <c r="AC6" i="127"/>
  <c r="I14" i="127"/>
  <c r="I10" i="127"/>
  <c r="DP6" i="127"/>
  <c r="DV28" i="127"/>
  <c r="BS14" i="127"/>
  <c r="BS28" i="127"/>
  <c r="DS10" i="127"/>
  <c r="BS6" i="127"/>
  <c r="DK20" i="127"/>
  <c r="DL10" i="127"/>
  <c r="DL6" i="127"/>
  <c r="BV20" i="127"/>
  <c r="BX10" i="127"/>
  <c r="CF28" i="127"/>
  <c r="CO28" i="127"/>
  <c r="CO14" i="127"/>
  <c r="CG20" i="127"/>
  <c r="CW6" i="127"/>
  <c r="BY10" i="127"/>
  <c r="DJ28" i="127"/>
  <c r="DJ10" i="127"/>
  <c r="CZ20" i="127"/>
  <c r="CX6" i="127"/>
  <c r="CV20" i="127"/>
  <c r="CQ28" i="127"/>
  <c r="CQ6" i="127"/>
  <c r="CU14" i="127"/>
  <c r="BN20" i="127"/>
  <c r="R20" i="127"/>
  <c r="T14" i="127"/>
  <c r="S20" i="127"/>
  <c r="P6" i="127"/>
  <c r="P10" i="127"/>
  <c r="BH6" i="127"/>
  <c r="M6" i="127"/>
  <c r="M10" i="127"/>
  <c r="M14" i="127"/>
  <c r="AD10" i="127"/>
  <c r="M20" i="127"/>
  <c r="AN28" i="127"/>
  <c r="DT20" i="127"/>
  <c r="AH6" i="127"/>
  <c r="AV6" i="127"/>
  <c r="AJ10" i="127"/>
  <c r="BC6" i="127"/>
  <c r="AT10" i="127"/>
  <c r="K10" i="127"/>
  <c r="AO28" i="127"/>
  <c r="L28" i="127"/>
  <c r="N28" i="127" s="1"/>
  <c r="AQ28" i="127"/>
  <c r="J28" i="127"/>
  <c r="AM20" i="127"/>
  <c r="W20" i="127"/>
  <c r="DT14" i="127"/>
  <c r="AP14" i="127"/>
  <c r="AC14" i="127"/>
  <c r="AK10" i="127"/>
  <c r="V14" i="127"/>
  <c r="AQ6" i="127"/>
  <c r="AA6" i="127"/>
  <c r="BA6" i="127"/>
  <c r="J14" i="127"/>
  <c r="DR10" i="127"/>
  <c r="DN20" i="127"/>
  <c r="DN10" i="127"/>
  <c r="DN6" i="127"/>
  <c r="BW10" i="127"/>
  <c r="BT14" i="127"/>
  <c r="BT20" i="127"/>
  <c r="DA20" i="127"/>
  <c r="CP20" i="127"/>
  <c r="CF20" i="127"/>
  <c r="CO20" i="127"/>
  <c r="CB20" i="127"/>
  <c r="CG14" i="127"/>
  <c r="CH20" i="127"/>
  <c r="CD20" i="127"/>
  <c r="CW10" i="127"/>
  <c r="BZ14" i="127"/>
  <c r="BY20" i="127"/>
  <c r="CJ10" i="127"/>
  <c r="DD10" i="127"/>
  <c r="CK28" i="127"/>
  <c r="DF28" i="127"/>
  <c r="DF10" i="127"/>
  <c r="CL14" i="127"/>
  <c r="DJ6" i="127"/>
  <c r="CS6" i="127"/>
  <c r="CX10" i="127"/>
  <c r="DG6" i="127"/>
  <c r="DG10" i="127"/>
  <c r="DI14" i="127"/>
  <c r="DI20" i="127"/>
  <c r="BO28" i="127"/>
  <c r="BO10" i="127"/>
  <c r="BN6" i="127"/>
  <c r="BM20" i="127"/>
  <c r="CM20" i="127"/>
  <c r="S6" i="127"/>
  <c r="S14" i="127"/>
  <c r="BH14" i="127"/>
  <c r="U28" i="127"/>
  <c r="K28" i="127"/>
  <c r="AJ28" i="127"/>
  <c r="R28" i="127"/>
  <c r="AX6" i="127"/>
  <c r="AR6" i="127"/>
  <c r="S28" i="127"/>
  <c r="BC20" i="127"/>
  <c r="Y28" i="127"/>
  <c r="AM28" i="127"/>
  <c r="AL20" i="127"/>
  <c r="K20" i="127"/>
  <c r="DU20" i="127"/>
  <c r="DO14" i="127"/>
  <c r="AO14" i="127"/>
  <c r="AA14" i="127"/>
  <c r="AI10" i="127"/>
  <c r="AO6" i="127"/>
  <c r="W6" i="127"/>
  <c r="BB6" i="127"/>
  <c r="Y6" i="127"/>
  <c r="DQ20" i="127"/>
  <c r="DR14" i="127"/>
  <c r="BP10" i="127"/>
  <c r="DL20" i="127"/>
  <c r="DK10" i="127"/>
  <c r="DK6" i="127"/>
  <c r="BV10" i="127"/>
  <c r="BX14" i="127"/>
  <c r="BU6" i="127"/>
  <c r="BT6" i="127"/>
  <c r="DA6" i="127"/>
  <c r="DA14" i="127"/>
  <c r="CO10" i="127"/>
  <c r="CB14" i="127"/>
  <c r="CG6" i="127"/>
  <c r="CG28" i="127"/>
  <c r="CC20" i="127"/>
  <c r="CI28" i="127"/>
  <c r="DD20" i="127"/>
  <c r="DJ20" i="127"/>
  <c r="CL20" i="127"/>
  <c r="DF6" i="127"/>
  <c r="CS10" i="127"/>
  <c r="CS14" i="127"/>
  <c r="CS28" i="127"/>
  <c r="CX28" i="127"/>
  <c r="CQ14" i="127"/>
  <c r="CR6" i="127"/>
  <c r="CR28" i="127"/>
  <c r="BN28" i="127"/>
  <c r="BN10" i="127"/>
  <c r="BO20" i="127"/>
  <c r="T6" i="127"/>
  <c r="R14" i="127"/>
  <c r="AZ26" i="127"/>
  <c r="T28" i="127"/>
  <c r="AD14" i="127"/>
  <c r="AN20" i="127"/>
  <c r="AH14" i="127"/>
  <c r="AB20" i="127"/>
  <c r="AH28" i="127"/>
  <c r="AP6" i="127"/>
  <c r="AB6" i="127"/>
  <c r="Q28" i="127"/>
  <c r="AP28" i="127"/>
  <c r="DW14" i="127"/>
  <c r="P28" i="127"/>
  <c r="AK28" i="127"/>
  <c r="AY28" i="127" s="1"/>
  <c r="AW20" i="127"/>
  <c r="AK20" i="127"/>
  <c r="DO20" i="127"/>
  <c r="AV14" i="127"/>
  <c r="DO10" i="127"/>
  <c r="AX14" i="127"/>
  <c r="AM14" i="127"/>
  <c r="W14" i="127"/>
  <c r="AW10" i="127"/>
  <c r="AG10" i="127"/>
  <c r="DO6" i="127"/>
  <c r="BA10" i="127"/>
  <c r="AM6" i="127"/>
  <c r="K6" i="127"/>
  <c r="Z6" i="127"/>
  <c r="I6" i="127"/>
  <c r="AN10" i="127"/>
  <c r="H6" i="127"/>
  <c r="DP10" i="127"/>
  <c r="DW20" i="127"/>
  <c r="DQ28" i="127"/>
  <c r="DS20" i="127"/>
  <c r="DQ14" i="127"/>
  <c r="BR10" i="127"/>
  <c r="DQ6" i="127"/>
  <c r="DN14" i="127"/>
  <c r="DM10" i="127"/>
  <c r="DM6" i="127"/>
  <c r="BX6" i="127"/>
  <c r="BW14" i="127"/>
  <c r="BX28" i="127"/>
  <c r="BT28" i="127"/>
  <c r="CP14" i="127"/>
  <c r="CF10" i="127"/>
  <c r="CO6" i="127"/>
  <c r="CE20" i="127"/>
  <c r="CB6" i="127"/>
  <c r="CB28" i="127"/>
  <c r="CA20" i="127"/>
  <c r="CG10" i="127"/>
  <c r="CY20" i="127"/>
  <c r="CH6" i="127"/>
  <c r="CD6" i="127"/>
  <c r="CW14" i="127"/>
  <c r="BZ28" i="127"/>
  <c r="BY6" i="127"/>
  <c r="CJ14" i="127"/>
  <c r="DD28" i="127"/>
  <c r="DF20" i="127"/>
  <c r="CZ6" i="127"/>
  <c r="CT14" i="127"/>
  <c r="CT20" i="127"/>
  <c r="CV6" i="127"/>
  <c r="CV14" i="127"/>
  <c r="CQ20" i="127"/>
  <c r="CU28" i="127"/>
  <c r="DG14" i="127"/>
  <c r="CN14" i="127"/>
  <c r="CN20" i="127"/>
  <c r="BM6" i="127"/>
  <c r="CM6" i="127"/>
  <c r="U20" i="127"/>
  <c r="R6" i="127"/>
  <c r="U14" i="127"/>
  <c r="T20" i="127"/>
  <c r="O14" i="127"/>
  <c r="AD6" i="127"/>
  <c r="AJ20" i="127"/>
  <c r="AF28" i="127"/>
  <c r="AR20" i="127"/>
  <c r="AD28" i="127"/>
  <c r="AJ14" i="127"/>
  <c r="DT6" i="127"/>
  <c r="AF10" i="127"/>
  <c r="BC28" i="127"/>
  <c r="BC10" i="127"/>
  <c r="DW10" i="127"/>
  <c r="M28" i="127"/>
  <c r="AI28" i="127"/>
  <c r="AU20" i="127"/>
  <c r="AI20" i="127"/>
  <c r="X20" i="127"/>
  <c r="AN14" i="127"/>
  <c r="X10" i="127"/>
  <c r="AW14" i="127"/>
  <c r="AL14" i="127"/>
  <c r="AU10" i="127"/>
  <c r="AE10" i="127"/>
  <c r="AJ6" i="127"/>
  <c r="AK6" i="127"/>
  <c r="V6" i="127"/>
  <c r="BA20" i="127"/>
  <c r="H10" i="127"/>
  <c r="N10" i="127" s="1"/>
  <c r="DU6" i="127"/>
  <c r="Z14" i="127"/>
  <c r="DP20" i="127"/>
  <c r="DS28" i="127"/>
  <c r="DR20" i="127"/>
  <c r="DS14" i="127"/>
  <c r="DN28" i="127"/>
  <c r="BW29" i="127"/>
  <c r="P12" i="127"/>
  <c r="BS11" i="127"/>
  <c r="BH12" i="127"/>
  <c r="O5" i="127"/>
  <c r="DD12" i="127"/>
  <c r="AD12" i="127"/>
  <c r="CG12" i="127"/>
  <c r="CO12" i="127" s="1"/>
  <c r="CP12" i="127" s="1"/>
  <c r="DA12" i="127" s="1"/>
  <c r="AS12" i="127"/>
  <c r="CT11" i="127"/>
  <c r="AH11" i="127"/>
  <c r="AZ11" i="127" s="1"/>
  <c r="DD11" i="127"/>
  <c r="U11" i="127"/>
  <c r="R11" i="127"/>
  <c r="S11" i="127"/>
  <c r="T11" i="127"/>
  <c r="CP11" i="127"/>
  <c r="DA11" i="127" s="1"/>
  <c r="BN11" i="127"/>
  <c r="BH11" i="127"/>
  <c r="BM11" i="127"/>
  <c r="CG11" i="127"/>
  <c r="CO11" i="127" s="1"/>
  <c r="AF11" i="127"/>
  <c r="AV11" i="127"/>
  <c r="BC11" i="127"/>
  <c r="DQ11" i="127"/>
  <c r="DI11" i="127"/>
  <c r="BP11" i="127"/>
  <c r="DH11" i="127"/>
  <c r="DG11" i="127"/>
  <c r="BR11" i="127"/>
  <c r="DR11" i="127"/>
  <c r="DD29" i="127"/>
  <c r="AD29" i="127"/>
  <c r="AZ29" i="127" s="1"/>
  <c r="CG29" i="127"/>
  <c r="CO29" i="127" s="1"/>
  <c r="CT29" i="127"/>
  <c r="BM5" i="127"/>
  <c r="DG5" i="127"/>
  <c r="Q5" i="127"/>
  <c r="AL5" i="127"/>
  <c r="DD5" i="127"/>
  <c r="BU5" i="127"/>
  <c r="CA5" i="127"/>
  <c r="BY5" i="127"/>
  <c r="CT5" i="127"/>
  <c r="CV5" i="127"/>
  <c r="BZ5" i="127"/>
  <c r="AW5" i="127"/>
  <c r="DI5" i="127"/>
  <c r="DH5" i="127"/>
  <c r="CJ5" i="127"/>
  <c r="CZ5" i="127"/>
  <c r="CS5" i="127"/>
  <c r="CN5" i="127"/>
  <c r="AP5" i="127"/>
  <c r="AB5" i="127"/>
  <c r="CB5" i="127"/>
  <c r="CC5" i="127"/>
  <c r="CI5" i="127"/>
  <c r="CO5" i="127" s="1"/>
  <c r="AJ5" i="127"/>
  <c r="BT5" i="127"/>
  <c r="DF5" i="127"/>
  <c r="CE5" i="127"/>
  <c r="AH5" i="127"/>
  <c r="DT5" i="127"/>
  <c r="AZ7" i="12"/>
  <c r="BR25" i="12"/>
  <c r="BH25" i="12"/>
  <c r="AI25" i="12"/>
  <c r="M25" i="12"/>
  <c r="AG25" i="12"/>
  <c r="K25" i="12"/>
  <c r="AV25" i="12"/>
  <c r="S25" i="12"/>
  <c r="BZ25" i="12"/>
  <c r="CD25" i="12"/>
  <c r="CY25" i="12"/>
  <c r="DN25" i="12"/>
  <c r="DQ25" i="12"/>
  <c r="DW25" i="12"/>
  <c r="Y25" i="12"/>
  <c r="V25" i="12"/>
  <c r="X25" i="12"/>
  <c r="DH25" i="12"/>
  <c r="AJ25" i="12"/>
  <c r="AT25" i="12"/>
  <c r="T25" i="12"/>
  <c r="CO25" i="12"/>
  <c r="DM25" i="12"/>
  <c r="H25" i="12"/>
  <c r="AQ25" i="12"/>
  <c r="AU25" i="12"/>
  <c r="L25" i="12"/>
  <c r="AC25" i="12"/>
  <c r="AW25" i="12"/>
  <c r="AH25" i="12"/>
  <c r="Q25" i="12"/>
  <c r="AF25" i="12"/>
  <c r="AP25" i="12"/>
  <c r="R25" i="12"/>
  <c r="CL25" i="12"/>
  <c r="CK25" i="12"/>
  <c r="CI25" i="12"/>
  <c r="CH25" i="12"/>
  <c r="DF25" i="12"/>
  <c r="DL25" i="12"/>
  <c r="DO25" i="12"/>
  <c r="AM25" i="12"/>
  <c r="AE25" i="12"/>
  <c r="W25" i="12"/>
  <c r="AO25" i="12"/>
  <c r="AK25" i="12"/>
  <c r="AD25" i="12"/>
  <c r="O25" i="12"/>
  <c r="AL25" i="12"/>
  <c r="U25" i="12"/>
  <c r="DT25" i="12"/>
  <c r="CN25" i="12"/>
  <c r="DI25" i="12"/>
  <c r="CZ25" i="12"/>
  <c r="DK25" i="12"/>
  <c r="BS25" i="12"/>
  <c r="DP25" i="12"/>
  <c r="J25" i="12"/>
  <c r="AS25" i="12"/>
  <c r="AY25" i="12" s="1"/>
  <c r="Z25" i="12"/>
  <c r="AR25" i="12"/>
  <c r="BP25" i="12"/>
  <c r="DU25" i="12"/>
  <c r="BA25" i="12"/>
  <c r="P25" i="12"/>
  <c r="AN25" i="12"/>
  <c r="AX25" i="12"/>
  <c r="BO25" i="12"/>
  <c r="BY25" i="12"/>
  <c r="CA25" i="12"/>
  <c r="CC25" i="12"/>
  <c r="CR25" i="12"/>
  <c r="CQ25" i="12"/>
  <c r="AZ10" i="12"/>
  <c r="BW25" i="12"/>
  <c r="BQ25" i="12"/>
  <c r="CB25" i="12"/>
  <c r="CM25" i="12"/>
  <c r="DS5" i="12"/>
  <c r="DR5" i="12"/>
  <c r="H5" i="12"/>
  <c r="AN5" i="12" s="1"/>
  <c r="DQ5" i="12"/>
  <c r="DV5" i="12"/>
  <c r="L5" i="12"/>
  <c r="M5" i="12" s="1"/>
  <c r="DU5" i="12"/>
  <c r="I25" i="12"/>
  <c r="BS26" i="12"/>
  <c r="DW26" i="12"/>
  <c r="AQ26" i="12"/>
  <c r="BA26" i="12"/>
  <c r="AK26" i="12"/>
  <c r="AY26" i="12" s="1"/>
  <c r="DH26" i="12"/>
  <c r="AV26" i="12"/>
  <c r="R26" i="12"/>
  <c r="BP26" i="12"/>
  <c r="BH26" i="12"/>
  <c r="AE26" i="12"/>
  <c r="AM26" i="12"/>
  <c r="AA26" i="12"/>
  <c r="BB26" i="12"/>
  <c r="X26" i="12"/>
  <c r="Q26" i="12"/>
  <c r="AR26" i="12"/>
  <c r="U26" i="12"/>
  <c r="BY26" i="12"/>
  <c r="CE26" i="12"/>
  <c r="DQ26" i="12"/>
  <c r="H26" i="12"/>
  <c r="Y26" i="12"/>
  <c r="AG26" i="12"/>
  <c r="P26" i="12"/>
  <c r="AX26" i="12"/>
  <c r="AN26" i="12"/>
  <c r="S26" i="12"/>
  <c r="CM26" i="12"/>
  <c r="CY26" i="12"/>
  <c r="CH26" i="12"/>
  <c r="DG26" i="12"/>
  <c r="CQ26" i="12"/>
  <c r="CZ26" i="12"/>
  <c r="DN26" i="12"/>
  <c r="DS26" i="12"/>
  <c r="DO26" i="12"/>
  <c r="AO26" i="12"/>
  <c r="T26" i="12"/>
  <c r="DT26" i="12"/>
  <c r="CK26" i="12"/>
  <c r="CW26" i="12"/>
  <c r="DM26" i="12"/>
  <c r="DR26" i="12"/>
  <c r="DP26" i="12"/>
  <c r="M26" i="12"/>
  <c r="AW26" i="12"/>
  <c r="K26" i="12"/>
  <c r="AD26" i="12"/>
  <c r="DL26" i="12"/>
  <c r="BR26" i="12"/>
  <c r="DU26" i="12"/>
  <c r="AI26" i="12"/>
  <c r="AS26" i="12"/>
  <c r="AT26" i="12"/>
  <c r="AJ26" i="12"/>
  <c r="BO26" i="12"/>
  <c r="CL26" i="12"/>
  <c r="CG26" i="12"/>
  <c r="DR18" i="12"/>
  <c r="AE18" i="12"/>
  <c r="AA18" i="12"/>
  <c r="DV18" i="12"/>
  <c r="M18" i="12"/>
  <c r="V18" i="12"/>
  <c r="AG18" i="12"/>
  <c r="AY18" i="12" s="1"/>
  <c r="AB18" i="12"/>
  <c r="R18" i="12"/>
  <c r="CA18" i="12"/>
  <c r="DD18" i="12"/>
  <c r="CR18" i="12"/>
  <c r="BN18" i="12"/>
  <c r="AI18" i="12"/>
  <c r="BA18" i="12"/>
  <c r="AS18" i="12"/>
  <c r="AN18" i="12"/>
  <c r="AX18" i="12"/>
  <c r="S18" i="12"/>
  <c r="DT18" i="12"/>
  <c r="CK18" i="12"/>
  <c r="CI18" i="12"/>
  <c r="DW18" i="12"/>
  <c r="BB18" i="12"/>
  <c r="Z18" i="12"/>
  <c r="AJ18" i="12"/>
  <c r="U18" i="12"/>
  <c r="CJ18" i="12"/>
  <c r="BZ18" i="12"/>
  <c r="DN18" i="12"/>
  <c r="AM18" i="12"/>
  <c r="AQ18" i="12"/>
  <c r="BH18" i="12"/>
  <c r="I18" i="12"/>
  <c r="X18" i="12"/>
  <c r="AH18" i="12"/>
  <c r="AP18" i="12"/>
  <c r="T18" i="12"/>
  <c r="CM18" i="12"/>
  <c r="DM18" i="12"/>
  <c r="BP18" i="12"/>
  <c r="J18" i="12"/>
  <c r="H18" i="12"/>
  <c r="W18" i="12"/>
  <c r="AC18" i="12"/>
  <c r="P18" i="12"/>
  <c r="AD18" i="12"/>
  <c r="AZ18" i="12" s="1"/>
  <c r="O18" i="12"/>
  <c r="AL18" i="12"/>
  <c r="DL18" i="12"/>
  <c r="DQ18" i="12"/>
  <c r="BS18" i="12"/>
  <c r="DO18" i="12"/>
  <c r="L18" i="12"/>
  <c r="N18" i="12" s="1"/>
  <c r="AW18" i="12"/>
  <c r="K18" i="12"/>
  <c r="DH18" i="12"/>
  <c r="AV18" i="12"/>
  <c r="AT18" i="12"/>
  <c r="BO18" i="12"/>
  <c r="DG18" i="12"/>
  <c r="CX25" i="12"/>
  <c r="CW25" i="12"/>
  <c r="CJ25" i="12"/>
  <c r="DO5" i="12"/>
  <c r="DW5" i="12" s="1"/>
  <c r="DR10" i="12"/>
  <c r="DV25" i="12"/>
  <c r="DK18" i="12"/>
  <c r="BU25" i="12"/>
  <c r="AY9" i="12"/>
  <c r="CP25" i="12"/>
  <c r="CG25" i="12"/>
  <c r="DL14" i="12"/>
  <c r="DR14" i="12"/>
  <c r="BN14" i="12"/>
  <c r="AQ14" i="12"/>
  <c r="AM14" i="12"/>
  <c r="AK14" i="12"/>
  <c r="I14" i="12"/>
  <c r="AT14" i="12"/>
  <c r="AJ14" i="12"/>
  <c r="O14" i="12"/>
  <c r="BC14" i="12"/>
  <c r="AD14" i="12"/>
  <c r="DT14" i="12"/>
  <c r="T14" i="12"/>
  <c r="BZ14" i="12"/>
  <c r="CY14" i="12"/>
  <c r="DI14" i="12"/>
  <c r="CU14" i="12"/>
  <c r="CO14" i="12"/>
  <c r="DK14" i="12"/>
  <c r="BR14" i="12"/>
  <c r="DW14" i="12"/>
  <c r="AO14" i="12"/>
  <c r="AY14" i="12" s="1"/>
  <c r="BA14" i="12"/>
  <c r="AR14" i="12"/>
  <c r="AP14" i="12"/>
  <c r="AZ14" i="12" s="1"/>
  <c r="AN14" i="12"/>
  <c r="CJ14" i="12"/>
  <c r="DG14" i="12"/>
  <c r="CX14" i="12"/>
  <c r="CW14" i="12"/>
  <c r="CZ14" i="12"/>
  <c r="BH14" i="12"/>
  <c r="AE14" i="12"/>
  <c r="AA14" i="12"/>
  <c r="M14" i="12"/>
  <c r="AL14" i="12"/>
  <c r="BM14" i="12"/>
  <c r="CM14" i="12"/>
  <c r="R14" i="12"/>
  <c r="CC14" i="12"/>
  <c r="CI14" i="12"/>
  <c r="H14" i="12"/>
  <c r="N14" i="12" s="1"/>
  <c r="AG14" i="12"/>
  <c r="P14" i="12"/>
  <c r="AH14" i="12"/>
  <c r="CB14" i="12"/>
  <c r="BY14" i="12"/>
  <c r="CD14" i="12"/>
  <c r="CK14" i="12"/>
  <c r="CQ14" i="12"/>
  <c r="DF14" i="12"/>
  <c r="BO14" i="12"/>
  <c r="DD14" i="12"/>
  <c r="BP14" i="12"/>
  <c r="DP14" i="12"/>
  <c r="AU14" i="12"/>
  <c r="AB14" i="12"/>
  <c r="CE14" i="12"/>
  <c r="CA14" i="12"/>
  <c r="CG14" i="12"/>
  <c r="DH14" i="12"/>
  <c r="DM10" i="12"/>
  <c r="BH10" i="12"/>
  <c r="BM10" i="12"/>
  <c r="DL10" i="12"/>
  <c r="H10" i="12"/>
  <c r="BS10" i="12"/>
  <c r="DO10" i="12"/>
  <c r="BR10" i="12"/>
  <c r="DP10" i="12"/>
  <c r="DS10" i="12"/>
  <c r="DV10" i="12"/>
  <c r="L10" i="12"/>
  <c r="DK6" i="12"/>
  <c r="DQ6" i="12"/>
  <c r="BH6" i="12"/>
  <c r="DM6" i="12"/>
  <c r="DS6" i="12"/>
  <c r="H6" i="12"/>
  <c r="N6" i="12" s="1"/>
  <c r="DR6" i="12"/>
  <c r="DO6" i="12"/>
  <c r="BM6" i="12"/>
  <c r="BP6" i="12"/>
  <c r="DP6" i="12"/>
  <c r="J6" i="12"/>
  <c r="DV6" i="12"/>
  <c r="BC25" i="12"/>
  <c r="BN25" i="12"/>
  <c r="DS25" i="12"/>
  <c r="CF25" i="12"/>
  <c r="CU25" i="12"/>
  <c r="AY13" i="12"/>
  <c r="BN6" i="12"/>
  <c r="DQ10" i="12"/>
  <c r="DN14" i="12"/>
  <c r="AA25" i="12"/>
  <c r="DR25" i="12"/>
  <c r="AZ6" i="12"/>
  <c r="AZ8" i="12"/>
  <c r="AY8" i="12"/>
  <c r="DA25" i="12"/>
  <c r="CV25" i="12"/>
  <c r="DD25" i="12"/>
  <c r="AI14" i="12"/>
  <c r="DU10" i="12"/>
  <c r="DS14" i="12"/>
  <c r="DL6" i="12"/>
  <c r="BR17" i="12"/>
  <c r="DU17" i="12"/>
  <c r="AK17" i="12"/>
  <c r="J17" i="12"/>
  <c r="P17" i="12"/>
  <c r="DH17" i="12"/>
  <c r="CR17" i="12"/>
  <c r="CT17" i="12"/>
  <c r="DQ17" i="12"/>
  <c r="DV17" i="12"/>
  <c r="AQ17" i="12"/>
  <c r="AX17" i="12"/>
  <c r="K17" i="12"/>
  <c r="S17" i="12"/>
  <c r="BY17" i="12"/>
  <c r="CH17" i="12"/>
  <c r="DI17" i="12"/>
  <c r="CU17" i="12"/>
  <c r="DN17" i="12"/>
  <c r="BN17" i="12"/>
  <c r="AM17" i="12"/>
  <c r="AS17" i="12"/>
  <c r="BB17" i="12"/>
  <c r="BC17" i="12"/>
  <c r="AT17" i="12"/>
  <c r="CB17" i="12"/>
  <c r="CD17" i="12"/>
  <c r="CQ17" i="12"/>
  <c r="BO17" i="12"/>
  <c r="CZ17" i="12"/>
  <c r="DM17" i="12"/>
  <c r="BH17" i="12"/>
  <c r="AA17" i="12"/>
  <c r="AE17" i="12"/>
  <c r="I17" i="12"/>
  <c r="AN17" i="12"/>
  <c r="AH17" i="12"/>
  <c r="AD17" i="12"/>
  <c r="CC17" i="12"/>
  <c r="CJ17" i="12"/>
  <c r="CG17" i="12"/>
  <c r="DG17" i="12"/>
  <c r="CW17" i="12"/>
  <c r="DK17" i="12"/>
  <c r="BP17" i="12"/>
  <c r="H17" i="12"/>
  <c r="N17" i="12" s="1"/>
  <c r="AO17" i="12"/>
  <c r="AR17" i="12"/>
  <c r="AB17" i="12"/>
  <c r="AF17" i="12"/>
  <c r="BM17" i="12"/>
  <c r="CN17" i="12"/>
  <c r="U17" i="12"/>
  <c r="T17" i="12"/>
  <c r="CE17" i="12"/>
  <c r="CL17" i="12"/>
  <c r="CV17" i="12"/>
  <c r="BS13" i="12"/>
  <c r="DU13" i="12"/>
  <c r="BA13" i="12"/>
  <c r="AQ13" i="12"/>
  <c r="L13" i="12"/>
  <c r="AN13" i="12"/>
  <c r="O13" i="12"/>
  <c r="CN13" i="12"/>
  <c r="CB13" i="12"/>
  <c r="BY13" i="12"/>
  <c r="CA13" i="12"/>
  <c r="CI13" i="12"/>
  <c r="CZ13" i="12"/>
  <c r="BP13" i="12"/>
  <c r="DV13" i="12"/>
  <c r="AE13" i="12"/>
  <c r="W13" i="12"/>
  <c r="BB13" i="12"/>
  <c r="I13" i="12"/>
  <c r="M13" i="12"/>
  <c r="AD13" i="12"/>
  <c r="AZ13" i="12" s="1"/>
  <c r="AR13" i="12"/>
  <c r="AT13" i="12"/>
  <c r="DT13" i="12"/>
  <c r="CM13" i="12"/>
  <c r="CD13" i="12"/>
  <c r="CG13" i="12"/>
  <c r="CQ13" i="12"/>
  <c r="DF13" i="12"/>
  <c r="DN13" i="12"/>
  <c r="DR13" i="12"/>
  <c r="BH13" i="12"/>
  <c r="AU13" i="12"/>
  <c r="V13" i="12"/>
  <c r="AK13" i="12"/>
  <c r="AB13" i="12"/>
  <c r="T13" i="12"/>
  <c r="CJ13" i="12"/>
  <c r="CF13" i="12"/>
  <c r="DM13" i="12"/>
  <c r="DS13" i="12"/>
  <c r="DW13" i="12"/>
  <c r="AM13" i="12"/>
  <c r="Z13" i="12"/>
  <c r="AL13" i="12"/>
  <c r="AV13" i="12"/>
  <c r="U13" i="12"/>
  <c r="BM13" i="12"/>
  <c r="CX13" i="12"/>
  <c r="DK13" i="12"/>
  <c r="BR13" i="12"/>
  <c r="H13" i="12"/>
  <c r="Y13" i="12"/>
  <c r="AG13" i="12"/>
  <c r="AI13" i="12"/>
  <c r="BC13" i="12"/>
  <c r="AF13" i="12"/>
  <c r="S13" i="12"/>
  <c r="BZ13" i="12"/>
  <c r="CR13" i="12"/>
  <c r="CU13" i="12"/>
  <c r="DR9" i="12"/>
  <c r="BH9" i="12"/>
  <c r="DT9" i="12"/>
  <c r="DS9" i="12"/>
  <c r="DW9" i="12"/>
  <c r="BM9" i="12"/>
  <c r="DN9" i="12"/>
  <c r="BP9" i="12"/>
  <c r="BN9" i="12"/>
  <c r="DL9" i="12"/>
  <c r="DQ9" i="12"/>
  <c r="H9" i="12"/>
  <c r="L9" i="12"/>
  <c r="DK9" i="12"/>
  <c r="DP9" i="12"/>
  <c r="AB25" i="12"/>
  <c r="N26" i="12"/>
  <c r="CT25" i="12"/>
  <c r="DK16" i="12"/>
  <c r="AY21" i="12"/>
  <c r="AZ19" i="12"/>
  <c r="AZ21" i="12"/>
  <c r="AY19" i="12"/>
  <c r="AZ16" i="12"/>
  <c r="AZ6" i="125"/>
  <c r="AZ19" i="125"/>
  <c r="AZ17" i="125"/>
  <c r="AZ18" i="125"/>
  <c r="AZ22" i="125"/>
  <c r="AY8" i="125"/>
  <c r="J32" i="119"/>
  <c r="J38" i="119" s="1"/>
  <c r="AZ15" i="125"/>
  <c r="L12" i="125"/>
  <c r="P11" i="125"/>
  <c r="O11" i="125"/>
  <c r="N11" i="125"/>
  <c r="O29" i="12"/>
  <c r="P29" i="12"/>
  <c r="DS29" i="12"/>
  <c r="DQ29" i="12"/>
  <c r="K29" i="12"/>
  <c r="J57" i="119"/>
  <c r="AG29" i="12"/>
  <c r="AN29" i="12"/>
  <c r="G91" i="123"/>
  <c r="A92" i="123"/>
  <c r="B26" i="123"/>
  <c r="B54" i="123"/>
  <c r="B79" i="123"/>
  <c r="G31" i="123"/>
  <c r="A32" i="123"/>
  <c r="G61" i="123"/>
  <c r="A62" i="123"/>
  <c r="G565" i="123"/>
  <c r="A566" i="123"/>
  <c r="A286" i="123"/>
  <c r="G285" i="123"/>
  <c r="C280" i="123"/>
  <c r="B281" i="123"/>
  <c r="F280" i="123"/>
  <c r="G138" i="123"/>
  <c r="A139" i="123"/>
  <c r="F501" i="123"/>
  <c r="E420" i="123"/>
  <c r="E194" i="123"/>
  <c r="E501" i="123"/>
  <c r="C306" i="123"/>
  <c r="E306" i="123" s="1"/>
  <c r="F306" i="123"/>
  <c r="B307" i="123"/>
  <c r="G421" i="123"/>
  <c r="A422" i="123"/>
  <c r="B589" i="123"/>
  <c r="C588" i="123"/>
  <c r="F588" i="123"/>
  <c r="F331" i="123"/>
  <c r="A213" i="123"/>
  <c r="G212" i="123"/>
  <c r="G480" i="123"/>
  <c r="A481" i="123"/>
  <c r="G394" i="123"/>
  <c r="A395" i="123"/>
  <c r="A313" i="123"/>
  <c r="G312" i="123"/>
  <c r="A368" i="123"/>
  <c r="G367" i="123"/>
  <c r="E305" i="123"/>
  <c r="F110" i="123"/>
  <c r="A592" i="123"/>
  <c r="G591" i="123"/>
  <c r="C332" i="123"/>
  <c r="E332" i="123" s="1"/>
  <c r="B333" i="123"/>
  <c r="C111" i="123"/>
  <c r="B112" i="123"/>
  <c r="F111" i="123"/>
  <c r="C249" i="123"/>
  <c r="E249" i="123" s="1"/>
  <c r="B250" i="123"/>
  <c r="E163" i="123"/>
  <c r="F562" i="123"/>
  <c r="E448" i="123"/>
  <c r="B480" i="123"/>
  <c r="C479" i="123"/>
  <c r="C195" i="123"/>
  <c r="B196" i="123"/>
  <c r="G342" i="123"/>
  <c r="A343" i="123"/>
  <c r="A505" i="123"/>
  <c r="G504" i="123"/>
  <c r="F536" i="123"/>
  <c r="A539" i="123"/>
  <c r="G538" i="123"/>
  <c r="B164" i="123"/>
  <c r="C163" i="123"/>
  <c r="F248" i="123"/>
  <c r="F194" i="123"/>
  <c r="E279" i="123"/>
  <c r="B366" i="123"/>
  <c r="C365" i="123"/>
  <c r="C137" i="123"/>
  <c r="B138" i="123"/>
  <c r="F587" i="123"/>
  <c r="B538" i="123"/>
  <c r="C537" i="123"/>
  <c r="E136" i="123"/>
  <c r="F448" i="123"/>
  <c r="B564" i="123"/>
  <c r="C563" i="123"/>
  <c r="G166" i="123"/>
  <c r="A167" i="123"/>
  <c r="E280" i="123"/>
  <c r="E221" i="123"/>
  <c r="E110" i="123"/>
  <c r="C502" i="123"/>
  <c r="B503" i="123"/>
  <c r="E536" i="123"/>
  <c r="E587" i="123"/>
  <c r="C421" i="123"/>
  <c r="B422" i="123"/>
  <c r="B223" i="123"/>
  <c r="C222" i="123"/>
  <c r="A452" i="123"/>
  <c r="G451" i="123"/>
  <c r="F221" i="123"/>
  <c r="A254" i="123"/>
  <c r="G253" i="123"/>
  <c r="A230" i="123"/>
  <c r="G229" i="123"/>
  <c r="F305" i="123"/>
  <c r="B393" i="123"/>
  <c r="C392" i="123"/>
  <c r="E392" i="123" s="1"/>
  <c r="B450" i="123"/>
  <c r="C449" i="123"/>
  <c r="F502" i="123"/>
  <c r="E478" i="123"/>
  <c r="E588" i="123"/>
  <c r="E248" i="123"/>
  <c r="A113" i="123"/>
  <c r="G112" i="123"/>
  <c r="S11" i="25"/>
  <c r="E49" i="119" s="1"/>
  <c r="AY119" i="8"/>
  <c r="AJ119" i="8"/>
  <c r="AK119" i="8"/>
  <c r="S120" i="8"/>
  <c r="S128" i="8"/>
  <c r="S136" i="8"/>
  <c r="S137" i="8"/>
  <c r="S135" i="8"/>
  <c r="S122" i="8"/>
  <c r="S130" i="8"/>
  <c r="S138" i="8"/>
  <c r="S123" i="8"/>
  <c r="S131" i="8"/>
  <c r="S139" i="8"/>
  <c r="S127" i="8"/>
  <c r="S126" i="8"/>
  <c r="S134" i="8"/>
  <c r="S142" i="8"/>
  <c r="S119" i="8"/>
  <c r="S129" i="8"/>
  <c r="S143" i="8"/>
  <c r="S121" i="8"/>
  <c r="S124" i="8"/>
  <c r="S132" i="8"/>
  <c r="S140" i="8"/>
  <c r="S125" i="8"/>
  <c r="S133" i="8"/>
  <c r="S141" i="8"/>
  <c r="T125" i="8"/>
  <c r="T133" i="8"/>
  <c r="T141" i="8"/>
  <c r="T119" i="8"/>
  <c r="T126" i="8"/>
  <c r="T124" i="8"/>
  <c r="T143" i="8"/>
  <c r="T120" i="8"/>
  <c r="T128" i="8"/>
  <c r="T136" i="8"/>
  <c r="T123" i="8"/>
  <c r="T131" i="8"/>
  <c r="T139" i="8"/>
  <c r="T135" i="8"/>
  <c r="T134" i="8"/>
  <c r="T142" i="8"/>
  <c r="T132" i="8"/>
  <c r="T140" i="8"/>
  <c r="T121" i="8"/>
  <c r="T129" i="8"/>
  <c r="T137" i="8"/>
  <c r="T127" i="8"/>
  <c r="T122" i="8"/>
  <c r="T130" i="8"/>
  <c r="T138" i="8"/>
  <c r="H145" i="8"/>
  <c r="DE47" i="125"/>
  <c r="DE40" i="127"/>
  <c r="AQ4" i="8"/>
  <c r="AT6" i="8"/>
  <c r="AT66" i="8" s="1"/>
  <c r="AT39" i="8"/>
  <c r="Y39" i="8"/>
  <c r="Y6" i="8"/>
  <c r="Y66" i="8" s="1"/>
  <c r="AU5" i="8"/>
  <c r="AS4" i="8"/>
  <c r="C4" i="8"/>
  <c r="C5" i="8" s="1"/>
  <c r="C6" i="8" s="1"/>
  <c r="C65" i="8" s="1"/>
  <c r="J174" i="8"/>
  <c r="AI66" i="8"/>
  <c r="AH66" i="8"/>
  <c r="AG66" i="8"/>
  <c r="AF66" i="8"/>
  <c r="AM66" i="8"/>
  <c r="AL66" i="8"/>
  <c r="AK66" i="8"/>
  <c r="H66" i="8"/>
  <c r="AJ66" i="8"/>
  <c r="G66" i="8"/>
  <c r="K66" i="8"/>
  <c r="AN6" i="8"/>
  <c r="AN67" i="8" s="1"/>
  <c r="AN39" i="8"/>
  <c r="B67" i="8"/>
  <c r="I5" i="8"/>
  <c r="BM199" i="8"/>
  <c r="Q199" i="8"/>
  <c r="AI65" i="8"/>
  <c r="AH65" i="8"/>
  <c r="AG65" i="8"/>
  <c r="AF65" i="8"/>
  <c r="AM65" i="8"/>
  <c r="AL65" i="8"/>
  <c r="G65" i="8"/>
  <c r="AK65" i="8"/>
  <c r="K65" i="8"/>
  <c r="AJ65" i="8"/>
  <c r="G39" i="8"/>
  <c r="Q212" i="8"/>
  <c r="BM208" i="8"/>
  <c r="C39" i="8"/>
  <c r="BD190" i="8"/>
  <c r="AP39" i="8"/>
  <c r="AP6" i="8"/>
  <c r="BD205" i="8"/>
  <c r="Q204" i="8"/>
  <c r="AP198" i="8"/>
  <c r="Q196" i="8"/>
  <c r="BM188" i="8"/>
  <c r="AI39" i="8"/>
  <c r="AH39" i="8"/>
  <c r="AG39" i="8"/>
  <c r="AF39" i="8"/>
  <c r="AM39" i="8"/>
  <c r="AL39" i="8"/>
  <c r="H39" i="8"/>
  <c r="I39" i="8"/>
  <c r="AI13" i="8"/>
  <c r="AH13" i="8"/>
  <c r="AG13" i="8"/>
  <c r="AF13" i="8"/>
  <c r="AM13" i="8"/>
  <c r="AL13" i="8"/>
  <c r="G13" i="8"/>
  <c r="H13" i="8"/>
  <c r="H93" i="8" s="1"/>
  <c r="K39" i="8"/>
  <c r="AJ13" i="8"/>
  <c r="I13" i="8"/>
  <c r="AK13" i="8"/>
  <c r="AK93" i="8" s="1"/>
  <c r="DE27" i="125"/>
  <c r="DE34" i="12"/>
  <c r="DE18" i="127"/>
  <c r="DE17" i="125"/>
  <c r="DE39" i="125"/>
  <c r="DE24" i="127"/>
  <c r="DE23" i="125"/>
  <c r="DE25" i="127"/>
  <c r="DE22" i="12"/>
  <c r="DE35" i="125"/>
  <c r="DE9" i="12"/>
  <c r="DE14" i="125"/>
  <c r="DE39" i="12"/>
  <c r="DE15" i="12"/>
  <c r="AY11" i="12"/>
  <c r="AL11" i="12"/>
  <c r="AZ11" i="12" s="1"/>
  <c r="M10" i="25"/>
  <c r="K10" i="25"/>
  <c r="AJ11" i="12"/>
  <c r="AY49" i="12"/>
  <c r="AY13" i="125"/>
  <c r="AZ20" i="125"/>
  <c r="J10" i="25"/>
  <c r="DT29" i="12"/>
  <c r="AZ39" i="12"/>
  <c r="AZ26" i="125"/>
  <c r="AY36" i="127"/>
  <c r="AZ8" i="127"/>
  <c r="AZ35" i="127"/>
  <c r="L10" i="25"/>
  <c r="AK12" i="12"/>
  <c r="AL12" i="12" s="1"/>
  <c r="AV11" i="12"/>
  <c r="AY6" i="12"/>
  <c r="AO5" i="12"/>
  <c r="CS10" i="25"/>
  <c r="AV12" i="125"/>
  <c r="AW12" i="125"/>
  <c r="AX12" i="125" s="1"/>
  <c r="AS5" i="125"/>
  <c r="AT5" i="125" s="1"/>
  <c r="AR5" i="125"/>
  <c r="AY42" i="127"/>
  <c r="AW29" i="125"/>
  <c r="AV29" i="125"/>
  <c r="P10" i="25"/>
  <c r="DE36" i="12"/>
  <c r="AY7" i="125"/>
  <c r="AZ13" i="127"/>
  <c r="AZ42" i="127"/>
  <c r="AZ34" i="127"/>
  <c r="AZ6" i="127"/>
  <c r="AZ28" i="12"/>
  <c r="AK12" i="125"/>
  <c r="AJ12" i="125"/>
  <c r="AO11" i="125"/>
  <c r="AN11" i="125"/>
  <c r="AZ23" i="12"/>
  <c r="AY18" i="125"/>
  <c r="AZ14" i="125"/>
  <c r="AY20" i="125"/>
  <c r="AZ38" i="127"/>
  <c r="AZ20" i="127"/>
  <c r="AZ22" i="127"/>
  <c r="AZ18" i="127"/>
  <c r="AZ7" i="127"/>
  <c r="Q190" i="8"/>
  <c r="N13" i="8" s="1"/>
  <c r="AY15" i="12"/>
  <c r="AZ33" i="12"/>
  <c r="AY10" i="125"/>
  <c r="AZ23" i="127"/>
  <c r="AY5" i="127"/>
  <c r="AZ19" i="127"/>
  <c r="AY22" i="125"/>
  <c r="AY16" i="125"/>
  <c r="BD198" i="8"/>
  <c r="AP191" i="8"/>
  <c r="AR39" i="8"/>
  <c r="AZ38" i="12"/>
  <c r="AY26" i="127"/>
  <c r="AS29" i="125"/>
  <c r="AY42" i="125"/>
  <c r="AY46" i="12"/>
  <c r="AY49" i="127"/>
  <c r="AZ48" i="127"/>
  <c r="AZ47" i="127"/>
  <c r="AY32" i="127"/>
  <c r="AZ27" i="127"/>
  <c r="AZ31" i="127"/>
  <c r="AY29" i="127"/>
  <c r="AY25" i="127"/>
  <c r="AY24" i="127"/>
  <c r="AY22" i="127"/>
  <c r="AZ21" i="127"/>
  <c r="AY20" i="127"/>
  <c r="AY19" i="127"/>
  <c r="AY18" i="127"/>
  <c r="AY17" i="127"/>
  <c r="AY10" i="127"/>
  <c r="AZ9" i="127"/>
  <c r="AZ41" i="125"/>
  <c r="AZ40" i="125"/>
  <c r="AY39" i="125"/>
  <c r="AZ42" i="125"/>
  <c r="AY31" i="125"/>
  <c r="AY30" i="125"/>
  <c r="AZ25" i="125"/>
  <c r="AZ50" i="127"/>
  <c r="AP216" i="8"/>
  <c r="BD215" i="8"/>
  <c r="BD197" i="8"/>
  <c r="AZ37" i="12"/>
  <c r="AZ48" i="12"/>
  <c r="AY37" i="127"/>
  <c r="AY39" i="127"/>
  <c r="AY50" i="127"/>
  <c r="AY48" i="127"/>
  <c r="AY47" i="127"/>
  <c r="AZ44" i="127"/>
  <c r="AY44" i="127"/>
  <c r="AY43" i="127"/>
  <c r="AY27" i="127"/>
  <c r="AY31" i="127"/>
  <c r="AY23" i="127"/>
  <c r="AY21" i="127"/>
  <c r="AZ17" i="127"/>
  <c r="AZ15" i="127"/>
  <c r="AZ14" i="127"/>
  <c r="AY13" i="127"/>
  <c r="AY11" i="127"/>
  <c r="AY9" i="127"/>
  <c r="AY7" i="127"/>
  <c r="AY6" i="127"/>
  <c r="AZ46" i="125"/>
  <c r="AY45" i="125"/>
  <c r="AY41" i="125"/>
  <c r="AY40" i="125"/>
  <c r="AZ38" i="125"/>
  <c r="AY36" i="125"/>
  <c r="AY34" i="125"/>
  <c r="AZ44" i="125"/>
  <c r="AY48" i="125"/>
  <c r="AY47" i="125"/>
  <c r="AZ31" i="125"/>
  <c r="AY28" i="125"/>
  <c r="AZ27" i="125"/>
  <c r="AY26" i="125"/>
  <c r="AY25" i="125"/>
  <c r="AY24" i="125"/>
  <c r="AG212" i="8"/>
  <c r="BD196" i="8"/>
  <c r="B40" i="8"/>
  <c r="AY17" i="12"/>
  <c r="AZ41" i="12"/>
  <c r="AY22" i="12"/>
  <c r="AY23" i="12"/>
  <c r="AY28" i="12"/>
  <c r="AY33" i="12"/>
  <c r="AY47" i="12"/>
  <c r="AY19" i="125"/>
  <c r="DE46" i="125"/>
  <c r="AZ9" i="125"/>
  <c r="BD203" i="8"/>
  <c r="AY12" i="12"/>
  <c r="AX12" i="12"/>
  <c r="AZ12" i="12" s="1"/>
  <c r="AY36" i="12"/>
  <c r="H12" i="25"/>
  <c r="AV12" i="12"/>
  <c r="AZ30" i="127"/>
  <c r="M12" i="25"/>
  <c r="AZ7" i="125"/>
  <c r="AY35" i="127"/>
  <c r="AY30" i="127"/>
  <c r="AW5" i="125"/>
  <c r="AV5" i="125"/>
  <c r="AZ24" i="125"/>
  <c r="AZ40" i="127"/>
  <c r="AZ16" i="127"/>
  <c r="AS12" i="125"/>
  <c r="AZ27" i="12"/>
  <c r="AZ23" i="125"/>
  <c r="AY17" i="125"/>
  <c r="K12" i="25"/>
  <c r="O14" i="73"/>
  <c r="AY44" i="12"/>
  <c r="AZ21" i="125"/>
  <c r="AP12" i="125"/>
  <c r="AY12" i="125"/>
  <c r="CS7" i="25"/>
  <c r="J7" i="25"/>
  <c r="AO191" i="122"/>
  <c r="AI180" i="122"/>
  <c r="P12" i="25"/>
  <c r="AZ42" i="12"/>
  <c r="AZ44" i="12"/>
  <c r="X48" i="8"/>
  <c r="X57" i="8"/>
  <c r="X61" i="8"/>
  <c r="X39" i="8"/>
  <c r="X43" i="8"/>
  <c r="X49" i="8"/>
  <c r="X53" i="8"/>
  <c r="X58" i="8"/>
  <c r="X62" i="8"/>
  <c r="X41" i="8"/>
  <c r="X50" i="8"/>
  <c r="X54" i="8"/>
  <c r="X44" i="8"/>
  <c r="X46" i="8"/>
  <c r="X59" i="8"/>
  <c r="X42" i="8"/>
  <c r="X47" i="8"/>
  <c r="X56" i="8"/>
  <c r="X60" i="8"/>
  <c r="X40" i="8"/>
  <c r="X52" i="8"/>
  <c r="X55" i="8"/>
  <c r="X45" i="8"/>
  <c r="X63" i="8"/>
  <c r="X51" i="8"/>
  <c r="AY46" i="125"/>
  <c r="AZ37" i="125"/>
  <c r="AZ45" i="125"/>
  <c r="AZ48" i="125"/>
  <c r="DE45" i="127"/>
  <c r="AW97" i="8"/>
  <c r="AV98" i="8"/>
  <c r="AY13" i="8"/>
  <c r="AY93" i="8" s="1"/>
  <c r="W94" i="8"/>
  <c r="X97" i="8"/>
  <c r="AX100" i="8"/>
  <c r="V103" i="8"/>
  <c r="X106" i="8"/>
  <c r="AX93" i="8"/>
  <c r="V94" i="8"/>
  <c r="X108" i="8"/>
  <c r="AP209" i="8"/>
  <c r="AP190" i="8"/>
  <c r="BM211" i="8"/>
  <c r="Q208" i="8"/>
  <c r="BD206" i="8"/>
  <c r="BM198" i="8"/>
  <c r="AP193" i="8"/>
  <c r="Q191" i="8"/>
  <c r="AG187" i="8"/>
  <c r="Q184" i="8"/>
  <c r="BM210" i="8"/>
  <c r="Q210" i="8"/>
  <c r="AG209" i="8"/>
  <c r="Q207" i="8"/>
  <c r="BM204" i="8"/>
  <c r="AP202" i="8"/>
  <c r="BD201" i="8"/>
  <c r="AG197" i="8"/>
  <c r="BM194" i="8"/>
  <c r="BM187" i="8"/>
  <c r="AP185" i="8"/>
  <c r="BD214" i="8"/>
  <c r="BM213" i="8"/>
  <c r="AP208" i="8"/>
  <c r="BM203" i="8"/>
  <c r="Q203" i="8"/>
  <c r="AP201" i="8"/>
  <c r="AG196" i="8"/>
  <c r="AP184" i="8"/>
  <c r="Q215" i="8"/>
  <c r="BM212" i="8"/>
  <c r="AG208" i="8"/>
  <c r="BM202" i="8"/>
  <c r="BD193" i="8"/>
  <c r="BD189" i="8"/>
  <c r="AG184" i="8"/>
  <c r="DE38" i="125"/>
  <c r="DE26" i="127"/>
  <c r="DE5" i="127"/>
  <c r="DE38" i="12"/>
  <c r="DE17" i="127"/>
  <c r="DE19" i="125"/>
  <c r="DE9" i="127"/>
  <c r="DE7" i="127"/>
  <c r="DE22" i="125"/>
  <c r="DE28" i="125"/>
  <c r="DE43" i="12"/>
  <c r="DE49" i="125"/>
  <c r="DE21" i="12"/>
  <c r="W88" i="8"/>
  <c r="V86" i="8"/>
  <c r="W80" i="8"/>
  <c r="W75" i="8"/>
  <c r="AW70" i="8"/>
  <c r="AW68" i="8"/>
  <c r="O66" i="8"/>
  <c r="AQ172" i="122"/>
  <c r="AT177" i="122"/>
  <c r="DE37" i="12"/>
  <c r="AT67" i="8"/>
  <c r="AY67" i="8"/>
  <c r="AR65" i="8"/>
  <c r="V89" i="8"/>
  <c r="V88" i="8"/>
  <c r="V87" i="8"/>
  <c r="V80" i="8"/>
  <c r="AV78" i="8"/>
  <c r="AW73" i="8"/>
  <c r="O72" i="8"/>
  <c r="W70" i="8"/>
  <c r="AV68" i="8"/>
  <c r="AK170" i="122"/>
  <c r="AY172" i="122"/>
  <c r="AN175" i="122"/>
  <c r="BB177" i="122"/>
  <c r="AQ180" i="122"/>
  <c r="AV183" i="122"/>
  <c r="AD188" i="122"/>
  <c r="AH200" i="122"/>
  <c r="I35" i="98"/>
  <c r="AP67" i="8"/>
  <c r="AY65" i="8"/>
  <c r="O86" i="8"/>
  <c r="O84" i="8"/>
  <c r="AW82" i="8"/>
  <c r="AV81" i="8"/>
  <c r="W78" i="8"/>
  <c r="O77" i="8"/>
  <c r="O75" i="8"/>
  <c r="W73" i="8"/>
  <c r="X68" i="8"/>
  <c r="X65" i="8"/>
  <c r="AS170" i="122"/>
  <c r="AH173" i="122"/>
  <c r="AV175" i="122"/>
  <c r="AK178" i="122"/>
  <c r="AY180" i="122"/>
  <c r="AH184" i="122"/>
  <c r="AT188" i="122"/>
  <c r="AV208" i="122"/>
  <c r="O79" i="8"/>
  <c r="DE40" i="125"/>
  <c r="Y67" i="8"/>
  <c r="AP66" i="8"/>
  <c r="AP65" i="8"/>
  <c r="O89" i="8"/>
  <c r="O88" i="8"/>
  <c r="O87" i="8"/>
  <c r="AV85" i="8"/>
  <c r="AV82" i="8"/>
  <c r="W81" i="8"/>
  <c r="O80" i="8"/>
  <c r="V78" i="8"/>
  <c r="AV76" i="8"/>
  <c r="AW71" i="8"/>
  <c r="O70" i="8"/>
  <c r="AW69" i="8"/>
  <c r="V65" i="8"/>
  <c r="BA170" i="122"/>
  <c r="AP173" i="122"/>
  <c r="AE176" i="122"/>
  <c r="AS178" i="122"/>
  <c r="AH181" i="122"/>
  <c r="AV184" i="122"/>
  <c r="AK189" i="122"/>
  <c r="AK211" i="122"/>
  <c r="W89" i="8"/>
  <c r="W87" i="8"/>
  <c r="V84" i="8"/>
  <c r="V77" i="8"/>
  <c r="BB169" i="122"/>
  <c r="AF175" i="122"/>
  <c r="AS197" i="122"/>
  <c r="AN65" i="8"/>
  <c r="W85" i="8"/>
  <c r="AW83" i="8"/>
  <c r="V82" i="8"/>
  <c r="V81" i="8"/>
  <c r="AV79" i="8"/>
  <c r="W76" i="8"/>
  <c r="AW74" i="8"/>
  <c r="O73" i="8"/>
  <c r="W71" i="8"/>
  <c r="AV69" i="8"/>
  <c r="AJ171" i="122"/>
  <c r="AX173" i="122"/>
  <c r="AM176" i="122"/>
  <c r="BA178" i="122"/>
  <c r="AP181" i="122"/>
  <c r="AJ185" i="122"/>
  <c r="AI190" i="122"/>
  <c r="AY213" i="122"/>
  <c r="AW89" i="8"/>
  <c r="AW88" i="8"/>
  <c r="AW87" i="8"/>
  <c r="AW86" i="8"/>
  <c r="V85" i="8"/>
  <c r="AV83" i="8"/>
  <c r="W79" i="8"/>
  <c r="O78" i="8"/>
  <c r="V76" i="8"/>
  <c r="W74" i="8"/>
  <c r="X69" i="8"/>
  <c r="AW67" i="8"/>
  <c r="X66" i="8"/>
  <c r="O65" i="8"/>
  <c r="AD169" i="122"/>
  <c r="AR171" i="122"/>
  <c r="AG174" i="122"/>
  <c r="AU176" i="122"/>
  <c r="AJ179" i="122"/>
  <c r="AX181" i="122"/>
  <c r="AV185" i="122"/>
  <c r="AW240" i="122"/>
  <c r="AO240" i="122"/>
  <c r="AG240" i="122"/>
  <c r="AX239" i="122"/>
  <c r="AP239" i="122"/>
  <c r="AH239" i="122"/>
  <c r="AY238" i="122"/>
  <c r="AQ238" i="122"/>
  <c r="AI238" i="122"/>
  <c r="AZ237" i="122"/>
  <c r="AR237" i="122"/>
  <c r="AJ237" i="122"/>
  <c r="BA236" i="122"/>
  <c r="AS236" i="122"/>
  <c r="AK236" i="122"/>
  <c r="BB235" i="122"/>
  <c r="AT235" i="122"/>
  <c r="AL235" i="122"/>
  <c r="AD235" i="122"/>
  <c r="AU234" i="122"/>
  <c r="AM234" i="122"/>
  <c r="AE234" i="122"/>
  <c r="AV233" i="122"/>
  <c r="AN233" i="122"/>
  <c r="AF233" i="122"/>
  <c r="AW232" i="122"/>
  <c r="AO232" i="122"/>
  <c r="AG232" i="122"/>
  <c r="AX231" i="122"/>
  <c r="AP231" i="122"/>
  <c r="AH231" i="122"/>
  <c r="AY230" i="122"/>
  <c r="AQ230" i="122"/>
  <c r="AI230" i="122"/>
  <c r="AZ229" i="122"/>
  <c r="AR229" i="122"/>
  <c r="AJ229" i="122"/>
  <c r="BA228" i="122"/>
  <c r="AS228" i="122"/>
  <c r="AK228" i="122"/>
  <c r="BB227" i="122"/>
  <c r="AT227" i="122"/>
  <c r="AL227" i="122"/>
  <c r="AD227" i="122"/>
  <c r="AU226" i="122"/>
  <c r="AM226" i="122"/>
  <c r="AE226" i="122"/>
  <c r="AV225" i="122"/>
  <c r="AN225" i="122"/>
  <c r="AF225" i="122"/>
  <c r="AW224" i="122"/>
  <c r="AO224" i="122"/>
  <c r="AG224" i="122"/>
  <c r="AX223" i="122"/>
  <c r="AP223" i="122"/>
  <c r="AH223" i="122"/>
  <c r="AY222" i="122"/>
  <c r="AQ222" i="122"/>
  <c r="AI222" i="122"/>
  <c r="AZ221" i="122"/>
  <c r="AR221" i="122"/>
  <c r="AJ221" i="122"/>
  <c r="BA220" i="122"/>
  <c r="AS220" i="122"/>
  <c r="AK220" i="122"/>
  <c r="BB219" i="122"/>
  <c r="AT219" i="122"/>
  <c r="AL219" i="122"/>
  <c r="AD219" i="122"/>
  <c r="AU218" i="122"/>
  <c r="AM218" i="122"/>
  <c r="AE218" i="122"/>
  <c r="AV217" i="122"/>
  <c r="AN217" i="122"/>
  <c r="AF217" i="122"/>
  <c r="AW216" i="122"/>
  <c r="AO216" i="122"/>
  <c r="AV240" i="122"/>
  <c r="AN240" i="122"/>
  <c r="AF240" i="122"/>
  <c r="AW239" i="122"/>
  <c r="AO239" i="122"/>
  <c r="AG239" i="122"/>
  <c r="AX238" i="122"/>
  <c r="AP238" i="122"/>
  <c r="AH238" i="122"/>
  <c r="AY237" i="122"/>
  <c r="AQ237" i="122"/>
  <c r="AI237" i="122"/>
  <c r="AZ236" i="122"/>
  <c r="AR236" i="122"/>
  <c r="AJ236" i="122"/>
  <c r="BA235" i="122"/>
  <c r="AS235" i="122"/>
  <c r="AK235" i="122"/>
  <c r="BB234" i="122"/>
  <c r="AT234" i="122"/>
  <c r="AL234" i="122"/>
  <c r="AD234" i="122"/>
  <c r="AU233" i="122"/>
  <c r="AM233" i="122"/>
  <c r="AE233" i="122"/>
  <c r="AV232" i="122"/>
  <c r="AN232" i="122"/>
  <c r="AF232" i="122"/>
  <c r="AW231" i="122"/>
  <c r="AO231" i="122"/>
  <c r="AG231" i="122"/>
  <c r="AX230" i="122"/>
  <c r="AP230" i="122"/>
  <c r="AH230" i="122"/>
  <c r="AY229" i="122"/>
  <c r="AQ229" i="122"/>
  <c r="AI229" i="122"/>
  <c r="AZ228" i="122"/>
  <c r="AR228" i="122"/>
  <c r="AJ228" i="122"/>
  <c r="BA227" i="122"/>
  <c r="AS227" i="122"/>
  <c r="AK227" i="122"/>
  <c r="BB226" i="122"/>
  <c r="AT226" i="122"/>
  <c r="AL226" i="122"/>
  <c r="AD226" i="122"/>
  <c r="AU225" i="122"/>
  <c r="AM225" i="122"/>
  <c r="AE225" i="122"/>
  <c r="AV224" i="122"/>
  <c r="AN224" i="122"/>
  <c r="AF224" i="122"/>
  <c r="AW223" i="122"/>
  <c r="AO223" i="122"/>
  <c r="AG223" i="122"/>
  <c r="AX222" i="122"/>
  <c r="AP222" i="122"/>
  <c r="AH222" i="122"/>
  <c r="AY221" i="122"/>
  <c r="AQ221" i="122"/>
  <c r="AI221" i="122"/>
  <c r="AZ220" i="122"/>
  <c r="AR220" i="122"/>
  <c r="AJ220" i="122"/>
  <c r="BA219" i="122"/>
  <c r="AS219" i="122"/>
  <c r="AK219" i="122"/>
  <c r="BB218" i="122"/>
  <c r="AT218" i="122"/>
  <c r="AL218" i="122"/>
  <c r="AD218" i="122"/>
  <c r="AU240" i="122"/>
  <c r="AM240" i="122"/>
  <c r="AE240" i="122"/>
  <c r="AV239" i="122"/>
  <c r="AN239" i="122"/>
  <c r="AF239" i="122"/>
  <c r="AW238" i="122"/>
  <c r="AO238" i="122"/>
  <c r="AG238" i="122"/>
  <c r="AX237" i="122"/>
  <c r="AP237" i="122"/>
  <c r="AH237" i="122"/>
  <c r="AY236" i="122"/>
  <c r="AQ236" i="122"/>
  <c r="AI236" i="122"/>
  <c r="AZ235" i="122"/>
  <c r="AR235" i="122"/>
  <c r="AJ235" i="122"/>
  <c r="BA234" i="122"/>
  <c r="AS234" i="122"/>
  <c r="AK234" i="122"/>
  <c r="BB233" i="122"/>
  <c r="AT233" i="122"/>
  <c r="AL233" i="122"/>
  <c r="AD233" i="122"/>
  <c r="AU232" i="122"/>
  <c r="AM232" i="122"/>
  <c r="AE232" i="122"/>
  <c r="AV231" i="122"/>
  <c r="AN231" i="122"/>
  <c r="AF231" i="122"/>
  <c r="AW230" i="122"/>
  <c r="AO230" i="122"/>
  <c r="AG230" i="122"/>
  <c r="AX229" i="122"/>
  <c r="AP229" i="122"/>
  <c r="AH229" i="122"/>
  <c r="AY228" i="122"/>
  <c r="AQ228" i="122"/>
  <c r="AI228" i="122"/>
  <c r="AZ227" i="122"/>
  <c r="AR227" i="122"/>
  <c r="AJ227" i="122"/>
  <c r="BA226" i="122"/>
  <c r="AS226" i="122"/>
  <c r="AK226" i="122"/>
  <c r="BB225" i="122"/>
  <c r="AT225" i="122"/>
  <c r="AL225" i="122"/>
  <c r="AD225" i="122"/>
  <c r="AU224" i="122"/>
  <c r="AM224" i="122"/>
  <c r="AE224" i="122"/>
  <c r="AV223" i="122"/>
  <c r="AN223" i="122"/>
  <c r="AF223" i="122"/>
  <c r="AW222" i="122"/>
  <c r="AO222" i="122"/>
  <c r="AG222" i="122"/>
  <c r="AX221" i="122"/>
  <c r="AP221" i="122"/>
  <c r="AH221" i="122"/>
  <c r="AY220" i="122"/>
  <c r="AQ220" i="122"/>
  <c r="AI220" i="122"/>
  <c r="AZ219" i="122"/>
  <c r="AR219" i="122"/>
  <c r="AJ219" i="122"/>
  <c r="BA218" i="122"/>
  <c r="AS218" i="122"/>
  <c r="AK218" i="122"/>
  <c r="BB217" i="122"/>
  <c r="AT217" i="122"/>
  <c r="AL217" i="122"/>
  <c r="AD217" i="122"/>
  <c r="AU216" i="122"/>
  <c r="AM216" i="122"/>
  <c r="AE216" i="122"/>
  <c r="AV215" i="122"/>
  <c r="AN215" i="122"/>
  <c r="AF215" i="122"/>
  <c r="AW214" i="122"/>
  <c r="AO214" i="122"/>
  <c r="AG214" i="122"/>
  <c r="BB240" i="122"/>
  <c r="AT240" i="122"/>
  <c r="AL240" i="122"/>
  <c r="AD240" i="122"/>
  <c r="AU239" i="122"/>
  <c r="AM239" i="122"/>
  <c r="AE239" i="122"/>
  <c r="AV238" i="122"/>
  <c r="AN238" i="122"/>
  <c r="AF238" i="122"/>
  <c r="AW237" i="122"/>
  <c r="AO237" i="122"/>
  <c r="AG237" i="122"/>
  <c r="AX236" i="122"/>
  <c r="AP236" i="122"/>
  <c r="AH236" i="122"/>
  <c r="AY235" i="122"/>
  <c r="AQ235" i="122"/>
  <c r="AI235" i="122"/>
  <c r="AZ234" i="122"/>
  <c r="AR234" i="122"/>
  <c r="AJ234" i="122"/>
  <c r="BA233" i="122"/>
  <c r="AS233" i="122"/>
  <c r="AK233" i="122"/>
  <c r="BB232" i="122"/>
  <c r="AT232" i="122"/>
  <c r="AL232" i="122"/>
  <c r="AD232" i="122"/>
  <c r="AU231" i="122"/>
  <c r="AM231" i="122"/>
  <c r="AE231" i="122"/>
  <c r="AV230" i="122"/>
  <c r="AN230" i="122"/>
  <c r="AF230" i="122"/>
  <c r="AW229" i="122"/>
  <c r="AO229" i="122"/>
  <c r="AG229" i="122"/>
  <c r="AX228" i="122"/>
  <c r="AP228" i="122"/>
  <c r="AH228" i="122"/>
  <c r="AY227" i="122"/>
  <c r="AQ227" i="122"/>
  <c r="AI227" i="122"/>
  <c r="AZ226" i="122"/>
  <c r="AR226" i="122"/>
  <c r="AJ226" i="122"/>
  <c r="BA225" i="122"/>
  <c r="AS225" i="122"/>
  <c r="AK225" i="122"/>
  <c r="BB224" i="122"/>
  <c r="AT224" i="122"/>
  <c r="AL224" i="122"/>
  <c r="AD224" i="122"/>
  <c r="AU223" i="122"/>
  <c r="AM223" i="122"/>
  <c r="AE223" i="122"/>
  <c r="AV222" i="122"/>
  <c r="AN222" i="122"/>
  <c r="AF222" i="122"/>
  <c r="AW221" i="122"/>
  <c r="AO221" i="122"/>
  <c r="AG221" i="122"/>
  <c r="AX220" i="122"/>
  <c r="AP220" i="122"/>
  <c r="AH220" i="122"/>
  <c r="AY219" i="122"/>
  <c r="AQ219" i="122"/>
  <c r="AI219" i="122"/>
  <c r="AZ218" i="122"/>
  <c r="AR218" i="122"/>
  <c r="AJ218" i="122"/>
  <c r="BA217" i="122"/>
  <c r="AS217" i="122"/>
  <c r="AK217" i="122"/>
  <c r="BB216" i="122"/>
  <c r="AT216" i="122"/>
  <c r="AL216" i="122"/>
  <c r="AD216" i="122"/>
  <c r="AU215" i="122"/>
  <c r="AM215" i="122"/>
  <c r="AE215" i="122"/>
  <c r="AV214" i="122"/>
  <c r="AN214" i="122"/>
  <c r="BA240" i="122"/>
  <c r="AS240" i="122"/>
  <c r="AK240" i="122"/>
  <c r="BB239" i="122"/>
  <c r="AT239" i="122"/>
  <c r="AL239" i="122"/>
  <c r="AD239" i="122"/>
  <c r="AU238" i="122"/>
  <c r="AM238" i="122"/>
  <c r="AE238" i="122"/>
  <c r="AV237" i="122"/>
  <c r="AN237" i="122"/>
  <c r="AF237" i="122"/>
  <c r="AW236" i="122"/>
  <c r="AO236" i="122"/>
  <c r="AG236" i="122"/>
  <c r="AX235" i="122"/>
  <c r="AP235" i="122"/>
  <c r="AH235" i="122"/>
  <c r="AY234" i="122"/>
  <c r="AQ234" i="122"/>
  <c r="AI234" i="122"/>
  <c r="AZ233" i="122"/>
  <c r="AR233" i="122"/>
  <c r="AJ233" i="122"/>
  <c r="BA232" i="122"/>
  <c r="AS232" i="122"/>
  <c r="AK232" i="122"/>
  <c r="BB231" i="122"/>
  <c r="AT231" i="122"/>
  <c r="AL231" i="122"/>
  <c r="AD231" i="122"/>
  <c r="AU230" i="122"/>
  <c r="AM230" i="122"/>
  <c r="AE230" i="122"/>
  <c r="AV229" i="122"/>
  <c r="AN229" i="122"/>
  <c r="AF229" i="122"/>
  <c r="AW228" i="122"/>
  <c r="AO228" i="122"/>
  <c r="AG228" i="122"/>
  <c r="AX227" i="122"/>
  <c r="AP227" i="122"/>
  <c r="AH227" i="122"/>
  <c r="AY226" i="122"/>
  <c r="AQ226" i="122"/>
  <c r="AI226" i="122"/>
  <c r="AZ225" i="122"/>
  <c r="AR225" i="122"/>
  <c r="AJ225" i="122"/>
  <c r="BA224" i="122"/>
  <c r="AS224" i="122"/>
  <c r="AK224" i="122"/>
  <c r="BB223" i="122"/>
  <c r="AT223" i="122"/>
  <c r="AL223" i="122"/>
  <c r="AD223" i="122"/>
  <c r="AU222" i="122"/>
  <c r="AM222" i="122"/>
  <c r="AE222" i="122"/>
  <c r="AV221" i="122"/>
  <c r="AN221" i="122"/>
  <c r="AF221" i="122"/>
  <c r="AW220" i="122"/>
  <c r="AO220" i="122"/>
  <c r="AG220" i="122"/>
  <c r="AX219" i="122"/>
  <c r="AP219" i="122"/>
  <c r="AH219" i="122"/>
  <c r="AY218" i="122"/>
  <c r="AQ218" i="122"/>
  <c r="AI218" i="122"/>
  <c r="AZ217" i="122"/>
  <c r="AR217" i="122"/>
  <c r="AJ217" i="122"/>
  <c r="BA216" i="122"/>
  <c r="AS216" i="122"/>
  <c r="AK216" i="122"/>
  <c r="BB215" i="122"/>
  <c r="AT215" i="122"/>
  <c r="AL215" i="122"/>
  <c r="AD215" i="122"/>
  <c r="AU214" i="122"/>
  <c r="AM214" i="122"/>
  <c r="AE214" i="122"/>
  <c r="AZ240" i="122"/>
  <c r="AR240" i="122"/>
  <c r="AJ240" i="122"/>
  <c r="BA239" i="122"/>
  <c r="AS239" i="122"/>
  <c r="AK239" i="122"/>
  <c r="BB238" i="122"/>
  <c r="AT238" i="122"/>
  <c r="AL238" i="122"/>
  <c r="AD238" i="122"/>
  <c r="AU237" i="122"/>
  <c r="AM237" i="122"/>
  <c r="AE237" i="122"/>
  <c r="AV236" i="122"/>
  <c r="AN236" i="122"/>
  <c r="AF236" i="122"/>
  <c r="AW235" i="122"/>
  <c r="AO235" i="122"/>
  <c r="AG235" i="122"/>
  <c r="AX234" i="122"/>
  <c r="AP234" i="122"/>
  <c r="AH234" i="122"/>
  <c r="AY233" i="122"/>
  <c r="AQ233" i="122"/>
  <c r="AI233" i="122"/>
  <c r="AZ232" i="122"/>
  <c r="AR232" i="122"/>
  <c r="AJ232" i="122"/>
  <c r="BA231" i="122"/>
  <c r="AS231" i="122"/>
  <c r="AK231" i="122"/>
  <c r="BB230" i="122"/>
  <c r="AT230" i="122"/>
  <c r="AL230" i="122"/>
  <c r="AD230" i="122"/>
  <c r="AU229" i="122"/>
  <c r="AM229" i="122"/>
  <c r="AE229" i="122"/>
  <c r="AV228" i="122"/>
  <c r="AN228" i="122"/>
  <c r="AF228" i="122"/>
  <c r="AW227" i="122"/>
  <c r="AO227" i="122"/>
  <c r="AG227" i="122"/>
  <c r="AX226" i="122"/>
  <c r="AP226" i="122"/>
  <c r="AH226" i="122"/>
  <c r="AY225" i="122"/>
  <c r="AQ225" i="122"/>
  <c r="AI225" i="122"/>
  <c r="AZ224" i="122"/>
  <c r="AR224" i="122"/>
  <c r="AJ224" i="122"/>
  <c r="BA223" i="122"/>
  <c r="AS223" i="122"/>
  <c r="AK223" i="122"/>
  <c r="BB222" i="122"/>
  <c r="AT222" i="122"/>
  <c r="AL222" i="122"/>
  <c r="AD222" i="122"/>
  <c r="AU221" i="122"/>
  <c r="AM221" i="122"/>
  <c r="AE221" i="122"/>
  <c r="AV220" i="122"/>
  <c r="AN220" i="122"/>
  <c r="AF220" i="122"/>
  <c r="AW219" i="122"/>
  <c r="AO219" i="122"/>
  <c r="AG219" i="122"/>
  <c r="AX218" i="122"/>
  <c r="AP218" i="122"/>
  <c r="AH218" i="122"/>
  <c r="AY217" i="122"/>
  <c r="AQ217" i="122"/>
  <c r="AI217" i="122"/>
  <c r="AZ216" i="122"/>
  <c r="AR216" i="122"/>
  <c r="AJ216" i="122"/>
  <c r="BA215" i="122"/>
  <c r="AS215" i="122"/>
  <c r="AK215" i="122"/>
  <c r="BB214" i="122"/>
  <c r="AT214" i="122"/>
  <c r="AL214" i="122"/>
  <c r="AD214" i="122"/>
  <c r="AY240" i="122"/>
  <c r="AQ240" i="122"/>
  <c r="AI240" i="122"/>
  <c r="AZ239" i="122"/>
  <c r="AR239" i="122"/>
  <c r="AJ239" i="122"/>
  <c r="BA238" i="122"/>
  <c r="AS238" i="122"/>
  <c r="AK238" i="122"/>
  <c r="BB237" i="122"/>
  <c r="AT237" i="122"/>
  <c r="AL237" i="122"/>
  <c r="AD237" i="122"/>
  <c r="AU236" i="122"/>
  <c r="AM236" i="122"/>
  <c r="AE236" i="122"/>
  <c r="AV235" i="122"/>
  <c r="AN235" i="122"/>
  <c r="AF235" i="122"/>
  <c r="AW234" i="122"/>
  <c r="AO234" i="122"/>
  <c r="AG234" i="122"/>
  <c r="AX233" i="122"/>
  <c r="AP233" i="122"/>
  <c r="AH233" i="122"/>
  <c r="AY232" i="122"/>
  <c r="AQ232" i="122"/>
  <c r="AI232" i="122"/>
  <c r="AZ231" i="122"/>
  <c r="AR231" i="122"/>
  <c r="AJ231" i="122"/>
  <c r="BA230" i="122"/>
  <c r="AS230" i="122"/>
  <c r="AK230" i="122"/>
  <c r="BB229" i="122"/>
  <c r="AT229" i="122"/>
  <c r="AL229" i="122"/>
  <c r="AD229" i="122"/>
  <c r="AU228" i="122"/>
  <c r="AM228" i="122"/>
  <c r="AE228" i="122"/>
  <c r="AV227" i="122"/>
  <c r="AN227" i="122"/>
  <c r="AF227" i="122"/>
  <c r="AW226" i="122"/>
  <c r="AO226" i="122"/>
  <c r="AG226" i="122"/>
  <c r="AX225" i="122"/>
  <c r="AP225" i="122"/>
  <c r="AH225" i="122"/>
  <c r="AY224" i="122"/>
  <c r="AQ224" i="122"/>
  <c r="AI224" i="122"/>
  <c r="AZ223" i="122"/>
  <c r="AR223" i="122"/>
  <c r="AJ223" i="122"/>
  <c r="BA222" i="122"/>
  <c r="AS222" i="122"/>
  <c r="AK222" i="122"/>
  <c r="BB221" i="122"/>
  <c r="AT221" i="122"/>
  <c r="AL221" i="122"/>
  <c r="AD221" i="122"/>
  <c r="AU220" i="122"/>
  <c r="AM220" i="122"/>
  <c r="AE220" i="122"/>
  <c r="AV219" i="122"/>
  <c r="AN219" i="122"/>
  <c r="AF219" i="122"/>
  <c r="AW218" i="122"/>
  <c r="AO218" i="122"/>
  <c r="AG218" i="122"/>
  <c r="AX217" i="122"/>
  <c r="AP217" i="122"/>
  <c r="AH217" i="122"/>
  <c r="AY216" i="122"/>
  <c r="AQ216" i="122"/>
  <c r="AI216" i="122"/>
  <c r="AZ215" i="122"/>
  <c r="AR215" i="122"/>
  <c r="AX240" i="122"/>
  <c r="AP240" i="122"/>
  <c r="AH240" i="122"/>
  <c r="AY239" i="122"/>
  <c r="AQ239" i="122"/>
  <c r="AI239" i="122"/>
  <c r="AZ238" i="122"/>
  <c r="AR238" i="122"/>
  <c r="AJ238" i="122"/>
  <c r="BA237" i="122"/>
  <c r="AS237" i="122"/>
  <c r="AK237" i="122"/>
  <c r="BB236" i="122"/>
  <c r="AT236" i="122"/>
  <c r="AL236" i="122"/>
  <c r="AD236" i="122"/>
  <c r="AU235" i="122"/>
  <c r="AM235" i="122"/>
  <c r="AE235" i="122"/>
  <c r="AV234" i="122"/>
  <c r="AN234" i="122"/>
  <c r="AF234" i="122"/>
  <c r="AW233" i="122"/>
  <c r="AO233" i="122"/>
  <c r="AG233" i="122"/>
  <c r="AX232" i="122"/>
  <c r="AP232" i="122"/>
  <c r="AH232" i="122"/>
  <c r="AY231" i="122"/>
  <c r="AQ231" i="122"/>
  <c r="AI231" i="122"/>
  <c r="AZ230" i="122"/>
  <c r="AR230" i="122"/>
  <c r="AJ230" i="122"/>
  <c r="BA229" i="122"/>
  <c r="AS229" i="122"/>
  <c r="AK229" i="122"/>
  <c r="BB228" i="122"/>
  <c r="AT228" i="122"/>
  <c r="AL228" i="122"/>
  <c r="AD228" i="122"/>
  <c r="AU227" i="122"/>
  <c r="AM227" i="122"/>
  <c r="AE227" i="122"/>
  <c r="AV226" i="122"/>
  <c r="AN226" i="122"/>
  <c r="AF226" i="122"/>
  <c r="AW225" i="122"/>
  <c r="AO225" i="122"/>
  <c r="AG225" i="122"/>
  <c r="AX224" i="122"/>
  <c r="AP224" i="122"/>
  <c r="AH224" i="122"/>
  <c r="AY223" i="122"/>
  <c r="AQ223" i="122"/>
  <c r="AI223" i="122"/>
  <c r="AZ222" i="122"/>
  <c r="AR222" i="122"/>
  <c r="AJ222" i="122"/>
  <c r="BA221" i="122"/>
  <c r="AS221" i="122"/>
  <c r="AK221" i="122"/>
  <c r="BB220" i="122"/>
  <c r="AT220" i="122"/>
  <c r="AL220" i="122"/>
  <c r="AD220" i="122"/>
  <c r="AU219" i="122"/>
  <c r="AM219" i="122"/>
  <c r="AE219" i="122"/>
  <c r="AV218" i="122"/>
  <c r="AN218" i="122"/>
  <c r="AF218" i="122"/>
  <c r="AW217" i="122"/>
  <c r="AO217" i="122"/>
  <c r="AG217" i="122"/>
  <c r="AP216" i="122"/>
  <c r="AQ215" i="122"/>
  <c r="AZ214" i="122"/>
  <c r="AJ214" i="122"/>
  <c r="AX213" i="122"/>
  <c r="AP213" i="122"/>
  <c r="AH213" i="122"/>
  <c r="AY212" i="122"/>
  <c r="AQ212" i="122"/>
  <c r="AI212" i="122"/>
  <c r="AZ211" i="122"/>
  <c r="AR211" i="122"/>
  <c r="AJ211" i="122"/>
  <c r="BA210" i="122"/>
  <c r="AS210" i="122"/>
  <c r="AK210" i="122"/>
  <c r="BB209" i="122"/>
  <c r="AT209" i="122"/>
  <c r="AL209" i="122"/>
  <c r="AD209" i="122"/>
  <c r="AU208" i="122"/>
  <c r="AM208" i="122"/>
  <c r="AE208" i="122"/>
  <c r="AV201" i="122"/>
  <c r="AN201" i="122"/>
  <c r="AF201" i="122"/>
  <c r="AW200" i="122"/>
  <c r="AO200" i="122"/>
  <c r="AG200" i="122"/>
  <c r="AX199" i="122"/>
  <c r="AP199" i="122"/>
  <c r="AH199" i="122"/>
  <c r="AY198" i="122"/>
  <c r="AQ198" i="122"/>
  <c r="AI198" i="122"/>
  <c r="AZ197" i="122"/>
  <c r="AR197" i="122"/>
  <c r="AJ197" i="122"/>
  <c r="BA196" i="122"/>
  <c r="AS196" i="122"/>
  <c r="AK196" i="122"/>
  <c r="BB195" i="122"/>
  <c r="AT195" i="122"/>
  <c r="AL195" i="122"/>
  <c r="AD195" i="122"/>
  <c r="AU194" i="122"/>
  <c r="AM194" i="122"/>
  <c r="AE194" i="122"/>
  <c r="AV193" i="122"/>
  <c r="AN193" i="122"/>
  <c r="AF193" i="122"/>
  <c r="AW192" i="122"/>
  <c r="AO192" i="122"/>
  <c r="AG192" i="122"/>
  <c r="AX191" i="122"/>
  <c r="AP191" i="122"/>
  <c r="AH191" i="122"/>
  <c r="AY190" i="122"/>
  <c r="AQ190" i="122"/>
  <c r="AN216" i="122"/>
  <c r="AP215" i="122"/>
  <c r="AY214" i="122"/>
  <c r="AI214" i="122"/>
  <c r="AW213" i="122"/>
  <c r="AO213" i="122"/>
  <c r="AG213" i="122"/>
  <c r="AX212" i="122"/>
  <c r="AP212" i="122"/>
  <c r="AH212" i="122"/>
  <c r="AY211" i="122"/>
  <c r="AQ211" i="122"/>
  <c r="AI211" i="122"/>
  <c r="AZ210" i="122"/>
  <c r="AR210" i="122"/>
  <c r="AJ210" i="122"/>
  <c r="BA209" i="122"/>
  <c r="AS209" i="122"/>
  <c r="AK209" i="122"/>
  <c r="BB208" i="122"/>
  <c r="AT208" i="122"/>
  <c r="AL208" i="122"/>
  <c r="AD208" i="122"/>
  <c r="AU201" i="122"/>
  <c r="AM201" i="122"/>
  <c r="AE201" i="122"/>
  <c r="AV200" i="122"/>
  <c r="AN200" i="122"/>
  <c r="AF200" i="122"/>
  <c r="AW199" i="122"/>
  <c r="AO199" i="122"/>
  <c r="AG199" i="122"/>
  <c r="AX198" i="122"/>
  <c r="AP198" i="122"/>
  <c r="AH198" i="122"/>
  <c r="AY197" i="122"/>
  <c r="AQ197" i="122"/>
  <c r="AI197" i="122"/>
  <c r="AZ196" i="122"/>
  <c r="AR196" i="122"/>
  <c r="AJ196" i="122"/>
  <c r="BA195" i="122"/>
  <c r="AS195" i="122"/>
  <c r="AK195" i="122"/>
  <c r="BB194" i="122"/>
  <c r="AT194" i="122"/>
  <c r="AL194" i="122"/>
  <c r="AD194" i="122"/>
  <c r="AU193" i="122"/>
  <c r="AM193" i="122"/>
  <c r="AE193" i="122"/>
  <c r="AH216" i="122"/>
  <c r="AO215" i="122"/>
  <c r="AX214" i="122"/>
  <c r="AH214" i="122"/>
  <c r="AV213" i="122"/>
  <c r="AN213" i="122"/>
  <c r="AF213" i="122"/>
  <c r="AW212" i="122"/>
  <c r="AO212" i="122"/>
  <c r="AG212" i="122"/>
  <c r="AX211" i="122"/>
  <c r="AP211" i="122"/>
  <c r="AH211" i="122"/>
  <c r="AY210" i="122"/>
  <c r="AQ210" i="122"/>
  <c r="AI210" i="122"/>
  <c r="AZ209" i="122"/>
  <c r="AR209" i="122"/>
  <c r="AJ209" i="122"/>
  <c r="BA208" i="122"/>
  <c r="AS208" i="122"/>
  <c r="AK208" i="122"/>
  <c r="BB201" i="122"/>
  <c r="AT201" i="122"/>
  <c r="AL201" i="122"/>
  <c r="AD201" i="122"/>
  <c r="AU200" i="122"/>
  <c r="AM200" i="122"/>
  <c r="AE200" i="122"/>
  <c r="AV199" i="122"/>
  <c r="AN199" i="122"/>
  <c r="AF199" i="122"/>
  <c r="AW198" i="122"/>
  <c r="AO198" i="122"/>
  <c r="AG198" i="122"/>
  <c r="AX197" i="122"/>
  <c r="AP197" i="122"/>
  <c r="AH197" i="122"/>
  <c r="AY196" i="122"/>
  <c r="AQ196" i="122"/>
  <c r="AI196" i="122"/>
  <c r="AZ195" i="122"/>
  <c r="AR195" i="122"/>
  <c r="AJ195" i="122"/>
  <c r="BA194" i="122"/>
  <c r="AS194" i="122"/>
  <c r="AK194" i="122"/>
  <c r="BB193" i="122"/>
  <c r="AT193" i="122"/>
  <c r="AL193" i="122"/>
  <c r="AD193" i="122"/>
  <c r="AU192" i="122"/>
  <c r="AM192" i="122"/>
  <c r="AE192" i="122"/>
  <c r="AV191" i="122"/>
  <c r="AN191" i="122"/>
  <c r="AF191" i="122"/>
  <c r="AW190" i="122"/>
  <c r="AO190" i="122"/>
  <c r="AG190" i="122"/>
  <c r="AX189" i="122"/>
  <c r="AP189" i="122"/>
  <c r="AU217" i="122"/>
  <c r="AG216" i="122"/>
  <c r="AJ215" i="122"/>
  <c r="AS214" i="122"/>
  <c r="AF214" i="122"/>
  <c r="AU213" i="122"/>
  <c r="AM213" i="122"/>
  <c r="AE213" i="122"/>
  <c r="AV212" i="122"/>
  <c r="AN212" i="122"/>
  <c r="AF212" i="122"/>
  <c r="AW211" i="122"/>
  <c r="AO211" i="122"/>
  <c r="AG211" i="122"/>
  <c r="AX210" i="122"/>
  <c r="AP210" i="122"/>
  <c r="AH210" i="122"/>
  <c r="AY209" i="122"/>
  <c r="AQ209" i="122"/>
  <c r="AI209" i="122"/>
  <c r="AZ208" i="122"/>
  <c r="AR208" i="122"/>
  <c r="AJ208" i="122"/>
  <c r="BA201" i="122"/>
  <c r="AS201" i="122"/>
  <c r="AK201" i="122"/>
  <c r="BB200" i="122"/>
  <c r="AT200" i="122"/>
  <c r="AL200" i="122"/>
  <c r="AD200" i="122"/>
  <c r="AU199" i="122"/>
  <c r="AM199" i="122"/>
  <c r="AE199" i="122"/>
  <c r="AV198" i="122"/>
  <c r="AN198" i="122"/>
  <c r="AF198" i="122"/>
  <c r="AW197" i="122"/>
  <c r="AO197" i="122"/>
  <c r="AG197" i="122"/>
  <c r="AX196" i="122"/>
  <c r="AP196" i="122"/>
  <c r="AH196" i="122"/>
  <c r="AY195" i="122"/>
  <c r="AQ195" i="122"/>
  <c r="AI195" i="122"/>
  <c r="AZ194" i="122"/>
  <c r="AR194" i="122"/>
  <c r="AJ194" i="122"/>
  <c r="BA193" i="122"/>
  <c r="AS193" i="122"/>
  <c r="AK193" i="122"/>
  <c r="BB192" i="122"/>
  <c r="AT192" i="122"/>
  <c r="AL192" i="122"/>
  <c r="AD192" i="122"/>
  <c r="AU191" i="122"/>
  <c r="AM191" i="122"/>
  <c r="AE191" i="122"/>
  <c r="AV190" i="122"/>
  <c r="AN190" i="122"/>
  <c r="AF190" i="122"/>
  <c r="AW189" i="122"/>
  <c r="AO189" i="122"/>
  <c r="AG189" i="122"/>
  <c r="AX188" i="122"/>
  <c r="AP188" i="122"/>
  <c r="AH188" i="122"/>
  <c r="AY187" i="122"/>
  <c r="AQ187" i="122"/>
  <c r="AI187" i="122"/>
  <c r="AZ186" i="122"/>
  <c r="AR186" i="122"/>
  <c r="AJ186" i="122"/>
  <c r="BA185" i="122"/>
  <c r="AS185" i="122"/>
  <c r="AK185" i="122"/>
  <c r="BB184" i="122"/>
  <c r="AT184" i="122"/>
  <c r="AL184" i="122"/>
  <c r="AD184" i="122"/>
  <c r="AU183" i="122"/>
  <c r="AM183" i="122"/>
  <c r="AE183" i="122"/>
  <c r="AV182" i="122"/>
  <c r="AN182" i="122"/>
  <c r="AM217" i="122"/>
  <c r="AF216" i="122"/>
  <c r="AI215" i="122"/>
  <c r="AR214" i="122"/>
  <c r="BB213" i="122"/>
  <c r="AT213" i="122"/>
  <c r="AL213" i="122"/>
  <c r="AD213" i="122"/>
  <c r="AU212" i="122"/>
  <c r="AM212" i="122"/>
  <c r="AE212" i="122"/>
  <c r="AV211" i="122"/>
  <c r="AN211" i="122"/>
  <c r="AF211" i="122"/>
  <c r="AW210" i="122"/>
  <c r="AO210" i="122"/>
  <c r="AG210" i="122"/>
  <c r="AX209" i="122"/>
  <c r="AP209" i="122"/>
  <c r="AH209" i="122"/>
  <c r="AY208" i="122"/>
  <c r="AQ208" i="122"/>
  <c r="AI208" i="122"/>
  <c r="AZ201" i="122"/>
  <c r="AR201" i="122"/>
  <c r="AJ201" i="122"/>
  <c r="BA200" i="122"/>
  <c r="AS200" i="122"/>
  <c r="AK200" i="122"/>
  <c r="BB199" i="122"/>
  <c r="AT199" i="122"/>
  <c r="AL199" i="122"/>
  <c r="AD199" i="122"/>
  <c r="AU198" i="122"/>
  <c r="AM198" i="122"/>
  <c r="AE198" i="122"/>
  <c r="AV197" i="122"/>
  <c r="AN197" i="122"/>
  <c r="AF197" i="122"/>
  <c r="AW196" i="122"/>
  <c r="AO196" i="122"/>
  <c r="AG196" i="122"/>
  <c r="AX195" i="122"/>
  <c r="AP195" i="122"/>
  <c r="AH195" i="122"/>
  <c r="AY194" i="122"/>
  <c r="AQ194" i="122"/>
  <c r="AI194" i="122"/>
  <c r="AZ193" i="122"/>
  <c r="AR193" i="122"/>
  <c r="AJ193" i="122"/>
  <c r="BA192" i="122"/>
  <c r="AS192" i="122"/>
  <c r="AK192" i="122"/>
  <c r="BB191" i="122"/>
  <c r="AT191" i="122"/>
  <c r="AL191" i="122"/>
  <c r="AD191" i="122"/>
  <c r="AU190" i="122"/>
  <c r="AM190" i="122"/>
  <c r="AE190" i="122"/>
  <c r="AV189" i="122"/>
  <c r="AN189" i="122"/>
  <c r="AF189" i="122"/>
  <c r="AW188" i="122"/>
  <c r="AO188" i="122"/>
  <c r="AG188" i="122"/>
  <c r="AX187" i="122"/>
  <c r="AP187" i="122"/>
  <c r="AH187" i="122"/>
  <c r="AY186" i="122"/>
  <c r="AE217" i="122"/>
  <c r="AY215" i="122"/>
  <c r="AH215" i="122"/>
  <c r="AQ214" i="122"/>
  <c r="BA213" i="122"/>
  <c r="AS213" i="122"/>
  <c r="AK213" i="122"/>
  <c r="BB212" i="122"/>
  <c r="AT212" i="122"/>
  <c r="AL212" i="122"/>
  <c r="AD212" i="122"/>
  <c r="AU211" i="122"/>
  <c r="AM211" i="122"/>
  <c r="AE211" i="122"/>
  <c r="AV210" i="122"/>
  <c r="AN210" i="122"/>
  <c r="AF210" i="122"/>
  <c r="AW209" i="122"/>
  <c r="AO209" i="122"/>
  <c r="AG209" i="122"/>
  <c r="AX208" i="122"/>
  <c r="AP208" i="122"/>
  <c r="AH208" i="122"/>
  <c r="AY201" i="122"/>
  <c r="AQ201" i="122"/>
  <c r="AI201" i="122"/>
  <c r="AZ200" i="122"/>
  <c r="AR200" i="122"/>
  <c r="AJ200" i="122"/>
  <c r="BA199" i="122"/>
  <c r="AS199" i="122"/>
  <c r="AK199" i="122"/>
  <c r="BB198" i="122"/>
  <c r="AT198" i="122"/>
  <c r="AL198" i="122"/>
  <c r="AD198" i="122"/>
  <c r="AU197" i="122"/>
  <c r="AM197" i="122"/>
  <c r="AE197" i="122"/>
  <c r="AV196" i="122"/>
  <c r="AN196" i="122"/>
  <c r="AF196" i="122"/>
  <c r="AW195" i="122"/>
  <c r="AO195" i="122"/>
  <c r="AG195" i="122"/>
  <c r="AX194" i="122"/>
  <c r="AP194" i="122"/>
  <c r="AH194" i="122"/>
  <c r="AY193" i="122"/>
  <c r="AQ193" i="122"/>
  <c r="AI193" i="122"/>
  <c r="AZ192" i="122"/>
  <c r="AR192" i="122"/>
  <c r="AJ192" i="122"/>
  <c r="BA191" i="122"/>
  <c r="AS191" i="122"/>
  <c r="AK191" i="122"/>
  <c r="BB190" i="122"/>
  <c r="AT190" i="122"/>
  <c r="AL190" i="122"/>
  <c r="AD190" i="122"/>
  <c r="AU189" i="122"/>
  <c r="AM189" i="122"/>
  <c r="AE189" i="122"/>
  <c r="AV188" i="122"/>
  <c r="AN188" i="122"/>
  <c r="AF188" i="122"/>
  <c r="AW187" i="122"/>
  <c r="AO187" i="122"/>
  <c r="AG187" i="122"/>
  <c r="AX186" i="122"/>
  <c r="AP186" i="122"/>
  <c r="AH186" i="122"/>
  <c r="AY185" i="122"/>
  <c r="AQ185" i="122"/>
  <c r="AI185" i="122"/>
  <c r="AZ184" i="122"/>
  <c r="AR184" i="122"/>
  <c r="AJ184" i="122"/>
  <c r="BA183" i="122"/>
  <c r="AS183" i="122"/>
  <c r="AK183" i="122"/>
  <c r="BB182" i="122"/>
  <c r="AT182" i="122"/>
  <c r="AL182" i="122"/>
  <c r="AD182" i="122"/>
  <c r="AX216" i="122"/>
  <c r="AX215" i="122"/>
  <c r="AG215" i="122"/>
  <c r="AP214" i="122"/>
  <c r="AZ213" i="122"/>
  <c r="AR213" i="122"/>
  <c r="AJ213" i="122"/>
  <c r="BA212" i="122"/>
  <c r="AS212" i="122"/>
  <c r="AK212" i="122"/>
  <c r="BB211" i="122"/>
  <c r="AT211" i="122"/>
  <c r="AL211" i="122"/>
  <c r="AD211" i="122"/>
  <c r="AU210" i="122"/>
  <c r="AM210" i="122"/>
  <c r="AE210" i="122"/>
  <c r="AV209" i="122"/>
  <c r="AN209" i="122"/>
  <c r="AF209" i="122"/>
  <c r="AW208" i="122"/>
  <c r="AO208" i="122"/>
  <c r="AG208" i="122"/>
  <c r="AX201" i="122"/>
  <c r="AP201" i="122"/>
  <c r="AH201" i="122"/>
  <c r="AY200" i="122"/>
  <c r="AQ200" i="122"/>
  <c r="AI200" i="122"/>
  <c r="AZ199" i="122"/>
  <c r="AR199" i="122"/>
  <c r="AJ199" i="122"/>
  <c r="BA198" i="122"/>
  <c r="AS198" i="122"/>
  <c r="AK198" i="122"/>
  <c r="BB197" i="122"/>
  <c r="AT197" i="122"/>
  <c r="AL197" i="122"/>
  <c r="AD197" i="122"/>
  <c r="AU196" i="122"/>
  <c r="AM196" i="122"/>
  <c r="AE196" i="122"/>
  <c r="AV195" i="122"/>
  <c r="AN195" i="122"/>
  <c r="AF195" i="122"/>
  <c r="AW194" i="122"/>
  <c r="AO194" i="122"/>
  <c r="AG194" i="122"/>
  <c r="AX193" i="122"/>
  <c r="AP193" i="122"/>
  <c r="AH193" i="122"/>
  <c r="AY192" i="122"/>
  <c r="AQ192" i="122"/>
  <c r="AI192" i="122"/>
  <c r="AZ191" i="122"/>
  <c r="AR191" i="122"/>
  <c r="AJ191" i="122"/>
  <c r="BA190" i="122"/>
  <c r="AS190" i="122"/>
  <c r="AK190" i="122"/>
  <c r="BB189" i="122"/>
  <c r="AT189" i="122"/>
  <c r="AL189" i="122"/>
  <c r="AD189" i="122"/>
  <c r="AU188" i="122"/>
  <c r="AM188" i="122"/>
  <c r="AE188" i="122"/>
  <c r="AV187" i="122"/>
  <c r="AN187" i="122"/>
  <c r="AF187" i="122"/>
  <c r="AW186" i="122"/>
  <c r="AO186" i="122"/>
  <c r="AG186" i="122"/>
  <c r="AX185" i="122"/>
  <c r="AP185" i="122"/>
  <c r="AH185" i="122"/>
  <c r="AY184" i="122"/>
  <c r="AQ184" i="122"/>
  <c r="AI184" i="122"/>
  <c r="AZ183" i="122"/>
  <c r="AR183" i="122"/>
  <c r="AJ183" i="122"/>
  <c r="BA182" i="122"/>
  <c r="AS182" i="122"/>
  <c r="AK182" i="122"/>
  <c r="AQ213" i="122"/>
  <c r="BB210" i="122"/>
  <c r="AN208" i="122"/>
  <c r="AY199" i="122"/>
  <c r="AK197" i="122"/>
  <c r="AV194" i="122"/>
  <c r="AP192" i="122"/>
  <c r="AI191" i="122"/>
  <c r="AH190" i="122"/>
  <c r="AJ189" i="122"/>
  <c r="AS188" i="122"/>
  <c r="BB187" i="122"/>
  <c r="AL187" i="122"/>
  <c r="AU186" i="122"/>
  <c r="AI186" i="122"/>
  <c r="AU185" i="122"/>
  <c r="AG185" i="122"/>
  <c r="AU184" i="122"/>
  <c r="AG184" i="122"/>
  <c r="AT183" i="122"/>
  <c r="AG183" i="122"/>
  <c r="AR182" i="122"/>
  <c r="AG182" i="122"/>
  <c r="AW181" i="122"/>
  <c r="AO181" i="122"/>
  <c r="AG181" i="122"/>
  <c r="AX180" i="122"/>
  <c r="AP180" i="122"/>
  <c r="AH180" i="122"/>
  <c r="AY179" i="122"/>
  <c r="AQ179" i="122"/>
  <c r="AI179" i="122"/>
  <c r="AZ178" i="122"/>
  <c r="AR178" i="122"/>
  <c r="AJ178" i="122"/>
  <c r="BA177" i="122"/>
  <c r="AS177" i="122"/>
  <c r="AK177" i="122"/>
  <c r="BB176" i="122"/>
  <c r="AT176" i="122"/>
  <c r="AL176" i="122"/>
  <c r="AD176" i="122"/>
  <c r="AU175" i="122"/>
  <c r="AM175" i="122"/>
  <c r="AE175" i="122"/>
  <c r="AV174" i="122"/>
  <c r="AN174" i="122"/>
  <c r="AF174" i="122"/>
  <c r="AW173" i="122"/>
  <c r="AO173" i="122"/>
  <c r="AG173" i="122"/>
  <c r="AX172" i="122"/>
  <c r="AP172" i="122"/>
  <c r="AH172" i="122"/>
  <c r="AY171" i="122"/>
  <c r="AQ171" i="122"/>
  <c r="AI171" i="122"/>
  <c r="AZ170" i="122"/>
  <c r="AR170" i="122"/>
  <c r="AJ170" i="122"/>
  <c r="BA169" i="122"/>
  <c r="AS169" i="122"/>
  <c r="AK169" i="122"/>
  <c r="AI213" i="122"/>
  <c r="AT210" i="122"/>
  <c r="AF208" i="122"/>
  <c r="AQ199" i="122"/>
  <c r="BB196" i="122"/>
  <c r="AN194" i="122"/>
  <c r="AN192" i="122"/>
  <c r="AG191" i="122"/>
  <c r="BA189" i="122"/>
  <c r="AI189" i="122"/>
  <c r="AR188" i="122"/>
  <c r="BA187" i="122"/>
  <c r="AK187" i="122"/>
  <c r="AT186" i="122"/>
  <c r="AF186" i="122"/>
  <c r="AT185" i="122"/>
  <c r="AF185" i="122"/>
  <c r="AS184" i="122"/>
  <c r="AF184" i="122"/>
  <c r="AQ183" i="122"/>
  <c r="AF183" i="122"/>
  <c r="AQ182" i="122"/>
  <c r="AF182" i="122"/>
  <c r="AV181" i="122"/>
  <c r="AN181" i="122"/>
  <c r="AF181" i="122"/>
  <c r="AW180" i="122"/>
  <c r="AO180" i="122"/>
  <c r="AG180" i="122"/>
  <c r="AX179" i="122"/>
  <c r="AP179" i="122"/>
  <c r="AH179" i="122"/>
  <c r="AY178" i="122"/>
  <c r="AQ178" i="122"/>
  <c r="AI178" i="122"/>
  <c r="AZ177" i="122"/>
  <c r="AR177" i="122"/>
  <c r="AJ177" i="122"/>
  <c r="BA176" i="122"/>
  <c r="AS176" i="122"/>
  <c r="AK176" i="122"/>
  <c r="BB175" i="122"/>
  <c r="AT175" i="122"/>
  <c r="AL175" i="122"/>
  <c r="AD175" i="122"/>
  <c r="AU174" i="122"/>
  <c r="AM174" i="122"/>
  <c r="AE174" i="122"/>
  <c r="AV173" i="122"/>
  <c r="AN173" i="122"/>
  <c r="AF173" i="122"/>
  <c r="AW172" i="122"/>
  <c r="AO172" i="122"/>
  <c r="AG172" i="122"/>
  <c r="AX171" i="122"/>
  <c r="AP171" i="122"/>
  <c r="AH171" i="122"/>
  <c r="AY170" i="122"/>
  <c r="AQ170" i="122"/>
  <c r="AI170" i="122"/>
  <c r="AZ169" i="122"/>
  <c r="AR169" i="122"/>
  <c r="AJ169" i="122"/>
  <c r="AZ212" i="122"/>
  <c r="AL210" i="122"/>
  <c r="AW201" i="122"/>
  <c r="AI199" i="122"/>
  <c r="AT196" i="122"/>
  <c r="AF194" i="122"/>
  <c r="AH192" i="122"/>
  <c r="AZ190" i="122"/>
  <c r="AZ189" i="122"/>
  <c r="AH189" i="122"/>
  <c r="AQ188" i="122"/>
  <c r="AZ187" i="122"/>
  <c r="AJ187" i="122"/>
  <c r="AS186" i="122"/>
  <c r="AE186" i="122"/>
  <c r="AR185" i="122"/>
  <c r="AE185" i="122"/>
  <c r="AP184" i="122"/>
  <c r="AE184" i="122"/>
  <c r="AP183" i="122"/>
  <c r="AD183" i="122"/>
  <c r="AP182" i="122"/>
  <c r="AE182" i="122"/>
  <c r="AU181" i="122"/>
  <c r="AM181" i="122"/>
  <c r="AE181" i="122"/>
  <c r="AV180" i="122"/>
  <c r="AN180" i="122"/>
  <c r="AF180" i="122"/>
  <c r="AW179" i="122"/>
  <c r="AO179" i="122"/>
  <c r="AG179" i="122"/>
  <c r="AX178" i="122"/>
  <c r="AP178" i="122"/>
  <c r="AH178" i="122"/>
  <c r="AY177" i="122"/>
  <c r="AQ177" i="122"/>
  <c r="AI177" i="122"/>
  <c r="AZ176" i="122"/>
  <c r="AR176" i="122"/>
  <c r="AJ176" i="122"/>
  <c r="BA175" i="122"/>
  <c r="AS175" i="122"/>
  <c r="AK175" i="122"/>
  <c r="BB174" i="122"/>
  <c r="AT174" i="122"/>
  <c r="AL174" i="122"/>
  <c r="AD174" i="122"/>
  <c r="AU173" i="122"/>
  <c r="AM173" i="122"/>
  <c r="AE173" i="122"/>
  <c r="AV172" i="122"/>
  <c r="AN172" i="122"/>
  <c r="AF172" i="122"/>
  <c r="AW171" i="122"/>
  <c r="AO171" i="122"/>
  <c r="AG171" i="122"/>
  <c r="AX170" i="122"/>
  <c r="AP170" i="122"/>
  <c r="AH170" i="122"/>
  <c r="AY169" i="122"/>
  <c r="AQ169" i="122"/>
  <c r="AI169" i="122"/>
  <c r="W65" i="8"/>
  <c r="W66" i="8"/>
  <c r="O67" i="8"/>
  <c r="O68" i="8"/>
  <c r="O69" i="8"/>
  <c r="V70" i="8"/>
  <c r="V71" i="8"/>
  <c r="V72" i="8"/>
  <c r="V73" i="8"/>
  <c r="V74" i="8"/>
  <c r="V75" i="8"/>
  <c r="X76" i="8"/>
  <c r="X77" i="8"/>
  <c r="X78" i="8"/>
  <c r="X79" i="8"/>
  <c r="X80" i="8"/>
  <c r="X81" i="8"/>
  <c r="X85" i="8"/>
  <c r="X86" i="8"/>
  <c r="AV216" i="122"/>
  <c r="AR212" i="122"/>
  <c r="AD210" i="122"/>
  <c r="AO201" i="122"/>
  <c r="AZ198" i="122"/>
  <c r="AL196" i="122"/>
  <c r="AW193" i="122"/>
  <c r="AF192" i="122"/>
  <c r="AX190" i="122"/>
  <c r="AY189" i="122"/>
  <c r="BB188" i="122"/>
  <c r="AL188" i="122"/>
  <c r="AU187" i="122"/>
  <c r="AE187" i="122"/>
  <c r="AQ186" i="122"/>
  <c r="AD186" i="122"/>
  <c r="AO185" i="122"/>
  <c r="AD185" i="122"/>
  <c r="AO184" i="122"/>
  <c r="BB183" i="122"/>
  <c r="AO183" i="122"/>
  <c r="AZ182" i="122"/>
  <c r="AO182" i="122"/>
  <c r="BB181" i="122"/>
  <c r="AT181" i="122"/>
  <c r="AL181" i="122"/>
  <c r="AD181" i="122"/>
  <c r="AU180" i="122"/>
  <c r="AM180" i="122"/>
  <c r="AE180" i="122"/>
  <c r="AV179" i="122"/>
  <c r="AN179" i="122"/>
  <c r="AF179" i="122"/>
  <c r="AW178" i="122"/>
  <c r="AO178" i="122"/>
  <c r="AG178" i="122"/>
  <c r="AX177" i="122"/>
  <c r="AP177" i="122"/>
  <c r="AH177" i="122"/>
  <c r="AY176" i="122"/>
  <c r="AQ176" i="122"/>
  <c r="AI176" i="122"/>
  <c r="AZ175" i="122"/>
  <c r="AR175" i="122"/>
  <c r="AJ175" i="122"/>
  <c r="BA174" i="122"/>
  <c r="AS174" i="122"/>
  <c r="AK174" i="122"/>
  <c r="BB173" i="122"/>
  <c r="AT173" i="122"/>
  <c r="AL173" i="122"/>
  <c r="AD173" i="122"/>
  <c r="AU172" i="122"/>
  <c r="AM172" i="122"/>
  <c r="AE172" i="122"/>
  <c r="AV171" i="122"/>
  <c r="AN171" i="122"/>
  <c r="AF171" i="122"/>
  <c r="AW170" i="122"/>
  <c r="AO170" i="122"/>
  <c r="AG170" i="122"/>
  <c r="AX169" i="122"/>
  <c r="AP169" i="122"/>
  <c r="AH169" i="122"/>
  <c r="AW215" i="122"/>
  <c r="AJ212" i="122"/>
  <c r="AU209" i="122"/>
  <c r="AG201" i="122"/>
  <c r="AR198" i="122"/>
  <c r="AD196" i="122"/>
  <c r="AO193" i="122"/>
  <c r="AY191" i="122"/>
  <c r="AR190" i="122"/>
  <c r="AS189" i="122"/>
  <c r="BA188" i="122"/>
  <c r="AK188" i="122"/>
  <c r="AT187" i="122"/>
  <c r="AD187" i="122"/>
  <c r="AN186" i="122"/>
  <c r="BB185" i="122"/>
  <c r="AN185" i="122"/>
  <c r="BA184" i="122"/>
  <c r="AN184" i="122"/>
  <c r="AY183" i="122"/>
  <c r="AN183" i="122"/>
  <c r="AY182" i="122"/>
  <c r="AM182" i="122"/>
  <c r="BA181" i="122"/>
  <c r="AS181" i="122"/>
  <c r="AK181" i="122"/>
  <c r="BB180" i="122"/>
  <c r="AT180" i="122"/>
  <c r="AL180" i="122"/>
  <c r="AD180" i="122"/>
  <c r="AU179" i="122"/>
  <c r="AM179" i="122"/>
  <c r="AE179" i="122"/>
  <c r="AV178" i="122"/>
  <c r="AN178" i="122"/>
  <c r="AF178" i="122"/>
  <c r="AW177" i="122"/>
  <c r="AO177" i="122"/>
  <c r="AG177" i="122"/>
  <c r="AX176" i="122"/>
  <c r="AP176" i="122"/>
  <c r="AH176" i="122"/>
  <c r="AY175" i="122"/>
  <c r="AQ175" i="122"/>
  <c r="AI175" i="122"/>
  <c r="AZ174" i="122"/>
  <c r="AR174" i="122"/>
  <c r="AJ174" i="122"/>
  <c r="BA173" i="122"/>
  <c r="AS173" i="122"/>
  <c r="AK173" i="122"/>
  <c r="BB172" i="122"/>
  <c r="AT172" i="122"/>
  <c r="AL172" i="122"/>
  <c r="AD172" i="122"/>
  <c r="AU171" i="122"/>
  <c r="AM171" i="122"/>
  <c r="AE171" i="122"/>
  <c r="AV170" i="122"/>
  <c r="AN170" i="122"/>
  <c r="AF170" i="122"/>
  <c r="AW169" i="122"/>
  <c r="AO169" i="122"/>
  <c r="AG169" i="122"/>
  <c r="AV65" i="8"/>
  <c r="AV66" i="8"/>
  <c r="V67" i="8"/>
  <c r="V68" i="8"/>
  <c r="V69" i="8"/>
  <c r="X70" i="8"/>
  <c r="X71" i="8"/>
  <c r="X72" i="8"/>
  <c r="X73" i="8"/>
  <c r="X74" i="8"/>
  <c r="X75" i="8"/>
  <c r="AW76" i="8"/>
  <c r="AW77" i="8"/>
  <c r="AW78" i="8"/>
  <c r="AW79" i="8"/>
  <c r="AW80" i="8"/>
  <c r="AW81" i="8"/>
  <c r="W82" i="8"/>
  <c r="W83" i="8"/>
  <c r="W84" i="8"/>
  <c r="AW85" i="8"/>
  <c r="BA214" i="122"/>
  <c r="BA211" i="122"/>
  <c r="AM209" i="122"/>
  <c r="AX200" i="122"/>
  <c r="AJ198" i="122"/>
  <c r="AU195" i="122"/>
  <c r="AG193" i="122"/>
  <c r="AW191" i="122"/>
  <c r="AP190" i="122"/>
  <c r="AR189" i="122"/>
  <c r="AZ188" i="122"/>
  <c r="AJ188" i="122"/>
  <c r="AS187" i="122"/>
  <c r="BB186" i="122"/>
  <c r="AM186" i="122"/>
  <c r="AZ185" i="122"/>
  <c r="AM185" i="122"/>
  <c r="AX184" i="122"/>
  <c r="AM184" i="122"/>
  <c r="AX183" i="122"/>
  <c r="AL183" i="122"/>
  <c r="AX182" i="122"/>
  <c r="AJ182" i="122"/>
  <c r="AZ181" i="122"/>
  <c r="AR181" i="122"/>
  <c r="AJ181" i="122"/>
  <c r="BA180" i="122"/>
  <c r="AS180" i="122"/>
  <c r="AK180" i="122"/>
  <c r="BB179" i="122"/>
  <c r="AT179" i="122"/>
  <c r="AL179" i="122"/>
  <c r="AD179" i="122"/>
  <c r="AU178" i="122"/>
  <c r="AM178" i="122"/>
  <c r="AE178" i="122"/>
  <c r="AV177" i="122"/>
  <c r="AN177" i="122"/>
  <c r="AF177" i="122"/>
  <c r="AW176" i="122"/>
  <c r="AO176" i="122"/>
  <c r="AG176" i="122"/>
  <c r="AX175" i="122"/>
  <c r="AP175" i="122"/>
  <c r="AH175" i="122"/>
  <c r="AY174" i="122"/>
  <c r="AQ174" i="122"/>
  <c r="AI174" i="122"/>
  <c r="AZ173" i="122"/>
  <c r="AR173" i="122"/>
  <c r="AJ173" i="122"/>
  <c r="BA172" i="122"/>
  <c r="AS172" i="122"/>
  <c r="AK172" i="122"/>
  <c r="BB171" i="122"/>
  <c r="AT171" i="122"/>
  <c r="AL171" i="122"/>
  <c r="AD171" i="122"/>
  <c r="AU170" i="122"/>
  <c r="AM170" i="122"/>
  <c r="AE170" i="122"/>
  <c r="AV169" i="122"/>
  <c r="AN169" i="122"/>
  <c r="AF169" i="122"/>
  <c r="AW65" i="8"/>
  <c r="AW66" i="8"/>
  <c r="W67" i="8"/>
  <c r="W68" i="8"/>
  <c r="W69" i="8"/>
  <c r="AV70" i="8"/>
  <c r="AV71" i="8"/>
  <c r="AV72" i="8"/>
  <c r="AV73" i="8"/>
  <c r="AV74" i="8"/>
  <c r="AV75" i="8"/>
  <c r="X82" i="8"/>
  <c r="X83" i="8"/>
  <c r="X84" i="8"/>
  <c r="AK214" i="122"/>
  <c r="AS211" i="122"/>
  <c r="AE209" i="122"/>
  <c r="AP200" i="122"/>
  <c r="BA197" i="122"/>
  <c r="AM195" i="122"/>
  <c r="AX192" i="122"/>
  <c r="AQ191" i="122"/>
  <c r="AJ190" i="122"/>
  <c r="AQ189" i="122"/>
  <c r="AY188" i="122"/>
  <c r="AI188" i="122"/>
  <c r="AR187" i="122"/>
  <c r="BA186" i="122"/>
  <c r="AL186" i="122"/>
  <c r="AW185" i="122"/>
  <c r="AL185" i="122"/>
  <c r="AW184" i="122"/>
  <c r="AK184" i="122"/>
  <c r="AW183" i="122"/>
  <c r="AI183" i="122"/>
  <c r="AW182" i="122"/>
  <c r="AI182" i="122"/>
  <c r="AY181" i="122"/>
  <c r="AQ181" i="122"/>
  <c r="AI181" i="122"/>
  <c r="AZ180" i="122"/>
  <c r="AR180" i="122"/>
  <c r="AJ180" i="122"/>
  <c r="BA179" i="122"/>
  <c r="AS179" i="122"/>
  <c r="AK179" i="122"/>
  <c r="BB178" i="122"/>
  <c r="AT178" i="122"/>
  <c r="AL178" i="122"/>
  <c r="AD178" i="122"/>
  <c r="AU177" i="122"/>
  <c r="AM177" i="122"/>
  <c r="AE177" i="122"/>
  <c r="AV176" i="122"/>
  <c r="AN176" i="122"/>
  <c r="AF176" i="122"/>
  <c r="AW175" i="122"/>
  <c r="AO175" i="122"/>
  <c r="AG175" i="122"/>
  <c r="AX174" i="122"/>
  <c r="AP174" i="122"/>
  <c r="AH174" i="122"/>
  <c r="AY173" i="122"/>
  <c r="AQ173" i="122"/>
  <c r="AI173" i="122"/>
  <c r="AZ172" i="122"/>
  <c r="AR172" i="122"/>
  <c r="AJ172" i="122"/>
  <c r="BA171" i="122"/>
  <c r="AS171" i="122"/>
  <c r="AK171" i="122"/>
  <c r="BB170" i="122"/>
  <c r="AT170" i="122"/>
  <c r="AL170" i="122"/>
  <c r="AD170" i="122"/>
  <c r="AU169" i="122"/>
  <c r="AM169" i="122"/>
  <c r="AE169" i="122"/>
  <c r="AH183" i="122"/>
  <c r="DE18" i="12"/>
  <c r="DE31" i="125"/>
  <c r="AR67" i="8"/>
  <c r="AV89" i="8"/>
  <c r="AV88" i="8"/>
  <c r="AV87" i="8"/>
  <c r="AV86" i="8"/>
  <c r="AW84" i="8"/>
  <c r="V83" i="8"/>
  <c r="O82" i="8"/>
  <c r="O81" i="8"/>
  <c r="V79" i="8"/>
  <c r="AV77" i="8"/>
  <c r="AW72" i="8"/>
  <c r="O71" i="8"/>
  <c r="AV67" i="8"/>
  <c r="V66" i="8"/>
  <c r="AL169" i="122"/>
  <c r="AZ171" i="122"/>
  <c r="AO174" i="122"/>
  <c r="AD177" i="122"/>
  <c r="AR179" i="122"/>
  <c r="AH182" i="122"/>
  <c r="AK186" i="122"/>
  <c r="AV192" i="122"/>
  <c r="O83" i="8"/>
  <c r="AM187" i="122"/>
  <c r="AY66" i="8"/>
  <c r="AR66" i="8"/>
  <c r="X89" i="8"/>
  <c r="X88" i="8"/>
  <c r="X87" i="8"/>
  <c r="W86" i="8"/>
  <c r="O85" i="8"/>
  <c r="AV84" i="8"/>
  <c r="AV80" i="8"/>
  <c r="W77" i="8"/>
  <c r="O76" i="8"/>
  <c r="AW75" i="8"/>
  <c r="O74" i="8"/>
  <c r="W72" i="8"/>
  <c r="X67" i="8"/>
  <c r="AT169" i="122"/>
  <c r="AI172" i="122"/>
  <c r="AW174" i="122"/>
  <c r="AL177" i="122"/>
  <c r="AZ179" i="122"/>
  <c r="AU182" i="122"/>
  <c r="AV186" i="122"/>
  <c r="AE195" i="122"/>
  <c r="AW108" i="8"/>
  <c r="AW104" i="8"/>
  <c r="AV101" i="8"/>
  <c r="DE20" i="127"/>
  <c r="DE42" i="12"/>
  <c r="AV108" i="8"/>
  <c r="AV106" i="8"/>
  <c r="W103" i="8"/>
  <c r="X101" i="8"/>
  <c r="AV97" i="8"/>
  <c r="AX95" i="8"/>
  <c r="AW94" i="8"/>
  <c r="O94" i="8"/>
  <c r="DE13" i="127"/>
  <c r="AX107" i="8"/>
  <c r="W106" i="8"/>
  <c r="AV102" i="8"/>
  <c r="AW100" i="8"/>
  <c r="AX99" i="8"/>
  <c r="W97" i="8"/>
  <c r="AW95" i="8"/>
  <c r="AW93" i="8"/>
  <c r="X105" i="8"/>
  <c r="V102" i="8"/>
  <c r="DE35" i="12"/>
  <c r="AW107" i="8"/>
  <c r="AX105" i="8"/>
  <c r="X102" i="8"/>
  <c r="V99" i="8"/>
  <c r="AX96" i="8"/>
  <c r="AV95" i="8"/>
  <c r="AX94" i="8"/>
  <c r="AV93" i="8"/>
  <c r="DE36" i="127"/>
  <c r="D42" i="122"/>
  <c r="AV107" i="8"/>
  <c r="AW105" i="8"/>
  <c r="W102" i="8"/>
  <c r="X98" i="8"/>
  <c r="AW96" i="8"/>
  <c r="X95" i="8"/>
  <c r="AV94" i="8"/>
  <c r="V93" i="8"/>
  <c r="DE28" i="127"/>
  <c r="X112" i="8"/>
  <c r="AV105" i="8"/>
  <c r="AX101" i="8"/>
  <c r="W98" i="8"/>
  <c r="AV96" i="8"/>
  <c r="W95" i="8"/>
  <c r="X94" i="8"/>
  <c r="U93" i="8"/>
  <c r="AU93" i="8"/>
  <c r="X109" i="8"/>
  <c r="AX104" i="8"/>
  <c r="AW101" i="8"/>
  <c r="V98" i="8"/>
  <c r="T93" i="8"/>
  <c r="BS54" i="12" s="1"/>
  <c r="DE8" i="125"/>
  <c r="DE13" i="12"/>
  <c r="DE24" i="125"/>
  <c r="DE45" i="12"/>
  <c r="DE7" i="12"/>
  <c r="DE33" i="125"/>
  <c r="DE6" i="125"/>
  <c r="DE40" i="12"/>
  <c r="DE32" i="12"/>
  <c r="DE19" i="12"/>
  <c r="DE12" i="127"/>
  <c r="BP5" i="125"/>
  <c r="BR29" i="125"/>
  <c r="DE14" i="127"/>
  <c r="DE16" i="125"/>
  <c r="DE39" i="127"/>
  <c r="BM215" i="8"/>
  <c r="Q206" i="8"/>
  <c r="AG203" i="8"/>
  <c r="BD202" i="8"/>
  <c r="BD194" i="8"/>
  <c r="BM191" i="8"/>
  <c r="DE21" i="125"/>
  <c r="DE41" i="125"/>
  <c r="DE30" i="127"/>
  <c r="DE38" i="127"/>
  <c r="DE48" i="12"/>
  <c r="BD213" i="8"/>
  <c r="AP211" i="8"/>
  <c r="BD210" i="8"/>
  <c r="AG207" i="8"/>
  <c r="Q205" i="8"/>
  <c r="AP204" i="8"/>
  <c r="AP200" i="8"/>
  <c r="BD199" i="8"/>
  <c r="AG195" i="8"/>
  <c r="DE43" i="125"/>
  <c r="DE47" i="127"/>
  <c r="DE48" i="125"/>
  <c r="DE49" i="127"/>
  <c r="BD191" i="8"/>
  <c r="BM186" i="8"/>
  <c r="Q186" i="8"/>
  <c r="DE6" i="12"/>
  <c r="DE27" i="12"/>
  <c r="DE31" i="12"/>
  <c r="DE30" i="125"/>
  <c r="DE25" i="125"/>
  <c r="DE33" i="127"/>
  <c r="AG211" i="8"/>
  <c r="BM207" i="8"/>
  <c r="AG200" i="8"/>
  <c r="BM195" i="8"/>
  <c r="AG192" i="8"/>
  <c r="DE6" i="127"/>
  <c r="DE22" i="127"/>
  <c r="DE42" i="125"/>
  <c r="DE50" i="125"/>
  <c r="BM216" i="8"/>
  <c r="AG216" i="8"/>
  <c r="Q214" i="8"/>
  <c r="BM200" i="8"/>
  <c r="BM192" i="8"/>
  <c r="AP189" i="8"/>
  <c r="Q188" i="8"/>
  <c r="BD186" i="8"/>
  <c r="DE10" i="12"/>
  <c r="DE14" i="12"/>
  <c r="DE24" i="12"/>
  <c r="DE50" i="12"/>
  <c r="DE46" i="127"/>
  <c r="DE42" i="127"/>
  <c r="Q216" i="8"/>
  <c r="AG215" i="8"/>
  <c r="Q213" i="8"/>
  <c r="AP212" i="8"/>
  <c r="AG206" i="8"/>
  <c r="BD204" i="8"/>
  <c r="Q202" i="8"/>
  <c r="AG201" i="8"/>
  <c r="AG193" i="8"/>
  <c r="AG191" i="8"/>
  <c r="AG189" i="8"/>
  <c r="T94" i="8"/>
  <c r="S105" i="8"/>
  <c r="G51" i="98"/>
  <c r="DE11" i="127"/>
  <c r="DE26" i="125"/>
  <c r="AP194" i="8"/>
  <c r="C40" i="8"/>
  <c r="DE18" i="125"/>
  <c r="AP192" i="8"/>
  <c r="DE34" i="125"/>
  <c r="DE32" i="125"/>
  <c r="DE27" i="127"/>
  <c r="DE43" i="127"/>
  <c r="DE37" i="125"/>
  <c r="DE15" i="127"/>
  <c r="AP213" i="8"/>
  <c r="BD212" i="8"/>
  <c r="BM209" i="8"/>
  <c r="BM206" i="8"/>
  <c r="AG202" i="8"/>
  <c r="AP199" i="8"/>
  <c r="AG198" i="8"/>
  <c r="BD195" i="8"/>
  <c r="Q195" i="8"/>
  <c r="AG194" i="8"/>
  <c r="BM189" i="8"/>
  <c r="Q189" i="8"/>
  <c r="BD188" i="8"/>
  <c r="BM185" i="8"/>
  <c r="AG185" i="8"/>
  <c r="BD184" i="8"/>
  <c r="O112" i="8"/>
  <c r="T100" i="8"/>
  <c r="DE19" i="127"/>
  <c r="DE17" i="12"/>
  <c r="DE29" i="127"/>
  <c r="DE31" i="127"/>
  <c r="DE23" i="12"/>
  <c r="DE41" i="127"/>
  <c r="DE50" i="127"/>
  <c r="AP214" i="8"/>
  <c r="AG213" i="8"/>
  <c r="Q209" i="8"/>
  <c r="AP205" i="8"/>
  <c r="AP203" i="8"/>
  <c r="BM196" i="8"/>
  <c r="Q185" i="8"/>
  <c r="T95" i="8"/>
  <c r="DE8" i="12"/>
  <c r="DE33" i="12"/>
  <c r="DE28" i="12"/>
  <c r="DE10" i="125"/>
  <c r="AP210" i="8"/>
  <c r="BD209" i="8"/>
  <c r="Q200" i="8"/>
  <c r="AG199" i="8"/>
  <c r="AP197" i="8"/>
  <c r="AP195" i="8"/>
  <c r="Q194" i="8"/>
  <c r="Q192" i="8"/>
  <c r="AG190" i="8"/>
  <c r="Q187" i="8"/>
  <c r="AP186" i="8"/>
  <c r="BD185" i="8"/>
  <c r="DE7" i="125"/>
  <c r="DE10" i="127"/>
  <c r="DE44" i="12"/>
  <c r="AP215" i="8"/>
  <c r="BD211" i="8"/>
  <c r="Q211" i="8"/>
  <c r="AG210" i="8"/>
  <c r="AP206" i="8"/>
  <c r="AG205" i="8"/>
  <c r="BM201" i="8"/>
  <c r="BD200" i="8"/>
  <c r="BM193" i="8"/>
  <c r="BD192" i="8"/>
  <c r="BM190" i="8"/>
  <c r="AG188" i="8"/>
  <c r="BD187" i="8"/>
  <c r="AG186" i="8"/>
  <c r="DE32" i="127"/>
  <c r="BM214" i="8"/>
  <c r="AP207" i="8"/>
  <c r="Q201" i="8"/>
  <c r="BM197" i="8"/>
  <c r="Q197" i="8"/>
  <c r="AP196" i="8"/>
  <c r="Q193" i="8"/>
  <c r="AP187" i="8"/>
  <c r="BM184" i="8"/>
  <c r="U100" i="8"/>
  <c r="T99" i="8"/>
  <c r="DE41" i="12"/>
  <c r="DE36" i="125"/>
  <c r="DE15" i="125"/>
  <c r="DE23" i="127"/>
  <c r="DE21" i="127"/>
  <c r="DE47" i="12"/>
  <c r="DE49" i="12"/>
  <c r="DE46" i="12"/>
  <c r="DE48" i="127"/>
  <c r="DE44" i="127"/>
  <c r="DE44" i="125"/>
  <c r="S107" i="8"/>
  <c r="S99" i="8"/>
  <c r="S104" i="8"/>
  <c r="DE45" i="125"/>
  <c r="AG214" i="8"/>
  <c r="BD207" i="8"/>
  <c r="BM205" i="8"/>
  <c r="O95" i="8"/>
  <c r="O97" i="8"/>
  <c r="O104" i="8"/>
  <c r="O107" i="8"/>
  <c r="DE9" i="125"/>
  <c r="DE13" i="125"/>
  <c r="DE35" i="127"/>
  <c r="DE16" i="127"/>
  <c r="DE30" i="12"/>
  <c r="DE37" i="127"/>
  <c r="O117" i="8"/>
  <c r="DE16" i="12"/>
  <c r="DE20" i="12"/>
  <c r="CP3" i="25"/>
  <c r="BD216" i="8"/>
  <c r="BD208" i="8"/>
  <c r="DE25" i="12"/>
  <c r="DE34" i="127"/>
  <c r="DE26" i="12"/>
  <c r="DE20" i="125"/>
  <c r="DE8" i="127"/>
  <c r="O108" i="8"/>
  <c r="O105" i="8"/>
  <c r="S100" i="8"/>
  <c r="U103" i="8"/>
  <c r="O100" i="8"/>
  <c r="U98" i="8"/>
  <c r="T103" i="8"/>
  <c r="S101" i="8"/>
  <c r="T96" i="8"/>
  <c r="S94" i="8"/>
  <c r="S93" i="8"/>
  <c r="U104" i="8"/>
  <c r="O101" i="8"/>
  <c r="U99" i="8"/>
  <c r="S96" i="8"/>
  <c r="O93" i="8"/>
  <c r="T104" i="8"/>
  <c r="O96" i="8"/>
  <c r="S95" i="8"/>
  <c r="F25" i="73"/>
  <c r="J12" i="25"/>
  <c r="T14" i="73"/>
  <c r="U14" i="73" s="1"/>
  <c r="D14" i="73"/>
  <c r="T25" i="73"/>
  <c r="U25" i="73" s="1"/>
  <c r="D25" i="73"/>
  <c r="R25" i="73"/>
  <c r="R14" i="73"/>
  <c r="J14" i="73"/>
  <c r="H11" i="25"/>
  <c r="V14" i="73"/>
  <c r="K11" i="25"/>
  <c r="F14" i="73"/>
  <c r="P4" i="25"/>
  <c r="CS4" i="25"/>
  <c r="J4" i="25"/>
  <c r="N4" i="25" s="1"/>
  <c r="P7" i="25"/>
  <c r="L7" i="25"/>
  <c r="J3" i="25"/>
  <c r="H7" i="25"/>
  <c r="J2" i="25"/>
  <c r="N2" i="25" s="1"/>
  <c r="L3" i="25"/>
  <c r="K7" i="25"/>
  <c r="J8" i="25"/>
  <c r="N8" i="25" s="1"/>
  <c r="O8" i="25" s="1"/>
  <c r="P8" i="25"/>
  <c r="I3" i="25"/>
  <c r="P3" i="25"/>
  <c r="I7" i="25"/>
  <c r="P2" i="25"/>
  <c r="H3" i="25"/>
  <c r="M7" i="25"/>
  <c r="P6" i="25"/>
  <c r="K3" i="25"/>
  <c r="J6" i="25"/>
  <c r="N6" i="25" s="1"/>
  <c r="G25" i="73"/>
  <c r="G11" i="119"/>
  <c r="E11" i="119"/>
  <c r="I11" i="119"/>
  <c r="I25" i="73"/>
  <c r="L11" i="119"/>
  <c r="K30" i="119"/>
  <c r="H25" i="73"/>
  <c r="J25" i="73"/>
  <c r="L30" i="119"/>
  <c r="G30" i="119"/>
  <c r="F30" i="119"/>
  <c r="H14" i="73"/>
  <c r="K14" i="73"/>
  <c r="K11" i="119"/>
  <c r="H30" i="119"/>
  <c r="I14" i="73"/>
  <c r="G14" i="73"/>
  <c r="F11" i="119"/>
  <c r="I30" i="119"/>
  <c r="H11" i="119"/>
  <c r="K25" i="73"/>
  <c r="AV115" i="8"/>
  <c r="AV111" i="8"/>
  <c r="AX114" i="8"/>
  <c r="AX117" i="8"/>
  <c r="AX111" i="8"/>
  <c r="AX110" i="8"/>
  <c r="S110" i="8"/>
  <c r="S114" i="8"/>
  <c r="S117" i="8"/>
  <c r="U117" i="8"/>
  <c r="U113" i="8"/>
  <c r="U116" i="8"/>
  <c r="U110" i="8"/>
  <c r="U109" i="8"/>
  <c r="W109" i="8"/>
  <c r="W108" i="8"/>
  <c r="W113" i="8"/>
  <c r="W116" i="8"/>
  <c r="W112" i="8"/>
  <c r="W115" i="8"/>
  <c r="T117" i="8"/>
  <c r="T111" i="8"/>
  <c r="T116" i="8"/>
  <c r="T110" i="8"/>
  <c r="T107" i="8"/>
  <c r="T114" i="8"/>
  <c r="V114" i="8"/>
  <c r="V113" i="8"/>
  <c r="V106" i="8"/>
  <c r="V116" i="8"/>
  <c r="V110" i="8"/>
  <c r="V109" i="8"/>
  <c r="V115" i="8"/>
  <c r="AL93" i="8"/>
  <c r="X115" i="8"/>
  <c r="X113" i="8"/>
  <c r="AW112" i="8"/>
  <c r="AW117" i="8"/>
  <c r="AW111" i="8"/>
  <c r="AP13" i="8"/>
  <c r="AT13" i="8"/>
  <c r="AN13" i="8"/>
  <c r="AR13" i="8"/>
  <c r="O111" i="8"/>
  <c r="AV112" i="8"/>
  <c r="S111" i="8"/>
  <c r="U114" i="8"/>
  <c r="Y13" i="8"/>
  <c r="C13" i="8"/>
  <c r="B14" i="8"/>
  <c r="B41" i="8"/>
  <c r="AX116" i="8"/>
  <c r="S116" i="8"/>
  <c r="AW114" i="8"/>
  <c r="O114" i="8"/>
  <c r="AV104" i="8"/>
  <c r="AV117" i="8"/>
  <c r="V100" i="8"/>
  <c r="V104" i="8"/>
  <c r="V117" i="8"/>
  <c r="V96" i="8"/>
  <c r="V107" i="8"/>
  <c r="V111" i="8"/>
  <c r="V101" i="8"/>
  <c r="V105" i="8"/>
  <c r="V95" i="8"/>
  <c r="V97" i="8"/>
  <c r="V108" i="8"/>
  <c r="V112" i="8"/>
  <c r="X103" i="8"/>
  <c r="X116" i="8"/>
  <c r="X99" i="8"/>
  <c r="X110" i="8"/>
  <c r="X114" i="8"/>
  <c r="X93" i="8"/>
  <c r="X100" i="8"/>
  <c r="X104" i="8"/>
  <c r="X117" i="8"/>
  <c r="X96" i="8"/>
  <c r="X107" i="8"/>
  <c r="X111" i="8"/>
  <c r="T101" i="8"/>
  <c r="T105" i="8"/>
  <c r="T97" i="8"/>
  <c r="T108" i="8"/>
  <c r="T112" i="8"/>
  <c r="T102" i="8"/>
  <c r="T106" i="8"/>
  <c r="T115" i="8"/>
  <c r="T98" i="8"/>
  <c r="T109" i="8"/>
  <c r="T113" i="8"/>
  <c r="U96" i="8"/>
  <c r="U107" i="8"/>
  <c r="U111" i="8"/>
  <c r="U101" i="8"/>
  <c r="U105" i="8"/>
  <c r="U95" i="8"/>
  <c r="U97" i="8"/>
  <c r="U108" i="8"/>
  <c r="U112" i="8"/>
  <c r="U94" i="8"/>
  <c r="U102" i="8"/>
  <c r="U106" i="8"/>
  <c r="U115" i="8"/>
  <c r="W99" i="8"/>
  <c r="W110" i="8"/>
  <c r="W114" i="8"/>
  <c r="W93" i="8"/>
  <c r="W100" i="8"/>
  <c r="W104" i="8"/>
  <c r="W117" i="8"/>
  <c r="W96" i="8"/>
  <c r="W107" i="8"/>
  <c r="W111" i="8"/>
  <c r="W101" i="8"/>
  <c r="W105" i="8"/>
  <c r="AW110" i="8"/>
  <c r="O110" i="8"/>
  <c r="AX103" i="8"/>
  <c r="S103" i="8"/>
  <c r="AV100" i="8"/>
  <c r="AW99" i="8"/>
  <c r="O99" i="8"/>
  <c r="AW116" i="8"/>
  <c r="O116" i="8"/>
  <c r="AV114" i="8"/>
  <c r="AX113" i="8"/>
  <c r="S113" i="8"/>
  <c r="AV110" i="8"/>
  <c r="AX109" i="8"/>
  <c r="S109" i="8"/>
  <c r="AW103" i="8"/>
  <c r="O103" i="8"/>
  <c r="AV99" i="8"/>
  <c r="AX98" i="8"/>
  <c r="S98" i="8"/>
  <c r="AV116" i="8"/>
  <c r="AX115" i="8"/>
  <c r="S115" i="8"/>
  <c r="AW113" i="8"/>
  <c r="O113" i="8"/>
  <c r="AW109" i="8"/>
  <c r="O109" i="8"/>
  <c r="AX106" i="8"/>
  <c r="S106" i="8"/>
  <c r="AV103" i="8"/>
  <c r="AX102" i="8"/>
  <c r="S102" i="8"/>
  <c r="AW98" i="8"/>
  <c r="O98" i="8"/>
  <c r="AW115" i="8"/>
  <c r="O115" i="8"/>
  <c r="AV113" i="8"/>
  <c r="AX112" i="8"/>
  <c r="S112" i="8"/>
  <c r="AV109" i="8"/>
  <c r="AX108" i="8"/>
  <c r="S108" i="8"/>
  <c r="AW106" i="8"/>
  <c r="O106" i="8"/>
  <c r="AW102" i="8"/>
  <c r="O102" i="8"/>
  <c r="AX97" i="8"/>
  <c r="S97" i="8"/>
  <c r="J19" i="119"/>
  <c r="L14" i="73"/>
  <c r="BX7" i="25"/>
  <c r="BX3" i="25"/>
  <c r="CF3" i="25"/>
  <c r="CO7" i="25"/>
  <c r="C14" i="73"/>
  <c r="E36" i="73"/>
  <c r="CQ3" i="25"/>
  <c r="BM11" i="25"/>
  <c r="BX11" i="25"/>
  <c r="N25" i="73"/>
  <c r="CO3" i="25"/>
  <c r="C25" i="73"/>
  <c r="BU11" i="25"/>
  <c r="C36" i="73"/>
  <c r="N14" i="73"/>
  <c r="G36" i="73"/>
  <c r="L36" i="73"/>
  <c r="U36" i="73"/>
  <c r="CO11" i="25"/>
  <c r="O36" i="73"/>
  <c r="P36" i="73" s="1"/>
  <c r="BU3" i="25"/>
  <c r="J26" i="73"/>
  <c r="K26" i="73"/>
  <c r="H41" i="73"/>
  <c r="H42" i="73" s="1"/>
  <c r="J41" i="73"/>
  <c r="J42" i="73" s="1"/>
  <c r="H26" i="73"/>
  <c r="J15" i="73"/>
  <c r="H15" i="73"/>
  <c r="K30" i="73"/>
  <c r="K31" i="73" s="1"/>
  <c r="K15" i="73"/>
  <c r="G35" i="119"/>
  <c r="G36" i="119" s="1"/>
  <c r="H30" i="73"/>
  <c r="H31" i="73" s="1"/>
  <c r="I26" i="73"/>
  <c r="F35" i="119"/>
  <c r="F36" i="119" s="1"/>
  <c r="I30" i="73"/>
  <c r="I31" i="73" s="1"/>
  <c r="J30" i="73"/>
  <c r="J31" i="73" s="1"/>
  <c r="K41" i="73"/>
  <c r="K42" i="73" s="1"/>
  <c r="I15" i="73"/>
  <c r="I41" i="73"/>
  <c r="I42" i="73" s="1"/>
  <c r="AE6" i="25"/>
  <c r="CQ11" i="25"/>
  <c r="CF11" i="25"/>
  <c r="CQ7" i="25"/>
  <c r="CF7" i="25"/>
  <c r="E30" i="119"/>
  <c r="BU7" i="25"/>
  <c r="E25" i="73"/>
  <c r="L25" i="73"/>
  <c r="BM7" i="25"/>
  <c r="O25" i="73"/>
  <c r="BM3" i="25"/>
  <c r="E14" i="73"/>
  <c r="AZ12" i="25"/>
  <c r="W12" i="25"/>
  <c r="AD6" i="25"/>
  <c r="AL8" i="25"/>
  <c r="AM8" i="25"/>
  <c r="AI8" i="25"/>
  <c r="Z8" i="25"/>
  <c r="BF2" i="25"/>
  <c r="AT10" i="25"/>
  <c r="CB4" i="25"/>
  <c r="CD4" i="25"/>
  <c r="AN10" i="25"/>
  <c r="BR4" i="25"/>
  <c r="CA4" i="25"/>
  <c r="AO4" i="25"/>
  <c r="BB4" i="25"/>
  <c r="AP6" i="25"/>
  <c r="AT4" i="25"/>
  <c r="AW4" i="25"/>
  <c r="Y2" i="25"/>
  <c r="Y12" i="25"/>
  <c r="BF4" i="25"/>
  <c r="AK4" i="25"/>
  <c r="R10" i="25"/>
  <c r="AI10" i="25"/>
  <c r="X8" i="25"/>
  <c r="AY8" i="25"/>
  <c r="AC12" i="25"/>
  <c r="AR12" i="25"/>
  <c r="AX12" i="25"/>
  <c r="AQ8" i="25"/>
  <c r="BF8" i="25"/>
  <c r="AG8" i="25"/>
  <c r="AR6" i="25"/>
  <c r="BF6" i="25"/>
  <c r="BY4" i="25"/>
  <c r="BB6" i="25"/>
  <c r="CE4" i="25"/>
  <c r="X4" i="25"/>
  <c r="BJ4" i="25"/>
  <c r="R4" i="25"/>
  <c r="Z10" i="25"/>
  <c r="AX4" i="25"/>
  <c r="AB2" i="25"/>
  <c r="AR10" i="25"/>
  <c r="BW2" i="25"/>
  <c r="BV4" i="25"/>
  <c r="AT6" i="25"/>
  <c r="BE4" i="25"/>
  <c r="AY2" i="25"/>
  <c r="AU10" i="25"/>
  <c r="CI2" i="25"/>
  <c r="BJ10" i="25"/>
  <c r="BB12" i="25"/>
  <c r="AN2" i="25"/>
  <c r="AX2" i="25"/>
  <c r="AT2" i="25"/>
  <c r="AN12" i="25"/>
  <c r="Z12" i="25"/>
  <c r="AS8" i="25"/>
  <c r="R6" i="25"/>
  <c r="AZ6" i="25"/>
  <c r="BE6" i="25"/>
  <c r="AK8" i="25"/>
  <c r="BS4" i="25"/>
  <c r="AI4" i="25"/>
  <c r="CC2" i="25"/>
  <c r="AQ2" i="25"/>
  <c r="AR2" i="25"/>
  <c r="AJ2" i="25"/>
  <c r="BZ2" i="25"/>
  <c r="BC4" i="25"/>
  <c r="CH2" i="25"/>
  <c r="AY6" i="25"/>
  <c r="BA4" i="25"/>
  <c r="AI12" i="25"/>
  <c r="AD10" i="25"/>
  <c r="AL4" i="25"/>
  <c r="BD4" i="25"/>
  <c r="BH4" i="25"/>
  <c r="BQ4" i="25"/>
  <c r="R2" i="25"/>
  <c r="AC8" i="25"/>
  <c r="AM2" i="25"/>
  <c r="AR4" i="25"/>
  <c r="CC4" i="25"/>
  <c r="AJ12" i="25"/>
  <c r="AQ12" i="25"/>
  <c r="R8" i="25"/>
  <c r="X6" i="25"/>
  <c r="W8" i="25"/>
  <c r="AD8" i="25"/>
  <c r="AH8" i="25"/>
  <c r="X2" i="25"/>
  <c r="AV2" i="25"/>
  <c r="BB8" i="25"/>
  <c r="BG4" i="25"/>
  <c r="AU2" i="25"/>
  <c r="AD4" i="25"/>
  <c r="AV10" i="25"/>
  <c r="BP4" i="25"/>
  <c r="BE10" i="25"/>
  <c r="BP2" i="25"/>
  <c r="AO2" i="25"/>
  <c r="W10" i="25"/>
  <c r="CE2" i="25"/>
  <c r="BI4" i="25"/>
  <c r="BN4" i="25"/>
  <c r="AU6" i="25"/>
  <c r="AP4" i="25"/>
  <c r="W2" i="25"/>
  <c r="AH12" i="25"/>
  <c r="AY4" i="25"/>
  <c r="AQ6" i="25"/>
  <c r="AB12" i="25"/>
  <c r="AD12" i="25"/>
  <c r="AP12" i="25"/>
  <c r="W6" i="25"/>
  <c r="AN8" i="25"/>
  <c r="AJ8" i="25"/>
  <c r="AV8" i="25"/>
  <c r="AX8" i="25"/>
  <c r="CD2" i="25"/>
  <c r="AN4" i="25"/>
  <c r="CI4" i="25"/>
  <c r="AL12" i="25"/>
  <c r="AH2" i="25"/>
  <c r="AC4" i="25"/>
  <c r="BT4" i="25"/>
  <c r="AQ10" i="25"/>
  <c r="AX6" i="25"/>
  <c r="BT2" i="25"/>
  <c r="BZ4" i="25"/>
  <c r="AY10" i="25"/>
  <c r="BO4" i="25"/>
  <c r="Z4" i="25"/>
  <c r="BI10" i="25"/>
  <c r="BW4" i="25"/>
  <c r="AG2" i="25"/>
  <c r="AS4" i="25"/>
  <c r="AT8" i="25"/>
  <c r="AU12" i="25"/>
  <c r="AP2" i="25"/>
  <c r="X10" i="25"/>
  <c r="AZ10" i="25"/>
  <c r="AY12" i="25"/>
  <c r="BE12" i="25"/>
  <c r="AV6" i="25"/>
  <c r="AZ8" i="25"/>
  <c r="BE8" i="25"/>
  <c r="AI6" i="25"/>
  <c r="AM12" i="25"/>
  <c r="BB2" i="25"/>
  <c r="AC10" i="25"/>
  <c r="BS2" i="25"/>
  <c r="AH4" i="25"/>
  <c r="BO2" i="25"/>
  <c r="CB2" i="25"/>
  <c r="BF12" i="25"/>
  <c r="W4" i="25"/>
  <c r="AU8" i="25"/>
  <c r="BA12" i="25"/>
  <c r="AL2" i="25"/>
  <c r="AT12" i="25"/>
  <c r="AU4" i="25"/>
  <c r="AZ2" i="25"/>
  <c r="BQ2" i="25"/>
  <c r="BH10" i="25"/>
  <c r="BN2" i="25"/>
  <c r="AS2" i="25"/>
  <c r="AN6" i="25"/>
  <c r="AM10" i="25"/>
  <c r="CH4" i="25"/>
  <c r="AM4" i="25"/>
  <c r="BG10" i="25"/>
  <c r="X12" i="25"/>
  <c r="AV12" i="25"/>
  <c r="AO8" i="25"/>
  <c r="AJ6" i="25"/>
  <c r="AH6" i="25"/>
  <c r="AR8" i="25"/>
  <c r="AQ4" i="25"/>
  <c r="BY2" i="25"/>
  <c r="AM6" i="25"/>
  <c r="AJ10" i="25"/>
  <c r="AD2" i="25"/>
  <c r="AK2" i="25"/>
  <c r="AC2" i="25"/>
  <c r="Z2" i="25"/>
  <c r="AG4" i="25"/>
  <c r="BE2" i="25"/>
  <c r="AZ4" i="25"/>
  <c r="AI2" i="25"/>
  <c r="BP8" i="25"/>
  <c r="CA2" i="25"/>
  <c r="AV4" i="25"/>
  <c r="BR2" i="25"/>
  <c r="AS12" i="25"/>
  <c r="AJ4" i="25"/>
  <c r="R12" i="25"/>
  <c r="H54" i="119" l="1"/>
  <c r="H55" i="119" s="1"/>
  <c r="I54" i="119"/>
  <c r="I55" i="119" s="1"/>
  <c r="AF12" i="25"/>
  <c r="AY29" i="12"/>
  <c r="N39" i="12"/>
  <c r="AZ43" i="12"/>
  <c r="N38" i="12"/>
  <c r="N7" i="12"/>
  <c r="AZ30" i="12"/>
  <c r="AZ25" i="12"/>
  <c r="AZ22" i="12"/>
  <c r="AY43" i="12"/>
  <c r="AY30" i="12"/>
  <c r="AZ15" i="12"/>
  <c r="N15" i="12"/>
  <c r="N43" i="12"/>
  <c r="N30" i="12"/>
  <c r="AE8" i="25"/>
  <c r="AF8" i="25"/>
  <c r="I35" i="119"/>
  <c r="I36" i="119" s="1"/>
  <c r="H35" i="119"/>
  <c r="H36" i="119" s="1"/>
  <c r="I31" i="119"/>
  <c r="I32" i="119" s="1"/>
  <c r="S6" i="25"/>
  <c r="E31" i="119" s="1"/>
  <c r="E32" i="119" s="1"/>
  <c r="H31" i="119"/>
  <c r="H32" i="119" s="1"/>
  <c r="S8" i="25"/>
  <c r="E35" i="119" s="1"/>
  <c r="E36" i="119" s="1"/>
  <c r="AF6" i="25"/>
  <c r="N27" i="125"/>
  <c r="N23" i="125"/>
  <c r="AZ49" i="125"/>
  <c r="N35" i="125"/>
  <c r="AY15" i="125"/>
  <c r="N19" i="125"/>
  <c r="N44" i="125"/>
  <c r="N7" i="125"/>
  <c r="AY44" i="125"/>
  <c r="N49" i="125"/>
  <c r="AY49" i="125"/>
  <c r="AZ35" i="125"/>
  <c r="AY8" i="127"/>
  <c r="AE12" i="25"/>
  <c r="AT29" i="12"/>
  <c r="AL29" i="12"/>
  <c r="AD29" i="12"/>
  <c r="AD5" i="12"/>
  <c r="AT5" i="12"/>
  <c r="AP5" i="12"/>
  <c r="AR5" i="12"/>
  <c r="AX5" i="12"/>
  <c r="AL5" i="12"/>
  <c r="O5" i="12"/>
  <c r="P5" i="12"/>
  <c r="AJ5" i="12"/>
  <c r="AV5" i="12"/>
  <c r="AH5" i="12"/>
  <c r="AF5" i="12"/>
  <c r="BC5" i="12"/>
  <c r="DT5" i="12"/>
  <c r="AB5" i="12"/>
  <c r="P5" i="125"/>
  <c r="Q5" i="125" s="1"/>
  <c r="O5" i="125"/>
  <c r="BW5" i="127"/>
  <c r="P29" i="127"/>
  <c r="O29" i="127"/>
  <c r="BN5" i="127"/>
  <c r="CP29" i="127"/>
  <c r="DA29" i="127" s="1"/>
  <c r="AF2" i="25"/>
  <c r="I12" i="119"/>
  <c r="I13" i="119" s="1"/>
  <c r="S2" i="25"/>
  <c r="E12" i="119" s="1"/>
  <c r="E13" i="119" s="1"/>
  <c r="AE2" i="25"/>
  <c r="D15" i="73"/>
  <c r="D16" i="73" s="1"/>
  <c r="H12" i="119"/>
  <c r="H13" i="119" s="1"/>
  <c r="F15" i="73"/>
  <c r="F16" i="73" s="1"/>
  <c r="T2" i="25"/>
  <c r="U2" i="25" s="1"/>
  <c r="AZ10" i="127"/>
  <c r="AY14" i="127"/>
  <c r="N6" i="127"/>
  <c r="AZ28" i="127"/>
  <c r="F12" i="119"/>
  <c r="F13" i="119" s="1"/>
  <c r="DJ11" i="127"/>
  <c r="DH12" i="127"/>
  <c r="DI12" i="127"/>
  <c r="DF12" i="127"/>
  <c r="DG12" i="127"/>
  <c r="Q12" i="127"/>
  <c r="BM12" i="127"/>
  <c r="BN12" i="127" s="1"/>
  <c r="AT12" i="127"/>
  <c r="AY12" i="127"/>
  <c r="C15" i="73"/>
  <c r="C16" i="73" s="1"/>
  <c r="BW11" i="127"/>
  <c r="BO11" i="127"/>
  <c r="BX11" i="127" s="1"/>
  <c r="DM11" i="127" s="1"/>
  <c r="CP2" i="25"/>
  <c r="O15" i="73"/>
  <c r="O16" i="73" s="1"/>
  <c r="T15" i="73"/>
  <c r="T16" i="73" s="1"/>
  <c r="BU2" i="25"/>
  <c r="CQ2" i="25"/>
  <c r="CF2" i="25"/>
  <c r="R15" i="73"/>
  <c r="R16" i="73" s="1"/>
  <c r="E15" i="73"/>
  <c r="E16" i="73" s="1"/>
  <c r="AX5" i="127"/>
  <c r="AZ5" i="127" s="1"/>
  <c r="BH5" i="127"/>
  <c r="DJ5" i="127"/>
  <c r="CF5" i="127"/>
  <c r="S5" i="127"/>
  <c r="R5" i="127"/>
  <c r="U5" i="127"/>
  <c r="T5" i="127"/>
  <c r="AY5" i="12"/>
  <c r="N13" i="12"/>
  <c r="AZ17" i="12"/>
  <c r="N10" i="12"/>
  <c r="N5" i="12"/>
  <c r="N25" i="12"/>
  <c r="N9" i="12"/>
  <c r="AZ26" i="12"/>
  <c r="Q11" i="125"/>
  <c r="M12" i="125"/>
  <c r="N12" i="125"/>
  <c r="S12" i="25"/>
  <c r="E54" i="119" s="1"/>
  <c r="E55" i="119" s="1"/>
  <c r="F54" i="119"/>
  <c r="F55" i="119" s="1"/>
  <c r="Q29" i="12"/>
  <c r="AH29" i="12"/>
  <c r="N10" i="25"/>
  <c r="O10" i="25" s="1"/>
  <c r="D50" i="119" s="1"/>
  <c r="O6" i="25"/>
  <c r="D31" i="119" s="1"/>
  <c r="T6" i="25"/>
  <c r="U6" i="25" s="1"/>
  <c r="O2" i="25"/>
  <c r="D12" i="119" s="1"/>
  <c r="N12" i="25"/>
  <c r="T12" i="25" s="1"/>
  <c r="U12" i="25" s="1"/>
  <c r="O4" i="25"/>
  <c r="D16" i="119" s="1"/>
  <c r="D17" i="119" s="1"/>
  <c r="B80" i="123"/>
  <c r="A63" i="123"/>
  <c r="G62" i="123"/>
  <c r="B55" i="123"/>
  <c r="B27" i="123"/>
  <c r="A93" i="123"/>
  <c r="G92" i="123"/>
  <c r="A33" i="123"/>
  <c r="G32" i="123"/>
  <c r="F137" i="123"/>
  <c r="F392" i="123"/>
  <c r="G452" i="123"/>
  <c r="A453" i="123"/>
  <c r="B139" i="123"/>
  <c r="C138" i="123"/>
  <c r="E365" i="123"/>
  <c r="C164" i="123"/>
  <c r="B165" i="123"/>
  <c r="G343" i="123"/>
  <c r="A344" i="123"/>
  <c r="E479" i="123"/>
  <c r="F563" i="123"/>
  <c r="E502" i="123"/>
  <c r="B113" i="123"/>
  <c r="C112" i="123"/>
  <c r="E112" i="123" s="1"/>
  <c r="G368" i="123"/>
  <c r="A369" i="123"/>
  <c r="G139" i="123"/>
  <c r="A140" i="123"/>
  <c r="F222" i="123"/>
  <c r="G395" i="123"/>
  <c r="A396" i="123"/>
  <c r="B590" i="123"/>
  <c r="C589" i="123"/>
  <c r="F589" i="123"/>
  <c r="F393" i="123"/>
  <c r="C393" i="123"/>
  <c r="B394" i="123"/>
  <c r="B565" i="123"/>
  <c r="C564" i="123"/>
  <c r="B539" i="123"/>
  <c r="C538" i="123"/>
  <c r="F365" i="123"/>
  <c r="C480" i="123"/>
  <c r="B481" i="123"/>
  <c r="F480" i="123"/>
  <c r="C250" i="123"/>
  <c r="E250" i="123" s="1"/>
  <c r="B251" i="123"/>
  <c r="F449" i="123"/>
  <c r="A314" i="123"/>
  <c r="G313" i="123"/>
  <c r="F332" i="123"/>
  <c r="E421" i="123"/>
  <c r="B224" i="123"/>
  <c r="F223" i="123"/>
  <c r="C223" i="123"/>
  <c r="C422" i="123"/>
  <c r="B423" i="123"/>
  <c r="E538" i="123"/>
  <c r="E449" i="123"/>
  <c r="E563" i="123"/>
  <c r="A540" i="123"/>
  <c r="G539" i="123"/>
  <c r="F537" i="123"/>
  <c r="C333" i="123"/>
  <c r="B334" i="123"/>
  <c r="F333" i="123"/>
  <c r="A593" i="123"/>
  <c r="G592" i="123"/>
  <c r="F249" i="123"/>
  <c r="A482" i="123"/>
  <c r="G481" i="123"/>
  <c r="C281" i="123"/>
  <c r="B282" i="123"/>
  <c r="A255" i="123"/>
  <c r="G254" i="123"/>
  <c r="E111" i="123"/>
  <c r="A423" i="123"/>
  <c r="G422" i="123"/>
  <c r="B308" i="123"/>
  <c r="C307" i="123"/>
  <c r="G566" i="123"/>
  <c r="A567" i="123"/>
  <c r="C366" i="123"/>
  <c r="B367" i="123"/>
  <c r="F366" i="123"/>
  <c r="F479" i="123"/>
  <c r="A231" i="123"/>
  <c r="G230" i="123"/>
  <c r="F421" i="123"/>
  <c r="F422" i="123"/>
  <c r="A168" i="123"/>
  <c r="G167" i="123"/>
  <c r="F195" i="123"/>
  <c r="C450" i="123"/>
  <c r="E450" i="123" s="1"/>
  <c r="B451" i="123"/>
  <c r="F450" i="123"/>
  <c r="E222" i="123"/>
  <c r="E164" i="123"/>
  <c r="C196" i="123"/>
  <c r="B197" i="123"/>
  <c r="E137" i="123"/>
  <c r="A214" i="123"/>
  <c r="G214" i="123" s="1"/>
  <c r="G213" i="123"/>
  <c r="G286" i="123"/>
  <c r="A287" i="123"/>
  <c r="E564" i="123"/>
  <c r="A114" i="123"/>
  <c r="G113" i="123"/>
  <c r="E537" i="123"/>
  <c r="B504" i="123"/>
  <c r="C503" i="123"/>
  <c r="A506" i="123"/>
  <c r="G505" i="123"/>
  <c r="E195" i="123"/>
  <c r="F163" i="123"/>
  <c r="S10" i="25"/>
  <c r="E50" i="119" s="1"/>
  <c r="E51" i="119" s="1"/>
  <c r="S4" i="25"/>
  <c r="E16" i="119" s="1"/>
  <c r="E17" i="119" s="1"/>
  <c r="AY147" i="8"/>
  <c r="AY145" i="8"/>
  <c r="AY146" i="8"/>
  <c r="AL145" i="8"/>
  <c r="AL146" i="8"/>
  <c r="CN12" i="125"/>
  <c r="AM119" i="8"/>
  <c r="AF146" i="8"/>
  <c r="AF145" i="8"/>
  <c r="AN119" i="8"/>
  <c r="CQ12" i="125" s="1"/>
  <c r="AR147" i="8"/>
  <c r="AR146" i="8"/>
  <c r="AR145" i="8"/>
  <c r="CU11" i="125"/>
  <c r="AR119" i="8"/>
  <c r="AF119" i="8"/>
  <c r="AG145" i="8"/>
  <c r="AG146" i="8"/>
  <c r="AL119" i="8"/>
  <c r="AP146" i="8"/>
  <c r="AP145" i="8"/>
  <c r="AP147" i="8"/>
  <c r="AG119" i="8"/>
  <c r="AJ146" i="8"/>
  <c r="AJ145" i="8"/>
  <c r="AH146" i="8"/>
  <c r="AH145" i="8"/>
  <c r="AM145" i="8"/>
  <c r="AM146" i="8"/>
  <c r="AN145" i="8"/>
  <c r="AH119" i="8"/>
  <c r="AI145" i="8"/>
  <c r="AI146" i="8"/>
  <c r="AT119" i="8"/>
  <c r="AI119" i="8"/>
  <c r="AP119" i="8"/>
  <c r="CS12" i="125" s="1"/>
  <c r="AK145" i="8"/>
  <c r="AK146" i="8"/>
  <c r="Y65" i="8"/>
  <c r="Y119" i="8"/>
  <c r="BY5" i="125" s="1"/>
  <c r="K119" i="8"/>
  <c r="I119" i="8"/>
  <c r="H119" i="8"/>
  <c r="G119" i="8"/>
  <c r="K146" i="8"/>
  <c r="K145" i="8"/>
  <c r="BM29" i="12" s="1"/>
  <c r="G146" i="8"/>
  <c r="G145" i="8"/>
  <c r="H146" i="8"/>
  <c r="C145" i="8"/>
  <c r="C67" i="8"/>
  <c r="C66" i="8"/>
  <c r="C119" i="8"/>
  <c r="C120" i="8"/>
  <c r="CQ5" i="125"/>
  <c r="CQ29" i="125"/>
  <c r="AN66" i="8"/>
  <c r="AT65" i="8"/>
  <c r="CQ11" i="125"/>
  <c r="AI40" i="8"/>
  <c r="AH40" i="8"/>
  <c r="AG40" i="8"/>
  <c r="AF40" i="8"/>
  <c r="AM40" i="8"/>
  <c r="AL40" i="8"/>
  <c r="G40" i="8"/>
  <c r="AK40" i="8"/>
  <c r="K40" i="8"/>
  <c r="K120" i="8" s="1"/>
  <c r="AJ40" i="8"/>
  <c r="I40" i="8"/>
  <c r="H40" i="8"/>
  <c r="Z4" i="8"/>
  <c r="AS5" i="8"/>
  <c r="AS40" i="8" s="1"/>
  <c r="AS13" i="8"/>
  <c r="AS93" i="8" s="1"/>
  <c r="AU6" i="8"/>
  <c r="AU39" i="8"/>
  <c r="AI41" i="8"/>
  <c r="AH41" i="8"/>
  <c r="AG41" i="8"/>
  <c r="AF41" i="8"/>
  <c r="AM41" i="8"/>
  <c r="AL41" i="8"/>
  <c r="I41" i="8"/>
  <c r="AK41" i="8"/>
  <c r="H41" i="8"/>
  <c r="AJ41" i="8"/>
  <c r="G41" i="8"/>
  <c r="K41" i="8"/>
  <c r="J5" i="8"/>
  <c r="I6" i="8"/>
  <c r="B68" i="8"/>
  <c r="AI67" i="8"/>
  <c r="AH67" i="8"/>
  <c r="AG67" i="8"/>
  <c r="AF67" i="8"/>
  <c r="AM67" i="8"/>
  <c r="AL67" i="8"/>
  <c r="AK67" i="8"/>
  <c r="AJ67" i="8"/>
  <c r="AJ147" i="8" s="1"/>
  <c r="K67" i="8"/>
  <c r="I67" i="8"/>
  <c r="H67" i="8"/>
  <c r="H147" i="8" s="1"/>
  <c r="G67" i="8"/>
  <c r="D4" i="8"/>
  <c r="K174" i="8"/>
  <c r="AI14" i="8"/>
  <c r="AH14" i="8"/>
  <c r="AG14" i="8"/>
  <c r="AG94" i="8" s="1"/>
  <c r="AF14" i="8"/>
  <c r="AM14" i="8"/>
  <c r="AL14" i="8"/>
  <c r="K14" i="8"/>
  <c r="K94" i="8" s="1"/>
  <c r="J14" i="8"/>
  <c r="I14" i="8"/>
  <c r="H14" i="8"/>
  <c r="G14" i="8"/>
  <c r="AK14" i="8"/>
  <c r="AJ14" i="8"/>
  <c r="AQ5" i="8"/>
  <c r="AQ40" i="8" s="1"/>
  <c r="AQ13" i="8"/>
  <c r="AQ93" i="8" s="1"/>
  <c r="P14" i="73"/>
  <c r="Q14" i="73" s="1"/>
  <c r="J37" i="73"/>
  <c r="J38" i="73" s="1"/>
  <c r="J44" i="73" s="1"/>
  <c r="K37" i="73"/>
  <c r="K38" i="73" s="1"/>
  <c r="K44" i="73" s="1"/>
  <c r="I50" i="119"/>
  <c r="I51" i="119" s="1"/>
  <c r="AE10" i="25"/>
  <c r="H50" i="119"/>
  <c r="H51" i="119" s="1"/>
  <c r="AF10" i="25"/>
  <c r="I37" i="73"/>
  <c r="I38" i="73" s="1"/>
  <c r="I44" i="73" s="1"/>
  <c r="H37" i="73"/>
  <c r="H38" i="73" s="1"/>
  <c r="H44" i="73" s="1"/>
  <c r="AT29" i="125"/>
  <c r="AY29" i="125"/>
  <c r="AX29" i="125"/>
  <c r="Y40" i="8"/>
  <c r="AP40" i="8"/>
  <c r="AU40" i="8"/>
  <c r="AN40" i="8"/>
  <c r="AY40" i="8"/>
  <c r="AR40" i="8"/>
  <c r="AT40" i="8"/>
  <c r="AP11" i="125"/>
  <c r="AY11" i="125"/>
  <c r="AL12" i="125"/>
  <c r="AZ12" i="125" s="1"/>
  <c r="AT12" i="125"/>
  <c r="N11" i="25"/>
  <c r="T11" i="25" s="1"/>
  <c r="U11" i="25" s="1"/>
  <c r="AX5" i="125"/>
  <c r="AY5" i="125"/>
  <c r="N3" i="25"/>
  <c r="T3" i="25" s="1"/>
  <c r="U3" i="25" s="1"/>
  <c r="CN5" i="125"/>
  <c r="CN11" i="125"/>
  <c r="CN29" i="125"/>
  <c r="I16" i="73"/>
  <c r="J27" i="73"/>
  <c r="J33" i="73" s="1"/>
  <c r="BP12" i="125"/>
  <c r="BP11" i="125"/>
  <c r="BP29" i="125"/>
  <c r="G202" i="122"/>
  <c r="U241" i="122"/>
  <c r="AB202" i="122"/>
  <c r="I202" i="122"/>
  <c r="S241" i="122"/>
  <c r="Z202" i="122"/>
  <c r="E202" i="122"/>
  <c r="O202" i="122"/>
  <c r="F241" i="122"/>
  <c r="M202" i="122"/>
  <c r="W241" i="122"/>
  <c r="D241" i="122"/>
  <c r="AB241" i="122"/>
  <c r="Q241" i="122"/>
  <c r="J241" i="122"/>
  <c r="Q202" i="122"/>
  <c r="AA241" i="122"/>
  <c r="H241" i="122"/>
  <c r="K202" i="122"/>
  <c r="H202" i="122"/>
  <c r="N241" i="122"/>
  <c r="U202" i="122"/>
  <c r="F202" i="122"/>
  <c r="L241" i="122"/>
  <c r="V202" i="122"/>
  <c r="AA202" i="122"/>
  <c r="L202" i="122"/>
  <c r="R241" i="122"/>
  <c r="Y202" i="122"/>
  <c r="J202" i="122"/>
  <c r="P241" i="122"/>
  <c r="Y241" i="122"/>
  <c r="M241" i="122"/>
  <c r="P202" i="122"/>
  <c r="V241" i="122"/>
  <c r="G241" i="122"/>
  <c r="N202" i="122"/>
  <c r="T241" i="122"/>
  <c r="E241" i="122"/>
  <c r="O241" i="122"/>
  <c r="I241" i="122"/>
  <c r="S202" i="122"/>
  <c r="T202" i="122"/>
  <c r="Z241" i="122"/>
  <c r="K241" i="122"/>
  <c r="R202" i="122"/>
  <c r="X241" i="122"/>
  <c r="W202" i="122"/>
  <c r="X202" i="122"/>
  <c r="CL11" i="12"/>
  <c r="CK5" i="12"/>
  <c r="CY29" i="12"/>
  <c r="CQ5" i="12"/>
  <c r="CI29" i="12"/>
  <c r="CG11" i="12"/>
  <c r="CJ29" i="12"/>
  <c r="CH11" i="12"/>
  <c r="CU29" i="12"/>
  <c r="CU5" i="125"/>
  <c r="CU29" i="125"/>
  <c r="CU12" i="125"/>
  <c r="CH29" i="125"/>
  <c r="CH11" i="125"/>
  <c r="CH5" i="125"/>
  <c r="CH12" i="125"/>
  <c r="BT12" i="12"/>
  <c r="BT29" i="12"/>
  <c r="BT5" i="12"/>
  <c r="BT11" i="12"/>
  <c r="CY5" i="12"/>
  <c r="BR12" i="12"/>
  <c r="BS5" i="12"/>
  <c r="BS12" i="12"/>
  <c r="BS11" i="12"/>
  <c r="BS29" i="12"/>
  <c r="CZ5" i="12"/>
  <c r="CZ29" i="12"/>
  <c r="CZ12" i="12"/>
  <c r="CZ11" i="12"/>
  <c r="BV5" i="125"/>
  <c r="BV29" i="125"/>
  <c r="BV11" i="125"/>
  <c r="BV12" i="125"/>
  <c r="CJ29" i="125"/>
  <c r="CJ12" i="125"/>
  <c r="CJ11" i="125"/>
  <c r="CJ5" i="125"/>
  <c r="BR12" i="125"/>
  <c r="BR5" i="125"/>
  <c r="BQ29" i="125"/>
  <c r="BQ5" i="125"/>
  <c r="BQ11" i="125"/>
  <c r="BQ12" i="125"/>
  <c r="CY29" i="125"/>
  <c r="CY11" i="125"/>
  <c r="CY5" i="125"/>
  <c r="CY12" i="125"/>
  <c r="BR11" i="125"/>
  <c r="CK11" i="125"/>
  <c r="CK29" i="125"/>
  <c r="CK5" i="125"/>
  <c r="CK12" i="125"/>
  <c r="CI5" i="125"/>
  <c r="CI11" i="125"/>
  <c r="CI29" i="125"/>
  <c r="CI12" i="125"/>
  <c r="K27" i="73"/>
  <c r="K33" i="73" s="1"/>
  <c r="I27" i="73"/>
  <c r="I33" i="73" s="1"/>
  <c r="J16" i="73"/>
  <c r="BP12" i="12"/>
  <c r="BQ11" i="12"/>
  <c r="BQ12" i="12"/>
  <c r="BQ29" i="12"/>
  <c r="BQ5" i="12"/>
  <c r="BP5" i="12"/>
  <c r="H27" i="73"/>
  <c r="H33" i="73" s="1"/>
  <c r="DD11" i="125"/>
  <c r="DE11" i="125" s="1"/>
  <c r="DD5" i="125"/>
  <c r="DD12" i="125"/>
  <c r="DE12" i="125" s="1"/>
  <c r="DD29" i="125"/>
  <c r="H16" i="73"/>
  <c r="CG29" i="125"/>
  <c r="CG11" i="125"/>
  <c r="CG12" i="125"/>
  <c r="CG5" i="125"/>
  <c r="V15" i="73"/>
  <c r="V16" i="73" s="1"/>
  <c r="CS11" i="12"/>
  <c r="CS29" i="12"/>
  <c r="CS5" i="12"/>
  <c r="CS12" i="12"/>
  <c r="K16" i="73"/>
  <c r="AF4" i="25"/>
  <c r="AE4" i="25"/>
  <c r="BU4" i="25"/>
  <c r="C19" i="73"/>
  <c r="C20" i="73" s="1"/>
  <c r="D19" i="73"/>
  <c r="D20" i="73" s="1"/>
  <c r="K19" i="73"/>
  <c r="K20" i="73" s="1"/>
  <c r="L16" i="119"/>
  <c r="L17" i="119" s="1"/>
  <c r="H16" i="119"/>
  <c r="H17" i="119" s="1"/>
  <c r="BX4" i="25"/>
  <c r="N19" i="73"/>
  <c r="N20" i="73" s="1"/>
  <c r="I16" i="119"/>
  <c r="I17" i="119" s="1"/>
  <c r="J19" i="73"/>
  <c r="J20" i="73" s="1"/>
  <c r="CP4" i="25"/>
  <c r="O19" i="73"/>
  <c r="O20" i="73" s="1"/>
  <c r="F19" i="73"/>
  <c r="F20" i="73" s="1"/>
  <c r="R19" i="73"/>
  <c r="R20" i="73" s="1"/>
  <c r="T19" i="73"/>
  <c r="T20" i="73" s="1"/>
  <c r="K16" i="119"/>
  <c r="K17" i="119" s="1"/>
  <c r="E19" i="73"/>
  <c r="E20" i="73" s="1"/>
  <c r="I19" i="73"/>
  <c r="I20" i="73" s="1"/>
  <c r="H19" i="73"/>
  <c r="H20" i="73" s="1"/>
  <c r="V19" i="73"/>
  <c r="V20" i="73" s="1"/>
  <c r="CF4" i="25"/>
  <c r="CQ4" i="25"/>
  <c r="D35" i="119"/>
  <c r="D36" i="119" s="1"/>
  <c r="T8" i="25"/>
  <c r="U8" i="25" s="1"/>
  <c r="T4" i="25"/>
  <c r="U4" i="25" s="1"/>
  <c r="AJ93" i="8"/>
  <c r="AH93" i="8"/>
  <c r="G93" i="8"/>
  <c r="CW11" i="125"/>
  <c r="CW29" i="125"/>
  <c r="CW5" i="125"/>
  <c r="CW12" i="125"/>
  <c r="AR41" i="8"/>
  <c r="AN41" i="8"/>
  <c r="Y41" i="8"/>
  <c r="AT41" i="8"/>
  <c r="C41" i="8"/>
  <c r="AP41" i="8"/>
  <c r="AY41" i="8"/>
  <c r="B42" i="8"/>
  <c r="AU41" i="8"/>
  <c r="AS41" i="8"/>
  <c r="AQ41" i="8"/>
  <c r="BU12" i="12"/>
  <c r="BU11" i="12"/>
  <c r="BU29" i="12"/>
  <c r="BU5" i="12"/>
  <c r="I93" i="8"/>
  <c r="AR93" i="8"/>
  <c r="AP93" i="8"/>
  <c r="BT12" i="125"/>
  <c r="BT5" i="125"/>
  <c r="BT29" i="125"/>
  <c r="BT11" i="125"/>
  <c r="N7" i="25"/>
  <c r="O7" i="25" s="1"/>
  <c r="CZ5" i="125"/>
  <c r="CZ12" i="125"/>
  <c r="CZ29" i="125"/>
  <c r="CZ11" i="125"/>
  <c r="AM93" i="8"/>
  <c r="AI93" i="8"/>
  <c r="AF93" i="8"/>
  <c r="CM29" i="125"/>
  <c r="CM5" i="125"/>
  <c r="CM12" i="125"/>
  <c r="CM11" i="125"/>
  <c r="AG93" i="8"/>
  <c r="J93" i="8"/>
  <c r="BS12" i="125"/>
  <c r="BS29" i="125"/>
  <c r="BS11" i="125"/>
  <c r="BS5" i="125"/>
  <c r="AU14" i="8"/>
  <c r="AN14" i="8"/>
  <c r="AP14" i="8"/>
  <c r="AY14" i="8"/>
  <c r="AT14" i="8"/>
  <c r="AT94" i="8" s="1"/>
  <c r="AR14" i="8"/>
  <c r="B15" i="8"/>
  <c r="C14" i="8"/>
  <c r="C94" i="8" s="1"/>
  <c r="Y14" i="8"/>
  <c r="Y94" i="8" s="1"/>
  <c r="AH94" i="8"/>
  <c r="I94" i="8"/>
  <c r="Z14" i="8"/>
  <c r="AQ14" i="8"/>
  <c r="AS14" i="8"/>
  <c r="C93" i="8"/>
  <c r="AN93" i="8"/>
  <c r="Y93" i="8"/>
  <c r="K93" i="8"/>
  <c r="BV12" i="12"/>
  <c r="BV11" i="12"/>
  <c r="BV5" i="12"/>
  <c r="BV29" i="12"/>
  <c r="BU12" i="125"/>
  <c r="BU11" i="125"/>
  <c r="BU5" i="125"/>
  <c r="BU29" i="125"/>
  <c r="AT93" i="8"/>
  <c r="CL11" i="125"/>
  <c r="CL12" i="125"/>
  <c r="CL5" i="125"/>
  <c r="CL29" i="125"/>
  <c r="CM11" i="25"/>
  <c r="Q36" i="73"/>
  <c r="CG11" i="25"/>
  <c r="CL11" i="25" s="1"/>
  <c r="M36" i="73"/>
  <c r="M25" i="73"/>
  <c r="P25" i="73"/>
  <c r="CM3" i="25"/>
  <c r="CG3" i="25"/>
  <c r="CG7" i="25"/>
  <c r="CM7" i="25"/>
  <c r="M14" i="73"/>
  <c r="BC12" i="25"/>
  <c r="Y4" i="25"/>
  <c r="BS8" i="25"/>
  <c r="BC10" i="25"/>
  <c r="BO6" i="25"/>
  <c r="BV2" i="25"/>
  <c r="BO12" i="25"/>
  <c r="BN6" i="25"/>
  <c r="BP6" i="25"/>
  <c r="AO12" i="25"/>
  <c r="BR8" i="25"/>
  <c r="AL10" i="25"/>
  <c r="AK12" i="25"/>
  <c r="BC8" i="25"/>
  <c r="AW8" i="25"/>
  <c r="BO10" i="25"/>
  <c r="CA6" i="25"/>
  <c r="AW10" i="25"/>
  <c r="Z6" i="25"/>
  <c r="CH6" i="25"/>
  <c r="AW6" i="25"/>
  <c r="BN8" i="25"/>
  <c r="BR12" i="25"/>
  <c r="AG12" i="25"/>
  <c r="AS10" i="25"/>
  <c r="AW2" i="25"/>
  <c r="BT8" i="25"/>
  <c r="AX10" i="25"/>
  <c r="BC2" i="25"/>
  <c r="CA12" i="25"/>
  <c r="BQ8" i="25"/>
  <c r="AO10" i="25"/>
  <c r="BA6" i="25"/>
  <c r="AS6" i="25"/>
  <c r="AW12" i="25"/>
  <c r="BS6" i="25"/>
  <c r="BQ6" i="25"/>
  <c r="BS10" i="25"/>
  <c r="BT12" i="25"/>
  <c r="BK2" i="25"/>
  <c r="CE6" i="25"/>
  <c r="CA8" i="25"/>
  <c r="BA8" i="25"/>
  <c r="CC6" i="25"/>
  <c r="BT6" i="25"/>
  <c r="Y10" i="25"/>
  <c r="AK10" i="25"/>
  <c r="AB4" i="25"/>
  <c r="BT10" i="25"/>
  <c r="BS12" i="25"/>
  <c r="BL2" i="25"/>
  <c r="AA2" i="25"/>
  <c r="BO8" i="25"/>
  <c r="AP10" i="25"/>
  <c r="BR10" i="25"/>
  <c r="BC6" i="25"/>
  <c r="BR6" i="25"/>
  <c r="CE12" i="25"/>
  <c r="AB10" i="25"/>
  <c r="CH8" i="25"/>
  <c r="AO6" i="25"/>
  <c r="BQ10" i="25"/>
  <c r="BQ12" i="25"/>
  <c r="AG10" i="25"/>
  <c r="AA12" i="25"/>
  <c r="BF10" i="25"/>
  <c r="AH10" i="25"/>
  <c r="CC8" i="25"/>
  <c r="BB10" i="25"/>
  <c r="BA2" i="25"/>
  <c r="CE8" i="25"/>
  <c r="BA10" i="25"/>
  <c r="I57" i="119" l="1"/>
  <c r="C54" i="101" s="1"/>
  <c r="D54" i="101" s="1"/>
  <c r="H38" i="119"/>
  <c r="C34" i="101" s="1"/>
  <c r="D34" i="101" s="1"/>
  <c r="H57" i="119"/>
  <c r="C55" i="101" s="1"/>
  <c r="D55" i="101" s="1"/>
  <c r="I38" i="119"/>
  <c r="C33" i="101" s="1"/>
  <c r="D33" i="101" s="1"/>
  <c r="E38" i="119"/>
  <c r="C44" i="101" s="1"/>
  <c r="K54" i="119"/>
  <c r="K55" i="119" s="1"/>
  <c r="F50" i="119"/>
  <c r="F51" i="119" s="1"/>
  <c r="F57" i="119" s="1"/>
  <c r="C60" i="119" s="1"/>
  <c r="Q5" i="12"/>
  <c r="AZ5" i="12"/>
  <c r="U5" i="125"/>
  <c r="T5" i="125"/>
  <c r="S5" i="125"/>
  <c r="R5" i="125"/>
  <c r="T10" i="25"/>
  <c r="U10" i="25" s="1"/>
  <c r="F16" i="119"/>
  <c r="F17" i="119" s="1"/>
  <c r="F19" i="119" s="1"/>
  <c r="C11" i="101" s="1"/>
  <c r="D11" i="101" s="1"/>
  <c r="DG29" i="127"/>
  <c r="DI29" i="127"/>
  <c r="Q29" i="127"/>
  <c r="DH29" i="127"/>
  <c r="BM29" i="127"/>
  <c r="DF29" i="127"/>
  <c r="DJ29" i="127" s="1"/>
  <c r="BH29" i="127"/>
  <c r="BN29" i="127"/>
  <c r="E57" i="119"/>
  <c r="C65" i="101" s="1"/>
  <c r="CO2" i="25"/>
  <c r="L15" i="73"/>
  <c r="L16" i="73" s="1"/>
  <c r="G12" i="119"/>
  <c r="G13" i="119" s="1"/>
  <c r="BO12" i="127"/>
  <c r="BX12" i="127" s="1"/>
  <c r="DN11" i="127"/>
  <c r="U12" i="127"/>
  <c r="R12" i="127"/>
  <c r="S12" i="127"/>
  <c r="T12" i="127"/>
  <c r="DJ12" i="127"/>
  <c r="K12" i="119"/>
  <c r="K13" i="119" s="1"/>
  <c r="K19" i="119" s="1"/>
  <c r="C23" i="119" s="1"/>
  <c r="AZ12" i="127"/>
  <c r="DL11" i="127"/>
  <c r="DK11" i="127"/>
  <c r="G15" i="73"/>
  <c r="BM2" i="25"/>
  <c r="BX2" i="25"/>
  <c r="N15" i="73"/>
  <c r="U15" i="73"/>
  <c r="U16" i="73" s="1"/>
  <c r="BO5" i="127"/>
  <c r="BX5" i="127" s="1"/>
  <c r="DM5" i="127" s="1"/>
  <c r="CP5" i="127"/>
  <c r="DA5" i="127" s="1"/>
  <c r="K50" i="119"/>
  <c r="K51" i="119" s="1"/>
  <c r="K57" i="119" s="1"/>
  <c r="C61" i="119" s="1"/>
  <c r="O12" i="125"/>
  <c r="P12" i="125"/>
  <c r="T11" i="125"/>
  <c r="R11" i="125"/>
  <c r="U11" i="125"/>
  <c r="S11" i="125"/>
  <c r="G54" i="119"/>
  <c r="G55" i="119" s="1"/>
  <c r="T29" i="12"/>
  <c r="S29" i="12"/>
  <c r="R29" i="12"/>
  <c r="U29" i="12"/>
  <c r="AZ29" i="12"/>
  <c r="O3" i="25"/>
  <c r="D11" i="119" s="1"/>
  <c r="D13" i="119" s="1"/>
  <c r="D19" i="119" s="1"/>
  <c r="O12" i="25"/>
  <c r="D54" i="119" s="1"/>
  <c r="D55" i="119" s="1"/>
  <c r="O11" i="25"/>
  <c r="D49" i="119" s="1"/>
  <c r="D51" i="119" s="1"/>
  <c r="B81" i="123"/>
  <c r="B56" i="123"/>
  <c r="A94" i="123"/>
  <c r="G93" i="123"/>
  <c r="A64" i="123"/>
  <c r="G63" i="123"/>
  <c r="A34" i="123"/>
  <c r="G33" i="123"/>
  <c r="B28" i="123"/>
  <c r="E281" i="123"/>
  <c r="E223" i="123"/>
  <c r="F250" i="123"/>
  <c r="F538" i="123"/>
  <c r="B114" i="123"/>
  <c r="C113" i="123"/>
  <c r="G344" i="123"/>
  <c r="A345" i="123"/>
  <c r="B140" i="123"/>
  <c r="C139" i="123"/>
  <c r="E139" i="123" s="1"/>
  <c r="A454" i="123"/>
  <c r="G453" i="123"/>
  <c r="E113" i="123"/>
  <c r="E503" i="123"/>
  <c r="C451" i="123"/>
  <c r="E451" i="123" s="1"/>
  <c r="B452" i="123"/>
  <c r="G593" i="123"/>
  <c r="A594" i="123"/>
  <c r="F139" i="123"/>
  <c r="G482" i="123"/>
  <c r="A483" i="123"/>
  <c r="A288" i="123"/>
  <c r="G287" i="123"/>
  <c r="F197" i="123"/>
  <c r="C197" i="123"/>
  <c r="E197" i="123" s="1"/>
  <c r="B198" i="123"/>
  <c r="F307" i="123"/>
  <c r="A541" i="123"/>
  <c r="G540" i="123"/>
  <c r="F564" i="123"/>
  <c r="B591" i="123"/>
  <c r="C590" i="123"/>
  <c r="E590" i="123" s="1"/>
  <c r="F590" i="123"/>
  <c r="B540" i="123"/>
  <c r="C539" i="123"/>
  <c r="F539" i="123"/>
  <c r="E589" i="123"/>
  <c r="F164" i="123"/>
  <c r="F503" i="123"/>
  <c r="E196" i="123"/>
  <c r="E307" i="123"/>
  <c r="E308" i="123"/>
  <c r="B335" i="123"/>
  <c r="C334" i="123"/>
  <c r="A315" i="123"/>
  <c r="G314" i="123"/>
  <c r="C394" i="123"/>
  <c r="E394" i="123" s="1"/>
  <c r="B395" i="123"/>
  <c r="A397" i="123"/>
  <c r="G396" i="123"/>
  <c r="G140" i="123"/>
  <c r="A141" i="123"/>
  <c r="A370" i="123"/>
  <c r="G369" i="123"/>
  <c r="F138" i="123"/>
  <c r="F196" i="123"/>
  <c r="C224" i="123"/>
  <c r="B225" i="123"/>
  <c r="G114" i="123"/>
  <c r="A115" i="123"/>
  <c r="C367" i="123"/>
  <c r="E367" i="123" s="1"/>
  <c r="B368" i="123"/>
  <c r="B309" i="123"/>
  <c r="C308" i="123"/>
  <c r="A256" i="123"/>
  <c r="G255" i="123"/>
  <c r="C423" i="123"/>
  <c r="E423" i="123" s="1"/>
  <c r="B424" i="123"/>
  <c r="C481" i="123"/>
  <c r="B482" i="123"/>
  <c r="C565" i="123"/>
  <c r="B566" i="123"/>
  <c r="E393" i="123"/>
  <c r="E504" i="123"/>
  <c r="B505" i="123"/>
  <c r="C504" i="123"/>
  <c r="G506" i="123"/>
  <c r="A507" i="123"/>
  <c r="G168" i="123"/>
  <c r="A169" i="123"/>
  <c r="E366" i="123"/>
  <c r="F281" i="123"/>
  <c r="E480" i="123"/>
  <c r="E481" i="123"/>
  <c r="E333" i="123"/>
  <c r="F112" i="123"/>
  <c r="C165" i="123"/>
  <c r="E165" i="123" s="1"/>
  <c r="B166" i="123"/>
  <c r="E138" i="123"/>
  <c r="G231" i="123"/>
  <c r="A232" i="123"/>
  <c r="G567" i="123"/>
  <c r="A568" i="123"/>
  <c r="A424" i="123"/>
  <c r="G423" i="123"/>
  <c r="B283" i="123"/>
  <c r="C282" i="123"/>
  <c r="E282" i="123" s="1"/>
  <c r="E422" i="123"/>
  <c r="F251" i="123"/>
  <c r="B252" i="123"/>
  <c r="C251" i="123"/>
  <c r="AY121" i="8"/>
  <c r="AY120" i="8"/>
  <c r="AK120" i="8"/>
  <c r="AK121" i="8"/>
  <c r="AP120" i="8"/>
  <c r="AG148" i="8"/>
  <c r="AR121" i="8"/>
  <c r="AN121" i="8"/>
  <c r="AT147" i="8"/>
  <c r="AT145" i="8"/>
  <c r="CW12" i="12" s="1"/>
  <c r="AT146" i="8"/>
  <c r="AI120" i="8"/>
  <c r="AN147" i="8"/>
  <c r="CS5" i="125"/>
  <c r="AT121" i="8"/>
  <c r="AH121" i="8"/>
  <c r="AN120" i="8"/>
  <c r="CS29" i="125"/>
  <c r="AG120" i="8"/>
  <c r="AL121" i="8"/>
  <c r="CS11" i="125"/>
  <c r="AK147" i="8"/>
  <c r="AT120" i="8"/>
  <c r="AH120" i="8"/>
  <c r="AF121" i="8"/>
  <c r="AI147" i="8"/>
  <c r="AM147" i="8"/>
  <c r="AH147" i="8"/>
  <c r="AL120" i="8"/>
  <c r="AR120" i="8"/>
  <c r="AM121" i="8"/>
  <c r="AJ121" i="8"/>
  <c r="AJ120" i="8"/>
  <c r="AP121" i="8"/>
  <c r="AI121" i="8"/>
  <c r="AN146" i="8"/>
  <c r="AG121" i="8"/>
  <c r="AG147" i="8"/>
  <c r="AF120" i="8"/>
  <c r="AF147" i="8"/>
  <c r="AM120" i="8"/>
  <c r="AU121" i="8"/>
  <c r="AU120" i="8"/>
  <c r="AU119" i="8"/>
  <c r="AL147" i="8"/>
  <c r="BY11" i="125"/>
  <c r="Y120" i="8"/>
  <c r="BY29" i="125"/>
  <c r="Y121" i="8"/>
  <c r="BY12" i="125"/>
  <c r="Y146" i="8"/>
  <c r="Y147" i="8"/>
  <c r="Y145" i="8"/>
  <c r="BY5" i="12" s="1"/>
  <c r="H121" i="8"/>
  <c r="I121" i="8"/>
  <c r="G121" i="8"/>
  <c r="K121" i="8"/>
  <c r="H120" i="8"/>
  <c r="I120" i="8"/>
  <c r="G120" i="8"/>
  <c r="K147" i="8"/>
  <c r="G147" i="8"/>
  <c r="C146" i="8"/>
  <c r="C147" i="8"/>
  <c r="C121" i="8"/>
  <c r="CU5" i="12"/>
  <c r="CU11" i="12"/>
  <c r="CU12" i="12"/>
  <c r="CL29" i="12"/>
  <c r="I22" i="73"/>
  <c r="CG5" i="12"/>
  <c r="D22" i="73"/>
  <c r="O22" i="73"/>
  <c r="R22" i="73"/>
  <c r="D5" i="8"/>
  <c r="D13" i="8"/>
  <c r="D93" i="8" s="1"/>
  <c r="D14" i="8"/>
  <c r="CY12" i="12"/>
  <c r="J6" i="8"/>
  <c r="J39" i="8"/>
  <c r="CY11" i="12"/>
  <c r="J40" i="8"/>
  <c r="AI15" i="8"/>
  <c r="AH15" i="8"/>
  <c r="AH95" i="8" s="1"/>
  <c r="AG15" i="8"/>
  <c r="AG95" i="8" s="1"/>
  <c r="AF15" i="8"/>
  <c r="AM15" i="8"/>
  <c r="AL15" i="8"/>
  <c r="G15" i="8"/>
  <c r="AK15" i="8"/>
  <c r="AK95" i="8" s="1"/>
  <c r="K15" i="8"/>
  <c r="AJ15" i="8"/>
  <c r="AJ95" i="8" s="1"/>
  <c r="J15" i="8"/>
  <c r="J95" i="8" s="1"/>
  <c r="I15" i="8"/>
  <c r="H15" i="8"/>
  <c r="H95" i="8" s="1"/>
  <c r="AI42" i="8"/>
  <c r="AH42" i="8"/>
  <c r="AG42" i="8"/>
  <c r="AF42" i="8"/>
  <c r="AM42" i="8"/>
  <c r="AL42" i="8"/>
  <c r="AK42" i="8"/>
  <c r="AJ42" i="8"/>
  <c r="K42" i="8"/>
  <c r="J42" i="8"/>
  <c r="I42" i="8"/>
  <c r="H42" i="8"/>
  <c r="G42" i="8"/>
  <c r="B69" i="8"/>
  <c r="AI68" i="8"/>
  <c r="AI148" i="8" s="1"/>
  <c r="AH68" i="8"/>
  <c r="AG68" i="8"/>
  <c r="AF68" i="8"/>
  <c r="AM68" i="8"/>
  <c r="AM148" i="8" s="1"/>
  <c r="AL68" i="8"/>
  <c r="H68" i="8"/>
  <c r="G68" i="8"/>
  <c r="K68" i="8"/>
  <c r="AK68" i="8"/>
  <c r="J68" i="8"/>
  <c r="I68" i="8"/>
  <c r="AJ68" i="8"/>
  <c r="AR68" i="8"/>
  <c r="AY68" i="8"/>
  <c r="Y68" i="8"/>
  <c r="Y148" i="8" s="1"/>
  <c r="AN68" i="8"/>
  <c r="C68" i="8"/>
  <c r="AU68" i="8"/>
  <c r="AP68" i="8"/>
  <c r="AT68" i="8"/>
  <c r="J41" i="8"/>
  <c r="AU67" i="8"/>
  <c r="AU66" i="8"/>
  <c r="AU65" i="8"/>
  <c r="AS39" i="8"/>
  <c r="AS6" i="8"/>
  <c r="AS68" i="8" s="1"/>
  <c r="AQ6" i="8"/>
  <c r="AQ68" i="8" s="1"/>
  <c r="AQ39" i="8"/>
  <c r="AA4" i="8"/>
  <c r="AA15" i="8" s="1"/>
  <c r="AO4" i="8"/>
  <c r="AO15" i="8" s="1"/>
  <c r="E4" i="8"/>
  <c r="L174" i="8"/>
  <c r="I66" i="8"/>
  <c r="I65" i="8"/>
  <c r="Z5" i="8"/>
  <c r="Z13" i="8"/>
  <c r="Z93" i="8" s="1"/>
  <c r="CK29" i="12"/>
  <c r="CJ11" i="12"/>
  <c r="CI11" i="12"/>
  <c r="CI5" i="12"/>
  <c r="CI12" i="12"/>
  <c r="BY29" i="12"/>
  <c r="BY12" i="12"/>
  <c r="CG12" i="12"/>
  <c r="CG29" i="12"/>
  <c r="F22" i="73"/>
  <c r="K35" i="119"/>
  <c r="K36" i="119" s="1"/>
  <c r="AZ11" i="125"/>
  <c r="H19" i="119"/>
  <c r="C13" i="101" s="1"/>
  <c r="D13" i="101" s="1"/>
  <c r="AZ29" i="125"/>
  <c r="K31" i="119"/>
  <c r="K32" i="119" s="1"/>
  <c r="AZ5" i="125"/>
  <c r="CJ5" i="12"/>
  <c r="CJ12" i="12"/>
  <c r="CK12" i="12"/>
  <c r="DD5" i="12"/>
  <c r="DD29" i="12"/>
  <c r="DD12" i="12"/>
  <c r="DE12" i="12" s="1"/>
  <c r="DD11" i="12"/>
  <c r="DE11" i="12" s="1"/>
  <c r="BR11" i="12"/>
  <c r="BR5" i="12"/>
  <c r="BW5" i="12" s="1"/>
  <c r="BR29" i="12"/>
  <c r="CN12" i="12"/>
  <c r="CN11" i="12"/>
  <c r="CN5" i="12"/>
  <c r="CN29" i="12"/>
  <c r="CQ12" i="12"/>
  <c r="CQ11" i="12"/>
  <c r="CQ29" i="12"/>
  <c r="BM5" i="12"/>
  <c r="BM12" i="12"/>
  <c r="BM11" i="12"/>
  <c r="CH12" i="12"/>
  <c r="BP29" i="12"/>
  <c r="BP11" i="12"/>
  <c r="CH29" i="12"/>
  <c r="CM12" i="12"/>
  <c r="CM11" i="12"/>
  <c r="CM5" i="12"/>
  <c r="CM29" i="12"/>
  <c r="CW29" i="12"/>
  <c r="CK11" i="12"/>
  <c r="CH5" i="12"/>
  <c r="CL5" i="12"/>
  <c r="CL12" i="12"/>
  <c r="R41" i="73"/>
  <c r="R42" i="73" s="1"/>
  <c r="I19" i="119"/>
  <c r="C12" i="101" s="1"/>
  <c r="D12" i="101" s="1"/>
  <c r="F30" i="73"/>
  <c r="F31" i="73" s="1"/>
  <c r="F26" i="73"/>
  <c r="F27" i="73" s="1"/>
  <c r="D26" i="73"/>
  <c r="D27" i="73" s="1"/>
  <c r="D30" i="73"/>
  <c r="D31" i="73" s="1"/>
  <c r="CO12" i="125"/>
  <c r="U19" i="73"/>
  <c r="U20" i="73" s="1"/>
  <c r="J22" i="73"/>
  <c r="K22" i="73"/>
  <c r="H22" i="73"/>
  <c r="D37" i="73"/>
  <c r="D38" i="73" s="1"/>
  <c r="D41" i="73"/>
  <c r="D42" i="73" s="1"/>
  <c r="CO11" i="125"/>
  <c r="V22" i="73"/>
  <c r="T30" i="73"/>
  <c r="T31" i="73" s="1"/>
  <c r="T26" i="73"/>
  <c r="T27" i="73" s="1"/>
  <c r="E19" i="119"/>
  <c r="C23" i="101" s="1"/>
  <c r="DE29" i="125"/>
  <c r="DE5" i="125"/>
  <c r="E22" i="73"/>
  <c r="P19" i="73"/>
  <c r="Q19" i="73" s="1"/>
  <c r="Q20" i="73" s="1"/>
  <c r="CO29" i="125"/>
  <c r="BM5" i="125"/>
  <c r="BM29" i="125"/>
  <c r="BM11" i="125"/>
  <c r="BM12" i="125"/>
  <c r="CO5" i="125"/>
  <c r="F41" i="73"/>
  <c r="F42" i="73" s="1"/>
  <c r="E30" i="73"/>
  <c r="E31" i="73" s="1"/>
  <c r="F37" i="73"/>
  <c r="F38" i="73" s="1"/>
  <c r="BU6" i="25"/>
  <c r="C26" i="73"/>
  <c r="E37" i="73"/>
  <c r="E41" i="73"/>
  <c r="E26" i="73"/>
  <c r="E27" i="73" s="1"/>
  <c r="C30" i="73"/>
  <c r="BU8" i="25"/>
  <c r="R30" i="73"/>
  <c r="R31" i="73" s="1"/>
  <c r="R26" i="73"/>
  <c r="R27" i="73" s="1"/>
  <c r="G94" i="8"/>
  <c r="AF94" i="8"/>
  <c r="AS94" i="8"/>
  <c r="AI94" i="8"/>
  <c r="AN94" i="8"/>
  <c r="AQ94" i="8"/>
  <c r="AP42" i="8"/>
  <c r="D42" i="8"/>
  <c r="AT42" i="8"/>
  <c r="Y42" i="8"/>
  <c r="AR42" i="8"/>
  <c r="C42" i="8"/>
  <c r="B43" i="8"/>
  <c r="AN42" i="8"/>
  <c r="AU42" i="8"/>
  <c r="AS42" i="8"/>
  <c r="AY42" i="8"/>
  <c r="AQ42" i="8"/>
  <c r="AU94" i="8"/>
  <c r="AM94" i="8"/>
  <c r="AL95" i="8"/>
  <c r="AN15" i="8"/>
  <c r="AP15" i="8"/>
  <c r="AP95" i="8" s="1"/>
  <c r="AU15" i="8"/>
  <c r="AR15" i="8"/>
  <c r="AR95" i="8" s="1"/>
  <c r="AT15" i="8"/>
  <c r="AY15" i="8"/>
  <c r="AY95" i="8" s="1"/>
  <c r="C15" i="8"/>
  <c r="D15" i="8"/>
  <c r="Y15" i="8"/>
  <c r="E15" i="8"/>
  <c r="B16" i="8"/>
  <c r="AS15" i="8"/>
  <c r="AQ15" i="8"/>
  <c r="Z15" i="8"/>
  <c r="Z95" i="8" s="1"/>
  <c r="AL94" i="8"/>
  <c r="BW5" i="125"/>
  <c r="BW11" i="125"/>
  <c r="AP94" i="8"/>
  <c r="AJ94" i="8"/>
  <c r="H94" i="8"/>
  <c r="BW29" i="125"/>
  <c r="AR94" i="8"/>
  <c r="AY94" i="8"/>
  <c r="BW12" i="125"/>
  <c r="J94" i="8"/>
  <c r="BW12" i="12"/>
  <c r="D30" i="119"/>
  <c r="D32" i="119" s="1"/>
  <c r="D38" i="119" s="1"/>
  <c r="T7" i="25"/>
  <c r="U7" i="25" s="1"/>
  <c r="AK94" i="8"/>
  <c r="S36" i="73"/>
  <c r="CN11" i="25"/>
  <c r="CK11" i="25"/>
  <c r="B36" i="73" s="1"/>
  <c r="C22" i="73"/>
  <c r="T22" i="73"/>
  <c r="CK3" i="25"/>
  <c r="C11" i="119" s="1"/>
  <c r="S14" i="73"/>
  <c r="CN3" i="25"/>
  <c r="CL3" i="25"/>
  <c r="B14" i="73" s="1"/>
  <c r="CK7" i="25"/>
  <c r="S25" i="73"/>
  <c r="CL7" i="25"/>
  <c r="CN7" i="25"/>
  <c r="Q25" i="73"/>
  <c r="BP12" i="25"/>
  <c r="AB6" i="25"/>
  <c r="CA10" i="25"/>
  <c r="CJ4" i="25"/>
  <c r="CH10" i="25"/>
  <c r="CE10" i="25"/>
  <c r="BP10" i="25"/>
  <c r="AA4" i="25"/>
  <c r="BK4" i="25"/>
  <c r="CJ2" i="25"/>
  <c r="CI8" i="25"/>
  <c r="CC12" i="25"/>
  <c r="Y6" i="25"/>
  <c r="BN12" i="25"/>
  <c r="BD10" i="25"/>
  <c r="BD6" i="25"/>
  <c r="BN10" i="25"/>
  <c r="BW6" i="25"/>
  <c r="BW8" i="25"/>
  <c r="CH12" i="25"/>
  <c r="BD12" i="25"/>
  <c r="AA10" i="25"/>
  <c r="CI6" i="25"/>
  <c r="BD8" i="25"/>
  <c r="BL4" i="25"/>
  <c r="BD2" i="25"/>
  <c r="L50" i="119" l="1"/>
  <c r="L51" i="119" s="1"/>
  <c r="G50" i="119"/>
  <c r="G51" i="119" s="1"/>
  <c r="G57" i="119" s="1"/>
  <c r="T5" i="12"/>
  <c r="R5" i="12"/>
  <c r="U5" i="12"/>
  <c r="S5" i="12"/>
  <c r="CO4" i="25"/>
  <c r="L19" i="73"/>
  <c r="L20" i="73" s="1"/>
  <c r="L22" i="73" s="1"/>
  <c r="G19" i="73"/>
  <c r="BM4" i="25"/>
  <c r="G16" i="119"/>
  <c r="G17" i="119" s="1"/>
  <c r="G19" i="119" s="1"/>
  <c r="BO29" i="127"/>
  <c r="BX29" i="127" s="1"/>
  <c r="T29" i="127"/>
  <c r="R29" i="127"/>
  <c r="U29" i="127"/>
  <c r="S29" i="127"/>
  <c r="D57" i="119"/>
  <c r="C66" i="101" s="1"/>
  <c r="C53" i="101"/>
  <c r="D53" i="101" s="1"/>
  <c r="DM12" i="127"/>
  <c r="DL12" i="127"/>
  <c r="DK12" i="127"/>
  <c r="DN12" i="127"/>
  <c r="L12" i="119"/>
  <c r="L13" i="119" s="1"/>
  <c r="L19" i="119" s="1"/>
  <c r="I23" i="119" s="1"/>
  <c r="U22" i="73"/>
  <c r="DN5" i="127"/>
  <c r="DK5" i="127"/>
  <c r="DL5" i="127"/>
  <c r="M15" i="73"/>
  <c r="M16" i="73" s="1"/>
  <c r="G16" i="73"/>
  <c r="N16" i="73"/>
  <c r="N22" i="73" s="1"/>
  <c r="P15" i="73"/>
  <c r="CG2" i="25"/>
  <c r="CM2" i="25"/>
  <c r="F31" i="119"/>
  <c r="F32" i="119" s="1"/>
  <c r="F38" i="119" s="1"/>
  <c r="Q12" i="125"/>
  <c r="L54" i="119"/>
  <c r="L55" i="119" s="1"/>
  <c r="C15" i="101"/>
  <c r="C24" i="101"/>
  <c r="A65" i="123"/>
  <c r="G64" i="123"/>
  <c r="B82" i="123"/>
  <c r="B29" i="123"/>
  <c r="A95" i="123"/>
  <c r="G94" i="123"/>
  <c r="B57" i="123"/>
  <c r="A35" i="123"/>
  <c r="G34" i="123"/>
  <c r="F166" i="123"/>
  <c r="C166" i="123"/>
  <c r="E166" i="123" s="1"/>
  <c r="B167" i="123"/>
  <c r="A508" i="123"/>
  <c r="G507" i="123"/>
  <c r="B483" i="123"/>
  <c r="F482" i="123"/>
  <c r="C482" i="123"/>
  <c r="E482" i="123" s="1"/>
  <c r="A316" i="123"/>
  <c r="G315" i="123"/>
  <c r="C198" i="123"/>
  <c r="E198" i="123" s="1"/>
  <c r="B199" i="123"/>
  <c r="F198" i="123"/>
  <c r="E251" i="123"/>
  <c r="G594" i="123"/>
  <c r="A595" i="123"/>
  <c r="C140" i="123"/>
  <c r="E140" i="123" s="1"/>
  <c r="F140" i="123"/>
  <c r="B141" i="123"/>
  <c r="B115" i="123"/>
  <c r="F114" i="123"/>
  <c r="C114" i="123"/>
  <c r="E114" i="123" s="1"/>
  <c r="C252" i="123"/>
  <c r="E252" i="123" s="1"/>
  <c r="F252" i="123"/>
  <c r="B253" i="123"/>
  <c r="A425" i="123"/>
  <c r="G424" i="123"/>
  <c r="F165" i="123"/>
  <c r="F481" i="123"/>
  <c r="A257" i="123"/>
  <c r="G256" i="123"/>
  <c r="C309" i="123"/>
  <c r="F309" i="123"/>
  <c r="B310" i="123"/>
  <c r="F224" i="123"/>
  <c r="G568" i="123"/>
  <c r="A569" i="123"/>
  <c r="C225" i="123"/>
  <c r="F225" i="123"/>
  <c r="B226" i="123"/>
  <c r="A398" i="123"/>
  <c r="G397" i="123"/>
  <c r="A542" i="123"/>
  <c r="G541" i="123"/>
  <c r="F504" i="123"/>
  <c r="B425" i="123"/>
  <c r="F424" i="123"/>
  <c r="C424" i="123"/>
  <c r="E424" i="123" s="1"/>
  <c r="E224" i="123"/>
  <c r="F394" i="123"/>
  <c r="E334" i="123"/>
  <c r="E539" i="123"/>
  <c r="G169" i="123"/>
  <c r="A170" i="123"/>
  <c r="C368" i="123"/>
  <c r="E368" i="123" s="1"/>
  <c r="B369" i="123"/>
  <c r="F368" i="123"/>
  <c r="G232" i="123"/>
  <c r="A233" i="123"/>
  <c r="F423" i="123"/>
  <c r="F367" i="123"/>
  <c r="C395" i="123"/>
  <c r="E395" i="123" s="1"/>
  <c r="B396" i="123"/>
  <c r="F334" i="123"/>
  <c r="F540" i="123"/>
  <c r="B541" i="123"/>
  <c r="C540" i="123"/>
  <c r="E540" i="123" s="1"/>
  <c r="F308" i="123"/>
  <c r="A289" i="123"/>
  <c r="G288" i="123"/>
  <c r="A346" i="123"/>
  <c r="G345" i="123"/>
  <c r="A484" i="123"/>
  <c r="G483" i="123"/>
  <c r="C452" i="123"/>
  <c r="B453" i="123"/>
  <c r="F452" i="123"/>
  <c r="G454" i="123"/>
  <c r="A455" i="123"/>
  <c r="C283" i="123"/>
  <c r="E283" i="123" s="1"/>
  <c r="B284" i="123"/>
  <c r="F565" i="123"/>
  <c r="A371" i="123"/>
  <c r="G370" i="123"/>
  <c r="C591" i="123"/>
  <c r="E591" i="123" s="1"/>
  <c r="F591" i="123"/>
  <c r="B592" i="123"/>
  <c r="B506" i="123"/>
  <c r="F505" i="123"/>
  <c r="C505" i="123"/>
  <c r="E505" i="123" s="1"/>
  <c r="C566" i="123"/>
  <c r="E566" i="123" s="1"/>
  <c r="B567" i="123"/>
  <c r="C335" i="123"/>
  <c r="E335" i="123" s="1"/>
  <c r="B336" i="123"/>
  <c r="F282" i="123"/>
  <c r="E565" i="123"/>
  <c r="A116" i="123"/>
  <c r="G115" i="123"/>
  <c r="G141" i="123"/>
  <c r="A142" i="123"/>
  <c r="F451" i="123"/>
  <c r="F113" i="123"/>
  <c r="AY148" i="8"/>
  <c r="AY149" i="8"/>
  <c r="AY122" i="8"/>
  <c r="CW5" i="12"/>
  <c r="AU148" i="8"/>
  <c r="AU147" i="8"/>
  <c r="AU145" i="8"/>
  <c r="AU146" i="8"/>
  <c r="AJ122" i="8"/>
  <c r="AL148" i="8"/>
  <c r="AJ148" i="8"/>
  <c r="AK122" i="8"/>
  <c r="AS122" i="8"/>
  <c r="AS121" i="8"/>
  <c r="AS119" i="8"/>
  <c r="AS120" i="8"/>
  <c r="CW11" i="12"/>
  <c r="AM122" i="8"/>
  <c r="CX11" i="125"/>
  <c r="CX12" i="125"/>
  <c r="CX5" i="125"/>
  <c r="CX29" i="125"/>
  <c r="AH122" i="8"/>
  <c r="AK148" i="8"/>
  <c r="AL122" i="8"/>
  <c r="AT122" i="8"/>
  <c r="AR148" i="8"/>
  <c r="AN122" i="8"/>
  <c r="AN148" i="8"/>
  <c r="AH148" i="8"/>
  <c r="AQ121" i="8"/>
  <c r="AQ119" i="8"/>
  <c r="AQ120" i="8"/>
  <c r="AQ122" i="8"/>
  <c r="AU122" i="8"/>
  <c r="AF148" i="8"/>
  <c r="AG122" i="8"/>
  <c r="AP148" i="8"/>
  <c r="AP122" i="8"/>
  <c r="AT148" i="8"/>
  <c r="AR122" i="8"/>
  <c r="AI122" i="8"/>
  <c r="AF122" i="8"/>
  <c r="BY11" i="12"/>
  <c r="Y122" i="8"/>
  <c r="H122" i="8"/>
  <c r="K122" i="8"/>
  <c r="G122" i="8"/>
  <c r="I122" i="8"/>
  <c r="J122" i="8"/>
  <c r="J121" i="8"/>
  <c r="J120" i="8"/>
  <c r="J119" i="8"/>
  <c r="H148" i="8"/>
  <c r="I146" i="8"/>
  <c r="I145" i="8"/>
  <c r="I147" i="8"/>
  <c r="I148" i="8"/>
  <c r="G148" i="8"/>
  <c r="K148" i="8"/>
  <c r="C122" i="8"/>
  <c r="C148" i="8"/>
  <c r="D94" i="8"/>
  <c r="BW11" i="12"/>
  <c r="R37" i="73"/>
  <c r="R38" i="73" s="1"/>
  <c r="R44" i="73" s="1"/>
  <c r="AB4" i="8"/>
  <c r="AB16" i="8" s="1"/>
  <c r="Z6" i="8"/>
  <c r="Z39" i="8"/>
  <c r="Z41" i="8"/>
  <c r="Z40" i="8"/>
  <c r="AI16" i="8"/>
  <c r="AH16" i="8"/>
  <c r="AG16" i="8"/>
  <c r="AF16" i="8"/>
  <c r="AM16" i="8"/>
  <c r="AL16" i="8"/>
  <c r="J16" i="8"/>
  <c r="I16" i="8"/>
  <c r="AK16" i="8"/>
  <c r="H16" i="8"/>
  <c r="AJ16" i="8"/>
  <c r="AJ96" i="8" s="1"/>
  <c r="G16" i="8"/>
  <c r="K16" i="8"/>
  <c r="AI43" i="8"/>
  <c r="AH43" i="8"/>
  <c r="AG43" i="8"/>
  <c r="AF43" i="8"/>
  <c r="AM43" i="8"/>
  <c r="AL43" i="8"/>
  <c r="H43" i="8"/>
  <c r="H123" i="8" s="1"/>
  <c r="G43" i="8"/>
  <c r="K43" i="8"/>
  <c r="AK43" i="8"/>
  <c r="AJ43" i="8"/>
  <c r="J43" i="8"/>
  <c r="J123" i="8" s="1"/>
  <c r="I43" i="8"/>
  <c r="CT5" i="125"/>
  <c r="CT12" i="125"/>
  <c r="CT29" i="125"/>
  <c r="CT11" i="125"/>
  <c r="J66" i="8"/>
  <c r="J65" i="8"/>
  <c r="J67" i="8"/>
  <c r="AQ65" i="8"/>
  <c r="AQ67" i="8"/>
  <c r="AQ66" i="8"/>
  <c r="AA5" i="8"/>
  <c r="AA13" i="8"/>
  <c r="AA14" i="8"/>
  <c r="F4" i="8"/>
  <c r="M174" i="8"/>
  <c r="N174" i="8" s="1"/>
  <c r="O174" i="8" s="1"/>
  <c r="Z42" i="8"/>
  <c r="E5" i="8"/>
  <c r="E13" i="8"/>
  <c r="E14" i="8"/>
  <c r="AS65" i="8"/>
  <c r="AS66" i="8"/>
  <c r="AS67" i="8"/>
  <c r="CV12" i="125"/>
  <c r="CV5" i="125"/>
  <c r="CV29" i="125"/>
  <c r="CV11" i="125"/>
  <c r="D39" i="8"/>
  <c r="D6" i="8"/>
  <c r="D69" i="8" s="1"/>
  <c r="D41" i="8"/>
  <c r="D40" i="8"/>
  <c r="AO13" i="8"/>
  <c r="AO95" i="8" s="1"/>
  <c r="AO5" i="8"/>
  <c r="AO14" i="8"/>
  <c r="Z94" i="8"/>
  <c r="B70" i="8"/>
  <c r="AI69" i="8"/>
  <c r="AH69" i="8"/>
  <c r="AG69" i="8"/>
  <c r="AF69" i="8"/>
  <c r="AM69" i="8"/>
  <c r="AL69" i="8"/>
  <c r="K69" i="8"/>
  <c r="K149" i="8" s="1"/>
  <c r="J69" i="8"/>
  <c r="I69" i="8"/>
  <c r="H69" i="8"/>
  <c r="H149" i="8" s="1"/>
  <c r="AK69" i="8"/>
  <c r="G69" i="8"/>
  <c r="AJ69" i="8"/>
  <c r="AU69" i="8"/>
  <c r="Y69" i="8"/>
  <c r="Z69" i="8"/>
  <c r="C69" i="8"/>
  <c r="AS69" i="8"/>
  <c r="AN69" i="8"/>
  <c r="AT69" i="8"/>
  <c r="AP69" i="8"/>
  <c r="AY69" i="8"/>
  <c r="AR69" i="8"/>
  <c r="AQ69" i="8"/>
  <c r="BW29" i="12"/>
  <c r="K38" i="119"/>
  <c r="C42" i="119" s="1"/>
  <c r="L35" i="119"/>
  <c r="L36" i="119" s="1"/>
  <c r="CO29" i="12"/>
  <c r="L31" i="119"/>
  <c r="L32" i="119" s="1"/>
  <c r="T33" i="73"/>
  <c r="CO12" i="12"/>
  <c r="CO5" i="12"/>
  <c r="CO11" i="12"/>
  <c r="C22" i="119"/>
  <c r="C24" i="119" s="1"/>
  <c r="D23" i="119" s="1"/>
  <c r="P20" i="73"/>
  <c r="T37" i="73"/>
  <c r="T38" i="73" s="1"/>
  <c r="T41" i="73"/>
  <c r="T42" i="73" s="1"/>
  <c r="BU10" i="25"/>
  <c r="C37" i="73"/>
  <c r="C38" i="73" s="1"/>
  <c r="C41" i="73"/>
  <c r="C42" i="73" s="1"/>
  <c r="BU12" i="25"/>
  <c r="DE5" i="12"/>
  <c r="DE29" i="12"/>
  <c r="F33" i="73"/>
  <c r="D33" i="73"/>
  <c r="D44" i="73"/>
  <c r="V26" i="73"/>
  <c r="V27" i="73" s="1"/>
  <c r="U26" i="73"/>
  <c r="U27" i="73" s="1"/>
  <c r="U30" i="73"/>
  <c r="U31" i="73" s="1"/>
  <c r="V30" i="73"/>
  <c r="V31" i="73" s="1"/>
  <c r="CP8" i="25"/>
  <c r="O30" i="73"/>
  <c r="O31" i="73" s="1"/>
  <c r="E33" i="73"/>
  <c r="O26" i="73"/>
  <c r="O27" i="73" s="1"/>
  <c r="CP6" i="25"/>
  <c r="F44" i="73"/>
  <c r="R33" i="73"/>
  <c r="C36" i="101"/>
  <c r="C45" i="101"/>
  <c r="Y95" i="8"/>
  <c r="B44" i="8"/>
  <c r="AP43" i="8"/>
  <c r="AN43" i="8"/>
  <c r="Z43" i="8"/>
  <c r="AR43" i="8"/>
  <c r="C43" i="8"/>
  <c r="AT43" i="8"/>
  <c r="E43" i="8"/>
  <c r="Y43" i="8"/>
  <c r="AS43" i="8"/>
  <c r="AU43" i="8"/>
  <c r="AU123" i="8" s="1"/>
  <c r="D43" i="8"/>
  <c r="AA43" i="8"/>
  <c r="AY43" i="8"/>
  <c r="AQ43" i="8"/>
  <c r="AQ123" i="8" s="1"/>
  <c r="AS95" i="8"/>
  <c r="G95" i="8"/>
  <c r="AN95" i="8"/>
  <c r="AU95" i="8"/>
  <c r="E38" i="73"/>
  <c r="G96" i="8"/>
  <c r="AO16" i="8"/>
  <c r="AR16" i="8"/>
  <c r="AR96" i="8" s="1"/>
  <c r="B17" i="8"/>
  <c r="AA16" i="8"/>
  <c r="AY16" i="8"/>
  <c r="C16" i="8"/>
  <c r="C96" i="8" s="1"/>
  <c r="AQ16" i="8"/>
  <c r="AQ96" i="8" s="1"/>
  <c r="Z16" i="8"/>
  <c r="Z96" i="8" s="1"/>
  <c r="AN16" i="8"/>
  <c r="AN96" i="8" s="1"/>
  <c r="AP16" i="8"/>
  <c r="E16" i="8"/>
  <c r="Y16" i="8"/>
  <c r="AS16" i="8"/>
  <c r="AS96" i="8" s="1"/>
  <c r="F16" i="8"/>
  <c r="K96" i="8"/>
  <c r="AT16" i="8"/>
  <c r="AT96" i="8" s="1"/>
  <c r="AU16" i="8"/>
  <c r="D16" i="8"/>
  <c r="D96" i="8" s="1"/>
  <c r="C95" i="8"/>
  <c r="AF95" i="8"/>
  <c r="K95" i="8"/>
  <c r="I95" i="8"/>
  <c r="AI95" i="8"/>
  <c r="C27" i="73"/>
  <c r="AT95" i="8"/>
  <c r="D95" i="8"/>
  <c r="AQ95" i="8"/>
  <c r="AM95" i="8"/>
  <c r="E42" i="73"/>
  <c r="C31" i="73"/>
  <c r="C49" i="119"/>
  <c r="B49" i="119" s="1"/>
  <c r="C62" i="119"/>
  <c r="D61" i="119" s="1"/>
  <c r="C30" i="119"/>
  <c r="B25" i="73"/>
  <c r="B11" i="119"/>
  <c r="BW10" i="25"/>
  <c r="CD8" i="25"/>
  <c r="AA6" i="25"/>
  <c r="CB6" i="25"/>
  <c r="CC10" i="25"/>
  <c r="BZ8" i="25"/>
  <c r="CI10" i="25"/>
  <c r="CI12" i="25"/>
  <c r="BZ6" i="25"/>
  <c r="BW12" i="25"/>
  <c r="CB8" i="25"/>
  <c r="CD6" i="25"/>
  <c r="L57" i="119" l="1"/>
  <c r="I61" i="119" s="1"/>
  <c r="I60" i="119"/>
  <c r="C52" i="101"/>
  <c r="D52" i="101" s="1"/>
  <c r="I22" i="119"/>
  <c r="I24" i="119" s="1"/>
  <c r="J23" i="119" s="1"/>
  <c r="C10" i="101"/>
  <c r="D10" i="101" s="1"/>
  <c r="DM29" i="127"/>
  <c r="DK29" i="127"/>
  <c r="DL29" i="127"/>
  <c r="DN29" i="127"/>
  <c r="CG4" i="25"/>
  <c r="CM4" i="25"/>
  <c r="G20" i="73"/>
  <c r="G22" i="73" s="1"/>
  <c r="M19" i="73"/>
  <c r="M20" i="73" s="1"/>
  <c r="M22" i="73" s="1"/>
  <c r="C57" i="101"/>
  <c r="I54" i="101" s="1"/>
  <c r="CN2" i="25"/>
  <c r="CL2" i="25"/>
  <c r="S15" i="73"/>
  <c r="S16" i="73" s="1"/>
  <c r="CK2" i="25"/>
  <c r="Q15" i="73"/>
  <c r="Q16" i="73" s="1"/>
  <c r="Q22" i="73" s="1"/>
  <c r="P16" i="73"/>
  <c r="P22" i="73" s="1"/>
  <c r="G31" i="119"/>
  <c r="G32" i="119" s="1"/>
  <c r="G38" i="119" s="1"/>
  <c r="U12" i="125"/>
  <c r="R12" i="125"/>
  <c r="S12" i="125"/>
  <c r="T12" i="125"/>
  <c r="C32" i="101"/>
  <c r="D32" i="101" s="1"/>
  <c r="C41" i="119"/>
  <c r="C43" i="119" s="1"/>
  <c r="D42" i="119" s="1"/>
  <c r="B30" i="123"/>
  <c r="G35" i="123"/>
  <c r="A36" i="123"/>
  <c r="B58" i="123"/>
  <c r="B83" i="123"/>
  <c r="A96" i="123"/>
  <c r="G96" i="123" s="1"/>
  <c r="G95" i="123"/>
  <c r="G65" i="123"/>
  <c r="A66" i="123"/>
  <c r="A290" i="123"/>
  <c r="G289" i="123"/>
  <c r="F369" i="123"/>
  <c r="B370" i="123"/>
  <c r="C369" i="123"/>
  <c r="E369" i="123" s="1"/>
  <c r="A543" i="123"/>
  <c r="G542" i="123"/>
  <c r="C310" i="123"/>
  <c r="E310" i="123" s="1"/>
  <c r="F310" i="123"/>
  <c r="B311" i="123"/>
  <c r="B254" i="123"/>
  <c r="F253" i="123"/>
  <c r="C253" i="123"/>
  <c r="E253" i="123" s="1"/>
  <c r="F115" i="123"/>
  <c r="C115" i="123"/>
  <c r="E115" i="123" s="1"/>
  <c r="B116" i="123"/>
  <c r="B200" i="123"/>
  <c r="C199" i="123"/>
  <c r="E199" i="123" s="1"/>
  <c r="F199" i="123"/>
  <c r="C336" i="123"/>
  <c r="E336" i="123" s="1"/>
  <c r="B337" i="123"/>
  <c r="F336" i="123"/>
  <c r="C592" i="123"/>
  <c r="E592" i="123" s="1"/>
  <c r="F592" i="123"/>
  <c r="B593" i="123"/>
  <c r="A399" i="123"/>
  <c r="G398" i="123"/>
  <c r="E309" i="123"/>
  <c r="F141" i="123"/>
  <c r="C141" i="123"/>
  <c r="E141" i="123" s="1"/>
  <c r="B142" i="123"/>
  <c r="C483" i="123"/>
  <c r="E483" i="123" s="1"/>
  <c r="B484" i="123"/>
  <c r="A143" i="123"/>
  <c r="G142" i="123"/>
  <c r="F566" i="123"/>
  <c r="F335" i="123"/>
  <c r="C396" i="123"/>
  <c r="E396" i="123" s="1"/>
  <c r="F396" i="123"/>
  <c r="B397" i="123"/>
  <c r="F226" i="123"/>
  <c r="B227" i="123"/>
  <c r="C226" i="123"/>
  <c r="E226" i="123" s="1"/>
  <c r="B285" i="123"/>
  <c r="C284" i="123"/>
  <c r="E284" i="123" s="1"/>
  <c r="F284" i="123"/>
  <c r="G233" i="123"/>
  <c r="A234" i="123"/>
  <c r="G569" i="123"/>
  <c r="A570" i="123"/>
  <c r="A258" i="123"/>
  <c r="G257" i="123"/>
  <c r="G508" i="123"/>
  <c r="A509" i="123"/>
  <c r="F567" i="123"/>
  <c r="B568" i="123"/>
  <c r="C567" i="123"/>
  <c r="E567" i="123" s="1"/>
  <c r="A171" i="123"/>
  <c r="G170" i="123"/>
  <c r="C506" i="123"/>
  <c r="E506" i="123" s="1"/>
  <c r="B507" i="123"/>
  <c r="F453" i="123"/>
  <c r="B454" i="123"/>
  <c r="C453" i="123"/>
  <c r="E453" i="123" s="1"/>
  <c r="C541" i="123"/>
  <c r="E541" i="123" s="1"/>
  <c r="B542" i="123"/>
  <c r="F541" i="123"/>
  <c r="F395" i="123"/>
  <c r="F425" i="123"/>
  <c r="C425" i="123"/>
  <c r="E425" i="123" s="1"/>
  <c r="B426" i="123"/>
  <c r="E225" i="123"/>
  <c r="G595" i="123"/>
  <c r="A596" i="123"/>
  <c r="B168" i="123"/>
  <c r="C167" i="123"/>
  <c r="E167" i="123" s="1"/>
  <c r="F167" i="123"/>
  <c r="G484" i="123"/>
  <c r="A485" i="123"/>
  <c r="G455" i="123"/>
  <c r="A456" i="123"/>
  <c r="G116" i="123"/>
  <c r="A117" i="123"/>
  <c r="G371" i="123"/>
  <c r="A372" i="123"/>
  <c r="E452" i="123"/>
  <c r="G346" i="123"/>
  <c r="A347" i="123"/>
  <c r="F283" i="123"/>
  <c r="A426" i="123"/>
  <c r="G425" i="123"/>
  <c r="G316" i="123"/>
  <c r="A317" i="123"/>
  <c r="AY123" i="8"/>
  <c r="AL149" i="8"/>
  <c r="AK123" i="8"/>
  <c r="AN149" i="8"/>
  <c r="AN123" i="8"/>
  <c r="AQ147" i="8"/>
  <c r="AQ145" i="8"/>
  <c r="AQ146" i="8"/>
  <c r="AQ149" i="8"/>
  <c r="AQ148" i="8"/>
  <c r="AI123" i="8"/>
  <c r="AG149" i="8"/>
  <c r="AS123" i="8"/>
  <c r="AR123" i="8"/>
  <c r="AT149" i="8"/>
  <c r="AJ123" i="8"/>
  <c r="AP149" i="8"/>
  <c r="AF123" i="8"/>
  <c r="AR149" i="8"/>
  <c r="AL123" i="8"/>
  <c r="AP123" i="8"/>
  <c r="AT123" i="8"/>
  <c r="AH123" i="8"/>
  <c r="AM123" i="8"/>
  <c r="AG123" i="8"/>
  <c r="AU149" i="8"/>
  <c r="AK149" i="8"/>
  <c r="AS149" i="8"/>
  <c r="AS148" i="8"/>
  <c r="AS147" i="8"/>
  <c r="AS145" i="8"/>
  <c r="AS146" i="8"/>
  <c r="Z122" i="8"/>
  <c r="Z123" i="8"/>
  <c r="Z120" i="8"/>
  <c r="Z121" i="8"/>
  <c r="Z119" i="8"/>
  <c r="AH149" i="8"/>
  <c r="AF149" i="8"/>
  <c r="AI149" i="8"/>
  <c r="AJ149" i="8"/>
  <c r="AM149" i="8"/>
  <c r="Y123" i="8"/>
  <c r="Y149" i="8"/>
  <c r="K123" i="8"/>
  <c r="I123" i="8"/>
  <c r="G123" i="8"/>
  <c r="G149" i="8"/>
  <c r="J149" i="8"/>
  <c r="J146" i="8"/>
  <c r="J145" i="8"/>
  <c r="J148" i="8"/>
  <c r="J147" i="8"/>
  <c r="I149" i="8"/>
  <c r="C123" i="8"/>
  <c r="C149" i="8"/>
  <c r="D123" i="8"/>
  <c r="D119" i="8"/>
  <c r="D120" i="8"/>
  <c r="D121" i="8"/>
  <c r="D122" i="8"/>
  <c r="AO96" i="8"/>
  <c r="AA95" i="8"/>
  <c r="E95" i="8"/>
  <c r="L4" i="8"/>
  <c r="P174" i="8"/>
  <c r="AO93" i="8"/>
  <c r="AO94" i="8"/>
  <c r="E6" i="8"/>
  <c r="E70" i="8" s="1"/>
  <c r="E39" i="8"/>
  <c r="E40" i="8"/>
  <c r="E41" i="8"/>
  <c r="E42" i="8"/>
  <c r="F5" i="8"/>
  <c r="F13" i="8"/>
  <c r="F14" i="8"/>
  <c r="F15" i="8"/>
  <c r="Z67" i="8"/>
  <c r="Z66" i="8"/>
  <c r="Z65" i="8"/>
  <c r="Z68" i="8"/>
  <c r="AO6" i="8"/>
  <c r="AO70" i="8" s="1"/>
  <c r="AO39" i="8"/>
  <c r="AO41" i="8"/>
  <c r="AO40" i="8"/>
  <c r="AO42" i="8"/>
  <c r="AI17" i="8"/>
  <c r="AH17" i="8"/>
  <c r="AG17" i="8"/>
  <c r="AG97" i="8" s="1"/>
  <c r="AF17" i="8"/>
  <c r="AM17" i="8"/>
  <c r="AL17" i="8"/>
  <c r="AK17" i="8"/>
  <c r="AJ17" i="8"/>
  <c r="AJ97" i="8" s="1"/>
  <c r="K17" i="8"/>
  <c r="J17" i="8"/>
  <c r="I17" i="8"/>
  <c r="H17" i="8"/>
  <c r="G17" i="8"/>
  <c r="B71" i="8"/>
  <c r="AI70" i="8"/>
  <c r="AH70" i="8"/>
  <c r="AG70" i="8"/>
  <c r="AF70" i="8"/>
  <c r="AM70" i="8"/>
  <c r="AL70" i="8"/>
  <c r="AL150" i="8" s="1"/>
  <c r="AK70" i="8"/>
  <c r="AJ70" i="8"/>
  <c r="K70" i="8"/>
  <c r="J70" i="8"/>
  <c r="I70" i="8"/>
  <c r="H70" i="8"/>
  <c r="G70" i="8"/>
  <c r="G150" i="8" s="1"/>
  <c r="AQ70" i="8"/>
  <c r="Z70" i="8"/>
  <c r="AS70" i="8"/>
  <c r="AY70" i="8"/>
  <c r="AN70" i="8"/>
  <c r="D70" i="8"/>
  <c r="AT70" i="8"/>
  <c r="AR70" i="8"/>
  <c r="AP70" i="8"/>
  <c r="AU70" i="8"/>
  <c r="C70" i="8"/>
  <c r="Y70" i="8"/>
  <c r="AO43" i="8"/>
  <c r="CX5" i="12"/>
  <c r="CX11" i="12"/>
  <c r="CX12" i="12"/>
  <c r="CX29" i="12"/>
  <c r="E93" i="8"/>
  <c r="E94" i="8"/>
  <c r="D66" i="8"/>
  <c r="D65" i="8"/>
  <c r="D67" i="8"/>
  <c r="D68" i="8"/>
  <c r="AA93" i="8"/>
  <c r="AA94" i="8"/>
  <c r="AA6" i="8"/>
  <c r="AA39" i="8"/>
  <c r="AA40" i="8"/>
  <c r="AA41" i="8"/>
  <c r="AA42" i="8"/>
  <c r="AC4" i="8"/>
  <c r="AC17" i="8" s="1"/>
  <c r="AI44" i="8"/>
  <c r="AH44" i="8"/>
  <c r="AG44" i="8"/>
  <c r="AF44" i="8"/>
  <c r="AM44" i="8"/>
  <c r="AL44" i="8"/>
  <c r="AL124" i="8" s="1"/>
  <c r="K44" i="8"/>
  <c r="J44" i="8"/>
  <c r="I44" i="8"/>
  <c r="H44" i="8"/>
  <c r="AK44" i="8"/>
  <c r="G44" i="8"/>
  <c r="G124" i="8" s="1"/>
  <c r="AJ44" i="8"/>
  <c r="AB13" i="8"/>
  <c r="AB5" i="8"/>
  <c r="AB14" i="8"/>
  <c r="AB15" i="8"/>
  <c r="L38" i="119"/>
  <c r="I42" i="119" s="1"/>
  <c r="CP12" i="25"/>
  <c r="O41" i="73"/>
  <c r="O42" i="73" s="1"/>
  <c r="O37" i="73"/>
  <c r="O38" i="73" s="1"/>
  <c r="CP10" i="25"/>
  <c r="D22" i="119"/>
  <c r="D24" i="119" s="1"/>
  <c r="C44" i="73"/>
  <c r="U37" i="73"/>
  <c r="U38" i="73" s="1"/>
  <c r="V37" i="73"/>
  <c r="V38" i="73" s="1"/>
  <c r="V41" i="73"/>
  <c r="V42" i="73" s="1"/>
  <c r="U41" i="73"/>
  <c r="U42" i="73" s="1"/>
  <c r="T44" i="73"/>
  <c r="V33" i="73"/>
  <c r="O33" i="73"/>
  <c r="U33" i="73"/>
  <c r="E96" i="8"/>
  <c r="AY96" i="8"/>
  <c r="E44" i="73"/>
  <c r="AO44" i="8"/>
  <c r="AT44" i="8"/>
  <c r="AN44" i="8"/>
  <c r="B45" i="8"/>
  <c r="E44" i="8"/>
  <c r="AR44" i="8"/>
  <c r="Y44" i="8"/>
  <c r="AU44" i="8"/>
  <c r="AP44" i="8"/>
  <c r="AP124" i="8" s="1"/>
  <c r="C44" i="8"/>
  <c r="AQ44" i="8"/>
  <c r="F44" i="8"/>
  <c r="AY44" i="8"/>
  <c r="Z44" i="8"/>
  <c r="AS44" i="8"/>
  <c r="AA44" i="8"/>
  <c r="AB44" i="8"/>
  <c r="D44" i="8"/>
  <c r="D124" i="8" s="1"/>
  <c r="AU96" i="8"/>
  <c r="I96" i="8"/>
  <c r="C33" i="73"/>
  <c r="AH96" i="8"/>
  <c r="H96" i="8"/>
  <c r="J96" i="8"/>
  <c r="AF96" i="8"/>
  <c r="AA96" i="8"/>
  <c r="AM96" i="8"/>
  <c r="AK96" i="8"/>
  <c r="AG96" i="8"/>
  <c r="F17" i="8"/>
  <c r="AU17" i="8"/>
  <c r="AN17" i="8"/>
  <c r="AO17" i="8"/>
  <c r="C17" i="8"/>
  <c r="D17" i="8"/>
  <c r="B18" i="8"/>
  <c r="AA17" i="8"/>
  <c r="L17" i="8"/>
  <c r="Y17" i="8"/>
  <c r="AP17" i="8"/>
  <c r="AT17" i="8"/>
  <c r="AQ17" i="8"/>
  <c r="AQ97" i="8" s="1"/>
  <c r="AY17" i="8"/>
  <c r="AS17" i="8"/>
  <c r="Z17" i="8"/>
  <c r="AB17" i="8"/>
  <c r="E17" i="8"/>
  <c r="AR17" i="8"/>
  <c r="AR97" i="8" s="1"/>
  <c r="AL97" i="8"/>
  <c r="AP96" i="8"/>
  <c r="AI96" i="8"/>
  <c r="Y96" i="8"/>
  <c r="AL96" i="8"/>
  <c r="D60" i="119"/>
  <c r="E60" i="119" s="1"/>
  <c r="B30" i="119"/>
  <c r="CD12" i="25"/>
  <c r="CD10" i="25"/>
  <c r="I62" i="119" l="1"/>
  <c r="J60" i="119" s="1"/>
  <c r="K60" i="119" s="1"/>
  <c r="I10" i="101"/>
  <c r="J34" i="101"/>
  <c r="I53" i="101"/>
  <c r="I11" i="101"/>
  <c r="J10" i="101"/>
  <c r="J16" i="101"/>
  <c r="J31" i="101"/>
  <c r="CN4" i="25"/>
  <c r="CK4" i="25"/>
  <c r="S19" i="73"/>
  <c r="S20" i="73" s="1"/>
  <c r="S22" i="73" s="1"/>
  <c r="C14" i="101" s="1"/>
  <c r="C16" i="101" s="1"/>
  <c r="D16" i="101" s="1"/>
  <c r="CL4" i="25"/>
  <c r="J22" i="119"/>
  <c r="J24" i="119" s="1"/>
  <c r="I12" i="101"/>
  <c r="J12" i="101"/>
  <c r="I58" i="101"/>
  <c r="I55" i="101"/>
  <c r="I31" i="101"/>
  <c r="I37" i="101"/>
  <c r="I34" i="101"/>
  <c r="I32" i="101"/>
  <c r="J55" i="101"/>
  <c r="J54" i="101"/>
  <c r="I33" i="101"/>
  <c r="J33" i="101"/>
  <c r="I13" i="101"/>
  <c r="J13" i="101"/>
  <c r="J11" i="101"/>
  <c r="J32" i="101"/>
  <c r="J52" i="101"/>
  <c r="J58" i="101"/>
  <c r="J53" i="101"/>
  <c r="I16" i="101"/>
  <c r="I52" i="101"/>
  <c r="J37" i="101"/>
  <c r="C12" i="119"/>
  <c r="B15" i="73"/>
  <c r="B16" i="73" s="1"/>
  <c r="D41" i="119"/>
  <c r="D43" i="119" s="1"/>
  <c r="I41" i="119"/>
  <c r="I43" i="119" s="1"/>
  <c r="C31" i="101"/>
  <c r="D31" i="101" s="1"/>
  <c r="A37" i="123"/>
  <c r="G36" i="123"/>
  <c r="A67" i="123"/>
  <c r="G66" i="123"/>
  <c r="B59" i="123"/>
  <c r="B84" i="123"/>
  <c r="B31" i="123"/>
  <c r="C116" i="123"/>
  <c r="E116" i="123" s="1"/>
  <c r="B117" i="123"/>
  <c r="F116" i="123"/>
  <c r="G347" i="123"/>
  <c r="A348" i="123"/>
  <c r="B169" i="123"/>
  <c r="C168" i="123"/>
  <c r="E168" i="123" s="1"/>
  <c r="F168" i="123"/>
  <c r="G317" i="123"/>
  <c r="A318" i="123"/>
  <c r="B569" i="123"/>
  <c r="C568" i="123"/>
  <c r="E568" i="123" s="1"/>
  <c r="F568" i="123"/>
  <c r="A259" i="123"/>
  <c r="G258" i="123"/>
  <c r="B286" i="123"/>
  <c r="C285" i="123"/>
  <c r="E285" i="123" s="1"/>
  <c r="F285" i="123"/>
  <c r="F506" i="123"/>
  <c r="B143" i="123"/>
  <c r="C142" i="123"/>
  <c r="E142" i="123" s="1"/>
  <c r="F142" i="123"/>
  <c r="G426" i="123"/>
  <c r="A427" i="123"/>
  <c r="A373" i="123"/>
  <c r="G372" i="123"/>
  <c r="C227" i="123"/>
  <c r="E227" i="123" s="1"/>
  <c r="F227" i="123"/>
  <c r="B228" i="123"/>
  <c r="F311" i="123"/>
  <c r="C311" i="123"/>
  <c r="E311" i="123" s="1"/>
  <c r="B312" i="123"/>
  <c r="G485" i="123"/>
  <c r="A486" i="123"/>
  <c r="A510" i="123"/>
  <c r="G509" i="123"/>
  <c r="B427" i="123"/>
  <c r="C426" i="123"/>
  <c r="E426" i="123" s="1"/>
  <c r="F426" i="123"/>
  <c r="B543" i="123"/>
  <c r="C542" i="123"/>
  <c r="E542" i="123" s="1"/>
  <c r="F542" i="123"/>
  <c r="A235" i="123"/>
  <c r="G234" i="123"/>
  <c r="F593" i="123"/>
  <c r="C593" i="123"/>
  <c r="E593" i="123" s="1"/>
  <c r="B594" i="123"/>
  <c r="B201" i="123"/>
  <c r="C200" i="123"/>
  <c r="E200" i="123" s="1"/>
  <c r="F200" i="123"/>
  <c r="A544" i="123"/>
  <c r="G543" i="123"/>
  <c r="G596" i="123"/>
  <c r="A597" i="123"/>
  <c r="F454" i="123"/>
  <c r="C454" i="123"/>
  <c r="E454" i="123" s="1"/>
  <c r="B455" i="123"/>
  <c r="C484" i="123"/>
  <c r="E484" i="123" s="1"/>
  <c r="B485" i="123"/>
  <c r="F484" i="123"/>
  <c r="C254" i="123"/>
  <c r="E254" i="123" s="1"/>
  <c r="F254" i="123"/>
  <c r="B255" i="123"/>
  <c r="B398" i="123"/>
  <c r="C397" i="123"/>
  <c r="E397" i="123" s="1"/>
  <c r="F397" i="123"/>
  <c r="B371" i="123"/>
  <c r="F370" i="123"/>
  <c r="C370" i="123"/>
  <c r="E370" i="123" s="1"/>
  <c r="C507" i="123"/>
  <c r="E507" i="123" s="1"/>
  <c r="F507" i="123"/>
  <c r="B508" i="123"/>
  <c r="G570" i="123"/>
  <c r="A571" i="123"/>
  <c r="A400" i="123"/>
  <c r="G399" i="123"/>
  <c r="A291" i="123"/>
  <c r="G290" i="123"/>
  <c r="A118" i="123"/>
  <c r="G117" i="123"/>
  <c r="G171" i="123"/>
  <c r="A172" i="123"/>
  <c r="A144" i="123"/>
  <c r="G143" i="123"/>
  <c r="A457" i="123"/>
  <c r="G456" i="123"/>
  <c r="F483" i="123"/>
  <c r="F337" i="123"/>
  <c r="B338" i="123"/>
  <c r="C337" i="123"/>
  <c r="E337" i="123" s="1"/>
  <c r="AY124" i="8"/>
  <c r="AY125" i="8"/>
  <c r="AY150" i="8"/>
  <c r="AM124" i="8"/>
  <c r="Z146" i="8"/>
  <c r="Z150" i="8"/>
  <c r="Z149" i="8"/>
  <c r="Z148" i="8"/>
  <c r="Z147" i="8"/>
  <c r="Z145" i="8"/>
  <c r="AS124" i="8"/>
  <c r="AT150" i="8"/>
  <c r="AS150" i="8"/>
  <c r="AG124" i="8"/>
  <c r="AN124" i="8"/>
  <c r="AP150" i="8"/>
  <c r="AR150" i="8"/>
  <c r="AR124" i="8"/>
  <c r="AI150" i="8"/>
  <c r="AK124" i="8"/>
  <c r="AQ150" i="8"/>
  <c r="AG150" i="8"/>
  <c r="AJ124" i="8"/>
  <c r="AU150" i="8"/>
  <c r="AU124" i="8"/>
  <c r="AK150" i="8"/>
  <c r="AA123" i="8"/>
  <c r="AA119" i="8"/>
  <c r="AA121" i="8"/>
  <c r="AA120" i="8"/>
  <c r="AA124" i="8"/>
  <c r="AA122" i="8"/>
  <c r="AF124" i="8"/>
  <c r="Z124" i="8"/>
  <c r="AN150" i="8"/>
  <c r="AQ124" i="8"/>
  <c r="AF150" i="8"/>
  <c r="AO120" i="8"/>
  <c r="AO124" i="8"/>
  <c r="AO121" i="8"/>
  <c r="AO123" i="8"/>
  <c r="AO122" i="8"/>
  <c r="AO119" i="8"/>
  <c r="AI124" i="8"/>
  <c r="AH150" i="8"/>
  <c r="AH124" i="8"/>
  <c r="AM150" i="8"/>
  <c r="AJ150" i="8"/>
  <c r="AT124" i="8"/>
  <c r="Y150" i="8"/>
  <c r="Y124" i="8"/>
  <c r="F96" i="8"/>
  <c r="K124" i="8"/>
  <c r="I124" i="8"/>
  <c r="H124" i="8"/>
  <c r="J124" i="8"/>
  <c r="I150" i="8"/>
  <c r="J150" i="8"/>
  <c r="H150" i="8"/>
  <c r="K150" i="8"/>
  <c r="C124" i="8"/>
  <c r="D147" i="8"/>
  <c r="D149" i="8"/>
  <c r="D145" i="8"/>
  <c r="D150" i="8"/>
  <c r="D146" i="8"/>
  <c r="D148" i="8"/>
  <c r="E123" i="8"/>
  <c r="E124" i="8"/>
  <c r="E119" i="8"/>
  <c r="E120" i="8"/>
  <c r="E122" i="8"/>
  <c r="E121" i="8"/>
  <c r="C150" i="8"/>
  <c r="AB96" i="8"/>
  <c r="AI18" i="8"/>
  <c r="AH18" i="8"/>
  <c r="AG18" i="8"/>
  <c r="AF18" i="8"/>
  <c r="AM18" i="8"/>
  <c r="AL18" i="8"/>
  <c r="H18" i="8"/>
  <c r="G18" i="8"/>
  <c r="K18" i="8"/>
  <c r="J18" i="8"/>
  <c r="I18" i="8"/>
  <c r="I98" i="8" s="1"/>
  <c r="AK18" i="8"/>
  <c r="AJ18" i="8"/>
  <c r="CV12" i="12"/>
  <c r="CV5" i="12"/>
  <c r="CV11" i="12"/>
  <c r="CV29" i="12"/>
  <c r="AA67" i="8"/>
  <c r="AA65" i="8"/>
  <c r="AA66" i="8"/>
  <c r="AA68" i="8"/>
  <c r="AA69" i="8"/>
  <c r="E66" i="8"/>
  <c r="E65" i="8"/>
  <c r="E67" i="8"/>
  <c r="E68" i="8"/>
  <c r="E69" i="8"/>
  <c r="M4" i="8"/>
  <c r="Q174" i="8"/>
  <c r="B72" i="8"/>
  <c r="AI71" i="8"/>
  <c r="AH71" i="8"/>
  <c r="AH151" i="8" s="1"/>
  <c r="AG71" i="8"/>
  <c r="AF71" i="8"/>
  <c r="AF151" i="8" s="1"/>
  <c r="AM71" i="8"/>
  <c r="AL71" i="8"/>
  <c r="AK71" i="8"/>
  <c r="AK151" i="8" s="1"/>
  <c r="I71" i="8"/>
  <c r="AJ71" i="8"/>
  <c r="H71" i="8"/>
  <c r="H151" i="8" s="1"/>
  <c r="G71" i="8"/>
  <c r="G151" i="8" s="1"/>
  <c r="K71" i="8"/>
  <c r="K151" i="8" s="1"/>
  <c r="J71" i="8"/>
  <c r="J151" i="8" s="1"/>
  <c r="AU71" i="8"/>
  <c r="AY71" i="8"/>
  <c r="AY151" i="8" s="1"/>
  <c r="C71" i="8"/>
  <c r="C151" i="8" s="1"/>
  <c r="AS71" i="8"/>
  <c r="AT71" i="8"/>
  <c r="AN71" i="8"/>
  <c r="E71" i="8"/>
  <c r="D71" i="8"/>
  <c r="Z71" i="8"/>
  <c r="AA71" i="8"/>
  <c r="AR71" i="8"/>
  <c r="AR151" i="8" s="1"/>
  <c r="AP71" i="8"/>
  <c r="AO71" i="8"/>
  <c r="Y71" i="8"/>
  <c r="AQ71" i="8"/>
  <c r="L5" i="8"/>
  <c r="L14" i="8"/>
  <c r="L15" i="8"/>
  <c r="L16" i="8"/>
  <c r="F93" i="8"/>
  <c r="F94" i="8"/>
  <c r="F95" i="8"/>
  <c r="AI45" i="8"/>
  <c r="AI125" i="8" s="1"/>
  <c r="AH45" i="8"/>
  <c r="AH125" i="8" s="1"/>
  <c r="AG45" i="8"/>
  <c r="AG125" i="8" s="1"/>
  <c r="AF45" i="8"/>
  <c r="AM45" i="8"/>
  <c r="AL45" i="8"/>
  <c r="AL125" i="8" s="1"/>
  <c r="AK45" i="8"/>
  <c r="AJ45" i="8"/>
  <c r="AJ125" i="8" s="1"/>
  <c r="K45" i="8"/>
  <c r="K125" i="8" s="1"/>
  <c r="J45" i="8"/>
  <c r="I45" i="8"/>
  <c r="I125" i="8" s="1"/>
  <c r="H45" i="8"/>
  <c r="H125" i="8" s="1"/>
  <c r="G45" i="8"/>
  <c r="AB6" i="8"/>
  <c r="AB39" i="8"/>
  <c r="AB40" i="8"/>
  <c r="AB41" i="8"/>
  <c r="AB42" i="8"/>
  <c r="AB43" i="8"/>
  <c r="CT12" i="12"/>
  <c r="CT29" i="12"/>
  <c r="CT11" i="12"/>
  <c r="CT5" i="12"/>
  <c r="F6" i="8"/>
  <c r="F39" i="8"/>
  <c r="F41" i="8"/>
  <c r="F40" i="8"/>
  <c r="F42" i="8"/>
  <c r="F43" i="8"/>
  <c r="AB93" i="8"/>
  <c r="AB94" i="8"/>
  <c r="AB95" i="8"/>
  <c r="AD4" i="8"/>
  <c r="AO67" i="8"/>
  <c r="AO66" i="8"/>
  <c r="AO65" i="8"/>
  <c r="AO68" i="8"/>
  <c r="AO69" i="8"/>
  <c r="AC5" i="8"/>
  <c r="AC13" i="8"/>
  <c r="AC14" i="8"/>
  <c r="AC15" i="8"/>
  <c r="AC16" i="8"/>
  <c r="BZ12" i="125"/>
  <c r="BZ29" i="125"/>
  <c r="BZ11" i="125"/>
  <c r="BZ5" i="125"/>
  <c r="AA70" i="8"/>
  <c r="O44" i="73"/>
  <c r="E22" i="119"/>
  <c r="V44" i="73"/>
  <c r="U44" i="73"/>
  <c r="AF97" i="8"/>
  <c r="C97" i="8"/>
  <c r="H97" i="8"/>
  <c r="AS97" i="8"/>
  <c r="AM97" i="8"/>
  <c r="K97" i="8"/>
  <c r="AA97" i="8"/>
  <c r="G97" i="8"/>
  <c r="AP97" i="8"/>
  <c r="Z97" i="8"/>
  <c r="AY97" i="8"/>
  <c r="AO97" i="8"/>
  <c r="AI97" i="8"/>
  <c r="AN97" i="8"/>
  <c r="Y97" i="8"/>
  <c r="E97" i="8"/>
  <c r="AK97" i="8"/>
  <c r="AR45" i="8"/>
  <c r="AR125" i="8" s="1"/>
  <c r="AT45" i="8"/>
  <c r="AT125" i="8" s="1"/>
  <c r="AU45" i="8"/>
  <c r="AQ45" i="8"/>
  <c r="C45" i="8"/>
  <c r="Z45" i="8"/>
  <c r="AN45" i="8"/>
  <c r="AN125" i="8" s="1"/>
  <c r="AO45" i="8"/>
  <c r="AB45" i="8"/>
  <c r="AP45" i="8"/>
  <c r="AP125" i="8" s="1"/>
  <c r="Y45" i="8"/>
  <c r="Y125" i="8" s="1"/>
  <c r="AS45" i="8"/>
  <c r="D45" i="8"/>
  <c r="D125" i="8" s="1"/>
  <c r="AA45" i="8"/>
  <c r="B46" i="8"/>
  <c r="E45" i="8"/>
  <c r="F45" i="8"/>
  <c r="L45" i="8"/>
  <c r="AY45" i="8"/>
  <c r="AC45" i="8"/>
  <c r="J97" i="8"/>
  <c r="AB97" i="8"/>
  <c r="AT97" i="8"/>
  <c r="D18" i="8"/>
  <c r="E18" i="8"/>
  <c r="E98" i="8" s="1"/>
  <c r="AS18" i="8"/>
  <c r="AT18" i="8"/>
  <c r="C18" i="8"/>
  <c r="B19" i="8"/>
  <c r="L18" i="8"/>
  <c r="M18" i="8"/>
  <c r="F18" i="8"/>
  <c r="AB18" i="8"/>
  <c r="Y18" i="8"/>
  <c r="AC18" i="8"/>
  <c r="Z18" i="8"/>
  <c r="Z98" i="8" s="1"/>
  <c r="AA18" i="8"/>
  <c r="AA98" i="8" s="1"/>
  <c r="AQ18" i="8"/>
  <c r="AR18" i="8"/>
  <c r="AO18" i="8"/>
  <c r="AP18" i="8"/>
  <c r="AN18" i="8"/>
  <c r="AU18" i="8"/>
  <c r="AY18" i="8"/>
  <c r="AY98" i="8" s="1"/>
  <c r="F97" i="8"/>
  <c r="AU97" i="8"/>
  <c r="AH97" i="8"/>
  <c r="I97" i="8"/>
  <c r="D97" i="8"/>
  <c r="D62" i="119"/>
  <c r="BZ10" i="25"/>
  <c r="BZ12" i="25"/>
  <c r="CB10" i="25"/>
  <c r="CB12" i="25"/>
  <c r="K22" i="119" l="1"/>
  <c r="J61" i="119"/>
  <c r="J62" i="119" s="1"/>
  <c r="J17" i="101"/>
  <c r="C16" i="119"/>
  <c r="B19" i="73"/>
  <c r="B20" i="73" s="1"/>
  <c r="B22" i="73" s="1"/>
  <c r="J38" i="101"/>
  <c r="I59" i="101"/>
  <c r="C64" i="101" s="1"/>
  <c r="I38" i="101"/>
  <c r="C43" i="101" s="1"/>
  <c r="J59" i="101"/>
  <c r="I17" i="101"/>
  <c r="C22" i="101" s="1"/>
  <c r="B12" i="119"/>
  <c r="C13" i="119"/>
  <c r="E41" i="119"/>
  <c r="J42" i="119"/>
  <c r="J41" i="119"/>
  <c r="K41" i="119" s="1"/>
  <c r="B60" i="123"/>
  <c r="B32" i="123"/>
  <c r="A68" i="123"/>
  <c r="G67" i="123"/>
  <c r="B85" i="123"/>
  <c r="A38" i="123"/>
  <c r="G37" i="123"/>
  <c r="C286" i="123"/>
  <c r="E286" i="123" s="1"/>
  <c r="F286" i="123"/>
  <c r="B287" i="123"/>
  <c r="A487" i="123"/>
  <c r="G486" i="123"/>
  <c r="G457" i="123"/>
  <c r="A458" i="123"/>
  <c r="B509" i="123"/>
  <c r="F508" i="123"/>
  <c r="C508" i="123"/>
  <c r="E508" i="123" s="1"/>
  <c r="F485" i="123"/>
  <c r="C485" i="123"/>
  <c r="E485" i="123" s="1"/>
  <c r="B486" i="123"/>
  <c r="G510" i="123"/>
  <c r="A511" i="123"/>
  <c r="C455" i="123"/>
  <c r="E455" i="123" s="1"/>
  <c r="F455" i="123"/>
  <c r="B456" i="123"/>
  <c r="A260" i="123"/>
  <c r="G259" i="123"/>
  <c r="B170" i="123"/>
  <c r="C169" i="123"/>
  <c r="E169" i="123" s="1"/>
  <c r="F169" i="123"/>
  <c r="A173" i="123"/>
  <c r="G172" i="123"/>
  <c r="G291" i="123"/>
  <c r="A292" i="123"/>
  <c r="B202" i="123"/>
  <c r="C201" i="123"/>
  <c r="E201" i="123" s="1"/>
  <c r="F201" i="123"/>
  <c r="C543" i="123"/>
  <c r="E543" i="123" s="1"/>
  <c r="B544" i="123"/>
  <c r="F543" i="123"/>
  <c r="B229" i="123"/>
  <c r="C228" i="123"/>
  <c r="E228" i="123" s="1"/>
  <c r="F228" i="123"/>
  <c r="G427" i="123"/>
  <c r="A428" i="123"/>
  <c r="B144" i="123"/>
  <c r="F143" i="123"/>
  <c r="C143" i="123"/>
  <c r="E143" i="123" s="1"/>
  <c r="A349" i="123"/>
  <c r="G348" i="123"/>
  <c r="C338" i="123"/>
  <c r="E338" i="123" s="1"/>
  <c r="F338" i="123"/>
  <c r="B339" i="123"/>
  <c r="B256" i="123"/>
  <c r="C255" i="123"/>
  <c r="E255" i="123" s="1"/>
  <c r="F255" i="123"/>
  <c r="C594" i="123"/>
  <c r="E594" i="123" s="1"/>
  <c r="F594" i="123"/>
  <c r="B595" i="123"/>
  <c r="G144" i="123"/>
  <c r="A145" i="123"/>
  <c r="G400" i="123"/>
  <c r="A401" i="123"/>
  <c r="C371" i="123"/>
  <c r="E371" i="123" s="1"/>
  <c r="F371" i="123"/>
  <c r="B372" i="123"/>
  <c r="A598" i="123"/>
  <c r="G597" i="123"/>
  <c r="B570" i="123"/>
  <c r="C569" i="123"/>
  <c r="E569" i="123" s="1"/>
  <c r="F569" i="123"/>
  <c r="B399" i="123"/>
  <c r="C398" i="123"/>
  <c r="E398" i="123" s="1"/>
  <c r="F398" i="123"/>
  <c r="A545" i="123"/>
  <c r="G544" i="123"/>
  <c r="A236" i="123"/>
  <c r="G235" i="123"/>
  <c r="A374" i="123"/>
  <c r="G373" i="123"/>
  <c r="G118" i="123"/>
  <c r="A119" i="123"/>
  <c r="A572" i="123"/>
  <c r="G571" i="123"/>
  <c r="F427" i="123"/>
  <c r="B428" i="123"/>
  <c r="C427" i="123"/>
  <c r="E427" i="123" s="1"/>
  <c r="B313" i="123"/>
  <c r="C312" i="123"/>
  <c r="E312" i="123" s="1"/>
  <c r="F312" i="123"/>
  <c r="G318" i="123"/>
  <c r="A319" i="123"/>
  <c r="F117" i="123"/>
  <c r="B118" i="123"/>
  <c r="C117" i="123"/>
  <c r="E117" i="123" s="1"/>
  <c r="AF125" i="8"/>
  <c r="AM151" i="8"/>
  <c r="AG151" i="8"/>
  <c r="AA147" i="8"/>
  <c r="AA145" i="8"/>
  <c r="AA146" i="8"/>
  <c r="AA151" i="8"/>
  <c r="AA150" i="8"/>
  <c r="AA149" i="8"/>
  <c r="AA148" i="8"/>
  <c r="AK125" i="8"/>
  <c r="AO125" i="8"/>
  <c r="AI151" i="8"/>
  <c r="AS151" i="8"/>
  <c r="Z151" i="8"/>
  <c r="AB121" i="8"/>
  <c r="AB125" i="8"/>
  <c r="AB122" i="8"/>
  <c r="AB123" i="8"/>
  <c r="AB120" i="8"/>
  <c r="AB124" i="8"/>
  <c r="AB119" i="8"/>
  <c r="AQ125" i="8"/>
  <c r="Z125" i="8"/>
  <c r="AL151" i="8"/>
  <c r="AM125" i="8"/>
  <c r="AS125" i="8"/>
  <c r="AN151" i="8"/>
  <c r="AJ151" i="8"/>
  <c r="AP151" i="8"/>
  <c r="AO151" i="8"/>
  <c r="AO150" i="8"/>
  <c r="AO149" i="8"/>
  <c r="AO148" i="8"/>
  <c r="AO147" i="8"/>
  <c r="AO145" i="8"/>
  <c r="AO146" i="8"/>
  <c r="AQ151" i="8"/>
  <c r="AU151" i="8"/>
  <c r="AU125" i="8"/>
  <c r="AA125" i="8"/>
  <c r="AT151" i="8"/>
  <c r="Y151" i="8"/>
  <c r="G125" i="8"/>
  <c r="J125" i="8"/>
  <c r="I151" i="8"/>
  <c r="C125" i="8"/>
  <c r="F122" i="8"/>
  <c r="F121" i="8"/>
  <c r="F123" i="8"/>
  <c r="F124" i="8"/>
  <c r="F125" i="8"/>
  <c r="F119" i="8"/>
  <c r="F120" i="8"/>
  <c r="E125" i="8"/>
  <c r="D151" i="8"/>
  <c r="E150" i="8"/>
  <c r="E147" i="8"/>
  <c r="E149" i="8"/>
  <c r="E145" i="8"/>
  <c r="E146" i="8"/>
  <c r="E151" i="8"/>
  <c r="E148" i="8"/>
  <c r="AC98" i="8"/>
  <c r="AC97" i="8"/>
  <c r="L97" i="8"/>
  <c r="AD5" i="8"/>
  <c r="AD13" i="8"/>
  <c r="AD14" i="8"/>
  <c r="AD15" i="8"/>
  <c r="AD16" i="8"/>
  <c r="AD17" i="8"/>
  <c r="AI72" i="8"/>
  <c r="AI152" i="8" s="1"/>
  <c r="AH72" i="8"/>
  <c r="AH152" i="8" s="1"/>
  <c r="AG72" i="8"/>
  <c r="AG152" i="8" s="1"/>
  <c r="J72" i="8"/>
  <c r="J152" i="8" s="1"/>
  <c r="AF72" i="8"/>
  <c r="AF152" i="8" s="1"/>
  <c r="AM72" i="8"/>
  <c r="AM152" i="8" s="1"/>
  <c r="AL72" i="8"/>
  <c r="AL152" i="8" s="1"/>
  <c r="K72" i="8"/>
  <c r="I72" i="8"/>
  <c r="I152" i="8" s="1"/>
  <c r="H72" i="8"/>
  <c r="H152" i="8" s="1"/>
  <c r="G72" i="8"/>
  <c r="G152" i="8" s="1"/>
  <c r="AK72" i="8"/>
  <c r="AK152" i="8" s="1"/>
  <c r="AJ72" i="8"/>
  <c r="AJ152" i="8" s="1"/>
  <c r="Y72" i="8"/>
  <c r="AU72" i="8"/>
  <c r="AB72" i="8"/>
  <c r="AO72" i="8"/>
  <c r="AO152" i="8" s="1"/>
  <c r="AT72" i="8"/>
  <c r="AQ72" i="8"/>
  <c r="AY72" i="8"/>
  <c r="D72" i="8"/>
  <c r="AN72" i="8"/>
  <c r="AN152" i="8" s="1"/>
  <c r="Z72" i="8"/>
  <c r="AP72" i="8"/>
  <c r="AP152" i="8" s="1"/>
  <c r="AS72" i="8"/>
  <c r="F72" i="8"/>
  <c r="AA72" i="8"/>
  <c r="C72" i="8"/>
  <c r="AR72" i="8"/>
  <c r="AR152" i="8" s="1"/>
  <c r="E72" i="8"/>
  <c r="B73" i="8"/>
  <c r="AI19" i="8"/>
  <c r="AI99" i="8" s="1"/>
  <c r="AH19" i="8"/>
  <c r="AH99" i="8" s="1"/>
  <c r="AG19" i="8"/>
  <c r="AG99" i="8" s="1"/>
  <c r="AF19" i="8"/>
  <c r="AF99" i="8" s="1"/>
  <c r="AM19" i="8"/>
  <c r="AM99" i="8" s="1"/>
  <c r="AL19" i="8"/>
  <c r="AL99" i="8" s="1"/>
  <c r="K19" i="8"/>
  <c r="K99" i="8" s="1"/>
  <c r="J19" i="8"/>
  <c r="J99" i="8" s="1"/>
  <c r="I19" i="8"/>
  <c r="H19" i="8"/>
  <c r="H99" i="8" s="1"/>
  <c r="AK19" i="8"/>
  <c r="AK99" i="8" s="1"/>
  <c r="G19" i="8"/>
  <c r="AJ19" i="8"/>
  <c r="AJ99" i="8" s="1"/>
  <c r="BZ12" i="12"/>
  <c r="BZ29" i="12"/>
  <c r="BZ11" i="12"/>
  <c r="BZ5" i="12"/>
  <c r="L93" i="8"/>
  <c r="L94" i="8"/>
  <c r="L95" i="8"/>
  <c r="L96" i="8"/>
  <c r="AI46" i="8"/>
  <c r="AI126" i="8" s="1"/>
  <c r="AH46" i="8"/>
  <c r="AH126" i="8" s="1"/>
  <c r="AG46" i="8"/>
  <c r="AG126" i="8" s="1"/>
  <c r="AF46" i="8"/>
  <c r="AF126" i="8" s="1"/>
  <c r="AM46" i="8"/>
  <c r="AM126" i="8" s="1"/>
  <c r="AL46" i="8"/>
  <c r="AL126" i="8" s="1"/>
  <c r="AK46" i="8"/>
  <c r="AK126" i="8" s="1"/>
  <c r="I46" i="8"/>
  <c r="AJ46" i="8"/>
  <c r="AJ126" i="8" s="1"/>
  <c r="H46" i="8"/>
  <c r="H126" i="8" s="1"/>
  <c r="G46" i="8"/>
  <c r="G126" i="8" s="1"/>
  <c r="K46" i="8"/>
  <c r="J46" i="8"/>
  <c r="AC96" i="8"/>
  <c r="AB65" i="8"/>
  <c r="AB66" i="8"/>
  <c r="AB67" i="8"/>
  <c r="AB68" i="8"/>
  <c r="AB69" i="8"/>
  <c r="AB70" i="8"/>
  <c r="L6" i="8"/>
  <c r="L72" i="8" s="1"/>
  <c r="L39" i="8"/>
  <c r="L40" i="8"/>
  <c r="L41" i="8"/>
  <c r="L42" i="8"/>
  <c r="L43" i="8"/>
  <c r="L44" i="8"/>
  <c r="F66" i="8"/>
  <c r="F67" i="8"/>
  <c r="F65" i="8"/>
  <c r="F68" i="8"/>
  <c r="F69" i="8"/>
  <c r="F70" i="8"/>
  <c r="CR29" i="125"/>
  <c r="CR5" i="125"/>
  <c r="CR12" i="125"/>
  <c r="CR11" i="125"/>
  <c r="F71" i="8"/>
  <c r="N4" i="8"/>
  <c r="N19" i="8" s="1"/>
  <c r="R174" i="8"/>
  <c r="M5" i="8"/>
  <c r="M46" i="8" s="1"/>
  <c r="M13" i="8"/>
  <c r="M14" i="8"/>
  <c r="M15" i="8"/>
  <c r="M16" i="8"/>
  <c r="M17" i="8"/>
  <c r="AD18" i="8"/>
  <c r="CA11" i="125"/>
  <c r="CA29" i="125"/>
  <c r="CA12" i="125"/>
  <c r="CA5" i="125"/>
  <c r="AC93" i="8"/>
  <c r="AC94" i="8"/>
  <c r="AC95" i="8"/>
  <c r="AC6" i="8"/>
  <c r="AC39" i="8"/>
  <c r="AC40" i="8"/>
  <c r="AC41" i="8"/>
  <c r="AC42" i="8"/>
  <c r="AC43" i="8"/>
  <c r="AC44" i="8"/>
  <c r="AE4" i="8"/>
  <c r="AE19" i="8" s="1"/>
  <c r="N226" i="8"/>
  <c r="O226" i="8" s="1"/>
  <c r="P226" i="8" s="1"/>
  <c r="Q226" i="8" s="1"/>
  <c r="R226" i="8" s="1"/>
  <c r="S226" i="8" s="1"/>
  <c r="T226" i="8" s="1"/>
  <c r="U226" i="8" s="1"/>
  <c r="V226" i="8" s="1"/>
  <c r="W226" i="8" s="1"/>
  <c r="X226" i="8" s="1"/>
  <c r="Y226" i="8" s="1"/>
  <c r="Z226" i="8" s="1"/>
  <c r="AA226" i="8" s="1"/>
  <c r="AB226" i="8" s="1"/>
  <c r="AC226" i="8" s="1"/>
  <c r="AD226" i="8" s="1"/>
  <c r="AE226" i="8" s="1"/>
  <c r="AF226" i="8" s="1"/>
  <c r="AG226" i="8" s="1"/>
  <c r="AB71" i="8"/>
  <c r="J98" i="8"/>
  <c r="K98" i="8"/>
  <c r="AR98" i="8"/>
  <c r="AC19" i="8"/>
  <c r="AC99" i="8" s="1"/>
  <c r="AY19" i="8"/>
  <c r="AY99" i="8" s="1"/>
  <c r="L19" i="8"/>
  <c r="L99" i="8" s="1"/>
  <c r="AS19" i="8"/>
  <c r="D19" i="8"/>
  <c r="D99" i="8" s="1"/>
  <c r="AD19" i="8"/>
  <c r="AQ19" i="8"/>
  <c r="AN19" i="8"/>
  <c r="AN99" i="8" s="1"/>
  <c r="AP19" i="8"/>
  <c r="AP99" i="8" s="1"/>
  <c r="AU19" i="8"/>
  <c r="AU99" i="8" s="1"/>
  <c r="AO19" i="8"/>
  <c r="AT19" i="8"/>
  <c r="AB19" i="8"/>
  <c r="B20" i="8"/>
  <c r="C19" i="8"/>
  <c r="C99" i="8" s="1"/>
  <c r="AR19" i="8"/>
  <c r="AR99" i="8" s="1"/>
  <c r="E19" i="8"/>
  <c r="AA19" i="8"/>
  <c r="AA99" i="8" s="1"/>
  <c r="M19" i="8"/>
  <c r="F19" i="8"/>
  <c r="F99" i="8" s="1"/>
  <c r="Z19" i="8"/>
  <c r="Y19" i="8"/>
  <c r="Y99" i="8" s="1"/>
  <c r="C98" i="8"/>
  <c r="Y98" i="8"/>
  <c r="AL98" i="8"/>
  <c r="AB98" i="8"/>
  <c r="AQ46" i="8"/>
  <c r="AU46" i="8"/>
  <c r="AU126" i="8" s="1"/>
  <c r="AN46" i="8"/>
  <c r="AN126" i="8" s="1"/>
  <c r="AO46" i="8"/>
  <c r="C46" i="8"/>
  <c r="C126" i="8" s="1"/>
  <c r="AY46" i="8"/>
  <c r="AR46" i="8"/>
  <c r="AR126" i="8" s="1"/>
  <c r="Y46" i="8"/>
  <c r="Y126" i="8" s="1"/>
  <c r="B47" i="8"/>
  <c r="D46" i="8"/>
  <c r="D126" i="8" s="1"/>
  <c r="F46" i="8"/>
  <c r="F126" i="8" s="1"/>
  <c r="E46" i="8"/>
  <c r="AT46" i="8"/>
  <c r="AT126" i="8" s="1"/>
  <c r="AA46" i="8"/>
  <c r="L46" i="8"/>
  <c r="AC46" i="8"/>
  <c r="AP46" i="8"/>
  <c r="AP126" i="8" s="1"/>
  <c r="AB46" i="8"/>
  <c r="Z46" i="8"/>
  <c r="AS46" i="8"/>
  <c r="AD46" i="8"/>
  <c r="AK98" i="8"/>
  <c r="AI98" i="8"/>
  <c r="G99" i="8"/>
  <c r="AM98" i="8"/>
  <c r="H98" i="8"/>
  <c r="AP98" i="8"/>
  <c r="F98" i="8"/>
  <c r="AT98" i="8"/>
  <c r="AO98" i="8"/>
  <c r="AF98" i="8"/>
  <c r="D98" i="8"/>
  <c r="AU98" i="8"/>
  <c r="AQ98" i="8"/>
  <c r="AS99" i="8"/>
  <c r="AH98" i="8"/>
  <c r="AN98" i="8"/>
  <c r="L98" i="8"/>
  <c r="G98" i="8"/>
  <c r="AS98" i="8"/>
  <c r="AG98" i="8"/>
  <c r="AJ98" i="8"/>
  <c r="BY8" i="25"/>
  <c r="BY6" i="25"/>
  <c r="C17" i="119" l="1"/>
  <c r="B17" i="119" s="1"/>
  <c r="B16" i="119"/>
  <c r="J43" i="119"/>
  <c r="B13" i="119"/>
  <c r="A69" i="123"/>
  <c r="G68" i="123"/>
  <c r="B33" i="123"/>
  <c r="A39" i="123"/>
  <c r="G38" i="123"/>
  <c r="B86" i="123"/>
  <c r="B61" i="123"/>
  <c r="F118" i="123"/>
  <c r="B119" i="123"/>
  <c r="C118" i="123"/>
  <c r="E118" i="123" s="1"/>
  <c r="A546" i="123"/>
  <c r="G545" i="123"/>
  <c r="C229" i="123"/>
  <c r="E229" i="123" s="1"/>
  <c r="F229" i="123"/>
  <c r="B230" i="123"/>
  <c r="B171" i="123"/>
  <c r="C170" i="123"/>
  <c r="E170" i="123" s="1"/>
  <c r="F170" i="123"/>
  <c r="G511" i="123"/>
  <c r="A512" i="123"/>
  <c r="G458" i="123"/>
  <c r="A459" i="123"/>
  <c r="A320" i="123"/>
  <c r="G319" i="123"/>
  <c r="G598" i="123"/>
  <c r="A599" i="123"/>
  <c r="F202" i="123"/>
  <c r="C202" i="123"/>
  <c r="E202" i="123" s="1"/>
  <c r="B203" i="123"/>
  <c r="A261" i="123"/>
  <c r="G260" i="123"/>
  <c r="B487" i="123"/>
  <c r="C486" i="123"/>
  <c r="E486" i="123" s="1"/>
  <c r="F486" i="123"/>
  <c r="A375" i="123"/>
  <c r="G374" i="123"/>
  <c r="B340" i="123"/>
  <c r="F339" i="123"/>
  <c r="C339" i="123"/>
  <c r="E339" i="123" s="1"/>
  <c r="F287" i="123"/>
  <c r="B288" i="123"/>
  <c r="C287" i="123"/>
  <c r="E287" i="123" s="1"/>
  <c r="B314" i="123"/>
  <c r="C313" i="123"/>
  <c r="E313" i="123" s="1"/>
  <c r="F313" i="123"/>
  <c r="C428" i="123"/>
  <c r="E428" i="123" s="1"/>
  <c r="F428" i="123"/>
  <c r="B429" i="123"/>
  <c r="B373" i="123"/>
  <c r="C372" i="123"/>
  <c r="E372" i="123" s="1"/>
  <c r="F372" i="123"/>
  <c r="A293" i="123"/>
  <c r="G292" i="123"/>
  <c r="A429" i="123"/>
  <c r="G428" i="123"/>
  <c r="F399" i="123"/>
  <c r="C399" i="123"/>
  <c r="E399" i="123" s="1"/>
  <c r="B400" i="123"/>
  <c r="A146" i="123"/>
  <c r="G145" i="123"/>
  <c r="F144" i="123"/>
  <c r="B145" i="123"/>
  <c r="C144" i="123"/>
  <c r="E144" i="123" s="1"/>
  <c r="G572" i="123"/>
  <c r="A573" i="123"/>
  <c r="A237" i="123"/>
  <c r="G236" i="123"/>
  <c r="B571" i="123"/>
  <c r="C570" i="123"/>
  <c r="E570" i="123" s="1"/>
  <c r="F570" i="123"/>
  <c r="G401" i="123"/>
  <c r="A402" i="123"/>
  <c r="B596" i="123"/>
  <c r="F595" i="123"/>
  <c r="C595" i="123"/>
  <c r="E595" i="123" s="1"/>
  <c r="C544" i="123"/>
  <c r="E544" i="123" s="1"/>
  <c r="B545" i="123"/>
  <c r="F544" i="123"/>
  <c r="G173" i="123"/>
  <c r="A174" i="123"/>
  <c r="C456" i="123"/>
  <c r="E456" i="123" s="1"/>
  <c r="F456" i="123"/>
  <c r="B457" i="123"/>
  <c r="B257" i="123"/>
  <c r="F256" i="123"/>
  <c r="C256" i="123"/>
  <c r="E256" i="123" s="1"/>
  <c r="G119" i="123"/>
  <c r="A120" i="123"/>
  <c r="A350" i="123"/>
  <c r="G349" i="123"/>
  <c r="C509" i="123"/>
  <c r="E509" i="123" s="1"/>
  <c r="F509" i="123"/>
  <c r="B510" i="123"/>
  <c r="G487" i="123"/>
  <c r="A488" i="123"/>
  <c r="L125" i="8"/>
  <c r="L120" i="8"/>
  <c r="L123" i="8"/>
  <c r="L126" i="8"/>
  <c r="L121" i="8"/>
  <c r="L122" i="8"/>
  <c r="L124" i="8"/>
  <c r="L119" i="8"/>
  <c r="AY152" i="8"/>
  <c r="AY126" i="8"/>
  <c r="AB148" i="8"/>
  <c r="AB147" i="8"/>
  <c r="AB146" i="8"/>
  <c r="AB152" i="8"/>
  <c r="AB151" i="8"/>
  <c r="AB150" i="8"/>
  <c r="AB145" i="8"/>
  <c r="AB149" i="8"/>
  <c r="Z152" i="8"/>
  <c r="AU152" i="8"/>
  <c r="AB126" i="8"/>
  <c r="AQ126" i="8"/>
  <c r="AT152" i="8"/>
  <c r="AS152" i="8"/>
  <c r="AO153" i="8"/>
  <c r="AA126" i="8"/>
  <c r="AO127" i="8"/>
  <c r="AS126" i="8"/>
  <c r="Z126" i="8"/>
  <c r="AA152" i="8"/>
  <c r="AQ152" i="8"/>
  <c r="AO126" i="8"/>
  <c r="AC122" i="8"/>
  <c r="AC124" i="8"/>
  <c r="AC127" i="8"/>
  <c r="AC121" i="8"/>
  <c r="AC123" i="8"/>
  <c r="AC119" i="8"/>
  <c r="AC120" i="8"/>
  <c r="AC126" i="8"/>
  <c r="AC125" i="8"/>
  <c r="Y152" i="8"/>
  <c r="I126" i="8"/>
  <c r="K126" i="8"/>
  <c r="J126" i="8"/>
  <c r="K152" i="8"/>
  <c r="D152" i="8"/>
  <c r="C152" i="8"/>
  <c r="F150" i="8"/>
  <c r="F147" i="8"/>
  <c r="F152" i="8"/>
  <c r="F149" i="8"/>
  <c r="F145" i="8"/>
  <c r="F146" i="8"/>
  <c r="F151" i="8"/>
  <c r="F148" i="8"/>
  <c r="E126" i="8"/>
  <c r="E152" i="8"/>
  <c r="M99" i="8"/>
  <c r="AD99" i="8"/>
  <c r="AD98" i="8"/>
  <c r="AD97" i="8"/>
  <c r="AD96" i="8"/>
  <c r="M98" i="8"/>
  <c r="CF6" i="25"/>
  <c r="CQ6" i="25"/>
  <c r="CQ8" i="25"/>
  <c r="CF8" i="25"/>
  <c r="CR29" i="12"/>
  <c r="CR5" i="12"/>
  <c r="CR12" i="12"/>
  <c r="CR11" i="12"/>
  <c r="N5" i="8"/>
  <c r="N14" i="8"/>
  <c r="N15" i="8"/>
  <c r="N16" i="8"/>
  <c r="N17" i="8"/>
  <c r="N18" i="8"/>
  <c r="CB12" i="125"/>
  <c r="CB11" i="125"/>
  <c r="CB29" i="125"/>
  <c r="CB5" i="125"/>
  <c r="AE5" i="8"/>
  <c r="AE13" i="8"/>
  <c r="AE14" i="8"/>
  <c r="AE15" i="8"/>
  <c r="AE16" i="8"/>
  <c r="AE17" i="8"/>
  <c r="AE18" i="8"/>
  <c r="L66" i="8"/>
  <c r="L67" i="8"/>
  <c r="L65" i="8"/>
  <c r="L68" i="8"/>
  <c r="L69" i="8"/>
  <c r="L70" i="8"/>
  <c r="L71" i="8"/>
  <c r="AI73" i="8"/>
  <c r="AI153" i="8" s="1"/>
  <c r="AH73" i="8"/>
  <c r="AH153" i="8" s="1"/>
  <c r="AG73" i="8"/>
  <c r="AG153" i="8" s="1"/>
  <c r="AF73" i="8"/>
  <c r="AF153" i="8" s="1"/>
  <c r="AM73" i="8"/>
  <c r="AM153" i="8" s="1"/>
  <c r="AL73" i="8"/>
  <c r="AL153" i="8" s="1"/>
  <c r="H73" i="8"/>
  <c r="H153" i="8" s="1"/>
  <c r="G73" i="8"/>
  <c r="G153" i="8" s="1"/>
  <c r="AK73" i="8"/>
  <c r="AK153" i="8" s="1"/>
  <c r="AJ73" i="8"/>
  <c r="AJ153" i="8" s="1"/>
  <c r="K73" i="8"/>
  <c r="K153" i="8" s="1"/>
  <c r="J73" i="8"/>
  <c r="I73" i="8"/>
  <c r="F73" i="8"/>
  <c r="F153" i="8" s="1"/>
  <c r="AS73" i="8"/>
  <c r="Y73" i="8"/>
  <c r="Y153" i="8" s="1"/>
  <c r="Z73" i="8"/>
  <c r="AR73" i="8"/>
  <c r="AR153" i="8" s="1"/>
  <c r="AU73" i="8"/>
  <c r="AU153" i="8" s="1"/>
  <c r="B74" i="8"/>
  <c r="AO73" i="8"/>
  <c r="E73" i="8"/>
  <c r="AQ73" i="8"/>
  <c r="AT73" i="8"/>
  <c r="AT153" i="8" s="1"/>
  <c r="L73" i="8"/>
  <c r="AC73" i="8"/>
  <c r="D73" i="8"/>
  <c r="AY73" i="8"/>
  <c r="AY153" i="8" s="1"/>
  <c r="AB73" i="8"/>
  <c r="AP73" i="8"/>
  <c r="AP153" i="8" s="1"/>
  <c r="C73" i="8"/>
  <c r="C153" i="8" s="1"/>
  <c r="AA73" i="8"/>
  <c r="AN73" i="8"/>
  <c r="AN153" i="8" s="1"/>
  <c r="AC66" i="8"/>
  <c r="AC67" i="8"/>
  <c r="AC65" i="8"/>
  <c r="AC68" i="8"/>
  <c r="AC69" i="8"/>
  <c r="AC70" i="8"/>
  <c r="AC71" i="8"/>
  <c r="CA5" i="12"/>
  <c r="CA11" i="12"/>
  <c r="CA29" i="12"/>
  <c r="CA12" i="12"/>
  <c r="M93" i="8"/>
  <c r="M94" i="8"/>
  <c r="M95" i="8"/>
  <c r="M96" i="8"/>
  <c r="M97" i="8"/>
  <c r="AC72" i="8"/>
  <c r="AI47" i="8"/>
  <c r="AI127" i="8" s="1"/>
  <c r="AH47" i="8"/>
  <c r="AH127" i="8" s="1"/>
  <c r="AG47" i="8"/>
  <c r="AG127" i="8" s="1"/>
  <c r="AF47" i="8"/>
  <c r="AF127" i="8" s="1"/>
  <c r="AM47" i="8"/>
  <c r="AM127" i="8" s="1"/>
  <c r="AL47" i="8"/>
  <c r="AL127" i="8" s="1"/>
  <c r="K47" i="8"/>
  <c r="K127" i="8" s="1"/>
  <c r="J47" i="8"/>
  <c r="J127" i="8" s="1"/>
  <c r="I47" i="8"/>
  <c r="I127" i="8" s="1"/>
  <c r="H47" i="8"/>
  <c r="H127" i="8" s="1"/>
  <c r="G47" i="8"/>
  <c r="G127" i="8" s="1"/>
  <c r="AK47" i="8"/>
  <c r="AK127" i="8" s="1"/>
  <c r="AJ47" i="8"/>
  <c r="AJ127" i="8" s="1"/>
  <c r="M6" i="8"/>
  <c r="M73" i="8" s="1"/>
  <c r="M39" i="8"/>
  <c r="M41" i="8"/>
  <c r="M40" i="8"/>
  <c r="M42" i="8"/>
  <c r="M43" i="8"/>
  <c r="M44" i="8"/>
  <c r="M45" i="8"/>
  <c r="AD93" i="8"/>
  <c r="AD94" i="8"/>
  <c r="AD95" i="8"/>
  <c r="AI20" i="8"/>
  <c r="AI100" i="8" s="1"/>
  <c r="AH20" i="8"/>
  <c r="AG20" i="8"/>
  <c r="AF20" i="8"/>
  <c r="AF100" i="8" s="1"/>
  <c r="AM20" i="8"/>
  <c r="AL20" i="8"/>
  <c r="AK20" i="8"/>
  <c r="AJ20" i="8"/>
  <c r="AJ100" i="8" s="1"/>
  <c r="K20" i="8"/>
  <c r="J20" i="8"/>
  <c r="I20" i="8"/>
  <c r="I100" i="8" s="1"/>
  <c r="H20" i="8"/>
  <c r="G20" i="8"/>
  <c r="G100" i="8" s="1"/>
  <c r="AZ4" i="8"/>
  <c r="S174" i="8"/>
  <c r="AD6" i="8"/>
  <c r="AD39" i="8"/>
  <c r="AD41" i="8"/>
  <c r="AD40" i="8"/>
  <c r="AD42" i="8"/>
  <c r="AD43" i="8"/>
  <c r="AD44" i="8"/>
  <c r="AD45" i="8"/>
  <c r="C20" i="8"/>
  <c r="Y20" i="8"/>
  <c r="Y100" i="8" s="1"/>
  <c r="N20" i="8"/>
  <c r="AQ20" i="8"/>
  <c r="AO20" i="8"/>
  <c r="Z20" i="8"/>
  <c r="Z100" i="8" s="1"/>
  <c r="AU20" i="8"/>
  <c r="AN20" i="8"/>
  <c r="AN100" i="8" s="1"/>
  <c r="E20" i="8"/>
  <c r="E100" i="8" s="1"/>
  <c r="AD20" i="8"/>
  <c r="AY20" i="8"/>
  <c r="AR20" i="8"/>
  <c r="AC20" i="8"/>
  <c r="AA20" i="8"/>
  <c r="AA100" i="8" s="1"/>
  <c r="D20" i="8"/>
  <c r="D100" i="8" s="1"/>
  <c r="AZ20" i="8"/>
  <c r="AS20" i="8"/>
  <c r="L20" i="8"/>
  <c r="AB20" i="8"/>
  <c r="AB100" i="8" s="1"/>
  <c r="AP20" i="8"/>
  <c r="M20" i="8"/>
  <c r="AE20" i="8"/>
  <c r="B21" i="8"/>
  <c r="F20" i="8"/>
  <c r="AT20" i="8"/>
  <c r="AT100" i="8" s="1"/>
  <c r="E99" i="8"/>
  <c r="AB99" i="8"/>
  <c r="Z99" i="8"/>
  <c r="AT99" i="8"/>
  <c r="I99" i="8"/>
  <c r="AB47" i="8"/>
  <c r="Y47" i="8"/>
  <c r="Y127" i="8" s="1"/>
  <c r="C47" i="8"/>
  <c r="C127" i="8" s="1"/>
  <c r="AA47" i="8"/>
  <c r="AY47" i="8"/>
  <c r="AY127" i="8" s="1"/>
  <c r="D47" i="8"/>
  <c r="E47" i="8"/>
  <c r="AS47" i="8"/>
  <c r="AS127" i="8" s="1"/>
  <c r="F47" i="8"/>
  <c r="B48" i="8"/>
  <c r="Z47" i="8"/>
  <c r="M47" i="8"/>
  <c r="L47" i="8"/>
  <c r="AC47" i="8"/>
  <c r="N47" i="8"/>
  <c r="AD47" i="8"/>
  <c r="AP47" i="8"/>
  <c r="AP127" i="8" s="1"/>
  <c r="AU47" i="8"/>
  <c r="AU127" i="8" s="1"/>
  <c r="AO47" i="8"/>
  <c r="AT47" i="8"/>
  <c r="AT127" i="8" s="1"/>
  <c r="AE47" i="8"/>
  <c r="AR47" i="8"/>
  <c r="AR127" i="8" s="1"/>
  <c r="AQ47" i="8"/>
  <c r="AQ127" i="8" s="1"/>
  <c r="AN47" i="8"/>
  <c r="AN127" i="8" s="1"/>
  <c r="AO99" i="8"/>
  <c r="AQ99" i="8"/>
  <c r="BY10" i="25"/>
  <c r="BY12" i="25"/>
  <c r="C19" i="119" l="1"/>
  <c r="C21" i="101" s="1"/>
  <c r="C25" i="101" s="1"/>
  <c r="G39" i="123"/>
  <c r="A40" i="123"/>
  <c r="B34" i="123"/>
  <c r="B87" i="123"/>
  <c r="B62" i="123"/>
  <c r="A70" i="123"/>
  <c r="G70" i="123" s="1"/>
  <c r="G69" i="123"/>
  <c r="B315" i="123"/>
  <c r="C314" i="123"/>
  <c r="E314" i="123" s="1"/>
  <c r="F314" i="123"/>
  <c r="B341" i="123"/>
  <c r="C340" i="123"/>
  <c r="E340" i="123" s="1"/>
  <c r="F340" i="123"/>
  <c r="A600" i="123"/>
  <c r="G599" i="123"/>
  <c r="B231" i="123"/>
  <c r="C230" i="123"/>
  <c r="E230" i="123" s="1"/>
  <c r="F230" i="123"/>
  <c r="C257" i="123"/>
  <c r="E257" i="123" s="1"/>
  <c r="F257" i="123"/>
  <c r="B258" i="123"/>
  <c r="C545" i="123"/>
  <c r="E545" i="123" s="1"/>
  <c r="B546" i="123"/>
  <c r="F545" i="123"/>
  <c r="C145" i="123"/>
  <c r="E145" i="123" s="1"/>
  <c r="B146" i="123"/>
  <c r="F145" i="123"/>
  <c r="A262" i="123"/>
  <c r="G261" i="123"/>
  <c r="G459" i="123"/>
  <c r="A460" i="123"/>
  <c r="G488" i="123"/>
  <c r="A489" i="123"/>
  <c r="B572" i="123"/>
  <c r="C571" i="123"/>
  <c r="E571" i="123" s="1"/>
  <c r="F571" i="123"/>
  <c r="F373" i="123"/>
  <c r="B374" i="123"/>
  <c r="C373" i="123"/>
  <c r="E373" i="123" s="1"/>
  <c r="C288" i="123"/>
  <c r="E288" i="123" s="1"/>
  <c r="B289" i="123"/>
  <c r="F288" i="123"/>
  <c r="A376" i="123"/>
  <c r="G375" i="123"/>
  <c r="C457" i="123"/>
  <c r="E457" i="123" s="1"/>
  <c r="F457" i="123"/>
  <c r="B458" i="123"/>
  <c r="F429" i="123"/>
  <c r="C429" i="123"/>
  <c r="E429" i="123" s="1"/>
  <c r="B430" i="123"/>
  <c r="A513" i="123"/>
  <c r="G512" i="123"/>
  <c r="C203" i="123"/>
  <c r="E203" i="123" s="1"/>
  <c r="B204" i="123"/>
  <c r="F203" i="123"/>
  <c r="C510" i="123"/>
  <c r="E510" i="123" s="1"/>
  <c r="B511" i="123"/>
  <c r="F510" i="123"/>
  <c r="A121" i="123"/>
  <c r="G120" i="123"/>
  <c r="A238" i="123"/>
  <c r="G237" i="123"/>
  <c r="G146" i="123"/>
  <c r="A147" i="123"/>
  <c r="A430" i="123"/>
  <c r="G429" i="123"/>
  <c r="G546" i="123"/>
  <c r="A547" i="123"/>
  <c r="A321" i="123"/>
  <c r="G320" i="123"/>
  <c r="B597" i="123"/>
  <c r="F596" i="123"/>
  <c r="C596" i="123"/>
  <c r="E596" i="123" s="1"/>
  <c r="G573" i="123"/>
  <c r="A574" i="123"/>
  <c r="B401" i="123"/>
  <c r="C400" i="123"/>
  <c r="E400" i="123" s="1"/>
  <c r="F400" i="123"/>
  <c r="G174" i="123"/>
  <c r="A175" i="123"/>
  <c r="G402" i="123"/>
  <c r="A403" i="123"/>
  <c r="C119" i="123"/>
  <c r="E119" i="123" s="1"/>
  <c r="B120" i="123"/>
  <c r="F119" i="123"/>
  <c r="G350" i="123"/>
  <c r="A351" i="123"/>
  <c r="G351" i="123" s="1"/>
  <c r="A294" i="123"/>
  <c r="G293" i="123"/>
  <c r="B488" i="123"/>
  <c r="F487" i="123"/>
  <c r="C487" i="123"/>
  <c r="E487" i="123" s="1"/>
  <c r="B172" i="123"/>
  <c r="F171" i="123"/>
  <c r="C171" i="123"/>
  <c r="E171" i="123" s="1"/>
  <c r="L127" i="8"/>
  <c r="M122" i="8"/>
  <c r="M125" i="8"/>
  <c r="M120" i="8"/>
  <c r="M123" i="8"/>
  <c r="M126" i="8"/>
  <c r="M121" i="8"/>
  <c r="M124" i="8"/>
  <c r="M119" i="8"/>
  <c r="M127" i="8"/>
  <c r="AA153" i="8"/>
  <c r="AA127" i="8"/>
  <c r="AB153" i="8"/>
  <c r="Z127" i="8"/>
  <c r="AS153" i="8"/>
  <c r="Z153" i="8"/>
  <c r="AB127" i="8"/>
  <c r="AC149" i="8"/>
  <c r="AC148" i="8"/>
  <c r="AC147" i="8"/>
  <c r="AC145" i="8"/>
  <c r="AC146" i="8"/>
  <c r="AC153" i="8"/>
  <c r="AC152" i="8"/>
  <c r="AC151" i="8"/>
  <c r="AC150" i="8"/>
  <c r="AQ153" i="8"/>
  <c r="AD120" i="8"/>
  <c r="AD124" i="8"/>
  <c r="AD121" i="8"/>
  <c r="AD125" i="8"/>
  <c r="AD122" i="8"/>
  <c r="AD123" i="8"/>
  <c r="AD126" i="8"/>
  <c r="AD127" i="8"/>
  <c r="AD119" i="8"/>
  <c r="L148" i="8"/>
  <c r="L152" i="8"/>
  <c r="L145" i="8"/>
  <c r="L146" i="8"/>
  <c r="L150" i="8"/>
  <c r="L147" i="8"/>
  <c r="L149" i="8"/>
  <c r="L151" i="8"/>
  <c r="L153" i="8"/>
  <c r="I153" i="8"/>
  <c r="J153" i="8"/>
  <c r="D127" i="8"/>
  <c r="F127" i="8"/>
  <c r="D153" i="8"/>
  <c r="E127" i="8"/>
  <c r="E153" i="8"/>
  <c r="N95" i="8"/>
  <c r="AE99" i="8"/>
  <c r="N99" i="8"/>
  <c r="CF12" i="25"/>
  <c r="CQ12" i="25"/>
  <c r="CQ10" i="25"/>
  <c r="CF10" i="25"/>
  <c r="BA4" i="8"/>
  <c r="T174" i="8"/>
  <c r="CC5" i="125"/>
  <c r="CC11" i="125"/>
  <c r="CC29" i="125"/>
  <c r="CC12" i="125"/>
  <c r="AD65" i="8"/>
  <c r="AD66" i="8"/>
  <c r="AD67" i="8"/>
  <c r="AD68" i="8"/>
  <c r="AD69" i="8"/>
  <c r="AD70" i="8"/>
  <c r="AD71" i="8"/>
  <c r="AD72" i="8"/>
  <c r="AZ5" i="8"/>
  <c r="AZ13" i="8"/>
  <c r="AZ14" i="8"/>
  <c r="AZ15" i="8"/>
  <c r="AZ16" i="8"/>
  <c r="AZ17" i="8"/>
  <c r="AZ18" i="8"/>
  <c r="AZ19" i="8"/>
  <c r="N93" i="8"/>
  <c r="N94" i="8"/>
  <c r="N96" i="8"/>
  <c r="N98" i="8"/>
  <c r="AE96" i="8"/>
  <c r="AD73" i="8"/>
  <c r="CB11" i="12"/>
  <c r="CB29" i="12"/>
  <c r="CB5" i="12"/>
  <c r="CB12" i="12"/>
  <c r="N6" i="8"/>
  <c r="N39" i="8"/>
  <c r="N40" i="8"/>
  <c r="N41" i="8"/>
  <c r="N42" i="8"/>
  <c r="N43" i="8"/>
  <c r="N44" i="8"/>
  <c r="N45" i="8"/>
  <c r="N46" i="8"/>
  <c r="AI74" i="8"/>
  <c r="AI154" i="8" s="1"/>
  <c r="AH74" i="8"/>
  <c r="AH154" i="8" s="1"/>
  <c r="AG74" i="8"/>
  <c r="AG154" i="8" s="1"/>
  <c r="H74" i="8"/>
  <c r="H154" i="8" s="1"/>
  <c r="AF74" i="8"/>
  <c r="AF154" i="8" s="1"/>
  <c r="AM74" i="8"/>
  <c r="AM154" i="8" s="1"/>
  <c r="AL74" i="8"/>
  <c r="AL154" i="8" s="1"/>
  <c r="K74" i="8"/>
  <c r="K154" i="8" s="1"/>
  <c r="AK74" i="8"/>
  <c r="AK154" i="8" s="1"/>
  <c r="J74" i="8"/>
  <c r="AJ74" i="8"/>
  <c r="AJ154" i="8" s="1"/>
  <c r="I74" i="8"/>
  <c r="G74" i="8"/>
  <c r="G154" i="8" s="1"/>
  <c r="AD74" i="8"/>
  <c r="AN74" i="8"/>
  <c r="AN154" i="8" s="1"/>
  <c r="D74" i="8"/>
  <c r="D154" i="8" s="1"/>
  <c r="C74" i="8"/>
  <c r="C154" i="8" s="1"/>
  <c r="AY74" i="8"/>
  <c r="AY154" i="8" s="1"/>
  <c r="N74" i="8"/>
  <c r="Y74" i="8"/>
  <c r="Y154" i="8" s="1"/>
  <c r="AC74" i="8"/>
  <c r="M74" i="8"/>
  <c r="AS74" i="8"/>
  <c r="AS154" i="8" s="1"/>
  <c r="E74" i="8"/>
  <c r="E154" i="8" s="1"/>
  <c r="L74" i="8"/>
  <c r="L154" i="8" s="1"/>
  <c r="B75" i="8"/>
  <c r="AB74" i="8"/>
  <c r="AA74" i="8"/>
  <c r="AT74" i="8"/>
  <c r="AT154" i="8" s="1"/>
  <c r="AP74" i="8"/>
  <c r="AP154" i="8" s="1"/>
  <c r="AU74" i="8"/>
  <c r="AU154" i="8" s="1"/>
  <c r="Z74" i="8"/>
  <c r="Z154" i="8" s="1"/>
  <c r="AO74" i="8"/>
  <c r="AR74" i="8"/>
  <c r="AR154" i="8" s="1"/>
  <c r="AQ74" i="8"/>
  <c r="F74" i="8"/>
  <c r="AI21" i="8"/>
  <c r="AI101" i="8" s="1"/>
  <c r="AH21" i="8"/>
  <c r="AH101" i="8" s="1"/>
  <c r="AG21" i="8"/>
  <c r="AF21" i="8"/>
  <c r="AF101" i="8" s="1"/>
  <c r="AM21" i="8"/>
  <c r="AM101" i="8" s="1"/>
  <c r="AL21" i="8"/>
  <c r="AK21" i="8"/>
  <c r="I21" i="8"/>
  <c r="I101" i="8" s="1"/>
  <c r="AJ21" i="8"/>
  <c r="AJ101" i="8" s="1"/>
  <c r="H21" i="8"/>
  <c r="H101" i="8" s="1"/>
  <c r="G21" i="8"/>
  <c r="G101" i="8" s="1"/>
  <c r="K21" i="8"/>
  <c r="K101" i="8" s="1"/>
  <c r="J21" i="8"/>
  <c r="AE93" i="8"/>
  <c r="AE94" i="8"/>
  <c r="AE95" i="8"/>
  <c r="AE97" i="8"/>
  <c r="AE98" i="8"/>
  <c r="AI48" i="8"/>
  <c r="AI128" i="8" s="1"/>
  <c r="AH48" i="8"/>
  <c r="AH128" i="8" s="1"/>
  <c r="AG48" i="8"/>
  <c r="AG128" i="8" s="1"/>
  <c r="AF48" i="8"/>
  <c r="AF128" i="8" s="1"/>
  <c r="AM48" i="8"/>
  <c r="AM128" i="8" s="1"/>
  <c r="AL48" i="8"/>
  <c r="AL128" i="8" s="1"/>
  <c r="G48" i="8"/>
  <c r="G128" i="8" s="1"/>
  <c r="AK48" i="8"/>
  <c r="AK128" i="8" s="1"/>
  <c r="K48" i="8"/>
  <c r="K128" i="8" s="1"/>
  <c r="AJ48" i="8"/>
  <c r="AJ128" i="8" s="1"/>
  <c r="J48" i="8"/>
  <c r="I48" i="8"/>
  <c r="I128" i="8" s="1"/>
  <c r="H48" i="8"/>
  <c r="H128" i="8" s="1"/>
  <c r="M65" i="8"/>
  <c r="M67" i="8"/>
  <c r="M66" i="8"/>
  <c r="M68" i="8"/>
  <c r="M69" i="8"/>
  <c r="M70" i="8"/>
  <c r="M71" i="8"/>
  <c r="M72" i="8"/>
  <c r="AE6" i="8"/>
  <c r="AE74" i="8" s="1"/>
  <c r="AE39" i="8"/>
  <c r="AE40" i="8"/>
  <c r="AE41" i="8"/>
  <c r="AE42" i="8"/>
  <c r="AE43" i="8"/>
  <c r="AE44" i="8"/>
  <c r="AE45" i="8"/>
  <c r="AE46" i="8"/>
  <c r="N97" i="8"/>
  <c r="M100" i="8"/>
  <c r="AR100" i="8"/>
  <c r="AO100" i="8"/>
  <c r="C100" i="8"/>
  <c r="M48" i="8"/>
  <c r="AD48" i="8"/>
  <c r="AO48" i="8"/>
  <c r="AQ48" i="8"/>
  <c r="AQ128" i="8" s="1"/>
  <c r="Y48" i="8"/>
  <c r="Y128" i="8" s="1"/>
  <c r="AS48" i="8"/>
  <c r="AS128" i="8" s="1"/>
  <c r="L48" i="8"/>
  <c r="B49" i="8"/>
  <c r="AB48" i="8"/>
  <c r="AC48" i="8"/>
  <c r="F48" i="8"/>
  <c r="AP48" i="8"/>
  <c r="AP128" i="8" s="1"/>
  <c r="AU48" i="8"/>
  <c r="AU128" i="8" s="1"/>
  <c r="AR48" i="8"/>
  <c r="AR128" i="8" s="1"/>
  <c r="AN48" i="8"/>
  <c r="AN128" i="8" s="1"/>
  <c r="AY48" i="8"/>
  <c r="AY128" i="8" s="1"/>
  <c r="N48" i="8"/>
  <c r="AZ48" i="8"/>
  <c r="E48" i="8"/>
  <c r="Z48" i="8"/>
  <c r="D48" i="8"/>
  <c r="AA48" i="8"/>
  <c r="AT48" i="8"/>
  <c r="AT128" i="8" s="1"/>
  <c r="AE48" i="8"/>
  <c r="C48" i="8"/>
  <c r="C128" i="8" s="1"/>
  <c r="AP100" i="8"/>
  <c r="AY100" i="8"/>
  <c r="F100" i="8"/>
  <c r="AS100" i="8"/>
  <c r="K100" i="8"/>
  <c r="AQ100" i="8"/>
  <c r="AD100" i="8"/>
  <c r="AG100" i="8"/>
  <c r="AL100" i="8"/>
  <c r="N100" i="8"/>
  <c r="AK100" i="8"/>
  <c r="L100" i="8"/>
  <c r="AR21" i="8"/>
  <c r="AR101" i="8" s="1"/>
  <c r="AG101" i="8"/>
  <c r="F21" i="8"/>
  <c r="AP21" i="8"/>
  <c r="AP101" i="8" s="1"/>
  <c r="AB21" i="8"/>
  <c r="AD21" i="8"/>
  <c r="AD101" i="8" s="1"/>
  <c r="AE21" i="8"/>
  <c r="AE101" i="8" s="1"/>
  <c r="AO21" i="8"/>
  <c r="M21" i="8"/>
  <c r="M101" i="8" s="1"/>
  <c r="AS21" i="8"/>
  <c r="AS101" i="8" s="1"/>
  <c r="AQ21" i="8"/>
  <c r="AQ101" i="8" s="1"/>
  <c r="Z21" i="8"/>
  <c r="Y21" i="8"/>
  <c r="Y101" i="8" s="1"/>
  <c r="BA21" i="8"/>
  <c r="AU21" i="8"/>
  <c r="AU101" i="8" s="1"/>
  <c r="AC21" i="8"/>
  <c r="AC101" i="8" s="1"/>
  <c r="AT21" i="8"/>
  <c r="D21" i="8"/>
  <c r="B22" i="8"/>
  <c r="N21" i="8"/>
  <c r="L21" i="8"/>
  <c r="L101" i="8" s="1"/>
  <c r="J101" i="8"/>
  <c r="AY21" i="8"/>
  <c r="AN21" i="8"/>
  <c r="AN101" i="8" s="1"/>
  <c r="AA21" i="8"/>
  <c r="AA101" i="8" s="1"/>
  <c r="C21" i="8"/>
  <c r="C101" i="8" s="1"/>
  <c r="AZ21" i="8"/>
  <c r="E21" i="8"/>
  <c r="E101" i="8" s="1"/>
  <c r="J100" i="8"/>
  <c r="AH100" i="8"/>
  <c r="AU100" i="8"/>
  <c r="AE100" i="8"/>
  <c r="H100" i="8"/>
  <c r="AC100" i="8"/>
  <c r="AM100" i="8"/>
  <c r="B19" i="119" l="1"/>
  <c r="B88" i="123"/>
  <c r="B35" i="123"/>
  <c r="A41" i="123"/>
  <c r="G40" i="123"/>
  <c r="B63" i="123"/>
  <c r="B573" i="123"/>
  <c r="C572" i="123"/>
  <c r="E572" i="123" s="1"/>
  <c r="F572" i="123"/>
  <c r="B147" i="123"/>
  <c r="F146" i="123"/>
  <c r="C146" i="123"/>
  <c r="E146" i="123" s="1"/>
  <c r="A404" i="123"/>
  <c r="G403" i="123"/>
  <c r="A575" i="123"/>
  <c r="G574" i="123"/>
  <c r="A431" i="123"/>
  <c r="G430" i="123"/>
  <c r="F511" i="123"/>
  <c r="C511" i="123"/>
  <c r="E511" i="123" s="1"/>
  <c r="B512" i="123"/>
  <c r="A490" i="123"/>
  <c r="G489" i="123"/>
  <c r="C172" i="123"/>
  <c r="E172" i="123" s="1"/>
  <c r="F172" i="123"/>
  <c r="B173" i="123"/>
  <c r="C120" i="123"/>
  <c r="E120" i="123" s="1"/>
  <c r="F120" i="123"/>
  <c r="B121" i="123"/>
  <c r="A176" i="123"/>
  <c r="G175" i="123"/>
  <c r="G547" i="123"/>
  <c r="A548" i="123"/>
  <c r="G460" i="123"/>
  <c r="A461" i="123"/>
  <c r="C546" i="123"/>
  <c r="E546" i="123" s="1"/>
  <c r="B547" i="123"/>
  <c r="F546" i="123"/>
  <c r="C204" i="123"/>
  <c r="E204" i="123" s="1"/>
  <c r="B205" i="123"/>
  <c r="F204" i="123"/>
  <c r="F430" i="123"/>
  <c r="C430" i="123"/>
  <c r="E430" i="123" s="1"/>
  <c r="B431" i="123"/>
  <c r="B232" i="123"/>
  <c r="F231" i="123"/>
  <c r="C231" i="123"/>
  <c r="E231" i="123" s="1"/>
  <c r="B342" i="123"/>
  <c r="F341" i="123"/>
  <c r="C341" i="123"/>
  <c r="E341" i="123" s="1"/>
  <c r="C374" i="123"/>
  <c r="E374" i="123" s="1"/>
  <c r="B375" i="123"/>
  <c r="F374" i="123"/>
  <c r="C488" i="123"/>
  <c r="E488" i="123" s="1"/>
  <c r="F488" i="123"/>
  <c r="B489" i="123"/>
  <c r="B598" i="123"/>
  <c r="C597" i="123"/>
  <c r="E597" i="123" s="1"/>
  <c r="F597" i="123"/>
  <c r="A239" i="123"/>
  <c r="G238" i="123"/>
  <c r="G376" i="123"/>
  <c r="A377" i="123"/>
  <c r="C258" i="123"/>
  <c r="E258" i="123" s="1"/>
  <c r="F258" i="123"/>
  <c r="B259" i="123"/>
  <c r="A148" i="123"/>
  <c r="G147" i="123"/>
  <c r="A263" i="123"/>
  <c r="G262" i="123"/>
  <c r="A601" i="123"/>
  <c r="G600" i="123"/>
  <c r="F401" i="123"/>
  <c r="C401" i="123"/>
  <c r="E401" i="123" s="1"/>
  <c r="B402" i="123"/>
  <c r="G294" i="123"/>
  <c r="A295" i="123"/>
  <c r="A322" i="123"/>
  <c r="G321" i="123"/>
  <c r="G121" i="123"/>
  <c r="A122" i="123"/>
  <c r="G513" i="123"/>
  <c r="A514" i="123"/>
  <c r="C458" i="123"/>
  <c r="E458" i="123" s="1"/>
  <c r="F458" i="123"/>
  <c r="B459" i="123"/>
  <c r="C289" i="123"/>
  <c r="E289" i="123" s="1"/>
  <c r="B290" i="123"/>
  <c r="F289" i="123"/>
  <c r="B316" i="123"/>
  <c r="C315" i="123"/>
  <c r="E315" i="123" s="1"/>
  <c r="F315" i="123"/>
  <c r="M128" i="8"/>
  <c r="L128" i="8"/>
  <c r="N119" i="8"/>
  <c r="N127" i="8"/>
  <c r="N122" i="8"/>
  <c r="N125" i="8"/>
  <c r="N120" i="8"/>
  <c r="N128" i="8"/>
  <c r="N123" i="8"/>
  <c r="N126" i="8"/>
  <c r="N124" i="8"/>
  <c r="N121" i="8"/>
  <c r="AE121" i="8"/>
  <c r="AE125" i="8"/>
  <c r="AE120" i="8"/>
  <c r="AE122" i="8"/>
  <c r="AE124" i="8"/>
  <c r="AE126" i="8"/>
  <c r="AE123" i="8"/>
  <c r="AE127" i="8"/>
  <c r="AE128" i="8"/>
  <c r="AE119" i="8"/>
  <c r="AB154" i="8"/>
  <c r="AA154" i="8"/>
  <c r="AC128" i="8"/>
  <c r="AO154" i="8"/>
  <c r="Z128" i="8"/>
  <c r="AA128" i="8"/>
  <c r="AD128" i="8"/>
  <c r="AC154" i="8"/>
  <c r="AB128" i="8"/>
  <c r="AO128" i="8"/>
  <c r="AD150" i="8"/>
  <c r="AD149" i="8"/>
  <c r="AD148" i="8"/>
  <c r="AD147" i="8"/>
  <c r="AD145" i="8"/>
  <c r="AD146" i="8"/>
  <c r="AD154" i="8"/>
  <c r="AD153" i="8"/>
  <c r="AD152" i="8"/>
  <c r="AD151" i="8"/>
  <c r="AQ154" i="8"/>
  <c r="J128" i="8"/>
  <c r="M154" i="8"/>
  <c r="M151" i="8"/>
  <c r="M152" i="8"/>
  <c r="M149" i="8"/>
  <c r="M146" i="8"/>
  <c r="M148" i="8"/>
  <c r="M150" i="8"/>
  <c r="M145" i="8"/>
  <c r="M147" i="8"/>
  <c r="M153" i="8"/>
  <c r="I154" i="8"/>
  <c r="J154" i="8"/>
  <c r="E128" i="8"/>
  <c r="D128" i="8"/>
  <c r="F154" i="8"/>
  <c r="F128" i="8"/>
  <c r="AZ100" i="8"/>
  <c r="AZ93" i="8"/>
  <c r="AZ94" i="8"/>
  <c r="AZ95" i="8"/>
  <c r="AZ96" i="8"/>
  <c r="AZ97" i="8"/>
  <c r="AZ99" i="8"/>
  <c r="AI75" i="8"/>
  <c r="AI155" i="8" s="1"/>
  <c r="AH75" i="8"/>
  <c r="AH155" i="8" s="1"/>
  <c r="AG75" i="8"/>
  <c r="AG155" i="8" s="1"/>
  <c r="K75" i="8"/>
  <c r="K155" i="8" s="1"/>
  <c r="AF75" i="8"/>
  <c r="AF155" i="8" s="1"/>
  <c r="AM75" i="8"/>
  <c r="AM155" i="8" s="1"/>
  <c r="I75" i="8"/>
  <c r="I155" i="8" s="1"/>
  <c r="AL75" i="8"/>
  <c r="AL155" i="8" s="1"/>
  <c r="H75" i="8"/>
  <c r="H155" i="8" s="1"/>
  <c r="AK75" i="8"/>
  <c r="AK155" i="8" s="1"/>
  <c r="G75" i="8"/>
  <c r="G155" i="8" s="1"/>
  <c r="AJ75" i="8"/>
  <c r="AJ155" i="8" s="1"/>
  <c r="J75" i="8"/>
  <c r="AA75" i="8"/>
  <c r="AD75" i="8"/>
  <c r="AY75" i="8"/>
  <c r="AY155" i="8" s="1"/>
  <c r="E75" i="8"/>
  <c r="E155" i="8" s="1"/>
  <c r="AQ75" i="8"/>
  <c r="AQ155" i="8" s="1"/>
  <c r="Z75" i="8"/>
  <c r="AP75" i="8"/>
  <c r="AP155" i="8" s="1"/>
  <c r="AB75" i="8"/>
  <c r="AS75" i="8"/>
  <c r="AS155" i="8" s="1"/>
  <c r="L75" i="8"/>
  <c r="B76" i="8"/>
  <c r="D75" i="8"/>
  <c r="N75" i="8"/>
  <c r="AE75" i="8"/>
  <c r="AU75" i="8"/>
  <c r="AU155" i="8" s="1"/>
  <c r="M75" i="8"/>
  <c r="C75" i="8"/>
  <c r="C155" i="8" s="1"/>
  <c r="AR75" i="8"/>
  <c r="AR155" i="8" s="1"/>
  <c r="AN75" i="8"/>
  <c r="AN155" i="8" s="1"/>
  <c r="AC75" i="8"/>
  <c r="AO75" i="8"/>
  <c r="F75" i="8"/>
  <c r="AT75" i="8"/>
  <c r="AT155" i="8" s="1"/>
  <c r="Y75" i="8"/>
  <c r="Y155" i="8" s="1"/>
  <c r="AZ6" i="8"/>
  <c r="AZ39" i="8"/>
  <c r="AZ40" i="8"/>
  <c r="AZ41" i="8"/>
  <c r="AZ42" i="8"/>
  <c r="AZ43" i="8"/>
  <c r="AZ44" i="8"/>
  <c r="AZ45" i="8"/>
  <c r="AZ46" i="8"/>
  <c r="AZ47" i="8"/>
  <c r="BB4" i="8"/>
  <c r="U174" i="8"/>
  <c r="AI49" i="8"/>
  <c r="AI129" i="8" s="1"/>
  <c r="AH49" i="8"/>
  <c r="AH129" i="8" s="1"/>
  <c r="AG49" i="8"/>
  <c r="AG129" i="8" s="1"/>
  <c r="AF49" i="8"/>
  <c r="AF129" i="8" s="1"/>
  <c r="AM49" i="8"/>
  <c r="AM129" i="8" s="1"/>
  <c r="AL49" i="8"/>
  <c r="AL129" i="8" s="1"/>
  <c r="J49" i="8"/>
  <c r="J129" i="8" s="1"/>
  <c r="I49" i="8"/>
  <c r="I129" i="8" s="1"/>
  <c r="AK49" i="8"/>
  <c r="AK129" i="8" s="1"/>
  <c r="H49" i="8"/>
  <c r="H129" i="8" s="1"/>
  <c r="AJ49" i="8"/>
  <c r="AJ129" i="8" s="1"/>
  <c r="G49" i="8"/>
  <c r="G129" i="8" s="1"/>
  <c r="K49" i="8"/>
  <c r="K129" i="8" s="1"/>
  <c r="AE67" i="8"/>
  <c r="AE65" i="8"/>
  <c r="AE66" i="8"/>
  <c r="AE68" i="8"/>
  <c r="AE69" i="8"/>
  <c r="AE70" i="8"/>
  <c r="AE71" i="8"/>
  <c r="AE72" i="8"/>
  <c r="AE73" i="8"/>
  <c r="BA5" i="8"/>
  <c r="BA13" i="8"/>
  <c r="BA14" i="8"/>
  <c r="BA15" i="8"/>
  <c r="BA16" i="8"/>
  <c r="BA17" i="8"/>
  <c r="BA18" i="8"/>
  <c r="BA19" i="8"/>
  <c r="BA20" i="8"/>
  <c r="N68" i="8"/>
  <c r="N65" i="8"/>
  <c r="N66" i="8"/>
  <c r="N67" i="8"/>
  <c r="N69" i="8"/>
  <c r="N70" i="8"/>
  <c r="N71" i="8"/>
  <c r="N72" i="8"/>
  <c r="N73" i="8"/>
  <c r="AZ98" i="8"/>
  <c r="AI22" i="8"/>
  <c r="AI102" i="8" s="1"/>
  <c r="AH22" i="8"/>
  <c r="AG22" i="8"/>
  <c r="AG102" i="8" s="1"/>
  <c r="AF22" i="8"/>
  <c r="AF102" i="8" s="1"/>
  <c r="AM22" i="8"/>
  <c r="AM102" i="8" s="1"/>
  <c r="AL22" i="8"/>
  <c r="AL102" i="8" s="1"/>
  <c r="K22" i="8"/>
  <c r="J22" i="8"/>
  <c r="J102" i="8" s="1"/>
  <c r="I22" i="8"/>
  <c r="I102" i="8" s="1"/>
  <c r="H22" i="8"/>
  <c r="H102" i="8" s="1"/>
  <c r="G22" i="8"/>
  <c r="G102" i="8" s="1"/>
  <c r="AK22" i="8"/>
  <c r="AK102" i="8" s="1"/>
  <c r="AJ22" i="8"/>
  <c r="AJ102" i="8" s="1"/>
  <c r="CD12" i="125"/>
  <c r="CD11" i="125"/>
  <c r="CD5" i="125"/>
  <c r="CD29" i="125"/>
  <c r="CC11" i="12"/>
  <c r="CC29" i="12"/>
  <c r="CC12" i="12"/>
  <c r="CC5" i="12"/>
  <c r="Z101" i="8"/>
  <c r="AZ101" i="8"/>
  <c r="AC22" i="8"/>
  <c r="AC102" i="8" s="1"/>
  <c r="AH102" i="8"/>
  <c r="BB22" i="8"/>
  <c r="M22" i="8"/>
  <c r="M102" i="8" s="1"/>
  <c r="N22" i="8"/>
  <c r="N102" i="8" s="1"/>
  <c r="B23" i="8"/>
  <c r="AB22" i="8"/>
  <c r="AB102" i="8" s="1"/>
  <c r="Z22" i="8"/>
  <c r="Z102" i="8" s="1"/>
  <c r="E22" i="8"/>
  <c r="E102" i="8" s="1"/>
  <c r="AQ22" i="8"/>
  <c r="AQ102" i="8" s="1"/>
  <c r="AR22" i="8"/>
  <c r="AR102" i="8" s="1"/>
  <c r="K102" i="8"/>
  <c r="L22" i="8"/>
  <c r="L102" i="8" s="1"/>
  <c r="D22" i="8"/>
  <c r="D102" i="8" s="1"/>
  <c r="AP22" i="8"/>
  <c r="AP102" i="8" s="1"/>
  <c r="AA22" i="8"/>
  <c r="AA102" i="8" s="1"/>
  <c r="AU22" i="8"/>
  <c r="AU102" i="8" s="1"/>
  <c r="AZ22" i="8"/>
  <c r="AZ102" i="8" s="1"/>
  <c r="F22" i="8"/>
  <c r="F102" i="8" s="1"/>
  <c r="AO22" i="8"/>
  <c r="AO102" i="8" s="1"/>
  <c r="Y22" i="8"/>
  <c r="Y102" i="8" s="1"/>
  <c r="AE22" i="8"/>
  <c r="AE102" i="8" s="1"/>
  <c r="AY22" i="8"/>
  <c r="AY102" i="8" s="1"/>
  <c r="AN22" i="8"/>
  <c r="AN102" i="8" s="1"/>
  <c r="AS22" i="8"/>
  <c r="AS102" i="8" s="1"/>
  <c r="AT22" i="8"/>
  <c r="AT102" i="8" s="1"/>
  <c r="BA22" i="8"/>
  <c r="AD22" i="8"/>
  <c r="AD102" i="8" s="1"/>
  <c r="C22" i="8"/>
  <c r="C102" i="8" s="1"/>
  <c r="D101" i="8"/>
  <c r="AB101" i="8"/>
  <c r="AK101" i="8"/>
  <c r="AO101" i="8"/>
  <c r="AY101" i="8"/>
  <c r="AT101" i="8"/>
  <c r="F101" i="8"/>
  <c r="AL101" i="8"/>
  <c r="AY49" i="8"/>
  <c r="AY129" i="8" s="1"/>
  <c r="AC49" i="8"/>
  <c r="AT49" i="8"/>
  <c r="AT129" i="8" s="1"/>
  <c r="Z49" i="8"/>
  <c r="Z129" i="8" s="1"/>
  <c r="AE49" i="8"/>
  <c r="D49" i="8"/>
  <c r="D129" i="8" s="1"/>
  <c r="E49" i="8"/>
  <c r="AS49" i="8"/>
  <c r="AS129" i="8" s="1"/>
  <c r="C49" i="8"/>
  <c r="C129" i="8" s="1"/>
  <c r="L49" i="8"/>
  <c r="L129" i="8" s="1"/>
  <c r="Y49" i="8"/>
  <c r="Y129" i="8" s="1"/>
  <c r="AP49" i="8"/>
  <c r="AP129" i="8" s="1"/>
  <c r="B50" i="8"/>
  <c r="AB49" i="8"/>
  <c r="M49" i="8"/>
  <c r="F49" i="8"/>
  <c r="AO49" i="8"/>
  <c r="AD49" i="8"/>
  <c r="N49" i="8"/>
  <c r="AN49" i="8"/>
  <c r="AN129" i="8" s="1"/>
  <c r="AR49" i="8"/>
  <c r="AR129" i="8" s="1"/>
  <c r="AZ49" i="8"/>
  <c r="AA49" i="8"/>
  <c r="AA129" i="8" s="1"/>
  <c r="BA49" i="8"/>
  <c r="AQ49" i="8"/>
  <c r="AQ129" i="8" s="1"/>
  <c r="AU49" i="8"/>
  <c r="AU129" i="8" s="1"/>
  <c r="N101" i="8"/>
  <c r="A42" i="123" l="1"/>
  <c r="G41" i="123"/>
  <c r="B36" i="123"/>
  <c r="B64" i="123"/>
  <c r="B89" i="123"/>
  <c r="F290" i="123"/>
  <c r="B291" i="123"/>
  <c r="C290" i="123"/>
  <c r="E290" i="123" s="1"/>
  <c r="G548" i="123"/>
  <c r="A549" i="123"/>
  <c r="C173" i="123"/>
  <c r="E173" i="123" s="1"/>
  <c r="F173" i="123"/>
  <c r="B174" i="123"/>
  <c r="G601" i="123"/>
  <c r="A602" i="123"/>
  <c r="F259" i="123"/>
  <c r="C259" i="123"/>
  <c r="E259" i="123" s="1"/>
  <c r="B260" i="123"/>
  <c r="G239" i="123"/>
  <c r="A240" i="123"/>
  <c r="G240" i="123" s="1"/>
  <c r="C489" i="123"/>
  <c r="E489" i="123" s="1"/>
  <c r="F489" i="123"/>
  <c r="B490" i="123"/>
  <c r="C342" i="123"/>
  <c r="E342" i="123" s="1"/>
  <c r="F342" i="123"/>
  <c r="B343" i="123"/>
  <c r="F205" i="123"/>
  <c r="B206" i="123"/>
  <c r="C205" i="123"/>
  <c r="E205" i="123" s="1"/>
  <c r="B513" i="123"/>
  <c r="C512" i="123"/>
  <c r="E512" i="123" s="1"/>
  <c r="F512" i="123"/>
  <c r="A405" i="123"/>
  <c r="G404" i="123"/>
  <c r="A296" i="123"/>
  <c r="G295" i="123"/>
  <c r="A264" i="123"/>
  <c r="G263" i="123"/>
  <c r="G176" i="123"/>
  <c r="A177" i="123"/>
  <c r="A323" i="123"/>
  <c r="G322" i="123"/>
  <c r="C232" i="123"/>
  <c r="E232" i="123" s="1"/>
  <c r="B233" i="123"/>
  <c r="F232" i="123"/>
  <c r="C547" i="123"/>
  <c r="E547" i="123" s="1"/>
  <c r="B548" i="123"/>
  <c r="F547" i="123"/>
  <c r="C121" i="123"/>
  <c r="E121" i="123" s="1"/>
  <c r="B122" i="123"/>
  <c r="F121" i="123"/>
  <c r="F459" i="123"/>
  <c r="C459" i="123"/>
  <c r="E459" i="123" s="1"/>
  <c r="B460" i="123"/>
  <c r="G514" i="123"/>
  <c r="A515" i="123"/>
  <c r="C402" i="123"/>
  <c r="E402" i="123" s="1"/>
  <c r="F402" i="123"/>
  <c r="B403" i="123"/>
  <c r="A149" i="123"/>
  <c r="G148" i="123"/>
  <c r="B599" i="123"/>
  <c r="F598" i="123"/>
  <c r="C598" i="123"/>
  <c r="E598" i="123" s="1"/>
  <c r="F375" i="123"/>
  <c r="C375" i="123"/>
  <c r="E375" i="123" s="1"/>
  <c r="B376" i="123"/>
  <c r="B432" i="123"/>
  <c r="F431" i="123"/>
  <c r="C431" i="123"/>
  <c r="E431" i="123" s="1"/>
  <c r="A432" i="123"/>
  <c r="G431" i="123"/>
  <c r="G122" i="123"/>
  <c r="A123" i="123"/>
  <c r="C573" i="123"/>
  <c r="E573" i="123" s="1"/>
  <c r="F573" i="123"/>
  <c r="B574" i="123"/>
  <c r="B317" i="123"/>
  <c r="F316" i="123"/>
  <c r="C316" i="123"/>
  <c r="E316" i="123" s="1"/>
  <c r="A378" i="123"/>
  <c r="G377" i="123"/>
  <c r="A462" i="123"/>
  <c r="G461" i="123"/>
  <c r="G490" i="123"/>
  <c r="A491" i="123"/>
  <c r="G575" i="123"/>
  <c r="A576" i="123"/>
  <c r="F147" i="123"/>
  <c r="C147" i="123"/>
  <c r="E147" i="123" s="1"/>
  <c r="B148" i="123"/>
  <c r="M129" i="8"/>
  <c r="N129" i="8"/>
  <c r="Z155" i="8"/>
  <c r="AC129" i="8"/>
  <c r="AA155" i="8"/>
  <c r="AB155" i="8"/>
  <c r="AD129" i="8"/>
  <c r="AO155" i="8"/>
  <c r="AB129" i="8"/>
  <c r="AD155" i="8"/>
  <c r="AC155" i="8"/>
  <c r="AO129" i="8"/>
  <c r="AE129" i="8"/>
  <c r="AE151" i="8"/>
  <c r="AE150" i="8"/>
  <c r="AE149" i="8"/>
  <c r="AE148" i="8"/>
  <c r="AE147" i="8"/>
  <c r="AE155" i="8"/>
  <c r="AE145" i="8"/>
  <c r="AE146" i="8"/>
  <c r="AE154" i="8"/>
  <c r="AE153" i="8"/>
  <c r="AE152" i="8"/>
  <c r="AZ121" i="8"/>
  <c r="AZ129" i="8"/>
  <c r="AZ127" i="8"/>
  <c r="AZ126" i="8"/>
  <c r="AZ125" i="8"/>
  <c r="AZ120" i="8"/>
  <c r="AZ128" i="8"/>
  <c r="AZ124" i="8"/>
  <c r="AZ119" i="8"/>
  <c r="AZ123" i="8"/>
  <c r="AZ122" i="8"/>
  <c r="BA95" i="8"/>
  <c r="N147" i="8"/>
  <c r="N149" i="8"/>
  <c r="N151" i="8"/>
  <c r="N153" i="8"/>
  <c r="N155" i="8"/>
  <c r="N146" i="8"/>
  <c r="N148" i="8"/>
  <c r="N150" i="8"/>
  <c r="N152" i="8"/>
  <c r="N154" i="8"/>
  <c r="N145" i="8"/>
  <c r="M155" i="8"/>
  <c r="L155" i="8"/>
  <c r="J155" i="8"/>
  <c r="D155" i="8"/>
  <c r="F155" i="8"/>
  <c r="F129" i="8"/>
  <c r="E129" i="8"/>
  <c r="AZ65" i="8"/>
  <c r="AZ67" i="8"/>
  <c r="AZ66" i="8"/>
  <c r="AZ68" i="8"/>
  <c r="AZ69" i="8"/>
  <c r="AZ70" i="8"/>
  <c r="AZ71" i="8"/>
  <c r="AZ72" i="8"/>
  <c r="AZ73" i="8"/>
  <c r="AZ74" i="8"/>
  <c r="BB5" i="8"/>
  <c r="BB13" i="8"/>
  <c r="BB14" i="8"/>
  <c r="BB15" i="8"/>
  <c r="BB16" i="8"/>
  <c r="BB17" i="8"/>
  <c r="BB18" i="8"/>
  <c r="BB19" i="8"/>
  <c r="BB20" i="8"/>
  <c r="BB21" i="8"/>
  <c r="AI50" i="8"/>
  <c r="AI130" i="8" s="1"/>
  <c r="AH50" i="8"/>
  <c r="AH130" i="8" s="1"/>
  <c r="AG50" i="8"/>
  <c r="AG130" i="8" s="1"/>
  <c r="AF50" i="8"/>
  <c r="AF130" i="8" s="1"/>
  <c r="AM50" i="8"/>
  <c r="AM130" i="8" s="1"/>
  <c r="AL50" i="8"/>
  <c r="AL130" i="8" s="1"/>
  <c r="AK50" i="8"/>
  <c r="AK130" i="8" s="1"/>
  <c r="AJ50" i="8"/>
  <c r="AJ130" i="8" s="1"/>
  <c r="K50" i="8"/>
  <c r="K130" i="8" s="1"/>
  <c r="J50" i="8"/>
  <c r="J130" i="8" s="1"/>
  <c r="I50" i="8"/>
  <c r="I130" i="8" s="1"/>
  <c r="H50" i="8"/>
  <c r="H130" i="8" s="1"/>
  <c r="G50" i="8"/>
  <c r="G130" i="8" s="1"/>
  <c r="CE29" i="125"/>
  <c r="CF29" i="125" s="1"/>
  <c r="CE12" i="125"/>
  <c r="CF12" i="125" s="1"/>
  <c r="CP12" i="125" s="1"/>
  <c r="DA12" i="125" s="1"/>
  <c r="CE5" i="125"/>
  <c r="CF5" i="125" s="1"/>
  <c r="CE11" i="125"/>
  <c r="CF11" i="125" s="1"/>
  <c r="CP11" i="125" s="1"/>
  <c r="DA11" i="125" s="1"/>
  <c r="AI23" i="8"/>
  <c r="AI103" i="8" s="1"/>
  <c r="AH23" i="8"/>
  <c r="AH103" i="8" s="1"/>
  <c r="AG23" i="8"/>
  <c r="AF23" i="8"/>
  <c r="AM23" i="8"/>
  <c r="AM103" i="8" s="1"/>
  <c r="AL23" i="8"/>
  <c r="AL103" i="8" s="1"/>
  <c r="G23" i="8"/>
  <c r="G103" i="8" s="1"/>
  <c r="AK23" i="8"/>
  <c r="AK103" i="8" s="1"/>
  <c r="K23" i="8"/>
  <c r="K103" i="8" s="1"/>
  <c r="AJ23" i="8"/>
  <c r="J23" i="8"/>
  <c r="I23" i="8"/>
  <c r="I103" i="8" s="1"/>
  <c r="H23" i="8"/>
  <c r="H103" i="8" s="1"/>
  <c r="BA93" i="8"/>
  <c r="BA94" i="8"/>
  <c r="BA97" i="8"/>
  <c r="BA100" i="8"/>
  <c r="BA6" i="8"/>
  <c r="BA39" i="8"/>
  <c r="BA40" i="8"/>
  <c r="BA41" i="8"/>
  <c r="BA42" i="8"/>
  <c r="BA43" i="8"/>
  <c r="BA44" i="8"/>
  <c r="BA45" i="8"/>
  <c r="BA46" i="8"/>
  <c r="BA47" i="8"/>
  <c r="BA48" i="8"/>
  <c r="BA102" i="8"/>
  <c r="BA101" i="8"/>
  <c r="BA99" i="8"/>
  <c r="AI76" i="8"/>
  <c r="AI156" i="8" s="1"/>
  <c r="AH76" i="8"/>
  <c r="AH156" i="8" s="1"/>
  <c r="G76" i="8"/>
  <c r="G156" i="8" s="1"/>
  <c r="AG76" i="8"/>
  <c r="AG156" i="8" s="1"/>
  <c r="AF76" i="8"/>
  <c r="AF156" i="8" s="1"/>
  <c r="AM76" i="8"/>
  <c r="AM156" i="8" s="1"/>
  <c r="AL76" i="8"/>
  <c r="AL156" i="8" s="1"/>
  <c r="K76" i="8"/>
  <c r="K156" i="8" s="1"/>
  <c r="J76" i="8"/>
  <c r="J156" i="8" s="1"/>
  <c r="I76" i="8"/>
  <c r="I156" i="8" s="1"/>
  <c r="AK76" i="8"/>
  <c r="AK156" i="8" s="1"/>
  <c r="AJ76" i="8"/>
  <c r="AJ156" i="8" s="1"/>
  <c r="H76" i="8"/>
  <c r="H156" i="8" s="1"/>
  <c r="AU76" i="8"/>
  <c r="AU156" i="8" s="1"/>
  <c r="Y76" i="8"/>
  <c r="Y156" i="8" s="1"/>
  <c r="AP76" i="8"/>
  <c r="AP156" i="8" s="1"/>
  <c r="L76" i="8"/>
  <c r="BA76" i="8"/>
  <c r="AB76" i="8"/>
  <c r="B77" i="8"/>
  <c r="AC76" i="8"/>
  <c r="AD76" i="8"/>
  <c r="D76" i="8"/>
  <c r="D156" i="8" s="1"/>
  <c r="AE76" i="8"/>
  <c r="AR76" i="8"/>
  <c r="AR156" i="8" s="1"/>
  <c r="AN76" i="8"/>
  <c r="AN156" i="8" s="1"/>
  <c r="AA76" i="8"/>
  <c r="AO76" i="8"/>
  <c r="AO156" i="8" s="1"/>
  <c r="N76" i="8"/>
  <c r="AS76" i="8"/>
  <c r="AS156" i="8" s="1"/>
  <c r="AZ76" i="8"/>
  <c r="AY76" i="8"/>
  <c r="AY156" i="8" s="1"/>
  <c r="E76" i="8"/>
  <c r="Z76" i="8"/>
  <c r="Z156" i="8" s="1"/>
  <c r="F76" i="8"/>
  <c r="AQ76" i="8"/>
  <c r="AQ156" i="8" s="1"/>
  <c r="M76" i="8"/>
  <c r="M156" i="8" s="1"/>
  <c r="AT76" i="8"/>
  <c r="AT156" i="8" s="1"/>
  <c r="C76" i="8"/>
  <c r="C156" i="8" s="1"/>
  <c r="BA98" i="8"/>
  <c r="AZ75" i="8"/>
  <c r="CD12" i="12"/>
  <c r="CD11" i="12"/>
  <c r="CD29" i="12"/>
  <c r="CD5" i="12"/>
  <c r="BA96" i="8"/>
  <c r="BC4" i="8"/>
  <c r="BC23" i="8" s="1"/>
  <c r="V174" i="8"/>
  <c r="W174" i="8" s="1"/>
  <c r="X174" i="8" s="1"/>
  <c r="Y174" i="8" s="1"/>
  <c r="Z174" i="8" s="1"/>
  <c r="AA174" i="8" s="1"/>
  <c r="AB174" i="8" s="1"/>
  <c r="AC174" i="8" s="1"/>
  <c r="AD174" i="8" s="1"/>
  <c r="AE174" i="8" s="1"/>
  <c r="AF174" i="8" s="1"/>
  <c r="AG174" i="8" s="1"/>
  <c r="AH174" i="8" s="1"/>
  <c r="AI174" i="8" s="1"/>
  <c r="AJ174" i="8" s="1"/>
  <c r="AK174" i="8" s="1"/>
  <c r="AL174" i="8" s="1"/>
  <c r="AM174" i="8" s="1"/>
  <c r="AN174" i="8" s="1"/>
  <c r="L50" i="8"/>
  <c r="AR50" i="8"/>
  <c r="AR130" i="8" s="1"/>
  <c r="N50" i="8"/>
  <c r="AD50" i="8"/>
  <c r="Y50" i="8"/>
  <c r="Y130" i="8" s="1"/>
  <c r="AB50" i="8"/>
  <c r="AB130" i="8" s="1"/>
  <c r="AA50" i="8"/>
  <c r="AA130" i="8" s="1"/>
  <c r="AE50" i="8"/>
  <c r="AZ50" i="8"/>
  <c r="AO50" i="8"/>
  <c r="AO130" i="8" s="1"/>
  <c r="C50" i="8"/>
  <c r="C130" i="8" s="1"/>
  <c r="AU50" i="8"/>
  <c r="AU130" i="8" s="1"/>
  <c r="AP50" i="8"/>
  <c r="AP130" i="8" s="1"/>
  <c r="AQ50" i="8"/>
  <c r="AQ130" i="8" s="1"/>
  <c r="E50" i="8"/>
  <c r="E130" i="8" s="1"/>
  <c r="AS50" i="8"/>
  <c r="AS130" i="8" s="1"/>
  <c r="AY50" i="8"/>
  <c r="AY130" i="8" s="1"/>
  <c r="D50" i="8"/>
  <c r="D130" i="8" s="1"/>
  <c r="F50" i="8"/>
  <c r="BA50" i="8"/>
  <c r="AN50" i="8"/>
  <c r="AN130" i="8" s="1"/>
  <c r="M50" i="8"/>
  <c r="AT50" i="8"/>
  <c r="AT130" i="8" s="1"/>
  <c r="AC50" i="8"/>
  <c r="Z50" i="8"/>
  <c r="Z130" i="8" s="1"/>
  <c r="B51" i="8"/>
  <c r="BB50" i="8"/>
  <c r="AD23" i="8"/>
  <c r="AD103" i="8" s="1"/>
  <c r="AA23" i="8"/>
  <c r="AA103" i="8" s="1"/>
  <c r="AU23" i="8"/>
  <c r="AU103" i="8" s="1"/>
  <c r="Y23" i="8"/>
  <c r="Y103" i="8" s="1"/>
  <c r="BA23" i="8"/>
  <c r="BA103" i="8" s="1"/>
  <c r="BB23" i="8"/>
  <c r="AE23" i="8"/>
  <c r="AE103" i="8" s="1"/>
  <c r="L23" i="8"/>
  <c r="L103" i="8" s="1"/>
  <c r="AR23" i="8"/>
  <c r="AR103" i="8" s="1"/>
  <c r="F23" i="8"/>
  <c r="F103" i="8" s="1"/>
  <c r="C23" i="8"/>
  <c r="C103" i="8" s="1"/>
  <c r="AY23" i="8"/>
  <c r="AY103" i="8" s="1"/>
  <c r="AB23" i="8"/>
  <c r="AB103" i="8" s="1"/>
  <c r="AO23" i="8"/>
  <c r="AO103" i="8" s="1"/>
  <c r="J103" i="8"/>
  <c r="AF103" i="8"/>
  <c r="AZ23" i="8"/>
  <c r="AZ103" i="8" s="1"/>
  <c r="M23" i="8"/>
  <c r="M103" i="8" s="1"/>
  <c r="E23" i="8"/>
  <c r="E103" i="8" s="1"/>
  <c r="AG103" i="8"/>
  <c r="N23" i="8"/>
  <c r="N103" i="8" s="1"/>
  <c r="AP23" i="8"/>
  <c r="AP103" i="8" s="1"/>
  <c r="D23" i="8"/>
  <c r="D103" i="8" s="1"/>
  <c r="AJ103" i="8"/>
  <c r="Z23" i="8"/>
  <c r="Z103" i="8" s="1"/>
  <c r="AQ23" i="8"/>
  <c r="AQ103" i="8" s="1"/>
  <c r="AC23" i="8"/>
  <c r="AC103" i="8" s="1"/>
  <c r="B24" i="8"/>
  <c r="AN23" i="8"/>
  <c r="AN103" i="8" s="1"/>
  <c r="AS23" i="8"/>
  <c r="AS103" i="8" s="1"/>
  <c r="AT23" i="8"/>
  <c r="AT103" i="8" s="1"/>
  <c r="BV6" i="25"/>
  <c r="BV8" i="25"/>
  <c r="B37" i="123" l="1"/>
  <c r="B65" i="123"/>
  <c r="B90" i="123"/>
  <c r="A43" i="123"/>
  <c r="G42" i="123"/>
  <c r="G264" i="123"/>
  <c r="A265" i="123"/>
  <c r="A492" i="123"/>
  <c r="G491" i="123"/>
  <c r="A433" i="123"/>
  <c r="G432" i="123"/>
  <c r="C574" i="123"/>
  <c r="E574" i="123" s="1"/>
  <c r="F574" i="123"/>
  <c r="B575" i="123"/>
  <c r="G462" i="123"/>
  <c r="A463" i="123"/>
  <c r="B433" i="123"/>
  <c r="F432" i="123"/>
  <c r="C432" i="123"/>
  <c r="E432" i="123" s="1"/>
  <c r="C460" i="123"/>
  <c r="E460" i="123" s="1"/>
  <c r="B461" i="123"/>
  <c r="F460" i="123"/>
  <c r="B123" i="123"/>
  <c r="C122" i="123"/>
  <c r="E122" i="123" s="1"/>
  <c r="F122" i="123"/>
  <c r="C206" i="123"/>
  <c r="E206" i="123" s="1"/>
  <c r="B207" i="123"/>
  <c r="F206" i="123"/>
  <c r="F174" i="123"/>
  <c r="C174" i="123"/>
  <c r="E174" i="123" s="1"/>
  <c r="B175" i="123"/>
  <c r="G177" i="123"/>
  <c r="A178" i="123"/>
  <c r="G515" i="123"/>
  <c r="A516" i="123"/>
  <c r="C233" i="123"/>
  <c r="E233" i="123" s="1"/>
  <c r="F233" i="123"/>
  <c r="B234" i="123"/>
  <c r="G576" i="123"/>
  <c r="A577" i="123"/>
  <c r="G123" i="123"/>
  <c r="A124" i="123"/>
  <c r="C376" i="123"/>
  <c r="E376" i="123" s="1"/>
  <c r="B377" i="123"/>
  <c r="F376" i="123"/>
  <c r="A324" i="123"/>
  <c r="G323" i="123"/>
  <c r="A297" i="123"/>
  <c r="G296" i="123"/>
  <c r="C599" i="123"/>
  <c r="E599" i="123" s="1"/>
  <c r="F599" i="123"/>
  <c r="B600" i="123"/>
  <c r="B514" i="123"/>
  <c r="F513" i="123"/>
  <c r="C513" i="123"/>
  <c r="E513" i="123" s="1"/>
  <c r="A379" i="123"/>
  <c r="G378" i="123"/>
  <c r="G149" i="123"/>
  <c r="A150" i="123"/>
  <c r="C343" i="123"/>
  <c r="E343" i="123" s="1"/>
  <c r="F343" i="123"/>
  <c r="B344" i="123"/>
  <c r="B261" i="123"/>
  <c r="C260" i="123"/>
  <c r="E260" i="123" s="1"/>
  <c r="F260" i="123"/>
  <c r="C317" i="123"/>
  <c r="E317" i="123" s="1"/>
  <c r="F317" i="123"/>
  <c r="B318" i="123"/>
  <c r="B491" i="123"/>
  <c r="F490" i="123"/>
  <c r="C490" i="123"/>
  <c r="E490" i="123" s="1"/>
  <c r="A603" i="123"/>
  <c r="G602" i="123"/>
  <c r="C148" i="123"/>
  <c r="E148" i="123" s="1"/>
  <c r="B149" i="123"/>
  <c r="F148" i="123"/>
  <c r="F403" i="123"/>
  <c r="B404" i="123"/>
  <c r="C403" i="123"/>
  <c r="E403" i="123" s="1"/>
  <c r="C548" i="123"/>
  <c r="E548" i="123" s="1"/>
  <c r="B549" i="123"/>
  <c r="F548" i="123"/>
  <c r="A406" i="123"/>
  <c r="G405" i="123"/>
  <c r="G549" i="123"/>
  <c r="A550" i="123"/>
  <c r="C291" i="123"/>
  <c r="E291" i="123" s="1"/>
  <c r="B292" i="123"/>
  <c r="F291" i="123"/>
  <c r="M130" i="8"/>
  <c r="N130" i="8"/>
  <c r="L130" i="8"/>
  <c r="AC130" i="8"/>
  <c r="AE130" i="8"/>
  <c r="AC156" i="8"/>
  <c r="AD130" i="8"/>
  <c r="AA156" i="8"/>
  <c r="AB156" i="8"/>
  <c r="AE156" i="8"/>
  <c r="AD156" i="8"/>
  <c r="BB95" i="8"/>
  <c r="AZ130" i="8"/>
  <c r="AZ147" i="8"/>
  <c r="AZ149" i="8"/>
  <c r="AZ151" i="8"/>
  <c r="AZ153" i="8"/>
  <c r="AZ155" i="8"/>
  <c r="AZ150" i="8"/>
  <c r="AZ154" i="8"/>
  <c r="AZ156" i="8"/>
  <c r="AZ145" i="8"/>
  <c r="AZ146" i="8"/>
  <c r="AZ148" i="8"/>
  <c r="AZ152" i="8"/>
  <c r="BA122" i="8"/>
  <c r="BA130" i="8"/>
  <c r="BA121" i="8"/>
  <c r="BA129" i="8"/>
  <c r="BA127" i="8"/>
  <c r="BA120" i="8"/>
  <c r="BA128" i="8"/>
  <c r="BA119" i="8"/>
  <c r="BA126" i="8"/>
  <c r="BA123" i="8"/>
  <c r="BA125" i="8"/>
  <c r="BA124" i="8"/>
  <c r="N156" i="8"/>
  <c r="L156" i="8"/>
  <c r="F130" i="8"/>
  <c r="F156" i="8"/>
  <c r="E156" i="8"/>
  <c r="BB103" i="8"/>
  <c r="BB102" i="8"/>
  <c r="N26" i="73"/>
  <c r="BX6" i="25"/>
  <c r="N30" i="73"/>
  <c r="BX8" i="25"/>
  <c r="DF5" i="125"/>
  <c r="DF29" i="125"/>
  <c r="DF12" i="125"/>
  <c r="DF11" i="125"/>
  <c r="P5" i="8"/>
  <c r="AO174" i="8"/>
  <c r="BA66" i="8"/>
  <c r="BA65" i="8"/>
  <c r="BA67" i="8"/>
  <c r="BA68" i="8"/>
  <c r="BA69" i="8"/>
  <c r="BA70" i="8"/>
  <c r="BA71" i="8"/>
  <c r="BA72" i="8"/>
  <c r="BA73" i="8"/>
  <c r="BA74" i="8"/>
  <c r="BA75" i="8"/>
  <c r="BC5" i="8"/>
  <c r="BC13" i="8"/>
  <c r="BC14" i="8"/>
  <c r="BC15" i="8"/>
  <c r="BC16" i="8"/>
  <c r="BC17" i="8"/>
  <c r="BC18" i="8"/>
  <c r="BC19" i="8"/>
  <c r="BC20" i="8"/>
  <c r="BC21" i="8"/>
  <c r="BC22" i="8"/>
  <c r="BB101" i="8"/>
  <c r="BB93" i="8"/>
  <c r="BB94" i="8"/>
  <c r="BB96" i="8"/>
  <c r="BB97" i="8"/>
  <c r="BB98" i="8"/>
  <c r="BB100" i="8"/>
  <c r="AI24" i="8"/>
  <c r="AI104" i="8" s="1"/>
  <c r="AH24" i="8"/>
  <c r="AG24" i="8"/>
  <c r="AF24" i="8"/>
  <c r="AM24" i="8"/>
  <c r="AM104" i="8" s="1"/>
  <c r="AL24" i="8"/>
  <c r="AL104" i="8" s="1"/>
  <c r="J24" i="8"/>
  <c r="J104" i="8" s="1"/>
  <c r="I24" i="8"/>
  <c r="I104" i="8" s="1"/>
  <c r="AK24" i="8"/>
  <c r="AK104" i="8" s="1"/>
  <c r="H24" i="8"/>
  <c r="H104" i="8" s="1"/>
  <c r="AJ24" i="8"/>
  <c r="AJ104" i="8" s="1"/>
  <c r="G24" i="8"/>
  <c r="G104" i="8" s="1"/>
  <c r="K24" i="8"/>
  <c r="K104" i="8" s="1"/>
  <c r="AI51" i="8"/>
  <c r="AI131" i="8" s="1"/>
  <c r="AH51" i="8"/>
  <c r="AH131" i="8" s="1"/>
  <c r="AG51" i="8"/>
  <c r="AG131" i="8" s="1"/>
  <c r="AF51" i="8"/>
  <c r="AF131" i="8" s="1"/>
  <c r="AM51" i="8"/>
  <c r="AM131" i="8" s="1"/>
  <c r="AL51" i="8"/>
  <c r="AL131" i="8" s="1"/>
  <c r="H51" i="8"/>
  <c r="H131" i="8" s="1"/>
  <c r="G51" i="8"/>
  <c r="G131" i="8" s="1"/>
  <c r="K51" i="8"/>
  <c r="K131" i="8" s="1"/>
  <c r="J51" i="8"/>
  <c r="J131" i="8" s="1"/>
  <c r="I51" i="8"/>
  <c r="I131" i="8" s="1"/>
  <c r="AK51" i="8"/>
  <c r="AK131" i="8" s="1"/>
  <c r="AJ51" i="8"/>
  <c r="AJ131" i="8" s="1"/>
  <c r="BB6" i="8"/>
  <c r="BB39" i="8"/>
  <c r="BB41" i="8"/>
  <c r="BB40" i="8"/>
  <c r="BB42" i="8"/>
  <c r="BB43" i="8"/>
  <c r="BB44" i="8"/>
  <c r="BB45" i="8"/>
  <c r="BB46" i="8"/>
  <c r="BB47" i="8"/>
  <c r="BB48" i="8"/>
  <c r="BB49" i="8"/>
  <c r="CP5" i="125"/>
  <c r="DA5" i="125" s="1"/>
  <c r="BB99" i="8"/>
  <c r="CE5" i="12"/>
  <c r="CF5" i="12" s="1"/>
  <c r="CE11" i="12"/>
  <c r="CF11" i="12" s="1"/>
  <c r="CP11" i="12" s="1"/>
  <c r="DA11" i="12" s="1"/>
  <c r="CE29" i="12"/>
  <c r="CF29" i="12" s="1"/>
  <c r="CE12" i="12"/>
  <c r="CF12" i="12" s="1"/>
  <c r="CP12" i="12" s="1"/>
  <c r="DA12" i="12" s="1"/>
  <c r="AI77" i="8"/>
  <c r="AI157" i="8" s="1"/>
  <c r="AH77" i="8"/>
  <c r="AH157" i="8" s="1"/>
  <c r="J77" i="8"/>
  <c r="J157" i="8" s="1"/>
  <c r="AG77" i="8"/>
  <c r="AG157" i="8" s="1"/>
  <c r="I77" i="8"/>
  <c r="I157" i="8" s="1"/>
  <c r="AF77" i="8"/>
  <c r="AF157" i="8" s="1"/>
  <c r="H77" i="8"/>
  <c r="H157" i="8" s="1"/>
  <c r="AM77" i="8"/>
  <c r="AM157" i="8" s="1"/>
  <c r="G77" i="8"/>
  <c r="G157" i="8" s="1"/>
  <c r="AL77" i="8"/>
  <c r="AL157" i="8" s="1"/>
  <c r="K77" i="8"/>
  <c r="K157" i="8" s="1"/>
  <c r="AK77" i="8"/>
  <c r="AK157" i="8" s="1"/>
  <c r="AJ77" i="8"/>
  <c r="AJ157" i="8" s="1"/>
  <c r="AU77" i="8"/>
  <c r="AU157" i="8" s="1"/>
  <c r="AO77" i="8"/>
  <c r="AO157" i="8" s="1"/>
  <c r="AD77" i="8"/>
  <c r="AQ77" i="8"/>
  <c r="AQ157" i="8" s="1"/>
  <c r="AT77" i="8"/>
  <c r="AT157" i="8" s="1"/>
  <c r="BB77" i="8"/>
  <c r="AR77" i="8"/>
  <c r="AR157" i="8" s="1"/>
  <c r="AE77" i="8"/>
  <c r="BA77" i="8"/>
  <c r="N77" i="8"/>
  <c r="AP77" i="8"/>
  <c r="AP157" i="8" s="1"/>
  <c r="AA77" i="8"/>
  <c r="AA157" i="8" s="1"/>
  <c r="AB77" i="8"/>
  <c r="AB157" i="8" s="1"/>
  <c r="L77" i="8"/>
  <c r="D77" i="8"/>
  <c r="D157" i="8" s="1"/>
  <c r="B78" i="8"/>
  <c r="AN77" i="8"/>
  <c r="AN157" i="8" s="1"/>
  <c r="E77" i="8"/>
  <c r="E157" i="8" s="1"/>
  <c r="Z77" i="8"/>
  <c r="Z157" i="8" s="1"/>
  <c r="Y77" i="8"/>
  <c r="Y157" i="8" s="1"/>
  <c r="C77" i="8"/>
  <c r="C157" i="8" s="1"/>
  <c r="AY77" i="8"/>
  <c r="AY157" i="8" s="1"/>
  <c r="AS77" i="8"/>
  <c r="AS157" i="8" s="1"/>
  <c r="AC77" i="8"/>
  <c r="M77" i="8"/>
  <c r="AZ77" i="8"/>
  <c r="AZ157" i="8" s="1"/>
  <c r="F77" i="8"/>
  <c r="CP29" i="125"/>
  <c r="DA29" i="125" s="1"/>
  <c r="C24" i="8"/>
  <c r="C104" i="8" s="1"/>
  <c r="AR24" i="8"/>
  <c r="AR104" i="8" s="1"/>
  <c r="M24" i="8"/>
  <c r="M104" i="8" s="1"/>
  <c r="AO24" i="8"/>
  <c r="AO104" i="8" s="1"/>
  <c r="AT24" i="8"/>
  <c r="AT104" i="8" s="1"/>
  <c r="BC24" i="8"/>
  <c r="AB24" i="8"/>
  <c r="AB104" i="8" s="1"/>
  <c r="Y24" i="8"/>
  <c r="Y104" i="8" s="1"/>
  <c r="D24" i="8"/>
  <c r="D104" i="8" s="1"/>
  <c r="AF104" i="8"/>
  <c r="AZ24" i="8"/>
  <c r="AZ104" i="8" s="1"/>
  <c r="AS24" i="8"/>
  <c r="AS104" i="8" s="1"/>
  <c r="BB24" i="8"/>
  <c r="BB104" i="8" s="1"/>
  <c r="AP24" i="8"/>
  <c r="AP104" i="8" s="1"/>
  <c r="AC24" i="8"/>
  <c r="AC104" i="8" s="1"/>
  <c r="BA24" i="8"/>
  <c r="BA104" i="8" s="1"/>
  <c r="AQ24" i="8"/>
  <c r="AQ104" i="8" s="1"/>
  <c r="E24" i="8"/>
  <c r="E104" i="8" s="1"/>
  <c r="AG104" i="8"/>
  <c r="B25" i="8"/>
  <c r="Z24" i="8"/>
  <c r="Z104" i="8" s="1"/>
  <c r="AU24" i="8"/>
  <c r="AU104" i="8" s="1"/>
  <c r="F24" i="8"/>
  <c r="F104" i="8" s="1"/>
  <c r="AH104" i="8"/>
  <c r="AA24" i="8"/>
  <c r="AA104" i="8" s="1"/>
  <c r="L24" i="8"/>
  <c r="L104" i="8" s="1"/>
  <c r="AN24" i="8"/>
  <c r="AN104" i="8" s="1"/>
  <c r="AD24" i="8"/>
  <c r="AD104" i="8" s="1"/>
  <c r="N24" i="8"/>
  <c r="N104" i="8" s="1"/>
  <c r="AE24" i="8"/>
  <c r="AE104" i="8" s="1"/>
  <c r="AY24" i="8"/>
  <c r="AY104" i="8" s="1"/>
  <c r="AU51" i="8"/>
  <c r="AU131" i="8" s="1"/>
  <c r="AN51" i="8"/>
  <c r="AN131" i="8" s="1"/>
  <c r="N51" i="8"/>
  <c r="AP51" i="8"/>
  <c r="AP131" i="8" s="1"/>
  <c r="E51" i="8"/>
  <c r="E131" i="8" s="1"/>
  <c r="Y51" i="8"/>
  <c r="Y131" i="8" s="1"/>
  <c r="AA51" i="8"/>
  <c r="AA131" i="8" s="1"/>
  <c r="AB51" i="8"/>
  <c r="AB131" i="8" s="1"/>
  <c r="BC51" i="8"/>
  <c r="D51" i="8"/>
  <c r="D131" i="8" s="1"/>
  <c r="AT51" i="8"/>
  <c r="AT131" i="8" s="1"/>
  <c r="AO51" i="8"/>
  <c r="AO131" i="8" s="1"/>
  <c r="AC51" i="8"/>
  <c r="BB51" i="8"/>
  <c r="AY51" i="8"/>
  <c r="AY131" i="8" s="1"/>
  <c r="AQ51" i="8"/>
  <c r="AQ131" i="8" s="1"/>
  <c r="Z51" i="8"/>
  <c r="Z131" i="8" s="1"/>
  <c r="C51" i="8"/>
  <c r="C131" i="8" s="1"/>
  <c r="AZ51" i="8"/>
  <c r="AD51" i="8"/>
  <c r="F51" i="8"/>
  <c r="F131" i="8" s="1"/>
  <c r="B52" i="8"/>
  <c r="AR51" i="8"/>
  <c r="AR131" i="8" s="1"/>
  <c r="L51" i="8"/>
  <c r="BA51" i="8"/>
  <c r="M51" i="8"/>
  <c r="AS51" i="8"/>
  <c r="AS131" i="8" s="1"/>
  <c r="AE51" i="8"/>
  <c r="BV10" i="25"/>
  <c r="BV12" i="25"/>
  <c r="B91" i="123" l="1"/>
  <c r="B66" i="123"/>
  <c r="G43" i="123"/>
  <c r="A44" i="123"/>
  <c r="G44" i="123" s="1"/>
  <c r="B38" i="123"/>
  <c r="C404" i="123"/>
  <c r="E404" i="123" s="1"/>
  <c r="F404" i="123"/>
  <c r="B405" i="123"/>
  <c r="C207" i="123"/>
  <c r="E207" i="123" s="1"/>
  <c r="F207" i="123"/>
  <c r="B208" i="123"/>
  <c r="B262" i="123"/>
  <c r="C261" i="123"/>
  <c r="E261" i="123" s="1"/>
  <c r="F261" i="123"/>
  <c r="C600" i="123"/>
  <c r="E600" i="123" s="1"/>
  <c r="F600" i="123"/>
  <c r="B601" i="123"/>
  <c r="F377" i="123"/>
  <c r="B378" i="123"/>
  <c r="C377" i="123"/>
  <c r="E377" i="123" s="1"/>
  <c r="G550" i="123"/>
  <c r="A551" i="123"/>
  <c r="G603" i="123"/>
  <c r="A604" i="123"/>
  <c r="F344" i="123"/>
  <c r="C344" i="123"/>
  <c r="E344" i="123" s="1"/>
  <c r="B345" i="123"/>
  <c r="G379" i="123"/>
  <c r="A380" i="123"/>
  <c r="F234" i="123"/>
  <c r="C234" i="123"/>
  <c r="E234" i="123" s="1"/>
  <c r="B235" i="123"/>
  <c r="A151" i="123"/>
  <c r="G150" i="123"/>
  <c r="A325" i="123"/>
  <c r="G325" i="123" s="1"/>
  <c r="G324" i="123"/>
  <c r="A407" i="123"/>
  <c r="G406" i="123"/>
  <c r="B492" i="123"/>
  <c r="C491" i="123"/>
  <c r="E491" i="123" s="1"/>
  <c r="F491" i="123"/>
  <c r="G124" i="123"/>
  <c r="A125" i="123"/>
  <c r="A434" i="123"/>
  <c r="G433" i="123"/>
  <c r="A179" i="123"/>
  <c r="G178" i="123"/>
  <c r="C175" i="123"/>
  <c r="E175" i="123" s="1"/>
  <c r="F175" i="123"/>
  <c r="B176" i="123"/>
  <c r="B124" i="123"/>
  <c r="F123" i="123"/>
  <c r="C123" i="123"/>
  <c r="E123" i="123" s="1"/>
  <c r="C433" i="123"/>
  <c r="E433" i="123" s="1"/>
  <c r="F433" i="123"/>
  <c r="B434" i="123"/>
  <c r="C318" i="123"/>
  <c r="E318" i="123" s="1"/>
  <c r="F318" i="123"/>
  <c r="B319" i="123"/>
  <c r="F549" i="123"/>
  <c r="B550" i="123"/>
  <c r="C549" i="123"/>
  <c r="E549" i="123" s="1"/>
  <c r="F149" i="123"/>
  <c r="C149" i="123"/>
  <c r="E149" i="123" s="1"/>
  <c r="B150" i="123"/>
  <c r="C514" i="123"/>
  <c r="E514" i="123" s="1"/>
  <c r="B515" i="123"/>
  <c r="F514" i="123"/>
  <c r="A298" i="123"/>
  <c r="G297" i="123"/>
  <c r="G577" i="123"/>
  <c r="A578" i="123"/>
  <c r="G516" i="123"/>
  <c r="A517" i="123"/>
  <c r="G463" i="123"/>
  <c r="A464" i="123"/>
  <c r="G492" i="123"/>
  <c r="A493" i="123"/>
  <c r="B293" i="123"/>
  <c r="C292" i="123"/>
  <c r="E292" i="123" s="1"/>
  <c r="F292" i="123"/>
  <c r="F461" i="123"/>
  <c r="B462" i="123"/>
  <c r="C461" i="123"/>
  <c r="E461" i="123" s="1"/>
  <c r="A266" i="123"/>
  <c r="G266" i="123" s="1"/>
  <c r="G265" i="123"/>
  <c r="F575" i="123"/>
  <c r="B576" i="123"/>
  <c r="C575" i="123"/>
  <c r="E575" i="123" s="1"/>
  <c r="M131" i="8"/>
  <c r="L131" i="8"/>
  <c r="N131" i="8"/>
  <c r="AD131" i="8"/>
  <c r="AE157" i="8"/>
  <c r="AD157" i="8"/>
  <c r="AC131" i="8"/>
  <c r="AE131" i="8"/>
  <c r="AC157" i="8"/>
  <c r="BA131" i="8"/>
  <c r="BB123" i="8"/>
  <c r="BB131" i="8"/>
  <c r="BB121" i="8"/>
  <c r="BB129" i="8"/>
  <c r="BB120" i="8"/>
  <c r="BB128" i="8"/>
  <c r="BB127" i="8"/>
  <c r="BB119" i="8"/>
  <c r="BB126" i="8"/>
  <c r="BB124" i="8"/>
  <c r="BB130" i="8"/>
  <c r="BB125" i="8"/>
  <c r="BB122" i="8"/>
  <c r="BA148" i="8"/>
  <c r="BA150" i="8"/>
  <c r="BA152" i="8"/>
  <c r="BA154" i="8"/>
  <c r="BA156" i="8"/>
  <c r="BA145" i="8"/>
  <c r="BA147" i="8"/>
  <c r="BA149" i="8"/>
  <c r="BA151" i="8"/>
  <c r="BA153" i="8"/>
  <c r="BA155" i="8"/>
  <c r="BA157" i="8"/>
  <c r="BA146" i="8"/>
  <c r="AZ131" i="8"/>
  <c r="M157" i="8"/>
  <c r="L157" i="8"/>
  <c r="N157" i="8"/>
  <c r="F157" i="8"/>
  <c r="P45" i="8"/>
  <c r="P125" i="8" s="1"/>
  <c r="P53" i="8"/>
  <c r="P133" i="8" s="1"/>
  <c r="P61" i="8"/>
  <c r="P141" i="8" s="1"/>
  <c r="P51" i="8"/>
  <c r="P131" i="8" s="1"/>
  <c r="P40" i="8"/>
  <c r="P120" i="8" s="1"/>
  <c r="P48" i="8"/>
  <c r="P128" i="8" s="1"/>
  <c r="P56" i="8"/>
  <c r="P136" i="8" s="1"/>
  <c r="P43" i="8"/>
  <c r="P123" i="8" s="1"/>
  <c r="P59" i="8"/>
  <c r="P139" i="8" s="1"/>
  <c r="P46" i="8"/>
  <c r="P126" i="8" s="1"/>
  <c r="P54" i="8"/>
  <c r="P134" i="8" s="1"/>
  <c r="P62" i="8"/>
  <c r="P142" i="8" s="1"/>
  <c r="P39" i="8"/>
  <c r="P119" i="8" s="1"/>
  <c r="P58" i="8"/>
  <c r="P138" i="8" s="1"/>
  <c r="P41" i="8"/>
  <c r="P121" i="8" s="1"/>
  <c r="P49" i="8"/>
  <c r="P129" i="8" s="1"/>
  <c r="P57" i="8"/>
  <c r="P137" i="8" s="1"/>
  <c r="P44" i="8"/>
  <c r="P124" i="8" s="1"/>
  <c r="P52" i="8"/>
  <c r="P132" i="8" s="1"/>
  <c r="P60" i="8"/>
  <c r="P140" i="8" s="1"/>
  <c r="P47" i="8"/>
  <c r="P127" i="8" s="1"/>
  <c r="P55" i="8"/>
  <c r="P135" i="8" s="1"/>
  <c r="P63" i="8"/>
  <c r="P143" i="8" s="1"/>
  <c r="P42" i="8"/>
  <c r="P122" i="8" s="1"/>
  <c r="P50" i="8"/>
  <c r="P130" i="8" s="1"/>
  <c r="BC99" i="8"/>
  <c r="BC104" i="8"/>
  <c r="BC103" i="8"/>
  <c r="BX10" i="25"/>
  <c r="N37" i="73"/>
  <c r="N41" i="73"/>
  <c r="BX12" i="25"/>
  <c r="CP5" i="12"/>
  <c r="DA5" i="12" s="1"/>
  <c r="AI52" i="8"/>
  <c r="AI132" i="8" s="1"/>
  <c r="AH52" i="8"/>
  <c r="AH132" i="8" s="1"/>
  <c r="AG52" i="8"/>
  <c r="AG132" i="8" s="1"/>
  <c r="AF52" i="8"/>
  <c r="AF132" i="8" s="1"/>
  <c r="AM52" i="8"/>
  <c r="AM132" i="8" s="1"/>
  <c r="AL52" i="8"/>
  <c r="AL132" i="8" s="1"/>
  <c r="K52" i="8"/>
  <c r="K132" i="8" s="1"/>
  <c r="J52" i="8"/>
  <c r="J132" i="8" s="1"/>
  <c r="I52" i="8"/>
  <c r="I132" i="8" s="1"/>
  <c r="H52" i="8"/>
  <c r="H132" i="8" s="1"/>
  <c r="AK52" i="8"/>
  <c r="AK132" i="8" s="1"/>
  <c r="G52" i="8"/>
  <c r="G132" i="8" s="1"/>
  <c r="AJ52" i="8"/>
  <c r="AJ132" i="8" s="1"/>
  <c r="P4" i="8"/>
  <c r="P6" i="8"/>
  <c r="AI25" i="8"/>
  <c r="AH25" i="8"/>
  <c r="AH105" i="8" s="1"/>
  <c r="AG25" i="8"/>
  <c r="AG105" i="8" s="1"/>
  <c r="AF25" i="8"/>
  <c r="AM25" i="8"/>
  <c r="AL25" i="8"/>
  <c r="AL105" i="8" s="1"/>
  <c r="AK25" i="8"/>
  <c r="AJ25" i="8"/>
  <c r="AJ105" i="8" s="1"/>
  <c r="K25" i="8"/>
  <c r="K105" i="8" s="1"/>
  <c r="J25" i="8"/>
  <c r="J105" i="8" s="1"/>
  <c r="I25" i="8"/>
  <c r="I105" i="8" s="1"/>
  <c r="H25" i="8"/>
  <c r="H105" i="8" s="1"/>
  <c r="G25" i="8"/>
  <c r="G105" i="8" s="1"/>
  <c r="BB67" i="8"/>
  <c r="BB65" i="8"/>
  <c r="BB66" i="8"/>
  <c r="BB68" i="8"/>
  <c r="BB69" i="8"/>
  <c r="BB70" i="8"/>
  <c r="BB71" i="8"/>
  <c r="BB72" i="8"/>
  <c r="BB73" i="8"/>
  <c r="BB74" i="8"/>
  <c r="BB75" i="8"/>
  <c r="BB76" i="8"/>
  <c r="BC96" i="8"/>
  <c r="DF12" i="12"/>
  <c r="DF11" i="12"/>
  <c r="DF29" i="12"/>
  <c r="DF5" i="12"/>
  <c r="BC102" i="8"/>
  <c r="BC101" i="8"/>
  <c r="BC93" i="8"/>
  <c r="BC94" i="8"/>
  <c r="BC95" i="8"/>
  <c r="BC97" i="8"/>
  <c r="BC98" i="8"/>
  <c r="BC100" i="8"/>
  <c r="N31" i="73"/>
  <c r="P30" i="73"/>
  <c r="CP29" i="12"/>
  <c r="DA29" i="12" s="1"/>
  <c r="BC6" i="8"/>
  <c r="BC39" i="8"/>
  <c r="BC40" i="8"/>
  <c r="BC41" i="8"/>
  <c r="BC42" i="8"/>
  <c r="BC43" i="8"/>
  <c r="BC44" i="8"/>
  <c r="BC45" i="8"/>
  <c r="BC46" i="8"/>
  <c r="BC47" i="8"/>
  <c r="BC48" i="8"/>
  <c r="BC49" i="8"/>
  <c r="BC50" i="8"/>
  <c r="AI78" i="8"/>
  <c r="AI158" i="8" s="1"/>
  <c r="AH78" i="8"/>
  <c r="AH158" i="8" s="1"/>
  <c r="AG78" i="8"/>
  <c r="AG158" i="8" s="1"/>
  <c r="AF78" i="8"/>
  <c r="AF158" i="8" s="1"/>
  <c r="K78" i="8"/>
  <c r="K158" i="8" s="1"/>
  <c r="AM78" i="8"/>
  <c r="AM158" i="8" s="1"/>
  <c r="J78" i="8"/>
  <c r="J158" i="8" s="1"/>
  <c r="AL78" i="8"/>
  <c r="AL158" i="8" s="1"/>
  <c r="I78" i="8"/>
  <c r="I158" i="8" s="1"/>
  <c r="H78" i="8"/>
  <c r="H158" i="8" s="1"/>
  <c r="AK78" i="8"/>
  <c r="AK158" i="8" s="1"/>
  <c r="G78" i="8"/>
  <c r="G158" i="8" s="1"/>
  <c r="AJ78" i="8"/>
  <c r="AJ158" i="8" s="1"/>
  <c r="F78" i="8"/>
  <c r="F158" i="8" s="1"/>
  <c r="AO78" i="8"/>
  <c r="AO158" i="8" s="1"/>
  <c r="AE78" i="8"/>
  <c r="BB78" i="8"/>
  <c r="AY78" i="8"/>
  <c r="AY158" i="8" s="1"/>
  <c r="AD78" i="8"/>
  <c r="AA78" i="8"/>
  <c r="AA158" i="8" s="1"/>
  <c r="M78" i="8"/>
  <c r="M158" i="8" s="1"/>
  <c r="BA78" i="8"/>
  <c r="BA158" i="8" s="1"/>
  <c r="D78" i="8"/>
  <c r="D158" i="8" s="1"/>
  <c r="AR78" i="8"/>
  <c r="AR158" i="8" s="1"/>
  <c r="AZ78" i="8"/>
  <c r="AZ158" i="8" s="1"/>
  <c r="AQ78" i="8"/>
  <c r="AQ158" i="8" s="1"/>
  <c r="L78" i="8"/>
  <c r="L158" i="8" s="1"/>
  <c r="AC78" i="8"/>
  <c r="AC158" i="8" s="1"/>
  <c r="AT78" i="8"/>
  <c r="AT158" i="8" s="1"/>
  <c r="AS78" i="8"/>
  <c r="AS158" i="8" s="1"/>
  <c r="B79" i="8"/>
  <c r="Z78" i="8"/>
  <c r="Z158" i="8" s="1"/>
  <c r="E78" i="8"/>
  <c r="N78" i="8"/>
  <c r="AP78" i="8"/>
  <c r="AP158" i="8" s="1"/>
  <c r="AB78" i="8"/>
  <c r="AB158" i="8" s="1"/>
  <c r="AU78" i="8"/>
  <c r="AU158" i="8" s="1"/>
  <c r="Y78" i="8"/>
  <c r="Y158" i="8" s="1"/>
  <c r="AN78" i="8"/>
  <c r="AN158" i="8" s="1"/>
  <c r="C78" i="8"/>
  <c r="C158" i="8" s="1"/>
  <c r="Q5" i="8"/>
  <c r="AP174" i="8"/>
  <c r="DG12" i="125"/>
  <c r="DG29" i="125"/>
  <c r="DG11" i="125"/>
  <c r="DG5" i="125"/>
  <c r="N27" i="73"/>
  <c r="P26" i="73"/>
  <c r="BC52" i="8"/>
  <c r="AN52" i="8"/>
  <c r="AN132" i="8" s="1"/>
  <c r="AD52" i="8"/>
  <c r="AD132" i="8" s="1"/>
  <c r="D52" i="8"/>
  <c r="D132" i="8" s="1"/>
  <c r="AR52" i="8"/>
  <c r="AR132" i="8" s="1"/>
  <c r="F52" i="8"/>
  <c r="F132" i="8" s="1"/>
  <c r="L52" i="8"/>
  <c r="L132" i="8" s="1"/>
  <c r="AS52" i="8"/>
  <c r="AS132" i="8" s="1"/>
  <c r="AP52" i="8"/>
  <c r="AP132" i="8" s="1"/>
  <c r="BB52" i="8"/>
  <c r="AQ52" i="8"/>
  <c r="AQ132" i="8" s="1"/>
  <c r="AO52" i="8"/>
  <c r="AO132" i="8" s="1"/>
  <c r="AU52" i="8"/>
  <c r="AU132" i="8" s="1"/>
  <c r="AT52" i="8"/>
  <c r="AT132" i="8" s="1"/>
  <c r="N52" i="8"/>
  <c r="BA52" i="8"/>
  <c r="AA52" i="8"/>
  <c r="AA132" i="8" s="1"/>
  <c r="AC52" i="8"/>
  <c r="AC132" i="8" s="1"/>
  <c r="M52" i="8"/>
  <c r="Z52" i="8"/>
  <c r="Z132" i="8" s="1"/>
  <c r="AB52" i="8"/>
  <c r="AB132" i="8" s="1"/>
  <c r="AE52" i="8"/>
  <c r="AY52" i="8"/>
  <c r="AY132" i="8" s="1"/>
  <c r="Y52" i="8"/>
  <c r="Y132" i="8" s="1"/>
  <c r="AZ52" i="8"/>
  <c r="AZ132" i="8" s="1"/>
  <c r="B53" i="8"/>
  <c r="E52" i="8"/>
  <c r="E132" i="8" s="1"/>
  <c r="C52" i="8"/>
  <c r="C132" i="8" s="1"/>
  <c r="AN25" i="8"/>
  <c r="AN105" i="8" s="1"/>
  <c r="AC25" i="8"/>
  <c r="AC105" i="8" s="1"/>
  <c r="N25" i="8"/>
  <c r="N105" i="8" s="1"/>
  <c r="AA25" i="8"/>
  <c r="AA105" i="8" s="1"/>
  <c r="AR25" i="8"/>
  <c r="AR105" i="8" s="1"/>
  <c r="M25" i="8"/>
  <c r="M105" i="8" s="1"/>
  <c r="C25" i="8"/>
  <c r="C105" i="8" s="1"/>
  <c r="AQ25" i="8"/>
  <c r="AQ105" i="8" s="1"/>
  <c r="L25" i="8"/>
  <c r="L105" i="8" s="1"/>
  <c r="AS25" i="8"/>
  <c r="AS105" i="8" s="1"/>
  <c r="Z25" i="8"/>
  <c r="Z105" i="8" s="1"/>
  <c r="AT25" i="8"/>
  <c r="AT105" i="8" s="1"/>
  <c r="AZ25" i="8"/>
  <c r="AZ105" i="8" s="1"/>
  <c r="Y25" i="8"/>
  <c r="Y105" i="8" s="1"/>
  <c r="BA25" i="8"/>
  <c r="BA105" i="8" s="1"/>
  <c r="AI105" i="8"/>
  <c r="AB25" i="8"/>
  <c r="AB105" i="8" s="1"/>
  <c r="B26" i="8"/>
  <c r="AD25" i="8"/>
  <c r="AD105" i="8" s="1"/>
  <c r="BB25" i="8"/>
  <c r="BB105" i="8" s="1"/>
  <c r="AF105" i="8"/>
  <c r="E25" i="8"/>
  <c r="E105" i="8" s="1"/>
  <c r="F25" i="8"/>
  <c r="F105" i="8" s="1"/>
  <c r="AE25" i="8"/>
  <c r="AE105" i="8" s="1"/>
  <c r="BC25" i="8"/>
  <c r="BC105" i="8" s="1"/>
  <c r="D25" i="8"/>
  <c r="D105" i="8" s="1"/>
  <c r="AK105" i="8"/>
  <c r="AU25" i="8"/>
  <c r="AU105" i="8" s="1"/>
  <c r="AY25" i="8"/>
  <c r="AY105" i="8" s="1"/>
  <c r="AM105" i="8"/>
  <c r="AO25" i="8"/>
  <c r="AO105" i="8" s="1"/>
  <c r="AP25" i="8"/>
  <c r="AP105" i="8" s="1"/>
  <c r="B67" i="123" l="1"/>
  <c r="B92" i="123"/>
  <c r="B39" i="123"/>
  <c r="C293" i="123"/>
  <c r="E293" i="123" s="1"/>
  <c r="F293" i="123"/>
  <c r="B294" i="123"/>
  <c r="G493" i="123"/>
  <c r="A494" i="123"/>
  <c r="B263" i="123"/>
  <c r="C262" i="123"/>
  <c r="E262" i="123" s="1"/>
  <c r="F262" i="123"/>
  <c r="A299" i="123"/>
  <c r="G299" i="123" s="1"/>
  <c r="G298" i="123"/>
  <c r="B435" i="123"/>
  <c r="C434" i="123"/>
  <c r="E434" i="123" s="1"/>
  <c r="F434" i="123"/>
  <c r="A152" i="123"/>
  <c r="G151" i="123"/>
  <c r="B379" i="123"/>
  <c r="C378" i="123"/>
  <c r="E378" i="123" s="1"/>
  <c r="F378" i="123"/>
  <c r="F208" i="123"/>
  <c r="B209" i="123"/>
  <c r="C208" i="123"/>
  <c r="E208" i="123" s="1"/>
  <c r="A465" i="123"/>
  <c r="G464" i="123"/>
  <c r="G125" i="123"/>
  <c r="A126" i="123"/>
  <c r="A408" i="123"/>
  <c r="G407" i="123"/>
  <c r="C235" i="123"/>
  <c r="E235" i="123" s="1"/>
  <c r="F235" i="123"/>
  <c r="B236" i="123"/>
  <c r="G604" i="123"/>
  <c r="A605" i="123"/>
  <c r="F150" i="123"/>
  <c r="B151" i="123"/>
  <c r="C150" i="123"/>
  <c r="E150" i="123" s="1"/>
  <c r="B177" i="123"/>
  <c r="C176" i="123"/>
  <c r="E176" i="123" s="1"/>
  <c r="F176" i="123"/>
  <c r="C576" i="123"/>
  <c r="E576" i="123" s="1"/>
  <c r="B577" i="123"/>
  <c r="F576" i="123"/>
  <c r="C515" i="123"/>
  <c r="E515" i="123" s="1"/>
  <c r="F515" i="123"/>
  <c r="B516" i="123"/>
  <c r="C550" i="123"/>
  <c r="E550" i="123" s="1"/>
  <c r="B551" i="123"/>
  <c r="F550" i="123"/>
  <c r="G179" i="123"/>
  <c r="A180" i="123"/>
  <c r="F601" i="123"/>
  <c r="C601" i="123"/>
  <c r="E601" i="123" s="1"/>
  <c r="B602" i="123"/>
  <c r="C345" i="123"/>
  <c r="E345" i="123" s="1"/>
  <c r="F345" i="123"/>
  <c r="B346" i="123"/>
  <c r="A518" i="123"/>
  <c r="G517" i="123"/>
  <c r="A552" i="123"/>
  <c r="G551" i="123"/>
  <c r="F405" i="123"/>
  <c r="B406" i="123"/>
  <c r="C405" i="123"/>
  <c r="E405" i="123" s="1"/>
  <c r="F462" i="123"/>
  <c r="B463" i="123"/>
  <c r="C462" i="123"/>
  <c r="E462" i="123" s="1"/>
  <c r="A381" i="123"/>
  <c r="G380" i="123"/>
  <c r="G578" i="123"/>
  <c r="A579" i="123"/>
  <c r="F319" i="123"/>
  <c r="C319" i="123"/>
  <c r="E319" i="123" s="1"/>
  <c r="B320" i="123"/>
  <c r="C124" i="123"/>
  <c r="E124" i="123" s="1"/>
  <c r="F124" i="123"/>
  <c r="B125" i="123"/>
  <c r="A435" i="123"/>
  <c r="G434" i="123"/>
  <c r="C492" i="123"/>
  <c r="E492" i="123" s="1"/>
  <c r="B493" i="123"/>
  <c r="F492" i="123"/>
  <c r="M132" i="8"/>
  <c r="N132" i="8"/>
  <c r="AE158" i="8"/>
  <c r="AD158" i="8"/>
  <c r="AE132" i="8"/>
  <c r="BB132" i="8"/>
  <c r="BB146" i="8"/>
  <c r="BB148" i="8"/>
  <c r="BB150" i="8"/>
  <c r="BB152" i="8"/>
  <c r="BB154" i="8"/>
  <c r="BB156" i="8"/>
  <c r="BB158" i="8"/>
  <c r="BB145" i="8"/>
  <c r="BB147" i="8"/>
  <c r="BB149" i="8"/>
  <c r="BB151" i="8"/>
  <c r="BB153" i="8"/>
  <c r="BB155" i="8"/>
  <c r="BB157" i="8"/>
  <c r="BA132" i="8"/>
  <c r="BC124" i="8"/>
  <c r="BC132" i="8"/>
  <c r="BC122" i="8"/>
  <c r="BC130" i="8"/>
  <c r="BC121" i="8"/>
  <c r="BC120" i="8"/>
  <c r="BC128" i="8"/>
  <c r="BC119" i="8"/>
  <c r="BC127" i="8"/>
  <c r="BC123" i="8"/>
  <c r="BC129" i="8"/>
  <c r="BC126" i="8"/>
  <c r="BC125" i="8"/>
  <c r="BC131" i="8"/>
  <c r="N158" i="8"/>
  <c r="E158" i="8"/>
  <c r="P18" i="8"/>
  <c r="P98" i="8" s="1"/>
  <c r="P26" i="8"/>
  <c r="P106" i="8" s="1"/>
  <c r="P34" i="8"/>
  <c r="P16" i="8"/>
  <c r="P21" i="8"/>
  <c r="P101" i="8" s="1"/>
  <c r="P29" i="8"/>
  <c r="P37" i="8"/>
  <c r="P19" i="8"/>
  <c r="P99" i="8" s="1"/>
  <c r="P27" i="8"/>
  <c r="P35" i="8"/>
  <c r="P14" i="8"/>
  <c r="P94" i="8" s="1"/>
  <c r="P22" i="8"/>
  <c r="P102" i="8" s="1"/>
  <c r="P30" i="8"/>
  <c r="P15" i="8"/>
  <c r="P95" i="8" s="1"/>
  <c r="P23" i="8"/>
  <c r="P103" i="8" s="1"/>
  <c r="P17" i="8"/>
  <c r="P97" i="8" s="1"/>
  <c r="P25" i="8"/>
  <c r="P105" i="8" s="1"/>
  <c r="P33" i="8"/>
  <c r="P32" i="8"/>
  <c r="P20" i="8"/>
  <c r="P28" i="8"/>
  <c r="P36" i="8"/>
  <c r="P13" i="8"/>
  <c r="P31" i="8"/>
  <c r="P24" i="8"/>
  <c r="Q42" i="8"/>
  <c r="Q122" i="8" s="1"/>
  <c r="Q50" i="8"/>
  <c r="Q130" i="8" s="1"/>
  <c r="Q58" i="8"/>
  <c r="Q138" i="8" s="1"/>
  <c r="Q40" i="8"/>
  <c r="Q120" i="8" s="1"/>
  <c r="Q56" i="8"/>
  <c r="Q136" i="8" s="1"/>
  <c r="Q45" i="8"/>
  <c r="Q125" i="8" s="1"/>
  <c r="Q53" i="8"/>
  <c r="Q133" i="8" s="1"/>
  <c r="Q61" i="8"/>
  <c r="Q141" i="8" s="1"/>
  <c r="Q48" i="8"/>
  <c r="Q128" i="8" s="1"/>
  <c r="Q39" i="8"/>
  <c r="Q119" i="8" s="1"/>
  <c r="Q43" i="8"/>
  <c r="Q123" i="8" s="1"/>
  <c r="Q51" i="8"/>
  <c r="Q131" i="8" s="1"/>
  <c r="Q59" i="8"/>
  <c r="Q139" i="8" s="1"/>
  <c r="Q47" i="8"/>
  <c r="Q127" i="8" s="1"/>
  <c r="Q46" i="8"/>
  <c r="Q126" i="8" s="1"/>
  <c r="Q54" i="8"/>
  <c r="Q134" i="8" s="1"/>
  <c r="Q62" i="8"/>
  <c r="Q142" i="8" s="1"/>
  <c r="Q41" i="8"/>
  <c r="Q121" i="8" s="1"/>
  <c r="Q49" i="8"/>
  <c r="Q129" i="8" s="1"/>
  <c r="Q57" i="8"/>
  <c r="Q137" i="8" s="1"/>
  <c r="Q55" i="8"/>
  <c r="Q135" i="8" s="1"/>
  <c r="Q63" i="8"/>
  <c r="Q143" i="8" s="1"/>
  <c r="Q44" i="8"/>
  <c r="Q124" i="8" s="1"/>
  <c r="Q52" i="8"/>
  <c r="Q132" i="8" s="1"/>
  <c r="Q60" i="8"/>
  <c r="Q140" i="8" s="1"/>
  <c r="P72" i="8"/>
  <c r="P152" i="8" s="1"/>
  <c r="P80" i="8"/>
  <c r="P160" i="8" s="1"/>
  <c r="P88" i="8"/>
  <c r="P168" i="8" s="1"/>
  <c r="P65" i="8"/>
  <c r="P145" i="8" s="1"/>
  <c r="P70" i="8"/>
  <c r="P150" i="8" s="1"/>
  <c r="P78" i="8"/>
  <c r="P158" i="8" s="1"/>
  <c r="P86" i="8"/>
  <c r="P166" i="8" s="1"/>
  <c r="P67" i="8"/>
  <c r="P147" i="8" s="1"/>
  <c r="P75" i="8"/>
  <c r="P155" i="8" s="1"/>
  <c r="P83" i="8"/>
  <c r="P163" i="8" s="1"/>
  <c r="P73" i="8"/>
  <c r="P153" i="8" s="1"/>
  <c r="P81" i="8"/>
  <c r="P161" i="8" s="1"/>
  <c r="P89" i="8"/>
  <c r="P169" i="8" s="1"/>
  <c r="P68" i="8"/>
  <c r="P148" i="8" s="1"/>
  <c r="P76" i="8"/>
  <c r="P156" i="8" s="1"/>
  <c r="P84" i="8"/>
  <c r="P164" i="8" s="1"/>
  <c r="P71" i="8"/>
  <c r="P151" i="8" s="1"/>
  <c r="P79" i="8"/>
  <c r="P159" i="8" s="1"/>
  <c r="P87" i="8"/>
  <c r="P167" i="8" s="1"/>
  <c r="P77" i="8"/>
  <c r="P157" i="8" s="1"/>
  <c r="P66" i="8"/>
  <c r="P146" i="8" s="1"/>
  <c r="P74" i="8"/>
  <c r="P154" i="8" s="1"/>
  <c r="P82" i="8"/>
  <c r="P162" i="8" s="1"/>
  <c r="P69" i="8"/>
  <c r="P149" i="8" s="1"/>
  <c r="P85" i="8"/>
  <c r="P165" i="8" s="1"/>
  <c r="N33" i="73"/>
  <c r="DG11" i="12"/>
  <c r="DG29" i="12"/>
  <c r="DG5" i="12"/>
  <c r="DG12" i="12"/>
  <c r="DH11" i="125"/>
  <c r="DH12" i="125"/>
  <c r="DH29" i="125"/>
  <c r="DH5" i="125"/>
  <c r="BC67" i="8"/>
  <c r="BC65" i="8"/>
  <c r="BC66" i="8"/>
  <c r="BC68" i="8"/>
  <c r="BC69" i="8"/>
  <c r="BC70" i="8"/>
  <c r="BC71" i="8"/>
  <c r="BC72" i="8"/>
  <c r="BC73" i="8"/>
  <c r="BC74" i="8"/>
  <c r="BC75" i="8"/>
  <c r="BC76" i="8"/>
  <c r="BC77" i="8"/>
  <c r="R5" i="8"/>
  <c r="AQ174" i="8"/>
  <c r="AR174" i="8" s="1"/>
  <c r="AS174" i="8" s="1"/>
  <c r="AT174" i="8" s="1"/>
  <c r="AU174" i="8" s="1"/>
  <c r="AV174" i="8" s="1"/>
  <c r="AW174" i="8" s="1"/>
  <c r="AX174" i="8" s="1"/>
  <c r="AY174" i="8" s="1"/>
  <c r="AZ174" i="8" s="1"/>
  <c r="BA174" i="8" s="1"/>
  <c r="BB174" i="8" s="1"/>
  <c r="BC174" i="8" s="1"/>
  <c r="BD174" i="8" s="1"/>
  <c r="BE174" i="8" s="1"/>
  <c r="BF174" i="8" s="1"/>
  <c r="BG174" i="8" s="1"/>
  <c r="BH174" i="8" s="1"/>
  <c r="BI174" i="8" s="1"/>
  <c r="BJ174" i="8" s="1"/>
  <c r="BK174" i="8" s="1"/>
  <c r="BL174" i="8" s="1"/>
  <c r="BM174" i="8" s="1"/>
  <c r="BN174" i="8" s="1"/>
  <c r="BO174" i="8" s="1"/>
  <c r="BP174" i="8" s="1"/>
  <c r="BQ174" i="8" s="1"/>
  <c r="BR174" i="8" s="1"/>
  <c r="BS174" i="8" s="1"/>
  <c r="BT174" i="8" s="1"/>
  <c r="BU174" i="8" s="1"/>
  <c r="BV174" i="8" s="1"/>
  <c r="BW174" i="8" s="1"/>
  <c r="BX174" i="8" s="1"/>
  <c r="BY174" i="8" s="1"/>
  <c r="BZ174" i="8" s="1"/>
  <c r="CA174" i="8" s="1"/>
  <c r="CB174" i="8" s="1"/>
  <c r="CC174" i="8" s="1"/>
  <c r="CD174" i="8" s="1"/>
  <c r="CE174" i="8" s="1"/>
  <c r="CF174" i="8" s="1"/>
  <c r="CG174" i="8" s="1"/>
  <c r="CH174" i="8" s="1"/>
  <c r="CI174" i="8" s="1"/>
  <c r="CJ174" i="8" s="1"/>
  <c r="P93" i="8"/>
  <c r="P96" i="8"/>
  <c r="P100" i="8"/>
  <c r="P104" i="8"/>
  <c r="AI53" i="8"/>
  <c r="AI133" i="8" s="1"/>
  <c r="AH53" i="8"/>
  <c r="AH133" i="8" s="1"/>
  <c r="AG53" i="8"/>
  <c r="AG133" i="8" s="1"/>
  <c r="AF53" i="8"/>
  <c r="AF133" i="8" s="1"/>
  <c r="AM53" i="8"/>
  <c r="AM133" i="8" s="1"/>
  <c r="AL53" i="8"/>
  <c r="AL133" i="8" s="1"/>
  <c r="AK53" i="8"/>
  <c r="AK133" i="8" s="1"/>
  <c r="AJ53" i="8"/>
  <c r="AJ133" i="8" s="1"/>
  <c r="K53" i="8"/>
  <c r="K133" i="8" s="1"/>
  <c r="J53" i="8"/>
  <c r="J133" i="8" s="1"/>
  <c r="I53" i="8"/>
  <c r="I133" i="8" s="1"/>
  <c r="H53" i="8"/>
  <c r="H133" i="8" s="1"/>
  <c r="G53" i="8"/>
  <c r="G133" i="8" s="1"/>
  <c r="AI79" i="8"/>
  <c r="AI159" i="8" s="1"/>
  <c r="AH79" i="8"/>
  <c r="AH159" i="8" s="1"/>
  <c r="H79" i="8"/>
  <c r="H159" i="8" s="1"/>
  <c r="AG79" i="8"/>
  <c r="AG159" i="8" s="1"/>
  <c r="G79" i="8"/>
  <c r="G159" i="8" s="1"/>
  <c r="AF79" i="8"/>
  <c r="AF159" i="8" s="1"/>
  <c r="AM79" i="8"/>
  <c r="AM159" i="8" s="1"/>
  <c r="AL79" i="8"/>
  <c r="AL159" i="8" s="1"/>
  <c r="AK79" i="8"/>
  <c r="AK159" i="8" s="1"/>
  <c r="I79" i="8"/>
  <c r="I159" i="8" s="1"/>
  <c r="AJ79" i="8"/>
  <c r="AJ159" i="8" s="1"/>
  <c r="K79" i="8"/>
  <c r="K159" i="8" s="1"/>
  <c r="J79" i="8"/>
  <c r="J159" i="8" s="1"/>
  <c r="AS79" i="8"/>
  <c r="AS159" i="8" s="1"/>
  <c r="AR79" i="8"/>
  <c r="AR159" i="8" s="1"/>
  <c r="AU79" i="8"/>
  <c r="AU159" i="8" s="1"/>
  <c r="BA79" i="8"/>
  <c r="L79" i="8"/>
  <c r="L159" i="8" s="1"/>
  <c r="AP79" i="8"/>
  <c r="AP159" i="8" s="1"/>
  <c r="Y79" i="8"/>
  <c r="Y159" i="8" s="1"/>
  <c r="AB79" i="8"/>
  <c r="AB159" i="8" s="1"/>
  <c r="AD79" i="8"/>
  <c r="AD159" i="8" s="1"/>
  <c r="AN79" i="8"/>
  <c r="AN159" i="8" s="1"/>
  <c r="M79" i="8"/>
  <c r="M159" i="8" s="1"/>
  <c r="AT79" i="8"/>
  <c r="AT159" i="8" s="1"/>
  <c r="BB79" i="8"/>
  <c r="AY79" i="8"/>
  <c r="AY159" i="8" s="1"/>
  <c r="D79" i="8"/>
  <c r="D159" i="8" s="1"/>
  <c r="E79" i="8"/>
  <c r="E159" i="8" s="1"/>
  <c r="AO79" i="8"/>
  <c r="AO159" i="8" s="1"/>
  <c r="F79" i="8"/>
  <c r="F159" i="8" s="1"/>
  <c r="AC79" i="8"/>
  <c r="AC159" i="8" s="1"/>
  <c r="AA79" i="8"/>
  <c r="AA159" i="8" s="1"/>
  <c r="AZ79" i="8"/>
  <c r="AQ79" i="8"/>
  <c r="AQ159" i="8" s="1"/>
  <c r="B80" i="8"/>
  <c r="N79" i="8"/>
  <c r="C79" i="8"/>
  <c r="C159" i="8" s="1"/>
  <c r="AE79" i="8"/>
  <c r="BC79" i="8"/>
  <c r="Z79" i="8"/>
  <c r="Z159" i="8" s="1"/>
  <c r="Q26" i="73"/>
  <c r="Q27" i="73" s="1"/>
  <c r="P27" i="73"/>
  <c r="Q4" i="8"/>
  <c r="Q6" i="8"/>
  <c r="BC78" i="8"/>
  <c r="AI26" i="8"/>
  <c r="AI106" i="8" s="1"/>
  <c r="AH26" i="8"/>
  <c r="AH106" i="8" s="1"/>
  <c r="AG26" i="8"/>
  <c r="AG106" i="8" s="1"/>
  <c r="AF26" i="8"/>
  <c r="AF106" i="8" s="1"/>
  <c r="AM26" i="8"/>
  <c r="AM106" i="8" s="1"/>
  <c r="AL26" i="8"/>
  <c r="AL106" i="8" s="1"/>
  <c r="H26" i="8"/>
  <c r="H106" i="8" s="1"/>
  <c r="G26" i="8"/>
  <c r="G106" i="8" s="1"/>
  <c r="K26" i="8"/>
  <c r="K106" i="8" s="1"/>
  <c r="J26" i="8"/>
  <c r="J106" i="8" s="1"/>
  <c r="I26" i="8"/>
  <c r="I106" i="8" s="1"/>
  <c r="AK26" i="8"/>
  <c r="AK106" i="8" s="1"/>
  <c r="AJ26" i="8"/>
  <c r="AJ106" i="8" s="1"/>
  <c r="N42" i="73"/>
  <c r="P41" i="73"/>
  <c r="P31" i="73"/>
  <c r="Q30" i="73"/>
  <c r="Q31" i="73" s="1"/>
  <c r="N38" i="73"/>
  <c r="P37" i="73"/>
  <c r="E26" i="8"/>
  <c r="E106" i="8" s="1"/>
  <c r="Y26" i="8"/>
  <c r="Y106" i="8" s="1"/>
  <c r="AO26" i="8"/>
  <c r="AO106" i="8" s="1"/>
  <c r="C26" i="8"/>
  <c r="C106" i="8" s="1"/>
  <c r="AE26" i="8"/>
  <c r="AE106" i="8" s="1"/>
  <c r="AB26" i="8"/>
  <c r="AB106" i="8" s="1"/>
  <c r="AY26" i="8"/>
  <c r="AY106" i="8" s="1"/>
  <c r="AC26" i="8"/>
  <c r="AC106" i="8" s="1"/>
  <c r="AS26" i="8"/>
  <c r="AS106" i="8" s="1"/>
  <c r="N26" i="8"/>
  <c r="N106" i="8" s="1"/>
  <c r="AR26" i="8"/>
  <c r="AR106" i="8" s="1"/>
  <c r="Z26" i="8"/>
  <c r="Z106" i="8" s="1"/>
  <c r="AP26" i="8"/>
  <c r="AP106" i="8" s="1"/>
  <c r="BC26" i="8"/>
  <c r="BC106" i="8" s="1"/>
  <c r="M26" i="8"/>
  <c r="M106" i="8" s="1"/>
  <c r="BA26" i="8"/>
  <c r="BA106" i="8" s="1"/>
  <c r="L26" i="8"/>
  <c r="L106" i="8" s="1"/>
  <c r="AZ26" i="8"/>
  <c r="AZ106" i="8" s="1"/>
  <c r="B27" i="8"/>
  <c r="AD26" i="8"/>
  <c r="AD106" i="8" s="1"/>
  <c r="AT26" i="8"/>
  <c r="AT106" i="8" s="1"/>
  <c r="AQ26" i="8"/>
  <c r="AQ106" i="8" s="1"/>
  <c r="F26" i="8"/>
  <c r="F106" i="8" s="1"/>
  <c r="AA26" i="8"/>
  <c r="AA106" i="8" s="1"/>
  <c r="AN26" i="8"/>
  <c r="AN106" i="8" s="1"/>
  <c r="D26" i="8"/>
  <c r="D106" i="8" s="1"/>
  <c r="BB26" i="8"/>
  <c r="BB106" i="8" s="1"/>
  <c r="AU26" i="8"/>
  <c r="AU106" i="8" s="1"/>
  <c r="AB53" i="8"/>
  <c r="AB133" i="8" s="1"/>
  <c r="BC53" i="8"/>
  <c r="B54" i="8"/>
  <c r="F53" i="8"/>
  <c r="F133" i="8" s="1"/>
  <c r="AP53" i="8"/>
  <c r="AP133" i="8" s="1"/>
  <c r="E53" i="8"/>
  <c r="E133" i="8" s="1"/>
  <c r="M53" i="8"/>
  <c r="M133" i="8" s="1"/>
  <c r="AO53" i="8"/>
  <c r="AO133" i="8" s="1"/>
  <c r="AU53" i="8"/>
  <c r="AU133" i="8" s="1"/>
  <c r="AQ53" i="8"/>
  <c r="AQ133" i="8" s="1"/>
  <c r="AS53" i="8"/>
  <c r="AS133" i="8" s="1"/>
  <c r="L53" i="8"/>
  <c r="L133" i="8" s="1"/>
  <c r="AN53" i="8"/>
  <c r="AN133" i="8" s="1"/>
  <c r="N53" i="8"/>
  <c r="BA53" i="8"/>
  <c r="AT53" i="8"/>
  <c r="AT133" i="8" s="1"/>
  <c r="Z53" i="8"/>
  <c r="Z133" i="8" s="1"/>
  <c r="AY53" i="8"/>
  <c r="AY133" i="8" s="1"/>
  <c r="AA53" i="8"/>
  <c r="AA133" i="8" s="1"/>
  <c r="BB53" i="8"/>
  <c r="D53" i="8"/>
  <c r="D133" i="8" s="1"/>
  <c r="AE53" i="8"/>
  <c r="AE133" i="8" s="1"/>
  <c r="AC53" i="8"/>
  <c r="AC133" i="8" s="1"/>
  <c r="AR53" i="8"/>
  <c r="AR133" i="8" s="1"/>
  <c r="AZ53" i="8"/>
  <c r="AZ133" i="8" s="1"/>
  <c r="C53" i="8"/>
  <c r="C133" i="8" s="1"/>
  <c r="Y53" i="8"/>
  <c r="Y133" i="8" s="1"/>
  <c r="AD53" i="8"/>
  <c r="AD133" i="8" s="1"/>
  <c r="B93" i="123" l="1"/>
  <c r="B68" i="123"/>
  <c r="B40" i="123"/>
  <c r="G180" i="123"/>
  <c r="A181" i="123"/>
  <c r="G181" i="123" s="1"/>
  <c r="F493" i="123"/>
  <c r="C493" i="123"/>
  <c r="E493" i="123" s="1"/>
  <c r="B494" i="123"/>
  <c r="A382" i="123"/>
  <c r="G381" i="123"/>
  <c r="B407" i="123"/>
  <c r="F406" i="123"/>
  <c r="C406" i="123"/>
  <c r="E406" i="123" s="1"/>
  <c r="B347" i="123"/>
  <c r="F346" i="123"/>
  <c r="C346" i="123"/>
  <c r="E346" i="123" s="1"/>
  <c r="B152" i="123"/>
  <c r="F151" i="123"/>
  <c r="C151" i="123"/>
  <c r="E151" i="123" s="1"/>
  <c r="G408" i="123"/>
  <c r="A409" i="123"/>
  <c r="B264" i="123"/>
  <c r="C263" i="123"/>
  <c r="E263" i="123" s="1"/>
  <c r="F263" i="123"/>
  <c r="C177" i="123"/>
  <c r="E177" i="123" s="1"/>
  <c r="F177" i="123"/>
  <c r="B178" i="123"/>
  <c r="F209" i="123"/>
  <c r="B210" i="123"/>
  <c r="C209" i="123"/>
  <c r="E209" i="123" s="1"/>
  <c r="C320" i="123"/>
  <c r="E320" i="123" s="1"/>
  <c r="F320" i="123"/>
  <c r="B321" i="123"/>
  <c r="C551" i="123"/>
  <c r="E551" i="123" s="1"/>
  <c r="B552" i="123"/>
  <c r="F551" i="123"/>
  <c r="A127" i="123"/>
  <c r="G126" i="123"/>
  <c r="A495" i="123"/>
  <c r="G495" i="123" s="1"/>
  <c r="G494" i="123"/>
  <c r="B578" i="123"/>
  <c r="C577" i="123"/>
  <c r="E577" i="123" s="1"/>
  <c r="F577" i="123"/>
  <c r="A606" i="123"/>
  <c r="G606" i="123" s="1"/>
  <c r="G605" i="123"/>
  <c r="F379" i="123"/>
  <c r="B380" i="123"/>
  <c r="C379" i="123"/>
  <c r="E379" i="123" s="1"/>
  <c r="F435" i="123"/>
  <c r="C435" i="123"/>
  <c r="E435" i="123" s="1"/>
  <c r="B436" i="123"/>
  <c r="A436" i="123"/>
  <c r="G436" i="123" s="1"/>
  <c r="G435" i="123"/>
  <c r="A553" i="123"/>
  <c r="G552" i="123"/>
  <c r="C602" i="123"/>
  <c r="E602" i="123" s="1"/>
  <c r="F602" i="123"/>
  <c r="B603" i="123"/>
  <c r="F516" i="123"/>
  <c r="B517" i="123"/>
  <c r="C516" i="123"/>
  <c r="E516" i="123" s="1"/>
  <c r="C294" i="123"/>
  <c r="E294" i="123" s="1"/>
  <c r="F294" i="123"/>
  <c r="B295" i="123"/>
  <c r="F125" i="123"/>
  <c r="C125" i="123"/>
  <c r="E125" i="123" s="1"/>
  <c r="B126" i="123"/>
  <c r="A580" i="123"/>
  <c r="G580" i="123" s="1"/>
  <c r="G579" i="123"/>
  <c r="B237" i="123"/>
  <c r="C236" i="123"/>
  <c r="E236" i="123" s="1"/>
  <c r="F236" i="123"/>
  <c r="G465" i="123"/>
  <c r="A466" i="123"/>
  <c r="G152" i="123"/>
  <c r="A153" i="123"/>
  <c r="C463" i="123"/>
  <c r="E463" i="123" s="1"/>
  <c r="F463" i="123"/>
  <c r="B464" i="123"/>
  <c r="G518" i="123"/>
  <c r="A519" i="123"/>
  <c r="N133" i="8"/>
  <c r="AE159" i="8"/>
  <c r="BB133" i="8"/>
  <c r="BA159" i="8"/>
  <c r="BB159" i="8"/>
  <c r="BC133" i="8"/>
  <c r="AZ159" i="8"/>
  <c r="BC146" i="8"/>
  <c r="BC148" i="8"/>
  <c r="BC150" i="8"/>
  <c r="BC152" i="8"/>
  <c r="BC154" i="8"/>
  <c r="BC156" i="8"/>
  <c r="BC158" i="8"/>
  <c r="BC145" i="8"/>
  <c r="BC147" i="8"/>
  <c r="BC149" i="8"/>
  <c r="BC151" i="8"/>
  <c r="BC153" i="8"/>
  <c r="BC155" i="8"/>
  <c r="BC157" i="8"/>
  <c r="BC159" i="8"/>
  <c r="BA133" i="8"/>
  <c r="N159" i="8"/>
  <c r="R47" i="8"/>
  <c r="R127" i="8" s="1"/>
  <c r="R55" i="8"/>
  <c r="R135" i="8" s="1"/>
  <c r="R63" i="8"/>
  <c r="R143" i="8" s="1"/>
  <c r="R45" i="8"/>
  <c r="R125" i="8" s="1"/>
  <c r="R61" i="8"/>
  <c r="R141" i="8" s="1"/>
  <c r="R42" i="8"/>
  <c r="R122" i="8" s="1"/>
  <c r="R50" i="8"/>
  <c r="R130" i="8" s="1"/>
  <c r="R58" i="8"/>
  <c r="R138" i="8" s="1"/>
  <c r="R39" i="8"/>
  <c r="R119" i="8" s="1"/>
  <c r="R53" i="8"/>
  <c r="R133" i="8" s="1"/>
  <c r="R40" i="8"/>
  <c r="R120" i="8" s="1"/>
  <c r="R48" i="8"/>
  <c r="R128" i="8" s="1"/>
  <c r="R56" i="8"/>
  <c r="R136" i="8" s="1"/>
  <c r="R43" i="8"/>
  <c r="R123" i="8" s="1"/>
  <c r="R51" i="8"/>
  <c r="R131" i="8" s="1"/>
  <c r="R59" i="8"/>
  <c r="R139" i="8" s="1"/>
  <c r="R52" i="8"/>
  <c r="R132" i="8" s="1"/>
  <c r="R46" i="8"/>
  <c r="R126" i="8" s="1"/>
  <c r="R54" i="8"/>
  <c r="R134" i="8" s="1"/>
  <c r="R62" i="8"/>
  <c r="R142" i="8" s="1"/>
  <c r="R44" i="8"/>
  <c r="R124" i="8" s="1"/>
  <c r="R41" i="8"/>
  <c r="R121" i="8" s="1"/>
  <c r="R49" i="8"/>
  <c r="R129" i="8" s="1"/>
  <c r="R57" i="8"/>
  <c r="R137" i="8" s="1"/>
  <c r="R60" i="8"/>
  <c r="R140" i="8" s="1"/>
  <c r="Q69" i="8"/>
  <c r="Q149" i="8" s="1"/>
  <c r="Q77" i="8"/>
  <c r="Q157" i="8" s="1"/>
  <c r="Q85" i="8"/>
  <c r="Q165" i="8" s="1"/>
  <c r="Q72" i="8"/>
  <c r="Q152" i="8" s="1"/>
  <c r="Q80" i="8"/>
  <c r="Q160" i="8" s="1"/>
  <c r="Q88" i="8"/>
  <c r="Q168" i="8" s="1"/>
  <c r="Q75" i="8"/>
  <c r="Q155" i="8" s="1"/>
  <c r="Q83" i="8"/>
  <c r="Q163" i="8" s="1"/>
  <c r="Q67" i="8"/>
  <c r="Q147" i="8" s="1"/>
  <c r="Q70" i="8"/>
  <c r="Q150" i="8" s="1"/>
  <c r="Q78" i="8"/>
  <c r="Q158" i="8" s="1"/>
  <c r="Q86" i="8"/>
  <c r="Q166" i="8" s="1"/>
  <c r="Q82" i="8"/>
  <c r="Q162" i="8" s="1"/>
  <c r="Q65" i="8"/>
  <c r="Q145" i="8" s="1"/>
  <c r="Q73" i="8"/>
  <c r="Q153" i="8" s="1"/>
  <c r="Q81" i="8"/>
  <c r="Q161" i="8" s="1"/>
  <c r="Q89" i="8"/>
  <c r="Q169" i="8" s="1"/>
  <c r="Q68" i="8"/>
  <c r="Q148" i="8" s="1"/>
  <c r="Q76" i="8"/>
  <c r="Q156" i="8" s="1"/>
  <c r="Q84" i="8"/>
  <c r="Q164" i="8" s="1"/>
  <c r="Q71" i="8"/>
  <c r="Q151" i="8" s="1"/>
  <c r="Q79" i="8"/>
  <c r="Q159" i="8" s="1"/>
  <c r="Q87" i="8"/>
  <c r="Q167" i="8" s="1"/>
  <c r="Q66" i="8"/>
  <c r="Q146" i="8" s="1"/>
  <c r="Q74" i="8"/>
  <c r="Q154" i="8" s="1"/>
  <c r="Q15" i="8"/>
  <c r="Q95" i="8" s="1"/>
  <c r="Q23" i="8"/>
  <c r="Q103" i="8" s="1"/>
  <c r="Q31" i="8"/>
  <c r="Q18" i="8"/>
  <c r="Q26" i="8"/>
  <c r="Q106" i="8" s="1"/>
  <c r="Q34" i="8"/>
  <c r="Q37" i="8"/>
  <c r="Q16" i="8"/>
  <c r="Q96" i="8" s="1"/>
  <c r="Q24" i="8"/>
  <c r="Q32" i="8"/>
  <c r="Q35" i="8"/>
  <c r="Q36" i="8"/>
  <c r="Q19" i="8"/>
  <c r="Q99" i="8" s="1"/>
  <c r="Q27" i="8"/>
  <c r="Q107" i="8" s="1"/>
  <c r="Q29" i="8"/>
  <c r="Q14" i="8"/>
  <c r="Q94" i="8" s="1"/>
  <c r="Q22" i="8"/>
  <c r="Q102" i="8" s="1"/>
  <c r="Q30" i="8"/>
  <c r="Q13" i="8"/>
  <c r="Q93" i="8" s="1"/>
  <c r="Q28" i="8"/>
  <c r="Q21" i="8"/>
  <c r="Q101" i="8" s="1"/>
  <c r="Q17" i="8"/>
  <c r="Q97" i="8" s="1"/>
  <c r="Q25" i="8"/>
  <c r="Q105" i="8" s="1"/>
  <c r="Q33" i="8"/>
  <c r="Q20" i="8"/>
  <c r="Q100" i="8" s="1"/>
  <c r="N44" i="73"/>
  <c r="Q33" i="73"/>
  <c r="Q98" i="8"/>
  <c r="Q104" i="8"/>
  <c r="AI27" i="8"/>
  <c r="AH27" i="8"/>
  <c r="AG27" i="8"/>
  <c r="AF27" i="8"/>
  <c r="AF107" i="8" s="1"/>
  <c r="AM27" i="8"/>
  <c r="AM107" i="8" s="1"/>
  <c r="AL27" i="8"/>
  <c r="K27" i="8"/>
  <c r="K107" i="8" s="1"/>
  <c r="J27" i="8"/>
  <c r="J107" i="8" s="1"/>
  <c r="I27" i="8"/>
  <c r="H27" i="8"/>
  <c r="H107" i="8" s="1"/>
  <c r="AK27" i="8"/>
  <c r="G27" i="8"/>
  <c r="AJ27" i="8"/>
  <c r="AJ107" i="8" s="1"/>
  <c r="AI80" i="8"/>
  <c r="AI160" i="8" s="1"/>
  <c r="AH80" i="8"/>
  <c r="AH160" i="8" s="1"/>
  <c r="K80" i="8"/>
  <c r="K160" i="8" s="1"/>
  <c r="AG80" i="8"/>
  <c r="AG160" i="8" s="1"/>
  <c r="J80" i="8"/>
  <c r="J160" i="8" s="1"/>
  <c r="AF80" i="8"/>
  <c r="AF160" i="8" s="1"/>
  <c r="I80" i="8"/>
  <c r="I160" i="8" s="1"/>
  <c r="AM80" i="8"/>
  <c r="AM160" i="8" s="1"/>
  <c r="H80" i="8"/>
  <c r="H160" i="8" s="1"/>
  <c r="AL80" i="8"/>
  <c r="AL160" i="8" s="1"/>
  <c r="G80" i="8"/>
  <c r="G160" i="8" s="1"/>
  <c r="AK80" i="8"/>
  <c r="AK160" i="8" s="1"/>
  <c r="AJ80" i="8"/>
  <c r="AJ160" i="8" s="1"/>
  <c r="AO80" i="8"/>
  <c r="AO160" i="8" s="1"/>
  <c r="AA80" i="8"/>
  <c r="AA160" i="8" s="1"/>
  <c r="BA80" i="8"/>
  <c r="AC80" i="8"/>
  <c r="AC160" i="8" s="1"/>
  <c r="AZ80" i="8"/>
  <c r="AD80" i="8"/>
  <c r="AD160" i="8" s="1"/>
  <c r="AS80" i="8"/>
  <c r="AS160" i="8" s="1"/>
  <c r="BC80" i="8"/>
  <c r="AQ80" i="8"/>
  <c r="AQ160" i="8" s="1"/>
  <c r="C80" i="8"/>
  <c r="C160" i="8" s="1"/>
  <c r="L80" i="8"/>
  <c r="L160" i="8" s="1"/>
  <c r="F80" i="8"/>
  <c r="F160" i="8" s="1"/>
  <c r="AY80" i="8"/>
  <c r="AY160" i="8" s="1"/>
  <c r="AP80" i="8"/>
  <c r="AP160" i="8" s="1"/>
  <c r="AR80" i="8"/>
  <c r="AR160" i="8" s="1"/>
  <c r="E80" i="8"/>
  <c r="E160" i="8" s="1"/>
  <c r="AT80" i="8"/>
  <c r="AT160" i="8" s="1"/>
  <c r="AN80" i="8"/>
  <c r="AN160" i="8" s="1"/>
  <c r="D80" i="8"/>
  <c r="D160" i="8" s="1"/>
  <c r="Y80" i="8"/>
  <c r="Y160" i="8" s="1"/>
  <c r="Z80" i="8"/>
  <c r="Z160" i="8" s="1"/>
  <c r="N80" i="8"/>
  <c r="N160" i="8" s="1"/>
  <c r="M80" i="8"/>
  <c r="M160" i="8" s="1"/>
  <c r="B81" i="8"/>
  <c r="BB80" i="8"/>
  <c r="AU80" i="8"/>
  <c r="AU160" i="8" s="1"/>
  <c r="AB80" i="8"/>
  <c r="AB160" i="8" s="1"/>
  <c r="AE80" i="8"/>
  <c r="AE160" i="8" s="1"/>
  <c r="P33" i="73"/>
  <c r="P38" i="73"/>
  <c r="Q37" i="73"/>
  <c r="Q38" i="73" s="1"/>
  <c r="R6" i="8"/>
  <c r="R4" i="8"/>
  <c r="AI54" i="8"/>
  <c r="AI134" i="8" s="1"/>
  <c r="AH54" i="8"/>
  <c r="AH134" i="8" s="1"/>
  <c r="AG54" i="8"/>
  <c r="AG134" i="8" s="1"/>
  <c r="AF54" i="8"/>
  <c r="AF134" i="8" s="1"/>
  <c r="AM54" i="8"/>
  <c r="AM134" i="8" s="1"/>
  <c r="AL54" i="8"/>
  <c r="AL134" i="8" s="1"/>
  <c r="AK54" i="8"/>
  <c r="AK134" i="8" s="1"/>
  <c r="I54" i="8"/>
  <c r="I134" i="8" s="1"/>
  <c r="AJ54" i="8"/>
  <c r="AJ134" i="8" s="1"/>
  <c r="H54" i="8"/>
  <c r="H134" i="8" s="1"/>
  <c r="G54" i="8"/>
  <c r="G134" i="8" s="1"/>
  <c r="K54" i="8"/>
  <c r="K134" i="8" s="1"/>
  <c r="J54" i="8"/>
  <c r="J134" i="8" s="1"/>
  <c r="DI11" i="125"/>
  <c r="DJ11" i="125" s="1"/>
  <c r="DI29" i="125"/>
  <c r="DJ29" i="125" s="1"/>
  <c r="DI5" i="125"/>
  <c r="DJ5" i="125" s="1"/>
  <c r="DI12" i="125"/>
  <c r="DJ12" i="125" s="1"/>
  <c r="P42" i="73"/>
  <c r="Q41" i="73"/>
  <c r="Q42" i="73" s="1"/>
  <c r="DH29" i="12"/>
  <c r="DH11" i="12"/>
  <c r="DH5" i="12"/>
  <c r="DH12" i="12"/>
  <c r="AD27" i="8"/>
  <c r="AD107" i="8" s="1"/>
  <c r="AT27" i="8"/>
  <c r="AT107" i="8" s="1"/>
  <c r="AQ27" i="8"/>
  <c r="AQ107" i="8" s="1"/>
  <c r="AA27" i="8"/>
  <c r="AA107" i="8" s="1"/>
  <c r="AZ27" i="8"/>
  <c r="AZ107" i="8" s="1"/>
  <c r="AK107" i="8"/>
  <c r="AH107" i="8"/>
  <c r="BB27" i="8"/>
  <c r="BB107" i="8" s="1"/>
  <c r="AU27" i="8"/>
  <c r="AU107" i="8" s="1"/>
  <c r="I107" i="8"/>
  <c r="N27" i="8"/>
  <c r="N107" i="8" s="1"/>
  <c r="C27" i="8"/>
  <c r="C107" i="8" s="1"/>
  <c r="AE27" i="8"/>
  <c r="AE107" i="8" s="1"/>
  <c r="L27" i="8"/>
  <c r="L107" i="8" s="1"/>
  <c r="Y27" i="8"/>
  <c r="Y107" i="8" s="1"/>
  <c r="AS27" i="8"/>
  <c r="AS107" i="8" s="1"/>
  <c r="AL107" i="8"/>
  <c r="AI107" i="8"/>
  <c r="AY27" i="8"/>
  <c r="AY107" i="8" s="1"/>
  <c r="AG107" i="8"/>
  <c r="G107" i="8"/>
  <c r="P107" i="8"/>
  <c r="AN27" i="8"/>
  <c r="AN107" i="8" s="1"/>
  <c r="AO27" i="8"/>
  <c r="AO107" i="8" s="1"/>
  <c r="BA27" i="8"/>
  <c r="BA107" i="8" s="1"/>
  <c r="Z27" i="8"/>
  <c r="Z107" i="8" s="1"/>
  <c r="AP27" i="8"/>
  <c r="AP107" i="8" s="1"/>
  <c r="BC27" i="8"/>
  <c r="BC107" i="8" s="1"/>
  <c r="B28" i="8"/>
  <c r="AC27" i="8"/>
  <c r="AC107" i="8" s="1"/>
  <c r="F27" i="8"/>
  <c r="F107" i="8" s="1"/>
  <c r="D27" i="8"/>
  <c r="D107" i="8" s="1"/>
  <c r="AB27" i="8"/>
  <c r="AB107" i="8" s="1"/>
  <c r="AR27" i="8"/>
  <c r="AR107" i="8" s="1"/>
  <c r="M27" i="8"/>
  <c r="M107" i="8" s="1"/>
  <c r="E27" i="8"/>
  <c r="E107" i="8" s="1"/>
  <c r="AR54" i="8"/>
  <c r="AR134" i="8" s="1"/>
  <c r="AN54" i="8"/>
  <c r="AN134" i="8" s="1"/>
  <c r="M54" i="8"/>
  <c r="M134" i="8" s="1"/>
  <c r="F54" i="8"/>
  <c r="F134" i="8" s="1"/>
  <c r="L54" i="8"/>
  <c r="L134" i="8" s="1"/>
  <c r="AQ54" i="8"/>
  <c r="AQ134" i="8" s="1"/>
  <c r="AD54" i="8"/>
  <c r="AD134" i="8" s="1"/>
  <c r="BC54" i="8"/>
  <c r="AP54" i="8"/>
  <c r="AP134" i="8" s="1"/>
  <c r="AO54" i="8"/>
  <c r="AO134" i="8" s="1"/>
  <c r="AZ54" i="8"/>
  <c r="Y54" i="8"/>
  <c r="Y134" i="8" s="1"/>
  <c r="AU54" i="8"/>
  <c r="AU134" i="8" s="1"/>
  <c r="AA54" i="8"/>
  <c r="AA134" i="8" s="1"/>
  <c r="C54" i="8"/>
  <c r="C134" i="8" s="1"/>
  <c r="E54" i="8"/>
  <c r="E134" i="8" s="1"/>
  <c r="AS54" i="8"/>
  <c r="AS134" i="8" s="1"/>
  <c r="D54" i="8"/>
  <c r="D134" i="8" s="1"/>
  <c r="AC54" i="8"/>
  <c r="AC134" i="8" s="1"/>
  <c r="Z54" i="8"/>
  <c r="Z134" i="8" s="1"/>
  <c r="AY54" i="8"/>
  <c r="AY134" i="8" s="1"/>
  <c r="BB54" i="8"/>
  <c r="BA54" i="8"/>
  <c r="BA134" i="8" s="1"/>
  <c r="N54" i="8"/>
  <c r="N134" i="8" s="1"/>
  <c r="AT54" i="8"/>
  <c r="AT134" i="8" s="1"/>
  <c r="B55" i="8"/>
  <c r="AE54" i="8"/>
  <c r="AE134" i="8" s="1"/>
  <c r="AB54" i="8"/>
  <c r="AB134" i="8" s="1"/>
  <c r="CJ8" i="25"/>
  <c r="CJ6" i="25"/>
  <c r="B41" i="123" l="1"/>
  <c r="B69" i="123"/>
  <c r="B94" i="123"/>
  <c r="A154" i="123"/>
  <c r="G153" i="123"/>
  <c r="B579" i="123"/>
  <c r="F578" i="123"/>
  <c r="C578" i="123"/>
  <c r="E578" i="123" s="1"/>
  <c r="C552" i="123"/>
  <c r="E552" i="123" s="1"/>
  <c r="B553" i="123"/>
  <c r="F552" i="123"/>
  <c r="B179" i="123"/>
  <c r="C178" i="123"/>
  <c r="E178" i="123" s="1"/>
  <c r="F178" i="123"/>
  <c r="C407" i="123"/>
  <c r="E407" i="123" s="1"/>
  <c r="F407" i="123"/>
  <c r="B408" i="123"/>
  <c r="G466" i="123"/>
  <c r="A467" i="123"/>
  <c r="B604" i="123"/>
  <c r="F603" i="123"/>
  <c r="C603" i="123"/>
  <c r="E603" i="123" s="1"/>
  <c r="C517" i="123"/>
  <c r="E517" i="123" s="1"/>
  <c r="F517" i="123"/>
  <c r="B518" i="123"/>
  <c r="C126" i="123"/>
  <c r="E126" i="123" s="1"/>
  <c r="B127" i="123"/>
  <c r="F126" i="123"/>
  <c r="C464" i="123"/>
  <c r="E464" i="123" s="1"/>
  <c r="F464" i="123"/>
  <c r="B465" i="123"/>
  <c r="B381" i="123"/>
  <c r="C380" i="123"/>
  <c r="E380" i="123" s="1"/>
  <c r="F380" i="123"/>
  <c r="B322" i="123"/>
  <c r="C321" i="123"/>
  <c r="E321" i="123" s="1"/>
  <c r="F321" i="123"/>
  <c r="C152" i="123"/>
  <c r="E152" i="123" s="1"/>
  <c r="F152" i="123"/>
  <c r="B153" i="123"/>
  <c r="A383" i="123"/>
  <c r="G382" i="123"/>
  <c r="B495" i="123"/>
  <c r="C494" i="123"/>
  <c r="E494" i="123" s="1"/>
  <c r="F494" i="123"/>
  <c r="G519" i="123"/>
  <c r="A520" i="123"/>
  <c r="F295" i="123"/>
  <c r="B296" i="123"/>
  <c r="C295" i="123"/>
  <c r="E295" i="123" s="1"/>
  <c r="B238" i="123"/>
  <c r="C237" i="123"/>
  <c r="E237" i="123" s="1"/>
  <c r="F237" i="123"/>
  <c r="A554" i="123"/>
  <c r="G554" i="123" s="1"/>
  <c r="G553" i="123"/>
  <c r="B265" i="123"/>
  <c r="F264" i="123"/>
  <c r="C264" i="123"/>
  <c r="E264" i="123" s="1"/>
  <c r="C347" i="123"/>
  <c r="E347" i="123" s="1"/>
  <c r="F347" i="123"/>
  <c r="B348" i="123"/>
  <c r="C436" i="123"/>
  <c r="E436" i="123" s="1"/>
  <c r="F436" i="123"/>
  <c r="A128" i="123"/>
  <c r="G127" i="123"/>
  <c r="F210" i="123"/>
  <c r="C210" i="123"/>
  <c r="E210" i="123" s="1"/>
  <c r="B211" i="123"/>
  <c r="A410" i="123"/>
  <c r="G410" i="123" s="1"/>
  <c r="G409" i="123"/>
  <c r="AZ134" i="8"/>
  <c r="BC160" i="8"/>
  <c r="BB134" i="8"/>
  <c r="BA160" i="8"/>
  <c r="BC134" i="8"/>
  <c r="BB160" i="8"/>
  <c r="AZ160" i="8"/>
  <c r="R20" i="8"/>
  <c r="R100" i="8" s="1"/>
  <c r="R28" i="8"/>
  <c r="R36" i="8"/>
  <c r="R26" i="8"/>
  <c r="R106" i="8" s="1"/>
  <c r="R15" i="8"/>
  <c r="R95" i="8" s="1"/>
  <c r="R23" i="8"/>
  <c r="R31" i="8"/>
  <c r="R18" i="8"/>
  <c r="R98" i="8" s="1"/>
  <c r="R21" i="8"/>
  <c r="R101" i="8" s="1"/>
  <c r="R29" i="8"/>
  <c r="R37" i="8"/>
  <c r="R13" i="8"/>
  <c r="R93" i="8" s="1"/>
  <c r="R17" i="8"/>
  <c r="R25" i="8"/>
  <c r="R34" i="8"/>
  <c r="R16" i="8"/>
  <c r="R96" i="8" s="1"/>
  <c r="R24" i="8"/>
  <c r="R104" i="8" s="1"/>
  <c r="R32" i="8"/>
  <c r="R33" i="8"/>
  <c r="R19" i="8"/>
  <c r="R99" i="8" s="1"/>
  <c r="R27" i="8"/>
  <c r="R107" i="8" s="1"/>
  <c r="R35" i="8"/>
  <c r="R14" i="8"/>
  <c r="R94" i="8" s="1"/>
  <c r="R22" i="8"/>
  <c r="R102" i="8" s="1"/>
  <c r="R30" i="8"/>
  <c r="R66" i="8"/>
  <c r="R146" i="8" s="1"/>
  <c r="R74" i="8"/>
  <c r="R154" i="8" s="1"/>
  <c r="R82" i="8"/>
  <c r="R162" i="8" s="1"/>
  <c r="R69" i="8"/>
  <c r="R149" i="8" s="1"/>
  <c r="R77" i="8"/>
  <c r="R157" i="8" s="1"/>
  <c r="R85" i="8"/>
  <c r="R165" i="8" s="1"/>
  <c r="R72" i="8"/>
  <c r="R152" i="8" s="1"/>
  <c r="R80" i="8"/>
  <c r="R160" i="8" s="1"/>
  <c r="R88" i="8"/>
  <c r="R168" i="8" s="1"/>
  <c r="R67" i="8"/>
  <c r="R147" i="8" s="1"/>
  <c r="R75" i="8"/>
  <c r="R155" i="8" s="1"/>
  <c r="R83" i="8"/>
  <c r="R163" i="8" s="1"/>
  <c r="R71" i="8"/>
  <c r="R151" i="8" s="1"/>
  <c r="R70" i="8"/>
  <c r="R150" i="8" s="1"/>
  <c r="R78" i="8"/>
  <c r="R158" i="8" s="1"/>
  <c r="R86" i="8"/>
  <c r="R166" i="8" s="1"/>
  <c r="R73" i="8"/>
  <c r="R153" i="8" s="1"/>
  <c r="R81" i="8"/>
  <c r="R161" i="8" s="1"/>
  <c r="R89" i="8"/>
  <c r="R169" i="8" s="1"/>
  <c r="R87" i="8"/>
  <c r="R167" i="8" s="1"/>
  <c r="R68" i="8"/>
  <c r="R148" i="8" s="1"/>
  <c r="R76" i="8"/>
  <c r="R156" i="8" s="1"/>
  <c r="R84" i="8"/>
  <c r="R164" i="8" s="1"/>
  <c r="R65" i="8"/>
  <c r="R145" i="8" s="1"/>
  <c r="R79" i="8"/>
  <c r="R159" i="8" s="1"/>
  <c r="P44" i="73"/>
  <c r="Q44" i="73"/>
  <c r="AI55" i="8"/>
  <c r="AI135" i="8" s="1"/>
  <c r="AH55" i="8"/>
  <c r="AH135" i="8" s="1"/>
  <c r="AG55" i="8"/>
  <c r="AG135" i="8" s="1"/>
  <c r="AF55" i="8"/>
  <c r="AF135" i="8" s="1"/>
  <c r="AM55" i="8"/>
  <c r="AM135" i="8" s="1"/>
  <c r="AL55" i="8"/>
  <c r="AL135" i="8" s="1"/>
  <c r="K55" i="8"/>
  <c r="K135" i="8" s="1"/>
  <c r="J55" i="8"/>
  <c r="J135" i="8" s="1"/>
  <c r="I55" i="8"/>
  <c r="I135" i="8" s="1"/>
  <c r="H55" i="8"/>
  <c r="H135" i="8" s="1"/>
  <c r="G55" i="8"/>
  <c r="G135" i="8" s="1"/>
  <c r="AK55" i="8"/>
  <c r="AK135" i="8" s="1"/>
  <c r="AJ55" i="8"/>
  <c r="AJ135" i="8" s="1"/>
  <c r="R97" i="8"/>
  <c r="R103" i="8"/>
  <c r="R105" i="8"/>
  <c r="AI81" i="8"/>
  <c r="AI161" i="8" s="1"/>
  <c r="G81" i="8"/>
  <c r="G161" i="8" s="1"/>
  <c r="AH81" i="8"/>
  <c r="AH161" i="8" s="1"/>
  <c r="AG81" i="8"/>
  <c r="AG161" i="8" s="1"/>
  <c r="AF81" i="8"/>
  <c r="AF161" i="8" s="1"/>
  <c r="AM81" i="8"/>
  <c r="AM161" i="8" s="1"/>
  <c r="K81" i="8"/>
  <c r="K161" i="8" s="1"/>
  <c r="AL81" i="8"/>
  <c r="AL161" i="8" s="1"/>
  <c r="J81" i="8"/>
  <c r="J161" i="8" s="1"/>
  <c r="AK81" i="8"/>
  <c r="AK161" i="8" s="1"/>
  <c r="I81" i="8"/>
  <c r="I161" i="8" s="1"/>
  <c r="AJ81" i="8"/>
  <c r="AJ161" i="8" s="1"/>
  <c r="H81" i="8"/>
  <c r="H161" i="8" s="1"/>
  <c r="B82" i="8"/>
  <c r="L81" i="8"/>
  <c r="L161" i="8" s="1"/>
  <c r="AU81" i="8"/>
  <c r="AU161" i="8" s="1"/>
  <c r="AQ81" i="8"/>
  <c r="AQ161" i="8" s="1"/>
  <c r="D81" i="8"/>
  <c r="D161" i="8" s="1"/>
  <c r="BA81" i="8"/>
  <c r="AD81" i="8"/>
  <c r="AD161" i="8" s="1"/>
  <c r="M81" i="8"/>
  <c r="BC81" i="8"/>
  <c r="AR81" i="8"/>
  <c r="AR161" i="8" s="1"/>
  <c r="AA81" i="8"/>
  <c r="AA161" i="8" s="1"/>
  <c r="AP81" i="8"/>
  <c r="AP161" i="8" s="1"/>
  <c r="E81" i="8"/>
  <c r="E161" i="8" s="1"/>
  <c r="AS81" i="8"/>
  <c r="AS161" i="8" s="1"/>
  <c r="AO81" i="8"/>
  <c r="AO161" i="8" s="1"/>
  <c r="AT81" i="8"/>
  <c r="AT161" i="8" s="1"/>
  <c r="AZ81" i="8"/>
  <c r="AN81" i="8"/>
  <c r="AN161" i="8" s="1"/>
  <c r="C81" i="8"/>
  <c r="C161" i="8" s="1"/>
  <c r="AB81" i="8"/>
  <c r="AB161" i="8" s="1"/>
  <c r="Z81" i="8"/>
  <c r="Z161" i="8" s="1"/>
  <c r="AE81" i="8"/>
  <c r="AE161" i="8" s="1"/>
  <c r="AY81" i="8"/>
  <c r="AY161" i="8" s="1"/>
  <c r="AC81" i="8"/>
  <c r="AC161" i="8" s="1"/>
  <c r="BB81" i="8"/>
  <c r="BB161" i="8" s="1"/>
  <c r="F81" i="8"/>
  <c r="F161" i="8" s="1"/>
  <c r="Y81" i="8"/>
  <c r="Y161" i="8" s="1"/>
  <c r="N81" i="8"/>
  <c r="N161" i="8" s="1"/>
  <c r="DI29" i="12"/>
  <c r="DJ29" i="12" s="1"/>
  <c r="DI11" i="12"/>
  <c r="DJ11" i="12" s="1"/>
  <c r="DI12" i="12"/>
  <c r="DJ12" i="12" s="1"/>
  <c r="DI5" i="12"/>
  <c r="DJ5" i="12" s="1"/>
  <c r="AI28" i="8"/>
  <c r="AH28" i="8"/>
  <c r="AG28" i="8"/>
  <c r="AG108" i="8" s="1"/>
  <c r="AF28" i="8"/>
  <c r="AM28" i="8"/>
  <c r="AM108" i="8" s="1"/>
  <c r="AL28" i="8"/>
  <c r="AL108" i="8" s="1"/>
  <c r="AK28" i="8"/>
  <c r="AK108" i="8" s="1"/>
  <c r="AJ28" i="8"/>
  <c r="AJ108" i="8" s="1"/>
  <c r="K28" i="8"/>
  <c r="J28" i="8"/>
  <c r="I28" i="8"/>
  <c r="I108" i="8" s="1"/>
  <c r="H28" i="8"/>
  <c r="H108" i="8" s="1"/>
  <c r="G28" i="8"/>
  <c r="G108" i="8" s="1"/>
  <c r="N55" i="8"/>
  <c r="N135" i="8" s="1"/>
  <c r="AO55" i="8"/>
  <c r="AO135" i="8" s="1"/>
  <c r="AE55" i="8"/>
  <c r="AE135" i="8" s="1"/>
  <c r="L55" i="8"/>
  <c r="L135" i="8" s="1"/>
  <c r="AP55" i="8"/>
  <c r="AP135" i="8" s="1"/>
  <c r="AC55" i="8"/>
  <c r="AC135" i="8" s="1"/>
  <c r="E55" i="8"/>
  <c r="E135" i="8" s="1"/>
  <c r="Y55" i="8"/>
  <c r="Y135" i="8" s="1"/>
  <c r="Z55" i="8"/>
  <c r="Z135" i="8" s="1"/>
  <c r="AQ55" i="8"/>
  <c r="AQ135" i="8" s="1"/>
  <c r="M55" i="8"/>
  <c r="M135" i="8" s="1"/>
  <c r="AR55" i="8"/>
  <c r="AR135" i="8" s="1"/>
  <c r="F55" i="8"/>
  <c r="F135" i="8" s="1"/>
  <c r="AT55" i="8"/>
  <c r="AT135" i="8" s="1"/>
  <c r="AU55" i="8"/>
  <c r="AU135" i="8" s="1"/>
  <c r="AD55" i="8"/>
  <c r="AD135" i="8" s="1"/>
  <c r="AA55" i="8"/>
  <c r="AA135" i="8" s="1"/>
  <c r="AZ55" i="8"/>
  <c r="AZ135" i="8" s="1"/>
  <c r="AB55" i="8"/>
  <c r="AB135" i="8" s="1"/>
  <c r="BA55" i="8"/>
  <c r="AN55" i="8"/>
  <c r="AN135" i="8" s="1"/>
  <c r="BB55" i="8"/>
  <c r="BB135" i="8" s="1"/>
  <c r="B56" i="8"/>
  <c r="D55" i="8"/>
  <c r="D135" i="8" s="1"/>
  <c r="AY55" i="8"/>
  <c r="AY135" i="8" s="1"/>
  <c r="C55" i="8"/>
  <c r="C135" i="8" s="1"/>
  <c r="AS55" i="8"/>
  <c r="AS135" i="8" s="1"/>
  <c r="BC55" i="8"/>
  <c r="C28" i="8"/>
  <c r="C108" i="8" s="1"/>
  <c r="AC28" i="8"/>
  <c r="AC108" i="8" s="1"/>
  <c r="AS28" i="8"/>
  <c r="AS108" i="8" s="1"/>
  <c r="Z28" i="8"/>
  <c r="Z108" i="8" s="1"/>
  <c r="AU28" i="8"/>
  <c r="AU108" i="8" s="1"/>
  <c r="R108" i="8"/>
  <c r="AQ28" i="8"/>
  <c r="AQ108" i="8" s="1"/>
  <c r="J108" i="8"/>
  <c r="AT28" i="8"/>
  <c r="AT108" i="8" s="1"/>
  <c r="AH108" i="8"/>
  <c r="D28" i="8"/>
  <c r="D108" i="8" s="1"/>
  <c r="M28" i="8"/>
  <c r="M108" i="8" s="1"/>
  <c r="BA28" i="8"/>
  <c r="BA108" i="8" s="1"/>
  <c r="AE28" i="8"/>
  <c r="AE108" i="8" s="1"/>
  <c r="AY28" i="8"/>
  <c r="AY108" i="8" s="1"/>
  <c r="AA28" i="8"/>
  <c r="AA108" i="8" s="1"/>
  <c r="AZ28" i="8"/>
  <c r="AZ108" i="8" s="1"/>
  <c r="AD28" i="8"/>
  <c r="AD108" i="8" s="1"/>
  <c r="BC28" i="8"/>
  <c r="BC108" i="8" s="1"/>
  <c r="B29" i="8"/>
  <c r="Q108" i="8"/>
  <c r="K108" i="8"/>
  <c r="F28" i="8"/>
  <c r="F108" i="8" s="1"/>
  <c r="AF108" i="8"/>
  <c r="AI108" i="8"/>
  <c r="AR28" i="8"/>
  <c r="AR108" i="8" s="1"/>
  <c r="E28" i="8"/>
  <c r="E108" i="8" s="1"/>
  <c r="Y28" i="8"/>
  <c r="Y108" i="8" s="1"/>
  <c r="AO28" i="8"/>
  <c r="AO108" i="8" s="1"/>
  <c r="P108" i="8"/>
  <c r="AP28" i="8"/>
  <c r="AP108" i="8" s="1"/>
  <c r="L28" i="8"/>
  <c r="L108" i="8" s="1"/>
  <c r="N28" i="8"/>
  <c r="N108" i="8" s="1"/>
  <c r="AN28" i="8"/>
  <c r="AN108" i="8" s="1"/>
  <c r="AB28" i="8"/>
  <c r="AB108" i="8" s="1"/>
  <c r="BB28" i="8"/>
  <c r="BB108" i="8" s="1"/>
  <c r="CJ12" i="25"/>
  <c r="CJ10" i="25"/>
  <c r="B95" i="123" l="1"/>
  <c r="B70" i="123"/>
  <c r="B42" i="123"/>
  <c r="A129" i="123"/>
  <c r="G129" i="123" s="1"/>
  <c r="G128" i="123"/>
  <c r="A521" i="123"/>
  <c r="G521" i="123" s="1"/>
  <c r="G520" i="123"/>
  <c r="A384" i="123"/>
  <c r="G384" i="123" s="1"/>
  <c r="G383" i="123"/>
  <c r="B519" i="123"/>
  <c r="C518" i="123"/>
  <c r="E518" i="123" s="1"/>
  <c r="F518" i="123"/>
  <c r="C553" i="123"/>
  <c r="E553" i="123" s="1"/>
  <c r="B554" i="123"/>
  <c r="F553" i="123"/>
  <c r="C211" i="123"/>
  <c r="E211" i="123" s="1"/>
  <c r="B212" i="123"/>
  <c r="F211" i="123"/>
  <c r="B349" i="123"/>
  <c r="C348" i="123"/>
  <c r="E348" i="123" s="1"/>
  <c r="F348" i="123"/>
  <c r="C153" i="123"/>
  <c r="E153" i="123" s="1"/>
  <c r="B154" i="123"/>
  <c r="F153" i="123"/>
  <c r="F381" i="123"/>
  <c r="B382" i="123"/>
  <c r="C381" i="123"/>
  <c r="E381" i="123" s="1"/>
  <c r="B409" i="123"/>
  <c r="C408" i="123"/>
  <c r="E408" i="123" s="1"/>
  <c r="F408" i="123"/>
  <c r="C296" i="123"/>
  <c r="E296" i="123" s="1"/>
  <c r="B297" i="123"/>
  <c r="F296" i="123"/>
  <c r="C465" i="123"/>
  <c r="E465" i="123" s="1"/>
  <c r="F465" i="123"/>
  <c r="B466" i="123"/>
  <c r="C265" i="123"/>
  <c r="E265" i="123" s="1"/>
  <c r="B266" i="123"/>
  <c r="F265" i="123"/>
  <c r="B239" i="123"/>
  <c r="C238" i="123"/>
  <c r="E238" i="123" s="1"/>
  <c r="F238" i="123"/>
  <c r="B580" i="123"/>
  <c r="C579" i="123"/>
  <c r="E579" i="123" s="1"/>
  <c r="F579" i="123"/>
  <c r="F604" i="123"/>
  <c r="C604" i="123"/>
  <c r="E604" i="123" s="1"/>
  <c r="B605" i="123"/>
  <c r="F495" i="123"/>
  <c r="C495" i="123"/>
  <c r="E495" i="123" s="1"/>
  <c r="C322" i="123"/>
  <c r="E322" i="123" s="1"/>
  <c r="F322" i="123"/>
  <c r="B323" i="123"/>
  <c r="C127" i="123"/>
  <c r="E127" i="123" s="1"/>
  <c r="B128" i="123"/>
  <c r="F127" i="123"/>
  <c r="G467" i="123"/>
  <c r="A468" i="123"/>
  <c r="B180" i="123"/>
  <c r="F179" i="123"/>
  <c r="C179" i="123"/>
  <c r="E179" i="123" s="1"/>
  <c r="A155" i="123"/>
  <c r="G155" i="123" s="1"/>
  <c r="G154" i="123"/>
  <c r="BC135" i="8"/>
  <c r="BC161" i="8"/>
  <c r="BA161" i="8"/>
  <c r="BA135" i="8"/>
  <c r="AZ161" i="8"/>
  <c r="M161" i="8"/>
  <c r="AI29" i="8"/>
  <c r="AI109" i="8" s="1"/>
  <c r="AH29" i="8"/>
  <c r="AG29" i="8"/>
  <c r="AF29" i="8"/>
  <c r="AM29" i="8"/>
  <c r="AM109" i="8" s="1"/>
  <c r="AL29" i="8"/>
  <c r="AK29" i="8"/>
  <c r="AK109" i="8" s="1"/>
  <c r="I29" i="8"/>
  <c r="I109" i="8" s="1"/>
  <c r="AJ29" i="8"/>
  <c r="H29" i="8"/>
  <c r="H109" i="8" s="1"/>
  <c r="G29" i="8"/>
  <c r="K29" i="8"/>
  <c r="K109" i="8" s="1"/>
  <c r="J29" i="8"/>
  <c r="J109" i="8" s="1"/>
  <c r="AI56" i="8"/>
  <c r="AI136" i="8" s="1"/>
  <c r="AH56" i="8"/>
  <c r="AH136" i="8" s="1"/>
  <c r="AG56" i="8"/>
  <c r="AG136" i="8" s="1"/>
  <c r="AF56" i="8"/>
  <c r="AF136" i="8" s="1"/>
  <c r="AM56" i="8"/>
  <c r="AM136" i="8" s="1"/>
  <c r="AL56" i="8"/>
  <c r="AL136" i="8" s="1"/>
  <c r="G56" i="8"/>
  <c r="G136" i="8" s="1"/>
  <c r="AK56" i="8"/>
  <c r="AK136" i="8" s="1"/>
  <c r="K56" i="8"/>
  <c r="K136" i="8" s="1"/>
  <c r="AJ56" i="8"/>
  <c r="AJ136" i="8" s="1"/>
  <c r="J56" i="8"/>
  <c r="J136" i="8" s="1"/>
  <c r="I56" i="8"/>
  <c r="I136" i="8" s="1"/>
  <c r="H56" i="8"/>
  <c r="H136" i="8" s="1"/>
  <c r="AI82" i="8"/>
  <c r="AI162" i="8" s="1"/>
  <c r="J82" i="8"/>
  <c r="J162" i="8" s="1"/>
  <c r="AH82" i="8"/>
  <c r="AH162" i="8" s="1"/>
  <c r="I82" i="8"/>
  <c r="I162" i="8" s="1"/>
  <c r="AG82" i="8"/>
  <c r="AG162" i="8" s="1"/>
  <c r="H82" i="8"/>
  <c r="H162" i="8" s="1"/>
  <c r="AF82" i="8"/>
  <c r="AF162" i="8" s="1"/>
  <c r="G82" i="8"/>
  <c r="G162" i="8" s="1"/>
  <c r="AM82" i="8"/>
  <c r="AM162" i="8" s="1"/>
  <c r="AL82" i="8"/>
  <c r="AL162" i="8" s="1"/>
  <c r="AK82" i="8"/>
  <c r="AK162" i="8" s="1"/>
  <c r="AJ82" i="8"/>
  <c r="AJ162" i="8" s="1"/>
  <c r="K82" i="8"/>
  <c r="K162" i="8" s="1"/>
  <c r="AT82" i="8"/>
  <c r="AT162" i="8" s="1"/>
  <c r="AU82" i="8"/>
  <c r="AU162" i="8" s="1"/>
  <c r="AZ82" i="8"/>
  <c r="AZ162" i="8" s="1"/>
  <c r="Z82" i="8"/>
  <c r="Z162" i="8" s="1"/>
  <c r="AC82" i="8"/>
  <c r="AC162" i="8" s="1"/>
  <c r="AP82" i="8"/>
  <c r="AP162" i="8" s="1"/>
  <c r="B83" i="8"/>
  <c r="AE82" i="8"/>
  <c r="AE162" i="8" s="1"/>
  <c r="AS82" i="8"/>
  <c r="AS162" i="8" s="1"/>
  <c r="C82" i="8"/>
  <c r="C162" i="8" s="1"/>
  <c r="BB82" i="8"/>
  <c r="AY82" i="8"/>
  <c r="AY162" i="8" s="1"/>
  <c r="L82" i="8"/>
  <c r="L162" i="8" s="1"/>
  <c r="AB82" i="8"/>
  <c r="AB162" i="8" s="1"/>
  <c r="AA82" i="8"/>
  <c r="AA162" i="8" s="1"/>
  <c r="N82" i="8"/>
  <c r="AN82" i="8"/>
  <c r="AN162" i="8" s="1"/>
  <c r="AR82" i="8"/>
  <c r="AR162" i="8" s="1"/>
  <c r="F82" i="8"/>
  <c r="F162" i="8" s="1"/>
  <c r="BC82" i="8"/>
  <c r="BC162" i="8" s="1"/>
  <c r="E82" i="8"/>
  <c r="E162" i="8" s="1"/>
  <c r="Y82" i="8"/>
  <c r="Y162" i="8" s="1"/>
  <c r="M82" i="8"/>
  <c r="M162" i="8" s="1"/>
  <c r="D82" i="8"/>
  <c r="D162" i="8" s="1"/>
  <c r="AD82" i="8"/>
  <c r="AD162" i="8" s="1"/>
  <c r="AO82" i="8"/>
  <c r="AO162" i="8" s="1"/>
  <c r="AQ82" i="8"/>
  <c r="AQ162" i="8" s="1"/>
  <c r="BA82" i="8"/>
  <c r="BA162" i="8" s="1"/>
  <c r="AD29" i="8"/>
  <c r="AD109" i="8" s="1"/>
  <c r="AT29" i="8"/>
  <c r="AT109" i="8" s="1"/>
  <c r="M29" i="8"/>
  <c r="M109" i="8" s="1"/>
  <c r="AR29" i="8"/>
  <c r="AR109" i="8" s="1"/>
  <c r="E29" i="8"/>
  <c r="E109" i="8" s="1"/>
  <c r="AU29" i="8"/>
  <c r="AU109" i="8" s="1"/>
  <c r="AE29" i="8"/>
  <c r="AE109" i="8" s="1"/>
  <c r="AA29" i="8"/>
  <c r="AA109" i="8" s="1"/>
  <c r="AZ29" i="8"/>
  <c r="AZ109" i="8" s="1"/>
  <c r="N29" i="8"/>
  <c r="N109" i="8" s="1"/>
  <c r="AH109" i="8"/>
  <c r="BB29" i="8"/>
  <c r="BB109" i="8" s="1"/>
  <c r="AB29" i="8"/>
  <c r="AB109" i="8" s="1"/>
  <c r="BA29" i="8"/>
  <c r="BA109" i="8" s="1"/>
  <c r="AJ109" i="8"/>
  <c r="AY29" i="8"/>
  <c r="AY109" i="8" s="1"/>
  <c r="G109" i="8"/>
  <c r="AF109" i="8"/>
  <c r="B30" i="8"/>
  <c r="D29" i="8"/>
  <c r="D109" i="8" s="1"/>
  <c r="AN29" i="8"/>
  <c r="AN109" i="8" s="1"/>
  <c r="R109" i="8"/>
  <c r="AL109" i="8"/>
  <c r="C29" i="8"/>
  <c r="C109" i="8" s="1"/>
  <c r="AG109" i="8"/>
  <c r="Y29" i="8"/>
  <c r="Y109" i="8" s="1"/>
  <c r="L29" i="8"/>
  <c r="L109" i="8" s="1"/>
  <c r="AS29" i="8"/>
  <c r="AS109" i="8" s="1"/>
  <c r="F29" i="8"/>
  <c r="F109" i="8" s="1"/>
  <c r="Z29" i="8"/>
  <c r="Z109" i="8" s="1"/>
  <c r="AP29" i="8"/>
  <c r="AP109" i="8" s="1"/>
  <c r="AO29" i="8"/>
  <c r="AO109" i="8" s="1"/>
  <c r="P109" i="8"/>
  <c r="Q109" i="8"/>
  <c r="AQ29" i="8"/>
  <c r="AQ109" i="8" s="1"/>
  <c r="AC29" i="8"/>
  <c r="AC109" i="8" s="1"/>
  <c r="BC29" i="8"/>
  <c r="BC109" i="8" s="1"/>
  <c r="AY56" i="8"/>
  <c r="AY136" i="8" s="1"/>
  <c r="AO56" i="8"/>
  <c r="AO136" i="8" s="1"/>
  <c r="L56" i="8"/>
  <c r="L136" i="8" s="1"/>
  <c r="AP56" i="8"/>
  <c r="AP136" i="8" s="1"/>
  <c r="AB56" i="8"/>
  <c r="AB136" i="8" s="1"/>
  <c r="BB56" i="8"/>
  <c r="BB136" i="8" s="1"/>
  <c r="AQ56" i="8"/>
  <c r="AQ136" i="8" s="1"/>
  <c r="M56" i="8"/>
  <c r="M136" i="8" s="1"/>
  <c r="AR56" i="8"/>
  <c r="AR136" i="8" s="1"/>
  <c r="AC56" i="8"/>
  <c r="AC136" i="8" s="1"/>
  <c r="AT56" i="8"/>
  <c r="AT136" i="8" s="1"/>
  <c r="Z56" i="8"/>
  <c r="Z136" i="8" s="1"/>
  <c r="E56" i="8"/>
  <c r="E136" i="8" s="1"/>
  <c r="AU56" i="8"/>
  <c r="AU136" i="8" s="1"/>
  <c r="AZ56" i="8"/>
  <c r="AZ136" i="8" s="1"/>
  <c r="F56" i="8"/>
  <c r="F136" i="8" s="1"/>
  <c r="AA56" i="8"/>
  <c r="AA136" i="8" s="1"/>
  <c r="Y56" i="8"/>
  <c r="Y136" i="8" s="1"/>
  <c r="B57" i="8"/>
  <c r="AD56" i="8"/>
  <c r="AD136" i="8" s="1"/>
  <c r="D56" i="8"/>
  <c r="D136" i="8" s="1"/>
  <c r="AN56" i="8"/>
  <c r="AN136" i="8" s="1"/>
  <c r="AE56" i="8"/>
  <c r="AE136" i="8" s="1"/>
  <c r="BC56" i="8"/>
  <c r="BC136" i="8" s="1"/>
  <c r="C56" i="8"/>
  <c r="C136" i="8" s="1"/>
  <c r="N56" i="8"/>
  <c r="N136" i="8" s="1"/>
  <c r="BA56" i="8"/>
  <c r="BA136" i="8" s="1"/>
  <c r="AS56" i="8"/>
  <c r="AS136" i="8" s="1"/>
  <c r="B43" i="123" l="1"/>
  <c r="B96" i="123"/>
  <c r="C180" i="123"/>
  <c r="E180" i="123" s="1"/>
  <c r="F180" i="123"/>
  <c r="B181" i="123"/>
  <c r="F409" i="123"/>
  <c r="B410" i="123"/>
  <c r="C409" i="123"/>
  <c r="E409" i="123" s="1"/>
  <c r="C323" i="123"/>
  <c r="E323" i="123" s="1"/>
  <c r="B324" i="123"/>
  <c r="F323" i="123"/>
  <c r="G468" i="123"/>
  <c r="A469" i="123"/>
  <c r="G469" i="123" s="1"/>
  <c r="B240" i="123"/>
  <c r="F239" i="123"/>
  <c r="C239" i="123"/>
  <c r="E239" i="123" s="1"/>
  <c r="C554" i="123"/>
  <c r="E554" i="123" s="1"/>
  <c r="F554" i="123"/>
  <c r="B155" i="123"/>
  <c r="F154" i="123"/>
  <c r="C154" i="123"/>
  <c r="E154" i="123" s="1"/>
  <c r="B606" i="123"/>
  <c r="C605" i="123"/>
  <c r="E605" i="123" s="1"/>
  <c r="F605" i="123"/>
  <c r="C297" i="123"/>
  <c r="E297" i="123" s="1"/>
  <c r="B298" i="123"/>
  <c r="F297" i="123"/>
  <c r="C382" i="123"/>
  <c r="E382" i="123" s="1"/>
  <c r="B383" i="123"/>
  <c r="F382" i="123"/>
  <c r="C580" i="123"/>
  <c r="E580" i="123" s="1"/>
  <c r="F580" i="123"/>
  <c r="F128" i="123"/>
  <c r="C128" i="123"/>
  <c r="E128" i="123" s="1"/>
  <c r="B129" i="123"/>
  <c r="C266" i="123"/>
  <c r="E266" i="123" s="1"/>
  <c r="F266" i="123"/>
  <c r="BN12" i="125"/>
  <c r="BN29" i="12"/>
  <c r="BN5" i="12"/>
  <c r="BH11" i="12"/>
  <c r="BH11" i="125"/>
  <c r="BH5" i="125"/>
  <c r="BN12" i="12"/>
  <c r="BN5" i="125"/>
  <c r="BN11" i="12"/>
  <c r="BN11" i="125"/>
  <c r="BH29" i="12"/>
  <c r="BH5" i="12"/>
  <c r="BN29" i="125"/>
  <c r="BH12" i="12"/>
  <c r="B350" i="123"/>
  <c r="F349" i="123"/>
  <c r="C349" i="123"/>
  <c r="E349" i="123" s="1"/>
  <c r="C519" i="123"/>
  <c r="E519" i="123" s="1"/>
  <c r="F519" i="123"/>
  <c r="B520" i="123"/>
  <c r="C466" i="123"/>
  <c r="E466" i="123" s="1"/>
  <c r="F466" i="123"/>
  <c r="B467" i="123"/>
  <c r="B213" i="123"/>
  <c r="C212" i="123"/>
  <c r="E212" i="123" s="1"/>
  <c r="F212" i="123"/>
  <c r="BB162" i="8"/>
  <c r="N162" i="8"/>
  <c r="AI57" i="8"/>
  <c r="AI137" i="8" s="1"/>
  <c r="AH57" i="8"/>
  <c r="AH137" i="8" s="1"/>
  <c r="AG57" i="8"/>
  <c r="AG137" i="8" s="1"/>
  <c r="AF57" i="8"/>
  <c r="AF137" i="8" s="1"/>
  <c r="AM57" i="8"/>
  <c r="AM137" i="8" s="1"/>
  <c r="AL57" i="8"/>
  <c r="AL137" i="8" s="1"/>
  <c r="J57" i="8"/>
  <c r="J137" i="8" s="1"/>
  <c r="I57" i="8"/>
  <c r="I137" i="8" s="1"/>
  <c r="AK57" i="8"/>
  <c r="AK137" i="8" s="1"/>
  <c r="H57" i="8"/>
  <c r="H137" i="8" s="1"/>
  <c r="AJ57" i="8"/>
  <c r="AJ137" i="8" s="1"/>
  <c r="G57" i="8"/>
  <c r="G137" i="8" s="1"/>
  <c r="K57" i="8"/>
  <c r="K137" i="8" s="1"/>
  <c r="AI83" i="8"/>
  <c r="AI163" i="8" s="1"/>
  <c r="AH83" i="8"/>
  <c r="AH163" i="8" s="1"/>
  <c r="AG83" i="8"/>
  <c r="AG163" i="8" s="1"/>
  <c r="K83" i="8"/>
  <c r="K163" i="8" s="1"/>
  <c r="AF83" i="8"/>
  <c r="AF163" i="8" s="1"/>
  <c r="J83" i="8"/>
  <c r="J163" i="8" s="1"/>
  <c r="AM83" i="8"/>
  <c r="AM163" i="8" s="1"/>
  <c r="I83" i="8"/>
  <c r="I163" i="8" s="1"/>
  <c r="AL83" i="8"/>
  <c r="AL163" i="8" s="1"/>
  <c r="H83" i="8"/>
  <c r="H163" i="8" s="1"/>
  <c r="AK83" i="8"/>
  <c r="AK163" i="8" s="1"/>
  <c r="AJ83" i="8"/>
  <c r="AJ163" i="8" s="1"/>
  <c r="G83" i="8"/>
  <c r="G163" i="8" s="1"/>
  <c r="B84" i="8"/>
  <c r="AT83" i="8"/>
  <c r="AT163" i="8" s="1"/>
  <c r="F83" i="8"/>
  <c r="F163" i="8" s="1"/>
  <c r="E83" i="8"/>
  <c r="E163" i="8" s="1"/>
  <c r="AZ83" i="8"/>
  <c r="AZ163" i="8" s="1"/>
  <c r="AO83" i="8"/>
  <c r="AO163" i="8" s="1"/>
  <c r="BA83" i="8"/>
  <c r="BA163" i="8" s="1"/>
  <c r="AB83" i="8"/>
  <c r="AB163" i="8" s="1"/>
  <c r="AA83" i="8"/>
  <c r="AA163" i="8" s="1"/>
  <c r="AP83" i="8"/>
  <c r="AP163" i="8" s="1"/>
  <c r="M83" i="8"/>
  <c r="M163" i="8" s="1"/>
  <c r="AR83" i="8"/>
  <c r="AR163" i="8" s="1"/>
  <c r="AQ83" i="8"/>
  <c r="AQ163" i="8" s="1"/>
  <c r="C83" i="8"/>
  <c r="C163" i="8" s="1"/>
  <c r="N83" i="8"/>
  <c r="N163" i="8" s="1"/>
  <c r="AD83" i="8"/>
  <c r="AD163" i="8" s="1"/>
  <c r="L83" i="8"/>
  <c r="L163" i="8" s="1"/>
  <c r="AS83" i="8"/>
  <c r="AS163" i="8" s="1"/>
  <c r="AY83" i="8"/>
  <c r="AY163" i="8" s="1"/>
  <c r="AE83" i="8"/>
  <c r="AE163" i="8" s="1"/>
  <c r="Y83" i="8"/>
  <c r="Y163" i="8" s="1"/>
  <c r="D83" i="8"/>
  <c r="D163" i="8" s="1"/>
  <c r="AU83" i="8"/>
  <c r="AU163" i="8" s="1"/>
  <c r="AC83" i="8"/>
  <c r="AC163" i="8" s="1"/>
  <c r="AN83" i="8"/>
  <c r="AN163" i="8" s="1"/>
  <c r="BC83" i="8"/>
  <c r="BC163" i="8" s="1"/>
  <c r="Z83" i="8"/>
  <c r="Z163" i="8" s="1"/>
  <c r="BB83" i="8"/>
  <c r="BB163" i="8" s="1"/>
  <c r="AI30" i="8"/>
  <c r="AI110" i="8" s="1"/>
  <c r="AH30" i="8"/>
  <c r="AH110" i="8" s="1"/>
  <c r="AG30" i="8"/>
  <c r="AG110" i="8" s="1"/>
  <c r="AF30" i="8"/>
  <c r="AF110" i="8" s="1"/>
  <c r="AM30" i="8"/>
  <c r="AL30" i="8"/>
  <c r="AL110" i="8" s="1"/>
  <c r="K30" i="8"/>
  <c r="K110" i="8" s="1"/>
  <c r="J30" i="8"/>
  <c r="J110" i="8" s="1"/>
  <c r="I30" i="8"/>
  <c r="I110" i="8" s="1"/>
  <c r="H30" i="8"/>
  <c r="H110" i="8" s="1"/>
  <c r="G30" i="8"/>
  <c r="AK30" i="8"/>
  <c r="AK110" i="8" s="1"/>
  <c r="AJ30" i="8"/>
  <c r="AJ110" i="8" s="1"/>
  <c r="BA30" i="8"/>
  <c r="BA110" i="8" s="1"/>
  <c r="R110" i="8"/>
  <c r="C30" i="8"/>
  <c r="C110" i="8" s="1"/>
  <c r="AE30" i="8"/>
  <c r="AE110" i="8" s="1"/>
  <c r="D30" i="8"/>
  <c r="D110" i="8" s="1"/>
  <c r="AB30" i="8"/>
  <c r="AB110" i="8" s="1"/>
  <c r="AR30" i="8"/>
  <c r="AR110" i="8" s="1"/>
  <c r="AC30" i="8"/>
  <c r="AC110" i="8" s="1"/>
  <c r="AU30" i="8"/>
  <c r="AU110" i="8" s="1"/>
  <c r="BC30" i="8"/>
  <c r="BC110" i="8" s="1"/>
  <c r="F30" i="8"/>
  <c r="F110" i="8" s="1"/>
  <c r="Z30" i="8"/>
  <c r="Z110" i="8" s="1"/>
  <c r="AP30" i="8"/>
  <c r="AP110" i="8" s="1"/>
  <c r="G110" i="8"/>
  <c r="AZ30" i="8"/>
  <c r="AZ110" i="8" s="1"/>
  <c r="AS30" i="8"/>
  <c r="AS110" i="8" s="1"/>
  <c r="AY30" i="8"/>
  <c r="AY110" i="8" s="1"/>
  <c r="AO30" i="8"/>
  <c r="AO110" i="8" s="1"/>
  <c r="BB30" i="8"/>
  <c r="BB110" i="8" s="1"/>
  <c r="AN30" i="8"/>
  <c r="AN110" i="8" s="1"/>
  <c r="Y30" i="8"/>
  <c r="Y110" i="8" s="1"/>
  <c r="E30" i="8"/>
  <c r="E110" i="8" s="1"/>
  <c r="AA30" i="8"/>
  <c r="AA110" i="8" s="1"/>
  <c r="Q110" i="8"/>
  <c r="AM110" i="8"/>
  <c r="B31" i="8"/>
  <c r="N30" i="8"/>
  <c r="N110" i="8" s="1"/>
  <c r="AQ30" i="8"/>
  <c r="AQ110" i="8" s="1"/>
  <c r="AD30" i="8"/>
  <c r="AD110" i="8" s="1"/>
  <c r="L30" i="8"/>
  <c r="L110" i="8" s="1"/>
  <c r="P110" i="8"/>
  <c r="AT30" i="8"/>
  <c r="AT110" i="8" s="1"/>
  <c r="M30" i="8"/>
  <c r="M110" i="8" s="1"/>
  <c r="AN57" i="8"/>
  <c r="AN137" i="8" s="1"/>
  <c r="AP57" i="8"/>
  <c r="AP137" i="8" s="1"/>
  <c r="AS57" i="8"/>
  <c r="AS137" i="8" s="1"/>
  <c r="D57" i="8"/>
  <c r="D137" i="8" s="1"/>
  <c r="AB57" i="8"/>
  <c r="AB137" i="8" s="1"/>
  <c r="AR57" i="8"/>
  <c r="AR137" i="8" s="1"/>
  <c r="AU57" i="8"/>
  <c r="AU137" i="8" s="1"/>
  <c r="AC57" i="8"/>
  <c r="AC137" i="8" s="1"/>
  <c r="BB57" i="8"/>
  <c r="BB137" i="8" s="1"/>
  <c r="AD57" i="8"/>
  <c r="AD137" i="8" s="1"/>
  <c r="AO57" i="8"/>
  <c r="AO137" i="8" s="1"/>
  <c r="Z57" i="8"/>
  <c r="Z137" i="8" s="1"/>
  <c r="N57" i="8"/>
  <c r="N137" i="8" s="1"/>
  <c r="AQ57" i="8"/>
  <c r="AQ137" i="8" s="1"/>
  <c r="Y57" i="8"/>
  <c r="Y137" i="8" s="1"/>
  <c r="AZ57" i="8"/>
  <c r="AZ137" i="8" s="1"/>
  <c r="AY57" i="8"/>
  <c r="AY137" i="8" s="1"/>
  <c r="F57" i="8"/>
  <c r="F137" i="8" s="1"/>
  <c r="AE57" i="8"/>
  <c r="AE137" i="8" s="1"/>
  <c r="AA57" i="8"/>
  <c r="AA137" i="8" s="1"/>
  <c r="BA57" i="8"/>
  <c r="BA137" i="8" s="1"/>
  <c r="AT57" i="8"/>
  <c r="AT137" i="8" s="1"/>
  <c r="L57" i="8"/>
  <c r="L137" i="8" s="1"/>
  <c r="B58" i="8"/>
  <c r="E57" i="8"/>
  <c r="E137" i="8" s="1"/>
  <c r="M57" i="8"/>
  <c r="M137" i="8" s="1"/>
  <c r="C57" i="8"/>
  <c r="C137" i="8" s="1"/>
  <c r="BC57" i="8"/>
  <c r="BC137" i="8" s="1"/>
  <c r="BL10" i="25"/>
  <c r="BL8" i="25"/>
  <c r="BL6" i="25"/>
  <c r="BK10" i="25"/>
  <c r="BK12" i="25"/>
  <c r="BL12" i="25"/>
  <c r="BO11" i="125" l="1"/>
  <c r="BX11" i="125" s="1"/>
  <c r="DM11" i="125" s="1"/>
  <c r="B44" i="123"/>
  <c r="BH29" i="125"/>
  <c r="BO29" i="125" s="1"/>
  <c r="BX29" i="125" s="1"/>
  <c r="BH12" i="125"/>
  <c r="L41" i="73"/>
  <c r="L42" i="73" s="1"/>
  <c r="CO12" i="25"/>
  <c r="CO6" i="25"/>
  <c r="L26" i="73"/>
  <c r="L27" i="73" s="1"/>
  <c r="L37" i="73"/>
  <c r="L38" i="73" s="1"/>
  <c r="CO10" i="25"/>
  <c r="G37" i="73"/>
  <c r="BM10" i="25"/>
  <c r="CO8" i="25"/>
  <c r="L30" i="73"/>
  <c r="L31" i="73" s="1"/>
  <c r="G41" i="73"/>
  <c r="BM12" i="25"/>
  <c r="BO11" i="12"/>
  <c r="BX11" i="12" s="1"/>
  <c r="F606" i="123"/>
  <c r="C606" i="123"/>
  <c r="E606" i="123" s="1"/>
  <c r="C240" i="123"/>
  <c r="E240" i="123" s="1"/>
  <c r="F240" i="123"/>
  <c r="C410" i="123"/>
  <c r="E410" i="123" s="1"/>
  <c r="F410" i="123"/>
  <c r="C520" i="123"/>
  <c r="E520" i="123" s="1"/>
  <c r="F520" i="123"/>
  <c r="B521" i="123"/>
  <c r="F213" i="123"/>
  <c r="B214" i="123"/>
  <c r="C213" i="123"/>
  <c r="E213" i="123" s="1"/>
  <c r="BO5" i="125"/>
  <c r="BX5" i="125" s="1"/>
  <c r="F383" i="123"/>
  <c r="C383" i="123"/>
  <c r="E383" i="123" s="1"/>
  <c r="B384" i="123"/>
  <c r="BO12" i="12"/>
  <c r="BX12" i="12" s="1"/>
  <c r="C181" i="123"/>
  <c r="E181" i="123" s="1"/>
  <c r="F181" i="123"/>
  <c r="BO5" i="12"/>
  <c r="BX5" i="12" s="1"/>
  <c r="F467" i="123"/>
  <c r="C467" i="123"/>
  <c r="E467" i="123" s="1"/>
  <c r="B468" i="123"/>
  <c r="C350" i="123"/>
  <c r="E350" i="123" s="1"/>
  <c r="B351" i="123"/>
  <c r="F350" i="123"/>
  <c r="C129" i="123"/>
  <c r="E129" i="123" s="1"/>
  <c r="F129" i="123"/>
  <c r="C155" i="123"/>
  <c r="E155" i="123" s="1"/>
  <c r="F155" i="123"/>
  <c r="F298" i="123"/>
  <c r="B299" i="123"/>
  <c r="C298" i="123"/>
  <c r="E298" i="123" s="1"/>
  <c r="B325" i="123"/>
  <c r="F324" i="123"/>
  <c r="C324" i="123"/>
  <c r="E324" i="123" s="1"/>
  <c r="BO29" i="12"/>
  <c r="BX29" i="12" s="1"/>
  <c r="AI31" i="8"/>
  <c r="AI111" i="8" s="1"/>
  <c r="AH31" i="8"/>
  <c r="AG31" i="8"/>
  <c r="AG111" i="8" s="1"/>
  <c r="AF31" i="8"/>
  <c r="AF111" i="8" s="1"/>
  <c r="AM31" i="8"/>
  <c r="AL31" i="8"/>
  <c r="AL111" i="8" s="1"/>
  <c r="G31" i="8"/>
  <c r="AK31" i="8"/>
  <c r="AK111" i="8" s="1"/>
  <c r="K31" i="8"/>
  <c r="K111" i="8" s="1"/>
  <c r="AJ31" i="8"/>
  <c r="J31" i="8"/>
  <c r="I31" i="8"/>
  <c r="I111" i="8" s="1"/>
  <c r="H31" i="8"/>
  <c r="AI84" i="8"/>
  <c r="AI164" i="8" s="1"/>
  <c r="H84" i="8"/>
  <c r="H164" i="8" s="1"/>
  <c r="AH84" i="8"/>
  <c r="AH164" i="8" s="1"/>
  <c r="G84" i="8"/>
  <c r="G164" i="8" s="1"/>
  <c r="AG84" i="8"/>
  <c r="AG164" i="8" s="1"/>
  <c r="AF84" i="8"/>
  <c r="AF164" i="8" s="1"/>
  <c r="AM84" i="8"/>
  <c r="AM164" i="8" s="1"/>
  <c r="AL84" i="8"/>
  <c r="AL164" i="8" s="1"/>
  <c r="K84" i="8"/>
  <c r="K164" i="8" s="1"/>
  <c r="J84" i="8"/>
  <c r="J164" i="8" s="1"/>
  <c r="I84" i="8"/>
  <c r="I164" i="8" s="1"/>
  <c r="AK84" i="8"/>
  <c r="AK164" i="8" s="1"/>
  <c r="AJ84" i="8"/>
  <c r="AJ164" i="8" s="1"/>
  <c r="AB84" i="8"/>
  <c r="AB164" i="8" s="1"/>
  <c r="F84" i="8"/>
  <c r="F164" i="8" s="1"/>
  <c r="E84" i="8"/>
  <c r="E164" i="8" s="1"/>
  <c r="D84" i="8"/>
  <c r="D164" i="8" s="1"/>
  <c r="AY84" i="8"/>
  <c r="AY164" i="8" s="1"/>
  <c r="BB84" i="8"/>
  <c r="BB164" i="8" s="1"/>
  <c r="AA84" i="8"/>
  <c r="AA164" i="8" s="1"/>
  <c r="Z84" i="8"/>
  <c r="Z164" i="8" s="1"/>
  <c r="N84" i="8"/>
  <c r="N164" i="8" s="1"/>
  <c r="B85" i="8"/>
  <c r="AP84" i="8"/>
  <c r="AP164" i="8" s="1"/>
  <c r="BC84" i="8"/>
  <c r="AQ84" i="8"/>
  <c r="AQ164" i="8" s="1"/>
  <c r="AN84" i="8"/>
  <c r="AN164" i="8" s="1"/>
  <c r="AO84" i="8"/>
  <c r="AO164" i="8" s="1"/>
  <c r="AZ84" i="8"/>
  <c r="AZ164" i="8" s="1"/>
  <c r="AE84" i="8"/>
  <c r="AE164" i="8" s="1"/>
  <c r="AD84" i="8"/>
  <c r="AD164" i="8" s="1"/>
  <c r="AS84" i="8"/>
  <c r="AS164" i="8" s="1"/>
  <c r="C84" i="8"/>
  <c r="C164" i="8" s="1"/>
  <c r="Y84" i="8"/>
  <c r="Y164" i="8" s="1"/>
  <c r="AU84" i="8"/>
  <c r="AU164" i="8" s="1"/>
  <c r="AT84" i="8"/>
  <c r="AT164" i="8" s="1"/>
  <c r="AR84" i="8"/>
  <c r="AR164" i="8" s="1"/>
  <c r="BA84" i="8"/>
  <c r="BA164" i="8" s="1"/>
  <c r="AC84" i="8"/>
  <c r="AC164" i="8" s="1"/>
  <c r="M84" i="8"/>
  <c r="M164" i="8" s="1"/>
  <c r="L84" i="8"/>
  <c r="L164" i="8" s="1"/>
  <c r="AI58" i="8"/>
  <c r="AI138" i="8" s="1"/>
  <c r="AH58" i="8"/>
  <c r="AH138" i="8" s="1"/>
  <c r="AG58" i="8"/>
  <c r="AG138" i="8" s="1"/>
  <c r="AF58" i="8"/>
  <c r="AF138" i="8" s="1"/>
  <c r="AM58" i="8"/>
  <c r="AM138" i="8" s="1"/>
  <c r="AL58" i="8"/>
  <c r="AL138" i="8" s="1"/>
  <c r="AK58" i="8"/>
  <c r="AK138" i="8" s="1"/>
  <c r="AJ58" i="8"/>
  <c r="AJ138" i="8" s="1"/>
  <c r="K58" i="8"/>
  <c r="K138" i="8" s="1"/>
  <c r="J58" i="8"/>
  <c r="J138" i="8" s="1"/>
  <c r="I58" i="8"/>
  <c r="I138" i="8" s="1"/>
  <c r="H58" i="8"/>
  <c r="H138" i="8" s="1"/>
  <c r="G58" i="8"/>
  <c r="G138" i="8" s="1"/>
  <c r="E58" i="8"/>
  <c r="E138" i="8" s="1"/>
  <c r="Y58" i="8"/>
  <c r="Y138" i="8" s="1"/>
  <c r="AO58" i="8"/>
  <c r="AO138" i="8" s="1"/>
  <c r="L58" i="8"/>
  <c r="L138" i="8" s="1"/>
  <c r="BC58" i="8"/>
  <c r="BC138" i="8" s="1"/>
  <c r="F58" i="8"/>
  <c r="F138" i="8" s="1"/>
  <c r="Z58" i="8"/>
  <c r="Z138" i="8" s="1"/>
  <c r="AC58" i="8"/>
  <c r="AC138" i="8" s="1"/>
  <c r="AS58" i="8"/>
  <c r="AS138" i="8" s="1"/>
  <c r="AQ58" i="8"/>
  <c r="AQ138" i="8" s="1"/>
  <c r="N58" i="8"/>
  <c r="N138" i="8" s="1"/>
  <c r="AR58" i="8"/>
  <c r="AR138" i="8" s="1"/>
  <c r="AE58" i="8"/>
  <c r="AE138" i="8" s="1"/>
  <c r="AT58" i="8"/>
  <c r="AT138" i="8" s="1"/>
  <c r="M58" i="8"/>
  <c r="M138" i="8" s="1"/>
  <c r="BA58" i="8"/>
  <c r="BA138" i="8" s="1"/>
  <c r="AA58" i="8"/>
  <c r="AA138" i="8" s="1"/>
  <c r="AZ58" i="8"/>
  <c r="AZ138" i="8" s="1"/>
  <c r="AB58" i="8"/>
  <c r="AB138" i="8" s="1"/>
  <c r="BB58" i="8"/>
  <c r="BB138" i="8" s="1"/>
  <c r="AD58" i="8"/>
  <c r="AD138" i="8" s="1"/>
  <c r="C58" i="8"/>
  <c r="C138" i="8" s="1"/>
  <c r="D58" i="8"/>
  <c r="D138" i="8" s="1"/>
  <c r="AN58" i="8"/>
  <c r="AN138" i="8" s="1"/>
  <c r="AY58" i="8"/>
  <c r="AY138" i="8" s="1"/>
  <c r="B59" i="8"/>
  <c r="AP58" i="8"/>
  <c r="AP138" i="8" s="1"/>
  <c r="AU58" i="8"/>
  <c r="AU138" i="8" s="1"/>
  <c r="AA31" i="8"/>
  <c r="AA111" i="8" s="1"/>
  <c r="AQ31" i="8"/>
  <c r="AQ111" i="8" s="1"/>
  <c r="P111" i="8"/>
  <c r="D31" i="8"/>
  <c r="D111" i="8" s="1"/>
  <c r="AJ111" i="8"/>
  <c r="AT31" i="8"/>
  <c r="AT111" i="8" s="1"/>
  <c r="F31" i="8"/>
  <c r="F111" i="8" s="1"/>
  <c r="C31" i="8"/>
  <c r="C111" i="8" s="1"/>
  <c r="AE31" i="8"/>
  <c r="AE111" i="8" s="1"/>
  <c r="AU31" i="8"/>
  <c r="AU111" i="8" s="1"/>
  <c r="Z31" i="8"/>
  <c r="Z111" i="8" s="1"/>
  <c r="L31" i="8"/>
  <c r="L111" i="8" s="1"/>
  <c r="AR31" i="8"/>
  <c r="AR111" i="8" s="1"/>
  <c r="AZ31" i="8"/>
  <c r="AZ111" i="8" s="1"/>
  <c r="H111" i="8"/>
  <c r="M31" i="8"/>
  <c r="M111" i="8" s="1"/>
  <c r="BA31" i="8"/>
  <c r="BA111" i="8" s="1"/>
  <c r="AM111" i="8"/>
  <c r="BC31" i="8"/>
  <c r="BC111" i="8" s="1"/>
  <c r="J111" i="8"/>
  <c r="AP31" i="8"/>
  <c r="AP111" i="8" s="1"/>
  <c r="AB31" i="8"/>
  <c r="AB111" i="8" s="1"/>
  <c r="AD31" i="8"/>
  <c r="AD111" i="8" s="1"/>
  <c r="BB31" i="8"/>
  <c r="BB111" i="8" s="1"/>
  <c r="AN31" i="8"/>
  <c r="AN111" i="8" s="1"/>
  <c r="AS31" i="8"/>
  <c r="AS111" i="8" s="1"/>
  <c r="R111" i="8"/>
  <c r="Q111" i="8"/>
  <c r="B32" i="8"/>
  <c r="Y31" i="8"/>
  <c r="Y111" i="8" s="1"/>
  <c r="AC31" i="8"/>
  <c r="AC111" i="8" s="1"/>
  <c r="AY31" i="8"/>
  <c r="AY111" i="8" s="1"/>
  <c r="AH111" i="8"/>
  <c r="N31" i="8"/>
  <c r="N111" i="8" s="1"/>
  <c r="G111" i="8"/>
  <c r="E31" i="8"/>
  <c r="E111" i="8" s="1"/>
  <c r="AO31" i="8"/>
  <c r="AO111" i="8" s="1"/>
  <c r="BK6" i="25"/>
  <c r="BK8" i="25"/>
  <c r="DK11" i="125" l="1"/>
  <c r="DL11" i="125"/>
  <c r="DN11" i="125"/>
  <c r="L44" i="73"/>
  <c r="G26" i="73"/>
  <c r="G27" i="73" s="1"/>
  <c r="BM6" i="25"/>
  <c r="CM6" i="25" s="1"/>
  <c r="BO12" i="125"/>
  <c r="BX12" i="125" s="1"/>
  <c r="DK12" i="125" s="1"/>
  <c r="G30" i="73"/>
  <c r="G31" i="73" s="1"/>
  <c r="BM8" i="25"/>
  <c r="CM8" i="25" s="1"/>
  <c r="G42" i="73"/>
  <c r="M41" i="73"/>
  <c r="M42" i="73" s="1"/>
  <c r="C299" i="123"/>
  <c r="E299" i="123" s="1"/>
  <c r="F299" i="123"/>
  <c r="C351" i="123"/>
  <c r="E351" i="123" s="1"/>
  <c r="F351" i="123"/>
  <c r="C214" i="123"/>
  <c r="E214" i="123" s="1"/>
  <c r="F214" i="123"/>
  <c r="F521" i="123"/>
  <c r="C521" i="123"/>
  <c r="E521" i="123" s="1"/>
  <c r="C325" i="123"/>
  <c r="E325" i="123" s="1"/>
  <c r="F325" i="123"/>
  <c r="L33" i="73"/>
  <c r="DM5" i="12"/>
  <c r="DL5" i="12"/>
  <c r="DK5" i="12"/>
  <c r="DN5" i="12"/>
  <c r="DM29" i="125"/>
  <c r="DL29" i="125"/>
  <c r="DK29" i="125"/>
  <c r="DN29" i="125"/>
  <c r="C468" i="123"/>
  <c r="E468" i="123" s="1"/>
  <c r="B469" i="123"/>
  <c r="F468" i="123"/>
  <c r="DM12" i="12"/>
  <c r="DK12" i="12"/>
  <c r="DL12" i="12"/>
  <c r="DN12" i="12"/>
  <c r="CM12" i="25"/>
  <c r="CG12" i="25"/>
  <c r="DM29" i="12"/>
  <c r="DK29" i="12"/>
  <c r="DL29" i="12"/>
  <c r="DN29" i="12"/>
  <c r="C384" i="123"/>
  <c r="E384" i="123" s="1"/>
  <c r="F384" i="123"/>
  <c r="CM10" i="25"/>
  <c r="CG10" i="25"/>
  <c r="DM11" i="12"/>
  <c r="DL11" i="12"/>
  <c r="DK11" i="12"/>
  <c r="DN11" i="12"/>
  <c r="DM5" i="125"/>
  <c r="DK5" i="125"/>
  <c r="DL5" i="125"/>
  <c r="DN5" i="125"/>
  <c r="G38" i="73"/>
  <c r="M37" i="73"/>
  <c r="M38" i="73" s="1"/>
  <c r="BC164" i="8"/>
  <c r="AI32" i="8"/>
  <c r="AI112" i="8" s="1"/>
  <c r="AH32" i="8"/>
  <c r="AG32" i="8"/>
  <c r="AF32" i="8"/>
  <c r="AM32" i="8"/>
  <c r="AL32" i="8"/>
  <c r="AL112" i="8" s="1"/>
  <c r="J32" i="8"/>
  <c r="J112" i="8" s="1"/>
  <c r="I32" i="8"/>
  <c r="I112" i="8" s="1"/>
  <c r="AK32" i="8"/>
  <c r="AK112" i="8" s="1"/>
  <c r="H32" i="8"/>
  <c r="AJ32" i="8"/>
  <c r="AJ112" i="8" s="1"/>
  <c r="G32" i="8"/>
  <c r="K32" i="8"/>
  <c r="K112" i="8" s="1"/>
  <c r="AI85" i="8"/>
  <c r="AI165" i="8" s="1"/>
  <c r="K85" i="8"/>
  <c r="K165" i="8" s="1"/>
  <c r="AH85" i="8"/>
  <c r="AH165" i="8" s="1"/>
  <c r="J85" i="8"/>
  <c r="J165" i="8" s="1"/>
  <c r="AG85" i="8"/>
  <c r="AG165" i="8" s="1"/>
  <c r="I85" i="8"/>
  <c r="I165" i="8" s="1"/>
  <c r="AF85" i="8"/>
  <c r="AF165" i="8" s="1"/>
  <c r="H85" i="8"/>
  <c r="H165" i="8" s="1"/>
  <c r="AM85" i="8"/>
  <c r="AM165" i="8" s="1"/>
  <c r="G85" i="8"/>
  <c r="G165" i="8" s="1"/>
  <c r="AL85" i="8"/>
  <c r="AL165" i="8" s="1"/>
  <c r="AK85" i="8"/>
  <c r="AK165" i="8" s="1"/>
  <c r="AJ85" i="8"/>
  <c r="AJ165" i="8" s="1"/>
  <c r="L85" i="8"/>
  <c r="L165" i="8" s="1"/>
  <c r="F85" i="8"/>
  <c r="F165" i="8" s="1"/>
  <c r="AP85" i="8"/>
  <c r="AP165" i="8" s="1"/>
  <c r="AO85" i="8"/>
  <c r="AO165" i="8" s="1"/>
  <c r="E85" i="8"/>
  <c r="E165" i="8" s="1"/>
  <c r="AQ85" i="8"/>
  <c r="AQ165" i="8" s="1"/>
  <c r="AN85" i="8"/>
  <c r="AN165" i="8" s="1"/>
  <c r="BB85" i="8"/>
  <c r="BB165" i="8" s="1"/>
  <c r="BA85" i="8"/>
  <c r="BA165" i="8" s="1"/>
  <c r="AB85" i="8"/>
  <c r="AB165" i="8" s="1"/>
  <c r="AY85" i="8"/>
  <c r="AY165" i="8" s="1"/>
  <c r="AA85" i="8"/>
  <c r="AA165" i="8" s="1"/>
  <c r="M85" i="8"/>
  <c r="M165" i="8" s="1"/>
  <c r="N85" i="8"/>
  <c r="N165" i="8" s="1"/>
  <c r="C85" i="8"/>
  <c r="C165" i="8" s="1"/>
  <c r="AZ85" i="8"/>
  <c r="AZ165" i="8" s="1"/>
  <c r="B86" i="8"/>
  <c r="BC85" i="8"/>
  <c r="BC165" i="8" s="1"/>
  <c r="AD85" i="8"/>
  <c r="AD165" i="8" s="1"/>
  <c r="AC85" i="8"/>
  <c r="AC165" i="8" s="1"/>
  <c r="AU85" i="8"/>
  <c r="AU165" i="8" s="1"/>
  <c r="D85" i="8"/>
  <c r="D165" i="8" s="1"/>
  <c r="AT85" i="8"/>
  <c r="AT165" i="8" s="1"/>
  <c r="AS85" i="8"/>
  <c r="AS165" i="8" s="1"/>
  <c r="AR85" i="8"/>
  <c r="AR165" i="8" s="1"/>
  <c r="Z85" i="8"/>
  <c r="Z165" i="8" s="1"/>
  <c r="Y85" i="8"/>
  <c r="Y165" i="8" s="1"/>
  <c r="AE85" i="8"/>
  <c r="AE165" i="8" s="1"/>
  <c r="AI59" i="8"/>
  <c r="AI139" i="8" s="1"/>
  <c r="AH59" i="8"/>
  <c r="AH139" i="8" s="1"/>
  <c r="AG59" i="8"/>
  <c r="AG139" i="8" s="1"/>
  <c r="AF59" i="8"/>
  <c r="AF139" i="8" s="1"/>
  <c r="AM59" i="8"/>
  <c r="AM139" i="8" s="1"/>
  <c r="AL59" i="8"/>
  <c r="AL139" i="8" s="1"/>
  <c r="H59" i="8"/>
  <c r="H139" i="8" s="1"/>
  <c r="G59" i="8"/>
  <c r="G139" i="8" s="1"/>
  <c r="K59" i="8"/>
  <c r="K139" i="8" s="1"/>
  <c r="J59" i="8"/>
  <c r="J139" i="8" s="1"/>
  <c r="I59" i="8"/>
  <c r="I139" i="8" s="1"/>
  <c r="AK59" i="8"/>
  <c r="AK139" i="8" s="1"/>
  <c r="AJ59" i="8"/>
  <c r="AJ139" i="8" s="1"/>
  <c r="AE32" i="8"/>
  <c r="AE112" i="8" s="1"/>
  <c r="BA32" i="8"/>
  <c r="BA112" i="8" s="1"/>
  <c r="D32" i="8"/>
  <c r="D112" i="8" s="1"/>
  <c r="AB32" i="8"/>
  <c r="AB112" i="8" s="1"/>
  <c r="AR32" i="8"/>
  <c r="AR112" i="8" s="1"/>
  <c r="N32" i="8"/>
  <c r="N112" i="8" s="1"/>
  <c r="AH112" i="8"/>
  <c r="BB32" i="8"/>
  <c r="BB112" i="8" s="1"/>
  <c r="B33" i="8"/>
  <c r="M32" i="8"/>
  <c r="M112" i="8" s="1"/>
  <c r="AU32" i="8"/>
  <c r="AU112" i="8" s="1"/>
  <c r="E32" i="8"/>
  <c r="E112" i="8" s="1"/>
  <c r="H112" i="8"/>
  <c r="AF112" i="8"/>
  <c r="AZ32" i="8"/>
  <c r="AZ112" i="8" s="1"/>
  <c r="R112" i="8"/>
  <c r="AQ32" i="8"/>
  <c r="AQ112" i="8" s="1"/>
  <c r="AC32" i="8"/>
  <c r="AC112" i="8" s="1"/>
  <c r="Y32" i="8"/>
  <c r="Y112" i="8" s="1"/>
  <c r="AY32" i="8"/>
  <c r="AY112" i="8" s="1"/>
  <c r="G112" i="8"/>
  <c r="L32" i="8"/>
  <c r="L112" i="8" s="1"/>
  <c r="F32" i="8"/>
  <c r="F112" i="8" s="1"/>
  <c r="Z32" i="8"/>
  <c r="Z112" i="8" s="1"/>
  <c r="AP32" i="8"/>
  <c r="AP112" i="8" s="1"/>
  <c r="Q112" i="8"/>
  <c r="BC32" i="8"/>
  <c r="BC112" i="8" s="1"/>
  <c r="AO32" i="8"/>
  <c r="AO112" i="8" s="1"/>
  <c r="AM112" i="8"/>
  <c r="AG112" i="8"/>
  <c r="AS32" i="8"/>
  <c r="AS112" i="8" s="1"/>
  <c r="P112" i="8"/>
  <c r="AN32" i="8"/>
  <c r="AN112" i="8" s="1"/>
  <c r="AD32" i="8"/>
  <c r="AD112" i="8" s="1"/>
  <c r="AT32" i="8"/>
  <c r="AT112" i="8" s="1"/>
  <c r="AA32" i="8"/>
  <c r="AA112" i="8" s="1"/>
  <c r="C32" i="8"/>
  <c r="C112" i="8" s="1"/>
  <c r="F59" i="8"/>
  <c r="F139" i="8" s="1"/>
  <c r="Z59" i="8"/>
  <c r="Z139" i="8" s="1"/>
  <c r="AP59" i="8"/>
  <c r="AP139" i="8" s="1"/>
  <c r="AS59" i="8"/>
  <c r="AS139" i="8" s="1"/>
  <c r="AA59" i="8"/>
  <c r="AA139" i="8" s="1"/>
  <c r="AE59" i="8"/>
  <c r="AE139" i="8" s="1"/>
  <c r="AQ59" i="8"/>
  <c r="AQ139" i="8" s="1"/>
  <c r="AU59" i="8"/>
  <c r="AU139" i="8" s="1"/>
  <c r="C59" i="8"/>
  <c r="C139" i="8" s="1"/>
  <c r="D59" i="8"/>
  <c r="D139" i="8" s="1"/>
  <c r="AN59" i="8"/>
  <c r="AN139" i="8" s="1"/>
  <c r="M59" i="8"/>
  <c r="M139" i="8" s="1"/>
  <c r="L59" i="8"/>
  <c r="L139" i="8" s="1"/>
  <c r="AB59" i="8"/>
  <c r="AB139" i="8" s="1"/>
  <c r="B60" i="8"/>
  <c r="N59" i="8"/>
  <c r="N139" i="8" s="1"/>
  <c r="AC59" i="8"/>
  <c r="AC139" i="8" s="1"/>
  <c r="AT59" i="8"/>
  <c r="AT139" i="8" s="1"/>
  <c r="AO59" i="8"/>
  <c r="AO139" i="8" s="1"/>
  <c r="AY59" i="8"/>
  <c r="AY139" i="8" s="1"/>
  <c r="BB59" i="8"/>
  <c r="BB139" i="8" s="1"/>
  <c r="E59" i="8"/>
  <c r="E139" i="8" s="1"/>
  <c r="AR59" i="8"/>
  <c r="AR139" i="8" s="1"/>
  <c r="AD59" i="8"/>
  <c r="AD139" i="8" s="1"/>
  <c r="BA59" i="8"/>
  <c r="BA139" i="8" s="1"/>
  <c r="AZ59" i="8"/>
  <c r="AZ139" i="8" s="1"/>
  <c r="Y59" i="8"/>
  <c r="Y139" i="8" s="1"/>
  <c r="BC59" i="8"/>
  <c r="BC139" i="8" s="1"/>
  <c r="CG6" i="25" l="1"/>
  <c r="CK6" i="25" s="1"/>
  <c r="CG8" i="25"/>
  <c r="CL8" i="25" s="1"/>
  <c r="DL12" i="125"/>
  <c r="DM12" i="125"/>
  <c r="G33" i="73"/>
  <c r="DN12" i="125"/>
  <c r="M30" i="73"/>
  <c r="M31" i="73" s="1"/>
  <c r="M26" i="73"/>
  <c r="M27" i="73" s="1"/>
  <c r="M44" i="73"/>
  <c r="G44" i="73"/>
  <c r="F469" i="123"/>
  <c r="C469" i="123"/>
  <c r="E469" i="123" s="1"/>
  <c r="CL10" i="25"/>
  <c r="CK10" i="25"/>
  <c r="S37" i="73"/>
  <c r="S38" i="73" s="1"/>
  <c r="CN10" i="25"/>
  <c r="S41" i="73"/>
  <c r="S42" i="73" s="1"/>
  <c r="CL12" i="25"/>
  <c r="CK12" i="25"/>
  <c r="CN12" i="25"/>
  <c r="AI33" i="8"/>
  <c r="AI113" i="8" s="1"/>
  <c r="AH33" i="8"/>
  <c r="AH113" i="8" s="1"/>
  <c r="AG33" i="8"/>
  <c r="AG113" i="8" s="1"/>
  <c r="AF33" i="8"/>
  <c r="AF113" i="8" s="1"/>
  <c r="AM33" i="8"/>
  <c r="AL33" i="8"/>
  <c r="AK33" i="8"/>
  <c r="AJ33" i="8"/>
  <c r="AJ113" i="8" s="1"/>
  <c r="K33" i="8"/>
  <c r="J33" i="8"/>
  <c r="J113" i="8" s="1"/>
  <c r="I33" i="8"/>
  <c r="I113" i="8" s="1"/>
  <c r="H33" i="8"/>
  <c r="G33" i="8"/>
  <c r="AI60" i="8"/>
  <c r="AI140" i="8" s="1"/>
  <c r="AH60" i="8"/>
  <c r="AH140" i="8" s="1"/>
  <c r="AG60" i="8"/>
  <c r="AG140" i="8" s="1"/>
  <c r="AF60" i="8"/>
  <c r="AF140" i="8" s="1"/>
  <c r="AM60" i="8"/>
  <c r="AM140" i="8" s="1"/>
  <c r="AL60" i="8"/>
  <c r="AL140" i="8" s="1"/>
  <c r="K60" i="8"/>
  <c r="K140" i="8" s="1"/>
  <c r="J60" i="8"/>
  <c r="J140" i="8" s="1"/>
  <c r="I60" i="8"/>
  <c r="I140" i="8" s="1"/>
  <c r="H60" i="8"/>
  <c r="H140" i="8" s="1"/>
  <c r="AK60" i="8"/>
  <c r="AK140" i="8" s="1"/>
  <c r="G60" i="8"/>
  <c r="G140" i="8" s="1"/>
  <c r="AJ60" i="8"/>
  <c r="AJ140" i="8" s="1"/>
  <c r="AI86" i="8"/>
  <c r="AI166" i="8" s="1"/>
  <c r="AH86" i="8"/>
  <c r="AH166" i="8" s="1"/>
  <c r="AG86" i="8"/>
  <c r="AG166" i="8" s="1"/>
  <c r="AF86" i="8"/>
  <c r="AF166" i="8" s="1"/>
  <c r="K86" i="8"/>
  <c r="K166" i="8" s="1"/>
  <c r="AM86" i="8"/>
  <c r="AM166" i="8" s="1"/>
  <c r="J86" i="8"/>
  <c r="J166" i="8" s="1"/>
  <c r="AL86" i="8"/>
  <c r="AL166" i="8" s="1"/>
  <c r="I86" i="8"/>
  <c r="I166" i="8" s="1"/>
  <c r="AK86" i="8"/>
  <c r="AK166" i="8" s="1"/>
  <c r="AJ86" i="8"/>
  <c r="AJ166" i="8" s="1"/>
  <c r="H86" i="8"/>
  <c r="H166" i="8" s="1"/>
  <c r="G86" i="8"/>
  <c r="G166" i="8" s="1"/>
  <c r="AB86" i="8"/>
  <c r="AB166" i="8" s="1"/>
  <c r="AQ86" i="8"/>
  <c r="AQ166" i="8" s="1"/>
  <c r="Z86" i="8"/>
  <c r="Z166" i="8" s="1"/>
  <c r="AE86" i="8"/>
  <c r="AE166" i="8" s="1"/>
  <c r="AZ86" i="8"/>
  <c r="AZ166" i="8" s="1"/>
  <c r="BB86" i="8"/>
  <c r="BB166" i="8" s="1"/>
  <c r="AS86" i="8"/>
  <c r="AS166" i="8" s="1"/>
  <c r="AT86" i="8"/>
  <c r="AT166" i="8" s="1"/>
  <c r="M86" i="8"/>
  <c r="M166" i="8" s="1"/>
  <c r="AD86" i="8"/>
  <c r="AD166" i="8" s="1"/>
  <c r="AP86" i="8"/>
  <c r="AP166" i="8" s="1"/>
  <c r="BA86" i="8"/>
  <c r="BA166" i="8" s="1"/>
  <c r="D86" i="8"/>
  <c r="D166" i="8" s="1"/>
  <c r="L86" i="8"/>
  <c r="L166" i="8" s="1"/>
  <c r="C86" i="8"/>
  <c r="C166" i="8" s="1"/>
  <c r="AN86" i="8"/>
  <c r="AN166" i="8" s="1"/>
  <c r="N86" i="8"/>
  <c r="N166" i="8" s="1"/>
  <c r="AR86" i="8"/>
  <c r="AR166" i="8" s="1"/>
  <c r="F86" i="8"/>
  <c r="F166" i="8" s="1"/>
  <c r="AU86" i="8"/>
  <c r="AU166" i="8" s="1"/>
  <c r="Y86" i="8"/>
  <c r="Y166" i="8" s="1"/>
  <c r="AY86" i="8"/>
  <c r="AY166" i="8" s="1"/>
  <c r="AC86" i="8"/>
  <c r="AC166" i="8" s="1"/>
  <c r="BC86" i="8"/>
  <c r="BC166" i="8" s="1"/>
  <c r="B87" i="8"/>
  <c r="AA86" i="8"/>
  <c r="AA166" i="8" s="1"/>
  <c r="AO86" i="8"/>
  <c r="AO166" i="8" s="1"/>
  <c r="E86" i="8"/>
  <c r="E166" i="8" s="1"/>
  <c r="AS60" i="8"/>
  <c r="AS140" i="8" s="1"/>
  <c r="AA60" i="8"/>
  <c r="AA140" i="8" s="1"/>
  <c r="AQ60" i="8"/>
  <c r="AQ140" i="8" s="1"/>
  <c r="D60" i="8"/>
  <c r="D140" i="8" s="1"/>
  <c r="Z60" i="8"/>
  <c r="Z140" i="8" s="1"/>
  <c r="BA60" i="8"/>
  <c r="BA140" i="8" s="1"/>
  <c r="AT60" i="8"/>
  <c r="AT140" i="8" s="1"/>
  <c r="AC60" i="8"/>
  <c r="AC140" i="8" s="1"/>
  <c r="AO60" i="8"/>
  <c r="AO140" i="8" s="1"/>
  <c r="C60" i="8"/>
  <c r="C140" i="8" s="1"/>
  <c r="AE60" i="8"/>
  <c r="AE140" i="8" s="1"/>
  <c r="AU60" i="8"/>
  <c r="AU140" i="8" s="1"/>
  <c r="E60" i="8"/>
  <c r="E140" i="8" s="1"/>
  <c r="AZ60" i="8"/>
  <c r="AZ140" i="8" s="1"/>
  <c r="AN60" i="8"/>
  <c r="AN140" i="8" s="1"/>
  <c r="B61" i="8"/>
  <c r="F60" i="8"/>
  <c r="F140" i="8" s="1"/>
  <c r="AY60" i="8"/>
  <c r="AY140" i="8" s="1"/>
  <c r="N60" i="8"/>
  <c r="N140" i="8" s="1"/>
  <c r="AR60" i="8"/>
  <c r="AR140" i="8" s="1"/>
  <c r="Y60" i="8"/>
  <c r="Y140" i="8" s="1"/>
  <c r="L60" i="8"/>
  <c r="L140" i="8" s="1"/>
  <c r="M60" i="8"/>
  <c r="M140" i="8" s="1"/>
  <c r="AB60" i="8"/>
  <c r="AB140" i="8" s="1"/>
  <c r="BB60" i="8"/>
  <c r="BB140" i="8" s="1"/>
  <c r="AD60" i="8"/>
  <c r="AD140" i="8" s="1"/>
  <c r="BC60" i="8"/>
  <c r="BC140" i="8" s="1"/>
  <c r="AP60" i="8"/>
  <c r="AP140" i="8" s="1"/>
  <c r="G113" i="8"/>
  <c r="AY33" i="8"/>
  <c r="AY113" i="8" s="1"/>
  <c r="AN33" i="8"/>
  <c r="AN113" i="8" s="1"/>
  <c r="Z33" i="8"/>
  <c r="Z113" i="8" s="1"/>
  <c r="R113" i="8"/>
  <c r="L33" i="8"/>
  <c r="L113" i="8" s="1"/>
  <c r="N33" i="8"/>
  <c r="N113" i="8" s="1"/>
  <c r="AC33" i="8"/>
  <c r="AC113" i="8" s="1"/>
  <c r="AS33" i="8"/>
  <c r="AS113" i="8" s="1"/>
  <c r="K113" i="8"/>
  <c r="AM113" i="8"/>
  <c r="BC33" i="8"/>
  <c r="BC113" i="8" s="1"/>
  <c r="BB33" i="8"/>
  <c r="BB113" i="8" s="1"/>
  <c r="AD33" i="8"/>
  <c r="AD113" i="8" s="1"/>
  <c r="AB33" i="8"/>
  <c r="AB113" i="8" s="1"/>
  <c r="M33" i="8"/>
  <c r="M113" i="8" s="1"/>
  <c r="BA33" i="8"/>
  <c r="BA113" i="8" s="1"/>
  <c r="AA33" i="8"/>
  <c r="AA113" i="8" s="1"/>
  <c r="AQ33" i="8"/>
  <c r="AQ113" i="8" s="1"/>
  <c r="H113" i="8"/>
  <c r="AP33" i="8"/>
  <c r="AP113" i="8" s="1"/>
  <c r="AT33" i="8"/>
  <c r="AT113" i="8" s="1"/>
  <c r="AR33" i="8"/>
  <c r="AR113" i="8" s="1"/>
  <c r="AL113" i="8"/>
  <c r="Q113" i="8"/>
  <c r="AK113" i="8"/>
  <c r="B34" i="8"/>
  <c r="C33" i="8"/>
  <c r="C113" i="8" s="1"/>
  <c r="AE33" i="8"/>
  <c r="AE113" i="8" s="1"/>
  <c r="AU33" i="8"/>
  <c r="AU113" i="8" s="1"/>
  <c r="P113" i="8"/>
  <c r="F33" i="8"/>
  <c r="F113" i="8" s="1"/>
  <c r="AZ33" i="8"/>
  <c r="AZ113" i="8" s="1"/>
  <c r="D33" i="8"/>
  <c r="D113" i="8" s="1"/>
  <c r="E33" i="8"/>
  <c r="E113" i="8" s="1"/>
  <c r="Y33" i="8"/>
  <c r="Y113" i="8" s="1"/>
  <c r="AO33" i="8"/>
  <c r="AO113" i="8" s="1"/>
  <c r="CL6" i="25" l="1"/>
  <c r="B26" i="73" s="1"/>
  <c r="B27" i="73" s="1"/>
  <c r="S30" i="73"/>
  <c r="S31" i="73" s="1"/>
  <c r="S26" i="73"/>
  <c r="S27" i="73" s="1"/>
  <c r="CN6" i="25"/>
  <c r="CK8" i="25"/>
  <c r="CN8" i="25"/>
  <c r="M33" i="73"/>
  <c r="S44" i="73"/>
  <c r="C56" i="101" s="1"/>
  <c r="C58" i="101" s="1"/>
  <c r="D58" i="101" s="1"/>
  <c r="C54" i="119"/>
  <c r="B41" i="73"/>
  <c r="B42" i="73" s="1"/>
  <c r="B37" i="73"/>
  <c r="B38" i="73" s="1"/>
  <c r="C50" i="119"/>
  <c r="B30" i="73"/>
  <c r="B31" i="73" s="1"/>
  <c r="C35" i="119"/>
  <c r="AI34" i="8"/>
  <c r="AH34" i="8"/>
  <c r="AG34" i="8"/>
  <c r="AG114" i="8" s="1"/>
  <c r="AF34" i="8"/>
  <c r="AM34" i="8"/>
  <c r="AM114" i="8" s="1"/>
  <c r="AL34" i="8"/>
  <c r="H34" i="8"/>
  <c r="H114" i="8" s="1"/>
  <c r="G34" i="8"/>
  <c r="G114" i="8" s="1"/>
  <c r="K34" i="8"/>
  <c r="AK34" i="8"/>
  <c r="J34" i="8"/>
  <c r="AJ34" i="8"/>
  <c r="I34" i="8"/>
  <c r="AI61" i="8"/>
  <c r="AI141" i="8" s="1"/>
  <c r="AH61" i="8"/>
  <c r="AH141" i="8" s="1"/>
  <c r="AG61" i="8"/>
  <c r="AG141" i="8" s="1"/>
  <c r="AF61" i="8"/>
  <c r="AF141" i="8" s="1"/>
  <c r="AM61" i="8"/>
  <c r="AM141" i="8" s="1"/>
  <c r="AL61" i="8"/>
  <c r="AL141" i="8" s="1"/>
  <c r="AK61" i="8"/>
  <c r="AK141" i="8" s="1"/>
  <c r="AJ61" i="8"/>
  <c r="AJ141" i="8" s="1"/>
  <c r="K61" i="8"/>
  <c r="K141" i="8" s="1"/>
  <c r="J61" i="8"/>
  <c r="J141" i="8" s="1"/>
  <c r="I61" i="8"/>
  <c r="I141" i="8" s="1"/>
  <c r="H61" i="8"/>
  <c r="H141" i="8" s="1"/>
  <c r="G61" i="8"/>
  <c r="G141" i="8" s="1"/>
  <c r="AI87" i="8"/>
  <c r="AI167" i="8" s="1"/>
  <c r="I87" i="8"/>
  <c r="I167" i="8" s="1"/>
  <c r="AH87" i="8"/>
  <c r="AH167" i="8" s="1"/>
  <c r="H87" i="8"/>
  <c r="H167" i="8" s="1"/>
  <c r="AG87" i="8"/>
  <c r="AG167" i="8" s="1"/>
  <c r="G87" i="8"/>
  <c r="G167" i="8" s="1"/>
  <c r="AF87" i="8"/>
  <c r="AF167" i="8" s="1"/>
  <c r="AM87" i="8"/>
  <c r="AM167" i="8" s="1"/>
  <c r="AL87" i="8"/>
  <c r="AL167" i="8" s="1"/>
  <c r="AK87" i="8"/>
  <c r="AK167" i="8" s="1"/>
  <c r="AJ87" i="8"/>
  <c r="AJ167" i="8" s="1"/>
  <c r="K87" i="8"/>
  <c r="K167" i="8" s="1"/>
  <c r="J87" i="8"/>
  <c r="J167" i="8" s="1"/>
  <c r="C87" i="8"/>
  <c r="C167" i="8" s="1"/>
  <c r="Z87" i="8"/>
  <c r="Z167" i="8" s="1"/>
  <c r="F87" i="8"/>
  <c r="F167" i="8" s="1"/>
  <c r="AS87" i="8"/>
  <c r="AS167" i="8" s="1"/>
  <c r="D87" i="8"/>
  <c r="D167" i="8" s="1"/>
  <c r="AU87" i="8"/>
  <c r="AU167" i="8" s="1"/>
  <c r="AB87" i="8"/>
  <c r="AB167" i="8" s="1"/>
  <c r="AO87" i="8"/>
  <c r="AO167" i="8" s="1"/>
  <c r="BA87" i="8"/>
  <c r="BA167" i="8" s="1"/>
  <c r="AT87" i="8"/>
  <c r="AT167" i="8" s="1"/>
  <c r="N87" i="8"/>
  <c r="N167" i="8" s="1"/>
  <c r="B88" i="8"/>
  <c r="AR87" i="8"/>
  <c r="AR167" i="8" s="1"/>
  <c r="BB87" i="8"/>
  <c r="BB167" i="8" s="1"/>
  <c r="BC87" i="8"/>
  <c r="BC167" i="8" s="1"/>
  <c r="M87" i="8"/>
  <c r="M167" i="8" s="1"/>
  <c r="AE87" i="8"/>
  <c r="AE167" i="8" s="1"/>
  <c r="AA87" i="8"/>
  <c r="AA167" i="8" s="1"/>
  <c r="Y87" i="8"/>
  <c r="Y167" i="8" s="1"/>
  <c r="L87" i="8"/>
  <c r="L167" i="8" s="1"/>
  <c r="AY87" i="8"/>
  <c r="AY167" i="8" s="1"/>
  <c r="AQ87" i="8"/>
  <c r="AQ167" i="8" s="1"/>
  <c r="AZ87" i="8"/>
  <c r="AZ167" i="8" s="1"/>
  <c r="AP87" i="8"/>
  <c r="AP167" i="8" s="1"/>
  <c r="AD87" i="8"/>
  <c r="AD167" i="8" s="1"/>
  <c r="AC87" i="8"/>
  <c r="AC167" i="8" s="1"/>
  <c r="E87" i="8"/>
  <c r="E167" i="8" s="1"/>
  <c r="AN87" i="8"/>
  <c r="AN167" i="8" s="1"/>
  <c r="AZ61" i="8"/>
  <c r="AZ141" i="8" s="1"/>
  <c r="AA61" i="8"/>
  <c r="AA141" i="8" s="1"/>
  <c r="BA61" i="8"/>
  <c r="BA141" i="8" s="1"/>
  <c r="AT61" i="8"/>
  <c r="AT141" i="8" s="1"/>
  <c r="AD61" i="8"/>
  <c r="AD141" i="8" s="1"/>
  <c r="AE61" i="8"/>
  <c r="AE141" i="8" s="1"/>
  <c r="L61" i="8"/>
  <c r="L141" i="8" s="1"/>
  <c r="C61" i="8"/>
  <c r="C141" i="8" s="1"/>
  <c r="E61" i="8"/>
  <c r="E141" i="8" s="1"/>
  <c r="AU61" i="8"/>
  <c r="AU141" i="8" s="1"/>
  <c r="AO61" i="8"/>
  <c r="AO141" i="8" s="1"/>
  <c r="AP61" i="8"/>
  <c r="AP141" i="8" s="1"/>
  <c r="AN61" i="8"/>
  <c r="AN141" i="8" s="1"/>
  <c r="AS61" i="8"/>
  <c r="AS141" i="8" s="1"/>
  <c r="Y61" i="8"/>
  <c r="Y141" i="8" s="1"/>
  <c r="AY61" i="8"/>
  <c r="AY141" i="8" s="1"/>
  <c r="BC61" i="8"/>
  <c r="BC141" i="8" s="1"/>
  <c r="B62" i="8"/>
  <c r="AR61" i="8"/>
  <c r="AR141" i="8" s="1"/>
  <c r="F61" i="8"/>
  <c r="F141" i="8" s="1"/>
  <c r="N61" i="8"/>
  <c r="N141" i="8" s="1"/>
  <c r="AQ61" i="8"/>
  <c r="AQ141" i="8" s="1"/>
  <c r="AC61" i="8"/>
  <c r="AC141" i="8" s="1"/>
  <c r="BB61" i="8"/>
  <c r="BB141" i="8" s="1"/>
  <c r="D61" i="8"/>
  <c r="D141" i="8" s="1"/>
  <c r="Z61" i="8"/>
  <c r="Z141" i="8" s="1"/>
  <c r="AB61" i="8"/>
  <c r="AB141" i="8" s="1"/>
  <c r="M61" i="8"/>
  <c r="M141" i="8" s="1"/>
  <c r="N34" i="8"/>
  <c r="N114" i="8" s="1"/>
  <c r="AH114" i="8"/>
  <c r="BB34" i="8"/>
  <c r="BB114" i="8" s="1"/>
  <c r="R114" i="8"/>
  <c r="AL114" i="8"/>
  <c r="D34" i="8"/>
  <c r="D114" i="8" s="1"/>
  <c r="AB34" i="8"/>
  <c r="AB114" i="8" s="1"/>
  <c r="AR34" i="8"/>
  <c r="AR114" i="8" s="1"/>
  <c r="Q114" i="8"/>
  <c r="BC34" i="8"/>
  <c r="BC114" i="8" s="1"/>
  <c r="C34" i="8"/>
  <c r="C114" i="8" s="1"/>
  <c r="F34" i="8"/>
  <c r="F114" i="8" s="1"/>
  <c r="Z34" i="8"/>
  <c r="Z114" i="8" s="1"/>
  <c r="AP34" i="8"/>
  <c r="AP114" i="8" s="1"/>
  <c r="AF114" i="8"/>
  <c r="AZ34" i="8"/>
  <c r="AZ114" i="8" s="1"/>
  <c r="AO34" i="8"/>
  <c r="AO114" i="8" s="1"/>
  <c r="J114" i="8"/>
  <c r="AD34" i="8"/>
  <c r="AD114" i="8" s="1"/>
  <c r="AT34" i="8"/>
  <c r="AT114" i="8" s="1"/>
  <c r="L34" i="8"/>
  <c r="L114" i="8" s="1"/>
  <c r="AJ114" i="8"/>
  <c r="AN34" i="8"/>
  <c r="AN114" i="8" s="1"/>
  <c r="AQ34" i="8"/>
  <c r="AQ114" i="8" s="1"/>
  <c r="AY34" i="8"/>
  <c r="AY114" i="8" s="1"/>
  <c r="Y34" i="8"/>
  <c r="Y114" i="8" s="1"/>
  <c r="M34" i="8"/>
  <c r="M114" i="8" s="1"/>
  <c r="B35" i="8"/>
  <c r="BA34" i="8"/>
  <c r="BA114" i="8" s="1"/>
  <c r="AC34" i="8"/>
  <c r="AC114" i="8" s="1"/>
  <c r="E34" i="8"/>
  <c r="E114" i="8" s="1"/>
  <c r="I114" i="8"/>
  <c r="AS34" i="8"/>
  <c r="AS114" i="8" s="1"/>
  <c r="K114" i="8"/>
  <c r="P114" i="8"/>
  <c r="AA34" i="8"/>
  <c r="AA114" i="8" s="1"/>
  <c r="AE34" i="8"/>
  <c r="AE114" i="8" s="1"/>
  <c r="AK114" i="8"/>
  <c r="AI114" i="8"/>
  <c r="AU34" i="8"/>
  <c r="AU114" i="8" s="1"/>
  <c r="C31" i="119" l="1"/>
  <c r="B31" i="119" s="1"/>
  <c r="S33" i="73"/>
  <c r="C35" i="101" s="1"/>
  <c r="C37" i="101" s="1"/>
  <c r="D37" i="101" s="1"/>
  <c r="B44" i="73"/>
  <c r="B35" i="119"/>
  <c r="C36" i="119"/>
  <c r="B36" i="119" s="1"/>
  <c r="B50" i="119"/>
  <c r="C51" i="119"/>
  <c r="B54" i="119"/>
  <c r="C55" i="119"/>
  <c r="B55" i="119" s="1"/>
  <c r="B33" i="73"/>
  <c r="AI35" i="8"/>
  <c r="AI115" i="8" s="1"/>
  <c r="AH35" i="8"/>
  <c r="AH115" i="8" s="1"/>
  <c r="AG35" i="8"/>
  <c r="AF35" i="8"/>
  <c r="AM35" i="8"/>
  <c r="AM115" i="8" s="1"/>
  <c r="AL35" i="8"/>
  <c r="AL115" i="8" s="1"/>
  <c r="K35" i="8"/>
  <c r="J35" i="8"/>
  <c r="J115" i="8" s="1"/>
  <c r="I35" i="8"/>
  <c r="I115" i="8" s="1"/>
  <c r="H35" i="8"/>
  <c r="H115" i="8" s="1"/>
  <c r="AK35" i="8"/>
  <c r="G35" i="8"/>
  <c r="AJ35" i="8"/>
  <c r="AJ115" i="8" s="1"/>
  <c r="AI62" i="8"/>
  <c r="AI142" i="8" s="1"/>
  <c r="AH62" i="8"/>
  <c r="AH142" i="8" s="1"/>
  <c r="AG62" i="8"/>
  <c r="AG142" i="8" s="1"/>
  <c r="AF62" i="8"/>
  <c r="AF142" i="8" s="1"/>
  <c r="AM62" i="8"/>
  <c r="AM142" i="8" s="1"/>
  <c r="AL62" i="8"/>
  <c r="AL142" i="8" s="1"/>
  <c r="AK62" i="8"/>
  <c r="AK142" i="8" s="1"/>
  <c r="I62" i="8"/>
  <c r="I142" i="8" s="1"/>
  <c r="AJ62" i="8"/>
  <c r="AJ142" i="8" s="1"/>
  <c r="H62" i="8"/>
  <c r="H142" i="8" s="1"/>
  <c r="G62" i="8"/>
  <c r="G142" i="8" s="1"/>
  <c r="K62" i="8"/>
  <c r="K142" i="8" s="1"/>
  <c r="J62" i="8"/>
  <c r="J142" i="8" s="1"/>
  <c r="AI88" i="8"/>
  <c r="AI168" i="8" s="1"/>
  <c r="AH88" i="8"/>
  <c r="AH168" i="8" s="1"/>
  <c r="K88" i="8"/>
  <c r="K168" i="8" s="1"/>
  <c r="AG88" i="8"/>
  <c r="AG168" i="8" s="1"/>
  <c r="J88" i="8"/>
  <c r="J168" i="8" s="1"/>
  <c r="AF88" i="8"/>
  <c r="AF168" i="8" s="1"/>
  <c r="I88" i="8"/>
  <c r="I168" i="8" s="1"/>
  <c r="AM88" i="8"/>
  <c r="AM168" i="8" s="1"/>
  <c r="H88" i="8"/>
  <c r="H168" i="8" s="1"/>
  <c r="AL88" i="8"/>
  <c r="AL168" i="8" s="1"/>
  <c r="G88" i="8"/>
  <c r="G168" i="8" s="1"/>
  <c r="AK88" i="8"/>
  <c r="AK168" i="8" s="1"/>
  <c r="AJ88" i="8"/>
  <c r="AJ168" i="8" s="1"/>
  <c r="AB88" i="8"/>
  <c r="AB168" i="8" s="1"/>
  <c r="D88" i="8"/>
  <c r="D168" i="8" s="1"/>
  <c r="AZ88" i="8"/>
  <c r="AZ168" i="8" s="1"/>
  <c r="AY88" i="8"/>
  <c r="AY168" i="8" s="1"/>
  <c r="BB88" i="8"/>
  <c r="BB168" i="8" s="1"/>
  <c r="C88" i="8"/>
  <c r="C168" i="8" s="1"/>
  <c r="AR88" i="8"/>
  <c r="AR168" i="8" s="1"/>
  <c r="Z88" i="8"/>
  <c r="Z168" i="8" s="1"/>
  <c r="BA88" i="8"/>
  <c r="BA168" i="8" s="1"/>
  <c r="N88" i="8"/>
  <c r="N168" i="8" s="1"/>
  <c r="AS88" i="8"/>
  <c r="AS168" i="8" s="1"/>
  <c r="AP88" i="8"/>
  <c r="AP168" i="8" s="1"/>
  <c r="Y88" i="8"/>
  <c r="Y168" i="8" s="1"/>
  <c r="B89" i="8"/>
  <c r="BC88" i="8"/>
  <c r="BC168" i="8" s="1"/>
  <c r="E88" i="8"/>
  <c r="E168" i="8" s="1"/>
  <c r="AE88" i="8"/>
  <c r="AE168" i="8" s="1"/>
  <c r="AD88" i="8"/>
  <c r="AD168" i="8" s="1"/>
  <c r="AA88" i="8"/>
  <c r="AA168" i="8" s="1"/>
  <c r="AU88" i="8"/>
  <c r="AU168" i="8" s="1"/>
  <c r="AT88" i="8"/>
  <c r="AT168" i="8" s="1"/>
  <c r="AO88" i="8"/>
  <c r="AO168" i="8" s="1"/>
  <c r="AN88" i="8"/>
  <c r="AN168" i="8" s="1"/>
  <c r="AQ88" i="8"/>
  <c r="AQ168" i="8" s="1"/>
  <c r="M88" i="8"/>
  <c r="M168" i="8" s="1"/>
  <c r="L88" i="8"/>
  <c r="L168" i="8" s="1"/>
  <c r="AC88" i="8"/>
  <c r="AC168" i="8" s="1"/>
  <c r="F88" i="8"/>
  <c r="F168" i="8" s="1"/>
  <c r="C35" i="8"/>
  <c r="C115" i="8" s="1"/>
  <c r="AE35" i="8"/>
  <c r="AE115" i="8" s="1"/>
  <c r="AU35" i="8"/>
  <c r="AU115" i="8" s="1"/>
  <c r="K115" i="8"/>
  <c r="E35" i="8"/>
  <c r="E115" i="8" s="1"/>
  <c r="N35" i="8"/>
  <c r="N115" i="8" s="1"/>
  <c r="AZ35" i="8"/>
  <c r="AZ115" i="8" s="1"/>
  <c r="BB35" i="8"/>
  <c r="BB115" i="8" s="1"/>
  <c r="AR35" i="8"/>
  <c r="AR115" i="8" s="1"/>
  <c r="P115" i="8"/>
  <c r="AQ35" i="8"/>
  <c r="AQ115" i="8" s="1"/>
  <c r="AC35" i="8"/>
  <c r="AC115" i="8" s="1"/>
  <c r="AS35" i="8"/>
  <c r="AS115" i="8" s="1"/>
  <c r="AA35" i="8"/>
  <c r="AA115" i="8" s="1"/>
  <c r="AD35" i="8"/>
  <c r="AD115" i="8" s="1"/>
  <c r="L35" i="8"/>
  <c r="L115" i="8" s="1"/>
  <c r="M35" i="8"/>
  <c r="M115" i="8" s="1"/>
  <c r="AG115" i="8"/>
  <c r="BA35" i="8"/>
  <c r="BA115" i="8" s="1"/>
  <c r="AY35" i="8"/>
  <c r="AY115" i="8" s="1"/>
  <c r="AF115" i="8"/>
  <c r="R115" i="8"/>
  <c r="AP35" i="8"/>
  <c r="AP115" i="8" s="1"/>
  <c r="Q115" i="8"/>
  <c r="AK115" i="8"/>
  <c r="B36" i="8"/>
  <c r="G115" i="8"/>
  <c r="BC35" i="8"/>
  <c r="BC115" i="8" s="1"/>
  <c r="F35" i="8"/>
  <c r="F115" i="8" s="1"/>
  <c r="AT35" i="8"/>
  <c r="AT115" i="8" s="1"/>
  <c r="AN35" i="8"/>
  <c r="AN115" i="8" s="1"/>
  <c r="AB35" i="8"/>
  <c r="AB115" i="8" s="1"/>
  <c r="Z35" i="8"/>
  <c r="Z115" i="8" s="1"/>
  <c r="D35" i="8"/>
  <c r="D115" i="8" s="1"/>
  <c r="Y35" i="8"/>
  <c r="Y115" i="8" s="1"/>
  <c r="AO35" i="8"/>
  <c r="AO115" i="8" s="1"/>
  <c r="N62" i="8"/>
  <c r="N142" i="8" s="1"/>
  <c r="AR62" i="8"/>
  <c r="AR142" i="8" s="1"/>
  <c r="AD62" i="8"/>
  <c r="AD142" i="8" s="1"/>
  <c r="BC62" i="8"/>
  <c r="BC142" i="8" s="1"/>
  <c r="AU62" i="8"/>
  <c r="AU142" i="8" s="1"/>
  <c r="AA62" i="8"/>
  <c r="AA142" i="8" s="1"/>
  <c r="AE62" i="8"/>
  <c r="AE142" i="8" s="1"/>
  <c r="AC62" i="8"/>
  <c r="AC142" i="8" s="1"/>
  <c r="BA62" i="8"/>
  <c r="BA142" i="8" s="1"/>
  <c r="AB62" i="8"/>
  <c r="AB142" i="8" s="1"/>
  <c r="AN62" i="8"/>
  <c r="AN142" i="8" s="1"/>
  <c r="D62" i="8"/>
  <c r="D142" i="8" s="1"/>
  <c r="AQ62" i="8"/>
  <c r="AQ142" i="8" s="1"/>
  <c r="AP62" i="8"/>
  <c r="AP142" i="8" s="1"/>
  <c r="M62" i="8"/>
  <c r="M142" i="8" s="1"/>
  <c r="B63" i="8"/>
  <c r="AT62" i="8"/>
  <c r="AT142" i="8" s="1"/>
  <c r="C62" i="8"/>
  <c r="C142" i="8" s="1"/>
  <c r="AY62" i="8"/>
  <c r="AY142" i="8" s="1"/>
  <c r="AZ62" i="8"/>
  <c r="AZ142" i="8" s="1"/>
  <c r="AO62" i="8"/>
  <c r="AO142" i="8" s="1"/>
  <c r="F62" i="8"/>
  <c r="F142" i="8" s="1"/>
  <c r="Y62" i="8"/>
  <c r="Y142" i="8" s="1"/>
  <c r="Z62" i="8"/>
  <c r="Z142" i="8" s="1"/>
  <c r="L62" i="8"/>
  <c r="L142" i="8" s="1"/>
  <c r="E62" i="8"/>
  <c r="E142" i="8" s="1"/>
  <c r="AS62" i="8"/>
  <c r="AS142" i="8" s="1"/>
  <c r="BB62" i="8"/>
  <c r="BB142" i="8" s="1"/>
  <c r="C32" i="119" l="1"/>
  <c r="B32" i="119" s="1"/>
  <c r="C57" i="119"/>
  <c r="B51" i="119"/>
  <c r="AI36" i="8"/>
  <c r="AH36" i="8"/>
  <c r="AG36" i="8"/>
  <c r="AG116" i="8" s="1"/>
  <c r="AF36" i="8"/>
  <c r="AM36" i="8"/>
  <c r="AM116" i="8" s="1"/>
  <c r="AL36" i="8"/>
  <c r="AL116" i="8" s="1"/>
  <c r="AK36" i="8"/>
  <c r="AK116" i="8" s="1"/>
  <c r="AJ36" i="8"/>
  <c r="AJ116" i="8" s="1"/>
  <c r="K36" i="8"/>
  <c r="J36" i="8"/>
  <c r="I36" i="8"/>
  <c r="H36" i="8"/>
  <c r="G36" i="8"/>
  <c r="G116" i="8" s="1"/>
  <c r="AI63" i="8"/>
  <c r="AI143" i="8" s="1"/>
  <c r="AH63" i="8"/>
  <c r="AH143" i="8" s="1"/>
  <c r="AG63" i="8"/>
  <c r="AG143" i="8" s="1"/>
  <c r="AF63" i="8"/>
  <c r="AF143" i="8" s="1"/>
  <c r="AM63" i="8"/>
  <c r="AM143" i="8" s="1"/>
  <c r="AL63" i="8"/>
  <c r="AL143" i="8" s="1"/>
  <c r="K63" i="8"/>
  <c r="K143" i="8" s="1"/>
  <c r="J63" i="8"/>
  <c r="J143" i="8" s="1"/>
  <c r="I63" i="8"/>
  <c r="I143" i="8" s="1"/>
  <c r="H63" i="8"/>
  <c r="H143" i="8" s="1"/>
  <c r="G63" i="8"/>
  <c r="G143" i="8" s="1"/>
  <c r="AK63" i="8"/>
  <c r="AK143" i="8" s="1"/>
  <c r="AJ63" i="8"/>
  <c r="AJ143" i="8" s="1"/>
  <c r="AI89" i="8"/>
  <c r="AI169" i="8" s="1"/>
  <c r="G89" i="8"/>
  <c r="G169" i="8" s="1"/>
  <c r="AH89" i="8"/>
  <c r="AH169" i="8" s="1"/>
  <c r="AG89" i="8"/>
  <c r="AG169" i="8" s="1"/>
  <c r="AF89" i="8"/>
  <c r="AF169" i="8" s="1"/>
  <c r="AM89" i="8"/>
  <c r="AM169" i="8" s="1"/>
  <c r="K89" i="8"/>
  <c r="K169" i="8" s="1"/>
  <c r="AL89" i="8"/>
  <c r="AL169" i="8" s="1"/>
  <c r="J89" i="8"/>
  <c r="J169" i="8" s="1"/>
  <c r="I89" i="8"/>
  <c r="I169" i="8" s="1"/>
  <c r="H89" i="8"/>
  <c r="H169" i="8" s="1"/>
  <c r="AK89" i="8"/>
  <c r="AK169" i="8" s="1"/>
  <c r="AJ89" i="8"/>
  <c r="AJ169" i="8" s="1"/>
  <c r="AE89" i="8"/>
  <c r="AE169" i="8" s="1"/>
  <c r="AD89" i="8"/>
  <c r="AD169" i="8" s="1"/>
  <c r="AC89" i="8"/>
  <c r="AC169" i="8" s="1"/>
  <c r="F89" i="8"/>
  <c r="F169" i="8" s="1"/>
  <c r="BA89" i="8"/>
  <c r="BA169" i="8" s="1"/>
  <c r="AU89" i="8"/>
  <c r="AU169" i="8" s="1"/>
  <c r="AT89" i="8"/>
  <c r="AT169" i="8" s="1"/>
  <c r="AS89" i="8"/>
  <c r="AS169" i="8" s="1"/>
  <c r="AB89" i="8"/>
  <c r="AB169" i="8" s="1"/>
  <c r="BB89" i="8"/>
  <c r="BB169" i="8" s="1"/>
  <c r="AQ89" i="8"/>
  <c r="AQ169" i="8" s="1"/>
  <c r="AP89" i="8"/>
  <c r="AP169" i="8" s="1"/>
  <c r="AZ89" i="8"/>
  <c r="AZ169" i="8" s="1"/>
  <c r="M89" i="8"/>
  <c r="M169" i="8" s="1"/>
  <c r="L89" i="8"/>
  <c r="L169" i="8" s="1"/>
  <c r="AN89" i="8"/>
  <c r="AN169" i="8" s="1"/>
  <c r="E89" i="8"/>
  <c r="E169" i="8" s="1"/>
  <c r="D89" i="8"/>
  <c r="D169" i="8" s="1"/>
  <c r="AY89" i="8"/>
  <c r="AY169" i="8" s="1"/>
  <c r="AA89" i="8"/>
  <c r="AA169" i="8" s="1"/>
  <c r="Z89" i="8"/>
  <c r="Z169" i="8" s="1"/>
  <c r="Y89" i="8"/>
  <c r="Y169" i="8" s="1"/>
  <c r="AR89" i="8"/>
  <c r="AR169" i="8" s="1"/>
  <c r="AO89" i="8"/>
  <c r="AO169" i="8" s="1"/>
  <c r="N89" i="8"/>
  <c r="N169" i="8" s="1"/>
  <c r="C89" i="8"/>
  <c r="C169" i="8" s="1"/>
  <c r="BC89" i="8"/>
  <c r="BC169" i="8" s="1"/>
  <c r="F63" i="8"/>
  <c r="F143" i="8" s="1"/>
  <c r="Z63" i="8"/>
  <c r="Z143" i="8" s="1"/>
  <c r="AP63" i="8"/>
  <c r="AP143" i="8" s="1"/>
  <c r="AS63" i="8"/>
  <c r="AS143" i="8" s="1"/>
  <c r="AO63" i="8"/>
  <c r="AO143" i="8" s="1"/>
  <c r="M63" i="8"/>
  <c r="M143" i="8" s="1"/>
  <c r="L63" i="8"/>
  <c r="L143" i="8" s="1"/>
  <c r="AD63" i="8"/>
  <c r="AD143" i="8" s="1"/>
  <c r="AT63" i="8"/>
  <c r="AT143" i="8" s="1"/>
  <c r="AC63" i="8"/>
  <c r="AC143" i="8" s="1"/>
  <c r="BC63" i="8"/>
  <c r="BC143" i="8" s="1"/>
  <c r="Y63" i="8"/>
  <c r="Y143" i="8" s="1"/>
  <c r="AU63" i="8"/>
  <c r="AU143" i="8" s="1"/>
  <c r="AA63" i="8"/>
  <c r="AA143" i="8" s="1"/>
  <c r="N63" i="8"/>
  <c r="N143" i="8" s="1"/>
  <c r="BB63" i="8"/>
  <c r="BB143" i="8" s="1"/>
  <c r="E63" i="8"/>
  <c r="E143" i="8" s="1"/>
  <c r="AE63" i="8"/>
  <c r="AE143" i="8" s="1"/>
  <c r="AY63" i="8"/>
  <c r="AY143" i="8" s="1"/>
  <c r="AR63" i="8"/>
  <c r="AR143" i="8" s="1"/>
  <c r="AB63" i="8"/>
  <c r="AB143" i="8" s="1"/>
  <c r="AQ63" i="8"/>
  <c r="AQ143" i="8" s="1"/>
  <c r="D63" i="8"/>
  <c r="D143" i="8" s="1"/>
  <c r="AN63" i="8"/>
  <c r="AN143" i="8" s="1"/>
  <c r="C63" i="8"/>
  <c r="C143" i="8" s="1"/>
  <c r="AZ63" i="8"/>
  <c r="AZ143" i="8" s="1"/>
  <c r="BA63" i="8"/>
  <c r="BA143" i="8" s="1"/>
  <c r="P116" i="8"/>
  <c r="AN36" i="8"/>
  <c r="AN116" i="8" s="1"/>
  <c r="J116" i="8"/>
  <c r="AD36" i="8"/>
  <c r="AD116" i="8" s="1"/>
  <c r="AT36" i="8"/>
  <c r="AT116" i="8" s="1"/>
  <c r="AE36" i="8"/>
  <c r="AE116" i="8" s="1"/>
  <c r="BA36" i="8"/>
  <c r="BA116" i="8" s="1"/>
  <c r="Q116" i="8"/>
  <c r="K116" i="8"/>
  <c r="D36" i="8"/>
  <c r="D116" i="8" s="1"/>
  <c r="AB36" i="8"/>
  <c r="AB116" i="8" s="1"/>
  <c r="AR36" i="8"/>
  <c r="AR116" i="8" s="1"/>
  <c r="N36" i="8"/>
  <c r="N116" i="8" s="1"/>
  <c r="AH116" i="8"/>
  <c r="BB36" i="8"/>
  <c r="BB116" i="8" s="1"/>
  <c r="Y36" i="8"/>
  <c r="Y116" i="8" s="1"/>
  <c r="AA36" i="8"/>
  <c r="AA116" i="8" s="1"/>
  <c r="AC36" i="8"/>
  <c r="AC116" i="8" s="1"/>
  <c r="AI116" i="8"/>
  <c r="H116" i="8"/>
  <c r="AF116" i="8"/>
  <c r="AZ36" i="8"/>
  <c r="AZ116" i="8" s="1"/>
  <c r="R116" i="8"/>
  <c r="E36" i="8"/>
  <c r="E116" i="8" s="1"/>
  <c r="AU36" i="8"/>
  <c r="AU116" i="8" s="1"/>
  <c r="AQ36" i="8"/>
  <c r="AQ116" i="8" s="1"/>
  <c r="AS36" i="8"/>
  <c r="AS116" i="8" s="1"/>
  <c r="L36" i="8"/>
  <c r="L116" i="8" s="1"/>
  <c r="F36" i="8"/>
  <c r="F116" i="8" s="1"/>
  <c r="Z36" i="8"/>
  <c r="Z116" i="8" s="1"/>
  <c r="AP36" i="8"/>
  <c r="AP116" i="8" s="1"/>
  <c r="M36" i="8"/>
  <c r="M116" i="8" s="1"/>
  <c r="AY36" i="8"/>
  <c r="AY116" i="8" s="1"/>
  <c r="AO36" i="8"/>
  <c r="AO116" i="8" s="1"/>
  <c r="C36" i="8"/>
  <c r="C116" i="8" s="1"/>
  <c r="BC36" i="8"/>
  <c r="BC116" i="8" s="1"/>
  <c r="B37" i="8"/>
  <c r="I116" i="8"/>
  <c r="C38" i="119" l="1"/>
  <c r="C42" i="101" s="1"/>
  <c r="C46" i="101" s="1"/>
  <c r="B57" i="119"/>
  <c r="C63" i="101"/>
  <c r="C67" i="101" s="1"/>
  <c r="AI37" i="8"/>
  <c r="AI117" i="8" s="1"/>
  <c r="AH37" i="8"/>
  <c r="AH117" i="8" s="1"/>
  <c r="AG37" i="8"/>
  <c r="AF37" i="8"/>
  <c r="AF117" i="8" s="1"/>
  <c r="AM37" i="8"/>
  <c r="AM117" i="8" s="1"/>
  <c r="AL37" i="8"/>
  <c r="AL117" i="8" s="1"/>
  <c r="AK37" i="8"/>
  <c r="AK117" i="8" s="1"/>
  <c r="I37" i="8"/>
  <c r="I117" i="8" s="1"/>
  <c r="AJ37" i="8"/>
  <c r="AJ117" i="8" s="1"/>
  <c r="H37" i="8"/>
  <c r="G37" i="8"/>
  <c r="G117" i="8" s="1"/>
  <c r="K37" i="8"/>
  <c r="K117" i="8" s="1"/>
  <c r="J37" i="8"/>
  <c r="J117" i="8" s="1"/>
  <c r="M37" i="8"/>
  <c r="M117" i="8" s="1"/>
  <c r="AG117" i="8"/>
  <c r="BA37" i="8"/>
  <c r="BA117" i="8" s="1"/>
  <c r="AA37" i="8"/>
  <c r="AA117" i="8" s="1"/>
  <c r="AQ37" i="8"/>
  <c r="AQ117" i="8" s="1"/>
  <c r="D37" i="8"/>
  <c r="D117" i="8" s="1"/>
  <c r="AD37" i="8"/>
  <c r="AD117" i="8" s="1"/>
  <c r="BB37" i="8"/>
  <c r="BB117" i="8" s="1"/>
  <c r="Q117" i="8"/>
  <c r="C37" i="8"/>
  <c r="C117" i="8" s="1"/>
  <c r="AE37" i="8"/>
  <c r="AE117" i="8" s="1"/>
  <c r="AU37" i="8"/>
  <c r="AU117" i="8" s="1"/>
  <c r="L37" i="8"/>
  <c r="L117" i="8" s="1"/>
  <c r="AR37" i="8"/>
  <c r="AR117" i="8" s="1"/>
  <c r="AN37" i="8"/>
  <c r="AN117" i="8" s="1"/>
  <c r="P117" i="8"/>
  <c r="E37" i="8"/>
  <c r="E117" i="8" s="1"/>
  <c r="Y37" i="8"/>
  <c r="Y117" i="8" s="1"/>
  <c r="AO37" i="8"/>
  <c r="AO117" i="8" s="1"/>
  <c r="AY37" i="8"/>
  <c r="AY117" i="8" s="1"/>
  <c r="R117" i="8"/>
  <c r="F37" i="8"/>
  <c r="F117" i="8" s="1"/>
  <c r="AT37" i="8"/>
  <c r="AT117" i="8" s="1"/>
  <c r="Z37" i="8"/>
  <c r="Z117" i="8" s="1"/>
  <c r="AC37" i="8"/>
  <c r="AC117" i="8" s="1"/>
  <c r="AS37" i="8"/>
  <c r="AS117" i="8" s="1"/>
  <c r="BC37" i="8"/>
  <c r="BC117" i="8" s="1"/>
  <c r="AB37" i="8"/>
  <c r="AB117" i="8" s="1"/>
  <c r="N37" i="8"/>
  <c r="N117" i="8" s="1"/>
  <c r="AZ37" i="8"/>
  <c r="AZ117" i="8" s="1"/>
  <c r="AP37" i="8"/>
  <c r="AP117" i="8" s="1"/>
  <c r="H117" i="8"/>
  <c r="B38" i="1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Erin Malone</author>
  </authors>
  <commentList>
    <comment ref="AS4" authorId="0" shapeId="0" xr:uid="{9723A802-2D07-4702-82DD-857D57BEEDCE}">
      <text>
        <r>
          <rPr>
            <b/>
            <sz val="9"/>
            <color indexed="81"/>
            <rFont val="Tahoma"/>
            <family val="2"/>
          </rPr>
          <t>Erin Malone:</t>
        </r>
        <r>
          <rPr>
            <sz val="9"/>
            <color indexed="81"/>
            <rFont val="Tahoma"/>
            <family val="2"/>
          </rPr>
          <t xml:space="preserve">
No = doesn't sum over term
Yes = does sum over term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Erin Malone</author>
  </authors>
  <commentList>
    <comment ref="AS4" authorId="0" shapeId="0" xr:uid="{8A2FBB33-EEB9-4EA9-96EE-85D8427EAD3D}">
      <text>
        <r>
          <rPr>
            <b/>
            <sz val="9"/>
            <color indexed="81"/>
            <rFont val="Tahoma"/>
            <family val="2"/>
          </rPr>
          <t>Erin Malone:</t>
        </r>
        <r>
          <rPr>
            <sz val="9"/>
            <color indexed="81"/>
            <rFont val="Tahoma"/>
            <family val="2"/>
          </rPr>
          <t xml:space="preserve">
No = doesn't sum over term
Yes = does sum over term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Erin Malone</author>
  </authors>
  <commentList>
    <comment ref="AS4" authorId="0" shapeId="0" xr:uid="{0B851D80-F1E8-4DA1-A8F8-438DD29A33F6}">
      <text>
        <r>
          <rPr>
            <b/>
            <sz val="9"/>
            <color indexed="81"/>
            <rFont val="Tahoma"/>
            <family val="2"/>
          </rPr>
          <t>Erin Malone:</t>
        </r>
        <r>
          <rPr>
            <sz val="9"/>
            <color indexed="81"/>
            <rFont val="Tahoma"/>
            <family val="2"/>
          </rPr>
          <t xml:space="preserve">
No = doesn't sum over term
Yes = does sum over term</t>
        </r>
      </text>
    </comment>
  </commentList>
</comments>
</file>

<file path=xl/sharedStrings.xml><?xml version="1.0" encoding="utf-8"?>
<sst xmlns="http://schemas.openxmlformats.org/spreadsheetml/2006/main" count="4670" uniqueCount="1001">
  <si>
    <t>x</t>
  </si>
  <si>
    <t>Impact Factors</t>
  </si>
  <si>
    <t>Energy Savings</t>
  </si>
  <si>
    <t>Capacity Savings</t>
  </si>
  <si>
    <t>Non-Electric Benefits</t>
  </si>
  <si>
    <t>Sector</t>
  </si>
  <si>
    <t>Program</t>
  </si>
  <si>
    <t>Measure</t>
  </si>
  <si>
    <t>End Use</t>
  </si>
  <si>
    <t>Total Resource Cost</t>
  </si>
  <si>
    <t>Incentive</t>
  </si>
  <si>
    <t>Customer Cost</t>
  </si>
  <si>
    <t>Free-Ridership Rate</t>
  </si>
  <si>
    <t>In-Service Rate</t>
  </si>
  <si>
    <t>Gross Annual kWh Saved</t>
  </si>
  <si>
    <t>Winter Peak Energy 
%</t>
  </si>
  <si>
    <t>Winter Off-Peak Energy 
%</t>
  </si>
  <si>
    <t>Summer Peak Energy 
%</t>
  </si>
  <si>
    <t>Summer Off-Peak Energy 
%</t>
  </si>
  <si>
    <t xml:space="preserve">Maximum Load Reduction (kW) </t>
  </si>
  <si>
    <t>Summer Coincident (%)</t>
  </si>
  <si>
    <t>Winter Coincident (%)</t>
  </si>
  <si>
    <t>Trans. Coincident (%)</t>
  </si>
  <si>
    <t>Dist. Coincident (%)</t>
  </si>
  <si>
    <t>Res Water Savings (Gallons per Year)</t>
  </si>
  <si>
    <t>C&amp;I Water Savings (Gallons per Year)</t>
  </si>
  <si>
    <t>LS_ID</t>
  </si>
  <si>
    <t>Fuel Oil - Residential Distillate</t>
  </si>
  <si>
    <t>Propane</t>
  </si>
  <si>
    <t/>
  </si>
  <si>
    <t>NG - Res Hot Water</t>
  </si>
  <si>
    <t>Process</t>
  </si>
  <si>
    <t>NG - C&amp;I Gas Heat</t>
  </si>
  <si>
    <t>Refrigeration</t>
  </si>
  <si>
    <t>Hot Water</t>
  </si>
  <si>
    <t>Total Energy %</t>
  </si>
  <si>
    <t>Demand Factor</t>
  </si>
  <si>
    <t>Summer</t>
  </si>
  <si>
    <t>Winter</t>
  </si>
  <si>
    <t xml:space="preserve">Max </t>
  </si>
  <si>
    <t>Summer CF</t>
  </si>
  <si>
    <t>Winter CF</t>
  </si>
  <si>
    <t>OnPeak</t>
  </si>
  <si>
    <t>OffPeak</t>
  </si>
  <si>
    <t>Transmission</t>
  </si>
  <si>
    <t>Distribution</t>
  </si>
  <si>
    <t>NG - C&amp;I Gas All</t>
  </si>
  <si>
    <t>Res Water</t>
  </si>
  <si>
    <t>C&amp;I Water</t>
  </si>
  <si>
    <t>Non-Resource</t>
  </si>
  <si>
    <t>Notes</t>
  </si>
  <si>
    <t>Nominal Discount Rate</t>
  </si>
  <si>
    <t>Sectors</t>
  </si>
  <si>
    <t>Winter Peak</t>
  </si>
  <si>
    <t>Winter Off-Peak</t>
  </si>
  <si>
    <t>Summer Peak</t>
  </si>
  <si>
    <t>Summer Off-Peak</t>
  </si>
  <si>
    <t>Inflation</t>
  </si>
  <si>
    <t>Residential</t>
  </si>
  <si>
    <t>Real Discount Rate</t>
  </si>
  <si>
    <t>Capacity DRIPE</t>
  </si>
  <si>
    <t>Energy DRIPE</t>
  </si>
  <si>
    <t>Environmental Externalities</t>
  </si>
  <si>
    <t>Kerosene</t>
  </si>
  <si>
    <t>RESIDENTIAL</t>
  </si>
  <si>
    <t>COMMERCIAL &amp; INDUSTRIAL</t>
  </si>
  <si>
    <t>Commercial</t>
  </si>
  <si>
    <t>Industrial</t>
  </si>
  <si>
    <t>Units:</t>
  </si>
  <si>
    <t>$/kWh</t>
  </si>
  <si>
    <t>$/kW-yr</t>
  </si>
  <si>
    <t>Heating</t>
  </si>
  <si>
    <t>All</t>
  </si>
  <si>
    <t>Period:</t>
  </si>
  <si>
    <t>Year</t>
  </si>
  <si>
    <t>$/MMBtu</t>
  </si>
  <si>
    <t>Inputs</t>
  </si>
  <si>
    <t>Measure Life</t>
  </si>
  <si>
    <t>Quantity</t>
  </si>
  <si>
    <t>Max Net kW</t>
  </si>
  <si>
    <t>Total</t>
  </si>
  <si>
    <t>PA</t>
  </si>
  <si>
    <t>Costs</t>
  </si>
  <si>
    <t>Spillover [Participant] Rate</t>
  </si>
  <si>
    <t>Spillover [Non-Participant] Rate</t>
  </si>
  <si>
    <t xml:space="preserve"> </t>
  </si>
  <si>
    <t>Gas Supply DRIPE</t>
  </si>
  <si>
    <t>Zone:</t>
  </si>
  <si>
    <t>Distribution Losses</t>
  </si>
  <si>
    <t>Pcnt of Capacity Bid into FCM (%Bid)</t>
  </si>
  <si>
    <t>Intrastate</t>
  </si>
  <si>
    <t xml:space="preserve">Summer Peak </t>
  </si>
  <si>
    <t>c</t>
  </si>
  <si>
    <t>d</t>
  </si>
  <si>
    <t>j</t>
  </si>
  <si>
    <t>k</t>
  </si>
  <si>
    <t>p</t>
  </si>
  <si>
    <t>q</t>
  </si>
  <si>
    <t>r</t>
  </si>
  <si>
    <t>s</t>
  </si>
  <si>
    <t>t</t>
  </si>
  <si>
    <t>u</t>
  </si>
  <si>
    <t>v</t>
  </si>
  <si>
    <t>w</t>
  </si>
  <si>
    <t>ALL RETAIL END USES</t>
  </si>
  <si>
    <t>Non Heating</t>
  </si>
  <si>
    <t>Fuel Oils</t>
  </si>
  <si>
    <t>Other Fuels</t>
  </si>
  <si>
    <t>Distillate Fuel Oil</t>
  </si>
  <si>
    <t>Residual Fuel Oil</t>
  </si>
  <si>
    <t>Weighted Average</t>
  </si>
  <si>
    <t>Cord Wood</t>
  </si>
  <si>
    <t>Gas Electric Cross DRIPE</t>
  </si>
  <si>
    <t>NG - Res All</t>
  </si>
  <si>
    <t>C&amp;I Non-Heating GECD</t>
  </si>
  <si>
    <t>Res Non-Heating GECD</t>
  </si>
  <si>
    <t>Electric Cross DRIPE</t>
  </si>
  <si>
    <t>TOTAL</t>
  </si>
  <si>
    <t>Participants</t>
  </si>
  <si>
    <t>Total Gas Benefits</t>
  </si>
  <si>
    <t>Total Other Resource Benefits</t>
  </si>
  <si>
    <t>Total Program Costs</t>
  </si>
  <si>
    <t>Performance Incentive</t>
  </si>
  <si>
    <t>Participant Costs</t>
  </si>
  <si>
    <t>Total Resource Costs</t>
  </si>
  <si>
    <t>Winter Capacity (kW)</t>
  </si>
  <si>
    <t>Total Energy Benefits</t>
  </si>
  <si>
    <t>Summer Capacity Benefits</t>
  </si>
  <si>
    <t>Transmission Capacity Benefits</t>
  </si>
  <si>
    <t>Distribution Capacity Benefits</t>
  </si>
  <si>
    <t>DRIPE Capacity Benefits</t>
  </si>
  <si>
    <t>Total Capacity Benefits</t>
  </si>
  <si>
    <t>Natural Gas Benefits</t>
  </si>
  <si>
    <t>Natural Gas DRIPE Benefits</t>
  </si>
  <si>
    <t>Oil Benefits</t>
  </si>
  <si>
    <t>Water Benefits</t>
  </si>
  <si>
    <t>Total Resource Benefits</t>
  </si>
  <si>
    <t>Lighting</t>
  </si>
  <si>
    <t xml:space="preserve">HVAC </t>
  </si>
  <si>
    <t>Envelope</t>
  </si>
  <si>
    <t>Compressed Air</t>
  </si>
  <si>
    <t xml:space="preserve">Savings from Fuel Type #1 (MMBtu/Year)
</t>
  </si>
  <si>
    <t xml:space="preserve">Savings from Fuel Type #2 (MMBtu/Year)
</t>
  </si>
  <si>
    <t xml:space="preserve">Savings from Fuel Type #3 (MMBtu/Year)
</t>
  </si>
  <si>
    <t>Administrator:</t>
  </si>
  <si>
    <t>Electric Savings: Energy</t>
  </si>
  <si>
    <t>Net to Gross</t>
  </si>
  <si>
    <t>Electric Savings: Capacity</t>
  </si>
  <si>
    <t>Net Lifetime MWh Savings</t>
  </si>
  <si>
    <t>Winter Peak Energy MWh Net Lifetime</t>
  </si>
  <si>
    <t>Winter Off-Peak Energy MWh Net Lifetime</t>
  </si>
  <si>
    <t>Summer Peak Energy MWh Net Lifetime</t>
  </si>
  <si>
    <t>Summer Off-Peak Energy MWh Net Lifetime</t>
  </si>
  <si>
    <t>Electric Benefits: Energy</t>
  </si>
  <si>
    <t>Electric Benefits: Capacity</t>
  </si>
  <si>
    <t>Electric Benefits: Energy DRIPE</t>
  </si>
  <si>
    <t>Total Gas DRIPE</t>
  </si>
  <si>
    <t xml:space="preserve">Non-Electric Resource Benefits: Natural Gas </t>
  </si>
  <si>
    <t xml:space="preserve">Non-Electric Resource Benefits: Natural Gas DRIPE </t>
  </si>
  <si>
    <t>Total Non-Electric Resource Benefits</t>
  </si>
  <si>
    <t>Other Fuel Savings</t>
  </si>
  <si>
    <t>Fuel Type in AESC</t>
  </si>
  <si>
    <t xml:space="preserve">Adjusted Gross Annual MWh Savings </t>
  </si>
  <si>
    <t xml:space="preserve">Adjusted Gross Lifetime MWh Savings </t>
  </si>
  <si>
    <t xml:space="preserve">Net Annual MWh Savings </t>
  </si>
  <si>
    <t>Program Year:</t>
  </si>
  <si>
    <t>Food Service</t>
  </si>
  <si>
    <t>kWh Realization Rate</t>
  </si>
  <si>
    <t>kW Winter Realization Rate</t>
  </si>
  <si>
    <t>kW Summer Realization Rate</t>
  </si>
  <si>
    <t>Non Electric Realization Rate</t>
  </si>
  <si>
    <t>Winter Peak Energy Benefits ($)</t>
  </si>
  <si>
    <t>Winter Off-Peak Energy Benefits ($)</t>
  </si>
  <si>
    <t>Summer Peak Energy Benefits ($)</t>
  </si>
  <si>
    <t>Summer Off-Peak Energy Benefits ($)</t>
  </si>
  <si>
    <t>Winter Peak Energy DRIPE Benefits ($)</t>
  </si>
  <si>
    <t>Winter Off-Peak Energy DRIPE Benefits ($)</t>
  </si>
  <si>
    <t>Summer Peak Energy DRIPE Benefits ($)</t>
  </si>
  <si>
    <t>Summer Off-Peak Energy DRIPE Benefits ($)</t>
  </si>
  <si>
    <t>Total Energy DRIPE Benefits ($)</t>
  </si>
  <si>
    <t>Total Electric Energy Benefits ($)</t>
  </si>
  <si>
    <t>Total Electric Capacity Benefits ($)</t>
  </si>
  <si>
    <t>Sub-Total</t>
  </si>
  <si>
    <t>Summer Generation Benefits ($)</t>
  </si>
  <si>
    <t>Electric Capacity DRIPE ($)</t>
  </si>
  <si>
    <t>Winter Generation ($)</t>
  </si>
  <si>
    <t>Total Electric Benefits ($)</t>
  </si>
  <si>
    <t>Transmission Benefits ($)</t>
  </si>
  <si>
    <t>Distribution Benefits ($)</t>
  </si>
  <si>
    <t>Total Avoided Gas Benefits ($)</t>
  </si>
  <si>
    <t>Annual Net Winter kW</t>
  </si>
  <si>
    <t>Annual Net Summer kw</t>
  </si>
  <si>
    <t>Annual Adjusted Gross Winter kW</t>
  </si>
  <si>
    <t>Total Gas Resource Benefits</t>
  </si>
  <si>
    <t>Net Annual Gas Savings (MMBTU)</t>
  </si>
  <si>
    <t>Net Lifetime Gas Savings (MMBTU)</t>
  </si>
  <si>
    <t>Net Annual Oil Savings (MMBTU)</t>
  </si>
  <si>
    <t>Net Lifetime Oil Savings (MMBTU)</t>
  </si>
  <si>
    <t>Net Annual Propane Savings (MMBTU)</t>
  </si>
  <si>
    <t>Net Lifetime Propane Savings (MMBTU)</t>
  </si>
  <si>
    <t>Net Annual C&amp;I Water Savings Gallons</t>
  </si>
  <si>
    <t>Net Lifetime Water Savings Gallons</t>
  </si>
  <si>
    <t>Adj. Gross Annual Gas Savings (MMBTU)</t>
  </si>
  <si>
    <t>Adj. Gross Lifetime Gas Savings (MMBTU)</t>
  </si>
  <si>
    <t>Adj Gross Annual Oil Savings (MMBTU)</t>
  </si>
  <si>
    <t>Adj Gross Lifetime Oil Savings (MMBTU)</t>
  </si>
  <si>
    <t>Adj Gross Annual Propane Savings (MMBTU)</t>
  </si>
  <si>
    <t>Adj Gross Lifetime Propane Savings (MMBTU)</t>
  </si>
  <si>
    <t>Sub Total</t>
  </si>
  <si>
    <t>Annual Adjusted Gross  Summer kw</t>
  </si>
  <si>
    <t>Electric</t>
  </si>
  <si>
    <t>Fuel</t>
  </si>
  <si>
    <t>Program Administrator</t>
  </si>
  <si>
    <t>Reporting Period</t>
  </si>
  <si>
    <t>Planned</t>
  </si>
  <si>
    <t>Annual Water (Gallons)</t>
  </si>
  <si>
    <t>Period</t>
  </si>
  <si>
    <t>TRC (Total)</t>
  </si>
  <si>
    <t>Incentive (Total)</t>
  </si>
  <si>
    <t>Customer Cost (Total)</t>
  </si>
  <si>
    <t>Res Hot Water  GECD</t>
  </si>
  <si>
    <t>Res Heating  GECD</t>
  </si>
  <si>
    <t>Res All  GECD</t>
  </si>
  <si>
    <t>C&amp;I All  GECD</t>
  </si>
  <si>
    <t>C&amp;I Heating  GECD</t>
  </si>
  <si>
    <t xml:space="preserve">Gross Annual MWh Savings </t>
  </si>
  <si>
    <t>Total Non Energy Impacts</t>
  </si>
  <si>
    <t>Behavior</t>
  </si>
  <si>
    <t>Motors/Drives</t>
  </si>
  <si>
    <t>Home Energy Services</t>
  </si>
  <si>
    <t>Custom Measures</t>
  </si>
  <si>
    <t>Energy Star Homes</t>
  </si>
  <si>
    <t>Lifetime Water (Gallons)</t>
  </si>
  <si>
    <t>Natural Gas Savings</t>
  </si>
  <si>
    <t>Summer Capacity (kW)</t>
  </si>
  <si>
    <t>Lifetime Propane (MMBTU)</t>
  </si>
  <si>
    <t>Energy Benefits</t>
  </si>
  <si>
    <t>DRIPE Energy Benefits</t>
  </si>
  <si>
    <t>Distribution Company</t>
  </si>
  <si>
    <t>Res Water &amp; Sewer</t>
  </si>
  <si>
    <t>CI Water</t>
  </si>
  <si>
    <t>Net Annual Energy (MWh)</t>
  </si>
  <si>
    <t>Adj Gross Annual Energy (MWh)</t>
  </si>
  <si>
    <t>Net Annual Natural Gas (MMBTU)</t>
  </si>
  <si>
    <t>Net Annual Natural Gas (Therms)</t>
  </si>
  <si>
    <t>Adj Gross Annual Natural Gas (Therms)</t>
  </si>
  <si>
    <t>Net Annual Oil (MMBTU)</t>
  </si>
  <si>
    <t>Adj Gross Annual Oil (MMBTU)</t>
  </si>
  <si>
    <t>Net Annual Propane (MMBTU)</t>
  </si>
  <si>
    <t>Adj Gross Annual Natural Gas (MMBTU)</t>
  </si>
  <si>
    <t>Wholesale Risk Premium</t>
  </si>
  <si>
    <t>Adj Gross Lifetime Energy (MWh)</t>
  </si>
  <si>
    <t>Adj Gross Lifetime Oil (MMBTU)</t>
  </si>
  <si>
    <t>Adj Gross Lifetime Natural Gas (Therms)</t>
  </si>
  <si>
    <t>Adj Gross Annual Kerosene Savings (MMBTU)</t>
  </si>
  <si>
    <t>Adj Gross Lifetime Kerosene Savings (MMBTU)</t>
  </si>
  <si>
    <t>Net Annual Kerosene Savings (MMBTU)</t>
  </si>
  <si>
    <t>Net Lifetime Kerosene Savings (MMBTU)</t>
  </si>
  <si>
    <t>NH</t>
  </si>
  <si>
    <t>Net Annual Res Water  Savings Gallons</t>
  </si>
  <si>
    <t>Adj Gross Annual Cord Wood Savings (MMBTU)</t>
  </si>
  <si>
    <t>Adj Gross Lifetime Cord Wood Savings (MMBTU)</t>
  </si>
  <si>
    <t>Net Annual Cord Wood Savings (MMBTU)</t>
  </si>
  <si>
    <t>Net Lifetime Cord Wood Savings (MMBTU)</t>
  </si>
  <si>
    <t>Adj Gross Annual Wood Pellet Savings (MMBTU)</t>
  </si>
  <si>
    <t>Adj Gross Lifetime Wood Pellet Savings (MMBTU)</t>
  </si>
  <si>
    <t>Net Annual Wood Pellet Savings (MMBTU)</t>
  </si>
  <si>
    <t>Net Lifetime Wood Pellet Savings (MMBTU)</t>
  </si>
  <si>
    <t>Home Energy Assistance</t>
  </si>
  <si>
    <t>C&amp;I</t>
  </si>
  <si>
    <t>Large Business Energy Solutions</t>
  </si>
  <si>
    <t>Small Business Energy Solutions</t>
  </si>
  <si>
    <t>Subprogram</t>
  </si>
  <si>
    <t>No</t>
  </si>
  <si>
    <t xml:space="preserve">Gross Lifetime MWh Savings </t>
  </si>
  <si>
    <t>Total Net Annual MMBTU</t>
  </si>
  <si>
    <t>Total Net Lifetime MMBTU</t>
  </si>
  <si>
    <t>Processing Costs</t>
  </si>
  <si>
    <t>LOW INCOME</t>
  </si>
  <si>
    <t>ELECTRIC Programs</t>
  </si>
  <si>
    <t>GAS Programs</t>
  </si>
  <si>
    <t>TOTAL PA COSTS</t>
  </si>
  <si>
    <t>Internal Admin</t>
  </si>
  <si>
    <t>External Admin</t>
  </si>
  <si>
    <t>Implementation Services</t>
  </si>
  <si>
    <t>Marketing</t>
  </si>
  <si>
    <t>EM&amp;V</t>
  </si>
  <si>
    <t>Rebate / Services</t>
  </si>
  <si>
    <t>Net Lifetime Oil (MMBTU)</t>
  </si>
  <si>
    <t>Net Lifetime Natural Gas (Therms)</t>
  </si>
  <si>
    <t>Net Lifetime Energy (MWh)</t>
  </si>
  <si>
    <t>Annual MWh Savings</t>
  </si>
  <si>
    <t>Lifetime MWh Savings</t>
  </si>
  <si>
    <t>Winter kW Savings</t>
  </si>
  <si>
    <t>Summer kW Savings</t>
  </si>
  <si>
    <t>Number of Customers Served</t>
  </si>
  <si>
    <t>Annual
MMBTU
Savings</t>
  </si>
  <si>
    <t>Lifetime
MMBTU
Savings</t>
  </si>
  <si>
    <t>Residential Programs</t>
  </si>
  <si>
    <t>Commercial/Industrial Programs</t>
  </si>
  <si>
    <r>
      <rPr>
        <b/>
        <sz val="10"/>
        <rFont val="Calibri"/>
        <family val="2"/>
      </rPr>
      <t>Annual</t>
    </r>
    <r>
      <rPr>
        <sz val="10"/>
        <color theme="1"/>
        <rFont val="Calibri"/>
        <family val="2"/>
      </rPr>
      <t xml:space="preserve"> kWh Savings</t>
    </r>
  </si>
  <si>
    <r>
      <rPr>
        <b/>
        <sz val="10"/>
        <rFont val="Calibri"/>
        <family val="2"/>
      </rPr>
      <t>Lifetime</t>
    </r>
    <r>
      <rPr>
        <sz val="10"/>
        <color theme="1"/>
        <rFont val="Calibri"/>
        <family val="2"/>
      </rPr>
      <t xml:space="preserve"> kWh Savings</t>
    </r>
  </si>
  <si>
    <r>
      <rPr>
        <b/>
        <sz val="10"/>
        <rFont val="Calibri"/>
        <family val="2"/>
      </rPr>
      <t>Annual</t>
    </r>
    <r>
      <rPr>
        <sz val="10"/>
        <color theme="1"/>
        <rFont val="Calibri"/>
        <family val="2"/>
      </rPr>
      <t xml:space="preserve"> MMBTU Savings (in kWh)</t>
    </r>
  </si>
  <si>
    <r>
      <rPr>
        <b/>
        <sz val="10"/>
        <rFont val="Calibri"/>
        <family val="2"/>
      </rPr>
      <t>Lifetime</t>
    </r>
    <r>
      <rPr>
        <sz val="10"/>
        <color theme="1"/>
        <rFont val="Calibri"/>
        <family val="2"/>
      </rPr>
      <t xml:space="preserve"> MMBTU Savings (in kWh)</t>
    </r>
  </si>
  <si>
    <t>CAPACITY</t>
  </si>
  <si>
    <t>ENERGY</t>
  </si>
  <si>
    <t>Total Benefits ($000)</t>
  </si>
  <si>
    <t>Summer
Generation</t>
  </si>
  <si>
    <t>Winter
Generation</t>
  </si>
  <si>
    <t>Winter
Peak</t>
  </si>
  <si>
    <t>Winter
Off Peak</t>
  </si>
  <si>
    <t>Summer
Peak</t>
  </si>
  <si>
    <t xml:space="preserve">Summer
Off Peak </t>
  </si>
  <si>
    <t>Actual</t>
  </si>
  <si>
    <t>Lifetime kWh Savings</t>
  </si>
  <si>
    <t>Adj Gross Annual Propane  (MMBTU)</t>
  </si>
  <si>
    <t>Adj Gross Lifetime Propane  (MMBTU)</t>
  </si>
  <si>
    <t>Net Annual Kerosene  (MMBTU)</t>
  </si>
  <si>
    <t>Adj Gross Annual Kerosene  (MMBTU)</t>
  </si>
  <si>
    <t>Net Lifetime Kerosene  (MMBTU)</t>
  </si>
  <si>
    <t>Adj Gross Lifetime Kerosene  (MMBTU)</t>
  </si>
  <si>
    <t>Net Annual Cord Wood  (MMBTU)</t>
  </si>
  <si>
    <t>Adj Gross Annual Cord Wood  (MMBTU)</t>
  </si>
  <si>
    <t>Net Lifetime Cord Wood  (MMBTU)</t>
  </si>
  <si>
    <t>Adj Gross Lifetime Cord Wood  (MMBTU)</t>
  </si>
  <si>
    <t>Net Annual Wood Pellet  (MMBTU)</t>
  </si>
  <si>
    <t>Adj Gross Annual Wood Pellet  (MMBTU)</t>
  </si>
  <si>
    <t>Net Lifetime Wood Pellet  (MMBTU)</t>
  </si>
  <si>
    <t>Adj Gross Lifetime Wood Pellet  (MMBTU)</t>
  </si>
  <si>
    <t>Kerosene Benefits</t>
  </si>
  <si>
    <t>Cord Wood Benefits</t>
  </si>
  <si>
    <t>Wood Pellet Benefits</t>
  </si>
  <si>
    <t>Winter Capacity Benefits</t>
  </si>
  <si>
    <t>HEA (HVAC Systems)</t>
  </si>
  <si>
    <t>HPwES (Weatherization)</t>
  </si>
  <si>
    <t>HPwES (HVAC Systems)</t>
  </si>
  <si>
    <t>non-HPwES (Multi-Family WXn)</t>
  </si>
  <si>
    <t>ES Lighting</t>
  </si>
  <si>
    <t>ES Appliances (White Goods)</t>
  </si>
  <si>
    <t>US: Home Energy Reports</t>
  </si>
  <si>
    <t>Res FCM Expenses</t>
  </si>
  <si>
    <t>Building Practices and Demo</t>
  </si>
  <si>
    <t>US: Res Other 2</t>
  </si>
  <si>
    <t>US: Res Other 3</t>
  </si>
  <si>
    <t>US: Res Other 4</t>
  </si>
  <si>
    <t>LCI (All)</t>
  </si>
  <si>
    <t>LCI (Retrofit)</t>
  </si>
  <si>
    <t>SCI (New Equipment and Construction)</t>
  </si>
  <si>
    <t xml:space="preserve">SCI (All) </t>
  </si>
  <si>
    <t>SCI (Retrofit)</t>
  </si>
  <si>
    <t>Muni (All)</t>
  </si>
  <si>
    <t>Muni (Direct Install)</t>
  </si>
  <si>
    <t>Muni (Retrofit)</t>
  </si>
  <si>
    <t>Muni (New Equipment and Construction)</t>
  </si>
  <si>
    <t>Muni (Weatherization)</t>
  </si>
  <si>
    <t>Muni (HVAC Systems)</t>
  </si>
  <si>
    <t>US: Smart Start</t>
  </si>
  <si>
    <t>US: Partnerships</t>
  </si>
  <si>
    <t>US: RFP</t>
  </si>
  <si>
    <t>Education</t>
  </si>
  <si>
    <t>US: CIM Other 2</t>
  </si>
  <si>
    <t>US: CIM Other 3</t>
  </si>
  <si>
    <t>US: CIM Other 4</t>
  </si>
  <si>
    <t>CI FCM Expenses</t>
  </si>
  <si>
    <t>2014 Kwh Sales</t>
  </si>
  <si>
    <t>Eversource Energy</t>
  </si>
  <si>
    <t>BHVAC</t>
  </si>
  <si>
    <t>ES Homes</t>
  </si>
  <si>
    <t>Unitil Energy Systems Inc</t>
  </si>
  <si>
    <t>Liberty</t>
  </si>
  <si>
    <t>New Hampshire Electric Cooperative Inc</t>
  </si>
  <si>
    <t>NG - Res Heating</t>
  </si>
  <si>
    <t>NG - Res Non Heating</t>
  </si>
  <si>
    <t>NG - C&amp; I Gas Non Heating</t>
  </si>
  <si>
    <t>Fuel Oil - Com Fuel</t>
  </si>
  <si>
    <t>Pellet Wood</t>
  </si>
  <si>
    <t>HEA (Weatherization)</t>
  </si>
  <si>
    <t>HPwES 3rd Party Financing (Loan buy-down)</t>
  </si>
  <si>
    <t>ES Appliances (HVAC Systems)</t>
  </si>
  <si>
    <t>ES Products 3rd Party Financing (Loan buy-down)</t>
  </si>
  <si>
    <t>SCI (Direct Install)</t>
  </si>
  <si>
    <t>Non-Electric Resource Benefits: Other</t>
  </si>
  <si>
    <t>LCI (New Equipment and Construction)</t>
  </si>
  <si>
    <t>New Hampshire</t>
  </si>
  <si>
    <t>LCI (New Equipment)</t>
  </si>
  <si>
    <t>US: RES CEP</t>
  </si>
  <si>
    <t>US: C&amp;I CEP</t>
  </si>
  <si>
    <t>Home Energy Reports</t>
  </si>
  <si>
    <t>Yes</t>
  </si>
  <si>
    <t>Total Electric DRIPE</t>
  </si>
  <si>
    <t>Electric DRIPE</t>
  </si>
  <si>
    <t>Total Electric Benefit</t>
  </si>
  <si>
    <t>Gas Benefit</t>
  </si>
  <si>
    <t>Gas DRIPE</t>
  </si>
  <si>
    <t>Total Gas Benefit</t>
  </si>
  <si>
    <t>Other fuels benefit (all except gas)</t>
  </si>
  <si>
    <t>Smart Start</t>
  </si>
  <si>
    <t>C&amp;I Customer Partnerships</t>
  </si>
  <si>
    <t>Commercial, Industrial &amp; Municipal</t>
  </si>
  <si>
    <t>Municipal Energy Solutions</t>
  </si>
  <si>
    <t>Energy Rewards RFP Program</t>
  </si>
  <si>
    <t>Sub-Total Residential</t>
  </si>
  <si>
    <t xml:space="preserve"> Sub-Total Commercial &amp; Industrial</t>
  </si>
  <si>
    <t>Sub-Total Commercial &amp; Industrial</t>
  </si>
  <si>
    <t>Wood Pellets</t>
  </si>
  <si>
    <t xml:space="preserve">Home Performance with Energy Star </t>
  </si>
  <si>
    <t xml:space="preserve">Energy Star Products </t>
  </si>
  <si>
    <t>ISO-NE Forward Capacity Market Expenses</t>
  </si>
  <si>
    <t>Res Other 2</t>
  </si>
  <si>
    <t>Res Other 3</t>
  </si>
  <si>
    <t>Res Other 4</t>
  </si>
  <si>
    <t>Educations</t>
  </si>
  <si>
    <t>ISO Forward Capacity Market Expenses</t>
  </si>
  <si>
    <t>CIM Other 2</t>
  </si>
  <si>
    <t>CIM Other 3</t>
  </si>
  <si>
    <t>CIM Other 4</t>
  </si>
  <si>
    <t>Res Education</t>
  </si>
  <si>
    <t>Res Gas Financing</t>
  </si>
  <si>
    <t>C&amp;I On Bill Financing</t>
  </si>
  <si>
    <r>
      <t xml:space="preserve">Sector
</t>
    </r>
    <r>
      <rPr>
        <sz val="8"/>
        <rFont val="Arial"/>
        <family val="2"/>
      </rPr>
      <t>(Dropdown)</t>
    </r>
  </si>
  <si>
    <r>
      <t xml:space="preserve">End Use
</t>
    </r>
    <r>
      <rPr>
        <sz val="8"/>
        <rFont val="Arial"/>
        <family val="2"/>
      </rPr>
      <t>(Dropdown)</t>
    </r>
  </si>
  <si>
    <r>
      <t xml:space="preserve">Subprogram
</t>
    </r>
    <r>
      <rPr>
        <sz val="8"/>
        <rFont val="Arial"/>
        <family val="2"/>
      </rPr>
      <t>(Dropdown)</t>
    </r>
  </si>
  <si>
    <r>
      <t xml:space="preserve">Program
</t>
    </r>
    <r>
      <rPr>
        <sz val="8"/>
        <rFont val="Arial"/>
        <family val="2"/>
      </rPr>
      <t>(Dropdown)</t>
    </r>
  </si>
  <si>
    <r>
      <t xml:space="preserve">LS_ID
</t>
    </r>
    <r>
      <rPr>
        <sz val="8"/>
        <rFont val="Arial"/>
        <family val="2"/>
      </rPr>
      <t>(Dropdown)</t>
    </r>
  </si>
  <si>
    <r>
      <t xml:space="preserve">Fossil Fuel Type #1
</t>
    </r>
    <r>
      <rPr>
        <sz val="8"/>
        <rFont val="Arial"/>
        <family val="2"/>
      </rPr>
      <t>(Dropdown)</t>
    </r>
    <r>
      <rPr>
        <b/>
        <sz val="10"/>
        <rFont val="Arial"/>
        <family val="2"/>
      </rPr>
      <t xml:space="preserve">
</t>
    </r>
  </si>
  <si>
    <r>
      <t xml:space="preserve">Fossil Fuel Type #2
</t>
    </r>
    <r>
      <rPr>
        <sz val="8"/>
        <rFont val="Arial"/>
        <family val="2"/>
      </rPr>
      <t>(Dropdown)</t>
    </r>
    <r>
      <rPr>
        <b/>
        <sz val="10"/>
        <rFont val="Arial"/>
        <family val="2"/>
      </rPr>
      <t xml:space="preserve">
</t>
    </r>
  </si>
  <si>
    <r>
      <t xml:space="preserve">Fossil Fuel Type #3
</t>
    </r>
    <r>
      <rPr>
        <sz val="8"/>
        <rFont val="Arial"/>
        <family val="2"/>
      </rPr>
      <t>(Dropdown)</t>
    </r>
    <r>
      <rPr>
        <b/>
        <sz val="10"/>
        <rFont val="Arial"/>
        <family val="2"/>
      </rPr>
      <t xml:space="preserve">
</t>
    </r>
  </si>
  <si>
    <t>NEI Adder</t>
  </si>
  <si>
    <t xml:space="preserve">Total Non-Resource  Benefits </t>
  </si>
  <si>
    <t>Total Avoided Energy Benefits ($)</t>
  </si>
  <si>
    <r>
      <t xml:space="preserve">Subprogram
</t>
    </r>
    <r>
      <rPr>
        <sz val="11"/>
        <color indexed="8"/>
        <rFont val="Arial"/>
        <family val="2"/>
      </rPr>
      <t>(Dropdown)</t>
    </r>
  </si>
  <si>
    <r>
      <t xml:space="preserve">Program
</t>
    </r>
    <r>
      <rPr>
        <sz val="11"/>
        <color indexed="8"/>
        <rFont val="Arial"/>
        <family val="2"/>
      </rPr>
      <t>(Dropdown)</t>
    </r>
  </si>
  <si>
    <r>
      <t xml:space="preserve">Sector
</t>
    </r>
    <r>
      <rPr>
        <sz val="11"/>
        <color indexed="8"/>
        <rFont val="Arial"/>
        <family val="2"/>
      </rPr>
      <t>(Dropdown)</t>
    </r>
  </si>
  <si>
    <t>Water Benefit</t>
  </si>
  <si>
    <t>C&amp;I Customer Engagement Platform</t>
  </si>
  <si>
    <t>Res Customer Engagement Platform</t>
  </si>
  <si>
    <t>Custom</t>
  </si>
  <si>
    <t>Page One of Four</t>
  </si>
  <si>
    <t>Page Two of Four</t>
  </si>
  <si>
    <t>Page Three of Four</t>
  </si>
  <si>
    <t xml:space="preserve"> Wholesale Cost of Electric Energy</t>
  </si>
  <si>
    <t>Wholesale REC Costs</t>
  </si>
  <si>
    <r>
      <t xml:space="preserve"> Retail Cost of Electric Energy</t>
    </r>
    <r>
      <rPr>
        <b/>
        <vertAlign val="superscript"/>
        <sz val="10"/>
        <rFont val="Arial"/>
        <family val="2"/>
      </rPr>
      <t>1</t>
    </r>
  </si>
  <si>
    <t>Wholesale Capacity Values</t>
  </si>
  <si>
    <r>
      <t>Retail Cost of Electric Capacity</t>
    </r>
    <r>
      <rPr>
        <b/>
        <vertAlign val="superscript"/>
        <sz val="10"/>
        <rFont val="Arial"/>
        <family val="2"/>
      </rPr>
      <t>3</t>
    </r>
  </si>
  <si>
    <t>Wholesale Non-Embedded Costs</t>
  </si>
  <si>
    <r>
      <t>Wholesale Cross-DRIPE</t>
    </r>
    <r>
      <rPr>
        <b/>
        <vertAlign val="superscript"/>
        <sz val="10"/>
        <rFont val="Arial"/>
        <family val="2"/>
      </rPr>
      <t>7</t>
    </r>
  </si>
  <si>
    <r>
      <t>Wholesale Reliability Value</t>
    </r>
    <r>
      <rPr>
        <b/>
        <vertAlign val="superscript"/>
        <sz val="10"/>
        <rFont val="Arial"/>
        <family val="2"/>
      </rPr>
      <t>8</t>
    </r>
  </si>
  <si>
    <t>DRIPE: 2018 vintage measures</t>
  </si>
  <si>
    <t>DRIPE: 2019 vintage measures</t>
  </si>
  <si>
    <t>Reliability: 2018 vintage measures</t>
  </si>
  <si>
    <t>Wholesale Energy DRIPE</t>
  </si>
  <si>
    <t>Wholesale Capacity DRIPE</t>
  </si>
  <si>
    <r>
      <t>Retail Capacity DRIPE</t>
    </r>
    <r>
      <rPr>
        <b/>
        <vertAlign val="superscript"/>
        <sz val="10"/>
        <rFont val="Arial"/>
        <family val="2"/>
      </rPr>
      <t>3</t>
    </r>
  </si>
  <si>
    <r>
      <t>Wholesale Capacity DRIPE</t>
    </r>
    <r>
      <rPr>
        <b/>
        <vertAlign val="superscript"/>
        <sz val="10"/>
        <rFont val="Arial"/>
        <family val="2"/>
      </rPr>
      <t>2</t>
    </r>
  </si>
  <si>
    <t>Cleared (FCA Price)</t>
  </si>
  <si>
    <r>
      <t>Uncleared</t>
    </r>
    <r>
      <rPr>
        <b/>
        <vertAlign val="superscript"/>
        <sz val="10"/>
        <rFont val="Arial"/>
        <family val="2"/>
      </rPr>
      <t>2</t>
    </r>
  </si>
  <si>
    <r>
      <t>Cleared</t>
    </r>
    <r>
      <rPr>
        <b/>
        <vertAlign val="superscript"/>
        <sz val="10"/>
        <rFont val="Arial"/>
        <family val="2"/>
      </rPr>
      <t>4</t>
    </r>
  </si>
  <si>
    <r>
      <t>Uncleared</t>
    </r>
    <r>
      <rPr>
        <b/>
        <vertAlign val="superscript"/>
        <sz val="10"/>
        <rFont val="Arial"/>
        <family val="2"/>
      </rPr>
      <t>5</t>
    </r>
  </si>
  <si>
    <r>
      <t>Weighted Avg</t>
    </r>
    <r>
      <rPr>
        <b/>
        <vertAlign val="superscript"/>
        <sz val="10"/>
        <rFont val="Arial"/>
        <family val="2"/>
      </rPr>
      <t>6</t>
    </r>
  </si>
  <si>
    <t>Cleared</t>
  </si>
  <si>
    <t>2018 Installation Year</t>
  </si>
  <si>
    <t>Uncleared</t>
  </si>
  <si>
    <r>
      <t>Weighted Avg</t>
    </r>
    <r>
      <rPr>
        <b/>
        <vertAlign val="superscript"/>
        <sz val="10"/>
        <rFont val="Arial"/>
        <family val="2"/>
      </rPr>
      <t>5</t>
    </r>
  </si>
  <si>
    <t>e</t>
  </si>
  <si>
    <t>n = (l*%Bid)+m*(1-%Bid)</t>
  </si>
  <si>
    <t>y=w*DL</t>
  </si>
  <si>
    <t>z=x*(1+PTF Loss)*(1+WRP)*(1+DL)</t>
  </si>
  <si>
    <t>aa = (y*%Bid)+z*(1-%Bid)</t>
  </si>
  <si>
    <t>jj = (hh*%Bid)+ii*(1-%Bid)</t>
  </si>
  <si>
    <t>kk</t>
  </si>
  <si>
    <t>mm</t>
  </si>
  <si>
    <t>nn</t>
  </si>
  <si>
    <t>oo</t>
  </si>
  <si>
    <t>pp</t>
  </si>
  <si>
    <t>qq</t>
  </si>
  <si>
    <t>rr</t>
  </si>
  <si>
    <t>ss=qq*DL</t>
  </si>
  <si>
    <t>tt=rr*(1+PTF Loss)*(1+WRP)*(1+DL)</t>
  </si>
  <si>
    <t>uu = (ss*%Bid)+tt*(1-%Bid)</t>
  </si>
  <si>
    <t>vv</t>
  </si>
  <si>
    <t>ww</t>
  </si>
  <si>
    <t>xx</t>
  </si>
  <si>
    <t>yy</t>
  </si>
  <si>
    <t>zz</t>
  </si>
  <si>
    <t>aaa</t>
  </si>
  <si>
    <t>bbb=zz*DL</t>
  </si>
  <si>
    <t>ccc=aaa*(1+PTF Loss)*(1+WRP)*(1+DL)</t>
  </si>
  <si>
    <t>ddd = (bbb*%Bid)+ccc*(1-%Bid)</t>
  </si>
  <si>
    <t>fff</t>
  </si>
  <si>
    <t>ggg</t>
  </si>
  <si>
    <t>hhh = (fff*%Bid)+ggg*(1-%Bid)</t>
  </si>
  <si>
    <t>kkk = (iii*%Bid)+jjj*(1-%Bid)</t>
  </si>
  <si>
    <t>-</t>
  </si>
  <si>
    <t>Gas Supply DRIPE (applicable to reductions in every end-use)</t>
  </si>
  <si>
    <t>Gas Cross DRIPE (applicable to reductions by end-use)</t>
  </si>
  <si>
    <t xml:space="preserve">Zone-on-Zone DRIPE </t>
  </si>
  <si>
    <t>NE</t>
  </si>
  <si>
    <t>CT</t>
  </si>
  <si>
    <t>MA</t>
  </si>
  <si>
    <t>ME</t>
  </si>
  <si>
    <t>RI</t>
  </si>
  <si>
    <t>VT</t>
  </si>
  <si>
    <t>Reliability Benefits</t>
  </si>
  <si>
    <t>Pooled Transmission Facilities (PTF) Benefits</t>
  </si>
  <si>
    <t>Oil DRIPE Benefits</t>
  </si>
  <si>
    <t>PTF Benefits ($)</t>
  </si>
  <si>
    <t>Reliability ($)</t>
  </si>
  <si>
    <t>Average Loss</t>
  </si>
  <si>
    <t>CO2 (pounds/MMBtu)</t>
  </si>
  <si>
    <t>Fossil Emissions Factors</t>
  </si>
  <si>
    <t xml:space="preserve">Natural Gas </t>
  </si>
  <si>
    <t xml:space="preserve">Oil </t>
  </si>
  <si>
    <t xml:space="preserve">Propane </t>
  </si>
  <si>
    <t xml:space="preserve">Kerosene </t>
  </si>
  <si>
    <t>Fossil Emissions (oil, gas, propane, kerosene)</t>
  </si>
  <si>
    <t>Fossil emissions</t>
  </si>
  <si>
    <t>Fossil Emissions</t>
  </si>
  <si>
    <t>Transmission &amp; Distribution (T&amp;D) Cost</t>
  </si>
  <si>
    <t>Retail Reliability Value</t>
  </si>
  <si>
    <t>2018 vintage</t>
  </si>
  <si>
    <t>2019 vintage</t>
  </si>
  <si>
    <t>lll = hhh*(1+WRP)*(1+DL)</t>
  </si>
  <si>
    <t>mmm = kkk*(1+WRP)*(1+DL)</t>
  </si>
  <si>
    <t>Fossil Emissions Based on RGGI</t>
  </si>
  <si>
    <t>Emission based on RGGI CO2</t>
  </si>
  <si>
    <t>Fossil emissions RGGI</t>
  </si>
  <si>
    <t>NHPUC Docket No. DE 17-136</t>
  </si>
  <si>
    <t>Lookups and Assumptions</t>
  </si>
  <si>
    <t>Year 1</t>
  </si>
  <si>
    <t>Year 2</t>
  </si>
  <si>
    <t>Year 3</t>
  </si>
  <si>
    <t>REFERENCED LISTS</t>
  </si>
  <si>
    <t>GENERAL INPUTS</t>
  </si>
  <si>
    <t>Statewide Total</t>
  </si>
  <si>
    <t>SALES</t>
  </si>
  <si>
    <t>AVOIDED COST ASSUMPTIONS</t>
  </si>
  <si>
    <t>NON-ENERGY IMPACTS</t>
  </si>
  <si>
    <t>NEI Adder by sector</t>
  </si>
  <si>
    <t>Calculated: Real Discount Rate = [(1 + Nominal Discount Rate)/(1 + Inflation Rate)] – 1</t>
  </si>
  <si>
    <t>Checks</t>
  </si>
  <si>
    <t>Savings</t>
  </si>
  <si>
    <r>
      <t xml:space="preserve">Max Demand 
</t>
    </r>
    <r>
      <rPr>
        <sz val="8"/>
        <rFont val="Arial"/>
        <family val="2"/>
      </rPr>
      <t>(Entered)</t>
    </r>
  </si>
  <si>
    <r>
      <t xml:space="preserve">Max Demand Factor 
</t>
    </r>
    <r>
      <rPr>
        <sz val="8"/>
        <rFont val="Arial"/>
        <family val="2"/>
      </rPr>
      <t>(Look-up)</t>
    </r>
  </si>
  <si>
    <t>Line Loss Inputs</t>
  </si>
  <si>
    <t>Input</t>
  </si>
  <si>
    <t>Unit</t>
  </si>
  <si>
    <t>%</t>
  </si>
  <si>
    <t>$ per kW</t>
  </si>
  <si>
    <t>T&amp;D Year</t>
  </si>
  <si>
    <t>Eversource Factors</t>
  </si>
  <si>
    <t>AESC 2018</t>
  </si>
  <si>
    <t>Three-Year Inputs</t>
  </si>
  <si>
    <t>Annual Inputs</t>
  </si>
  <si>
    <t>$ per gallon</t>
  </si>
  <si>
    <t>Year $</t>
  </si>
  <si>
    <t>Half Year Factor</t>
  </si>
  <si>
    <t>Source / Notes</t>
  </si>
  <si>
    <t>Benefit Toggles</t>
  </si>
  <si>
    <t>Toggle</t>
  </si>
  <si>
    <t>Included?</t>
  </si>
  <si>
    <t>Value</t>
  </si>
  <si>
    <t>Percent of fossil emissions</t>
  </si>
  <si>
    <t>Real Year</t>
  </si>
  <si>
    <t>Years</t>
  </si>
  <si>
    <t>Energy ($/kWh)</t>
  </si>
  <si>
    <t>Energy DRIPE ($/kWh)</t>
  </si>
  <si>
    <t>Electric Cross DRIPE ($/kWh)</t>
  </si>
  <si>
    <t xml:space="preserve">Winter Peak </t>
  </si>
  <si>
    <t xml:space="preserve">Winter Off-Peak </t>
  </si>
  <si>
    <t xml:space="preserve">Summer Off-Peak </t>
  </si>
  <si>
    <t>ANNUAL AVOIDED COSTS</t>
  </si>
  <si>
    <t>Capacity ($/kW)</t>
  </si>
  <si>
    <t>T&amp;D ($/kW)</t>
  </si>
  <si>
    <t>Winter Generation</t>
  </si>
  <si>
    <t>Natural Gas ($/MMBtu)</t>
  </si>
  <si>
    <t>Gas DRIPE ($/MMBtu)</t>
  </si>
  <si>
    <t>Res Non Heating</t>
  </si>
  <si>
    <t>Res Hot Water</t>
  </si>
  <si>
    <t>Res Heating</t>
  </si>
  <si>
    <t>Res All</t>
  </si>
  <si>
    <t>C&amp;I Gas Non Heating</t>
  </si>
  <si>
    <t>C&amp;I Gas Heat</t>
  </si>
  <si>
    <t>C&amp;I Gas All</t>
  </si>
  <si>
    <t>Gas Supply</t>
  </si>
  <si>
    <t>Fuel Oil ($/MMBtu)</t>
  </si>
  <si>
    <t>Residential Distillate</t>
  </si>
  <si>
    <t>Com Fuel Oil</t>
  </si>
  <si>
    <t>Industrial Oil</t>
  </si>
  <si>
    <t>Wood ($/MMBtu)</t>
  </si>
  <si>
    <t>Water ($/Gallon)</t>
  </si>
  <si>
    <t>NEBs ($/$)</t>
  </si>
  <si>
    <t>Reliability</t>
  </si>
  <si>
    <t>PTF</t>
  </si>
  <si>
    <t>Gas to Electric Cross DRIPE ($/MMBtu)</t>
  </si>
  <si>
    <t xml:space="preserve">Res Non-Heating </t>
  </si>
  <si>
    <t xml:space="preserve">Res Hot Water  </t>
  </si>
  <si>
    <t xml:space="preserve">Res Heating  </t>
  </si>
  <si>
    <t xml:space="preserve">Res All  </t>
  </si>
  <si>
    <t xml:space="preserve">C&amp;I Non-Heating </t>
  </si>
  <si>
    <t xml:space="preserve">C&amp;I Heating  </t>
  </si>
  <si>
    <t xml:space="preserve">C&amp;I All  </t>
  </si>
  <si>
    <t>Avoided Non-Embedded Costs ($/kWh)</t>
  </si>
  <si>
    <t>Oil DRIPE</t>
  </si>
  <si>
    <t>CUMULATIVE AVOIDED COSTS</t>
  </si>
  <si>
    <t>Avoided Costs</t>
  </si>
  <si>
    <t>Avoided Electricity Costs from AESC</t>
  </si>
  <si>
    <t>Avoided Natural Gas Costs from AESC</t>
  </si>
  <si>
    <t>Avoided Other Fuel Costs from AESC</t>
  </si>
  <si>
    <r>
      <t>Wholesale Capacity DRIPE</t>
    </r>
    <r>
      <rPr>
        <b/>
        <vertAlign val="superscript"/>
        <sz val="10"/>
        <color theme="0" tint="-0.499984740745262"/>
        <rFont val="Arial"/>
        <family val="2"/>
      </rPr>
      <t>2</t>
    </r>
  </si>
  <si>
    <r>
      <t>Retail Capacity DRIPE</t>
    </r>
    <r>
      <rPr>
        <b/>
        <vertAlign val="superscript"/>
        <sz val="10"/>
        <color theme="0" tint="-0.499984740745262"/>
        <rFont val="Arial"/>
        <family val="2"/>
      </rPr>
      <t>3</t>
    </r>
  </si>
  <si>
    <r>
      <t>Uncleared</t>
    </r>
    <r>
      <rPr>
        <b/>
        <vertAlign val="superscript"/>
        <sz val="10"/>
        <color theme="0" tint="-0.499984740745262"/>
        <rFont val="Arial"/>
        <family val="2"/>
      </rPr>
      <t>2</t>
    </r>
  </si>
  <si>
    <r>
      <t>Cleared</t>
    </r>
    <r>
      <rPr>
        <b/>
        <vertAlign val="superscript"/>
        <sz val="10"/>
        <color theme="0" tint="-0.499984740745262"/>
        <rFont val="Arial"/>
        <family val="2"/>
      </rPr>
      <t>4</t>
    </r>
  </si>
  <si>
    <r>
      <t>Uncleared</t>
    </r>
    <r>
      <rPr>
        <b/>
        <vertAlign val="superscript"/>
        <sz val="10"/>
        <color theme="0" tint="-0.499984740745262"/>
        <rFont val="Arial"/>
        <family val="2"/>
      </rPr>
      <t>5</t>
    </r>
  </si>
  <si>
    <r>
      <t>Weighted Avg</t>
    </r>
    <r>
      <rPr>
        <b/>
        <vertAlign val="superscript"/>
        <sz val="10"/>
        <color theme="0" tint="-0.499984740745262"/>
        <rFont val="Arial"/>
        <family val="2"/>
      </rPr>
      <t>6</t>
    </r>
  </si>
  <si>
    <t>Page Four of Four</t>
  </si>
  <si>
    <t>PTF losses</t>
  </si>
  <si>
    <t>Rest-of-Pool</t>
  </si>
  <si>
    <t>Rest-of-Pool is NOT used in NH</t>
  </si>
  <si>
    <t>n/a</t>
  </si>
  <si>
    <t>Lookups</t>
  </si>
  <si>
    <t>ED</t>
  </si>
  <si>
    <t>ECD</t>
  </si>
  <si>
    <t>CD</t>
  </si>
  <si>
    <t>GD</t>
  </si>
  <si>
    <t>GECD</t>
  </si>
  <si>
    <t>OilDRIPE</t>
  </si>
  <si>
    <t>EE</t>
  </si>
  <si>
    <t>RGGI</t>
  </si>
  <si>
    <t>Avoided Distribution Costs</t>
  </si>
  <si>
    <t>PTF Year</t>
  </si>
  <si>
    <t>PTF Avoided Costs</t>
  </si>
  <si>
    <t>Local Transmission</t>
  </si>
  <si>
    <t>Other Resource Savings: Oil</t>
  </si>
  <si>
    <t>Other Resource Savings: Propane</t>
  </si>
  <si>
    <t>Other Resource Savings: Kerosene</t>
  </si>
  <si>
    <t>Other Resource Savings: Cord Wood</t>
  </si>
  <si>
    <t>Other Resource Savings: Wood Pellet</t>
  </si>
  <si>
    <t>Other Resource Savings: Water</t>
  </si>
  <si>
    <t>SUB-TOTAL</t>
  </si>
  <si>
    <t>Energy Electric Cross DRIPE Benefits ($)</t>
  </si>
  <si>
    <t>Fuel Oil - Industrial</t>
  </si>
  <si>
    <t>Other Fuels ($/MMBtu)</t>
  </si>
  <si>
    <t>FOSSIL EMISSIONS</t>
  </si>
  <si>
    <t>Fossil Emissions Scaling Factor</t>
  </si>
  <si>
    <t>Nox (pounds/MMBtu)</t>
  </si>
  <si>
    <t>CO2 Value ($/ton)</t>
  </si>
  <si>
    <t>Nox Value ($/ton)</t>
  </si>
  <si>
    <t>Non-Energy Impacts</t>
  </si>
  <si>
    <t>Nox pounds:</t>
  </si>
  <si>
    <t>CO2 value:</t>
  </si>
  <si>
    <t>Nox value:</t>
  </si>
  <si>
    <t>Environmental Externalities (Non-Embedded Costs)</t>
  </si>
  <si>
    <t>Winter Peak Environmental Benefits ($)</t>
  </si>
  <si>
    <t>Winter Off-Peak Environmental Benefits ($)</t>
  </si>
  <si>
    <t>Summer Peak Environmental Benefits ($)</t>
  </si>
  <si>
    <t>Summer Off-Peak Environmental Benefits ($)</t>
  </si>
  <si>
    <t>Total Avoided Environmental Benefits ($)</t>
  </si>
  <si>
    <t>Multiplied by 10</t>
  </si>
  <si>
    <t>First Reference (column)</t>
  </si>
  <si>
    <t>First Reference (name)</t>
  </si>
  <si>
    <t>Second Reference (column)</t>
  </si>
  <si>
    <t>Second Reference (name)</t>
  </si>
  <si>
    <t>Res + C&amp;I</t>
  </si>
  <si>
    <t>Third Reference (column)</t>
  </si>
  <si>
    <t>Third Reference (name)</t>
  </si>
  <si>
    <t>Propane Benefits</t>
  </si>
  <si>
    <t>Key</t>
  </si>
  <si>
    <t>Water not included</t>
  </si>
  <si>
    <t>Industry standard assumption.</t>
  </si>
  <si>
    <t>Not Cumulative</t>
  </si>
  <si>
    <t>Not Included in total benefits</t>
  </si>
  <si>
    <t>Gas not included</t>
  </si>
  <si>
    <t>Not part of AESC. Added to apply Wholesale Risk Premium to Energy DRIPE.</t>
  </si>
  <si>
    <t xml:space="preserve">$0. At this time the NH Utilities do not have additional benefits related to avoided local transmission in the benefit cost model. </t>
  </si>
  <si>
    <t>CO2 Value ($/MMBTU)</t>
  </si>
  <si>
    <t>Nox Value ($/MMBTU)</t>
  </si>
  <si>
    <t>Total Value ($/MMBTU)</t>
  </si>
  <si>
    <t>Pounds per short ton</t>
  </si>
  <si>
    <t>MMBtu in 1 kWh</t>
  </si>
  <si>
    <t>kWh in 1 MMBtu</t>
  </si>
  <si>
    <t>MMBtu</t>
  </si>
  <si>
    <t>kWh</t>
  </si>
  <si>
    <t>Pounds</t>
  </si>
  <si>
    <t>Shifted year</t>
  </si>
  <si>
    <t>Retail Energy DRIPE</t>
  </si>
  <si>
    <t>Retail Cross-DRIPE</t>
  </si>
  <si>
    <t>Res Demand Response</t>
  </si>
  <si>
    <t xml:space="preserve">Portfolio </t>
  </si>
  <si>
    <t>Threshold</t>
  </si>
  <si>
    <t>% of Plan</t>
  </si>
  <si>
    <t>Design Coefficient</t>
  </si>
  <si>
    <t>Actual Coefficient</t>
  </si>
  <si>
    <t>Planned PI</t>
  </si>
  <si>
    <t>Actual PI</t>
  </si>
  <si>
    <t>Source</t>
  </si>
  <si>
    <t>Planned and Actual from Cost Eff Tab</t>
  </si>
  <si>
    <t>Annual kWh Savings</t>
  </si>
  <si>
    <t>Summer Peak Demand kW</t>
  </si>
  <si>
    <t>Winter Peak Demand kW</t>
  </si>
  <si>
    <t>Total Utility Costs</t>
  </si>
  <si>
    <t>Net Benefits</t>
  </si>
  <si>
    <t>Line 5 minus line 6</t>
  </si>
  <si>
    <t xml:space="preserve">Total </t>
  </si>
  <si>
    <t>Total Resource Cost Test</t>
  </si>
  <si>
    <t>Total Benefits (incl. NEIs)</t>
  </si>
  <si>
    <t>from row 8 above</t>
  </si>
  <si>
    <t>from row 6 above</t>
  </si>
  <si>
    <t>Portfolio TRC BCR</t>
  </si>
  <si>
    <t>row 9 divided by rows 10+11+12</t>
  </si>
  <si>
    <t>Attachment E1 (2020 Update)</t>
  </si>
  <si>
    <t>Avoided Local Transmission Costs</t>
  </si>
  <si>
    <t>ES Products 3rd Party Financing (Mod. Income Loan buy-down)</t>
  </si>
  <si>
    <t>ES Products Visual Audit</t>
  </si>
  <si>
    <t>HPwES 3rd Party Financing (Mod. Income Loan buy-down)</t>
  </si>
  <si>
    <t>HPwES Visual Audit</t>
  </si>
  <si>
    <t>Other Non-Resource Benefits</t>
  </si>
  <si>
    <t>Total Non-Resource Benefits</t>
  </si>
  <si>
    <t>Page 3 of 3</t>
  </si>
  <si>
    <t>125% of Planned PI</t>
  </si>
  <si>
    <t>Non-Electric</t>
  </si>
  <si>
    <t>Resource Benefits ($000)</t>
  </si>
  <si>
    <t>Non-Resource Benefits ($000)</t>
  </si>
  <si>
    <t>Note that in order to avoid a circular reference in the calculation of performance incentive, "Total Utility Costs" does not include the value of PI.</t>
  </si>
  <si>
    <t>Planned and Actual from Benefits Tab</t>
  </si>
  <si>
    <t>O:O</t>
  </si>
  <si>
    <t>P:P</t>
  </si>
  <si>
    <t>AB:AB</t>
  </si>
  <si>
    <t>Z:Z</t>
  </si>
  <si>
    <t>AC:AC</t>
  </si>
  <si>
    <t>AA:AA</t>
  </si>
  <si>
    <t>AF:AF</t>
  </si>
  <si>
    <t>AD:AD</t>
  </si>
  <si>
    <t>AG:AG</t>
  </si>
  <si>
    <t>AE:AE</t>
  </si>
  <si>
    <t>AJ:AJ</t>
  </si>
  <si>
    <t>AH:AH</t>
  </si>
  <si>
    <t>AK:AK</t>
  </si>
  <si>
    <t>AI:AI</t>
  </si>
  <si>
    <t>AN:AN</t>
  </si>
  <si>
    <t>AL:AL</t>
  </si>
  <si>
    <t>AO:AO</t>
  </si>
  <si>
    <t>AM:AM</t>
  </si>
  <si>
    <t>AR:AR</t>
  </si>
  <si>
    <t>AP:AP</t>
  </si>
  <si>
    <t>AS:AS</t>
  </si>
  <si>
    <t>AQ:AQ</t>
  </si>
  <si>
    <t>AV:AV</t>
  </si>
  <si>
    <t>AT:AT</t>
  </si>
  <si>
    <t>AW:AW</t>
  </si>
  <si>
    <t>AU:AU</t>
  </si>
  <si>
    <t>AX:AX</t>
  </si>
  <si>
    <t>AY:AY</t>
  </si>
  <si>
    <t>AZ:AZ</t>
  </si>
  <si>
    <t>BB:BB</t>
  </si>
  <si>
    <t>BC:BC</t>
  </si>
  <si>
    <t>BD:BD</t>
  </si>
  <si>
    <t>BE:BE</t>
  </si>
  <si>
    <t>BF:BF</t>
  </si>
  <si>
    <t>BG:BG</t>
  </si>
  <si>
    <t>BP:BP</t>
  </si>
  <si>
    <t>BQ:BQ</t>
  </si>
  <si>
    <t>BR:BR</t>
  </si>
  <si>
    <t>BS:BS</t>
  </si>
  <si>
    <t>BT:BT</t>
  </si>
  <si>
    <t>BU:BU</t>
  </si>
  <si>
    <t>CS:CS</t>
  </si>
  <si>
    <t>CT:CT</t>
  </si>
  <si>
    <t>CU:CU</t>
  </si>
  <si>
    <t>CV:CV</t>
  </si>
  <si>
    <t>CW:CW</t>
  </si>
  <si>
    <t>CX:CX</t>
  </si>
  <si>
    <t>DD:DD</t>
  </si>
  <si>
    <t>BA:BA</t>
  </si>
  <si>
    <t>CQ:CQ</t>
  </si>
  <si>
    <t>CY:CY</t>
  </si>
  <si>
    <t>DC:DC</t>
  </si>
  <si>
    <t>CR:CR</t>
  </si>
  <si>
    <t>Direct Load Control Targeted Dispatch Upfront/Annual Incentive Summer</t>
  </si>
  <si>
    <t>Behavior DR</t>
  </si>
  <si>
    <t>Storage Daily Dispatch Upfront Incentive (savings) Summer</t>
  </si>
  <si>
    <t>Storage Daily Dispatch Upfront Incentive (consumption) Summer</t>
  </si>
  <si>
    <t>Storage Daily Dispatch Upfront Incentive (savings) Winter</t>
  </si>
  <si>
    <t>Storage Daily Dispatch Upfront Incentive (consumption) Winter</t>
  </si>
  <si>
    <t>Storage Daily Dispatch P4P (savings) Summer</t>
  </si>
  <si>
    <t>Storage Daily Dispatch P4P (consumption) Summer</t>
  </si>
  <si>
    <t>Storage Targeted Dispatch P4P (savings) Winter</t>
  </si>
  <si>
    <t>Storage Targeted Dispatch P4P (consumption) Winter</t>
  </si>
  <si>
    <t>EV Load Management Summer</t>
  </si>
  <si>
    <t>EV Load Management Winter</t>
  </si>
  <si>
    <t>Load Curtailment Targeted Dispatch P4P Summer</t>
  </si>
  <si>
    <t>Load Curtailment Targeted Dispatch P4P Winter</t>
  </si>
  <si>
    <t>Storage Targeted Dispatch P4P (savings) Summer</t>
  </si>
  <si>
    <t>Storage Targeted Dispatch P4P (consumption) Summer</t>
  </si>
  <si>
    <t>Summer Charging</t>
  </si>
  <si>
    <t>Winter Charging</t>
  </si>
  <si>
    <t>Strategy</t>
  </si>
  <si>
    <t>Bid into FCM</t>
  </si>
  <si>
    <t>Total for Three Years</t>
  </si>
  <si>
    <t>Limited Demand Response Scaling Factor</t>
  </si>
  <si>
    <t>Energy Strategy</t>
  </si>
  <si>
    <t>Year Start</t>
  </si>
  <si>
    <t>Program Duration (Measure Life)</t>
  </si>
  <si>
    <t>N</t>
  </si>
  <si>
    <t>N+1</t>
  </si>
  <si>
    <t>N+2</t>
  </si>
  <si>
    <t>N+3</t>
  </si>
  <si>
    <t>N+4</t>
  </si>
  <si>
    <t>N+5</t>
  </si>
  <si>
    <t>N+6</t>
  </si>
  <si>
    <t>N+7</t>
  </si>
  <si>
    <t>N+8</t>
  </si>
  <si>
    <t>N+9</t>
  </si>
  <si>
    <t>N+10</t>
  </si>
  <si>
    <t>N+11</t>
  </si>
  <si>
    <t>N+12</t>
  </si>
  <si>
    <t>N+13</t>
  </si>
  <si>
    <t>N+14</t>
  </si>
  <si>
    <t>N+15</t>
  </si>
  <si>
    <t>N+16</t>
  </si>
  <si>
    <t>N+17</t>
  </si>
  <si>
    <t>N+18</t>
  </si>
  <si>
    <t>N+19</t>
  </si>
  <si>
    <t>N+20</t>
  </si>
  <si>
    <t>N+21</t>
  </si>
  <si>
    <t>N+22</t>
  </si>
  <si>
    <t>N+23</t>
  </si>
  <si>
    <t>N+24</t>
  </si>
  <si>
    <t>N+25</t>
  </si>
  <si>
    <t>N+26</t>
  </si>
  <si>
    <t>Total for Benefits</t>
  </si>
  <si>
    <t>Retail Uncleared Capacity Avoided Costs - NH - Sustained Demand Reductions</t>
  </si>
  <si>
    <t>Wholesale Uncleared Capacity Avoided Costs - NH - Sustained Demand Reductions</t>
  </si>
  <si>
    <t>STRATEGY SUMMARY</t>
  </si>
  <si>
    <t>Link</t>
  </si>
  <si>
    <t>AESC Sensitivity</t>
  </si>
  <si>
    <t>AESC Preset</t>
  </si>
  <si>
    <t>Preset Detail</t>
  </si>
  <si>
    <t>Other Notes</t>
  </si>
  <si>
    <t>Top 20 All Hours</t>
  </si>
  <si>
    <t>Strategy 1</t>
  </si>
  <si>
    <t>Peak Load (Top %)</t>
  </si>
  <si>
    <t>20 / 8760 = 0.23%</t>
  </si>
  <si>
    <t>Summer Daily Discharge</t>
  </si>
  <si>
    <t>Strategy 2</t>
  </si>
  <si>
    <t>User Input</t>
  </si>
  <si>
    <t>Discharge daily 4-7 pm June-Sept; 4.05 kW per hour for 3 hours.</t>
  </si>
  <si>
    <t>Summer Daily Charge</t>
  </si>
  <si>
    <t>Strategy 3</t>
  </si>
  <si>
    <t>Charge daily 2-5 am June-Sept; 5.00 kW per hour for 3 hours.</t>
  </si>
  <si>
    <t>Summer Targeted Charge</t>
  </si>
  <si>
    <t>Strategy 4</t>
  </si>
  <si>
    <t>Charge 2-5 am, July and August, only on the days when the top 20 hours occur, 5 kW per hour, for 3 hours.</t>
  </si>
  <si>
    <t>Top 20 Winter Hours</t>
  </si>
  <si>
    <t>Strategy 5</t>
  </si>
  <si>
    <t>0.34%</t>
  </si>
  <si>
    <t>20 / 5832 = 0.34%</t>
  </si>
  <si>
    <t>Update the orange cells with AESC User Interface values consistent with Strategy</t>
  </si>
  <si>
    <t>Winter Targeted Charge</t>
  </si>
  <si>
    <t>Strategy 6</t>
  </si>
  <si>
    <t>Charge 2-5 am, December and January, only on the days when the top 20 winter hours occur, 5 kW per hour, for 3 hours.</t>
  </si>
  <si>
    <t>Retail Energy Costs</t>
  </si>
  <si>
    <t>Wholesale Energy Costs</t>
  </si>
  <si>
    <t>Net ZoZ DRIPE: 2019 vintage</t>
  </si>
  <si>
    <t>Avoided REC Costs to Load
CALCULATED</t>
  </si>
  <si>
    <t>Retail Energy</t>
  </si>
  <si>
    <t>Other Costing Period</t>
  </si>
  <si>
    <t>Active Demand Management</t>
  </si>
  <si>
    <t>Top 20 Summer Hours</t>
  </si>
  <si>
    <t>Strategy 7</t>
  </si>
  <si>
    <t>20 / 2928 = 0.68%</t>
  </si>
  <si>
    <t>RETAIL RATES ADJUSTED FOR LIMITED HOUR DEMAND REDUCTIONS -- $/kW-yr</t>
  </si>
  <si>
    <t>Program Cost-Effectiveness</t>
  </si>
  <si>
    <t>Present Value Benefits</t>
  </si>
  <si>
    <t>Portfolio Planned Versus Actual Performance</t>
  </si>
  <si>
    <t>All dollar values are expressed in respective year dollars (2018, 2019, 2020).</t>
  </si>
  <si>
    <r>
      <t>Total Utility Costs</t>
    </r>
    <r>
      <rPr>
        <vertAlign val="superscript"/>
        <sz val="10"/>
        <rFont val="Calibri"/>
        <family val="2"/>
      </rPr>
      <t>1</t>
    </r>
  </si>
  <si>
    <t>Capacity DRIPE ($/kW)</t>
  </si>
  <si>
    <t>Reliability ($/kW)</t>
  </si>
  <si>
    <t>Line Losses</t>
  </si>
  <si>
    <t>Line Loss Period</t>
  </si>
  <si>
    <t>NEW</t>
  </si>
  <si>
    <t>CHANGED FORMULA</t>
  </si>
  <si>
    <t>Capacity: AESC tab Column Reference</t>
  </si>
  <si>
    <t>Capacity DRIPE: AESC tab Column Reference</t>
  </si>
  <si>
    <t>Reliability: AESC tab Column Reference</t>
  </si>
  <si>
    <t>Measure ID</t>
  </si>
  <si>
    <t>E21A5a001</t>
  </si>
  <si>
    <t>E21A5a002</t>
  </si>
  <si>
    <t>E21A5a003</t>
  </si>
  <si>
    <t>E21C5a001</t>
  </si>
  <si>
    <t>E21C5a002</t>
  </si>
  <si>
    <t>E21C5a003</t>
  </si>
  <si>
    <t>E21C5a004</t>
  </si>
  <si>
    <t>E21C5a005</t>
  </si>
  <si>
    <t>Total Benefits (Legacy NH TRC)</t>
  </si>
  <si>
    <t>Total Benefits (Granite State Test)</t>
  </si>
  <si>
    <t>Total Benefits (Utility Cost Test)</t>
  </si>
  <si>
    <t>Total Benefits (Secondary GST)</t>
  </si>
  <si>
    <t>A - Residential</t>
  </si>
  <si>
    <t>B - Low-Income</t>
  </si>
  <si>
    <t>C - Commercial &amp; Industrial</t>
  </si>
  <si>
    <t>A5 - Residential Active Demand Response</t>
  </si>
  <si>
    <t>C5 - C&amp;I Active Demand Response</t>
  </si>
  <si>
    <t>A5a - Residential Active Demand Response</t>
  </si>
  <si>
    <t>C5a - C&amp;I Active Demand Response</t>
  </si>
  <si>
    <t>K:K</t>
  </si>
  <si>
    <t>X:X</t>
  </si>
  <si>
    <t>M:M</t>
  </si>
  <si>
    <t>Q:Q</t>
  </si>
  <si>
    <t>BH:BH</t>
  </si>
  <si>
    <t>BN:BN</t>
  </si>
  <si>
    <t>BV:BV</t>
  </si>
  <si>
    <t>CF:CF</t>
  </si>
  <si>
    <t>CO:CO</t>
  </si>
  <si>
    <t>CZ:CZ</t>
  </si>
  <si>
    <t>DE:DE</t>
  </si>
  <si>
    <t>Total Avoided Environmental Benefits</t>
  </si>
  <si>
    <t>DJ:DJ</t>
  </si>
  <si>
    <t>Granite State Test</t>
  </si>
  <si>
    <r>
      <t xml:space="preserve">Benefit ($000) </t>
    </r>
    <r>
      <rPr>
        <sz val="9"/>
        <rFont val="Calibri"/>
        <family val="2"/>
      </rPr>
      <t>Granite State Test</t>
    </r>
  </si>
  <si>
    <r>
      <t xml:space="preserve">Benefit/Cost Ratio 
</t>
    </r>
    <r>
      <rPr>
        <sz val="9"/>
        <rFont val="Calibri"/>
        <family val="2"/>
      </rPr>
      <t>Granite State Test</t>
    </r>
  </si>
  <si>
    <t>Energy Losses</t>
  </si>
  <si>
    <t>Peak demand loses</t>
  </si>
  <si>
    <t>Average of Manchester, NH and Concord, NH water and sewer costs per gallon from July 2016.</t>
  </si>
  <si>
    <t>f</t>
  </si>
  <si>
    <t>g</t>
  </si>
  <si>
    <t>ak = (c+g) * (1+EL) * (1+WRP)</t>
  </si>
  <si>
    <t>al = (d+g) * (1+EL) * (1+WRP)</t>
  </si>
  <si>
    <t>am = (e+g) * (1+EL) * (1+WRP)</t>
  </si>
  <si>
    <t>an = (f+g) * (1+EL) * (1+WRP)</t>
  </si>
  <si>
    <t>z</t>
  </si>
  <si>
    <t>aa</t>
  </si>
  <si>
    <t>bg = z * (1+PDL)</t>
  </si>
  <si>
    <t>bh = aa * (1+PDL) * (1+WRP)</t>
  </si>
  <si>
    <t>h</t>
  </si>
  <si>
    <t>i</t>
  </si>
  <si>
    <t>DRIPE: 2021 vintage measures</t>
  </si>
  <si>
    <t>ab</t>
  </si>
  <si>
    <t>ac</t>
  </si>
  <si>
    <t>bi = ab * (1+PDL)</t>
  </si>
  <si>
    <t>bj = ac * (1+PDL) * (1+WRP)</t>
  </si>
  <si>
    <t>2021 Installation Year</t>
  </si>
  <si>
    <t>ah</t>
  </si>
  <si>
    <t>Reliability: 2021 vintage measures</t>
  </si>
  <si>
    <t>af</t>
  </si>
  <si>
    <t>ag</t>
  </si>
  <si>
    <t>aw = p * (1+EL) * (1+WRP)</t>
  </si>
  <si>
    <t>ax = q * (1+EL) * (1+WRP)</t>
  </si>
  <si>
    <t>ay = r * (1+EL) * (1+WRP)</t>
  </si>
  <si>
    <t>az = s * (1+EL) * (1+WRP)</t>
  </si>
  <si>
    <t>be = x * (1+EL) * (1+WRP)</t>
  </si>
  <si>
    <t>WHOLESALE RATES -- 2021$/kW-yr</t>
  </si>
  <si>
    <t>Wholesale Net Uncleared Capacity DRIPE, Zone-on-Zone - NH - Sustained Demand Reductions</t>
  </si>
  <si>
    <t>Retail Net Uncleared Capacity DRIPE, Zone-on-Zone - NH - Sustained Demand Reductions</t>
  </si>
  <si>
    <t>Main 2021 AESC</t>
  </si>
  <si>
    <t>AESC, ANNUAL AVOIDED COSTS, 2021$</t>
  </si>
  <si>
    <t>Net ZoZ DRIPE: 2021 vintage</t>
  </si>
  <si>
    <r>
      <rPr>
        <i/>
        <sz val="10"/>
        <rFont val="Arial"/>
        <family val="2"/>
      </rPr>
      <t>Avoided Energy Supply Components in New England: 2021 Report</t>
    </r>
    <r>
      <rPr>
        <sz val="10"/>
        <rFont val="Arial"/>
        <family val="2"/>
      </rPr>
      <t>, May 2021 release (</t>
    </r>
    <r>
      <rPr>
        <i/>
        <sz val="10"/>
        <rFont val="Arial"/>
        <family val="2"/>
      </rPr>
      <t>AESC 2021</t>
    </r>
    <r>
      <rPr>
        <sz val="10"/>
        <rFont val="Arial"/>
        <family val="2"/>
      </rPr>
      <t>). For the 2024-2026 Plan, AESC 2021 is used to model 2024 program measures, and for illustrative purposes, 2025 and 2026 program measures. AESC 2024 is anticipated in Spring 2024, and the final two years of the Plan will be modeled under the new study and refiled in 2024.</t>
    </r>
  </si>
  <si>
    <r>
      <rPr>
        <i/>
        <sz val="10"/>
        <rFont val="Arial"/>
        <family val="2"/>
      </rPr>
      <t>AESC 2021</t>
    </r>
    <r>
      <rPr>
        <sz val="10"/>
        <rFont val="Arial"/>
        <family val="2"/>
      </rPr>
      <t>, May 2021 Release, Appendix B.</t>
    </r>
  </si>
  <si>
    <r>
      <t>No longer used to calculate avoided costs,</t>
    </r>
    <r>
      <rPr>
        <i/>
        <sz val="10"/>
        <rFont val="Arial"/>
        <family val="2"/>
      </rPr>
      <t xml:space="preserve"> AESC 2021</t>
    </r>
    <r>
      <rPr>
        <sz val="10"/>
        <rFont val="Arial"/>
        <family val="2"/>
      </rPr>
      <t>, May 2021 Release</t>
    </r>
    <r>
      <rPr>
        <sz val="10"/>
        <rFont val="Arial"/>
        <family val="2"/>
      </rPr>
      <t>.</t>
    </r>
  </si>
  <si>
    <t>No DR has been bid into the FCM.</t>
  </si>
  <si>
    <r>
      <t xml:space="preserve">Updated June 1, 2023. Based on the June 2023 Prime Rate in accordance with the </t>
    </r>
    <r>
      <rPr>
        <i/>
        <sz val="10"/>
        <rFont val="Arial"/>
        <family val="2"/>
      </rPr>
      <t>Final Energy Efficiency Group Report</t>
    </r>
    <r>
      <rPr>
        <sz val="10"/>
        <rFont val="Arial"/>
        <family val="2"/>
      </rPr>
      <t>, dated July 6, 1999 in DR 96-150. Retrieved from https://www.jpmorganchase.com/about/our-business/historical-prime-rate</t>
    </r>
  </si>
  <si>
    <t xml:space="preserve">Updated June 22, 2023. Based on the inflation rate from Q1 2022 to Q1 2023, Retrieved from https://fred.stlouisfed.org/data/GDPDEF.txt </t>
  </si>
  <si>
    <r>
      <rPr>
        <i/>
        <sz val="10"/>
        <rFont val="Arial"/>
        <family val="2"/>
      </rPr>
      <t>AESC 2021</t>
    </r>
    <r>
      <rPr>
        <sz val="10"/>
        <rFont val="Arial"/>
        <family val="2"/>
      </rPr>
      <t>, May 2021 Release</t>
    </r>
  </si>
  <si>
    <t>For modeling purposes, using a forecast inflation rate for January 2023. https://tradingeconomics.com/united-states/inflation-cpi</t>
  </si>
  <si>
    <t>Matches energy losses from AESC 2021.</t>
  </si>
  <si>
    <r>
      <t xml:space="preserve">Approved in the </t>
    </r>
    <r>
      <rPr>
        <i/>
        <sz val="10"/>
        <rFont val="Arial"/>
        <family val="2"/>
      </rPr>
      <t>2022-23 NH Statewide Energy Efficiency Plan</t>
    </r>
    <r>
      <rPr>
        <sz val="10"/>
        <rFont val="Arial"/>
        <family val="2"/>
      </rPr>
      <t>. Takes percent of total energy benefit (excludes water) and adds to total benefits. Does not apply to the primary Granite State Test.</t>
    </r>
  </si>
  <si>
    <r>
      <rPr>
        <i/>
        <sz val="10"/>
        <rFont val="Arial"/>
        <family val="2"/>
      </rPr>
      <t>Home Energy Assistance Program Evaluation Report (2016-2017)</t>
    </r>
    <r>
      <rPr>
        <sz val="10"/>
        <rFont val="Arial"/>
        <family val="2"/>
      </rPr>
      <t>. Annual dollar value per weatherization project added to total benefits.</t>
    </r>
  </si>
  <si>
    <r>
      <rPr>
        <i/>
        <sz val="10"/>
        <rFont val="Arial"/>
        <family val="2"/>
      </rPr>
      <t>Home Energy Assistance Program Evaluation Report (2016-2017)</t>
    </r>
    <r>
      <rPr>
        <sz val="10"/>
        <rFont val="Arial"/>
        <family val="2"/>
      </rPr>
      <t>.</t>
    </r>
  </si>
  <si>
    <t>B - Low-Income NEI Year</t>
  </si>
  <si>
    <t>$</t>
  </si>
  <si>
    <t>CO2 pounds: Updated 1/26/22 from https://www.eia.gov/environment/emissions/co2_vol_mass.php</t>
  </si>
  <si>
    <t>kWh Sales (2022)</t>
  </si>
  <si>
    <t>Used to calculate percent of sales savings (based on 2022 sales)</t>
  </si>
  <si>
    <t>Avoided Costs (AESC 2021)</t>
  </si>
  <si>
    <r>
      <t xml:space="preserve">Source: </t>
    </r>
    <r>
      <rPr>
        <sz val="10"/>
        <rFont val="Arial"/>
        <family val="2"/>
      </rPr>
      <t>RGGI Price Path, AESC 2021 User Interface Table 17</t>
    </r>
  </si>
  <si>
    <t>2021 $/short ton</t>
  </si>
  <si>
    <t>Gas supply DRIPE and gas cross DRIPE—New Hampshire (2021 $/MMBtu)</t>
  </si>
  <si>
    <t>AESC 2021 Appendix C Workbooks - May, 2021 FINAL</t>
  </si>
  <si>
    <t>Avoided cost of gas to retail customers by end-use for Northern New England (NNE) assuming some avoidable retail margin (2021 $/MMBtu)</t>
  </si>
  <si>
    <t>AESC 2021 Appendix B Workbooks - May, 2021 FINAL</t>
  </si>
  <si>
    <t>AESC 2021 Results: Avoided Cost of Electricity (2021 $)</t>
  </si>
  <si>
    <t>AESC 2021 Appendix D Workbooks - May, 2021 FINAL</t>
  </si>
  <si>
    <t>Avoided costs of petroleum fuels and other fuels by sector</t>
  </si>
  <si>
    <t>Home Heating Oil DRIPE by state (2021 $/MMBtu)</t>
  </si>
  <si>
    <t>CUMULATIVE AVOIDED COSTS (2024$)</t>
  </si>
  <si>
    <t>2021 AESC, Appendix J</t>
  </si>
  <si>
    <t>Total Program Costs (2024$)</t>
  </si>
  <si>
    <t>Performance Incentive (2024$)</t>
  </si>
  <si>
    <t>Participant Costs (2024$)</t>
  </si>
  <si>
    <t>Total Resource Costs (2024$)</t>
  </si>
  <si>
    <t>2024$</t>
  </si>
  <si>
    <t>Shifted Year</t>
  </si>
  <si>
    <t>For modeling purposes, using the current Prime Rate as of February 2023.</t>
  </si>
  <si>
    <t>NHPUC Docket No. DE 23-XXX</t>
  </si>
  <si>
    <t>(1) Utility and Customer Costs and Benefits are expressed in 2024 Dollars.</t>
  </si>
  <si>
    <r>
      <t>Utility Costs ($000 - 2024$)</t>
    </r>
    <r>
      <rPr>
        <b/>
        <vertAlign val="superscript"/>
        <sz val="10"/>
        <rFont val="Calibri"/>
        <family val="2"/>
      </rPr>
      <t>1</t>
    </r>
  </si>
  <si>
    <r>
      <t>Customer Costs ($000 - 2024$)</t>
    </r>
    <r>
      <rPr>
        <b/>
        <vertAlign val="superscript"/>
        <sz val="10"/>
        <rFont val="Calibri"/>
        <family val="2"/>
      </rPr>
      <t>1</t>
    </r>
  </si>
  <si>
    <t>(2024-2026)</t>
  </si>
  <si>
    <t xml:space="preserve"> (2024-2026)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</si>
</sst>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quot;$&quot;#,##0.00"/>
    <numFmt numFmtId="166" formatCode="0.0%"/>
    <numFmt numFmtId="167" formatCode="&quot;$&quot;#,##0"/>
    <numFmt numFmtId="168" formatCode="0.0"/>
    <numFmt numFmtId="169" formatCode="0.000"/>
    <numFmt numFmtId="170" formatCode="_(&quot;$&quot;* #,##0_);_(&quot;$&quot;* \(#,##0\);_(&quot;$&quot;* &quot;-&quot;??_);_(@_)"/>
    <numFmt numFmtId="171" formatCode="_(* #,##0_);_(* \(#,##0\);_(* &quot;-&quot;??_);_(@_)"/>
    <numFmt numFmtId="172" formatCode="_(* #,##0.0_);_(* \(#,##0.0\);_(* &quot;-&quot;??_);_(@_)"/>
    <numFmt numFmtId="173" formatCode="&quot;$&quot;#,##0.000"/>
    <numFmt numFmtId="174" formatCode="&quot;$&quot;#,##0.0000"/>
    <numFmt numFmtId="175" formatCode="#,##0.0"/>
    <numFmt numFmtId="176" formatCode="0.000000"/>
    <numFmt numFmtId="177" formatCode="[$-409]m/d/yy\ h:mm\ AM/PM;@"/>
    <numFmt numFmtId="178" formatCode="0.0000"/>
    <numFmt numFmtId="179" formatCode="&quot;$&quot;#,##0&quot;/MWh&quot;;\(&quot;$&quot;#,##0\)&quot;/MWh&quot;"/>
    <numFmt numFmtId="180" formatCode="_(* #,##0.000_);_(* \(#,##0.000\);_(* &quot;-&quot;??_);_(@_)"/>
    <numFmt numFmtId="181" formatCode="0.00000"/>
    <numFmt numFmtId="182" formatCode="&quot;$&quot;#,##0&quot;/kW&quot;;\(&quot;$&quot;#,##0\)&quot;/kW&quot;"/>
    <numFmt numFmtId="183" formatCode="&quot;$&quot;#,##0&quot;/kWh&quot;;\(&quot;$&quot;#,##0\)&quot;/kWh&quot;"/>
    <numFmt numFmtId="184" formatCode="&quot;$&quot;#,##0&quot;/kW-yr&quot;;\(&quot;$&quot;#,##0\)&quot;/kW-yr&quot;"/>
    <numFmt numFmtId="185" formatCode="&quot;$&quot;#,##0_)&quot;M&quot;;\(&quot;$&quot;#,##0\)&quot;M&quot;"/>
    <numFmt numFmtId="186" formatCode="0.00&quot;¢/kWh&quot;"/>
    <numFmt numFmtId="187" formatCode="_([$€-2]* #,##0.00_);_([$€-2]* \(#,##0.00\);_([$€-2]* &quot;-&quot;??_)"/>
    <numFmt numFmtId="188" formatCode="_(&quot;$&quot;* #,##0.0_);_(&quot;$&quot;* \(#,##0.0\);_(&quot;$&quot;* &quot;-&quot;??_);_(@_)"/>
    <numFmt numFmtId="189" formatCode="#,##0.000000"/>
    <numFmt numFmtId="190" formatCode="#,##0;[Red]\(#,##0\)"/>
    <numFmt numFmtId="191" formatCode="&quot;$&quot;#,##0;[Red]\(&quot;$&quot;#,##0\)"/>
    <numFmt numFmtId="192" formatCode="_(* #,##0.0_);_(* \(#,##0.0\);_(* &quot;-&quot;?_);_(@_)"/>
    <numFmt numFmtId="193" formatCode="#,##0.00000"/>
    <numFmt numFmtId="194" formatCode="_(* #,##0.000000_);_(* \(#,##0.000000\);_(* &quot;-&quot;??_);_(@_)"/>
    <numFmt numFmtId="195" formatCode="_(* #,##0.0000000_);_(* \(#,##0.0000000\);_(* &quot;-&quot;??_);_(@_)"/>
    <numFmt numFmtId="196" formatCode="0.000%"/>
    <numFmt numFmtId="197" formatCode="_(* #,##0.00_);_(* \(#,##0.00\);_(* &quot;-&quot;?_);_(@_)"/>
    <numFmt numFmtId="198" formatCode="#,##0.0_);[Red]\(#,##0.0\)"/>
    <numFmt numFmtId="199" formatCode="_(&quot;$&quot;* #,##0.0000_);_(&quot;$&quot;* \(#,##0.0000\);_(&quot;$&quot;* &quot;-&quot;??_);_(@_)"/>
    <numFmt numFmtId="200" formatCode="#,##0.000_);[Red]\(#,##0.000\)"/>
    <numFmt numFmtId="201" formatCode="_(* #,##0_);_(* \(#,##0\);_(* &quot;-&quot;?_);_(@_)"/>
    <numFmt numFmtId="202" formatCode="_(* #,##0.000_);_(* \(#,##0.000\);_(* &quot;-&quot;_);_(@_)"/>
  </numFmts>
  <fonts count="17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name val="Arial"/>
      <family val="2"/>
    </font>
    <font>
      <b/>
      <sz val="10"/>
      <name val="Arial"/>
      <family val="2"/>
    </font>
    <font>
      <sz val="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Verdana"/>
      <family val="2"/>
    </font>
    <font>
      <i/>
      <sz val="11"/>
      <color indexed="23"/>
      <name val="Calibri"/>
      <family val="2"/>
    </font>
    <font>
      <sz val="11"/>
      <color indexed="17"/>
      <name val="Calibri"/>
      <family val="2"/>
    </font>
    <font>
      <b/>
      <i/>
      <sz val="10"/>
      <name val="Helv"/>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MS Sans Serif"/>
      <family val="2"/>
    </font>
    <font>
      <b/>
      <sz val="12"/>
      <name val="Arial"/>
      <family val="2"/>
    </font>
    <font>
      <sz val="12"/>
      <name val="Arial"/>
      <family val="2"/>
    </font>
    <font>
      <sz val="12"/>
      <color indexed="12"/>
      <name val="Arial"/>
      <family val="2"/>
    </font>
    <font>
      <b/>
      <u/>
      <sz val="18"/>
      <name val="Arial"/>
      <family val="2"/>
    </font>
    <font>
      <b/>
      <u/>
      <sz val="16"/>
      <name val="Arial"/>
      <family val="2"/>
    </font>
    <font>
      <b/>
      <sz val="16"/>
      <name val="Arial"/>
      <family val="2"/>
    </font>
    <font>
      <b/>
      <vertAlign val="superscript"/>
      <sz val="10"/>
      <name val="Arial"/>
      <family val="2"/>
    </font>
    <font>
      <i/>
      <sz val="10"/>
      <name val="Arial"/>
      <family val="2"/>
    </font>
    <font>
      <sz val="10"/>
      <name val="Arial"/>
      <family val="2"/>
    </font>
    <font>
      <sz val="10"/>
      <name val="Arial"/>
      <family val="2"/>
    </font>
    <font>
      <sz val="11"/>
      <color indexed="14"/>
      <name val="Calibri"/>
      <family val="2"/>
    </font>
    <font>
      <b/>
      <sz val="10"/>
      <color indexed="64"/>
      <name val="Arial"/>
      <family val="2"/>
    </font>
    <font>
      <b/>
      <sz val="15"/>
      <color indexed="62"/>
      <name val="Calibri"/>
      <family val="2"/>
    </font>
    <font>
      <b/>
      <sz val="13"/>
      <color indexed="62"/>
      <name val="Calibri"/>
      <family val="2"/>
    </font>
    <font>
      <b/>
      <sz val="11"/>
      <color indexed="62"/>
      <name val="Calibri"/>
      <family val="2"/>
    </font>
    <font>
      <sz val="10"/>
      <color indexed="64"/>
      <name val="Arial"/>
      <family val="2"/>
    </font>
    <font>
      <b/>
      <sz val="18"/>
      <color indexed="62"/>
      <name val="Cambria"/>
      <family val="2"/>
    </font>
    <font>
      <b/>
      <sz val="10"/>
      <color theme="0"/>
      <name val="Arial"/>
      <family val="2"/>
    </font>
    <font>
      <b/>
      <sz val="11"/>
      <color theme="0"/>
      <name val="Calibri"/>
      <family val="2"/>
    </font>
    <font>
      <b/>
      <i/>
      <sz val="10"/>
      <color theme="0" tint="-0.499984740745262"/>
      <name val="Arial"/>
      <family val="2"/>
    </font>
    <font>
      <sz val="10"/>
      <name val="Calibri"/>
      <family val="2"/>
    </font>
    <font>
      <b/>
      <sz val="10"/>
      <name val="Calibri"/>
      <family val="2"/>
    </font>
    <font>
      <b/>
      <sz val="11"/>
      <color theme="0"/>
      <name val="Arial"/>
      <family val="2"/>
    </font>
    <font>
      <sz val="10"/>
      <name val="Calibri"/>
      <family val="2"/>
    </font>
    <font>
      <sz val="10"/>
      <color theme="1"/>
      <name val="Calibri"/>
      <family val="2"/>
    </font>
    <font>
      <sz val="11"/>
      <name val="Arial"/>
      <family val="2"/>
    </font>
    <font>
      <sz val="10"/>
      <name val="Arial"/>
      <family val="2"/>
    </font>
    <font>
      <sz val="10"/>
      <color theme="1"/>
      <name val="Arial"/>
      <family val="2"/>
    </font>
    <font>
      <sz val="10"/>
      <name val="Arial"/>
      <family val="2"/>
    </font>
    <font>
      <sz val="10"/>
      <color rgb="FFFF0000"/>
      <name val="Arial"/>
      <family val="2"/>
    </font>
    <font>
      <b/>
      <sz val="11"/>
      <color indexed="8"/>
      <name val="Arial"/>
      <family val="2"/>
    </font>
    <font>
      <b/>
      <sz val="11"/>
      <name val="Arial"/>
      <family val="2"/>
    </font>
    <font>
      <sz val="11"/>
      <color indexed="8"/>
      <name val="Arial"/>
      <family val="2"/>
    </font>
    <font>
      <sz val="11"/>
      <color theme="1"/>
      <name val="Arial"/>
      <family val="2"/>
    </font>
    <font>
      <b/>
      <sz val="10"/>
      <color rgb="FFFF0000"/>
      <name val="Arial"/>
      <family val="2"/>
    </font>
    <font>
      <b/>
      <i/>
      <sz val="10"/>
      <name val="Arial"/>
      <family val="2"/>
    </font>
    <font>
      <b/>
      <u/>
      <sz val="10"/>
      <name val="Arial"/>
      <family val="2"/>
    </font>
    <font>
      <b/>
      <sz val="12"/>
      <name val="Calibri"/>
      <family val="2"/>
    </font>
    <font>
      <b/>
      <sz val="10"/>
      <name val="Calibri"/>
      <family val="2"/>
    </font>
    <font>
      <sz val="12"/>
      <name val="Times New Roman"/>
      <family val="1"/>
    </font>
    <font>
      <u/>
      <sz val="10"/>
      <name val="Calibri"/>
      <family val="2"/>
    </font>
    <font>
      <sz val="10"/>
      <color rgb="FFFF0000"/>
      <name val="Calibri"/>
      <family val="2"/>
    </font>
    <font>
      <vertAlign val="superscript"/>
      <sz val="10"/>
      <name val="Calibri"/>
      <family val="2"/>
    </font>
    <font>
      <b/>
      <sz val="11"/>
      <color theme="1"/>
      <name val="Arial"/>
      <family val="2"/>
    </font>
    <font>
      <sz val="12"/>
      <name val="Times New Roman"/>
      <family val="1"/>
    </font>
    <font>
      <sz val="10"/>
      <color theme="0" tint="-0.499984740745262"/>
      <name val="Arial"/>
      <family val="2"/>
    </font>
    <font>
      <b/>
      <sz val="11"/>
      <name val="Calibri"/>
      <family val="2"/>
    </font>
    <font>
      <sz val="8"/>
      <name val="Swis721 BT"/>
      <family val="2"/>
    </font>
    <font>
      <sz val="11"/>
      <color indexed="8"/>
      <name val="Calibri"/>
      <family val="2"/>
    </font>
    <font>
      <b/>
      <u/>
      <sz val="12"/>
      <name val="Dutch801 BT"/>
    </font>
    <font>
      <u/>
      <sz val="10.45"/>
      <color indexed="12"/>
      <name val="SWISS"/>
    </font>
    <font>
      <u/>
      <sz val="10"/>
      <color indexed="12"/>
      <name val="Arial"/>
      <family val="2"/>
    </font>
    <font>
      <sz val="12"/>
      <color theme="1"/>
      <name val="Century Gothic"/>
      <family val="2"/>
    </font>
    <font>
      <b/>
      <sz val="10"/>
      <name val="MS Sans Serif"/>
      <family val="2"/>
    </font>
    <font>
      <sz val="10"/>
      <name val="Helv"/>
      <charset val="204"/>
    </font>
    <font>
      <sz val="12"/>
      <color theme="1"/>
      <name val="Calibri"/>
      <family val="2"/>
    </font>
    <font>
      <sz val="10"/>
      <name val="Arial"/>
      <family val="2"/>
    </font>
    <font>
      <b/>
      <sz val="9"/>
      <name val="Arial"/>
      <family val="2"/>
    </font>
    <font>
      <b/>
      <sz val="11"/>
      <color theme="1"/>
      <name val="Calibri"/>
      <family val="2"/>
      <scheme val="minor"/>
    </font>
    <font>
      <sz val="10"/>
      <color indexed="8"/>
      <name val="MS Sans Serif"/>
      <family val="2"/>
    </font>
    <font>
      <b/>
      <u/>
      <sz val="18"/>
      <color rgb="FFFF0000"/>
      <name val="Arial"/>
      <family val="2"/>
    </font>
    <font>
      <b/>
      <sz val="11"/>
      <color rgb="FF010101"/>
      <name val="Arial"/>
      <family val="2"/>
    </font>
    <font>
      <b/>
      <sz val="9"/>
      <color rgb="FF010101"/>
      <name val="Arial"/>
      <family val="2"/>
    </font>
    <font>
      <b/>
      <sz val="20"/>
      <name val="Calibri"/>
      <family val="2"/>
      <scheme val="minor"/>
    </font>
    <font>
      <b/>
      <sz val="16"/>
      <color theme="0"/>
      <name val="Calibri"/>
      <family val="2"/>
      <scheme val="minor"/>
    </font>
    <font>
      <b/>
      <i/>
      <sz val="14"/>
      <color theme="0"/>
      <name val="Calibri"/>
      <family val="2"/>
      <scheme val="minor"/>
    </font>
    <font>
      <sz val="16"/>
      <color theme="0"/>
      <name val="Calibri"/>
      <family val="2"/>
      <scheme val="minor"/>
    </font>
    <font>
      <b/>
      <i/>
      <sz val="14"/>
      <name val="Calibri"/>
      <family val="2"/>
      <scheme val="minor"/>
    </font>
    <font>
      <sz val="11"/>
      <name val="Calibri"/>
      <family val="2"/>
      <scheme val="minor"/>
    </font>
    <font>
      <b/>
      <u/>
      <sz val="10"/>
      <color rgb="FFFF0000"/>
      <name val="Arial"/>
      <family val="2"/>
    </font>
    <font>
      <b/>
      <sz val="10"/>
      <color rgb="FF010101"/>
      <name val="Arial"/>
      <family val="2"/>
    </font>
    <font>
      <sz val="10"/>
      <color rgb="FF010101"/>
      <name val="Arial"/>
      <family val="2"/>
    </font>
    <font>
      <b/>
      <u/>
      <sz val="18"/>
      <color theme="0" tint="-0.499984740745262"/>
      <name val="Arial"/>
      <family val="2"/>
    </font>
    <font>
      <b/>
      <u/>
      <sz val="16"/>
      <color theme="0" tint="-0.499984740745262"/>
      <name val="Arial"/>
      <family val="2"/>
    </font>
    <font>
      <b/>
      <sz val="16"/>
      <color theme="0" tint="-0.499984740745262"/>
      <name val="Arial"/>
      <family val="2"/>
    </font>
    <font>
      <b/>
      <sz val="10"/>
      <color theme="0" tint="-0.499984740745262"/>
      <name val="Arial"/>
      <family val="2"/>
    </font>
    <font>
      <b/>
      <vertAlign val="superscript"/>
      <sz val="10"/>
      <color theme="0" tint="-0.499984740745262"/>
      <name val="Arial"/>
      <family val="2"/>
    </font>
    <font>
      <sz val="11"/>
      <color rgb="FFFF0000"/>
      <name val="Arial"/>
      <family val="2"/>
    </font>
    <font>
      <b/>
      <sz val="14"/>
      <color rgb="FFFF0000"/>
      <name val="Arial"/>
      <family val="2"/>
    </font>
    <font>
      <b/>
      <sz val="18"/>
      <name val="Arial"/>
      <family val="2"/>
    </font>
    <font>
      <sz val="11"/>
      <color theme="0"/>
      <name val="Arial"/>
      <family val="2"/>
    </font>
    <font>
      <b/>
      <sz val="16"/>
      <color theme="0"/>
      <name val="Arial"/>
      <family val="2"/>
    </font>
    <font>
      <sz val="16"/>
      <color theme="0"/>
      <name val="Arial"/>
      <family val="2"/>
    </font>
    <font>
      <sz val="16"/>
      <name val="Arial"/>
      <family val="2"/>
    </font>
    <font>
      <b/>
      <sz val="26"/>
      <color theme="0"/>
      <name val="Arial"/>
      <family val="2"/>
    </font>
    <font>
      <b/>
      <sz val="14"/>
      <color theme="1"/>
      <name val="Arial"/>
      <family val="2"/>
    </font>
    <font>
      <b/>
      <sz val="10"/>
      <color theme="1"/>
      <name val="Arial"/>
      <family val="2"/>
    </font>
    <font>
      <sz val="11"/>
      <color theme="0" tint="-0.499984740745262"/>
      <name val="Arial"/>
      <family val="2"/>
    </font>
    <font>
      <b/>
      <sz val="12"/>
      <color rgb="FFFF0000"/>
      <name val="Arial"/>
      <family val="2"/>
    </font>
    <font>
      <b/>
      <sz val="10"/>
      <color theme="0"/>
      <name val="Calibri"/>
      <family val="2"/>
    </font>
    <font>
      <u/>
      <sz val="11"/>
      <name val="Arial"/>
      <family val="2"/>
    </font>
    <font>
      <i/>
      <sz val="10"/>
      <name val="Calibri"/>
      <family val="2"/>
    </font>
    <font>
      <b/>
      <sz val="10"/>
      <color theme="1"/>
      <name val="Calibri"/>
      <family val="2"/>
    </font>
    <font>
      <i/>
      <sz val="10"/>
      <color rgb="FFFF0000"/>
      <name val="Calibri"/>
      <family val="2"/>
    </font>
    <font>
      <b/>
      <sz val="10"/>
      <color rgb="FFFF0000"/>
      <name val="Calibri"/>
      <family val="2"/>
    </font>
    <font>
      <b/>
      <i/>
      <sz val="10"/>
      <color theme="1"/>
      <name val="Calibri"/>
      <family val="2"/>
    </font>
    <font>
      <i/>
      <sz val="10"/>
      <color theme="1"/>
      <name val="Calibri"/>
      <family val="2"/>
    </font>
    <font>
      <vertAlign val="superscript"/>
      <sz val="11"/>
      <color theme="1"/>
      <name val="Calibri"/>
      <family val="2"/>
    </font>
    <font>
      <u/>
      <sz val="10"/>
      <color theme="10"/>
      <name val="Arial"/>
      <family val="2"/>
    </font>
    <font>
      <b/>
      <sz val="9"/>
      <color indexed="81"/>
      <name val="Tahoma"/>
      <family val="2"/>
    </font>
    <font>
      <sz val="9"/>
      <color indexed="81"/>
      <name val="Tahoma"/>
      <family val="2"/>
    </font>
    <font>
      <b/>
      <sz val="16"/>
      <name val="Calibri"/>
      <family val="2"/>
      <scheme val="minor"/>
    </font>
    <font>
      <b/>
      <sz val="26"/>
      <color theme="0"/>
      <name val="Calibri"/>
      <family val="2"/>
      <scheme val="minor"/>
    </font>
    <font>
      <sz val="26"/>
      <color theme="1"/>
      <name val="Calibri"/>
      <family val="2"/>
      <scheme val="minor"/>
    </font>
    <font>
      <b/>
      <sz val="12"/>
      <color theme="1"/>
      <name val="Calibri"/>
      <family val="2"/>
      <scheme val="minor"/>
    </font>
    <font>
      <b/>
      <i/>
      <sz val="16"/>
      <color theme="3" tint="-0.249977111117893"/>
      <name val="Calibri"/>
      <family val="2"/>
      <scheme val="minor"/>
    </font>
    <font>
      <b/>
      <i/>
      <sz val="16"/>
      <name val="Calibri"/>
      <family val="2"/>
      <scheme val="minor"/>
    </font>
    <font>
      <i/>
      <sz val="16"/>
      <color theme="3" tint="-0.249977111117893"/>
      <name val="Calibri"/>
      <family val="2"/>
      <scheme val="minor"/>
    </font>
    <font>
      <b/>
      <sz val="11"/>
      <name val="Calibri"/>
      <family val="2"/>
      <scheme val="minor"/>
    </font>
    <font>
      <sz val="10"/>
      <color rgb="FFFF0000"/>
      <name val="Verdana"/>
      <family val="2"/>
    </font>
    <font>
      <b/>
      <sz val="14"/>
      <name val="Arial"/>
      <family val="2"/>
    </font>
    <font>
      <b/>
      <i/>
      <sz val="18"/>
      <name val="Arial"/>
      <family val="2"/>
    </font>
    <font>
      <i/>
      <sz val="11"/>
      <name val="Arial"/>
      <family val="2"/>
    </font>
    <font>
      <sz val="14"/>
      <name val="Arial"/>
      <family val="2"/>
    </font>
    <font>
      <b/>
      <sz val="14"/>
      <color theme="0"/>
      <name val="Arial"/>
      <family val="2"/>
    </font>
    <font>
      <sz val="14"/>
      <color theme="0"/>
      <name val="Arial"/>
      <family val="2"/>
    </font>
    <font>
      <sz val="11"/>
      <name val="Calibri"/>
      <family val="2"/>
    </font>
    <font>
      <sz val="10"/>
      <name val="Calibri"/>
      <family val="2"/>
      <scheme val="minor"/>
    </font>
    <font>
      <sz val="9"/>
      <name val="Calibri"/>
      <family val="2"/>
    </font>
    <font>
      <b/>
      <vertAlign val="superscript"/>
      <sz val="10"/>
      <name val="Calibri"/>
      <family val="2"/>
    </font>
    <font>
      <sz val="10"/>
      <color theme="0" tint="-0.34998626667073579"/>
      <name val="Arial"/>
      <family val="2"/>
    </font>
    <font>
      <sz val="11"/>
      <color theme="0" tint="-0.34998626667073579"/>
      <name val="Arial"/>
      <family val="2"/>
    </font>
    <font>
      <b/>
      <sz val="26"/>
      <color theme="9" tint="0.39997558519241921"/>
      <name val="Calibri"/>
      <family val="2"/>
      <scheme val="minor"/>
    </font>
  </fonts>
  <fills count="108">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9"/>
      </patternFill>
    </fill>
    <fill>
      <patternFill patternType="solid">
        <fgColor indexed="42"/>
      </patternFill>
    </fill>
    <fill>
      <patternFill patternType="solid">
        <fgColor indexed="27"/>
      </patternFill>
    </fill>
    <fill>
      <patternFill patternType="solid">
        <fgColor indexed="46"/>
      </patternFill>
    </fill>
    <fill>
      <patternFill patternType="solid">
        <fgColor indexed="26"/>
      </patternFill>
    </fill>
    <fill>
      <patternFill patternType="solid">
        <fgColor indexed="47"/>
      </patternFill>
    </fill>
    <fill>
      <patternFill patternType="solid">
        <fgColor indexed="48"/>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0"/>
      </patternFill>
    </fill>
    <fill>
      <patternFill patternType="solid">
        <fgColor indexed="36"/>
      </patternFill>
    </fill>
    <fill>
      <patternFill patternType="solid">
        <fgColor indexed="49"/>
      </patternFill>
    </fill>
    <fill>
      <patternFill patternType="solid">
        <fgColor indexed="13"/>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4"/>
      </patternFill>
    </fill>
    <fill>
      <patternFill patternType="solid">
        <fgColor indexed="57"/>
      </patternFill>
    </fill>
    <fill>
      <patternFill patternType="solid">
        <fgColor indexed="50"/>
      </patternFill>
    </fill>
    <fill>
      <patternFill patternType="solid">
        <fgColor indexed="53"/>
      </patternFill>
    </fill>
    <fill>
      <patternFill patternType="solid">
        <fgColor indexed="55"/>
      </patternFill>
    </fill>
    <fill>
      <patternFill patternType="solid">
        <fgColor indexed="42"/>
        <bgColor indexed="64"/>
      </patternFill>
    </fill>
    <fill>
      <patternFill patternType="solid">
        <fgColor indexed="11"/>
        <bgColor indexed="64"/>
      </patternFill>
    </fill>
    <fill>
      <patternFill patternType="solid">
        <fgColor indexed="43"/>
        <bgColor indexed="64"/>
      </patternFill>
    </fill>
    <fill>
      <patternFill patternType="solid">
        <fgColor indexed="41"/>
        <bgColor indexed="64"/>
      </patternFill>
    </fill>
    <fill>
      <patternFill patternType="solid">
        <fgColor indexed="14"/>
        <bgColor indexed="64"/>
      </patternFill>
    </fill>
    <fill>
      <patternFill patternType="solid">
        <fgColor indexed="26"/>
        <bgColor indexed="64"/>
      </patternFill>
    </fill>
    <fill>
      <patternFill patternType="solid">
        <fgColor indexed="4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0000"/>
        <bgColor indexed="64"/>
      </patternFill>
    </fill>
    <fill>
      <patternFill patternType="solid">
        <fgColor theme="7"/>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59999389629810485"/>
        <bgColor indexed="64"/>
      </patternFill>
    </fill>
    <fill>
      <patternFill patternType="solid">
        <fgColor indexed="19"/>
      </patternFill>
    </fill>
    <fill>
      <patternFill patternType="solid">
        <fgColor theme="0" tint="-0.499984740745262"/>
        <bgColor indexed="64"/>
      </patternFill>
    </fill>
    <fill>
      <patternFill patternType="solid">
        <fgColor theme="0" tint="-0.14999847407452621"/>
        <bgColor indexed="64"/>
      </patternFill>
    </fill>
    <fill>
      <patternFill patternType="solid">
        <fgColor rgb="FF008000"/>
        <bgColor indexed="64"/>
      </patternFill>
    </fill>
    <fill>
      <patternFill patternType="solid">
        <fgColor rgb="FFCC990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006600"/>
        <bgColor indexed="64"/>
      </patternFill>
    </fill>
    <fill>
      <patternFill patternType="solid">
        <fgColor rgb="FF99FF99"/>
        <bgColor indexed="64"/>
      </patternFill>
    </fill>
    <fill>
      <patternFill patternType="solid">
        <fgColor theme="7" tint="0.79998168889431442"/>
        <bgColor indexed="64"/>
      </patternFill>
    </fill>
    <fill>
      <patternFill patternType="solid">
        <fgColor rgb="FFCCECFF"/>
        <bgColor indexed="64"/>
      </patternFill>
    </fill>
    <fill>
      <patternFill patternType="solid">
        <fgColor rgb="FF99CCFF"/>
        <bgColor indexed="64"/>
      </patternFill>
    </fill>
    <fill>
      <patternFill patternType="solid">
        <fgColor rgb="FF0099CC"/>
        <bgColor indexed="64"/>
      </patternFill>
    </fill>
    <fill>
      <patternFill patternType="solid">
        <fgColor rgb="FF0070C0"/>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003300"/>
        <bgColor indexed="64"/>
      </patternFill>
    </fill>
    <fill>
      <patternFill patternType="solid">
        <fgColor rgb="FF00CC00"/>
        <bgColor indexed="64"/>
      </patternFill>
    </fill>
    <fill>
      <patternFill patternType="solid">
        <fgColor rgb="FF7030A0"/>
        <bgColor indexed="64"/>
      </patternFill>
    </fill>
    <fill>
      <patternFill patternType="solid">
        <fgColor rgb="FF00FF00"/>
        <bgColor indexed="64"/>
      </patternFill>
    </fill>
    <fill>
      <patternFill patternType="solid">
        <fgColor rgb="FF009900"/>
        <bgColor indexed="64"/>
      </patternFill>
    </fill>
    <fill>
      <patternFill patternType="solid">
        <fgColor rgb="FF00B0F0"/>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theme="8"/>
        <bgColor indexed="64"/>
      </patternFill>
    </fill>
    <fill>
      <patternFill patternType="solid">
        <fgColor theme="1" tint="0.34998626667073579"/>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CCB094"/>
        <bgColor indexed="64"/>
      </patternFill>
    </fill>
    <fill>
      <patternFill patternType="solid">
        <fgColor theme="3" tint="0.59999389629810485"/>
        <bgColor indexed="64"/>
      </patternFill>
    </fill>
    <fill>
      <patternFill patternType="solid">
        <fgColor theme="3"/>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rgb="FF92D050"/>
        <bgColor indexed="64"/>
      </patternFill>
    </fill>
    <fill>
      <patternFill patternType="solid">
        <fgColor theme="9"/>
        <bgColor indexed="64"/>
      </patternFill>
    </fill>
    <fill>
      <patternFill patternType="solid">
        <fgColor theme="8"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C00000"/>
        <bgColor indexed="64"/>
      </patternFill>
    </fill>
    <fill>
      <patternFill patternType="solid">
        <fgColor rgb="FFB889DB"/>
        <bgColor indexed="64"/>
      </patternFill>
    </fill>
    <fill>
      <patternFill patternType="solid">
        <fgColor theme="0"/>
        <bgColor indexed="64"/>
      </patternFill>
    </fill>
    <fill>
      <patternFill patternType="solid">
        <fgColor rgb="FFFFCDCD"/>
        <bgColor indexed="64"/>
      </patternFill>
    </fill>
  </fills>
  <borders count="1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48"/>
      </bottom>
      <diagonal/>
    </border>
    <border>
      <left/>
      <right/>
      <top/>
      <bottom style="medium">
        <color indexed="30"/>
      </bottom>
      <diagonal/>
    </border>
    <border>
      <left/>
      <right/>
      <top/>
      <bottom style="medium">
        <color indexed="4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diagonal/>
    </border>
    <border>
      <left/>
      <right style="thin">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right style="thin">
        <color indexed="64"/>
      </right>
      <top style="thin">
        <color indexed="64"/>
      </top>
      <bottom/>
      <diagonal/>
    </border>
    <border>
      <left/>
      <right/>
      <top/>
      <bottom style="medium">
        <color auto="1"/>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medium">
        <color auto="1"/>
      </bottom>
      <diagonal/>
    </border>
    <border>
      <left style="thin">
        <color auto="1"/>
      </left>
      <right/>
      <top style="thin">
        <color auto="1"/>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bottom style="medium">
        <color indexed="64"/>
      </bottom>
      <diagonal/>
    </border>
    <border>
      <left/>
      <right/>
      <top/>
      <bottom style="thick">
        <color theme="5"/>
      </bottom>
      <diagonal/>
    </border>
    <border>
      <left/>
      <right style="thick">
        <color theme="5"/>
      </right>
      <top/>
      <bottom style="thick">
        <color theme="5"/>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ck">
        <color theme="5"/>
      </left>
      <right/>
      <top/>
      <bottom/>
      <diagonal/>
    </border>
    <border>
      <left/>
      <right style="thick">
        <color theme="5"/>
      </right>
      <top/>
      <bottom/>
      <diagonal/>
    </border>
    <border>
      <left style="medium">
        <color auto="1"/>
      </left>
      <right/>
      <top/>
      <bottom style="medium">
        <color auto="1"/>
      </bottom>
      <diagonal/>
    </border>
    <border>
      <left/>
      <right style="medium">
        <color indexed="64"/>
      </right>
      <top/>
      <bottom style="medium">
        <color indexed="64"/>
      </bottom>
      <diagonal/>
    </border>
    <border>
      <left style="thick">
        <color theme="5"/>
      </left>
      <right style="medium">
        <color indexed="64"/>
      </right>
      <top style="medium">
        <color indexed="64"/>
      </top>
      <bottom style="thin">
        <color indexed="64"/>
      </bottom>
      <diagonal/>
    </border>
    <border>
      <left style="thick">
        <color theme="5"/>
      </left>
      <right style="medium">
        <color indexed="64"/>
      </right>
      <top style="thin">
        <color indexed="64"/>
      </top>
      <bottom style="medium">
        <color indexed="64"/>
      </bottom>
      <diagonal/>
    </border>
    <border>
      <left style="thick">
        <color theme="5"/>
      </left>
      <right style="medium">
        <color indexed="64"/>
      </right>
      <top/>
      <bottom style="thin">
        <color indexed="64"/>
      </bottom>
      <diagonal/>
    </border>
    <border>
      <left style="thick">
        <color theme="5"/>
      </left>
      <right style="medium">
        <color indexed="64"/>
      </right>
      <top style="thin">
        <color indexed="64"/>
      </top>
      <bottom style="thin">
        <color indexed="64"/>
      </bottom>
      <diagonal/>
    </border>
    <border>
      <left style="thick">
        <color theme="5"/>
      </left>
      <right style="medium">
        <color indexed="64"/>
      </right>
      <top style="thin">
        <color indexed="64"/>
      </top>
      <bottom style="thick">
        <color theme="5"/>
      </bottom>
      <diagonal/>
    </border>
    <border>
      <left style="medium">
        <color indexed="64"/>
      </left>
      <right/>
      <top style="thin">
        <color indexed="64"/>
      </top>
      <bottom style="thick">
        <color theme="5"/>
      </bottom>
      <diagonal/>
    </border>
    <border>
      <left style="thin">
        <color indexed="64"/>
      </left>
      <right style="thin">
        <color indexed="64"/>
      </right>
      <top style="thin">
        <color indexed="64"/>
      </top>
      <bottom style="thick">
        <color theme="5"/>
      </bottom>
      <diagonal/>
    </border>
    <border>
      <left style="medium">
        <color indexed="64"/>
      </left>
      <right style="thin">
        <color indexed="64"/>
      </right>
      <top/>
      <bottom style="thick">
        <color theme="5"/>
      </bottom>
      <diagonal/>
    </border>
    <border>
      <left style="thin">
        <color indexed="64"/>
      </left>
      <right style="thin">
        <color indexed="64"/>
      </right>
      <top/>
      <bottom style="thick">
        <color theme="5"/>
      </bottom>
      <diagonal/>
    </border>
    <border>
      <left style="thin">
        <color indexed="64"/>
      </left>
      <right style="medium">
        <color indexed="64"/>
      </right>
      <top/>
      <bottom style="thick">
        <color theme="5"/>
      </bottom>
      <diagonal/>
    </border>
    <border>
      <left/>
      <right style="thin">
        <color indexed="64"/>
      </right>
      <top style="thin">
        <color indexed="64"/>
      </top>
      <bottom style="thick">
        <color theme="5"/>
      </bottom>
      <diagonal/>
    </border>
    <border>
      <left style="medium">
        <color indexed="64"/>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style="thin">
        <color indexed="64"/>
      </left>
      <right style="medium">
        <color indexed="64"/>
      </right>
      <top style="thin">
        <color indexed="64"/>
      </top>
      <bottom style="thick">
        <color theme="5"/>
      </bottom>
      <diagonal/>
    </border>
    <border>
      <left style="medium">
        <color indexed="64"/>
      </left>
      <right style="medium">
        <color indexed="64"/>
      </right>
      <top style="thin">
        <color indexed="64"/>
      </top>
      <bottom style="thick">
        <color theme="5"/>
      </bottom>
      <diagonal/>
    </border>
    <border>
      <left style="thin">
        <color indexed="64"/>
      </left>
      <right/>
      <top/>
      <bottom style="thick">
        <color theme="5"/>
      </bottom>
      <diagonal/>
    </border>
    <border>
      <left style="medium">
        <color auto="1"/>
      </left>
      <right/>
      <top style="thin">
        <color auto="1"/>
      </top>
      <bottom/>
      <diagonal/>
    </border>
    <border>
      <left style="thin">
        <color auto="1"/>
      </left>
      <right style="medium">
        <color indexed="64"/>
      </right>
      <top style="thin">
        <color auto="1"/>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ck">
        <color theme="6" tint="-0.24994659260841701"/>
      </left>
      <right/>
      <top/>
      <bottom/>
      <diagonal/>
    </border>
    <border>
      <left/>
      <right style="thick">
        <color theme="6" tint="-0.24994659260841701"/>
      </right>
      <top/>
      <bottom/>
      <diagonal/>
    </border>
    <border>
      <left style="thick">
        <color theme="6" tint="-0.24994659260841701"/>
      </left>
      <right/>
      <top/>
      <bottom style="thick">
        <color theme="6" tint="-0.24994659260841701"/>
      </bottom>
      <diagonal/>
    </border>
    <border>
      <left/>
      <right/>
      <top/>
      <bottom style="thick">
        <color theme="6" tint="-0.24994659260841701"/>
      </bottom>
      <diagonal/>
    </border>
    <border>
      <left style="medium">
        <color auto="1"/>
      </left>
      <right/>
      <top/>
      <bottom style="thick">
        <color theme="6" tint="-0.24994659260841701"/>
      </bottom>
      <diagonal/>
    </border>
    <border>
      <left/>
      <right style="thin">
        <color indexed="64"/>
      </right>
      <top/>
      <bottom style="thick">
        <color theme="6" tint="-0.24994659260841701"/>
      </bottom>
      <diagonal/>
    </border>
    <border>
      <left style="thin">
        <color indexed="64"/>
      </left>
      <right/>
      <top/>
      <bottom style="thick">
        <color theme="6" tint="-0.24994659260841701"/>
      </bottom>
      <diagonal/>
    </border>
    <border>
      <left style="thin">
        <color indexed="64"/>
      </left>
      <right style="medium">
        <color indexed="64"/>
      </right>
      <top/>
      <bottom style="thick">
        <color theme="6" tint="-0.24994659260841701"/>
      </bottom>
      <diagonal/>
    </border>
    <border>
      <left style="medium">
        <color indexed="64"/>
      </left>
      <right style="thin">
        <color indexed="64"/>
      </right>
      <top/>
      <bottom style="thick">
        <color theme="6" tint="-0.24994659260841701"/>
      </bottom>
      <diagonal/>
    </border>
    <border>
      <left/>
      <right style="thick">
        <color theme="6" tint="-0.24994659260841701"/>
      </right>
      <top/>
      <bottom style="thick">
        <color theme="6" tint="-0.24994659260841701"/>
      </bottom>
      <diagonal/>
    </border>
    <border>
      <left/>
      <right style="thick">
        <color theme="6" tint="-0.24994659260841701"/>
      </right>
      <top style="thin">
        <color auto="1"/>
      </top>
      <bottom style="thin">
        <color indexed="64"/>
      </bottom>
      <diagonal/>
    </border>
    <border>
      <left style="thick">
        <color theme="7"/>
      </left>
      <right/>
      <top style="thick">
        <color theme="7"/>
      </top>
      <bottom style="thick">
        <color theme="7"/>
      </bottom>
      <diagonal/>
    </border>
    <border>
      <left/>
      <right/>
      <top style="thick">
        <color theme="7"/>
      </top>
      <bottom style="thick">
        <color theme="7"/>
      </bottom>
      <diagonal/>
    </border>
    <border>
      <left/>
      <right style="thick">
        <color theme="7"/>
      </right>
      <top style="thick">
        <color theme="7"/>
      </top>
      <bottom style="thick">
        <color theme="7"/>
      </bottom>
      <diagonal/>
    </border>
    <border>
      <left style="thick">
        <color theme="7"/>
      </left>
      <right/>
      <top/>
      <bottom/>
      <diagonal/>
    </border>
    <border>
      <left/>
      <right style="thick">
        <color theme="7"/>
      </right>
      <top/>
      <bottom/>
      <diagonal/>
    </border>
    <border>
      <left style="thick">
        <color theme="7"/>
      </left>
      <right/>
      <top/>
      <bottom style="thin">
        <color indexed="64"/>
      </bottom>
      <diagonal/>
    </border>
    <border>
      <left style="thin">
        <color indexed="64"/>
      </left>
      <right style="thick">
        <color theme="7"/>
      </right>
      <top style="medium">
        <color indexed="64"/>
      </top>
      <bottom style="medium">
        <color indexed="64"/>
      </bottom>
      <diagonal/>
    </border>
    <border>
      <left style="thin">
        <color indexed="64"/>
      </left>
      <right style="thick">
        <color theme="7"/>
      </right>
      <top/>
      <bottom style="thin">
        <color indexed="64"/>
      </bottom>
      <diagonal/>
    </border>
    <border>
      <left style="thin">
        <color indexed="64"/>
      </left>
      <right style="thick">
        <color theme="7"/>
      </right>
      <top style="thin">
        <color indexed="64"/>
      </top>
      <bottom style="thin">
        <color indexed="64"/>
      </bottom>
      <diagonal/>
    </border>
    <border>
      <left style="thick">
        <color theme="7"/>
      </left>
      <right/>
      <top/>
      <bottom style="thick">
        <color theme="7"/>
      </bottom>
      <diagonal/>
    </border>
    <border>
      <left style="medium">
        <color indexed="64"/>
      </left>
      <right style="thin">
        <color indexed="64"/>
      </right>
      <top/>
      <bottom style="thick">
        <color theme="7"/>
      </bottom>
      <diagonal/>
    </border>
    <border>
      <left/>
      <right/>
      <top/>
      <bottom style="thick">
        <color theme="7"/>
      </bottom>
      <diagonal/>
    </border>
    <border>
      <left/>
      <right style="thin">
        <color indexed="64"/>
      </right>
      <top/>
      <bottom style="thick">
        <color theme="7"/>
      </bottom>
      <diagonal/>
    </border>
    <border>
      <left style="thin">
        <color indexed="64"/>
      </left>
      <right/>
      <top/>
      <bottom style="thick">
        <color theme="7"/>
      </bottom>
      <diagonal/>
    </border>
    <border>
      <left style="thin">
        <color indexed="64"/>
      </left>
      <right style="medium">
        <color indexed="64"/>
      </right>
      <top/>
      <bottom style="thick">
        <color theme="7"/>
      </bottom>
      <diagonal/>
    </border>
    <border>
      <left style="medium">
        <color indexed="64"/>
      </left>
      <right/>
      <top style="thin">
        <color indexed="64"/>
      </top>
      <bottom style="thick">
        <color theme="7"/>
      </bottom>
      <diagonal/>
    </border>
    <border>
      <left style="medium">
        <color indexed="64"/>
      </left>
      <right style="thin">
        <color indexed="64"/>
      </right>
      <top style="thin">
        <color indexed="64"/>
      </top>
      <bottom style="thick">
        <color theme="7"/>
      </bottom>
      <diagonal/>
    </border>
    <border>
      <left style="thin">
        <color indexed="64"/>
      </left>
      <right style="thin">
        <color indexed="64"/>
      </right>
      <top style="thin">
        <color indexed="64"/>
      </top>
      <bottom style="thick">
        <color theme="7"/>
      </bottom>
      <diagonal/>
    </border>
    <border>
      <left style="thin">
        <color indexed="64"/>
      </left>
      <right style="thick">
        <color theme="7"/>
      </right>
      <top style="thin">
        <color indexed="64"/>
      </top>
      <bottom style="thick">
        <color theme="7"/>
      </bottom>
      <diagonal/>
    </border>
    <border>
      <left/>
      <right style="thin">
        <color indexed="64"/>
      </right>
      <top style="thin">
        <color auto="1"/>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right/>
      <top/>
      <bottom style="thin">
        <color theme="0" tint="-0.24994659260841701"/>
      </bottom>
      <diagonal/>
    </border>
    <border>
      <left/>
      <right/>
      <top style="thin">
        <color auto="1"/>
      </top>
      <bottom style="thin">
        <color theme="0" tint="-0.2499465926084170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hair">
        <color indexed="64"/>
      </right>
      <top/>
      <bottom style="medium">
        <color auto="1"/>
      </bottom>
      <diagonal/>
    </border>
    <border>
      <left/>
      <right style="hair">
        <color indexed="64"/>
      </right>
      <top/>
      <bottom/>
      <diagonal/>
    </border>
    <border>
      <left/>
      <right style="hair">
        <color indexed="64"/>
      </right>
      <top style="thin">
        <color indexed="64"/>
      </top>
      <bottom/>
      <diagonal/>
    </border>
    <border>
      <left style="thin">
        <color auto="1"/>
      </left>
      <right/>
      <top style="thin">
        <color auto="1"/>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thick">
        <color theme="4"/>
      </bottom>
      <diagonal/>
    </border>
    <border>
      <left/>
      <right/>
      <top style="thin">
        <color indexed="64"/>
      </top>
      <bottom style="thick">
        <color theme="4"/>
      </bottom>
      <diagonal/>
    </border>
    <border>
      <left/>
      <right style="thin">
        <color indexed="64"/>
      </right>
      <top style="thin">
        <color indexed="64"/>
      </top>
      <bottom style="thick">
        <color theme="4"/>
      </bottom>
      <diagonal/>
    </border>
    <border>
      <left style="dotted">
        <color indexed="64"/>
      </left>
      <right style="dotted">
        <color indexed="64"/>
      </right>
      <top/>
      <bottom style="medium">
        <color indexed="64"/>
      </bottom>
      <diagonal/>
    </border>
    <border>
      <left style="dotted">
        <color indexed="64"/>
      </left>
      <right style="dotted">
        <color indexed="64"/>
      </right>
      <top style="thin">
        <color auto="1"/>
      </top>
      <bottom/>
      <diagonal/>
    </border>
    <border>
      <left style="dotted">
        <color indexed="64"/>
      </left>
      <right style="dotted">
        <color indexed="64"/>
      </right>
      <top/>
      <bottom/>
      <diagonal/>
    </border>
    <border>
      <left style="dashed">
        <color rgb="FF00B400"/>
      </left>
      <right style="dashed">
        <color rgb="FF00B400"/>
      </right>
      <top style="dashed">
        <color rgb="FF00B400"/>
      </top>
      <bottom style="dashed">
        <color rgb="FF00B400"/>
      </bottom>
      <diagonal/>
    </border>
    <border>
      <left/>
      <right style="thick">
        <color theme="6" tint="-0.24994659260841701"/>
      </right>
      <top style="thin">
        <color auto="1"/>
      </top>
      <bottom/>
      <diagonal/>
    </border>
    <border>
      <left/>
      <right style="thick">
        <color theme="6" tint="-0.24994659260841701"/>
      </right>
      <top/>
      <bottom style="thin">
        <color indexed="64"/>
      </bottom>
      <diagonal/>
    </border>
    <border>
      <left style="thick">
        <color theme="7"/>
      </left>
      <right/>
      <top style="thin">
        <color indexed="64"/>
      </top>
      <bottom/>
      <diagonal/>
    </border>
    <border>
      <left/>
      <right style="thick">
        <color theme="7"/>
      </right>
      <top style="medium">
        <color indexed="64"/>
      </top>
      <bottom style="medium">
        <color indexed="64"/>
      </bottom>
      <diagonal/>
    </border>
  </borders>
  <cellStyleXfs count="42646">
    <xf numFmtId="0" fontId="0" fillId="0" borderId="0"/>
    <xf numFmtId="182" fontId="26" fillId="0" borderId="0">
      <alignment horizontal="right" wrapText="1"/>
    </xf>
    <xf numFmtId="183" fontId="26" fillId="0" borderId="0">
      <alignment horizontal="right" wrapText="1"/>
    </xf>
    <xf numFmtId="184" fontId="26" fillId="0" borderId="0">
      <alignment horizontal="right" wrapText="1"/>
    </xf>
    <xf numFmtId="179" fontId="26" fillId="0" borderId="0">
      <alignment horizontal="right" wrapText="1"/>
    </xf>
    <xf numFmtId="185" fontId="26" fillId="0" borderId="0">
      <alignment horizontal="right" wrapText="1"/>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9" borderId="0" applyNumberFormat="0" applyBorder="0" applyAlignment="0" applyProtection="0"/>
    <xf numFmtId="0" fontId="30" fillId="3"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3"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3"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9"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1" borderId="0" applyNumberFormat="0" applyBorder="0" applyAlignment="0" applyProtection="0"/>
    <xf numFmtId="0" fontId="31" fillId="19" borderId="0" applyNumberFormat="0" applyBorder="0" applyAlignment="0" applyProtection="0"/>
    <xf numFmtId="0" fontId="31" fillId="3"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15"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3" borderId="0" applyNumberFormat="0" applyBorder="0" applyAlignment="0" applyProtection="0"/>
    <xf numFmtId="0" fontId="31" fillId="20"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15"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0" fontId="33" fillId="13" borderId="1" applyNumberFormat="0" applyAlignment="0" applyProtection="0"/>
    <xf numFmtId="186" fontId="26" fillId="0" borderId="0"/>
    <xf numFmtId="0" fontId="34" fillId="30" borderId="2" applyNumberFormat="0" applyAlignment="0" applyProtection="0"/>
    <xf numFmtId="0" fontId="34" fillId="30" borderId="2" applyNumberFormat="0" applyAlignment="0" applyProtection="0"/>
    <xf numFmtId="43" fontId="25"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5" fillId="0" borderId="0" applyFont="0" applyFill="0" applyBorder="0" applyAlignment="0" applyProtection="0"/>
    <xf numFmtId="43" fontId="26" fillId="0" borderId="0"/>
    <xf numFmtId="44" fontId="25" fillId="0" borderId="0" applyFont="0" applyFill="0" applyBorder="0" applyAlignment="0" applyProtection="0"/>
    <xf numFmtId="44" fontId="35"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6" borderId="0" applyNumberFormat="0" applyBorder="0" applyAlignment="0" applyProtection="0"/>
    <xf numFmtId="0" fontId="37" fillId="6" borderId="0" applyNumberFormat="0" applyBorder="0" applyAlignment="0" applyProtection="0"/>
    <xf numFmtId="0" fontId="38" fillId="0" borderId="0"/>
    <xf numFmtId="0" fontId="39" fillId="0" borderId="3"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0" fillId="0" borderId="6" applyNumberFormat="0" applyFill="0" applyAlignment="0" applyProtection="0"/>
    <xf numFmtId="0" fontId="41"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3" fillId="10" borderId="1" applyNumberFormat="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5" fillId="15" borderId="0" applyNumberFormat="0" applyBorder="0" applyAlignment="0" applyProtection="0"/>
    <xf numFmtId="0" fontId="45" fillId="15" borderId="0" applyNumberFormat="0" applyBorder="0" applyAlignment="0" applyProtection="0"/>
    <xf numFmtId="0" fontId="30" fillId="0" borderId="0"/>
    <xf numFmtId="0" fontId="26" fillId="0" borderId="0"/>
    <xf numFmtId="0" fontId="26" fillId="0" borderId="0"/>
    <xf numFmtId="177" fontId="26" fillId="0" borderId="0"/>
    <xf numFmtId="0" fontId="35" fillId="0" borderId="0"/>
    <xf numFmtId="0" fontId="30" fillId="0" borderId="0"/>
    <xf numFmtId="0" fontId="30" fillId="0" borderId="0"/>
    <xf numFmtId="0" fontId="30" fillId="0" borderId="0"/>
    <xf numFmtId="177" fontId="50" fillId="0" borderId="0"/>
    <xf numFmtId="0" fontId="30" fillId="0" borderId="0"/>
    <xf numFmtId="0" fontId="30" fillId="0" borderId="0"/>
    <xf numFmtId="0" fontId="30" fillId="0" borderId="0"/>
    <xf numFmtId="0" fontId="26" fillId="0" borderId="0"/>
    <xf numFmtId="0" fontId="25"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30" fillId="9" borderId="10" applyNumberFormat="0" applyFon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0" fontId="46" fillId="13" borderId="11" applyNumberFormat="0" applyAlignment="0" applyProtection="0"/>
    <xf numFmtId="9" fontId="25" fillId="0" borderId="0" applyFont="0" applyFill="0" applyBorder="0" applyAlignment="0" applyProtection="0"/>
    <xf numFmtId="9" fontId="30" fillId="0" borderId="0" applyFont="0" applyFill="0" applyBorder="0" applyAlignment="0" applyProtection="0"/>
    <xf numFmtId="9" fontId="35" fillId="0" borderId="0" applyFont="0" applyFill="0" applyBorder="0" applyAlignment="0" applyProtection="0"/>
    <xf numFmtId="9" fontId="26" fillId="0" borderId="0" applyFont="0" applyFill="0" applyBorder="0" applyAlignment="0" applyProtection="0"/>
    <xf numFmtId="9" fontId="30"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12" applyNumberFormat="0" applyFill="0" applyAlignment="0" applyProtection="0"/>
    <xf numFmtId="0" fontId="48" fillId="0" borderId="13"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8" fillId="0" borderId="12"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1" fontId="27" fillId="0" borderId="0">
      <alignment horizontal="center"/>
    </xf>
    <xf numFmtId="44" fontId="26" fillId="0" borderId="0" applyFont="0" applyFill="0" applyBorder="0" applyAlignment="0" applyProtection="0"/>
    <xf numFmtId="0" fontId="30" fillId="2"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4" borderId="0" applyNumberFormat="0" applyBorder="0" applyAlignment="0" applyProtection="0"/>
    <xf numFmtId="0" fontId="30" fillId="8"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44" fontId="26" fillId="0" borderId="0" applyFont="0" applyFill="0" applyBorder="0" applyAlignment="0" applyProtection="0"/>
    <xf numFmtId="0" fontId="39" fillId="0" borderId="3" applyNumberFormat="0" applyFill="0" applyAlignment="0" applyProtection="0"/>
    <xf numFmtId="0" fontId="40" fillId="0" borderId="5" applyNumberFormat="0" applyFill="0" applyAlignment="0" applyProtection="0"/>
    <xf numFmtId="0" fontId="41" fillId="0" borderId="7" applyNumberFormat="0" applyFill="0" applyAlignment="0" applyProtection="0"/>
    <xf numFmtId="0" fontId="26" fillId="0" borderId="0"/>
    <xf numFmtId="0" fontId="26" fillId="9" borderId="10" applyNumberFormat="0" applyFont="0" applyAlignment="0" applyProtection="0"/>
    <xf numFmtId="0" fontId="26" fillId="9" borderId="10" applyNumberFormat="0" applyFont="0" applyAlignment="0" applyProtection="0"/>
    <xf numFmtId="43" fontId="25" fillId="0" borderId="0" applyFont="0" applyFill="0" applyBorder="0" applyAlignment="0" applyProtection="0"/>
    <xf numFmtId="3" fontId="59" fillId="0" borderId="0"/>
    <xf numFmtId="187" fontId="59"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3" fontId="60"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10" borderId="0" applyNumberFormat="0" applyBorder="0" applyAlignment="0" applyProtection="0"/>
    <xf numFmtId="0" fontId="30" fillId="4"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3"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1" fillId="20" borderId="0" applyNumberFormat="0" applyBorder="0" applyAlignment="0" applyProtection="0"/>
    <xf numFmtId="0" fontId="31" fillId="17" borderId="0" applyNumberFormat="0" applyBorder="0" applyAlignment="0" applyProtection="0"/>
    <xf numFmtId="0" fontId="31" fillId="12" borderId="0" applyNumberFormat="0" applyBorder="0" applyAlignment="0" applyProtection="0"/>
    <xf numFmtId="0" fontId="31" fillId="15" borderId="0" applyNumberFormat="0" applyBorder="0" applyAlignment="0" applyProtection="0"/>
    <xf numFmtId="0" fontId="31" fillId="14" borderId="0" applyNumberFormat="0" applyBorder="0" applyAlignment="0" applyProtection="0"/>
    <xf numFmtId="0" fontId="31" fillId="13"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10"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3" borderId="0" applyNumberFormat="0" applyBorder="0" applyAlignment="0" applyProtection="0"/>
    <xf numFmtId="0" fontId="31" fillId="49" borderId="0" applyNumberFormat="0" applyBorder="0" applyAlignment="0" applyProtection="0"/>
    <xf numFmtId="0" fontId="31" fillId="25" borderId="0" applyNumberFormat="0" applyBorder="0" applyAlignment="0" applyProtection="0"/>
    <xf numFmtId="0" fontId="31" fillId="49" borderId="0" applyNumberFormat="0" applyBorder="0" applyAlignment="0" applyProtection="0"/>
    <xf numFmtId="0" fontId="31" fillId="27" borderId="0" applyNumberFormat="0" applyBorder="0" applyAlignment="0" applyProtection="0"/>
    <xf numFmtId="0" fontId="31" fillId="26"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9" borderId="0" applyNumberFormat="0" applyBorder="0" applyAlignment="0" applyProtection="0"/>
    <xf numFmtId="0" fontId="61" fillId="4" borderId="0" applyNumberFormat="0" applyBorder="0" applyAlignment="0" applyProtection="0"/>
    <xf numFmtId="0" fontId="32" fillId="4" borderId="0" applyNumberFormat="0" applyBorder="0" applyAlignment="0" applyProtection="0"/>
    <xf numFmtId="0" fontId="33" fillId="5" borderId="1" applyNumberFormat="0" applyAlignment="0" applyProtection="0"/>
    <xf numFmtId="0" fontId="33" fillId="13" borderId="1" applyNumberFormat="0" applyAlignment="0" applyProtection="0"/>
    <xf numFmtId="0" fontId="34" fillId="30" borderId="2"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3" fontId="25" fillId="0" borderId="0"/>
    <xf numFmtId="3"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36" fillId="0" borderId="0" applyNumberFormat="0" applyFill="0" applyBorder="0" applyAlignment="0" applyProtection="0"/>
    <xf numFmtId="0" fontId="37" fillId="6" borderId="0" applyNumberFormat="0" applyBorder="0" applyAlignment="0" applyProtection="0"/>
    <xf numFmtId="0" fontId="63" fillId="0" borderId="53" applyNumberFormat="0" applyFill="0" applyAlignment="0" applyProtection="0"/>
    <xf numFmtId="0" fontId="39" fillId="0" borderId="3" applyNumberFormat="0" applyFill="0" applyAlignment="0" applyProtection="0"/>
    <xf numFmtId="0" fontId="64" fillId="0" borderId="5" applyNumberFormat="0" applyFill="0" applyAlignment="0" applyProtection="0"/>
    <xf numFmtId="0" fontId="40" fillId="0" borderId="5" applyNumberFormat="0" applyFill="0" applyAlignment="0" applyProtection="0"/>
    <xf numFmtId="0" fontId="65" fillId="0" borderId="54" applyNumberFormat="0" applyFill="0" applyAlignment="0" applyProtection="0"/>
    <xf numFmtId="0" fontId="41" fillId="0" borderId="7" applyNumberFormat="0" applyFill="0" applyAlignment="0" applyProtection="0"/>
    <xf numFmtId="0" fontId="65" fillId="0" borderId="0" applyNumberFormat="0" applyFill="0" applyBorder="0" applyAlignment="0" applyProtection="0"/>
    <xf numFmtId="0" fontId="41" fillId="0" borderId="0" applyNumberFormat="0" applyFill="0" applyBorder="0" applyAlignment="0" applyProtection="0"/>
    <xf numFmtId="0" fontId="43" fillId="10" borderId="1" applyNumberFormat="0" applyAlignment="0" applyProtection="0"/>
    <xf numFmtId="0" fontId="44" fillId="0" borderId="9" applyNumberFormat="0" applyFill="0" applyAlignment="0" applyProtection="0"/>
    <xf numFmtId="0" fontId="45" fillId="15" borderId="0" applyNumberFormat="0" applyBorder="0" applyAlignment="0" applyProtection="0"/>
    <xf numFmtId="0" fontId="25" fillId="0" borderId="0"/>
    <xf numFmtId="0" fontId="66" fillId="0" borderId="0"/>
    <xf numFmtId="0" fontId="25" fillId="0" borderId="0"/>
    <xf numFmtId="0" fontId="25" fillId="0" borderId="0"/>
    <xf numFmtId="0" fontId="25" fillId="0" borderId="0"/>
    <xf numFmtId="0" fontId="25" fillId="0" borderId="0"/>
    <xf numFmtId="0" fontId="25" fillId="9" borderId="10" applyNumberFormat="0" applyFont="0" applyAlignment="0" applyProtection="0"/>
    <xf numFmtId="0" fontId="30"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25" fillId="9" borderId="10" applyNumberFormat="0" applyFont="0" applyAlignment="0" applyProtection="0"/>
    <xf numFmtId="0" fontId="46" fillId="5" borderId="11" applyNumberFormat="0" applyAlignment="0" applyProtection="0"/>
    <xf numFmtId="0" fontId="46" fillId="13" borderId="11"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67" fillId="0" borderId="0" applyNumberFormat="0" applyFill="0" applyBorder="0" applyAlignment="0" applyProtection="0"/>
    <xf numFmtId="0" fontId="47" fillId="0" borderId="0" applyNumberFormat="0" applyFill="0" applyBorder="0" applyAlignment="0" applyProtection="0"/>
    <xf numFmtId="0" fontId="48" fillId="0" borderId="55" applyNumberFormat="0" applyFill="0" applyAlignment="0" applyProtection="0"/>
    <xf numFmtId="0" fontId="48" fillId="0" borderId="55" applyNumberFormat="0" applyFill="0" applyAlignment="0" applyProtection="0"/>
    <xf numFmtId="0" fontId="48" fillId="0" borderId="12" applyNumberFormat="0" applyFill="0" applyAlignment="0" applyProtection="0"/>
    <xf numFmtId="0" fontId="49" fillId="0" borderId="0" applyNumberFormat="0" applyFill="0" applyBorder="0" applyAlignment="0" applyProtection="0"/>
    <xf numFmtId="0" fontId="23" fillId="0" borderId="0"/>
    <xf numFmtId="44" fontId="30" fillId="0" borderId="0" applyFont="0" applyFill="0" applyBorder="0" applyAlignment="0" applyProtection="0"/>
    <xf numFmtId="0" fontId="22" fillId="0" borderId="0"/>
    <xf numFmtId="0" fontId="21" fillId="0" borderId="0"/>
    <xf numFmtId="0" fontId="21" fillId="0" borderId="0"/>
    <xf numFmtId="0" fontId="25" fillId="0" borderId="0"/>
    <xf numFmtId="43" fontId="25" fillId="0" borderId="0" applyFont="0" applyFill="0" applyBorder="0" applyAlignment="0" applyProtection="0"/>
    <xf numFmtId="0" fontId="20" fillId="0" borderId="0"/>
    <xf numFmtId="44" fontId="25" fillId="0" borderId="0" applyFont="0" applyFill="0" applyBorder="0" applyAlignment="0" applyProtection="0"/>
    <xf numFmtId="0" fontId="19" fillId="0" borderId="0"/>
    <xf numFmtId="0" fontId="18" fillId="0" borderId="0"/>
    <xf numFmtId="0" fontId="18" fillId="0" borderId="0"/>
    <xf numFmtId="182" fontId="25" fillId="0" borderId="0">
      <alignment horizontal="right" wrapText="1"/>
    </xf>
    <xf numFmtId="183" fontId="25" fillId="0" borderId="0">
      <alignment horizontal="right" wrapText="1"/>
    </xf>
    <xf numFmtId="184" fontId="25" fillId="0" borderId="0">
      <alignment horizontal="right" wrapText="1"/>
    </xf>
    <xf numFmtId="179" fontId="25" fillId="0" borderId="0">
      <alignment horizontal="right" wrapText="1"/>
    </xf>
    <xf numFmtId="185" fontId="25" fillId="0" borderId="0">
      <alignment horizontal="right" wrapText="1"/>
    </xf>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186" fontId="25" fillId="0" borderId="0"/>
    <xf numFmtId="43" fontId="77" fillId="0" borderId="0" applyFont="0" applyFill="0" applyBorder="0" applyAlignment="0" applyProtection="0"/>
    <xf numFmtId="3" fontId="25" fillId="0" borderId="0" applyFont="0" applyFill="0" applyBorder="0" applyAlignment="0" applyProtection="0"/>
    <xf numFmtId="3" fontId="25" fillId="0" borderId="0" applyFont="0" applyFill="0" applyBorder="0" applyAlignment="0" applyProtection="0"/>
    <xf numFmtId="43" fontId="25" fillId="0" borderId="0" applyFont="0" applyFill="0" applyBorder="0" applyAlignment="0" applyProtection="0"/>
    <xf numFmtId="43" fontId="25" fillId="0" borderId="0"/>
    <xf numFmtId="44" fontId="77" fillId="0" borderId="0" applyFont="0" applyFill="0" applyBorder="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0" borderId="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9" fontId="77" fillId="0" borderId="0" applyFont="0" applyFill="0" applyBorder="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43" fontId="25" fillId="0" borderId="0" applyFont="0" applyFill="0" applyBorder="0" applyAlignment="0" applyProtection="0"/>
    <xf numFmtId="44" fontId="25" fillId="0" borderId="0" applyFont="0" applyFill="0" applyBorder="0" applyAlignment="0" applyProtection="0"/>
    <xf numFmtId="0" fontId="30" fillId="0" borderId="0"/>
    <xf numFmtId="0" fontId="25" fillId="9" borderId="61" applyNumberFormat="0" applyFont="0" applyAlignment="0" applyProtection="0"/>
    <xf numFmtId="44" fontId="25" fillId="0" borderId="0" applyFont="0" applyFill="0" applyBorder="0" applyAlignment="0" applyProtection="0"/>
    <xf numFmtId="0" fontId="25" fillId="0" borderId="0"/>
    <xf numFmtId="0" fontId="25" fillId="9" borderId="61" applyNumberFormat="0" applyFont="0" applyAlignment="0" applyProtection="0"/>
    <xf numFmtId="0" fontId="25" fillId="9" borderId="61" applyNumberFormat="0" applyFont="0" applyAlignment="0" applyProtection="0"/>
    <xf numFmtId="187" fontId="25" fillId="0" borderId="0" applyFont="0" applyFill="0" applyBorder="0" applyAlignment="0" applyProtection="0"/>
    <xf numFmtId="43" fontId="25"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5" fillId="0" borderId="0"/>
    <xf numFmtId="0" fontId="30" fillId="2"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9" borderId="0" applyNumberFormat="0" applyBorder="0" applyAlignment="0" applyProtection="0"/>
    <xf numFmtId="0" fontId="32" fillId="4" borderId="0" applyNumberFormat="0" applyBorder="0" applyAlignment="0" applyProtection="0"/>
    <xf numFmtId="0" fontId="33" fillId="13" borderId="60" applyNumberFormat="0" applyAlignment="0" applyProtection="0"/>
    <xf numFmtId="0" fontId="34" fillId="30" borderId="2" applyNumberFormat="0" applyAlignment="0" applyProtection="0"/>
    <xf numFmtId="43" fontId="25" fillId="0" borderId="0" applyFont="0" applyFill="0" applyBorder="0" applyAlignment="0" applyProtection="0"/>
    <xf numFmtId="44" fontId="25" fillId="0" borderId="0" applyFont="0" applyFill="0" applyBorder="0" applyAlignment="0" applyProtection="0"/>
    <xf numFmtId="0" fontId="36" fillId="0" borderId="0" applyNumberFormat="0" applyFill="0" applyBorder="0" applyAlignment="0" applyProtection="0"/>
    <xf numFmtId="0" fontId="37" fillId="6" borderId="0" applyNumberFormat="0" applyBorder="0" applyAlignment="0" applyProtection="0"/>
    <xf numFmtId="0" fontId="39" fillId="0" borderId="3" applyNumberFormat="0" applyFill="0" applyAlignment="0" applyProtection="0"/>
    <xf numFmtId="0" fontId="40" fillId="0" borderId="5" applyNumberFormat="0" applyFill="0" applyAlignment="0" applyProtection="0"/>
    <xf numFmtId="0" fontId="41" fillId="0" borderId="7" applyNumberFormat="0" applyFill="0" applyAlignment="0" applyProtection="0"/>
    <xf numFmtId="0" fontId="41" fillId="0" borderId="0" applyNumberFormat="0" applyFill="0" applyBorder="0" applyAlignment="0" applyProtection="0"/>
    <xf numFmtId="0" fontId="43" fillId="10" borderId="60" applyNumberFormat="0" applyAlignment="0" applyProtection="0"/>
    <xf numFmtId="0" fontId="43" fillId="10" borderId="60" applyNumberFormat="0" applyAlignment="0" applyProtection="0"/>
    <xf numFmtId="0" fontId="44" fillId="0" borderId="9" applyNumberFormat="0" applyFill="0" applyAlignment="0" applyProtection="0"/>
    <xf numFmtId="0" fontId="45" fillId="15" borderId="0" applyNumberFormat="0" applyBorder="0" applyAlignment="0" applyProtection="0"/>
    <xf numFmtId="0" fontId="25" fillId="9" borderId="61" applyNumberFormat="0" applyFont="0" applyAlignment="0" applyProtection="0"/>
    <xf numFmtId="0" fontId="46" fillId="13" borderId="62" applyNumberFormat="0" applyAlignment="0" applyProtection="0"/>
    <xf numFmtId="9" fontId="25" fillId="0" borderId="0" applyFont="0" applyFill="0" applyBorder="0" applyAlignment="0" applyProtection="0"/>
    <xf numFmtId="0" fontId="47" fillId="0" borderId="0" applyNumberFormat="0" applyFill="0" applyBorder="0" applyAlignment="0" applyProtection="0"/>
    <xf numFmtId="0" fontId="48" fillId="0" borderId="63" applyNumberFormat="0" applyFill="0" applyAlignment="0" applyProtection="0"/>
    <xf numFmtId="0" fontId="49" fillId="0" borderId="0" applyNumberForma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48" fillId="0" borderId="64" applyNumberFormat="0" applyFill="0" applyAlignment="0" applyProtection="0"/>
    <xf numFmtId="0" fontId="46" fillId="13" borderId="62"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44" fontId="25"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9" fontId="25" fillId="0" borderId="0" applyFont="0" applyFill="0" applyBorder="0" applyAlignment="0" applyProtection="0"/>
    <xf numFmtId="0" fontId="46" fillId="13" borderId="62" applyNumberFormat="0" applyAlignment="0" applyProtection="0"/>
    <xf numFmtId="0" fontId="33" fillId="13" borderId="60" applyNumberFormat="0" applyAlignment="0" applyProtection="0"/>
    <xf numFmtId="0" fontId="25" fillId="9" borderId="61" applyNumberFormat="0" applyFont="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0" fontId="33" fillId="13" borderId="60" applyNumberFormat="0" applyAlignment="0" applyProtection="0"/>
    <xf numFmtId="44" fontId="25" fillId="0" borderId="0" applyFont="0" applyFill="0" applyBorder="0" applyAlignment="0" applyProtection="0"/>
    <xf numFmtId="9" fontId="25"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43" fontId="25" fillId="0" borderId="0" applyFont="0" applyFill="0" applyBorder="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43" fontId="25"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43" fillId="10"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43" fontId="25"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46" fillId="13" borderId="62"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62" applyNumberFormat="0" applyAlignment="0" applyProtection="0"/>
    <xf numFmtId="0" fontId="30" fillId="9" borderId="61" applyNumberFormat="0" applyFont="0" applyAlignment="0" applyProtection="0"/>
    <xf numFmtId="43" fontId="25" fillId="0" borderId="0" applyFont="0" applyFill="0" applyBorder="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3" fillId="10"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25" fillId="9" borderId="61" applyNumberFormat="0" applyFon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0" fillId="9" borderId="61" applyNumberFormat="0" applyFont="0" applyAlignment="0" applyProtection="0"/>
    <xf numFmtId="43" fontId="25"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33" fillId="13"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43" fontId="25"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33" fillId="13"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43" fontId="25"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43" fontId="25" fillId="0" borderId="0" applyFont="0" applyFill="0" applyBorder="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0" fillId="9" borderId="61" applyNumberFormat="0" applyFont="0" applyAlignment="0" applyProtection="0"/>
    <xf numFmtId="0" fontId="48" fillId="0" borderId="64" applyNumberFormat="0" applyFill="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46" fillId="13" borderId="62" applyNumberFormat="0" applyAlignment="0" applyProtection="0"/>
    <xf numFmtId="0" fontId="48" fillId="0" borderId="63" applyNumberFormat="0" applyFill="0" applyAlignment="0" applyProtection="0"/>
    <xf numFmtId="0" fontId="33" fillId="13" borderId="60" applyNumberFormat="0" applyAlignment="0" applyProtection="0"/>
    <xf numFmtId="0" fontId="48" fillId="0" borderId="65" applyNumberFormat="0" applyFill="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8" fillId="0" borderId="63" applyNumberFormat="0" applyFill="0" applyAlignment="0" applyProtection="0"/>
    <xf numFmtId="0" fontId="43" fillId="10"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6" fillId="13" borderId="62" applyNumberFormat="0" applyAlignment="0" applyProtection="0"/>
    <xf numFmtId="0" fontId="48" fillId="0" borderId="63" applyNumberFormat="0" applyFill="0" applyAlignment="0" applyProtection="0"/>
    <xf numFmtId="0" fontId="33" fillId="5" borderId="60" applyNumberFormat="0" applyAlignment="0" applyProtection="0"/>
    <xf numFmtId="43" fontId="25" fillId="0" borderId="0" applyFont="0" applyFill="0" applyBorder="0" applyAlignment="0" applyProtection="0"/>
    <xf numFmtId="0" fontId="25" fillId="9" borderId="61" applyNumberFormat="0" applyFont="0" applyAlignment="0" applyProtection="0"/>
    <xf numFmtId="0" fontId="46" fillId="13" borderId="62"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43" fontId="25" fillId="0" borderId="0" applyFont="0" applyFill="0" applyBorder="0" applyAlignment="0" applyProtection="0"/>
    <xf numFmtId="0" fontId="43" fillId="10" borderId="60" applyNumberFormat="0" applyAlignment="0" applyProtection="0"/>
    <xf numFmtId="0" fontId="43" fillId="10" borderId="60" applyNumberFormat="0" applyAlignment="0" applyProtection="0"/>
    <xf numFmtId="0" fontId="48" fillId="0" borderId="65" applyNumberFormat="0" applyFill="0" applyAlignment="0" applyProtection="0"/>
    <xf numFmtId="0" fontId="46" fillId="13" borderId="62"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43" fontId="16" fillId="0" borderId="0" applyFont="0" applyFill="0" applyBorder="0" applyAlignment="0" applyProtection="0"/>
    <xf numFmtId="0" fontId="25" fillId="9" borderId="61" applyNumberFormat="0" applyFont="0" applyAlignment="0" applyProtection="0"/>
    <xf numFmtId="0" fontId="43" fillId="10" borderId="60" applyNumberFormat="0" applyAlignment="0" applyProtection="0"/>
    <xf numFmtId="0" fontId="25" fillId="9" borderId="61" applyNumberFormat="0" applyFont="0" applyAlignment="0" applyProtection="0"/>
    <xf numFmtId="0" fontId="48" fillId="0" borderId="65" applyNumberFormat="0" applyFill="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48" fillId="0" borderId="65" applyNumberFormat="0" applyFill="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46" fillId="13" borderId="62" applyNumberFormat="0" applyAlignment="0" applyProtection="0"/>
    <xf numFmtId="0" fontId="48" fillId="0" borderId="63" applyNumberFormat="0" applyFill="0" applyAlignment="0" applyProtection="0"/>
    <xf numFmtId="0" fontId="30" fillId="9" borderId="61" applyNumberFormat="0" applyFont="0" applyAlignment="0" applyProtection="0"/>
    <xf numFmtId="0" fontId="25" fillId="9" borderId="61" applyNumberFormat="0" applyFont="0" applyAlignment="0" applyProtection="0"/>
    <xf numFmtId="0" fontId="46" fillId="13" borderId="62" applyNumberFormat="0" applyAlignment="0" applyProtection="0"/>
    <xf numFmtId="0" fontId="48" fillId="0" borderId="63" applyNumberFormat="0" applyFill="0" applyAlignment="0" applyProtection="0"/>
    <xf numFmtId="0" fontId="33" fillId="13"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8" fillId="0" borderId="63" applyNumberFormat="0" applyFill="0" applyAlignment="0" applyProtection="0"/>
    <xf numFmtId="0" fontId="25" fillId="9" borderId="61" applyNumberFormat="0" applyFont="0" applyAlignment="0" applyProtection="0"/>
    <xf numFmtId="0" fontId="30" fillId="9" borderId="61" applyNumberFormat="0" applyFont="0" applyAlignment="0" applyProtection="0"/>
    <xf numFmtId="0" fontId="46" fillId="5" borderId="62" applyNumberFormat="0" applyAlignment="0" applyProtection="0"/>
    <xf numFmtId="0" fontId="30" fillId="9" borderId="61" applyNumberFormat="0" applyFont="0" applyAlignment="0" applyProtection="0"/>
    <xf numFmtId="0" fontId="46" fillId="13" borderId="62"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48" fillId="0" borderId="63" applyNumberFormat="0" applyFill="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48" fillId="0" borderId="63" applyNumberFormat="0" applyFill="0" applyAlignment="0" applyProtection="0"/>
    <xf numFmtId="0" fontId="33" fillId="13" borderId="60" applyNumberFormat="0" applyAlignment="0" applyProtection="0"/>
    <xf numFmtId="0" fontId="43" fillId="10" borderId="60" applyNumberFormat="0" applyAlignment="0" applyProtection="0"/>
    <xf numFmtId="0" fontId="33" fillId="5" borderId="60" applyNumberFormat="0" applyAlignment="0" applyProtection="0"/>
    <xf numFmtId="0" fontId="25" fillId="9" borderId="61" applyNumberFormat="0" applyFont="0" applyAlignment="0" applyProtection="0"/>
    <xf numFmtId="0" fontId="48" fillId="0" borderId="63" applyNumberFormat="0" applyFill="0" applyAlignment="0" applyProtection="0"/>
    <xf numFmtId="0" fontId="33" fillId="13" borderId="60" applyNumberFormat="0" applyAlignment="0" applyProtection="0"/>
    <xf numFmtId="0" fontId="48" fillId="0" borderId="63" applyNumberFormat="0" applyFill="0" applyAlignment="0" applyProtection="0"/>
    <xf numFmtId="0" fontId="46" fillId="13" borderId="62"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8" fillId="0" borderId="63" applyNumberFormat="0" applyFill="0" applyAlignment="0" applyProtection="0"/>
    <xf numFmtId="0" fontId="46" fillId="5" borderId="62"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25" fillId="9" borderId="61" applyNumberFormat="0" applyFon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0"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43" fontId="25" fillId="0" borderId="0" applyFont="0" applyFill="0" applyBorder="0" applyAlignment="0" applyProtection="0"/>
    <xf numFmtId="0" fontId="25" fillId="0" borderId="0"/>
    <xf numFmtId="0" fontId="43" fillId="10" borderId="60" applyNumberFormat="0" applyAlignment="0" applyProtection="0"/>
    <xf numFmtId="0" fontId="25" fillId="9" borderId="61" applyNumberFormat="0" applyFont="0" applyAlignment="0" applyProtection="0"/>
    <xf numFmtId="0" fontId="48" fillId="0" borderId="63"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46" fillId="13" borderId="62" applyNumberFormat="0" applyAlignment="0" applyProtection="0"/>
    <xf numFmtId="0" fontId="43" fillId="10" borderId="60" applyNumberFormat="0" applyAlignment="0" applyProtection="0"/>
    <xf numFmtId="0" fontId="25" fillId="9" borderId="61" applyNumberFormat="0" applyFont="0" applyAlignment="0" applyProtection="0"/>
    <xf numFmtId="0" fontId="46" fillId="13" borderId="62" applyNumberFormat="0" applyAlignment="0" applyProtection="0"/>
    <xf numFmtId="0" fontId="30" fillId="9" borderId="61" applyNumberFormat="0" applyFont="0" applyAlignment="0" applyProtection="0"/>
    <xf numFmtId="0" fontId="25" fillId="9" borderId="61" applyNumberFormat="0" applyFont="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43" fillId="10"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46" fillId="13" borderId="62"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62" applyNumberFormat="0" applyAlignment="0" applyProtection="0"/>
    <xf numFmtId="0" fontId="30" fillId="9" borderId="61" applyNumberFormat="0" applyFont="0" applyAlignment="0" applyProtection="0"/>
    <xf numFmtId="0" fontId="48" fillId="0" borderId="63" applyNumberFormat="0" applyFill="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3" fillId="10"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25" fillId="9" borderId="61" applyNumberFormat="0" applyFon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0" fillId="9" borderId="61" applyNumberFormat="0" applyFont="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33" fillId="13"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33" fillId="13"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25" fillId="9" borderId="61" applyNumberFormat="0" applyFont="0" applyAlignment="0" applyProtection="0"/>
    <xf numFmtId="0" fontId="33" fillId="13" borderId="60" applyNumberFormat="0" applyAlignment="0" applyProtection="0"/>
    <xf numFmtId="0" fontId="48" fillId="0" borderId="63"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46" fillId="13" borderId="62" applyNumberFormat="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43" fillId="10"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46" fillId="13" borderId="62"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3" fillId="10"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25" fillId="9" borderId="61" applyNumberFormat="0" applyFon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33" fillId="13"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33" fillId="13"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46" fillId="13" borderId="62" applyNumberFormat="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43" fillId="10"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30" fillId="9" borderId="61" applyNumberFormat="0" applyFont="0" applyAlignment="0" applyProtection="0"/>
    <xf numFmtId="0" fontId="43" fillId="10"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6" fillId="13" borderId="62" applyNumberFormat="0" applyAlignment="0" applyProtection="0"/>
    <xf numFmtId="0" fontId="46" fillId="13" borderId="62"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46" fillId="13" borderId="62"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62" applyNumberFormat="0" applyAlignment="0" applyProtection="0"/>
    <xf numFmtId="0" fontId="30"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3" fillId="10"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25" fillId="9" borderId="61" applyNumberFormat="0" applyFon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6" fillId="13" borderId="62" applyNumberFormat="0" applyAlignment="0" applyProtection="0"/>
    <xf numFmtId="0" fontId="43" fillId="10"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33" fillId="13"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33" fillId="13" borderId="60"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0"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33" fillId="13"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33" fillId="13"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60" applyNumberForma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43" fillId="10" borderId="60"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6" fillId="13" borderId="62" applyNumberFormat="0" applyAlignment="0" applyProtection="0"/>
    <xf numFmtId="0" fontId="48" fillId="0" borderId="63" applyNumberFormat="0" applyFill="0" applyAlignment="0" applyProtection="0"/>
    <xf numFmtId="0" fontId="48" fillId="0" borderId="64"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48" fillId="0" borderId="63"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60" applyNumberFormat="0" applyAlignment="0" applyProtection="0"/>
    <xf numFmtId="0" fontId="33" fillId="13" borderId="60" applyNumberFormat="0" applyAlignment="0" applyProtection="0"/>
    <xf numFmtId="0" fontId="43" fillId="10" borderId="60"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62" applyNumberFormat="0" applyAlignment="0" applyProtection="0"/>
    <xf numFmtId="0" fontId="46" fillId="13" borderId="62" applyNumberFormat="0" applyAlignment="0" applyProtection="0"/>
    <xf numFmtId="0" fontId="48" fillId="0" borderId="65" applyNumberFormat="0" applyFill="0" applyAlignment="0" applyProtection="0"/>
    <xf numFmtId="0" fontId="48" fillId="0" borderId="65" applyNumberFormat="0" applyFill="0" applyAlignment="0" applyProtection="0"/>
    <xf numFmtId="0" fontId="48" fillId="0" borderId="63" applyNumberFormat="0" applyFill="0" applyAlignment="0" applyProtection="0"/>
    <xf numFmtId="0" fontId="15" fillId="0" borderId="0"/>
    <xf numFmtId="0" fontId="14" fillId="0" borderId="0"/>
    <xf numFmtId="43" fontId="14" fillId="0" borderId="0" applyFont="0" applyFill="0" applyBorder="0" applyAlignment="0" applyProtection="0"/>
    <xf numFmtId="0" fontId="79" fillId="0" borderId="0"/>
    <xf numFmtId="0" fontId="30" fillId="2"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12" borderId="0" applyNumberFormat="0" applyBorder="0" applyAlignment="0" applyProtection="0"/>
    <xf numFmtId="0" fontId="30" fillId="14" borderId="0" applyNumberFormat="0" applyBorder="0" applyAlignment="0" applyProtection="0"/>
    <xf numFmtId="0" fontId="30" fillId="8" borderId="0" applyNumberFormat="0" applyBorder="0" applyAlignment="0" applyProtection="0"/>
    <xf numFmtId="0" fontId="30" fillId="3"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9" borderId="0" applyNumberFormat="0" applyBorder="0" applyAlignment="0" applyProtection="0"/>
    <xf numFmtId="0" fontId="32" fillId="4" borderId="0" applyNumberFormat="0" applyBorder="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4" fillId="30" borderId="2" applyNumberFormat="0" applyAlignment="0" applyProtection="0"/>
    <xf numFmtId="43" fontId="25" fillId="0" borderId="0" applyFont="0" applyFill="0" applyBorder="0" applyAlignment="0" applyProtection="0"/>
    <xf numFmtId="44" fontId="25" fillId="0" borderId="0" applyFont="0" applyFill="0" applyBorder="0" applyAlignment="0" applyProtection="0"/>
    <xf numFmtId="0" fontId="36" fillId="0" borderId="0" applyNumberFormat="0" applyFill="0" applyBorder="0" applyAlignment="0" applyProtection="0"/>
    <xf numFmtId="0" fontId="37" fillId="6" borderId="0" applyNumberFormat="0" applyBorder="0" applyAlignment="0" applyProtection="0"/>
    <xf numFmtId="0" fontId="39" fillId="0" borderId="3" applyNumberFormat="0" applyFill="0" applyAlignment="0" applyProtection="0"/>
    <xf numFmtId="0" fontId="40" fillId="0" borderId="5" applyNumberFormat="0" applyFill="0" applyAlignment="0" applyProtection="0"/>
    <xf numFmtId="0" fontId="41" fillId="0" borderId="7" applyNumberFormat="0" applyFill="0" applyAlignment="0" applyProtection="0"/>
    <xf numFmtId="0" fontId="41" fillId="0" borderId="0" applyNumberFormat="0" applyFill="0" applyBorder="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4" fillId="0" borderId="9" applyNumberFormat="0" applyFill="0" applyAlignment="0" applyProtection="0"/>
    <xf numFmtId="0" fontId="45" fillId="15" borderId="0" applyNumberFormat="0" applyBorder="0" applyAlignment="0" applyProtection="0"/>
    <xf numFmtId="0" fontId="25"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9" fontId="25" fillId="0" borderId="0" applyFont="0" applyFill="0" applyBorder="0" applyAlignment="0" applyProtection="0"/>
    <xf numFmtId="0" fontId="47" fillId="0" borderId="0" applyNumberFormat="0" applyFill="0" applyBorder="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9" fillId="0" borderId="0" applyNumberFormat="0" applyFill="0" applyBorder="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48" fillId="0" borderId="76"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14" fillId="0" borderId="0"/>
    <xf numFmtId="44" fontId="14" fillId="0" borderId="0" applyFont="0" applyFill="0" applyBorder="0" applyAlignment="0" applyProtection="0"/>
    <xf numFmtId="43" fontId="14" fillId="0" borderId="0" applyFont="0" applyFill="0" applyBorder="0" applyAlignment="0" applyProtection="0"/>
    <xf numFmtId="0" fontId="33" fillId="13" borderId="73" applyNumberFormat="0" applyAlignment="0" applyProtection="0"/>
    <xf numFmtId="0" fontId="33" fillId="13" borderId="73"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48" fillId="0" borderId="76" applyNumberFormat="0" applyFill="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48" fillId="0" borderId="77"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5" borderId="73" applyNumberFormat="0" applyAlignment="0" applyProtection="0"/>
    <xf numFmtId="0" fontId="46" fillId="13" borderId="74"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8" fillId="0" borderId="77"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43" fontId="14" fillId="0" borderId="0" applyFont="0" applyFill="0" applyBorder="0" applyAlignment="0" applyProtection="0"/>
    <xf numFmtId="0" fontId="43" fillId="10" borderId="73" applyNumberFormat="0" applyAlignment="0" applyProtection="0"/>
    <xf numFmtId="0" fontId="48" fillId="0" borderId="77" applyNumberFormat="0" applyFill="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8" fillId="0" borderId="77" applyNumberFormat="0" applyFill="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43" fillId="10" borderId="73" applyNumberFormat="0" applyAlignment="0" applyProtection="0"/>
    <xf numFmtId="0" fontId="48" fillId="0" borderId="75" applyNumberFormat="0" applyFill="0" applyAlignment="0" applyProtection="0"/>
    <xf numFmtId="0" fontId="46" fillId="5" borderId="74"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43" fillId="10" borderId="73" applyNumberFormat="0" applyAlignment="0" applyProtection="0"/>
    <xf numFmtId="0" fontId="33" fillId="5" borderId="73" applyNumberFormat="0" applyAlignment="0" applyProtection="0"/>
    <xf numFmtId="0" fontId="48" fillId="0" borderId="75" applyNumberFormat="0" applyFill="0" applyAlignment="0" applyProtection="0"/>
    <xf numFmtId="0" fontId="33" fillId="13" borderId="73" applyNumberFormat="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6" fillId="5"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43" fillId="10"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14" fillId="0" borderId="0"/>
    <xf numFmtId="0" fontId="48" fillId="0" borderId="77"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0" fontId="46" fillId="5" borderId="74" applyNumberFormat="0" applyAlignment="0" applyProtection="0"/>
    <xf numFmtId="0" fontId="33" fillId="5" borderId="73" applyNumberFormat="0" applyAlignment="0" applyProtection="0"/>
    <xf numFmtId="0" fontId="25" fillId="9" borderId="61" applyNumberFormat="0" applyFont="0" applyAlignment="0" applyProtection="0"/>
    <xf numFmtId="0" fontId="48" fillId="0" borderId="75" applyNumberFormat="0" applyFill="0" applyAlignment="0" applyProtection="0"/>
    <xf numFmtId="0" fontId="48" fillId="0" borderId="76" applyNumberFormat="0" applyFill="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8" fillId="0" borderId="77"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0" fillId="9" borderId="61" applyNumberFormat="0" applyFont="0" applyAlignment="0" applyProtection="0"/>
    <xf numFmtId="0" fontId="48" fillId="0" borderId="76" applyNumberFormat="0" applyFill="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48" fillId="0" borderId="77" applyNumberFormat="0" applyFill="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5"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8" fillId="0" borderId="77"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48" fillId="0" borderId="77" applyNumberFormat="0" applyFill="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8" fillId="0" borderId="77"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0"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8" fillId="0" borderId="75" applyNumberFormat="0" applyFill="0" applyAlignment="0" applyProtection="0"/>
    <xf numFmtId="0" fontId="25" fillId="9" borderId="61" applyNumberFormat="0" applyFont="0" applyAlignment="0" applyProtection="0"/>
    <xf numFmtId="0" fontId="30" fillId="9" borderId="61" applyNumberFormat="0" applyFont="0" applyAlignment="0" applyProtection="0"/>
    <xf numFmtId="0" fontId="46" fillId="5" borderId="74" applyNumberFormat="0" applyAlignment="0" applyProtection="0"/>
    <xf numFmtId="0" fontId="30" fillId="9" borderId="61" applyNumberFormat="0" applyFon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43" fillId="10" borderId="73" applyNumberFormat="0" applyAlignment="0" applyProtection="0"/>
    <xf numFmtId="0" fontId="33" fillId="5" borderId="73" applyNumberFormat="0" applyAlignment="0" applyProtection="0"/>
    <xf numFmtId="0" fontId="25"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46" fillId="5"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25" fillId="9" borderId="61" applyNumberFormat="0" applyFon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25"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33" fillId="13" borderId="73" applyNumberFormat="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3" fillId="13" borderId="73" applyNumberForma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0" fillId="9" borderId="61" applyNumberFormat="0" applyFont="0" applyAlignment="0" applyProtection="0"/>
    <xf numFmtId="0" fontId="48" fillId="0" borderId="76" applyNumberFormat="0" applyFill="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48" fillId="0" borderId="77" applyNumberFormat="0" applyFill="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3" fillId="5"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8" fillId="0" borderId="77"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48" fillId="0" borderId="77" applyNumberFormat="0" applyFill="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8" fillId="0" borderId="77"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6" fillId="13" borderId="74" applyNumberFormat="0" applyAlignment="0" applyProtection="0"/>
    <xf numFmtId="0" fontId="48" fillId="0" borderId="75" applyNumberFormat="0" applyFill="0" applyAlignment="0" applyProtection="0"/>
    <xf numFmtId="0" fontId="30"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8" fillId="0" borderId="75" applyNumberFormat="0" applyFill="0" applyAlignment="0" applyProtection="0"/>
    <xf numFmtId="0" fontId="25" fillId="9" borderId="61" applyNumberFormat="0" applyFont="0" applyAlignment="0" applyProtection="0"/>
    <xf numFmtId="0" fontId="30" fillId="9" borderId="61" applyNumberFormat="0" applyFont="0" applyAlignment="0" applyProtection="0"/>
    <xf numFmtId="0" fontId="46" fillId="5" borderId="74" applyNumberFormat="0" applyAlignment="0" applyProtection="0"/>
    <xf numFmtId="0" fontId="30" fillId="9" borderId="61" applyNumberFormat="0" applyFont="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43" fillId="10" borderId="73" applyNumberFormat="0" applyAlignment="0" applyProtection="0"/>
    <xf numFmtId="0" fontId="33" fillId="5" borderId="73" applyNumberFormat="0" applyAlignment="0" applyProtection="0"/>
    <xf numFmtId="0" fontId="25"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46" fillId="5"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25" fillId="9" borderId="61" applyNumberFormat="0" applyFon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25"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33" fillId="13" borderId="73" applyNumberFormat="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30"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6" fillId="13" borderId="74" applyNumberFormat="0" applyAlignment="0" applyProtection="0"/>
    <xf numFmtId="0" fontId="46" fillId="13" borderId="74"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46" fillId="13" borderId="74"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6" fillId="13" borderId="74" applyNumberForma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3" fillId="10"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25" fillId="9" borderId="61" applyNumberFormat="0" applyFon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43" fillId="10"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6" fillId="13" borderId="74" applyNumberFormat="0" applyAlignment="0" applyProtection="0"/>
    <xf numFmtId="0" fontId="43" fillId="10"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0"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33" fillId="13" borderId="73"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0"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33" fillId="13"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33" fillId="13"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13" borderId="73" applyNumberForma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43" fillId="10" borderId="73" applyNumberForma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30" fillId="9" borderId="61" applyNumberFormat="0" applyFon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6" fillId="13" borderId="74" applyNumberFormat="0" applyAlignment="0" applyProtection="0"/>
    <xf numFmtId="0" fontId="48" fillId="0" borderId="75" applyNumberFormat="0" applyFill="0" applyAlignment="0" applyProtection="0"/>
    <xf numFmtId="0" fontId="48" fillId="0" borderId="76"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48" fillId="0" borderId="75" applyNumberFormat="0" applyFill="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33" fillId="5" borderId="73" applyNumberFormat="0" applyAlignment="0" applyProtection="0"/>
    <xf numFmtId="0" fontId="33" fillId="13" borderId="73" applyNumberFormat="0" applyAlignment="0" applyProtection="0"/>
    <xf numFmtId="0" fontId="43" fillId="10" borderId="73" applyNumberForma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46" fillId="5" borderId="74" applyNumberFormat="0" applyAlignment="0" applyProtection="0"/>
    <xf numFmtId="0" fontId="46" fillId="13" borderId="74" applyNumberFormat="0" applyAlignment="0" applyProtection="0"/>
    <xf numFmtId="0" fontId="48" fillId="0" borderId="77" applyNumberFormat="0" applyFill="0" applyAlignment="0" applyProtection="0"/>
    <xf numFmtId="0" fontId="48" fillId="0" borderId="77" applyNumberFormat="0" applyFill="0" applyAlignment="0" applyProtection="0"/>
    <xf numFmtId="0" fontId="48" fillId="0" borderId="75" applyNumberFormat="0" applyFill="0" applyAlignment="0" applyProtection="0"/>
    <xf numFmtId="0" fontId="13" fillId="0" borderId="0"/>
    <xf numFmtId="0" fontId="25" fillId="0" borderId="0"/>
    <xf numFmtId="0" fontId="12" fillId="0" borderId="0"/>
    <xf numFmtId="44" fontId="90" fillId="0" borderId="0" applyFont="0" applyFill="0" applyBorder="0" applyAlignment="0" applyProtection="0"/>
    <xf numFmtId="43" fontId="90"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9" fontId="25" fillId="0" borderId="0" applyFont="0" applyFill="0" applyBorder="0" applyAlignment="0" applyProtection="0"/>
    <xf numFmtId="0" fontId="90" fillId="0" borderId="0"/>
    <xf numFmtId="9" fontId="12" fillId="0" borderId="0" applyFont="0" applyFill="0" applyBorder="0" applyAlignment="0" applyProtection="0"/>
    <xf numFmtId="0" fontId="90" fillId="0" borderId="0"/>
    <xf numFmtId="0" fontId="12" fillId="0" borderId="0"/>
    <xf numFmtId="0" fontId="95" fillId="0" borderId="0"/>
    <xf numFmtId="43" fontId="90" fillId="0" borderId="0" applyFont="0" applyFill="0" applyBorder="0" applyAlignment="0" applyProtection="0"/>
    <xf numFmtId="43" fontId="90" fillId="0" borderId="0" applyFont="0" applyFill="0" applyBorder="0" applyAlignment="0" applyProtection="0"/>
    <xf numFmtId="44" fontId="90" fillId="0" borderId="0" applyFont="0" applyFill="0" applyBorder="0" applyAlignment="0" applyProtection="0"/>
    <xf numFmtId="0" fontId="90" fillId="0" borderId="0"/>
    <xf numFmtId="9"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90" fillId="0" borderId="0"/>
    <xf numFmtId="43" fontId="25"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190" fontId="98" fillId="0" borderId="0" applyFont="0" applyFill="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6" borderId="0" applyNumberFormat="0" applyBorder="0" applyAlignment="0" applyProtection="0"/>
    <xf numFmtId="0" fontId="11" fillId="77" borderId="0" applyNumberFormat="0" applyBorder="0" applyAlignment="0" applyProtection="0"/>
    <xf numFmtId="0" fontId="30" fillId="7" borderId="0" applyNumberFormat="0" applyBorder="0" applyAlignment="0" applyProtection="0"/>
    <xf numFmtId="0" fontId="11" fillId="78"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30" fillId="12" borderId="0" applyNumberFormat="0" applyBorder="0" applyAlignment="0" applyProtection="0"/>
    <xf numFmtId="0" fontId="11" fillId="81" borderId="0" applyNumberFormat="0" applyBorder="0" applyAlignment="0" applyProtection="0"/>
    <xf numFmtId="0" fontId="11" fillId="82" borderId="0" applyNumberFormat="0" applyBorder="0" applyAlignment="0" applyProtection="0"/>
    <xf numFmtId="0" fontId="11" fillId="83" borderId="0" applyNumberFormat="0" applyBorder="0" applyAlignment="0" applyProtection="0"/>
    <xf numFmtId="0" fontId="30" fillId="3" borderId="0" applyNumberFormat="0" applyBorder="0" applyAlignment="0" applyProtection="0"/>
    <xf numFmtId="0" fontId="11" fillId="84" borderId="0" applyNumberFormat="0" applyBorder="0" applyAlignment="0" applyProtection="0"/>
    <xf numFmtId="0" fontId="31" fillId="1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9"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6" fillId="0" borderId="0" applyFont="0" applyFill="0" applyBorder="0" applyAlignment="0" applyProtection="0"/>
    <xf numFmtId="43" fontId="3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9" fillId="0" borderId="0" applyFont="0" applyFill="0" applyBorder="0" applyAlignment="0" applyProtection="0"/>
    <xf numFmtId="44" fontId="9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91" fontId="100" fillId="0" borderId="0" applyNumberFormat="0" applyFill="0" applyBorder="0" applyProtection="0">
      <alignment horizontal="center"/>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43" fillId="13" borderId="73" applyNumberFormat="0" applyAlignment="0" applyProtection="0"/>
    <xf numFmtId="0" fontId="43" fillId="13" borderId="73" applyNumberFormat="0" applyAlignment="0" applyProtection="0"/>
    <xf numFmtId="0" fontId="43" fillId="13" borderId="73" applyNumberFormat="0" applyAlignment="0" applyProtection="0"/>
    <xf numFmtId="0" fontId="43" fillId="13" borderId="73" applyNumberFormat="0" applyAlignment="0" applyProtection="0"/>
    <xf numFmtId="0" fontId="66" fillId="0" borderId="0"/>
    <xf numFmtId="0" fontId="99" fillId="0" borderId="0"/>
    <xf numFmtId="0" fontId="90" fillId="0" borderId="0"/>
    <xf numFmtId="0" fontId="5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5" fillId="0" borderId="0"/>
    <xf numFmtId="0" fontId="11" fillId="0" borderId="0"/>
    <xf numFmtId="0" fontId="11" fillId="0" borderId="0"/>
    <xf numFmtId="0" fontId="11" fillId="0" borderId="0"/>
    <xf numFmtId="0" fontId="11" fillId="0" borderId="0"/>
    <xf numFmtId="0" fontId="11" fillId="0" borderId="0"/>
    <xf numFmtId="0" fontId="90" fillId="0" borderId="0"/>
    <xf numFmtId="0" fontId="11" fillId="85" borderId="86" applyNumberFormat="0" applyFont="0" applyAlignment="0" applyProtection="0"/>
    <xf numFmtId="0" fontId="11" fillId="85" borderId="86"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0" fontId="25" fillId="9" borderId="61" applyNumberFormat="0" applyFont="0" applyAlignment="0" applyProtection="0"/>
    <xf numFmtId="9" fontId="11"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5" fillId="0" borderId="0" applyFont="0" applyFill="0" applyBorder="0" applyAlignment="0" applyProtection="0"/>
    <xf numFmtId="9" fontId="3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7" fillId="0" borderId="0">
      <protection locked="0"/>
    </xf>
    <xf numFmtId="0" fontId="50" fillId="0" borderId="0" applyNumberFormat="0" applyFont="0" applyFill="0" applyBorder="0" applyAlignment="0" applyProtection="0">
      <alignment horizontal="left"/>
    </xf>
    <xf numFmtId="15" fontId="50" fillId="0" borderId="0" applyFont="0" applyFill="0" applyBorder="0" applyAlignment="0" applyProtection="0"/>
    <xf numFmtId="4" fontId="50" fillId="0" borderId="0" applyFont="0" applyFill="0" applyBorder="0" applyAlignment="0" applyProtection="0"/>
    <xf numFmtId="0" fontId="104" fillId="0" borderId="79">
      <alignment horizontal="center"/>
    </xf>
    <xf numFmtId="0" fontId="104" fillId="0" borderId="79">
      <alignment horizontal="center"/>
    </xf>
    <xf numFmtId="0" fontId="105" fillId="0" borderId="0"/>
    <xf numFmtId="0" fontId="106" fillId="0" borderId="0"/>
    <xf numFmtId="0" fontId="10" fillId="0" borderId="0"/>
    <xf numFmtId="43" fontId="106"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77" borderId="0" applyNumberFormat="0" applyBorder="0" applyAlignment="0" applyProtection="0"/>
    <xf numFmtId="0" fontId="9" fillId="78" borderId="0" applyNumberFormat="0" applyBorder="0" applyAlignment="0" applyProtection="0"/>
    <xf numFmtId="0" fontId="9" fillId="80" borderId="0" applyNumberFormat="0" applyBorder="0" applyAlignment="0" applyProtection="0"/>
    <xf numFmtId="0" fontId="9" fillId="8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5"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8" fillId="81" borderId="0" applyNumberFormat="0" applyBorder="0" applyAlignment="0" applyProtection="0"/>
    <xf numFmtId="0" fontId="8" fillId="82" borderId="0" applyNumberFormat="0" applyBorder="0" applyAlignment="0" applyProtection="0"/>
    <xf numFmtId="0" fontId="8" fillId="82" borderId="0" applyNumberFormat="0" applyBorder="0" applyAlignment="0" applyProtection="0"/>
    <xf numFmtId="0" fontId="8" fillId="82" borderId="0" applyNumberFormat="0" applyBorder="0" applyAlignment="0" applyProtection="0"/>
    <xf numFmtId="0" fontId="8" fillId="82" borderId="0" applyNumberFormat="0" applyBorder="0" applyAlignment="0" applyProtection="0"/>
    <xf numFmtId="0" fontId="8" fillId="83" borderId="0" applyNumberFormat="0" applyBorder="0" applyAlignment="0" applyProtection="0"/>
    <xf numFmtId="0" fontId="8" fillId="83" borderId="0" applyNumberFormat="0" applyBorder="0" applyAlignment="0" applyProtection="0"/>
    <xf numFmtId="0" fontId="8" fillId="83" borderId="0" applyNumberFormat="0" applyBorder="0" applyAlignment="0" applyProtection="0"/>
    <xf numFmtId="0" fontId="8" fillId="83" borderId="0" applyNumberFormat="0" applyBorder="0" applyAlignment="0" applyProtection="0"/>
    <xf numFmtId="0" fontId="8" fillId="84" borderId="0" applyNumberFormat="0" applyBorder="0" applyAlignment="0" applyProtection="0"/>
    <xf numFmtId="0" fontId="8" fillId="84" borderId="0" applyNumberFormat="0" applyBorder="0" applyAlignment="0" applyProtection="0"/>
    <xf numFmtId="0" fontId="8" fillId="84" borderId="0" applyNumberFormat="0" applyBorder="0" applyAlignment="0" applyProtection="0"/>
    <xf numFmtId="0" fontId="8" fillId="8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0" fontId="107"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190" fontId="9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xf numFmtId="0" fontId="4" fillId="0" borderId="0"/>
    <xf numFmtId="43" fontId="25" fillId="0" borderId="0" applyFont="0" applyFill="0" applyBorder="0" applyAlignment="0" applyProtection="0"/>
    <xf numFmtId="0" fontId="25" fillId="0" borderId="0"/>
    <xf numFmtId="0" fontId="25" fillId="0" borderId="0"/>
    <xf numFmtId="0" fontId="7" fillId="0" borderId="0"/>
    <xf numFmtId="0" fontId="7" fillId="0" borderId="0"/>
    <xf numFmtId="0" fontId="3"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90" fillId="0" borderId="0" applyFont="0" applyFill="0" applyBorder="0" applyAlignment="0" applyProtection="0"/>
    <xf numFmtId="0" fontId="149" fillId="0" borderId="0" applyNumberFormat="0" applyFill="0" applyBorder="0" applyAlignment="0" applyProtection="0"/>
  </cellStyleXfs>
  <cellXfs count="1781">
    <xf numFmtId="0" fontId="0" fillId="0" borderId="0" xfId="0"/>
    <xf numFmtId="165" fontId="27" fillId="0" borderId="0" xfId="0" applyNumberFormat="1" applyFont="1" applyFill="1" applyAlignment="1" applyProtection="1">
      <alignment horizontal="center"/>
      <protection locked="0"/>
    </xf>
    <xf numFmtId="0" fontId="0" fillId="0" borderId="0" xfId="0" applyFill="1"/>
    <xf numFmtId="0" fontId="0" fillId="0" borderId="0" xfId="0" applyFill="1" applyBorder="1" applyProtection="1"/>
    <xf numFmtId="0" fontId="0" fillId="0" borderId="0" xfId="0" applyBorder="1" applyAlignment="1" applyProtection="1">
      <alignment horizontal="center"/>
    </xf>
    <xf numFmtId="171" fontId="27" fillId="0" borderId="0" xfId="71" applyNumberFormat="1" applyFont="1" applyFill="1" applyBorder="1" applyAlignment="1" applyProtection="1">
      <alignment horizontal="center" wrapText="1"/>
    </xf>
    <xf numFmtId="171" fontId="27" fillId="0" borderId="0" xfId="71" applyNumberFormat="1" applyFont="1" applyFill="1" applyBorder="1" applyAlignment="1" applyProtection="1">
      <alignment horizontal="center"/>
    </xf>
    <xf numFmtId="171" fontId="25" fillId="0" borderId="0" xfId="71" applyNumberFormat="1" applyFont="1" applyFill="1" applyBorder="1" applyAlignment="1" applyProtection="1">
      <alignment wrapText="1"/>
    </xf>
    <xf numFmtId="171" fontId="25" fillId="0" borderId="0" xfId="71" applyNumberFormat="1" applyFont="1" applyFill="1" applyProtection="1"/>
    <xf numFmtId="0" fontId="0" fillId="0" borderId="18" xfId="0" applyFill="1" applyBorder="1" applyAlignment="1" applyProtection="1">
      <alignment horizontal="left"/>
    </xf>
    <xf numFmtId="0" fontId="0" fillId="0" borderId="0" xfId="0" applyFill="1" applyBorder="1" applyAlignment="1" applyProtection="1">
      <alignment horizontal="left"/>
    </xf>
    <xf numFmtId="0" fontId="0" fillId="0" borderId="18" xfId="0" applyFill="1" applyBorder="1" applyAlignment="1" applyProtection="1">
      <alignment horizontal="center"/>
    </xf>
    <xf numFmtId="3" fontId="0" fillId="0" borderId="18" xfId="0" applyNumberFormat="1" applyFill="1" applyBorder="1" applyAlignment="1" applyProtection="1">
      <alignment horizontal="center"/>
    </xf>
    <xf numFmtId="167" fontId="0" fillId="0" borderId="0" xfId="0" applyNumberFormat="1" applyFill="1" applyBorder="1" applyProtection="1"/>
    <xf numFmtId="0" fontId="25" fillId="0" borderId="0" xfId="0" applyFont="1" applyFill="1"/>
    <xf numFmtId="0" fontId="0" fillId="0" borderId="0" xfId="0"/>
    <xf numFmtId="0" fontId="25" fillId="0" borderId="0" xfId="0" applyFont="1" applyFill="1" applyProtection="1">
      <protection locked="0"/>
    </xf>
    <xf numFmtId="0" fontId="25" fillId="0" borderId="0" xfId="0" applyFont="1"/>
    <xf numFmtId="0" fontId="25" fillId="0" borderId="0" xfId="0" applyFont="1" applyFill="1" applyBorder="1" applyProtection="1">
      <protection locked="0"/>
    </xf>
    <xf numFmtId="0" fontId="25" fillId="0" borderId="0" xfId="0" applyFont="1" applyAlignment="1" applyProtection="1">
      <alignment horizontal="center" vertical="center"/>
      <protection locked="0"/>
    </xf>
    <xf numFmtId="165" fontId="25" fillId="0" borderId="0" xfId="0" applyNumberFormat="1" applyFont="1" applyFill="1" applyProtection="1">
      <protection locked="0"/>
    </xf>
    <xf numFmtId="9" fontId="25" fillId="0" borderId="0" xfId="0" applyNumberFormat="1" applyFont="1" applyFill="1" applyAlignment="1" applyProtection="1">
      <alignment horizontal="center"/>
      <protection locked="0"/>
    </xf>
    <xf numFmtId="0" fontId="25" fillId="0" borderId="0" xfId="0" applyNumberFormat="1" applyFont="1" applyFill="1" applyAlignment="1" applyProtection="1">
      <alignment horizontal="center"/>
      <protection locked="0"/>
    </xf>
    <xf numFmtId="2" fontId="25" fillId="0" borderId="0" xfId="0" applyNumberFormat="1" applyFont="1" applyFill="1" applyAlignment="1" applyProtection="1">
      <alignment horizontal="right"/>
      <protection locked="0"/>
    </xf>
    <xf numFmtId="3" fontId="25" fillId="0" borderId="0" xfId="0" applyNumberFormat="1" applyFont="1" applyFill="1" applyAlignment="1" applyProtection="1">
      <alignment horizontal="right"/>
      <protection locked="0"/>
    </xf>
    <xf numFmtId="0" fontId="27" fillId="0" borderId="0" xfId="0" applyFont="1" applyFill="1" applyAlignment="1" applyProtection="1">
      <alignment horizontal="right"/>
      <protection locked="0"/>
    </xf>
    <xf numFmtId="171" fontId="27" fillId="0" borderId="0" xfId="71" applyNumberFormat="1" applyFont="1" applyFill="1" applyBorder="1" applyAlignment="1" applyProtection="1">
      <alignment wrapText="1"/>
    </xf>
    <xf numFmtId="164" fontId="0" fillId="0" borderId="18" xfId="0" applyNumberFormat="1" applyFill="1" applyBorder="1" applyProtection="1"/>
    <xf numFmtId="165" fontId="0" fillId="0" borderId="18" xfId="0" quotePrefix="1" applyNumberFormat="1" applyFill="1" applyBorder="1" applyProtection="1"/>
    <xf numFmtId="165" fontId="27" fillId="0" borderId="18" xfId="0" applyNumberFormat="1" applyFont="1" applyFill="1" applyBorder="1" applyProtection="1"/>
    <xf numFmtId="165" fontId="0" fillId="0" borderId="18" xfId="0" applyNumberFormat="1" applyFill="1" applyBorder="1" applyProtection="1"/>
    <xf numFmtId="44" fontId="27" fillId="0" borderId="18" xfId="79" applyFont="1" applyFill="1" applyBorder="1" applyProtection="1"/>
    <xf numFmtId="165" fontId="0" fillId="0" borderId="0" xfId="0" quotePrefix="1" applyNumberFormat="1" applyFill="1" applyBorder="1" applyProtection="1"/>
    <xf numFmtId="0" fontId="0" fillId="0" borderId="0" xfId="0" applyFill="1" applyBorder="1" applyAlignment="1" applyProtection="1">
      <alignment horizontal="center"/>
    </xf>
    <xf numFmtId="3" fontId="0" fillId="0" borderId="0" xfId="0" applyNumberFormat="1" applyFill="1" applyBorder="1" applyAlignment="1" applyProtection="1">
      <alignment horizontal="center"/>
    </xf>
    <xf numFmtId="164" fontId="0" fillId="0" borderId="0" xfId="0" applyNumberFormat="1" applyFill="1" applyBorder="1" applyProtection="1"/>
    <xf numFmtId="3" fontId="0" fillId="0" borderId="0" xfId="0" applyNumberFormat="1" applyFill="1" applyBorder="1" applyProtection="1"/>
    <xf numFmtId="167" fontId="27" fillId="0" borderId="0" xfId="0" applyNumberFormat="1" applyFont="1" applyFill="1" applyBorder="1" applyProtection="1"/>
    <xf numFmtId="0" fontId="27" fillId="0" borderId="0" xfId="0" applyFont="1" applyFill="1" applyBorder="1" applyProtection="1"/>
    <xf numFmtId="178" fontId="25" fillId="0" borderId="0" xfId="0" applyNumberFormat="1" applyFont="1"/>
    <xf numFmtId="0" fontId="27" fillId="0" borderId="0" xfId="0" applyFont="1" applyFill="1" applyAlignment="1" applyProtection="1">
      <alignment horizontal="right" vertical="center"/>
      <protection locked="0"/>
    </xf>
    <xf numFmtId="44" fontId="27" fillId="0" borderId="20" xfId="79" applyFont="1" applyFill="1" applyBorder="1" applyProtection="1"/>
    <xf numFmtId="44" fontId="27" fillId="0" borderId="0" xfId="79" applyFont="1" applyFill="1" applyBorder="1" applyAlignment="1" applyProtection="1">
      <alignment wrapText="1"/>
    </xf>
    <xf numFmtId="44" fontId="27" fillId="0" borderId="0" xfId="79" applyFont="1" applyFill="1" applyBorder="1" applyProtection="1"/>
    <xf numFmtId="180" fontId="25" fillId="0" borderId="0" xfId="71" applyNumberFormat="1" applyFont="1" applyFill="1" applyBorder="1" applyAlignment="1" applyProtection="1">
      <alignment horizontal="center" vertical="center" wrapText="1"/>
    </xf>
    <xf numFmtId="180" fontId="25" fillId="0" borderId="18" xfId="71" quotePrefix="1" applyNumberFormat="1" applyFont="1" applyFill="1" applyBorder="1" applyAlignment="1" applyProtection="1">
      <alignment horizontal="center" vertical="center"/>
    </xf>
    <xf numFmtId="180" fontId="25" fillId="0" borderId="0" xfId="71" applyNumberFormat="1" applyFont="1" applyFill="1" applyBorder="1" applyAlignment="1" applyProtection="1">
      <alignment horizontal="center" vertical="center"/>
    </xf>
    <xf numFmtId="170" fontId="0" fillId="0" borderId="18" xfId="79" applyNumberFormat="1" applyFont="1" applyFill="1" applyBorder="1" applyAlignment="1" applyProtection="1">
      <alignment horizontal="center"/>
    </xf>
    <xf numFmtId="0" fontId="25" fillId="0" borderId="0" xfId="0" applyFont="1" applyFill="1" applyAlignment="1" applyProtection="1">
      <alignment horizontal="center" vertical="center"/>
      <protection locked="0"/>
    </xf>
    <xf numFmtId="0" fontId="25" fillId="0" borderId="56" xfId="0" applyFont="1" applyBorder="1" applyAlignment="1" applyProtection="1">
      <alignment horizontal="center" vertical="top" wrapText="1"/>
    </xf>
    <xf numFmtId="3" fontId="25" fillId="0" borderId="56" xfId="0" applyNumberFormat="1" applyFont="1" applyBorder="1" applyAlignment="1" applyProtection="1">
      <alignment horizontal="center" vertical="top" wrapText="1"/>
    </xf>
    <xf numFmtId="3" fontId="25" fillId="51" borderId="56" xfId="0" applyNumberFormat="1" applyFont="1" applyFill="1" applyBorder="1" applyAlignment="1" applyProtection="1">
      <alignment horizontal="center" vertical="top" wrapText="1"/>
    </xf>
    <xf numFmtId="164" fontId="25" fillId="31" borderId="56" xfId="0" applyNumberFormat="1" applyFont="1" applyFill="1" applyBorder="1" applyAlignment="1" applyProtection="1">
      <alignment vertical="top" wrapText="1"/>
    </xf>
    <xf numFmtId="171" fontId="25" fillId="0" borderId="0" xfId="71" applyNumberFormat="1" applyFont="1" applyFill="1" applyBorder="1" applyProtection="1"/>
    <xf numFmtId="171" fontId="27" fillId="0" borderId="0" xfId="71" applyNumberFormat="1" applyFont="1" applyFill="1" applyBorder="1" applyProtection="1"/>
    <xf numFmtId="0" fontId="70" fillId="0" borderId="0" xfId="0" applyFont="1" applyBorder="1" applyProtection="1"/>
    <xf numFmtId="0" fontId="0" fillId="0" borderId="0" xfId="0" applyBorder="1" applyAlignment="1" applyProtection="1">
      <alignment horizontal="left"/>
    </xf>
    <xf numFmtId="3" fontId="0" fillId="0" borderId="0" xfId="0" applyNumberFormat="1" applyBorder="1" applyAlignment="1" applyProtection="1">
      <alignment horizontal="center"/>
    </xf>
    <xf numFmtId="164" fontId="0" fillId="0" borderId="0" xfId="0" applyNumberFormat="1" applyBorder="1" applyProtection="1"/>
    <xf numFmtId="164" fontId="25" fillId="31" borderId="56" xfId="113" applyNumberFormat="1" applyFont="1" applyFill="1" applyBorder="1" applyAlignment="1" applyProtection="1">
      <alignment horizontal="center" vertical="top" wrapText="1"/>
    </xf>
    <xf numFmtId="3" fontId="25" fillId="31" borderId="56" xfId="113" applyNumberFormat="1" applyFont="1" applyFill="1" applyBorder="1" applyAlignment="1" applyProtection="1">
      <alignment horizontal="center" vertical="top" wrapText="1"/>
    </xf>
    <xf numFmtId="164" fontId="25" fillId="33" borderId="56" xfId="0" applyNumberFormat="1" applyFont="1" applyFill="1" applyBorder="1" applyAlignment="1" applyProtection="1">
      <alignment vertical="top" wrapText="1"/>
    </xf>
    <xf numFmtId="175" fontId="25" fillId="33" borderId="56" xfId="0" applyNumberFormat="1" applyFont="1" applyFill="1" applyBorder="1" applyAlignment="1" applyProtection="1">
      <alignment vertical="top" wrapText="1"/>
    </xf>
    <xf numFmtId="180" fontId="25" fillId="55" borderId="56" xfId="71" applyNumberFormat="1" applyFont="1" applyFill="1" applyBorder="1" applyAlignment="1" applyProtection="1">
      <alignment horizontal="center" vertical="top" wrapText="1"/>
    </xf>
    <xf numFmtId="0" fontId="52" fillId="0" borderId="0" xfId="0" applyFont="1" applyBorder="1" applyAlignment="1" applyProtection="1">
      <alignment horizontal="left"/>
    </xf>
    <xf numFmtId="0" fontId="53" fillId="0" borderId="0" xfId="0" applyNumberFormat="1" applyFont="1" applyFill="1" applyBorder="1" applyAlignment="1" applyProtection="1">
      <alignment horizontal="left"/>
    </xf>
    <xf numFmtId="175" fontId="0" fillId="0" borderId="0" xfId="0" applyNumberFormat="1" applyFill="1" applyBorder="1" applyProtection="1"/>
    <xf numFmtId="164" fontId="27" fillId="31" borderId="56" xfId="113" applyNumberFormat="1" applyFont="1" applyFill="1" applyBorder="1" applyAlignment="1" applyProtection="1">
      <alignment horizontal="center" vertical="top" wrapText="1"/>
    </xf>
    <xf numFmtId="164" fontId="27" fillId="57" borderId="56" xfId="113" applyNumberFormat="1" applyFont="1" applyFill="1" applyBorder="1" applyAlignment="1" applyProtection="1">
      <alignment horizontal="center" vertical="top" wrapText="1"/>
    </xf>
    <xf numFmtId="0" fontId="27" fillId="66" borderId="56" xfId="0" applyFont="1" applyFill="1" applyBorder="1" applyAlignment="1">
      <alignment horizontal="center" vertical="top" wrapText="1"/>
    </xf>
    <xf numFmtId="175" fontId="27" fillId="33" borderId="56" xfId="113" applyNumberFormat="1" applyFont="1" applyFill="1" applyBorder="1" applyAlignment="1" applyProtection="1">
      <alignment horizontal="center" vertical="top" wrapText="1"/>
    </xf>
    <xf numFmtId="0" fontId="27" fillId="58" borderId="56" xfId="0" applyFont="1" applyFill="1" applyBorder="1" applyAlignment="1">
      <alignment horizontal="center" vertical="top" wrapText="1"/>
    </xf>
    <xf numFmtId="164" fontId="25" fillId="57" borderId="56" xfId="113" applyNumberFormat="1" applyFont="1" applyFill="1" applyBorder="1" applyAlignment="1" applyProtection="1">
      <alignment horizontal="center" vertical="top" wrapText="1"/>
    </xf>
    <xf numFmtId="0" fontId="27" fillId="59" borderId="56" xfId="0" applyFont="1" applyFill="1" applyBorder="1" applyAlignment="1" applyProtection="1">
      <alignment horizontal="center" vertical="top" wrapText="1"/>
      <protection locked="0"/>
    </xf>
    <xf numFmtId="0" fontId="27" fillId="60" borderId="56" xfId="0" applyFont="1" applyFill="1" applyBorder="1" applyAlignment="1" applyProtection="1">
      <alignment horizontal="center" vertical="top" wrapText="1"/>
      <protection locked="0"/>
    </xf>
    <xf numFmtId="44" fontId="27" fillId="64" borderId="56" xfId="79" applyFont="1" applyFill="1" applyBorder="1" applyAlignment="1">
      <alignment horizontal="center" vertical="top" wrapText="1"/>
    </xf>
    <xf numFmtId="164" fontId="25" fillId="33" borderId="56" xfId="113" applyNumberFormat="1" applyFont="1" applyFill="1" applyBorder="1" applyAlignment="1" applyProtection="1">
      <alignment horizontal="center" vertical="top" wrapText="1"/>
    </xf>
    <xf numFmtId="175" fontId="25" fillId="33" borderId="56" xfId="113" applyNumberFormat="1" applyFont="1" applyFill="1" applyBorder="1" applyAlignment="1" applyProtection="1">
      <alignment horizontal="center" vertical="top" wrapText="1"/>
    </xf>
    <xf numFmtId="0" fontId="25" fillId="59" borderId="56" xfId="0" applyFont="1" applyFill="1" applyBorder="1" applyAlignment="1" applyProtection="1">
      <alignment horizontal="center" vertical="top" wrapText="1"/>
      <protection locked="0"/>
    </xf>
    <xf numFmtId="0" fontId="25" fillId="60" borderId="56" xfId="0" applyFont="1" applyFill="1" applyBorder="1" applyAlignment="1" applyProtection="1">
      <alignment horizontal="center" vertical="top" wrapText="1"/>
      <protection locked="0"/>
    </xf>
    <xf numFmtId="167" fontId="25" fillId="34" borderId="56" xfId="0" applyNumberFormat="1" applyFont="1" applyFill="1" applyBorder="1" applyAlignment="1" applyProtection="1">
      <alignment vertical="top" wrapText="1"/>
    </xf>
    <xf numFmtId="165" fontId="0" fillId="0" borderId="20" xfId="71" applyNumberFormat="1" applyFont="1" applyFill="1" applyBorder="1" applyProtection="1"/>
    <xf numFmtId="165" fontId="27" fillId="0" borderId="20" xfId="79" applyNumberFormat="1" applyFont="1" applyFill="1" applyBorder="1" applyProtection="1"/>
    <xf numFmtId="43" fontId="25" fillId="0" borderId="0" xfId="71" applyFont="1" applyFill="1" applyAlignment="1" applyProtection="1">
      <alignment horizontal="center" vertical="center"/>
      <protection locked="0"/>
    </xf>
    <xf numFmtId="170" fontId="0" fillId="0" borderId="20" xfId="79" applyNumberFormat="1" applyFont="1" applyFill="1" applyBorder="1" applyProtection="1"/>
    <xf numFmtId="0" fontId="25" fillId="0" borderId="0" xfId="0" applyFont="1" applyBorder="1" applyAlignment="1" applyProtection="1">
      <alignment horizontal="center" vertical="center"/>
      <protection locked="0"/>
    </xf>
    <xf numFmtId="1" fontId="25" fillId="0" borderId="0" xfId="0" applyNumberFormat="1" applyFont="1" applyFill="1" applyAlignment="1" applyProtection="1">
      <alignment horizontal="left" vertical="center"/>
      <protection locked="0"/>
    </xf>
    <xf numFmtId="0" fontId="76" fillId="0" borderId="0" xfId="305" applyFont="1" applyFill="1" applyBorder="1"/>
    <xf numFmtId="166" fontId="25" fillId="0" borderId="0" xfId="147" applyNumberFormat="1" applyFont="1" applyFill="1" applyProtection="1">
      <protection locked="0"/>
    </xf>
    <xf numFmtId="166" fontId="25" fillId="0" borderId="0" xfId="147" applyNumberFormat="1" applyFont="1" applyFill="1" applyAlignment="1" applyProtection="1">
      <alignment horizontal="center"/>
      <protection locked="0"/>
    </xf>
    <xf numFmtId="166" fontId="25" fillId="0" borderId="0" xfId="147" applyNumberFormat="1" applyFont="1" applyAlignment="1" applyProtection="1">
      <alignment horizontal="center" vertical="center"/>
      <protection locked="0"/>
    </xf>
    <xf numFmtId="166" fontId="25" fillId="0" borderId="0" xfId="147" applyNumberFormat="1" applyFont="1"/>
    <xf numFmtId="3" fontId="25" fillId="68" borderId="56" xfId="113" applyNumberFormat="1" applyFont="1" applyFill="1" applyBorder="1" applyAlignment="1" applyProtection="1">
      <alignment horizontal="center" vertical="top" wrapText="1"/>
    </xf>
    <xf numFmtId="3" fontId="25" fillId="68" borderId="57" xfId="113" applyNumberFormat="1" applyFont="1" applyFill="1" applyBorder="1" applyAlignment="1" applyProtection="1">
      <alignment horizontal="center" vertical="top" wrapText="1"/>
    </xf>
    <xf numFmtId="172" fontId="27" fillId="0" borderId="0" xfId="71" applyNumberFormat="1" applyFont="1" applyFill="1" applyAlignment="1" applyProtection="1">
      <alignment horizontal="center"/>
      <protection locked="0"/>
    </xf>
    <xf numFmtId="171" fontId="25" fillId="0" borderId="0" xfId="71" applyNumberFormat="1" applyFont="1" applyFill="1" applyBorder="1" applyAlignment="1" applyProtection="1">
      <alignment horizontal="center" vertical="center"/>
    </xf>
    <xf numFmtId="0" fontId="25" fillId="0" borderId="0" xfId="0" applyFont="1" applyFill="1" applyBorder="1" applyAlignment="1" applyProtection="1">
      <alignment horizontal="center" vertical="center"/>
      <protection locked="0"/>
    </xf>
    <xf numFmtId="1" fontId="25" fillId="0" borderId="0" xfId="0" applyNumberFormat="1" applyFont="1" applyFill="1" applyBorder="1" applyAlignment="1" applyProtection="1">
      <alignment horizontal="left" vertical="center"/>
      <protection locked="0"/>
    </xf>
    <xf numFmtId="171" fontId="25" fillId="0" borderId="0" xfId="71" applyNumberFormat="1" applyFont="1" applyFill="1" applyBorder="1" applyAlignment="1" applyProtection="1">
      <alignment horizontal="center" vertical="center" wrapText="1"/>
    </xf>
    <xf numFmtId="171" fontId="25" fillId="55" borderId="56" xfId="71" applyNumberFormat="1" applyFont="1" applyFill="1" applyBorder="1" applyAlignment="1" applyProtection="1">
      <alignment horizontal="center" vertical="top" wrapText="1"/>
    </xf>
    <xf numFmtId="171" fontId="25" fillId="0" borderId="18" xfId="71" quotePrefix="1" applyNumberFormat="1" applyFont="1" applyFill="1" applyBorder="1" applyAlignment="1" applyProtection="1">
      <alignment horizontal="center" vertical="center"/>
    </xf>
    <xf numFmtId="171" fontId="25" fillId="0" borderId="18" xfId="71" applyNumberFormat="1" applyFont="1" applyFill="1" applyBorder="1" applyAlignment="1" applyProtection="1">
      <alignment horizontal="center" vertical="center"/>
    </xf>
    <xf numFmtId="171" fontId="25" fillId="0" borderId="17" xfId="71" applyNumberFormat="1" applyFont="1" applyFill="1" applyBorder="1" applyAlignment="1" applyProtection="1">
      <alignment horizontal="center" vertical="center"/>
    </xf>
    <xf numFmtId="172" fontId="25" fillId="0" borderId="0" xfId="71" applyNumberFormat="1" applyFont="1" applyFill="1" applyAlignment="1" applyProtection="1">
      <alignment horizontal="center" vertical="center"/>
      <protection locked="0"/>
    </xf>
    <xf numFmtId="172" fontId="25" fillId="0" borderId="0" xfId="71" applyNumberFormat="1" applyFont="1" applyFill="1"/>
    <xf numFmtId="44" fontId="25" fillId="0" borderId="0" xfId="79" applyFont="1" applyFill="1"/>
    <xf numFmtId="43" fontId="25" fillId="0" borderId="0" xfId="71" applyFont="1" applyFill="1" applyAlignment="1">
      <alignment horizontal="center" vertical="center"/>
    </xf>
    <xf numFmtId="165" fontId="25" fillId="0" borderId="0" xfId="0" applyNumberFormat="1" applyFont="1" applyFill="1"/>
    <xf numFmtId="0" fontId="25" fillId="0" borderId="0" xfId="0" applyNumberFormat="1" applyFont="1" applyFill="1" applyAlignment="1">
      <alignment horizontal="center" vertical="center"/>
    </xf>
    <xf numFmtId="0" fontId="82" fillId="0" borderId="0" xfId="71" applyNumberFormat="1" applyFont="1" applyFill="1" applyBorder="1" applyAlignment="1">
      <alignment vertical="top" wrapText="1"/>
    </xf>
    <xf numFmtId="0" fontId="84" fillId="0" borderId="0" xfId="339" applyFont="1" applyFill="1" applyBorder="1"/>
    <xf numFmtId="170" fontId="76" fillId="0" borderId="0" xfId="79" applyNumberFormat="1" applyFont="1" applyFill="1" applyBorder="1"/>
    <xf numFmtId="170" fontId="82" fillId="0" borderId="18" xfId="79" applyNumberFormat="1" applyFont="1" applyFill="1" applyBorder="1"/>
    <xf numFmtId="0" fontId="76" fillId="0" borderId="22" xfId="305" applyFont="1" applyFill="1" applyBorder="1"/>
    <xf numFmtId="164" fontId="25" fillId="0" borderId="0" xfId="0" applyNumberFormat="1" applyFont="1" applyBorder="1" applyProtection="1"/>
    <xf numFmtId="180" fontId="25" fillId="71" borderId="56" xfId="71" applyNumberFormat="1" applyFont="1" applyFill="1" applyBorder="1" applyAlignment="1" applyProtection="1">
      <alignment horizontal="center" vertical="top" wrapText="1"/>
    </xf>
    <xf numFmtId="171" fontId="25" fillId="71" borderId="56" xfId="71" applyNumberFormat="1" applyFont="1" applyFill="1" applyBorder="1" applyAlignment="1" applyProtection="1">
      <alignment horizontal="center" vertical="top" wrapText="1"/>
    </xf>
    <xf numFmtId="0" fontId="74" fillId="0" borderId="0" xfId="41216" applyFont="1"/>
    <xf numFmtId="0" fontId="75" fillId="0" borderId="0" xfId="41217" applyFont="1"/>
    <xf numFmtId="0" fontId="71" fillId="0" borderId="0" xfId="41216" applyFont="1"/>
    <xf numFmtId="0" fontId="71" fillId="0" borderId="0" xfId="41216" applyFont="1" applyFill="1"/>
    <xf numFmtId="0" fontId="71" fillId="0" borderId="0" xfId="41216" applyFont="1" applyBorder="1"/>
    <xf numFmtId="0" fontId="74" fillId="0" borderId="14" xfId="41216" applyFont="1" applyBorder="1"/>
    <xf numFmtId="0" fontId="89" fillId="0" borderId="15" xfId="41216" applyFont="1" applyFill="1" applyBorder="1" applyAlignment="1">
      <alignment horizontal="center" wrapText="1"/>
    </xf>
    <xf numFmtId="0" fontId="89" fillId="0" borderId="16" xfId="41216" applyFont="1" applyFill="1" applyBorder="1" applyAlignment="1">
      <alignment horizontal="center" wrapText="1"/>
    </xf>
    <xf numFmtId="0" fontId="89" fillId="0" borderId="24" xfId="41216" applyFont="1" applyBorder="1"/>
    <xf numFmtId="0" fontId="74" fillId="0" borderId="0" xfId="41216" applyFont="1" applyBorder="1"/>
    <xf numFmtId="0" fontId="74" fillId="0" borderId="26" xfId="41216" applyFont="1" applyBorder="1"/>
    <xf numFmtId="0" fontId="74" fillId="0" borderId="24" xfId="41216" applyFont="1" applyBorder="1"/>
    <xf numFmtId="2" fontId="71" fillId="0" borderId="0" xfId="41216" applyNumberFormat="1" applyFont="1" applyAlignment="1">
      <alignment horizontal="center"/>
    </xf>
    <xf numFmtId="0" fontId="71" fillId="0" borderId="0" xfId="41216" applyFont="1" applyFill="1" applyBorder="1"/>
    <xf numFmtId="0" fontId="71" fillId="0" borderId="20" xfId="41216" applyFont="1" applyFill="1" applyBorder="1"/>
    <xf numFmtId="3" fontId="91" fillId="0" borderId="0" xfId="41216" applyNumberFormat="1" applyFont="1" applyFill="1" applyBorder="1"/>
    <xf numFmtId="166" fontId="91" fillId="0" borderId="0" xfId="41222" applyNumberFormat="1" applyFont="1" applyFill="1" applyBorder="1"/>
    <xf numFmtId="0" fontId="71" fillId="0" borderId="17" xfId="41216" applyFont="1" applyBorder="1"/>
    <xf numFmtId="0" fontId="71" fillId="0" borderId="19" xfId="41216" applyFont="1" applyBorder="1"/>
    <xf numFmtId="0" fontId="71" fillId="0" borderId="33" xfId="41216" applyFont="1" applyFill="1" applyBorder="1"/>
    <xf numFmtId="0" fontId="71" fillId="0" borderId="22" xfId="41216" applyFont="1" applyFill="1" applyBorder="1"/>
    <xf numFmtId="3" fontId="72" fillId="0" borderId="22" xfId="41216" applyNumberFormat="1" applyFont="1" applyFill="1" applyBorder="1"/>
    <xf numFmtId="166" fontId="71" fillId="0" borderId="22" xfId="41222" applyNumberFormat="1" applyFont="1" applyFill="1" applyBorder="1"/>
    <xf numFmtId="0" fontId="12" fillId="0" borderId="0" xfId="41217"/>
    <xf numFmtId="0" fontId="92" fillId="0" borderId="0" xfId="41216" applyFont="1"/>
    <xf numFmtId="44" fontId="12" fillId="0" borderId="0" xfId="41217" applyNumberFormat="1"/>
    <xf numFmtId="0" fontId="82" fillId="0" borderId="0" xfId="121" applyFont="1" applyFill="1" applyBorder="1" applyAlignment="1">
      <alignment vertical="top" wrapText="1"/>
    </xf>
    <xf numFmtId="0" fontId="81" fillId="0" borderId="0" xfId="201" applyFont="1" applyFill="1" applyBorder="1" applyAlignment="1">
      <alignment horizontal="center" vertical="top" wrapText="1"/>
    </xf>
    <xf numFmtId="0" fontId="84" fillId="0" borderId="0" xfId="201" applyFont="1" applyFill="1" applyBorder="1" applyAlignment="1">
      <alignment horizontal="center" vertical="top" wrapText="1"/>
    </xf>
    <xf numFmtId="0" fontId="84" fillId="0" borderId="0" xfId="201" applyFont="1" applyBorder="1"/>
    <xf numFmtId="170" fontId="76" fillId="43" borderId="0" xfId="202" applyNumberFormat="1" applyFont="1" applyFill="1" applyBorder="1"/>
    <xf numFmtId="170" fontId="76" fillId="46" borderId="0" xfId="202" applyNumberFormat="1" applyFont="1" applyFill="1" applyBorder="1"/>
    <xf numFmtId="171" fontId="76" fillId="69" borderId="0" xfId="203" applyNumberFormat="1" applyFont="1" applyFill="1" applyBorder="1"/>
    <xf numFmtId="43" fontId="76" fillId="43" borderId="0" xfId="71" applyFont="1" applyFill="1" applyBorder="1"/>
    <xf numFmtId="43" fontId="76" fillId="47" borderId="0" xfId="71" applyFont="1" applyFill="1" applyBorder="1"/>
    <xf numFmtId="170" fontId="76" fillId="47" borderId="0" xfId="202" applyNumberFormat="1" applyFont="1" applyFill="1" applyBorder="1"/>
    <xf numFmtId="0" fontId="76" fillId="0" borderId="0" xfId="0" applyFont="1" applyBorder="1"/>
    <xf numFmtId="0" fontId="76" fillId="0" borderId="0" xfId="0" applyFont="1" applyFill="1" applyBorder="1"/>
    <xf numFmtId="178" fontId="25" fillId="0" borderId="0" xfId="0" applyNumberFormat="1" applyFont="1" applyFill="1"/>
    <xf numFmtId="178" fontId="25" fillId="0" borderId="0" xfId="0" applyNumberFormat="1" applyFont="1" applyAlignment="1" applyProtection="1">
      <alignment horizontal="center" vertical="center"/>
      <protection locked="0"/>
    </xf>
    <xf numFmtId="165" fontId="0" fillId="0" borderId="20" xfId="0" quotePrefix="1" applyNumberFormat="1" applyFill="1" applyBorder="1" applyProtection="1"/>
    <xf numFmtId="0" fontId="69" fillId="65" borderId="31" xfId="0" applyFont="1" applyFill="1" applyBorder="1" applyAlignment="1">
      <alignment horizontal="center" vertical="center"/>
    </xf>
    <xf numFmtId="0" fontId="69" fillId="45" borderId="31" xfId="0" applyFont="1" applyFill="1" applyBorder="1" applyAlignment="1">
      <alignment horizontal="center" vertical="center"/>
    </xf>
    <xf numFmtId="0" fontId="0" fillId="0" borderId="49" xfId="0" applyFill="1" applyBorder="1" applyAlignment="1" applyProtection="1">
      <alignment horizontal="left"/>
    </xf>
    <xf numFmtId="44" fontId="27" fillId="0" borderId="80" xfId="79" applyFont="1" applyFill="1" applyBorder="1" applyProtection="1"/>
    <xf numFmtId="0" fontId="25" fillId="34" borderId="59" xfId="0" applyNumberFormat="1" applyFont="1" applyFill="1" applyBorder="1" applyAlignment="1" applyProtection="1">
      <alignment vertical="top" wrapText="1"/>
    </xf>
    <xf numFmtId="167" fontId="25" fillId="34" borderId="58" xfId="0" applyNumberFormat="1" applyFont="1" applyFill="1" applyBorder="1" applyAlignment="1" applyProtection="1">
      <alignment vertical="top" wrapText="1"/>
    </xf>
    <xf numFmtId="0" fontId="0" fillId="0" borderId="18" xfId="0" applyFont="1" applyFill="1" applyBorder="1" applyProtection="1">
      <protection locked="0"/>
    </xf>
    <xf numFmtId="0" fontId="84" fillId="0" borderId="0" xfId="339" applyFont="1" applyFill="1" applyBorder="1" applyAlignment="1">
      <alignment horizontal="left"/>
    </xf>
    <xf numFmtId="165" fontId="0" fillId="0" borderId="0" xfId="71" applyNumberFormat="1" applyFont="1" applyFill="1" applyBorder="1" applyProtection="1"/>
    <xf numFmtId="42" fontId="76" fillId="0" borderId="0" xfId="0" applyNumberFormat="1" applyFont="1" applyBorder="1"/>
    <xf numFmtId="42" fontId="76" fillId="0" borderId="0" xfId="79" applyNumberFormat="1" applyFont="1" applyBorder="1"/>
    <xf numFmtId="1" fontId="82" fillId="0" borderId="0" xfId="71" applyNumberFormat="1" applyFont="1" applyFill="1" applyBorder="1" applyAlignment="1">
      <alignment vertical="top" wrapText="1"/>
    </xf>
    <xf numFmtId="1" fontId="76" fillId="0" borderId="0" xfId="0" applyNumberFormat="1" applyFont="1" applyBorder="1"/>
    <xf numFmtId="3" fontId="71" fillId="0" borderId="0" xfId="41216" applyNumberFormat="1" applyFont="1" applyFill="1" applyAlignment="1">
      <alignment horizontal="right"/>
    </xf>
    <xf numFmtId="0" fontId="72" fillId="0" borderId="24" xfId="41216" applyFont="1" applyBorder="1"/>
    <xf numFmtId="0" fontId="71" fillId="0" borderId="24" xfId="41216" applyFont="1" applyBorder="1"/>
    <xf numFmtId="192" fontId="74" fillId="0" borderId="26" xfId="41219" applyNumberFormat="1" applyFont="1" applyFill="1" applyBorder="1"/>
    <xf numFmtId="192" fontId="89" fillId="0" borderId="0" xfId="41219" applyNumberFormat="1" applyFont="1" applyFill="1" applyBorder="1"/>
    <xf numFmtId="192" fontId="89" fillId="0" borderId="26" xfId="41219" applyNumberFormat="1" applyFont="1" applyFill="1" applyBorder="1"/>
    <xf numFmtId="192" fontId="74" fillId="0" borderId="0" xfId="41216" applyNumberFormat="1" applyFont="1" applyFill="1" applyBorder="1"/>
    <xf numFmtId="192" fontId="74" fillId="0" borderId="26" xfId="41216" applyNumberFormat="1" applyFont="1" applyFill="1" applyBorder="1"/>
    <xf numFmtId="192" fontId="74" fillId="0" borderId="0" xfId="41219" applyNumberFormat="1" applyFont="1" applyFill="1" applyBorder="1" applyAlignment="1"/>
    <xf numFmtId="192" fontId="89" fillId="0" borderId="0" xfId="41219" applyNumberFormat="1" applyFont="1" applyFill="1" applyBorder="1" applyAlignment="1"/>
    <xf numFmtId="192" fontId="74" fillId="0" borderId="0" xfId="41216" applyNumberFormat="1" applyFont="1" applyFill="1" applyBorder="1" applyAlignment="1"/>
    <xf numFmtId="2" fontId="74" fillId="0" borderId="24" xfId="41216" applyNumberFormat="1" applyFont="1" applyBorder="1" applyAlignment="1">
      <alignment horizontal="center"/>
    </xf>
    <xf numFmtId="0" fontId="72" fillId="0" borderId="24" xfId="41216" applyFont="1" applyBorder="1" applyAlignment="1">
      <alignment horizontal="right"/>
    </xf>
    <xf numFmtId="39" fontId="74" fillId="0" borderId="0" xfId="41216" applyNumberFormat="1" applyFont="1" applyFill="1" applyBorder="1" applyAlignment="1">
      <alignment horizontal="center"/>
    </xf>
    <xf numFmtId="39" fontId="89" fillId="0" borderId="0" xfId="41216" applyNumberFormat="1" applyFont="1" applyFill="1" applyBorder="1" applyAlignment="1">
      <alignment horizontal="center"/>
    </xf>
    <xf numFmtId="0" fontId="71" fillId="0" borderId="85" xfId="41216" applyFont="1" applyFill="1" applyBorder="1"/>
    <xf numFmtId="0" fontId="71" fillId="0" borderId="71" xfId="41216" applyFont="1" applyFill="1" applyBorder="1"/>
    <xf numFmtId="3" fontId="71" fillId="0" borderId="71" xfId="41216" applyNumberFormat="1" applyFont="1" applyFill="1" applyBorder="1"/>
    <xf numFmtId="166" fontId="71" fillId="0" borderId="71" xfId="41222" applyNumberFormat="1" applyFont="1" applyFill="1" applyBorder="1"/>
    <xf numFmtId="0" fontId="72" fillId="0" borderId="71" xfId="41216" applyFont="1" applyFill="1" applyBorder="1" applyAlignment="1">
      <alignment horizontal="center"/>
    </xf>
    <xf numFmtId="0" fontId="71" fillId="0" borderId="72" xfId="41216" applyFont="1" applyBorder="1"/>
    <xf numFmtId="0" fontId="76" fillId="44" borderId="0" xfId="0" applyFont="1" applyFill="1" applyBorder="1"/>
    <xf numFmtId="1" fontId="76" fillId="44" borderId="0" xfId="0" applyNumberFormat="1" applyFont="1" applyFill="1" applyBorder="1"/>
    <xf numFmtId="42" fontId="76" fillId="44" borderId="0" xfId="0" applyNumberFormat="1" applyFont="1" applyFill="1" applyBorder="1"/>
    <xf numFmtId="188" fontId="12" fillId="0" borderId="0" xfId="41217" applyNumberFormat="1"/>
    <xf numFmtId="176" fontId="25" fillId="0" borderId="0" xfId="0" applyNumberFormat="1" applyFont="1" applyFill="1" applyAlignment="1" applyProtection="1">
      <alignment horizontal="center"/>
      <protection locked="0"/>
    </xf>
    <xf numFmtId="176" fontId="25" fillId="0" borderId="0" xfId="0" applyNumberFormat="1" applyFont="1" applyAlignment="1" applyProtection="1">
      <alignment horizontal="center" vertical="center"/>
      <protection locked="0"/>
    </xf>
    <xf numFmtId="176" fontId="25" fillId="0" borderId="0" xfId="0" applyNumberFormat="1" applyFont="1"/>
    <xf numFmtId="1" fontId="25" fillId="0" borderId="0" xfId="0" applyNumberFormat="1" applyFont="1" applyAlignment="1" applyProtection="1">
      <alignment horizontal="center" vertical="center"/>
      <protection locked="0"/>
    </xf>
    <xf numFmtId="0" fontId="74" fillId="0" borderId="0" xfId="41216" applyFont="1" applyFill="1"/>
    <xf numFmtId="0" fontId="0" fillId="0" borderId="0" xfId="0" applyFont="1" applyFill="1" applyBorder="1" applyProtection="1">
      <protection locked="0"/>
    </xf>
    <xf numFmtId="2" fontId="0" fillId="0" borderId="18" xfId="0" applyNumberFormat="1" applyFont="1" applyFill="1" applyBorder="1" applyAlignment="1" applyProtection="1">
      <alignment horizontal="right"/>
      <protection locked="0"/>
    </xf>
    <xf numFmtId="171" fontId="0" fillId="0" borderId="18" xfId="71" applyNumberFormat="1" applyFont="1" applyFill="1" applyBorder="1" applyAlignment="1" applyProtection="1">
      <alignment horizontal="right"/>
      <protection locked="0"/>
    </xf>
    <xf numFmtId="0" fontId="27" fillId="0" borderId="56" xfId="0" applyFont="1" applyFill="1" applyBorder="1" applyAlignment="1" applyProtection="1">
      <alignment horizontal="center" vertical="center" wrapText="1"/>
      <protection locked="0"/>
    </xf>
    <xf numFmtId="0" fontId="27" fillId="39" borderId="56" xfId="0" applyNumberFormat="1" applyFont="1" applyFill="1" applyBorder="1" applyAlignment="1" applyProtection="1">
      <alignment horizontal="center" vertical="center" wrapText="1"/>
      <protection locked="0"/>
    </xf>
    <xf numFmtId="165" fontId="27" fillId="38" borderId="56" xfId="0" applyNumberFormat="1" applyFont="1" applyFill="1" applyBorder="1" applyAlignment="1" applyProtection="1">
      <alignment horizontal="center" vertical="center" textRotation="90" wrapText="1"/>
      <protection locked="0"/>
    </xf>
    <xf numFmtId="165" fontId="27" fillId="37" borderId="56" xfId="0" applyNumberFormat="1" applyFont="1" applyFill="1" applyBorder="1" applyAlignment="1" applyProtection="1">
      <alignment horizontal="center" vertical="center" textRotation="90" wrapText="1"/>
      <protection locked="0"/>
    </xf>
    <xf numFmtId="2" fontId="27" fillId="48" borderId="56" xfId="0" applyNumberFormat="1" applyFont="1" applyFill="1" applyBorder="1" applyAlignment="1" applyProtection="1">
      <alignment horizontal="center" vertical="center" wrapText="1"/>
      <protection locked="0"/>
    </xf>
    <xf numFmtId="43" fontId="27" fillId="48" borderId="56" xfId="71" applyFont="1" applyFill="1" applyBorder="1" applyAlignment="1" applyProtection="1">
      <alignment horizontal="center" vertical="center" wrapText="1"/>
      <protection locked="0"/>
    </xf>
    <xf numFmtId="2" fontId="27" fillId="48" borderId="58" xfId="0" applyNumberFormat="1" applyFont="1" applyFill="1" applyBorder="1" applyAlignment="1" applyProtection="1">
      <alignment horizontal="center" vertical="center" wrapText="1"/>
      <protection locked="0"/>
    </xf>
    <xf numFmtId="3" fontId="27" fillId="48" borderId="56" xfId="0" applyNumberFormat="1" applyFont="1" applyFill="1" applyBorder="1" applyAlignment="1" applyProtection="1">
      <alignment horizontal="center" vertical="center" wrapText="1"/>
      <protection locked="0"/>
    </xf>
    <xf numFmtId="0" fontId="0" fillId="0" borderId="0" xfId="0" applyFill="1" applyProtection="1"/>
    <xf numFmtId="0" fontId="25" fillId="0" borderId="0" xfId="0" applyFont="1" applyFill="1" applyAlignment="1" applyProtection="1">
      <alignment vertical="top" wrapText="1"/>
    </xf>
    <xf numFmtId="0" fontId="27" fillId="0" borderId="56" xfId="0" applyFont="1" applyFill="1" applyBorder="1" applyAlignment="1">
      <alignment horizontal="center" vertical="center" wrapText="1"/>
    </xf>
    <xf numFmtId="0" fontId="83" fillId="0" borderId="33" xfId="121" applyFont="1" applyFill="1" applyBorder="1" applyAlignment="1">
      <alignment horizontal="left"/>
    </xf>
    <xf numFmtId="170" fontId="82" fillId="0" borderId="21" xfId="79" applyNumberFormat="1" applyFont="1" applyFill="1" applyBorder="1"/>
    <xf numFmtId="0" fontId="27" fillId="64" borderId="56" xfId="0" applyFont="1" applyFill="1" applyBorder="1" applyAlignment="1">
      <alignment horizontal="center" vertical="top" wrapText="1"/>
    </xf>
    <xf numFmtId="0" fontId="0" fillId="0" borderId="66" xfId="0" applyFont="1" applyBorder="1" applyAlignment="1" applyProtection="1">
      <alignment horizontal="center" vertical="top" wrapText="1"/>
    </xf>
    <xf numFmtId="0" fontId="0" fillId="0" borderId="56" xfId="0" applyFont="1" applyBorder="1" applyAlignment="1" applyProtection="1">
      <alignment horizontal="center" vertical="top" wrapText="1"/>
    </xf>
    <xf numFmtId="43" fontId="27" fillId="0" borderId="20" xfId="71" applyNumberFormat="1" applyFont="1" applyFill="1" applyBorder="1" applyProtection="1"/>
    <xf numFmtId="0" fontId="25" fillId="0" borderId="18" xfId="335" applyFont="1" applyFill="1" applyBorder="1"/>
    <xf numFmtId="0" fontId="0" fillId="0" borderId="18" xfId="0" applyNumberFormat="1" applyFont="1" applyFill="1" applyBorder="1"/>
    <xf numFmtId="3" fontId="0" fillId="0" borderId="18" xfId="71" applyNumberFormat="1" applyFont="1" applyFill="1" applyBorder="1" applyAlignment="1" applyProtection="1">
      <alignment horizontal="center" vertical="center"/>
      <protection locked="0"/>
    </xf>
    <xf numFmtId="44" fontId="0" fillId="0" borderId="18" xfId="79" applyFont="1" applyFill="1" applyBorder="1" applyAlignment="1" applyProtection="1">
      <alignment horizontal="center" vertical="center"/>
      <protection locked="0"/>
    </xf>
    <xf numFmtId="172" fontId="74" fillId="0" borderId="0" xfId="71" applyNumberFormat="1" applyFont="1"/>
    <xf numFmtId="172" fontId="74" fillId="0" borderId="0" xfId="71" applyNumberFormat="1" applyFont="1" applyBorder="1"/>
    <xf numFmtId="172" fontId="71" fillId="0" borderId="71" xfId="71" applyNumberFormat="1" applyFont="1" applyFill="1" applyBorder="1"/>
    <xf numFmtId="172" fontId="71" fillId="0" borderId="0" xfId="71" applyNumberFormat="1" applyFont="1" applyFill="1" applyBorder="1"/>
    <xf numFmtId="172" fontId="71" fillId="0" borderId="22" xfId="71" applyNumberFormat="1" applyFont="1" applyFill="1" applyBorder="1"/>
    <xf numFmtId="172" fontId="75" fillId="0" borderId="0" xfId="71" applyNumberFormat="1" applyFont="1"/>
    <xf numFmtId="0" fontId="75" fillId="0" borderId="0" xfId="41217" applyFont="1" applyFill="1"/>
    <xf numFmtId="0" fontId="71" fillId="0" borderId="0" xfId="41216" applyFont="1" applyFill="1" applyAlignment="1">
      <alignment horizontal="right"/>
    </xf>
    <xf numFmtId="192" fontId="74" fillId="0" borderId="0" xfId="79" applyNumberFormat="1" applyFont="1" applyFill="1" applyBorder="1"/>
    <xf numFmtId="192" fontId="74" fillId="0" borderId="0" xfId="71" applyNumberFormat="1" applyFont="1" applyFill="1" applyBorder="1" applyAlignment="1"/>
    <xf numFmtId="192" fontId="89" fillId="0" borderId="0" xfId="79" applyNumberFormat="1" applyFont="1" applyFill="1" applyBorder="1"/>
    <xf numFmtId="192" fontId="89" fillId="0" borderId="0" xfId="71" applyNumberFormat="1" applyFont="1" applyFill="1" applyBorder="1" applyAlignment="1"/>
    <xf numFmtId="170" fontId="74" fillId="0" borderId="0" xfId="79" applyNumberFormat="1" applyFont="1" applyBorder="1"/>
    <xf numFmtId="170" fontId="71" fillId="0" borderId="0" xfId="79" applyNumberFormat="1" applyFont="1" applyBorder="1"/>
    <xf numFmtId="170" fontId="89" fillId="0" borderId="0" xfId="79" applyNumberFormat="1" applyFont="1" applyFill="1" applyBorder="1"/>
    <xf numFmtId="170" fontId="74" fillId="0" borderId="0" xfId="79" applyNumberFormat="1" applyFont="1" applyFill="1" applyBorder="1"/>
    <xf numFmtId="0" fontId="25" fillId="0" borderId="0" xfId="335" applyFont="1" applyFill="1" applyBorder="1" applyAlignment="1">
      <alignment horizontal="right"/>
    </xf>
    <xf numFmtId="0" fontId="25" fillId="0" borderId="0" xfId="335" applyFont="1" applyFill="1"/>
    <xf numFmtId="0" fontId="25" fillId="0" borderId="0" xfId="335" applyFont="1" applyFill="1" applyBorder="1"/>
    <xf numFmtId="0" fontId="86" fillId="0" borderId="0" xfId="335" applyFont="1" applyFill="1" applyBorder="1"/>
    <xf numFmtId="175" fontId="0" fillId="33" borderId="56" xfId="113" applyNumberFormat="1" applyFont="1" applyFill="1" applyBorder="1" applyAlignment="1" applyProtection="1">
      <alignment horizontal="center" vertical="top" wrapText="1"/>
    </xf>
    <xf numFmtId="170" fontId="72" fillId="0" borderId="0" xfId="79" applyNumberFormat="1" applyFont="1" applyFill="1" applyBorder="1"/>
    <xf numFmtId="170" fontId="72" fillId="0" borderId="26" xfId="79" applyNumberFormat="1" applyFont="1" applyFill="1" applyBorder="1"/>
    <xf numFmtId="10" fontId="76" fillId="0" borderId="0" xfId="147" applyNumberFormat="1" applyFont="1" applyFill="1" applyBorder="1"/>
    <xf numFmtId="0" fontId="89" fillId="0" borderId="84" xfId="41216" applyFont="1" applyBorder="1" applyAlignment="1">
      <alignment horizontal="right"/>
    </xf>
    <xf numFmtId="0" fontId="86" fillId="0" borderId="0" xfId="335" applyFont="1" applyFill="1"/>
    <xf numFmtId="0" fontId="86" fillId="0" borderId="49" xfId="335" applyFont="1" applyFill="1" applyBorder="1"/>
    <xf numFmtId="0" fontId="58" fillId="0" borderId="0" xfId="335" applyFont="1" applyFill="1"/>
    <xf numFmtId="0" fontId="86" fillId="0" borderId="98" xfId="335" applyFont="1" applyFill="1" applyBorder="1"/>
    <xf numFmtId="0" fontId="27" fillId="0" borderId="100" xfId="335" applyFont="1" applyFill="1" applyBorder="1" applyAlignment="1">
      <alignment horizontal="center"/>
    </xf>
    <xf numFmtId="165" fontId="25" fillId="0" borderId="18" xfId="335" applyNumberFormat="1" applyFont="1" applyFill="1" applyBorder="1" applyAlignment="1">
      <alignment horizontal="center"/>
    </xf>
    <xf numFmtId="165" fontId="27" fillId="0" borderId="80" xfId="335" applyNumberFormat="1" applyFont="1" applyFill="1" applyBorder="1" applyAlignment="1">
      <alignment horizontal="center"/>
    </xf>
    <xf numFmtId="0" fontId="86" fillId="0" borderId="89" xfId="335" applyFont="1" applyFill="1" applyBorder="1"/>
    <xf numFmtId="165" fontId="25" fillId="0" borderId="101" xfId="335" applyNumberFormat="1" applyFont="1" applyFill="1" applyBorder="1" applyAlignment="1">
      <alignment horizontal="center"/>
    </xf>
    <xf numFmtId="165" fontId="27" fillId="0" borderId="92" xfId="335" applyNumberFormat="1" applyFont="1" applyFill="1" applyBorder="1" applyAlignment="1">
      <alignment horizontal="center"/>
    </xf>
    <xf numFmtId="0" fontId="27" fillId="0" borderId="0" xfId="335" applyFont="1" applyFill="1"/>
    <xf numFmtId="0" fontId="58" fillId="0" borderId="0" xfId="335" applyFont="1" applyFill="1" applyBorder="1"/>
    <xf numFmtId="0" fontId="94" fillId="0" borderId="0" xfId="41215" applyFont="1" applyFill="1" applyBorder="1" applyAlignment="1">
      <alignment horizontal="center" wrapText="1"/>
    </xf>
    <xf numFmtId="165" fontId="0" fillId="0" borderId="18" xfId="71" applyNumberFormat="1" applyFont="1" applyFill="1" applyBorder="1" applyProtection="1"/>
    <xf numFmtId="0" fontId="114" fillId="0" borderId="0" xfId="0" applyFont="1" applyAlignment="1">
      <alignment vertical="center"/>
    </xf>
    <xf numFmtId="0" fontId="0" fillId="0" borderId="0" xfId="335" applyFont="1" applyFill="1" applyBorder="1"/>
    <xf numFmtId="0" fontId="0" fillId="0" borderId="0" xfId="335" applyFont="1" applyFill="1"/>
    <xf numFmtId="9" fontId="25" fillId="40" borderId="0" xfId="41222" applyFont="1" applyFill="1" applyBorder="1" applyAlignment="1">
      <alignment horizontal="center" vertical="center"/>
    </xf>
    <xf numFmtId="0" fontId="25" fillId="0" borderId="0" xfId="338" applyNumberFormat="1" applyFont="1" applyFill="1" applyBorder="1" applyAlignment="1">
      <alignment horizontal="left" vertical="center" indent="2"/>
    </xf>
    <xf numFmtId="4" fontId="25" fillId="40" borderId="18" xfId="335" applyNumberFormat="1" applyFont="1" applyFill="1" applyBorder="1" applyAlignment="1">
      <alignment horizontal="center"/>
    </xf>
    <xf numFmtId="4" fontId="25" fillId="40" borderId="101" xfId="335" applyNumberFormat="1" applyFont="1" applyFill="1" applyBorder="1" applyAlignment="1">
      <alignment horizontal="center"/>
    </xf>
    <xf numFmtId="0" fontId="118" fillId="86" borderId="0" xfId="0" applyFont="1" applyFill="1" applyAlignment="1" applyProtection="1">
      <alignment vertical="center"/>
      <protection locked="0"/>
    </xf>
    <xf numFmtId="0" fontId="119" fillId="86" borderId="0" xfId="0" applyFont="1" applyFill="1" applyAlignment="1">
      <alignment vertical="center"/>
    </xf>
    <xf numFmtId="0" fontId="25" fillId="86" borderId="0" xfId="335" applyFont="1" applyFill="1" applyBorder="1"/>
    <xf numFmtId="0" fontId="25" fillId="86" borderId="0" xfId="335" applyFont="1" applyFill="1"/>
    <xf numFmtId="0" fontId="86" fillId="86" borderId="0" xfId="335" applyFont="1" applyFill="1" applyBorder="1"/>
    <xf numFmtId="0" fontId="115" fillId="50" borderId="79" xfId="0" applyFont="1" applyFill="1" applyBorder="1" applyAlignment="1" applyProtection="1">
      <alignment vertical="center"/>
      <protection locked="0"/>
    </xf>
    <xf numFmtId="0" fontId="116" fillId="50" borderId="79" xfId="0" applyFont="1" applyFill="1" applyBorder="1" applyAlignment="1">
      <alignment vertical="center"/>
    </xf>
    <xf numFmtId="0" fontId="117" fillId="50" borderId="79" xfId="0" applyFont="1" applyFill="1" applyBorder="1" applyAlignment="1">
      <alignment vertical="center"/>
    </xf>
    <xf numFmtId="10" fontId="25" fillId="40" borderId="0" xfId="41222" applyNumberFormat="1" applyFont="1" applyFill="1" applyBorder="1" applyAlignment="1">
      <alignment horizontal="center"/>
    </xf>
    <xf numFmtId="0" fontId="25" fillId="0" borderId="0" xfId="335" applyFont="1" applyFill="1" applyAlignment="1">
      <alignment horizontal="left"/>
    </xf>
    <xf numFmtId="0" fontId="25" fillId="0" borderId="0" xfId="335" applyFont="1" applyFill="1" applyBorder="1" applyAlignment="1">
      <alignment horizontal="left"/>
    </xf>
    <xf numFmtId="0" fontId="27" fillId="51" borderId="0" xfId="335" applyFont="1" applyFill="1" applyBorder="1" applyAlignment="1">
      <alignment horizontal="left"/>
    </xf>
    <xf numFmtId="0" fontId="27" fillId="51" borderId="0" xfId="335" applyFont="1" applyFill="1" applyBorder="1"/>
    <xf numFmtId="0" fontId="27" fillId="51" borderId="0" xfId="335" applyFont="1" applyFill="1"/>
    <xf numFmtId="0" fontId="119" fillId="86" borderId="0" xfId="0" applyFont="1" applyFill="1" applyBorder="1" applyAlignment="1">
      <alignment vertical="center"/>
    </xf>
    <xf numFmtId="0" fontId="25" fillId="0" borderId="82" xfId="335" applyFont="1" applyFill="1" applyBorder="1"/>
    <xf numFmtId="0" fontId="25" fillId="0" borderId="21" xfId="335" applyFont="1" applyFill="1" applyBorder="1"/>
    <xf numFmtId="0" fontId="25" fillId="0" borderId="18" xfId="42638" applyFont="1" applyFill="1" applyBorder="1"/>
    <xf numFmtId="0" fontId="25" fillId="0" borderId="85" xfId="335" applyFont="1" applyFill="1" applyBorder="1"/>
    <xf numFmtId="0" fontId="25" fillId="0" borderId="20" xfId="335" applyFont="1" applyFill="1" applyBorder="1"/>
    <xf numFmtId="0" fontId="0" fillId="0" borderId="20" xfId="335" applyFont="1" applyFill="1" applyBorder="1"/>
    <xf numFmtId="0" fontId="86" fillId="0" borderId="33" xfId="335" applyFont="1" applyFill="1" applyBorder="1"/>
    <xf numFmtId="0" fontId="86" fillId="0" borderId="20" xfId="335" applyFont="1" applyFill="1" applyBorder="1"/>
    <xf numFmtId="0" fontId="25" fillId="40" borderId="17" xfId="335" applyFont="1" applyFill="1" applyBorder="1"/>
    <xf numFmtId="0" fontId="27" fillId="40" borderId="17" xfId="335" applyFont="1" applyFill="1" applyBorder="1" applyAlignment="1">
      <alignment horizontal="left"/>
    </xf>
    <xf numFmtId="0" fontId="27" fillId="40" borderId="19" xfId="335" applyFont="1" applyFill="1" applyBorder="1" applyAlignment="1">
      <alignment horizontal="left"/>
    </xf>
    <xf numFmtId="0" fontId="27" fillId="0" borderId="0" xfId="71" applyNumberFormat="1" applyFont="1" applyFill="1" applyBorder="1" applyAlignment="1" applyProtection="1">
      <alignment horizontal="left"/>
      <protection locked="0"/>
    </xf>
    <xf numFmtId="3" fontId="27" fillId="39" borderId="56" xfId="0" applyNumberFormat="1" applyFont="1" applyFill="1" applyBorder="1" applyAlignment="1" applyProtection="1">
      <alignment horizontal="center" vertical="center" wrapText="1"/>
      <protection locked="0"/>
    </xf>
    <xf numFmtId="165" fontId="27" fillId="39" borderId="56" xfId="0" applyNumberFormat="1" applyFont="1" applyFill="1" applyBorder="1" applyAlignment="1" applyProtection="1">
      <alignment horizontal="center" vertical="center" wrapText="1"/>
      <protection locked="0"/>
    </xf>
    <xf numFmtId="165" fontId="27" fillId="72" borderId="56" xfId="0" applyNumberFormat="1" applyFont="1" applyFill="1" applyBorder="1" applyAlignment="1" applyProtection="1">
      <alignment horizontal="center" vertical="center" wrapText="1"/>
      <protection locked="0"/>
    </xf>
    <xf numFmtId="172" fontId="27" fillId="39" borderId="56" xfId="71" applyNumberFormat="1" applyFont="1" applyFill="1" applyBorder="1" applyAlignment="1" applyProtection="1">
      <alignment horizontal="center" vertical="center" wrapText="1"/>
      <protection locked="0"/>
    </xf>
    <xf numFmtId="0" fontId="27" fillId="0" borderId="85" xfId="0" applyFont="1" applyFill="1" applyBorder="1" applyAlignment="1">
      <alignment horizontal="center" vertical="center" wrapText="1"/>
    </xf>
    <xf numFmtId="0" fontId="27" fillId="0" borderId="82" xfId="0" applyFont="1" applyFill="1" applyBorder="1" applyAlignment="1">
      <alignment horizontal="center" vertical="center" wrapText="1"/>
    </xf>
    <xf numFmtId="166" fontId="27" fillId="42" borderId="82" xfId="147" applyNumberFormat="1" applyFont="1" applyFill="1" applyBorder="1" applyAlignment="1" applyProtection="1">
      <alignment horizontal="center" vertical="center" textRotation="90" wrapText="1"/>
      <protection locked="0"/>
    </xf>
    <xf numFmtId="9" fontId="27" fillId="43" borderId="82" xfId="0" applyNumberFormat="1" applyFont="1" applyFill="1" applyBorder="1" applyAlignment="1" applyProtection="1">
      <alignment horizontal="center" vertical="center" textRotation="90" wrapText="1"/>
      <protection locked="0"/>
    </xf>
    <xf numFmtId="0" fontId="96" fillId="0" borderId="0" xfId="0" applyFont="1" applyFill="1"/>
    <xf numFmtId="0" fontId="96" fillId="0" borderId="0" xfId="0" applyFont="1" applyFill="1" applyAlignment="1">
      <alignment horizontal="center" vertical="center" wrapText="1"/>
    </xf>
    <xf numFmtId="0" fontId="96" fillId="0" borderId="0" xfId="0" applyFont="1" applyFill="1" applyAlignment="1">
      <alignment horizontal="center" vertical="center"/>
    </xf>
    <xf numFmtId="0" fontId="0" fillId="0" borderId="0" xfId="0" applyFill="1" applyAlignment="1">
      <alignment horizontal="center" vertical="center"/>
    </xf>
    <xf numFmtId="176" fontId="27" fillId="43" borderId="82" xfId="0" applyNumberFormat="1" applyFont="1" applyFill="1" applyBorder="1" applyAlignment="1" applyProtection="1">
      <alignment horizontal="center" vertical="center" wrapText="1"/>
      <protection locked="0"/>
    </xf>
    <xf numFmtId="0" fontId="82" fillId="0" borderId="0" xfId="305" applyFont="1" applyFill="1" applyBorder="1"/>
    <xf numFmtId="0" fontId="81" fillId="0" borderId="57" xfId="339" applyFont="1" applyFill="1" applyBorder="1" applyAlignment="1">
      <alignment horizontal="left" vertical="center" wrapText="1"/>
    </xf>
    <xf numFmtId="0" fontId="81" fillId="0" borderId="59" xfId="339" applyFont="1" applyFill="1" applyBorder="1" applyAlignment="1">
      <alignment horizontal="center" vertical="center" wrapText="1"/>
    </xf>
    <xf numFmtId="0" fontId="81" fillId="0" borderId="58" xfId="339" applyFont="1" applyFill="1" applyBorder="1" applyAlignment="1">
      <alignment horizontal="center" vertical="center" wrapText="1"/>
    </xf>
    <xf numFmtId="0" fontId="76" fillId="0" borderId="0" xfId="305" applyFont="1" applyFill="1" applyBorder="1" applyAlignment="1">
      <alignment vertical="center"/>
    </xf>
    <xf numFmtId="0" fontId="86" fillId="0" borderId="22" xfId="335" applyFont="1" applyFill="1" applyBorder="1"/>
    <xf numFmtId="0" fontId="25" fillId="0" borderId="71" xfId="335" applyFont="1" applyFill="1" applyBorder="1"/>
    <xf numFmtId="0" fontId="27" fillId="0" borderId="22" xfId="335" applyFont="1" applyFill="1" applyBorder="1"/>
    <xf numFmtId="0" fontId="27" fillId="0" borderId="22" xfId="335" applyFont="1" applyFill="1" applyBorder="1" applyAlignment="1">
      <alignment horizontal="center"/>
    </xf>
    <xf numFmtId="10" fontId="25" fillId="0" borderId="0" xfId="41222" applyNumberFormat="1" applyFont="1" applyFill="1" applyBorder="1" applyAlignment="1">
      <alignment horizontal="center"/>
    </xf>
    <xf numFmtId="0" fontId="0" fillId="0" borderId="0" xfId="0" applyFont="1" applyFill="1" applyAlignment="1" applyProtection="1">
      <alignment horizontal="center"/>
      <protection locked="0"/>
    </xf>
    <xf numFmtId="0" fontId="0" fillId="0" borderId="0" xfId="0" applyFont="1" applyFill="1" applyBorder="1"/>
    <xf numFmtId="0" fontId="0" fillId="0" borderId="0" xfId="0" applyFont="1" applyFill="1" applyProtection="1">
      <protection locked="0"/>
    </xf>
    <xf numFmtId="0" fontId="0" fillId="0" borderId="0" xfId="0" applyFont="1" applyBorder="1" applyProtection="1">
      <protection locked="0"/>
    </xf>
    <xf numFmtId="0" fontId="0" fillId="0" borderId="0" xfId="0" applyFont="1" applyProtection="1">
      <protection locked="0"/>
    </xf>
    <xf numFmtId="2" fontId="0" fillId="0" borderId="0" xfId="0" applyNumberFormat="1" applyFont="1" applyFill="1" applyBorder="1" applyAlignment="1">
      <alignment horizontal="center"/>
    </xf>
    <xf numFmtId="0" fontId="0" fillId="0" borderId="0" xfId="0" applyFont="1" applyFill="1" applyBorder="1" applyAlignment="1">
      <alignment horizontal="center"/>
    </xf>
    <xf numFmtId="2"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Alignment="1" applyProtection="1">
      <alignment horizontal="center"/>
      <protection locked="0"/>
    </xf>
    <xf numFmtId="0" fontId="0" fillId="38" borderId="0" xfId="0" applyFont="1" applyFill="1" applyAlignment="1" applyProtection="1">
      <alignment horizontal="center"/>
      <protection locked="0"/>
    </xf>
    <xf numFmtId="0" fontId="54" fillId="51" borderId="0" xfId="0" applyFont="1" applyFill="1" applyBorder="1" applyAlignment="1" applyProtection="1">
      <alignment horizontal="left"/>
    </xf>
    <xf numFmtId="0" fontId="111" fillId="51" borderId="0" xfId="0" applyFont="1" applyFill="1" applyBorder="1" applyAlignment="1" applyProtection="1">
      <alignment horizontal="left"/>
    </xf>
    <xf numFmtId="0" fontId="55" fillId="51" borderId="0" xfId="0" applyFont="1" applyFill="1" applyBorder="1" applyAlignment="1" applyProtection="1">
      <alignment horizontal="right"/>
    </xf>
    <xf numFmtId="0" fontId="96" fillId="51" borderId="0" xfId="0" applyFont="1" applyFill="1" applyBorder="1" applyProtection="1"/>
    <xf numFmtId="0" fontId="123" fillId="51" borderId="0" xfId="0" applyFont="1" applyFill="1" applyBorder="1" applyAlignment="1" applyProtection="1">
      <alignment horizontal="left"/>
    </xf>
    <xf numFmtId="0" fontId="96" fillId="51" borderId="0" xfId="0" applyFont="1" applyFill="1" applyBorder="1"/>
    <xf numFmtId="0" fontId="124" fillId="51" borderId="0" xfId="0" applyFont="1" applyFill="1" applyBorder="1" applyAlignment="1" applyProtection="1">
      <alignment horizontal="right"/>
    </xf>
    <xf numFmtId="0" fontId="56" fillId="51" borderId="0" xfId="0" applyFont="1" applyFill="1" applyBorder="1" applyAlignment="1" applyProtection="1">
      <alignment horizontal="left"/>
    </xf>
    <xf numFmtId="0" fontId="125" fillId="51" borderId="0" xfId="0" applyFont="1" applyFill="1" applyBorder="1" applyAlignment="1" applyProtection="1">
      <alignment horizontal="left"/>
    </xf>
    <xf numFmtId="0" fontId="96" fillId="51" borderId="0" xfId="0" applyFont="1" applyFill="1" applyBorder="1" applyProtection="1">
      <protection locked="0"/>
    </xf>
    <xf numFmtId="0" fontId="27" fillId="51" borderId="0" xfId="0" applyFont="1" applyFill="1" applyBorder="1" applyAlignment="1" applyProtection="1">
      <alignment horizontal="left"/>
    </xf>
    <xf numFmtId="0" fontId="126" fillId="51" borderId="0" xfId="0" applyFont="1" applyFill="1" applyBorder="1" applyAlignment="1" applyProtection="1">
      <alignment horizontal="left"/>
    </xf>
    <xf numFmtId="0" fontId="27" fillId="51" borderId="0" xfId="0" applyFont="1" applyFill="1" applyBorder="1" applyAlignment="1" applyProtection="1">
      <alignment horizontal="center" vertical="center"/>
    </xf>
    <xf numFmtId="0" fontId="27" fillId="51" borderId="40" xfId="0" applyFont="1" applyFill="1" applyBorder="1" applyAlignment="1" applyProtection="1">
      <alignment horizontal="center" vertical="center" wrapText="1"/>
    </xf>
    <xf numFmtId="0" fontId="27" fillId="51" borderId="82" xfId="0" applyFont="1" applyFill="1" applyBorder="1" applyAlignment="1" applyProtection="1">
      <alignment horizontal="center" vertical="center" wrapText="1"/>
    </xf>
    <xf numFmtId="0" fontId="27" fillId="51" borderId="32" xfId="0" applyFont="1" applyFill="1" applyBorder="1" applyAlignment="1" applyProtection="1">
      <alignment horizontal="center" vertical="center" wrapText="1"/>
    </xf>
    <xf numFmtId="0" fontId="27" fillId="51" borderId="41" xfId="0" applyFont="1" applyFill="1" applyBorder="1" applyAlignment="1" applyProtection="1">
      <alignment horizontal="center" vertical="center" wrapText="1"/>
    </xf>
    <xf numFmtId="0" fontId="27" fillId="51" borderId="42" xfId="0" applyFont="1" applyFill="1" applyBorder="1" applyAlignment="1" applyProtection="1">
      <alignment horizontal="center" vertical="center" wrapText="1"/>
    </xf>
    <xf numFmtId="0" fontId="27" fillId="51" borderId="85" xfId="0" applyFont="1" applyFill="1" applyBorder="1" applyAlignment="1" applyProtection="1">
      <alignment horizontal="center" vertical="center" wrapText="1"/>
    </xf>
    <xf numFmtId="0" fontId="27" fillId="51" borderId="49" xfId="0" applyFont="1" applyFill="1" applyBorder="1" applyAlignment="1" applyProtection="1">
      <alignment horizontal="center" vertical="center" wrapText="1"/>
    </xf>
    <xf numFmtId="0" fontId="27" fillId="51" borderId="20" xfId="0" applyFont="1" applyFill="1" applyBorder="1" applyAlignment="1" applyProtection="1">
      <alignment horizontal="center" vertical="center" wrapText="1"/>
    </xf>
    <xf numFmtId="0" fontId="27" fillId="51" borderId="80" xfId="0" applyFont="1" applyFill="1" applyBorder="1" applyAlignment="1" applyProtection="1">
      <alignment horizontal="center" vertical="center" wrapText="1"/>
    </xf>
    <xf numFmtId="0" fontId="27" fillId="51" borderId="83" xfId="0" applyFont="1" applyFill="1" applyBorder="1" applyAlignment="1" applyProtection="1">
      <alignment horizontal="center" vertical="center" wrapText="1"/>
    </xf>
    <xf numFmtId="0" fontId="126" fillId="51" borderId="0" xfId="0" applyFont="1" applyFill="1" applyBorder="1" applyAlignment="1" applyProtection="1">
      <alignment horizontal="center" vertical="center"/>
    </xf>
    <xf numFmtId="0" fontId="126" fillId="51" borderId="40" xfId="0" applyFont="1" applyFill="1" applyBorder="1" applyAlignment="1" applyProtection="1">
      <alignment horizontal="center" vertical="center" wrapText="1"/>
    </xf>
    <xf numFmtId="0" fontId="126" fillId="51" borderId="82" xfId="0" applyFont="1" applyFill="1" applyBorder="1" applyAlignment="1" applyProtection="1">
      <alignment horizontal="center" vertical="center" wrapText="1"/>
    </xf>
    <xf numFmtId="0" fontId="126" fillId="51" borderId="83" xfId="0" applyFont="1" applyFill="1" applyBorder="1" applyAlignment="1" applyProtection="1">
      <alignment horizontal="center" vertical="center" wrapText="1"/>
    </xf>
    <xf numFmtId="0" fontId="126" fillId="51" borderId="85" xfId="0" applyFont="1" applyFill="1" applyBorder="1" applyAlignment="1" applyProtection="1">
      <alignment horizontal="center" vertical="center" wrapText="1"/>
    </xf>
    <xf numFmtId="0" fontId="126" fillId="51" borderId="49" xfId="0" applyFont="1" applyFill="1" applyBorder="1" applyAlignment="1" applyProtection="1">
      <alignment horizontal="center" vertical="center" wrapText="1"/>
    </xf>
    <xf numFmtId="0" fontId="126" fillId="51" borderId="20" xfId="0" applyFont="1" applyFill="1" applyBorder="1" applyAlignment="1" applyProtection="1">
      <alignment horizontal="center" vertical="center" wrapText="1"/>
    </xf>
    <xf numFmtId="0" fontId="126" fillId="51" borderId="80" xfId="0" applyFont="1" applyFill="1" applyBorder="1" applyAlignment="1" applyProtection="1">
      <alignment horizontal="center" vertical="center" wrapText="1"/>
    </xf>
    <xf numFmtId="0" fontId="27" fillId="51" borderId="30" xfId="0" applyFont="1" applyFill="1" applyBorder="1" applyAlignment="1" applyProtection="1">
      <alignment horizontal="center" vertical="center"/>
    </xf>
    <xf numFmtId="0" fontId="27" fillId="51" borderId="31" xfId="0" applyFont="1" applyFill="1" applyBorder="1" applyAlignment="1" applyProtection="1">
      <alignment horizontal="center" vertical="center"/>
    </xf>
    <xf numFmtId="0" fontId="27" fillId="51" borderId="46" xfId="0" applyFont="1" applyFill="1" applyBorder="1" applyAlignment="1" applyProtection="1">
      <alignment horizontal="center" vertical="center"/>
    </xf>
    <xf numFmtId="0" fontId="27" fillId="51" borderId="66" xfId="0" applyFont="1" applyFill="1" applyBorder="1" applyAlignment="1" applyProtection="1">
      <alignment horizontal="center" vertical="center"/>
    </xf>
    <xf numFmtId="0" fontId="27" fillId="51" borderId="56" xfId="0" applyFont="1" applyFill="1" applyBorder="1" applyAlignment="1" applyProtection="1">
      <alignment horizontal="center" vertical="center"/>
    </xf>
    <xf numFmtId="0" fontId="27" fillId="51" borderId="67" xfId="0" applyFont="1" applyFill="1" applyBorder="1" applyAlignment="1" applyProtection="1">
      <alignment horizontal="center" vertical="center"/>
    </xf>
    <xf numFmtId="0" fontId="27" fillId="51" borderId="36" xfId="0" applyFont="1" applyFill="1" applyBorder="1" applyAlignment="1" applyProtection="1">
      <alignment horizontal="center" vertical="center"/>
    </xf>
    <xf numFmtId="0" fontId="27" fillId="51" borderId="39" xfId="0" applyFont="1" applyFill="1" applyBorder="1" applyAlignment="1" applyProtection="1">
      <alignment horizontal="center" vertical="center"/>
    </xf>
    <xf numFmtId="0" fontId="27" fillId="51" borderId="38" xfId="0" applyFont="1" applyFill="1" applyBorder="1" applyAlignment="1" applyProtection="1">
      <alignment horizontal="center" vertical="center"/>
    </xf>
    <xf numFmtId="0" fontId="126" fillId="51" borderId="30" xfId="0" applyFont="1" applyFill="1" applyBorder="1" applyAlignment="1" applyProtection="1">
      <alignment horizontal="center" vertical="center"/>
    </xf>
    <xf numFmtId="0" fontId="126" fillId="51" borderId="31" xfId="0" applyFont="1" applyFill="1" applyBorder="1" applyAlignment="1" applyProtection="1">
      <alignment horizontal="center" vertical="center"/>
    </xf>
    <xf numFmtId="0" fontId="126" fillId="51" borderId="39" xfId="0" applyFont="1" applyFill="1" applyBorder="1" applyAlignment="1" applyProtection="1">
      <alignment horizontal="center" vertical="center"/>
    </xf>
    <xf numFmtId="0" fontId="126" fillId="51" borderId="36" xfId="0" applyFont="1" applyFill="1" applyBorder="1" applyAlignment="1" applyProtection="1">
      <alignment horizontal="center" vertical="center"/>
    </xf>
    <xf numFmtId="0" fontId="27" fillId="51" borderId="68" xfId="0" applyFont="1" applyFill="1" applyBorder="1" applyAlignment="1" applyProtection="1">
      <alignment horizontal="center"/>
    </xf>
    <xf numFmtId="0" fontId="27" fillId="51" borderId="40" xfId="0" applyFont="1" applyFill="1" applyBorder="1" applyAlignment="1" applyProtection="1">
      <alignment horizontal="center"/>
    </xf>
    <xf numFmtId="0" fontId="27" fillId="51" borderId="82" xfId="0" applyFont="1" applyFill="1" applyBorder="1" applyAlignment="1" applyProtection="1">
      <alignment horizontal="center"/>
    </xf>
    <xf numFmtId="0" fontId="27" fillId="51" borderId="83" xfId="0" applyFont="1" applyFill="1" applyBorder="1" applyAlignment="1" applyProtection="1">
      <alignment horizontal="center"/>
    </xf>
    <xf numFmtId="0" fontId="27" fillId="51" borderId="0" xfId="0" applyFont="1" applyFill="1" applyBorder="1" applyAlignment="1" applyProtection="1">
      <alignment horizontal="center"/>
    </xf>
    <xf numFmtId="0" fontId="126" fillId="51" borderId="0" xfId="0" applyFont="1" applyFill="1" applyBorder="1" applyAlignment="1" applyProtection="1">
      <alignment horizontal="center"/>
    </xf>
    <xf numFmtId="178" fontId="96" fillId="51" borderId="66" xfId="0" applyNumberFormat="1" applyFont="1" applyFill="1" applyBorder="1" applyAlignment="1" applyProtection="1">
      <alignment horizontal="center"/>
    </xf>
    <xf numFmtId="178" fontId="96" fillId="51" borderId="56" xfId="0" applyNumberFormat="1" applyFont="1" applyFill="1" applyBorder="1" applyAlignment="1" applyProtection="1">
      <alignment horizontal="center"/>
    </xf>
    <xf numFmtId="178" fontId="96" fillId="51" borderId="67" xfId="0" applyNumberFormat="1" applyFont="1" applyFill="1" applyBorder="1" applyAlignment="1" applyProtection="1">
      <alignment horizontal="center"/>
    </xf>
    <xf numFmtId="168" fontId="96" fillId="51" borderId="66" xfId="0" applyNumberFormat="1" applyFont="1" applyFill="1" applyBorder="1" applyAlignment="1" applyProtection="1">
      <alignment horizontal="center"/>
    </xf>
    <xf numFmtId="168" fontId="96" fillId="51" borderId="57" xfId="0" applyNumberFormat="1" applyFont="1" applyFill="1" applyBorder="1" applyAlignment="1" applyProtection="1">
      <alignment horizontal="center"/>
    </xf>
    <xf numFmtId="0" fontId="27" fillId="51" borderId="32" xfId="0" applyFont="1" applyFill="1" applyBorder="1" applyAlignment="1" applyProtection="1">
      <alignment horizontal="center"/>
    </xf>
    <xf numFmtId="0" fontId="27" fillId="51" borderId="52" xfId="0" applyFont="1" applyFill="1" applyBorder="1" applyAlignment="1" applyProtection="1">
      <alignment horizontal="center"/>
    </xf>
    <xf numFmtId="0" fontId="27" fillId="51" borderId="32" xfId="0" applyFont="1" applyFill="1" applyBorder="1" applyAlignment="1" applyProtection="1">
      <alignment horizontal="center" wrapText="1"/>
    </xf>
    <xf numFmtId="0" fontId="27" fillId="51" borderId="41" xfId="0" applyFont="1" applyFill="1" applyBorder="1" applyAlignment="1" applyProtection="1">
      <alignment horizontal="center" wrapText="1"/>
    </xf>
    <xf numFmtId="0" fontId="27" fillId="51" borderId="42" xfId="0" applyFont="1" applyFill="1" applyBorder="1" applyAlignment="1" applyProtection="1">
      <alignment horizontal="center" wrapText="1"/>
    </xf>
    <xf numFmtId="2" fontId="27" fillId="51" borderId="43" xfId="0" applyNumberFormat="1" applyFont="1" applyFill="1" applyBorder="1" applyAlignment="1" applyProtection="1">
      <alignment horizontal="center" wrapText="1"/>
    </xf>
    <xf numFmtId="2" fontId="27" fillId="51" borderId="42" xfId="0" applyNumberFormat="1" applyFont="1" applyFill="1" applyBorder="1" applyAlignment="1" applyProtection="1">
      <alignment horizontal="center" wrapText="1"/>
    </xf>
    <xf numFmtId="0" fontId="27" fillId="51" borderId="105" xfId="0" applyFont="1" applyFill="1" applyBorder="1" applyAlignment="1" applyProtection="1">
      <alignment horizontal="center"/>
    </xf>
    <xf numFmtId="0" fontId="27" fillId="51" borderId="43" xfId="0" applyFont="1" applyFill="1" applyBorder="1" applyAlignment="1" applyProtection="1">
      <alignment horizontal="center"/>
    </xf>
    <xf numFmtId="178" fontId="96" fillId="51" borderId="91" xfId="0" applyNumberFormat="1" applyFont="1" applyFill="1" applyBorder="1" applyAlignment="1" applyProtection="1">
      <alignment horizontal="center"/>
    </xf>
    <xf numFmtId="178" fontId="96" fillId="51" borderId="21" xfId="0" applyNumberFormat="1" applyFont="1" applyFill="1" applyBorder="1" applyAlignment="1" applyProtection="1">
      <alignment horizontal="center"/>
    </xf>
    <xf numFmtId="178" fontId="96" fillId="51" borderId="81" xfId="0" applyNumberFormat="1" applyFont="1" applyFill="1" applyBorder="1" applyAlignment="1" applyProtection="1">
      <alignment horizontal="center"/>
    </xf>
    <xf numFmtId="168" fontId="96" fillId="51" borderId="91" xfId="0" applyNumberFormat="1" applyFont="1" applyFill="1" applyBorder="1" applyAlignment="1" applyProtection="1">
      <alignment horizontal="center"/>
    </xf>
    <xf numFmtId="168" fontId="96" fillId="51" borderId="33" xfId="0" applyNumberFormat="1" applyFont="1" applyFill="1" applyBorder="1" applyAlignment="1" applyProtection="1">
      <alignment horizontal="center"/>
    </xf>
    <xf numFmtId="0" fontId="126" fillId="51" borderId="32" xfId="0" applyFont="1" applyFill="1" applyBorder="1" applyAlignment="1" applyProtection="1">
      <alignment horizontal="center"/>
    </xf>
    <xf numFmtId="0" fontId="126" fillId="51" borderId="41" xfId="0" applyFont="1" applyFill="1" applyBorder="1" applyAlignment="1" applyProtection="1">
      <alignment horizontal="center"/>
    </xf>
    <xf numFmtId="0" fontId="126" fillId="51" borderId="42" xfId="0" applyFont="1" applyFill="1" applyBorder="1" applyAlignment="1" applyProtection="1">
      <alignment horizontal="center"/>
    </xf>
    <xf numFmtId="0" fontId="126" fillId="51" borderId="43" xfId="0" applyFont="1" applyFill="1" applyBorder="1" applyAlignment="1" applyProtection="1">
      <alignment horizontal="center"/>
    </xf>
    <xf numFmtId="2" fontId="126" fillId="51" borderId="41" xfId="0" applyNumberFormat="1" applyFont="1" applyFill="1" applyBorder="1" applyAlignment="1" applyProtection="1">
      <alignment horizontal="center" wrapText="1"/>
    </xf>
    <xf numFmtId="2" fontId="126" fillId="51" borderId="42" xfId="0" applyNumberFormat="1" applyFont="1" applyFill="1" applyBorder="1" applyAlignment="1" applyProtection="1">
      <alignment horizontal="center" wrapText="1"/>
    </xf>
    <xf numFmtId="0" fontId="126" fillId="51" borderId="32" xfId="0" applyFont="1" applyFill="1" applyBorder="1" applyAlignment="1" applyProtection="1">
      <alignment horizontal="center" wrapText="1"/>
    </xf>
    <xf numFmtId="0" fontId="129" fillId="51" borderId="0" xfId="0" applyFont="1" applyFill="1" applyBorder="1" applyProtection="1">
      <protection locked="0"/>
    </xf>
    <xf numFmtId="0" fontId="56" fillId="51" borderId="109" xfId="0" applyFont="1" applyFill="1" applyBorder="1" applyAlignment="1" applyProtection="1">
      <alignment horizontal="left"/>
    </xf>
    <xf numFmtId="0" fontId="27" fillId="51" borderId="109" xfId="0" applyFont="1" applyFill="1" applyBorder="1" applyAlignment="1" applyProtection="1">
      <alignment horizontal="center" vertical="center"/>
    </xf>
    <xf numFmtId="0" fontId="27" fillId="51" borderId="113" xfId="0" applyFont="1" applyFill="1" applyBorder="1" applyAlignment="1" applyProtection="1">
      <alignment horizontal="center" vertical="center"/>
    </xf>
    <xf numFmtId="0" fontId="27" fillId="51" borderId="114" xfId="0" applyFont="1" applyFill="1" applyBorder="1" applyAlignment="1" applyProtection="1">
      <alignment horizontal="center"/>
    </xf>
    <xf numFmtId="0" fontId="27" fillId="51" borderId="115" xfId="0" applyFont="1" applyFill="1" applyBorder="1" applyAlignment="1" applyProtection="1">
      <alignment horizontal="center"/>
    </xf>
    <xf numFmtId="0" fontId="27" fillId="51" borderId="116" xfId="0" applyFont="1" applyFill="1" applyBorder="1" applyAlignment="1" applyProtection="1">
      <alignment horizontal="center"/>
    </xf>
    <xf numFmtId="0" fontId="0" fillId="93" borderId="0" xfId="0" applyFont="1" applyFill="1" applyAlignment="1" applyProtection="1">
      <alignment horizontal="center"/>
      <protection locked="0"/>
    </xf>
    <xf numFmtId="0" fontId="0" fillId="51" borderId="0" xfId="0" applyFont="1" applyFill="1" applyBorder="1" applyAlignment="1" applyProtection="1">
      <alignment horizontal="center"/>
      <protection locked="0"/>
    </xf>
    <xf numFmtId="0" fontId="85" fillId="51" borderId="0" xfId="0" applyFont="1" applyFill="1" applyBorder="1"/>
    <xf numFmtId="0" fontId="0" fillId="51" borderId="0" xfId="0" applyFont="1" applyFill="1" applyBorder="1"/>
    <xf numFmtId="0" fontId="0" fillId="51" borderId="0" xfId="0" applyFont="1" applyFill="1" applyBorder="1" applyAlignment="1">
      <alignment horizontal="center"/>
    </xf>
    <xf numFmtId="0" fontId="0" fillId="51" borderId="24" xfId="0" applyFont="1" applyFill="1" applyBorder="1" applyAlignment="1">
      <alignment horizontal="center" wrapText="1"/>
    </xf>
    <xf numFmtId="0" fontId="0" fillId="51" borderId="0" xfId="0" applyFont="1" applyFill="1" applyBorder="1" applyAlignment="1">
      <alignment horizontal="center" wrapText="1"/>
    </xf>
    <xf numFmtId="0" fontId="0" fillId="51" borderId="0" xfId="0" applyFont="1" applyFill="1" applyBorder="1" applyProtection="1">
      <protection locked="0"/>
    </xf>
    <xf numFmtId="0" fontId="27" fillId="51" borderId="28" xfId="0" applyFont="1" applyFill="1" applyBorder="1" applyAlignment="1">
      <alignment horizontal="center"/>
    </xf>
    <xf numFmtId="0" fontId="27" fillId="51" borderId="47" xfId="0" applyFont="1" applyFill="1" applyBorder="1" applyAlignment="1">
      <alignment horizontal="center" wrapText="1"/>
    </xf>
    <xf numFmtId="0" fontId="27" fillId="51" borderId="22" xfId="0" applyFont="1" applyFill="1" applyBorder="1" applyAlignment="1">
      <alignment horizontal="center" wrapText="1"/>
    </xf>
    <xf numFmtId="0" fontId="27" fillId="51" borderId="19" xfId="0" applyFont="1" applyFill="1" applyBorder="1" applyAlignment="1">
      <alignment horizontal="center" wrapText="1"/>
    </xf>
    <xf numFmtId="0" fontId="27" fillId="51" borderId="0" xfId="0" applyFont="1" applyFill="1" applyBorder="1" applyAlignment="1">
      <alignment horizontal="center" wrapText="1"/>
    </xf>
    <xf numFmtId="0" fontId="27" fillId="51" borderId="33" xfId="0" applyFont="1" applyFill="1" applyBorder="1" applyAlignment="1">
      <alignment horizontal="center" wrapText="1"/>
    </xf>
    <xf numFmtId="0" fontId="27" fillId="51" borderId="0" xfId="0" applyFont="1" applyFill="1" applyBorder="1" applyAlignment="1">
      <alignment horizontal="center"/>
    </xf>
    <xf numFmtId="0" fontId="0" fillId="51" borderId="26" xfId="0" applyFont="1" applyFill="1" applyBorder="1"/>
    <xf numFmtId="0" fontId="0" fillId="51" borderId="24" xfId="0" applyFont="1" applyFill="1" applyBorder="1" applyAlignment="1">
      <alignment horizontal="center"/>
    </xf>
    <xf numFmtId="0" fontId="0" fillId="51" borderId="26" xfId="0" applyFont="1" applyFill="1" applyBorder="1" applyAlignment="1">
      <alignment horizontal="center" wrapText="1"/>
    </xf>
    <xf numFmtId="2" fontId="0" fillId="51" borderId="0" xfId="0" applyNumberFormat="1" applyFont="1" applyFill="1" applyBorder="1"/>
    <xf numFmtId="0" fontId="120" fillId="51" borderId="134" xfId="0" applyFont="1" applyFill="1" applyBorder="1" applyAlignment="1" applyProtection="1">
      <alignment horizontal="left"/>
    </xf>
    <xf numFmtId="0" fontId="0" fillId="51" borderId="135" xfId="0" applyFont="1" applyFill="1" applyBorder="1" applyProtection="1">
      <protection locked="0"/>
    </xf>
    <xf numFmtId="0" fontId="27" fillId="51" borderId="134" xfId="0" applyFont="1" applyFill="1" applyBorder="1" applyAlignment="1">
      <alignment horizontal="center"/>
    </xf>
    <xf numFmtId="0" fontId="0" fillId="51" borderId="134" xfId="0" applyFont="1" applyFill="1" applyBorder="1" applyAlignment="1">
      <alignment horizontal="center"/>
    </xf>
    <xf numFmtId="0" fontId="0" fillId="94" borderId="0" xfId="0" applyFont="1" applyFill="1" applyAlignment="1" applyProtection="1">
      <alignment horizontal="center"/>
      <protection locked="0"/>
    </xf>
    <xf numFmtId="0" fontId="27" fillId="55" borderId="57" xfId="0" applyFont="1" applyFill="1" applyBorder="1"/>
    <xf numFmtId="0" fontId="113" fillId="51" borderId="93" xfId="0" applyFont="1" applyFill="1" applyBorder="1" applyAlignment="1">
      <alignment horizontal="center" vertical="center" wrapText="1"/>
    </xf>
    <xf numFmtId="0" fontId="113" fillId="51" borderId="49" xfId="0" applyFont="1" applyFill="1" applyBorder="1" applyAlignment="1">
      <alignment horizontal="center" vertical="center" wrapText="1"/>
    </xf>
    <xf numFmtId="0" fontId="113" fillId="51" borderId="17" xfId="0" applyFont="1" applyFill="1" applyBorder="1" applyAlignment="1">
      <alignment horizontal="center" vertical="center" wrapText="1"/>
    </xf>
    <xf numFmtId="0" fontId="113" fillId="51" borderId="17" xfId="0" applyFont="1" applyFill="1" applyBorder="1" applyAlignment="1">
      <alignment horizontal="left" vertical="center" wrapText="1" indent="1"/>
    </xf>
    <xf numFmtId="8" fontId="122" fillId="51" borderId="17" xfId="0" applyNumberFormat="1" applyFont="1" applyFill="1" applyBorder="1" applyAlignment="1">
      <alignment horizontal="center" vertical="center" wrapText="1"/>
    </xf>
    <xf numFmtId="8" fontId="122" fillId="51" borderId="93" xfId="0" applyNumberFormat="1" applyFont="1" applyFill="1" applyBorder="1" applyAlignment="1">
      <alignment horizontal="center" vertical="center" wrapText="1"/>
    </xf>
    <xf numFmtId="8" fontId="122" fillId="51" borderId="28" xfId="0" applyNumberFormat="1" applyFont="1" applyFill="1" applyBorder="1" applyAlignment="1">
      <alignment horizontal="center" vertical="center" wrapText="1"/>
    </xf>
    <xf numFmtId="8" fontId="122" fillId="51" borderId="94" xfId="0" applyNumberFormat="1" applyFont="1" applyFill="1" applyBorder="1" applyAlignment="1">
      <alignment horizontal="center" vertical="center" wrapText="1"/>
    </xf>
    <xf numFmtId="8" fontId="122" fillId="51" borderId="51" xfId="0" applyNumberFormat="1" applyFont="1" applyFill="1" applyBorder="1" applyAlignment="1">
      <alignment horizontal="center" vertical="center" wrapText="1"/>
    </xf>
    <xf numFmtId="8" fontId="122" fillId="51" borderId="104" xfId="0" applyNumberFormat="1" applyFont="1" applyFill="1" applyBorder="1" applyAlignment="1">
      <alignment horizontal="center" vertical="center" wrapText="1"/>
    </xf>
    <xf numFmtId="8" fontId="122" fillId="51" borderId="49" xfId="0" applyNumberFormat="1" applyFont="1" applyFill="1" applyBorder="1" applyAlignment="1">
      <alignment horizontal="center" vertical="center" wrapText="1"/>
    </xf>
    <xf numFmtId="8" fontId="122" fillId="51" borderId="80" xfId="0" applyNumberFormat="1" applyFont="1" applyFill="1" applyBorder="1" applyAlignment="1">
      <alignment horizontal="center" vertical="center" wrapText="1"/>
    </xf>
    <xf numFmtId="0" fontId="113" fillId="51" borderId="104" xfId="0" applyFont="1" applyFill="1" applyBorder="1" applyAlignment="1">
      <alignment horizontal="left" vertical="center" wrapText="1" indent="1"/>
    </xf>
    <xf numFmtId="0" fontId="113" fillId="51" borderId="80" xfId="0" applyFont="1" applyFill="1" applyBorder="1" applyAlignment="1">
      <alignment horizontal="center" vertical="center" wrapText="1"/>
    </xf>
    <xf numFmtId="0" fontId="113" fillId="51" borderId="80" xfId="0" applyFont="1" applyFill="1" applyBorder="1" applyAlignment="1">
      <alignment horizontal="left" vertical="center" wrapText="1" indent="1"/>
    </xf>
    <xf numFmtId="0" fontId="121" fillId="51" borderId="148" xfId="0" applyFont="1" applyFill="1" applyBorder="1" applyAlignment="1">
      <alignment horizontal="center" vertical="center" wrapText="1"/>
    </xf>
    <xf numFmtId="0" fontId="121" fillId="51" borderId="154" xfId="0" applyFont="1" applyFill="1" applyBorder="1" applyAlignment="1">
      <alignment horizontal="center" vertical="center" wrapText="1"/>
    </xf>
    <xf numFmtId="8" fontId="122" fillId="51" borderId="155" xfId="0" applyNumberFormat="1" applyFont="1" applyFill="1" applyBorder="1" applyAlignment="1">
      <alignment horizontal="center" vertical="center" wrapText="1"/>
    </xf>
    <xf numFmtId="8" fontId="122" fillId="51" borderId="156" xfId="0" applyNumberFormat="1" applyFont="1" applyFill="1" applyBorder="1" applyAlignment="1">
      <alignment horizontal="center" vertical="center" wrapText="1"/>
    </xf>
    <xf numFmtId="8" fontId="122" fillId="51" borderId="157" xfId="0" applyNumberFormat="1" applyFont="1" applyFill="1" applyBorder="1" applyAlignment="1">
      <alignment horizontal="center" vertical="center" wrapText="1"/>
    </xf>
    <xf numFmtId="8" fontId="122" fillId="51" borderId="158" xfId="0" applyNumberFormat="1" applyFont="1" applyFill="1" applyBorder="1" applyAlignment="1">
      <alignment horizontal="center" vertical="center" wrapText="1"/>
    </xf>
    <xf numFmtId="8" fontId="122" fillId="51" borderId="159" xfId="0" applyNumberFormat="1" applyFont="1" applyFill="1" applyBorder="1" applyAlignment="1">
      <alignment horizontal="center" vertical="center" wrapText="1"/>
    </xf>
    <xf numFmtId="0" fontId="0" fillId="95" borderId="0" xfId="0" applyFont="1" applyFill="1" applyAlignment="1" applyProtection="1">
      <alignment horizontal="center"/>
      <protection locked="0"/>
    </xf>
    <xf numFmtId="0" fontId="130" fillId="0" borderId="0" xfId="0" applyFont="1" applyAlignment="1" applyProtection="1">
      <alignment horizontal="left"/>
      <protection locked="0"/>
    </xf>
    <xf numFmtId="0" fontId="76" fillId="0" borderId="0" xfId="0" applyFont="1" applyAlignment="1" applyProtection="1">
      <alignment horizontal="center"/>
      <protection locked="0"/>
    </xf>
    <xf numFmtId="0" fontId="128" fillId="0" borderId="0" xfId="0" applyFont="1" applyProtection="1">
      <protection locked="0"/>
    </xf>
    <xf numFmtId="0" fontId="76" fillId="0" borderId="0" xfId="0" applyFont="1" applyProtection="1">
      <protection locked="0"/>
    </xf>
    <xf numFmtId="0" fontId="0" fillId="0" borderId="0" xfId="0" applyFont="1" applyAlignment="1" applyProtection="1">
      <alignment horizontal="right"/>
      <protection locked="0"/>
    </xf>
    <xf numFmtId="0" fontId="131" fillId="87" borderId="0" xfId="0" applyFont="1" applyFill="1" applyBorder="1" applyAlignment="1" applyProtection="1">
      <alignment horizontal="center"/>
      <protection locked="0"/>
    </xf>
    <xf numFmtId="0" fontId="132" fillId="87" borderId="0" xfId="0" applyFont="1" applyFill="1" applyBorder="1" applyAlignment="1" applyProtection="1">
      <alignment vertical="center"/>
      <protection locked="0"/>
    </xf>
    <xf numFmtId="0" fontId="82" fillId="88" borderId="82" xfId="0" applyFont="1" applyFill="1" applyBorder="1" applyAlignment="1" applyProtection="1">
      <alignment vertical="center" wrapText="1"/>
      <protection locked="0"/>
    </xf>
    <xf numFmtId="0" fontId="82" fillId="41" borderId="82" xfId="0" applyFont="1" applyFill="1" applyBorder="1" applyAlignment="1" applyProtection="1">
      <alignment horizontal="center" vertical="center" wrapText="1"/>
      <protection locked="0"/>
    </xf>
    <xf numFmtId="0" fontId="76" fillId="31" borderId="33" xfId="0" applyFont="1" applyFill="1" applyBorder="1" applyAlignment="1" applyProtection="1">
      <alignment horizontal="left" vertical="top" wrapText="1"/>
      <protection locked="0"/>
    </xf>
    <xf numFmtId="0" fontId="76" fillId="31" borderId="22" xfId="0" applyFont="1" applyFill="1" applyBorder="1" applyAlignment="1" applyProtection="1">
      <alignment horizontal="left" vertical="top" wrapText="1"/>
      <protection locked="0"/>
    </xf>
    <xf numFmtId="0" fontId="76" fillId="31" borderId="19" xfId="0" applyFont="1" applyFill="1" applyBorder="1" applyAlignment="1" applyProtection="1">
      <alignment horizontal="left" vertical="top" wrapText="1"/>
      <protection locked="0"/>
    </xf>
    <xf numFmtId="0" fontId="76" fillId="36" borderId="33" xfId="0" applyFont="1" applyFill="1" applyBorder="1" applyAlignment="1" applyProtection="1">
      <alignment horizontal="left" vertical="top" wrapText="1"/>
      <protection locked="0"/>
    </xf>
    <xf numFmtId="0" fontId="76" fillId="36" borderId="22" xfId="0" applyFont="1" applyFill="1" applyBorder="1" applyAlignment="1" applyProtection="1">
      <alignment horizontal="left" vertical="top" wrapText="1"/>
      <protection locked="0"/>
    </xf>
    <xf numFmtId="0" fontId="76" fillId="36" borderId="19" xfId="0" applyFont="1" applyFill="1" applyBorder="1" applyAlignment="1" applyProtection="1">
      <alignment horizontal="left" vertical="top" wrapText="1"/>
      <protection locked="0"/>
    </xf>
    <xf numFmtId="0" fontId="76" fillId="88" borderId="33" xfId="0" applyFont="1" applyFill="1" applyBorder="1" applyAlignment="1" applyProtection="1">
      <alignment horizontal="left" vertical="top" wrapText="1"/>
      <protection locked="0"/>
    </xf>
    <xf numFmtId="0" fontId="76" fillId="88" borderId="22" xfId="0" applyFont="1" applyFill="1" applyBorder="1" applyAlignment="1" applyProtection="1">
      <alignment horizontal="left" vertical="top" wrapText="1"/>
      <protection locked="0"/>
    </xf>
    <xf numFmtId="0" fontId="76" fillId="88" borderId="19" xfId="0" applyFont="1" applyFill="1" applyBorder="1" applyAlignment="1" applyProtection="1">
      <alignment horizontal="left" vertical="top" wrapText="1"/>
      <protection locked="0"/>
    </xf>
    <xf numFmtId="0" fontId="76" fillId="88" borderId="21" xfId="0" applyFont="1" applyFill="1" applyBorder="1" applyAlignment="1" applyProtection="1">
      <alignment horizontal="left" vertical="top" wrapText="1"/>
      <protection locked="0"/>
    </xf>
    <xf numFmtId="0" fontId="76" fillId="34" borderId="33" xfId="0" applyFont="1" applyFill="1" applyBorder="1" applyAlignment="1" applyProtection="1">
      <alignment horizontal="left" vertical="top" wrapText="1"/>
      <protection locked="0"/>
    </xf>
    <xf numFmtId="0" fontId="76" fillId="34" borderId="22" xfId="0" applyFont="1" applyFill="1" applyBorder="1" applyAlignment="1" applyProtection="1">
      <alignment horizontal="left" vertical="top" wrapText="1"/>
      <protection locked="0"/>
    </xf>
    <xf numFmtId="0" fontId="76" fillId="34" borderId="19" xfId="0" applyFont="1" applyFill="1" applyBorder="1" applyAlignment="1" applyProtection="1">
      <alignment vertical="top" wrapText="1"/>
      <protection locked="0"/>
    </xf>
    <xf numFmtId="0" fontId="76" fillId="90" borderId="33" xfId="0" applyFont="1" applyFill="1" applyBorder="1" applyAlignment="1" applyProtection="1">
      <alignment horizontal="left" vertical="top" wrapText="1"/>
      <protection locked="0"/>
    </xf>
    <xf numFmtId="0" fontId="76" fillId="90" borderId="22" xfId="0" applyFont="1" applyFill="1" applyBorder="1" applyAlignment="1" applyProtection="1">
      <alignment horizontal="left" vertical="top" wrapText="1"/>
      <protection locked="0"/>
    </xf>
    <xf numFmtId="0" fontId="76" fillId="91" borderId="33" xfId="0" applyFont="1" applyFill="1" applyBorder="1" applyAlignment="1" applyProtection="1">
      <alignment horizontal="left" vertical="top" wrapText="1"/>
      <protection locked="0"/>
    </xf>
    <xf numFmtId="0" fontId="76" fillId="91" borderId="19" xfId="0" applyFont="1" applyFill="1" applyBorder="1" applyAlignment="1" applyProtection="1">
      <alignment horizontal="left" vertical="top" wrapText="1"/>
      <protection locked="0"/>
    </xf>
    <xf numFmtId="0" fontId="76" fillId="41" borderId="21" xfId="0" applyFont="1" applyFill="1" applyBorder="1" applyAlignment="1" applyProtection="1">
      <alignment horizontal="left" vertical="top" wrapText="1"/>
      <protection locked="0"/>
    </xf>
    <xf numFmtId="0" fontId="76" fillId="38" borderId="33" xfId="0" applyFont="1" applyFill="1" applyBorder="1" applyAlignment="1" applyProtection="1">
      <alignment horizontal="left" vertical="top" wrapText="1"/>
      <protection locked="0"/>
    </xf>
    <xf numFmtId="0" fontId="76" fillId="38" borderId="22" xfId="0" applyFont="1" applyFill="1" applyBorder="1" applyAlignment="1" applyProtection="1">
      <alignment horizontal="left" vertical="top" wrapText="1"/>
      <protection locked="0"/>
    </xf>
    <xf numFmtId="0" fontId="76" fillId="38" borderId="19" xfId="0" applyFont="1" applyFill="1" applyBorder="1" applyAlignment="1" applyProtection="1">
      <alignment horizontal="left" vertical="top" wrapText="1"/>
      <protection locked="0"/>
    </xf>
    <xf numFmtId="0" fontId="132" fillId="92" borderId="57" xfId="0" applyFont="1" applyFill="1" applyBorder="1" applyProtection="1">
      <protection locked="0"/>
    </xf>
    <xf numFmtId="0" fontId="133" fillId="92" borderId="59" xfId="0" applyFont="1" applyFill="1" applyBorder="1" applyAlignment="1" applyProtection="1">
      <alignment horizontal="center"/>
      <protection locked="0"/>
    </xf>
    <xf numFmtId="0" fontId="133" fillId="92" borderId="58" xfId="0" applyFont="1" applyFill="1" applyBorder="1" applyAlignment="1" applyProtection="1">
      <alignment horizontal="center"/>
      <protection locked="0"/>
    </xf>
    <xf numFmtId="0" fontId="134" fillId="51" borderId="59" xfId="0" applyFont="1" applyFill="1" applyBorder="1" applyAlignment="1" applyProtection="1">
      <alignment horizontal="center"/>
      <protection locked="0"/>
    </xf>
    <xf numFmtId="0" fontId="134" fillId="51" borderId="58" xfId="0" applyFont="1" applyFill="1" applyBorder="1" applyAlignment="1" applyProtection="1">
      <alignment horizontal="center"/>
      <protection locked="0"/>
    </xf>
    <xf numFmtId="0" fontId="76" fillId="0" borderId="0" xfId="0" applyFont="1" applyFill="1" applyBorder="1" applyAlignment="1" applyProtection="1">
      <alignment horizontal="center"/>
    </xf>
    <xf numFmtId="173" fontId="0" fillId="0" borderId="20" xfId="0" applyNumberFormat="1" applyFont="1" applyFill="1" applyBorder="1" applyProtection="1">
      <protection locked="0"/>
    </xf>
    <xf numFmtId="173" fontId="0" fillId="0" borderId="0" xfId="0" applyNumberFormat="1" applyFont="1" applyFill="1" applyBorder="1" applyProtection="1">
      <protection locked="0"/>
    </xf>
    <xf numFmtId="173" fontId="0" fillId="0" borderId="17" xfId="0" applyNumberFormat="1" applyFont="1" applyFill="1" applyBorder="1" applyProtection="1">
      <protection locked="0"/>
    </xf>
    <xf numFmtId="174" fontId="0" fillId="0" borderId="0" xfId="0" applyNumberFormat="1" applyFont="1" applyFill="1" applyBorder="1" applyProtection="1">
      <protection locked="0"/>
    </xf>
    <xf numFmtId="174" fontId="0" fillId="0" borderId="20" xfId="0" applyNumberFormat="1" applyFont="1" applyFill="1" applyBorder="1" applyProtection="1">
      <protection locked="0"/>
    </xf>
    <xf numFmtId="165" fontId="0" fillId="0" borderId="20" xfId="0" applyNumberFormat="1" applyFont="1" applyFill="1" applyBorder="1" applyProtection="1">
      <protection locked="0"/>
    </xf>
    <xf numFmtId="165" fontId="0" fillId="0" borderId="0" xfId="0" applyNumberFormat="1" applyFont="1" applyFill="1" applyBorder="1" applyProtection="1">
      <protection locked="0"/>
    </xf>
    <xf numFmtId="165" fontId="0" fillId="0" borderId="17" xfId="0" applyNumberFormat="1" applyFont="1" applyFill="1" applyBorder="1" applyProtection="1">
      <protection locked="0"/>
    </xf>
    <xf numFmtId="4" fontId="0" fillId="0" borderId="18" xfId="0" applyNumberFormat="1" applyFont="1" applyFill="1" applyBorder="1" applyProtection="1">
      <protection locked="0"/>
    </xf>
    <xf numFmtId="174" fontId="0" fillId="0" borderId="17" xfId="0" applyNumberFormat="1" applyFont="1" applyFill="1" applyBorder="1" applyProtection="1">
      <protection locked="0"/>
    </xf>
    <xf numFmtId="0" fontId="76" fillId="0" borderId="0" xfId="0" applyFont="1" applyBorder="1" applyAlignment="1" applyProtection="1">
      <alignment horizontal="center"/>
    </xf>
    <xf numFmtId="165" fontId="0" fillId="0" borderId="0" xfId="0" applyNumberFormat="1" applyFont="1" applyBorder="1" applyProtection="1">
      <protection locked="0"/>
    </xf>
    <xf numFmtId="0" fontId="76" fillId="0" borderId="85" xfId="0" applyFont="1" applyFill="1" applyBorder="1" applyAlignment="1" applyProtection="1">
      <alignment horizontal="center"/>
    </xf>
    <xf numFmtId="0" fontId="76" fillId="0" borderId="78" xfId="0" applyFont="1" applyFill="1" applyBorder="1" applyAlignment="1" applyProtection="1">
      <alignment horizontal="center"/>
    </xf>
    <xf numFmtId="173" fontId="0" fillId="0" borderId="20" xfId="0" applyNumberFormat="1" applyFont="1" applyFill="1" applyBorder="1" applyProtection="1"/>
    <xf numFmtId="173" fontId="0" fillId="0" borderId="0" xfId="0" applyNumberFormat="1" applyFont="1" applyFill="1" applyBorder="1" applyProtection="1"/>
    <xf numFmtId="173" fontId="0" fillId="0" borderId="17" xfId="0" applyNumberFormat="1" applyFont="1" applyFill="1" applyBorder="1" applyProtection="1"/>
    <xf numFmtId="174" fontId="0" fillId="0" borderId="20" xfId="0" applyNumberFormat="1" applyFont="1" applyFill="1" applyBorder="1" applyProtection="1"/>
    <xf numFmtId="174" fontId="0" fillId="0" borderId="0" xfId="0" applyNumberFormat="1" applyFont="1" applyFill="1" applyBorder="1" applyProtection="1"/>
    <xf numFmtId="165" fontId="0" fillId="0" borderId="20" xfId="0" applyNumberFormat="1" applyFont="1" applyFill="1" applyBorder="1" applyProtection="1"/>
    <xf numFmtId="165" fontId="0" fillId="0" borderId="0" xfId="0" applyNumberFormat="1" applyFont="1" applyFill="1" applyBorder="1" applyProtection="1"/>
    <xf numFmtId="174" fontId="0" fillId="0" borderId="17" xfId="0" applyNumberFormat="1" applyFont="1" applyFill="1" applyBorder="1" applyProtection="1"/>
    <xf numFmtId="165" fontId="0" fillId="0" borderId="17" xfId="0" applyNumberFormat="1" applyFont="1" applyFill="1" applyBorder="1" applyProtection="1"/>
    <xf numFmtId="174" fontId="0" fillId="0" borderId="18" xfId="0" applyNumberFormat="1" applyFont="1" applyFill="1" applyBorder="1" applyProtection="1"/>
    <xf numFmtId="165" fontId="0" fillId="0" borderId="18" xfId="0" applyNumberFormat="1" applyFont="1" applyFill="1" applyBorder="1" applyProtection="1"/>
    <xf numFmtId="4" fontId="0" fillId="0" borderId="18" xfId="0" applyNumberFormat="1" applyFont="1" applyFill="1" applyBorder="1" applyProtection="1"/>
    <xf numFmtId="0" fontId="76" fillId="0" borderId="20" xfId="0" applyFont="1" applyBorder="1" applyAlignment="1" applyProtection="1">
      <alignment horizontal="center"/>
    </xf>
    <xf numFmtId="0" fontId="76" fillId="0" borderId="17" xfId="0" applyFont="1" applyBorder="1" applyAlignment="1" applyProtection="1">
      <alignment horizontal="center"/>
    </xf>
    <xf numFmtId="173" fontId="0" fillId="0" borderId="20" xfId="0" applyNumberFormat="1" applyFont="1" applyBorder="1" applyProtection="1"/>
    <xf numFmtId="173" fontId="0" fillId="0" borderId="0" xfId="0" applyNumberFormat="1" applyFont="1" applyBorder="1" applyProtection="1"/>
    <xf numFmtId="173" fontId="0" fillId="0" borderId="17" xfId="0" applyNumberFormat="1" applyFont="1" applyBorder="1" applyProtection="1"/>
    <xf numFmtId="174" fontId="0" fillId="0" borderId="20" xfId="0" applyNumberFormat="1" applyFont="1" applyBorder="1" applyProtection="1"/>
    <xf numFmtId="165" fontId="0" fillId="0" borderId="20" xfId="0" applyNumberFormat="1" applyFont="1" applyBorder="1" applyProtection="1"/>
    <xf numFmtId="165" fontId="0" fillId="0" borderId="0" xfId="0" applyNumberFormat="1" applyFont="1" applyBorder="1" applyProtection="1"/>
    <xf numFmtId="174" fontId="0" fillId="0" borderId="17" xfId="0" applyNumberFormat="1" applyFont="1" applyBorder="1" applyProtection="1"/>
    <xf numFmtId="165" fontId="0" fillId="0" borderId="17" xfId="0" applyNumberFormat="1" applyFont="1" applyBorder="1" applyProtection="1"/>
    <xf numFmtId="174" fontId="0" fillId="0" borderId="18" xfId="0" applyNumberFormat="1" applyFont="1" applyBorder="1" applyProtection="1"/>
    <xf numFmtId="174" fontId="0" fillId="0" borderId="0" xfId="0" applyNumberFormat="1" applyFont="1" applyBorder="1" applyProtection="1"/>
    <xf numFmtId="4" fontId="0" fillId="0" borderId="18" xfId="0" applyNumberFormat="1" applyFont="1" applyBorder="1" applyProtection="1"/>
    <xf numFmtId="0" fontId="76" fillId="0" borderId="33" xfId="0" applyFont="1" applyBorder="1" applyAlignment="1" applyProtection="1">
      <alignment horizontal="center"/>
    </xf>
    <xf numFmtId="0" fontId="76" fillId="0" borderId="19" xfId="0" applyFont="1" applyBorder="1" applyAlignment="1" applyProtection="1">
      <alignment horizontal="center"/>
    </xf>
    <xf numFmtId="173" fontId="0" fillId="0" borderId="33" xfId="0" applyNumberFormat="1" applyFont="1" applyBorder="1" applyProtection="1"/>
    <xf numFmtId="173" fontId="0" fillId="0" borderId="22" xfId="0" applyNumberFormat="1" applyFont="1" applyBorder="1" applyProtection="1"/>
    <xf numFmtId="173" fontId="0" fillId="0" borderId="19" xfId="0" applyNumberFormat="1" applyFont="1" applyBorder="1" applyProtection="1"/>
    <xf numFmtId="174" fontId="0" fillId="0" borderId="33" xfId="0" applyNumberFormat="1" applyFont="1" applyBorder="1" applyProtection="1"/>
    <xf numFmtId="165" fontId="0" fillId="0" borderId="33" xfId="0" applyNumberFormat="1" applyFont="1" applyBorder="1" applyProtection="1"/>
    <xf numFmtId="165" fontId="0" fillId="0" borderId="22" xfId="0" applyNumberFormat="1" applyFont="1" applyBorder="1" applyProtection="1"/>
    <xf numFmtId="174" fontId="0" fillId="0" borderId="19" xfId="0" applyNumberFormat="1" applyFont="1" applyBorder="1" applyProtection="1"/>
    <xf numFmtId="165" fontId="0" fillId="0" borderId="19" xfId="0" applyNumberFormat="1" applyFont="1" applyBorder="1" applyProtection="1"/>
    <xf numFmtId="174" fontId="0" fillId="0" borderId="21" xfId="0" applyNumberFormat="1" applyFont="1" applyBorder="1" applyProtection="1"/>
    <xf numFmtId="174" fontId="0" fillId="0" borderId="22" xfId="0" applyNumberFormat="1" applyFont="1" applyBorder="1" applyProtection="1"/>
    <xf numFmtId="165" fontId="0" fillId="0" borderId="33" xfId="0" applyNumberFormat="1" applyFont="1" applyFill="1" applyBorder="1" applyProtection="1"/>
    <xf numFmtId="165" fontId="0" fillId="0" borderId="22" xfId="0" applyNumberFormat="1" applyFont="1" applyFill="1" applyBorder="1" applyProtection="1"/>
    <xf numFmtId="165" fontId="0" fillId="0" borderId="21" xfId="0" applyNumberFormat="1" applyFont="1" applyFill="1" applyBorder="1" applyProtection="1"/>
    <xf numFmtId="4" fontId="0" fillId="0" borderId="21" xfId="0" applyNumberFormat="1" applyFont="1" applyBorder="1" applyProtection="1"/>
    <xf numFmtId="0" fontId="135" fillId="92" borderId="106" xfId="116" applyFont="1" applyFill="1" applyBorder="1" applyAlignment="1"/>
    <xf numFmtId="0" fontId="135" fillId="92" borderId="107" xfId="116" applyFont="1" applyFill="1" applyBorder="1" applyAlignment="1"/>
    <xf numFmtId="0" fontId="135" fillId="92" borderId="108" xfId="116" applyFont="1" applyFill="1" applyBorder="1" applyAlignment="1"/>
    <xf numFmtId="0" fontId="0" fillId="51" borderId="110" xfId="0" applyFont="1" applyFill="1" applyBorder="1" applyProtection="1">
      <protection locked="0"/>
    </xf>
    <xf numFmtId="0" fontId="76" fillId="0" borderId="0" xfId="0" applyFont="1" applyFill="1" applyAlignment="1" applyProtection="1">
      <alignment horizontal="center"/>
      <protection locked="0"/>
    </xf>
    <xf numFmtId="0" fontId="76" fillId="51" borderId="109" xfId="0" applyFont="1" applyFill="1" applyBorder="1" applyAlignment="1" applyProtection="1">
      <alignment horizontal="center"/>
      <protection locked="0"/>
    </xf>
    <xf numFmtId="0" fontId="76" fillId="51" borderId="0" xfId="0" applyFont="1" applyFill="1" applyBorder="1" applyAlignment="1" applyProtection="1">
      <alignment horizontal="center"/>
      <protection locked="0"/>
    </xf>
    <xf numFmtId="0" fontId="76" fillId="93" borderId="0" xfId="0" applyFont="1" applyFill="1" applyBorder="1" applyAlignment="1" applyProtection="1">
      <alignment horizontal="center"/>
      <protection locked="0"/>
    </xf>
    <xf numFmtId="0" fontId="0" fillId="51" borderId="0" xfId="0" applyFont="1" applyFill="1" applyBorder="1" applyProtection="1"/>
    <xf numFmtId="0" fontId="0" fillId="51" borderId="109" xfId="0" applyFont="1" applyFill="1" applyBorder="1" applyAlignment="1" applyProtection="1">
      <alignment horizontal="center"/>
      <protection locked="0"/>
    </xf>
    <xf numFmtId="0" fontId="0" fillId="51" borderId="109" xfId="0" applyFont="1" applyFill="1" applyBorder="1" applyProtection="1"/>
    <xf numFmtId="178" fontId="0" fillId="55" borderId="91" xfId="0" applyNumberFormat="1" applyFont="1" applyFill="1" applyBorder="1" applyAlignment="1" applyProtection="1">
      <alignment horizontal="center"/>
    </xf>
    <xf numFmtId="178" fontId="0" fillId="55" borderId="21" xfId="0" applyNumberFormat="1" applyFont="1" applyFill="1" applyBorder="1" applyAlignment="1" applyProtection="1">
      <alignment horizontal="center"/>
    </xf>
    <xf numFmtId="178" fontId="0" fillId="55" borderId="81" xfId="0" applyNumberFormat="1" applyFont="1" applyFill="1" applyBorder="1" applyAlignment="1" applyProtection="1">
      <alignment horizontal="center"/>
    </xf>
    <xf numFmtId="168" fontId="0" fillId="55" borderId="91" xfId="0" applyNumberFormat="1" applyFont="1" applyFill="1" applyBorder="1" applyAlignment="1" applyProtection="1">
      <alignment horizontal="center"/>
    </xf>
    <xf numFmtId="168" fontId="0" fillId="55" borderId="33" xfId="0" applyNumberFormat="1" applyFont="1" applyFill="1" applyBorder="1" applyAlignment="1" applyProtection="1">
      <alignment horizontal="center"/>
    </xf>
    <xf numFmtId="168" fontId="0" fillId="55" borderId="81" xfId="0" applyNumberFormat="1" applyFont="1" applyFill="1" applyBorder="1" applyAlignment="1" applyProtection="1">
      <alignment horizontal="center"/>
    </xf>
    <xf numFmtId="168" fontId="0" fillId="55" borderId="66" xfId="0" applyNumberFormat="1" applyFont="1" applyFill="1" applyBorder="1" applyAlignment="1" applyProtection="1">
      <alignment horizontal="center"/>
    </xf>
    <xf numFmtId="168" fontId="0" fillId="55" borderId="57" xfId="0" applyNumberFormat="1" applyFont="1" applyFill="1" applyBorder="1" applyAlignment="1" applyProtection="1">
      <alignment horizontal="center"/>
    </xf>
    <xf numFmtId="168" fontId="0" fillId="55" borderId="67" xfId="0" applyNumberFormat="1" applyFont="1" applyFill="1" applyBorder="1" applyAlignment="1" applyProtection="1">
      <alignment horizontal="center"/>
    </xf>
    <xf numFmtId="0" fontId="0" fillId="0" borderId="0" xfId="0" applyFont="1" applyProtection="1"/>
    <xf numFmtId="168" fontId="0" fillId="55" borderId="124" xfId="0" applyNumberFormat="1" applyFont="1" applyFill="1" applyBorder="1" applyAlignment="1" applyProtection="1">
      <alignment horizontal="center"/>
    </xf>
    <xf numFmtId="0" fontId="0" fillId="51" borderId="102" xfId="0" applyFont="1" applyFill="1" applyBorder="1"/>
    <xf numFmtId="168" fontId="0" fillId="55" borderId="122" xfId="0" applyNumberFormat="1" applyFont="1" applyFill="1" applyBorder="1" applyAlignment="1" applyProtection="1">
      <alignment horizontal="center"/>
    </xf>
    <xf numFmtId="0" fontId="135" fillId="92" borderId="131" xfId="116" applyFont="1" applyFill="1" applyBorder="1" applyAlignment="1"/>
    <xf numFmtId="0" fontId="135" fillId="92" borderId="132" xfId="116" applyFont="1" applyFill="1" applyBorder="1" applyAlignment="1"/>
    <xf numFmtId="0" fontId="135" fillId="92" borderId="133" xfId="116" applyFont="1" applyFill="1" applyBorder="1" applyAlignment="1"/>
    <xf numFmtId="0" fontId="136" fillId="51" borderId="134" xfId="0" applyFont="1" applyFill="1" applyBorder="1"/>
    <xf numFmtId="0" fontId="136" fillId="51" borderId="24" xfId="0" applyFont="1" applyFill="1" applyBorder="1"/>
    <xf numFmtId="0" fontId="0" fillId="51" borderId="26" xfId="0" applyFont="1" applyFill="1" applyBorder="1" applyAlignment="1">
      <alignment horizontal="center"/>
    </xf>
    <xf numFmtId="0" fontId="136" fillId="0" borderId="0" xfId="0" applyFont="1" applyFill="1" applyBorder="1"/>
    <xf numFmtId="0" fontId="137" fillId="0" borderId="0" xfId="0" applyFont="1" applyFill="1" applyBorder="1"/>
    <xf numFmtId="2" fontId="0" fillId="51" borderId="94" xfId="30" applyNumberFormat="1" applyFont="1" applyFill="1" applyBorder="1" applyAlignment="1">
      <alignment horizontal="center"/>
    </xf>
    <xf numFmtId="0" fontId="135" fillId="92" borderId="145" xfId="116" applyFont="1" applyFill="1" applyBorder="1" applyAlignment="1"/>
    <xf numFmtId="0" fontId="135" fillId="92" borderId="146" xfId="116" applyFont="1" applyFill="1" applyBorder="1" applyAlignment="1"/>
    <xf numFmtId="0" fontId="135" fillId="92" borderId="147" xfId="116" applyFont="1" applyFill="1" applyBorder="1" applyAlignment="1"/>
    <xf numFmtId="0" fontId="136" fillId="51" borderId="148" xfId="0" applyFont="1" applyFill="1" applyBorder="1"/>
    <xf numFmtId="0" fontId="94" fillId="51" borderId="96" xfId="0" applyFont="1" applyFill="1" applyBorder="1" applyAlignment="1">
      <alignment horizontal="center"/>
    </xf>
    <xf numFmtId="0" fontId="94" fillId="51" borderId="97" xfId="0" applyFont="1" applyFill="1" applyBorder="1" applyAlignment="1">
      <alignment horizontal="center"/>
    </xf>
    <xf numFmtId="0" fontId="94" fillId="51" borderId="151" xfId="0" applyFont="1" applyFill="1" applyBorder="1" applyAlignment="1">
      <alignment horizontal="center"/>
    </xf>
    <xf numFmtId="0" fontId="96" fillId="0" borderId="0" xfId="0" applyFont="1" applyAlignment="1" applyProtection="1">
      <alignment horizontal="center"/>
      <protection locked="0"/>
    </xf>
    <xf numFmtId="0" fontId="76" fillId="0" borderId="22" xfId="0" applyFont="1" applyBorder="1" applyAlignment="1" applyProtection="1">
      <alignment horizontal="center"/>
    </xf>
    <xf numFmtId="173" fontId="0" fillId="0" borderId="33" xfId="0" applyNumberFormat="1" applyFont="1" applyFill="1" applyBorder="1" applyProtection="1">
      <protection locked="0"/>
    </xf>
    <xf numFmtId="173" fontId="0" fillId="0" borderId="22" xfId="0" applyNumberFormat="1" applyFont="1" applyFill="1" applyBorder="1" applyProtection="1">
      <protection locked="0"/>
    </xf>
    <xf numFmtId="173" fontId="0" fillId="0" borderId="19" xfId="0" applyNumberFormat="1" applyFont="1" applyFill="1" applyBorder="1" applyProtection="1">
      <protection locked="0"/>
    </xf>
    <xf numFmtId="174" fontId="0" fillId="0" borderId="22" xfId="0" applyNumberFormat="1" applyFont="1" applyFill="1" applyBorder="1" applyProtection="1">
      <protection locked="0"/>
    </xf>
    <xf numFmtId="174" fontId="0" fillId="0" borderId="33" xfId="0" applyNumberFormat="1" applyFont="1" applyFill="1" applyBorder="1" applyProtection="1">
      <protection locked="0"/>
    </xf>
    <xf numFmtId="165" fontId="0" fillId="0" borderId="33" xfId="0" applyNumberFormat="1" applyFont="1" applyFill="1" applyBorder="1" applyProtection="1">
      <protection locked="0"/>
    </xf>
    <xf numFmtId="165" fontId="0" fillId="0" borderId="22" xfId="0" applyNumberFormat="1" applyFont="1" applyFill="1" applyBorder="1" applyProtection="1">
      <protection locked="0"/>
    </xf>
    <xf numFmtId="165" fontId="0" fillId="0" borderId="19" xfId="0" applyNumberFormat="1" applyFont="1" applyFill="1" applyBorder="1" applyProtection="1">
      <protection locked="0"/>
    </xf>
    <xf numFmtId="174" fontId="0" fillId="0" borderId="19" xfId="0" applyNumberFormat="1" applyFont="1" applyFill="1" applyBorder="1" applyProtection="1">
      <protection locked="0"/>
    </xf>
    <xf numFmtId="4" fontId="0" fillId="0" borderId="21" xfId="0" applyNumberFormat="1" applyFont="1" applyFill="1" applyBorder="1" applyProtection="1">
      <protection locked="0"/>
    </xf>
    <xf numFmtId="164" fontId="0" fillId="57" borderId="56" xfId="113" applyNumberFormat="1" applyFont="1" applyFill="1" applyBorder="1" applyAlignment="1" applyProtection="1">
      <alignment horizontal="center" vertical="top" wrapText="1"/>
    </xf>
    <xf numFmtId="0" fontId="0" fillId="0" borderId="18" xfId="335" applyFont="1" applyFill="1" applyBorder="1"/>
    <xf numFmtId="0" fontId="76" fillId="89" borderId="22" xfId="0" applyFont="1" applyFill="1" applyBorder="1" applyAlignment="1" applyProtection="1">
      <alignment horizontal="left" vertical="top" wrapText="1"/>
      <protection locked="0"/>
    </xf>
    <xf numFmtId="0" fontId="76" fillId="89" borderId="17" xfId="0" applyFont="1" applyFill="1" applyBorder="1" applyAlignment="1" applyProtection="1">
      <alignment vertical="top" wrapText="1"/>
      <protection locked="0"/>
    </xf>
    <xf numFmtId="167" fontId="0" fillId="34" borderId="56" xfId="0" applyNumberFormat="1" applyFont="1" applyFill="1" applyBorder="1" applyAlignment="1" applyProtection="1">
      <alignment vertical="top" wrapText="1"/>
    </xf>
    <xf numFmtId="0" fontId="27" fillId="0" borderId="99" xfId="335" applyFont="1" applyFill="1" applyBorder="1" applyAlignment="1">
      <alignment horizontal="center"/>
    </xf>
    <xf numFmtId="0" fontId="25" fillId="0" borderId="22" xfId="335" applyFont="1" applyFill="1" applyBorder="1"/>
    <xf numFmtId="164" fontId="25" fillId="51" borderId="56" xfId="113" applyNumberFormat="1" applyFont="1" applyFill="1" applyBorder="1" applyAlignment="1" applyProtection="1">
      <alignment horizontal="center" vertical="top" wrapText="1"/>
    </xf>
    <xf numFmtId="164" fontId="27" fillId="51" borderId="56" xfId="113" applyNumberFormat="1" applyFont="1" applyFill="1" applyBorder="1" applyAlignment="1" applyProtection="1">
      <alignment horizontal="center" vertical="top" wrapText="1"/>
    </xf>
    <xf numFmtId="165" fontId="25" fillId="0" borderId="20" xfId="79" applyNumberFormat="1" applyFont="1" applyFill="1" applyBorder="1" applyProtection="1"/>
    <xf numFmtId="0" fontId="27" fillId="64" borderId="164" xfId="0" applyFont="1" applyFill="1" applyBorder="1" applyAlignment="1">
      <alignment horizontal="center" vertical="top" wrapText="1"/>
    </xf>
    <xf numFmtId="3" fontId="76" fillId="0" borderId="0" xfId="0" applyNumberFormat="1" applyFont="1" applyBorder="1"/>
    <xf numFmtId="0" fontId="138" fillId="0" borderId="0" xfId="201" applyFont="1" applyFill="1" applyBorder="1" applyAlignment="1">
      <alignment horizontal="center" vertical="top" wrapText="1"/>
    </xf>
    <xf numFmtId="0" fontId="138" fillId="0" borderId="0" xfId="0" applyFont="1" applyBorder="1"/>
    <xf numFmtId="0" fontId="138" fillId="0" borderId="0" xfId="0" applyFont="1" applyFill="1" applyBorder="1"/>
    <xf numFmtId="0" fontId="138" fillId="0" borderId="0" xfId="0" applyFont="1" applyBorder="1" applyAlignment="1">
      <alignment horizontal="left" vertical="top" wrapText="1"/>
    </xf>
    <xf numFmtId="43" fontId="76" fillId="96" borderId="0" xfId="71" applyFont="1" applyFill="1" applyBorder="1"/>
    <xf numFmtId="170" fontId="76" fillId="0" borderId="0" xfId="0" applyNumberFormat="1" applyFont="1" applyBorder="1"/>
    <xf numFmtId="0" fontId="83" fillId="0" borderId="0" xfId="121" applyFont="1" applyFill="1" applyBorder="1"/>
    <xf numFmtId="42" fontId="138" fillId="0" borderId="0" xfId="0" applyNumberFormat="1" applyFont="1" applyBorder="1" applyAlignment="1">
      <alignment horizontal="left" vertical="top" wrapText="1"/>
    </xf>
    <xf numFmtId="0" fontId="138" fillId="0" borderId="85" xfId="0" applyFont="1" applyBorder="1"/>
    <xf numFmtId="0" fontId="138" fillId="0" borderId="71" xfId="0" applyFont="1" applyBorder="1"/>
    <xf numFmtId="42" fontId="138" fillId="0" borderId="71" xfId="0" applyNumberFormat="1" applyFont="1" applyBorder="1"/>
    <xf numFmtId="0" fontId="138" fillId="0" borderId="72" xfId="0" applyFont="1" applyBorder="1"/>
    <xf numFmtId="0" fontId="138" fillId="0" borderId="20" xfId="0" applyFont="1" applyBorder="1" applyAlignment="1">
      <alignment horizontal="left" vertical="top" wrapText="1"/>
    </xf>
    <xf numFmtId="0" fontId="138" fillId="0" borderId="17" xfId="0" applyFont="1" applyBorder="1" applyAlignment="1">
      <alignment horizontal="left" vertical="top" wrapText="1"/>
    </xf>
    <xf numFmtId="0" fontId="138" fillId="0" borderId="33" xfId="0" applyFont="1" applyBorder="1"/>
    <xf numFmtId="0" fontId="138" fillId="0" borderId="22" xfId="0" applyFont="1" applyBorder="1"/>
    <xf numFmtId="0" fontId="138" fillId="0" borderId="22" xfId="0" applyFont="1" applyFill="1" applyBorder="1"/>
    <xf numFmtId="39" fontId="75" fillId="0" borderId="0" xfId="41217" applyNumberFormat="1" applyFont="1"/>
    <xf numFmtId="43" fontId="75" fillId="0" borderId="0" xfId="71" applyFont="1"/>
    <xf numFmtId="165" fontId="0" fillId="97" borderId="0" xfId="0" applyNumberFormat="1" applyFont="1" applyFill="1" applyBorder="1" applyProtection="1"/>
    <xf numFmtId="165" fontId="0" fillId="97" borderId="22" xfId="0" applyNumberFormat="1" applyFont="1" applyFill="1" applyBorder="1" applyProtection="1"/>
    <xf numFmtId="0" fontId="0" fillId="51" borderId="59" xfId="0" applyFont="1" applyFill="1" applyBorder="1" applyAlignment="1" applyProtection="1">
      <alignment horizontal="left" vertical="center"/>
      <protection locked="0"/>
    </xf>
    <xf numFmtId="168" fontId="96" fillId="55" borderId="91" xfId="0" applyNumberFormat="1" applyFont="1" applyFill="1" applyBorder="1" applyAlignment="1" applyProtection="1">
      <alignment horizontal="center"/>
    </xf>
    <xf numFmtId="168" fontId="96" fillId="55" borderId="33" xfId="0" applyNumberFormat="1" applyFont="1" applyFill="1" applyBorder="1" applyAlignment="1" applyProtection="1">
      <alignment horizontal="center"/>
    </xf>
    <xf numFmtId="168" fontId="96" fillId="55" borderId="81" xfId="0" applyNumberFormat="1" applyFont="1" applyFill="1" applyBorder="1" applyAlignment="1" applyProtection="1">
      <alignment horizontal="center"/>
    </xf>
    <xf numFmtId="0" fontId="27" fillId="51" borderId="25" xfId="0" applyFont="1" applyFill="1" applyBorder="1" applyAlignment="1" applyProtection="1">
      <alignment horizontal="center" vertical="center" wrapText="1"/>
    </xf>
    <xf numFmtId="0" fontId="27" fillId="51" borderId="39" xfId="0" applyFont="1" applyFill="1" applyBorder="1" applyAlignment="1" applyProtection="1">
      <alignment horizontal="center" vertical="center"/>
    </xf>
    <xf numFmtId="1" fontId="138" fillId="0" borderId="22" xfId="0" applyNumberFormat="1" applyFont="1" applyFill="1" applyBorder="1"/>
    <xf numFmtId="42" fontId="138" fillId="0" borderId="22" xfId="0" applyNumberFormat="1" applyFont="1" applyFill="1" applyBorder="1"/>
    <xf numFmtId="0" fontId="138" fillId="0" borderId="19" xfId="0" applyFont="1" applyFill="1" applyBorder="1"/>
    <xf numFmtId="0" fontId="27" fillId="97" borderId="166" xfId="0" applyFont="1" applyFill="1" applyBorder="1" applyAlignment="1" applyProtection="1">
      <alignment horizontal="center" vertical="center" wrapText="1"/>
    </xf>
    <xf numFmtId="0" fontId="27" fillId="97" borderId="82" xfId="0" applyFont="1" applyFill="1" applyBorder="1" applyAlignment="1" applyProtection="1">
      <alignment horizontal="center" vertical="center" wrapText="1"/>
    </xf>
    <xf numFmtId="0" fontId="27" fillId="97" borderId="130" xfId="0" applyFont="1" applyFill="1" applyBorder="1" applyAlignment="1" applyProtection="1">
      <alignment horizontal="center" vertical="center" wrapText="1"/>
    </xf>
    <xf numFmtId="0" fontId="27" fillId="97" borderId="30" xfId="0" applyFont="1" applyFill="1" applyBorder="1" applyAlignment="1" applyProtection="1">
      <alignment horizontal="center" vertical="center"/>
    </xf>
    <xf numFmtId="0" fontId="27" fillId="97" borderId="31" xfId="0" applyFont="1" applyFill="1" applyBorder="1" applyAlignment="1" applyProtection="1">
      <alignment horizontal="center" vertical="center"/>
    </xf>
    <xf numFmtId="0" fontId="27" fillId="97" borderId="39" xfId="0" applyFont="1" applyFill="1" applyBorder="1" applyAlignment="1" applyProtection="1">
      <alignment horizontal="center" vertical="center"/>
    </xf>
    <xf numFmtId="0" fontId="27" fillId="97" borderId="66" xfId="0" applyFont="1" applyFill="1" applyBorder="1" applyAlignment="1" applyProtection="1">
      <alignment horizontal="center"/>
    </xf>
    <xf numFmtId="0" fontId="27" fillId="97" borderId="56" xfId="0" applyFont="1" applyFill="1" applyBorder="1" applyAlignment="1" applyProtection="1">
      <alignment horizontal="center"/>
    </xf>
    <xf numFmtId="0" fontId="27" fillId="97" borderId="67" xfId="0" applyFont="1" applyFill="1" applyBorder="1" applyAlignment="1" applyProtection="1">
      <alignment horizontal="center"/>
    </xf>
    <xf numFmtId="0" fontId="27" fillId="51" borderId="52" xfId="0" applyFont="1" applyFill="1" applyBorder="1" applyAlignment="1" applyProtection="1">
      <alignment horizontal="center" wrapText="1"/>
    </xf>
    <xf numFmtId="0" fontId="76" fillId="51" borderId="110" xfId="0" applyFont="1" applyFill="1" applyBorder="1" applyAlignment="1" applyProtection="1">
      <alignment horizontal="center"/>
      <protection locked="0"/>
    </xf>
    <xf numFmtId="0" fontId="96" fillId="51" borderId="110" xfId="0" applyFont="1" applyFill="1" applyBorder="1"/>
    <xf numFmtId="0" fontId="0" fillId="51" borderId="110" xfId="0" applyFont="1" applyFill="1" applyBorder="1"/>
    <xf numFmtId="0" fontId="0" fillId="51" borderId="103" xfId="0" applyFont="1" applyFill="1" applyBorder="1"/>
    <xf numFmtId="0" fontId="52" fillId="97" borderId="0" xfId="0" applyFont="1" applyFill="1" applyBorder="1" applyAlignment="1">
      <alignment vertical="top" wrapText="1"/>
    </xf>
    <xf numFmtId="0" fontId="52" fillId="97" borderId="165" xfId="0" applyFont="1" applyFill="1" applyBorder="1" applyAlignment="1">
      <alignment vertical="top" wrapText="1"/>
    </xf>
    <xf numFmtId="0" fontId="0" fillId="97" borderId="0" xfId="0" applyFont="1" applyFill="1" applyBorder="1" applyProtection="1">
      <protection locked="0"/>
    </xf>
    <xf numFmtId="0" fontId="0" fillId="0" borderId="0" xfId="335" applyFont="1" applyFill="1" applyBorder="1" applyAlignment="1">
      <alignment vertical="center"/>
    </xf>
    <xf numFmtId="1" fontId="25" fillId="40" borderId="0" xfId="338" applyNumberFormat="1" applyFont="1" applyFill="1" applyBorder="1" applyAlignment="1">
      <alignment horizontal="center" vertical="center"/>
    </xf>
    <xf numFmtId="0" fontId="25" fillId="0" borderId="0" xfId="335" applyFont="1" applyFill="1" applyAlignment="1">
      <alignment vertical="center"/>
    </xf>
    <xf numFmtId="0" fontId="25" fillId="0" borderId="167" xfId="335" applyFont="1" applyFill="1" applyBorder="1" applyAlignment="1">
      <alignment vertical="center"/>
    </xf>
    <xf numFmtId="0" fontId="0" fillId="0" borderId="167" xfId="335" applyFont="1" applyFill="1" applyBorder="1" applyAlignment="1">
      <alignment vertical="center"/>
    </xf>
    <xf numFmtId="10" fontId="25" fillId="40" borderId="167" xfId="41222" applyNumberFormat="1" applyFont="1" applyFill="1" applyBorder="1" applyAlignment="1">
      <alignment horizontal="center" vertical="center"/>
    </xf>
    <xf numFmtId="165" fontId="25" fillId="40" borderId="167" xfId="338" applyNumberFormat="1" applyFont="1" applyFill="1" applyBorder="1" applyAlignment="1">
      <alignment horizontal="center" vertical="center"/>
    </xf>
    <xf numFmtId="1" fontId="25" fillId="40" borderId="167" xfId="338" applyNumberFormat="1" applyFont="1" applyFill="1" applyBorder="1" applyAlignment="1">
      <alignment horizontal="center" vertical="center"/>
    </xf>
    <xf numFmtId="174" fontId="25" fillId="40" borderId="167" xfId="338" applyNumberFormat="1" applyFont="1" applyFill="1" applyBorder="1" applyAlignment="1">
      <alignment horizontal="center" vertical="center"/>
    </xf>
    <xf numFmtId="3" fontId="25" fillId="40" borderId="0" xfId="41222" applyNumberFormat="1" applyFont="1" applyFill="1" applyBorder="1" applyAlignment="1">
      <alignment horizontal="center"/>
    </xf>
    <xf numFmtId="4" fontId="25" fillId="40" borderId="0" xfId="41222" applyNumberFormat="1" applyFont="1" applyFill="1" applyBorder="1" applyAlignment="1">
      <alignment horizontal="center"/>
    </xf>
    <xf numFmtId="193" fontId="25" fillId="40" borderId="0" xfId="41222" applyNumberFormat="1" applyFont="1" applyFill="1" applyBorder="1" applyAlignment="1">
      <alignment horizontal="center"/>
    </xf>
    <xf numFmtId="166" fontId="25" fillId="40" borderId="0" xfId="41222" applyNumberFormat="1" applyFont="1" applyFill="1" applyBorder="1" applyAlignment="1">
      <alignment horizontal="center"/>
    </xf>
    <xf numFmtId="42" fontId="94" fillId="0" borderId="0" xfId="201" applyNumberFormat="1" applyFont="1" applyFill="1" applyBorder="1" applyAlignment="1">
      <alignment horizontal="center" vertical="top" wrapText="1"/>
    </xf>
    <xf numFmtId="0" fontId="94" fillId="0" borderId="0" xfId="201" applyFont="1" applyFill="1" applyBorder="1" applyAlignment="1">
      <alignment horizontal="center" vertical="top" wrapText="1"/>
    </xf>
    <xf numFmtId="0" fontId="27" fillId="97" borderId="30" xfId="0" applyFont="1" applyFill="1" applyBorder="1" applyAlignment="1" applyProtection="1">
      <alignment horizontal="center" vertical="center"/>
    </xf>
    <xf numFmtId="43" fontId="0" fillId="0" borderId="0" xfId="71" applyFont="1" applyFill="1" applyBorder="1" applyProtection="1">
      <protection locked="0"/>
    </xf>
    <xf numFmtId="0" fontId="76" fillId="51" borderId="59" xfId="0" applyFont="1" applyFill="1" applyBorder="1" applyAlignment="1" applyProtection="1">
      <alignment horizontal="left"/>
      <protection locked="0"/>
    </xf>
    <xf numFmtId="165" fontId="0" fillId="97" borderId="0" xfId="0" applyNumberFormat="1" applyFont="1" applyFill="1" applyBorder="1" applyProtection="1">
      <protection locked="0"/>
    </xf>
    <xf numFmtId="173" fontId="0" fillId="97" borderId="17" xfId="0" applyNumberFormat="1" applyFont="1" applyFill="1" applyBorder="1" applyProtection="1">
      <protection locked="0"/>
    </xf>
    <xf numFmtId="165" fontId="0" fillId="97" borderId="22" xfId="0" applyNumberFormat="1" applyFont="1" applyFill="1" applyBorder="1" applyProtection="1">
      <protection locked="0"/>
    </xf>
    <xf numFmtId="173" fontId="0" fillId="97" borderId="19" xfId="0" applyNumberFormat="1" applyFont="1" applyFill="1" applyBorder="1" applyProtection="1">
      <protection locked="0"/>
    </xf>
    <xf numFmtId="0" fontId="27" fillId="97" borderId="69" xfId="0" applyFont="1" applyFill="1" applyBorder="1" applyAlignment="1" applyProtection="1">
      <alignment horizontal="center"/>
    </xf>
    <xf numFmtId="194" fontId="0" fillId="0" borderId="0" xfId="71" applyNumberFormat="1" applyFont="1" applyFill="1" applyBorder="1" applyProtection="1">
      <protection locked="0"/>
    </xf>
    <xf numFmtId="195" fontId="0" fillId="0" borderId="0" xfId="71" applyNumberFormat="1" applyFont="1" applyFill="1" applyBorder="1" applyProtection="1">
      <protection locked="0"/>
    </xf>
    <xf numFmtId="44" fontId="27" fillId="39" borderId="56" xfId="79" applyFont="1" applyFill="1" applyBorder="1" applyAlignment="1" applyProtection="1">
      <alignment horizontal="center" vertical="center" wrapText="1"/>
      <protection locked="0"/>
    </xf>
    <xf numFmtId="0" fontId="71" fillId="0" borderId="0" xfId="41225" applyFont="1"/>
    <xf numFmtId="0" fontId="0" fillId="0" borderId="0" xfId="0" applyFont="1" applyAlignment="1" applyProtection="1">
      <alignment horizontal="center" vertical="center"/>
      <protection locked="0"/>
    </xf>
    <xf numFmtId="192" fontId="71" fillId="0" borderId="0" xfId="41216" applyNumberFormat="1" applyFont="1" applyFill="1" applyBorder="1"/>
    <xf numFmtId="0" fontId="72" fillId="0" borderId="111" xfId="41216" applyFont="1" applyBorder="1" applyAlignment="1">
      <alignment horizontal="right"/>
    </xf>
    <xf numFmtId="44" fontId="76" fillId="0" borderId="0" xfId="305" applyNumberFormat="1" applyFont="1" applyFill="1" applyBorder="1"/>
    <xf numFmtId="192" fontId="75" fillId="0" borderId="0" xfId="41217" applyNumberFormat="1" applyFont="1"/>
    <xf numFmtId="0" fontId="0" fillId="0" borderId="18" xfId="42638" applyFont="1" applyFill="1" applyBorder="1"/>
    <xf numFmtId="166" fontId="76" fillId="0" borderId="0" xfId="147" applyNumberFormat="1" applyFont="1" applyFill="1" applyBorder="1"/>
    <xf numFmtId="188" fontId="71" fillId="0" borderId="0" xfId="41216" applyNumberFormat="1" applyFont="1" applyFill="1"/>
    <xf numFmtId="172" fontId="75" fillId="0" borderId="0" xfId="71" applyNumberFormat="1" applyFont="1" applyFill="1"/>
    <xf numFmtId="165" fontId="76" fillId="0" borderId="0" xfId="305" applyNumberFormat="1" applyFont="1" applyFill="1" applyBorder="1"/>
    <xf numFmtId="165" fontId="141" fillId="0" borderId="0" xfId="305" applyNumberFormat="1" applyFont="1" applyFill="1" applyBorder="1"/>
    <xf numFmtId="10" fontId="76" fillId="0" borderId="0" xfId="147" applyNumberFormat="1" applyFont="1" applyFill="1" applyBorder="1" applyAlignment="1">
      <alignment horizontal="center"/>
    </xf>
    <xf numFmtId="44" fontId="76" fillId="0" borderId="0" xfId="79" applyFont="1" applyFill="1" applyBorder="1"/>
    <xf numFmtId="44" fontId="58" fillId="0" borderId="0" xfId="79" applyFont="1" applyFill="1" applyBorder="1"/>
    <xf numFmtId="0" fontId="71" fillId="0" borderId="24" xfId="0" applyFont="1" applyBorder="1"/>
    <xf numFmtId="171" fontId="142" fillId="0" borderId="0" xfId="71" applyNumberFormat="1" applyFont="1" applyBorder="1"/>
    <xf numFmtId="171" fontId="71" fillId="0" borderId="17" xfId="71" applyNumberFormat="1" applyFont="1" applyBorder="1"/>
    <xf numFmtId="170" fontId="142" fillId="38" borderId="0" xfId="79" applyNumberFormat="1" applyFont="1" applyFill="1" applyBorder="1"/>
    <xf numFmtId="196" fontId="71" fillId="38" borderId="17" xfId="147" applyNumberFormat="1" applyFont="1" applyFill="1" applyBorder="1"/>
    <xf numFmtId="170" fontId="71" fillId="38" borderId="0" xfId="79" applyNumberFormat="1" applyFont="1" applyFill="1" applyBorder="1"/>
    <xf numFmtId="170" fontId="142" fillId="0" borderId="0" xfId="79" applyNumberFormat="1" applyFont="1" applyBorder="1"/>
    <xf numFmtId="196" fontId="71" fillId="0" borderId="33" xfId="147" applyNumberFormat="1" applyFont="1" applyBorder="1"/>
    <xf numFmtId="170" fontId="71" fillId="0" borderId="24" xfId="79" applyNumberFormat="1" applyFont="1" applyBorder="1"/>
    <xf numFmtId="170" fontId="71" fillId="0" borderId="0" xfId="79" applyNumberFormat="1" applyFont="1" applyFill="1" applyBorder="1"/>
    <xf numFmtId="0" fontId="71" fillId="0" borderId="80" xfId="0" applyFont="1" applyBorder="1"/>
    <xf numFmtId="0" fontId="71" fillId="0" borderId="81" xfId="0" applyFont="1" applyBorder="1"/>
    <xf numFmtId="196" fontId="75" fillId="0" borderId="165" xfId="42639" applyNumberFormat="1" applyFont="1" applyBorder="1"/>
    <xf numFmtId="170" fontId="75" fillId="0" borderId="43" xfId="42639" applyNumberFormat="1" applyFont="1" applyBorder="1"/>
    <xf numFmtId="170" fontId="75" fillId="0" borderId="47" xfId="79" applyNumberFormat="1" applyFont="1" applyBorder="1"/>
    <xf numFmtId="170" fontId="75" fillId="0" borderId="24" xfId="79" applyNumberFormat="1" applyFont="1" applyBorder="1"/>
    <xf numFmtId="2" fontId="143" fillId="0" borderId="111" xfId="42639" applyNumberFormat="1" applyFont="1" applyBorder="1" applyAlignment="1">
      <alignment horizontal="center"/>
    </xf>
    <xf numFmtId="0" fontId="75" fillId="0" borderId="0" xfId="42639" applyFont="1"/>
    <xf numFmtId="0" fontId="143" fillId="0" borderId="47" xfId="0" applyFont="1" applyBorder="1" applyAlignment="1">
      <alignment wrapText="1"/>
    </xf>
    <xf numFmtId="0" fontId="143" fillId="0" borderId="33" xfId="0" applyFont="1" applyBorder="1" applyAlignment="1">
      <alignment wrapText="1"/>
    </xf>
    <xf numFmtId="0" fontId="143" fillId="0" borderId="22" xfId="0" applyFont="1" applyBorder="1" applyAlignment="1">
      <alignment wrapText="1"/>
    </xf>
    <xf numFmtId="0" fontId="143" fillId="0" borderId="19" xfId="0" applyFont="1" applyBorder="1" applyAlignment="1">
      <alignment horizontal="center" wrapText="1"/>
    </xf>
    <xf numFmtId="0" fontId="143" fillId="0" borderId="22" xfId="0" applyFont="1" applyBorder="1" applyAlignment="1">
      <alignment horizontal="center" wrapText="1"/>
    </xf>
    <xf numFmtId="0" fontId="143" fillId="0" borderId="33" xfId="0" applyFont="1" applyBorder="1" applyAlignment="1">
      <alignment horizontal="center" wrapText="1"/>
    </xf>
    <xf numFmtId="0" fontId="143" fillId="0" borderId="81" xfId="0" applyFont="1" applyBorder="1" applyAlignment="1">
      <alignment wrapText="1"/>
    </xf>
    <xf numFmtId="10" fontId="75" fillId="0" borderId="0" xfId="42639" applyNumberFormat="1" applyFont="1"/>
    <xf numFmtId="0" fontId="75" fillId="0" borderId="111" xfId="42639" applyFont="1" applyBorder="1"/>
    <xf numFmtId="0" fontId="75" fillId="0" borderId="112" xfId="42639" applyFont="1" applyBorder="1"/>
    <xf numFmtId="0" fontId="75" fillId="0" borderId="27" xfId="42639" applyFont="1" applyBorder="1"/>
    <xf numFmtId="0" fontId="143" fillId="0" borderId="51" xfId="42639" applyFont="1" applyBorder="1" applyAlignment="1"/>
    <xf numFmtId="0" fontId="75" fillId="0" borderId="28" xfId="42639" applyFont="1" applyBorder="1"/>
    <xf numFmtId="0" fontId="75" fillId="0" borderId="29" xfId="42639" applyFont="1" applyBorder="1"/>
    <xf numFmtId="0" fontId="143" fillId="0" borderId="24" xfId="42639" applyFont="1" applyBorder="1" applyAlignment="1">
      <alignment horizontal="center"/>
    </xf>
    <xf numFmtId="0" fontId="143" fillId="0" borderId="47" xfId="42639" applyFont="1" applyBorder="1" applyAlignment="1">
      <alignment horizontal="center"/>
    </xf>
    <xf numFmtId="0" fontId="143" fillId="0" borderId="22" xfId="42639" applyFont="1" applyBorder="1" applyAlignment="1">
      <alignment horizontal="center"/>
    </xf>
    <xf numFmtId="0" fontId="75" fillId="0" borderId="68" xfId="42639" applyFont="1" applyBorder="1"/>
    <xf numFmtId="170" fontId="75" fillId="0" borderId="22" xfId="79" applyNumberFormat="1" applyFont="1" applyBorder="1"/>
    <xf numFmtId="0" fontId="71" fillId="0" borderId="67" xfId="0" applyFont="1" applyBorder="1"/>
    <xf numFmtId="0" fontId="75" fillId="0" borderId="170" xfId="42639" applyFont="1" applyBorder="1"/>
    <xf numFmtId="0" fontId="75" fillId="0" borderId="169" xfId="42639" applyFont="1" applyBorder="1"/>
    <xf numFmtId="0" fontId="75" fillId="0" borderId="24" xfId="42639" applyFont="1" applyBorder="1"/>
    <xf numFmtId="0" fontId="75" fillId="0" borderId="20" xfId="42639" applyFont="1" applyBorder="1"/>
    <xf numFmtId="0" fontId="75" fillId="0" borderId="0" xfId="42639" applyFont="1" applyBorder="1"/>
    <xf numFmtId="0" fontId="75" fillId="0" borderId="26" xfId="42639" applyFont="1" applyBorder="1"/>
    <xf numFmtId="170" fontId="75" fillId="0" borderId="0" xfId="79" applyNumberFormat="1" applyFont="1" applyBorder="1"/>
    <xf numFmtId="0" fontId="75" fillId="0" borderId="47" xfId="42639" applyFont="1" applyBorder="1"/>
    <xf numFmtId="0" fontId="143" fillId="0" borderId="111" xfId="42639" applyFont="1" applyBorder="1"/>
    <xf numFmtId="2" fontId="143" fillId="0" borderId="165" xfId="42639" applyNumberFormat="1" applyFont="1" applyBorder="1" applyAlignment="1">
      <alignment horizontal="center"/>
    </xf>
    <xf numFmtId="0" fontId="144" fillId="0" borderId="0" xfId="42639" applyFont="1"/>
    <xf numFmtId="0" fontId="145" fillId="0" borderId="0" xfId="42639" applyFont="1"/>
    <xf numFmtId="44" fontId="82" fillId="0" borderId="0" xfId="79" applyFont="1" applyFill="1" applyBorder="1"/>
    <xf numFmtId="170" fontId="82" fillId="0" borderId="0" xfId="79" applyNumberFormat="1" applyFont="1" applyFill="1" applyBorder="1"/>
    <xf numFmtId="170" fontId="82" fillId="0" borderId="0" xfId="305" applyNumberFormat="1" applyFont="1" applyFill="1" applyBorder="1"/>
    <xf numFmtId="196" fontId="76" fillId="0" borderId="0" xfId="147" applyNumberFormat="1" applyFont="1" applyFill="1" applyBorder="1"/>
    <xf numFmtId="197" fontId="74" fillId="0" borderId="0" xfId="79" applyNumberFormat="1" applyFont="1" applyFill="1" applyBorder="1"/>
    <xf numFmtId="167" fontId="25" fillId="0" borderId="0" xfId="0" applyNumberFormat="1" applyFont="1" applyFill="1" applyAlignment="1" applyProtection="1">
      <alignment horizontal="right"/>
      <protection locked="0"/>
    </xf>
    <xf numFmtId="167" fontId="25" fillId="0" borderId="0" xfId="0" applyNumberFormat="1" applyFont="1" applyAlignment="1" applyProtection="1">
      <alignment horizontal="right" vertical="center"/>
      <protection locked="0"/>
    </xf>
    <xf numFmtId="175" fontId="25" fillId="0" borderId="0" xfId="79" applyNumberFormat="1" applyFont="1" applyFill="1" applyBorder="1" applyAlignment="1" applyProtection="1">
      <protection locked="0"/>
    </xf>
    <xf numFmtId="175" fontId="25" fillId="0" borderId="0" xfId="0" applyNumberFormat="1" applyFont="1" applyFill="1" applyAlignment="1" applyProtection="1">
      <protection locked="0"/>
    </xf>
    <xf numFmtId="198" fontId="27" fillId="0" borderId="0" xfId="0" applyNumberFormat="1" applyFont="1" applyFill="1" applyAlignment="1" applyProtection="1">
      <protection locked="0"/>
    </xf>
    <xf numFmtId="167" fontId="27" fillId="0" borderId="0" xfId="0" applyNumberFormat="1" applyFont="1" applyAlignment="1" applyProtection="1">
      <alignment horizontal="right" vertical="center"/>
      <protection locked="0"/>
    </xf>
    <xf numFmtId="174" fontId="25" fillId="0" borderId="0" xfId="0" applyNumberFormat="1" applyFont="1" applyFill="1" applyBorder="1" applyAlignment="1" applyProtection="1">
      <alignment horizontal="center" vertical="center"/>
      <protection locked="0"/>
    </xf>
    <xf numFmtId="43" fontId="0" fillId="0" borderId="0" xfId="0" applyNumberFormat="1" applyFill="1"/>
    <xf numFmtId="167" fontId="25" fillId="0" borderId="0" xfId="0" applyNumberFormat="1" applyFont="1" applyFill="1" applyBorder="1" applyAlignment="1" applyProtection="1">
      <alignment horizontal="center" vertical="center"/>
      <protection locked="0"/>
    </xf>
    <xf numFmtId="170" fontId="72" fillId="0" borderId="165" xfId="79" applyNumberFormat="1" applyFont="1" applyFill="1" applyBorder="1"/>
    <xf numFmtId="170" fontId="72" fillId="0" borderId="112" xfId="79" applyNumberFormat="1" applyFont="1" applyFill="1" applyBorder="1"/>
    <xf numFmtId="170" fontId="89" fillId="0" borderId="165" xfId="79" applyNumberFormat="1" applyFont="1" applyFill="1" applyBorder="1"/>
    <xf numFmtId="170" fontId="72" fillId="0" borderId="26" xfId="79" applyNumberFormat="1" applyFont="1" applyBorder="1"/>
    <xf numFmtId="0" fontId="143" fillId="0" borderId="56" xfId="0" applyFont="1" applyBorder="1" applyAlignment="1">
      <alignment horizontal="center" wrapText="1"/>
    </xf>
    <xf numFmtId="170" fontId="71" fillId="0" borderId="18" xfId="79" applyNumberFormat="1" applyFont="1" applyBorder="1"/>
    <xf numFmtId="170" fontId="71" fillId="38" borderId="18" xfId="79" applyNumberFormat="1" applyFont="1" applyFill="1" applyBorder="1"/>
    <xf numFmtId="170" fontId="71" fillId="0" borderId="21" xfId="79" applyNumberFormat="1" applyFont="1" applyBorder="1"/>
    <xf numFmtId="170" fontId="75" fillId="0" borderId="101" xfId="42639" applyNumberFormat="1" applyFont="1" applyBorder="1"/>
    <xf numFmtId="170" fontId="75" fillId="0" borderId="0" xfId="42639" applyNumberFormat="1" applyFont="1"/>
    <xf numFmtId="0" fontId="146" fillId="0" borderId="22" xfId="0" applyFont="1" applyBorder="1" applyAlignment="1">
      <alignment horizontal="center" wrapText="1"/>
    </xf>
    <xf numFmtId="170" fontId="142" fillId="0" borderId="71" xfId="79" applyNumberFormat="1" applyFont="1" applyBorder="1"/>
    <xf numFmtId="170" fontId="147" fillId="0" borderId="44" xfId="42639" applyNumberFormat="1" applyFont="1" applyBorder="1"/>
    <xf numFmtId="0" fontId="71" fillId="0" borderId="24" xfId="41216" applyFont="1" applyFill="1" applyBorder="1"/>
    <xf numFmtId="39" fontId="140" fillId="0" borderId="0" xfId="41216" applyNumberFormat="1" applyFont="1" applyFill="1" applyBorder="1" applyAlignment="1">
      <alignment horizontal="center"/>
    </xf>
    <xf numFmtId="192" fontId="140" fillId="0" borderId="0" xfId="79" applyNumberFormat="1" applyFont="1" applyFill="1" applyBorder="1"/>
    <xf numFmtId="192" fontId="140" fillId="0" borderId="0" xfId="41216" applyNumberFormat="1" applyFont="1" applyFill="1" applyBorder="1"/>
    <xf numFmtId="192" fontId="140" fillId="0" borderId="0" xfId="41216" applyNumberFormat="1" applyFont="1" applyFill="1" applyBorder="1" applyAlignment="1"/>
    <xf numFmtId="192" fontId="140" fillId="0" borderId="0" xfId="71" applyNumberFormat="1" applyFont="1" applyFill="1" applyBorder="1" applyAlignment="1"/>
    <xf numFmtId="192" fontId="140" fillId="0" borderId="0" xfId="41219" applyNumberFormat="1" applyFont="1" applyFill="1" applyBorder="1" applyAlignment="1"/>
    <xf numFmtId="192" fontId="140" fillId="0" borderId="26" xfId="41216" applyNumberFormat="1" applyFont="1" applyFill="1" applyBorder="1"/>
    <xf numFmtId="39" fontId="89" fillId="0" borderId="165" xfId="41216" applyNumberFormat="1" applyFont="1" applyFill="1" applyBorder="1" applyAlignment="1">
      <alignment horizontal="center"/>
    </xf>
    <xf numFmtId="192" fontId="89" fillId="0" borderId="165" xfId="79" applyNumberFormat="1" applyFont="1" applyFill="1" applyBorder="1"/>
    <xf numFmtId="192" fontId="89" fillId="0" borderId="165" xfId="41219" applyNumberFormat="1" applyFont="1" applyFill="1" applyBorder="1" applyAlignment="1"/>
    <xf numFmtId="192" fontId="89" fillId="0" borderId="165" xfId="71" applyNumberFormat="1" applyFont="1" applyFill="1" applyBorder="1" applyAlignment="1"/>
    <xf numFmtId="192" fontId="89" fillId="0" borderId="165" xfId="41219" applyNumberFormat="1" applyFont="1" applyFill="1" applyBorder="1"/>
    <xf numFmtId="192" fontId="89" fillId="0" borderId="112" xfId="41219" applyNumberFormat="1" applyFont="1" applyFill="1" applyBorder="1"/>
    <xf numFmtId="10" fontId="74" fillId="0" borderId="0" xfId="147" applyNumberFormat="1" applyFont="1" applyFill="1"/>
    <xf numFmtId="170" fontId="74" fillId="0" borderId="172" xfId="79" applyNumberFormat="1" applyFont="1" applyBorder="1"/>
    <xf numFmtId="170" fontId="89" fillId="0" borderId="172" xfId="79" applyNumberFormat="1" applyFont="1" applyFill="1" applyBorder="1"/>
    <xf numFmtId="170" fontId="89" fillId="0" borderId="17" xfId="79" applyNumberFormat="1" applyFont="1" applyFill="1" applyBorder="1"/>
    <xf numFmtId="170" fontId="74" fillId="0" borderId="172" xfId="79" applyNumberFormat="1" applyFont="1" applyFill="1" applyBorder="1"/>
    <xf numFmtId="170" fontId="74" fillId="0" borderId="17" xfId="79" applyNumberFormat="1" applyFont="1" applyFill="1" applyBorder="1"/>
    <xf numFmtId="0" fontId="74" fillId="0" borderId="172" xfId="41216" applyFont="1" applyBorder="1"/>
    <xf numFmtId="0" fontId="74" fillId="0" borderId="17" xfId="41216" applyFont="1" applyBorder="1"/>
    <xf numFmtId="170" fontId="74" fillId="0" borderId="17" xfId="79" applyNumberFormat="1" applyFont="1" applyBorder="1"/>
    <xf numFmtId="0" fontId="71" fillId="0" borderId="172" xfId="41216" applyFont="1" applyBorder="1"/>
    <xf numFmtId="170" fontId="71" fillId="0" borderId="172" xfId="79" applyNumberFormat="1" applyFont="1" applyBorder="1"/>
    <xf numFmtId="170" fontId="72" fillId="0" borderId="17" xfId="79" applyNumberFormat="1" applyFont="1" applyBorder="1"/>
    <xf numFmtId="170" fontId="72" fillId="0" borderId="172" xfId="79" applyNumberFormat="1" applyFont="1" applyFill="1" applyBorder="1"/>
    <xf numFmtId="170" fontId="72" fillId="0" borderId="17" xfId="79" applyNumberFormat="1" applyFont="1" applyFill="1" applyBorder="1"/>
    <xf numFmtId="0" fontId="74" fillId="0" borderId="174" xfId="41216" applyFont="1" applyBorder="1"/>
    <xf numFmtId="170" fontId="74" fillId="0" borderId="174" xfId="79" applyNumberFormat="1" applyFont="1" applyBorder="1"/>
    <xf numFmtId="170" fontId="89" fillId="0" borderId="174" xfId="79" applyNumberFormat="1" applyFont="1" applyFill="1" applyBorder="1"/>
    <xf numFmtId="170" fontId="74" fillId="0" borderId="174" xfId="79" applyNumberFormat="1" applyFont="1" applyFill="1" applyBorder="1"/>
    <xf numFmtId="0" fontId="72" fillId="0" borderId="17" xfId="41216" applyFont="1" applyBorder="1"/>
    <xf numFmtId="0" fontId="89" fillId="0" borderId="71" xfId="41216" applyFont="1" applyBorder="1" applyAlignment="1">
      <alignment horizontal="center"/>
    </xf>
    <xf numFmtId="0" fontId="7" fillId="0" borderId="26" xfId="41217" applyFont="1" applyBorder="1"/>
    <xf numFmtId="170" fontId="72" fillId="0" borderId="49" xfId="79" applyNumberFormat="1" applyFont="1" applyBorder="1"/>
    <xf numFmtId="170" fontId="72" fillId="0" borderId="49" xfId="79" applyNumberFormat="1" applyFont="1" applyFill="1" applyBorder="1"/>
    <xf numFmtId="170" fontId="72" fillId="0" borderId="89" xfId="79" applyNumberFormat="1" applyFont="1" applyFill="1" applyBorder="1"/>
    <xf numFmtId="170" fontId="89" fillId="0" borderId="90" xfId="79" applyNumberFormat="1" applyFont="1" applyFill="1" applyBorder="1"/>
    <xf numFmtId="170" fontId="89" fillId="0" borderId="173" xfId="79" applyNumberFormat="1" applyFont="1" applyFill="1" applyBorder="1"/>
    <xf numFmtId="170" fontId="72" fillId="0" borderId="95" xfId="79" applyNumberFormat="1" applyFont="1" applyFill="1" applyBorder="1"/>
    <xf numFmtId="170" fontId="89" fillId="0" borderId="95" xfId="79" applyNumberFormat="1" applyFont="1" applyFill="1" applyBorder="1"/>
    <xf numFmtId="170" fontId="72" fillId="0" borderId="90" xfId="79" applyNumberFormat="1" applyFont="1" applyFill="1" applyBorder="1"/>
    <xf numFmtId="0" fontId="83" fillId="0" borderId="172" xfId="121" applyFont="1" applyFill="1" applyBorder="1" applyAlignment="1">
      <alignment horizontal="left"/>
    </xf>
    <xf numFmtId="0" fontId="94" fillId="0" borderId="22" xfId="41215" applyFont="1" applyFill="1" applyBorder="1" applyAlignment="1">
      <alignment horizontal="center" vertical="center" wrapText="1"/>
    </xf>
    <xf numFmtId="0" fontId="148" fillId="0" borderId="0" xfId="42639" applyFont="1"/>
    <xf numFmtId="196" fontId="71" fillId="0" borderId="17" xfId="147" applyNumberFormat="1" applyFont="1" applyBorder="1" applyAlignment="1">
      <alignment horizontal="right"/>
    </xf>
    <xf numFmtId="9" fontId="71" fillId="0" borderId="0" xfId="147" applyFont="1" applyBorder="1" applyAlignment="1">
      <alignment horizontal="right"/>
    </xf>
    <xf numFmtId="9" fontId="71" fillId="0" borderId="18" xfId="147" applyFont="1" applyBorder="1" applyAlignment="1">
      <alignment horizontal="right"/>
    </xf>
    <xf numFmtId="196" fontId="71" fillId="0" borderId="19" xfId="147" applyNumberFormat="1" applyFont="1" applyBorder="1" applyAlignment="1">
      <alignment horizontal="right"/>
    </xf>
    <xf numFmtId="196" fontId="75" fillId="0" borderId="165" xfId="42639" applyNumberFormat="1" applyFont="1" applyBorder="1" applyAlignment="1">
      <alignment horizontal="right"/>
    </xf>
    <xf numFmtId="1" fontId="25" fillId="0" borderId="0" xfId="0" applyNumberFormat="1" applyFont="1" applyFill="1" applyProtection="1">
      <protection locked="0"/>
    </xf>
    <xf numFmtId="165" fontId="0" fillId="0" borderId="0" xfId="0" applyNumberFormat="1" applyFont="1" applyFill="1" applyProtection="1">
      <protection locked="0"/>
    </xf>
    <xf numFmtId="2" fontId="25" fillId="0" borderId="0" xfId="0" applyNumberFormat="1" applyFont="1" applyFill="1" applyBorder="1" applyAlignment="1" applyProtection="1">
      <alignment horizontal="center" vertical="center"/>
      <protection locked="0"/>
    </xf>
    <xf numFmtId="169" fontId="25" fillId="0" borderId="0" xfId="79" applyNumberFormat="1" applyFont="1" applyBorder="1" applyAlignment="1" applyProtection="1">
      <alignment horizontal="center" vertical="center"/>
      <protection locked="0"/>
    </xf>
    <xf numFmtId="43" fontId="80" fillId="0" borderId="0" xfId="0" applyNumberFormat="1" applyFont="1" applyFill="1" applyBorder="1" applyAlignment="1" applyProtection="1">
      <alignment horizontal="center" vertical="center"/>
      <protection locked="0"/>
    </xf>
    <xf numFmtId="0" fontId="27" fillId="0" borderId="0" xfId="0" applyNumberFormat="1" applyFont="1" applyFill="1" applyAlignment="1" applyProtection="1">
      <alignment horizontal="center"/>
      <protection locked="0"/>
    </xf>
    <xf numFmtId="1" fontId="27" fillId="0" borderId="0" xfId="0" applyNumberFormat="1" applyFont="1" applyFill="1" applyAlignment="1" applyProtection="1">
      <alignment horizontal="center"/>
      <protection locked="0"/>
    </xf>
    <xf numFmtId="200" fontId="27" fillId="0" borderId="0" xfId="79" applyNumberFormat="1" applyFont="1" applyFill="1" applyBorder="1" applyAlignment="1" applyProtection="1">
      <protection locked="0"/>
    </xf>
    <xf numFmtId="170" fontId="74" fillId="0" borderId="172" xfId="79" applyNumberFormat="1" applyFont="1" applyBorder="1" applyAlignment="1">
      <alignment horizontal="left"/>
    </xf>
    <xf numFmtId="0" fontId="74" fillId="0" borderId="49" xfId="41216" applyFont="1" applyBorder="1"/>
    <xf numFmtId="171" fontId="71" fillId="0" borderId="172" xfId="71" applyNumberFormat="1" applyFont="1" applyBorder="1"/>
    <xf numFmtId="196" fontId="71" fillId="0" borderId="172" xfId="147" applyNumberFormat="1" applyFont="1" applyBorder="1"/>
    <xf numFmtId="196" fontId="71" fillId="38" borderId="172" xfId="147" applyNumberFormat="1" applyFont="1" applyFill="1" applyBorder="1"/>
    <xf numFmtId="170" fontId="71" fillId="38" borderId="43" xfId="79" applyNumberFormat="1" applyFont="1" applyFill="1" applyBorder="1"/>
    <xf numFmtId="170" fontId="71" fillId="38" borderId="44" xfId="79" applyNumberFormat="1" applyFont="1" applyFill="1" applyBorder="1"/>
    <xf numFmtId="170" fontId="71" fillId="38" borderId="50" xfId="79" applyNumberFormat="1" applyFont="1" applyFill="1" applyBorder="1"/>
    <xf numFmtId="0" fontId="75" fillId="0" borderId="43" xfId="42639" applyFont="1" applyBorder="1"/>
    <xf numFmtId="0" fontId="75" fillId="0" borderId="44" xfId="42639" applyFont="1" applyBorder="1"/>
    <xf numFmtId="0" fontId="75" fillId="0" borderId="45" xfId="42639" applyFont="1" applyBorder="1"/>
    <xf numFmtId="170" fontId="76" fillId="0" borderId="22" xfId="79" applyNumberFormat="1" applyFont="1" applyFill="1" applyBorder="1" applyAlignment="1">
      <alignment horizontal="center"/>
    </xf>
    <xf numFmtId="170" fontId="76" fillId="0" borderId="22" xfId="305" applyNumberFormat="1" applyFont="1" applyFill="1" applyBorder="1"/>
    <xf numFmtId="170" fontId="82" fillId="0" borderId="22" xfId="305" applyNumberFormat="1" applyFont="1" applyFill="1" applyBorder="1"/>
    <xf numFmtId="0" fontId="82" fillId="0" borderId="18" xfId="41215" applyFont="1" applyFill="1" applyBorder="1" applyAlignment="1">
      <alignment horizontal="center" vertical="center" wrapText="1"/>
    </xf>
    <xf numFmtId="175" fontId="0" fillId="0" borderId="0" xfId="0" quotePrefix="1" applyNumberFormat="1" applyFont="1" applyFill="1" applyAlignment="1" applyProtection="1">
      <protection locked="0"/>
    </xf>
    <xf numFmtId="3" fontId="96" fillId="0" borderId="0" xfId="0" applyNumberFormat="1" applyFont="1" applyAlignment="1">
      <alignment horizontal="center"/>
    </xf>
    <xf numFmtId="0" fontId="27" fillId="0" borderId="71" xfId="0" applyFont="1" applyBorder="1"/>
    <xf numFmtId="0" fontId="27" fillId="0" borderId="78" xfId="0" applyFont="1" applyBorder="1"/>
    <xf numFmtId="166" fontId="27" fillId="0" borderId="0" xfId="0" applyNumberFormat="1" applyFont="1" applyAlignment="1">
      <alignment horizontal="center"/>
    </xf>
    <xf numFmtId="176" fontId="27" fillId="0" borderId="172" xfId="0" applyNumberFormat="1" applyFont="1" applyBorder="1"/>
    <xf numFmtId="176" fontId="27" fillId="0" borderId="0" xfId="0" applyNumberFormat="1" applyFont="1"/>
    <xf numFmtId="189" fontId="27" fillId="0" borderId="17" xfId="0" applyNumberFormat="1" applyFont="1" applyBorder="1" applyAlignment="1">
      <alignment horizontal="center"/>
    </xf>
    <xf numFmtId="10" fontId="27" fillId="0" borderId="0" xfId="0" applyNumberFormat="1" applyFont="1"/>
    <xf numFmtId="10" fontId="27" fillId="0" borderId="17" xfId="0" applyNumberFormat="1" applyFont="1" applyBorder="1"/>
    <xf numFmtId="0" fontId="27" fillId="0" borderId="0" xfId="0" applyFont="1"/>
    <xf numFmtId="0" fontId="27" fillId="0" borderId="17" xfId="0" applyFont="1" applyBorder="1"/>
    <xf numFmtId="0" fontId="0" fillId="0" borderId="0" xfId="0" applyFont="1"/>
    <xf numFmtId="166" fontId="0" fillId="0" borderId="0" xfId="0" applyNumberFormat="1" applyFont="1"/>
    <xf numFmtId="9" fontId="0" fillId="0" borderId="22" xfId="124" applyNumberFormat="1" applyFont="1" applyBorder="1"/>
    <xf numFmtId="9" fontId="0" fillId="0" borderId="19" xfId="124" applyNumberFormat="1" applyFont="1" applyBorder="1"/>
    <xf numFmtId="189" fontId="0" fillId="0" borderId="0" xfId="0" applyNumberFormat="1" applyFont="1"/>
    <xf numFmtId="166" fontId="27" fillId="0" borderId="22" xfId="0" applyNumberFormat="1" applyFont="1" applyBorder="1"/>
    <xf numFmtId="0" fontId="27" fillId="0" borderId="33" xfId="0" applyFont="1" applyBorder="1"/>
    <xf numFmtId="0" fontId="27" fillId="0" borderId="22" xfId="0" applyFont="1" applyBorder="1"/>
    <xf numFmtId="189" fontId="27" fillId="0" borderId="19" xfId="0" applyNumberFormat="1" applyFont="1" applyBorder="1"/>
    <xf numFmtId="0" fontId="27" fillId="0" borderId="19" xfId="0" applyFont="1" applyBorder="1"/>
    <xf numFmtId="166" fontId="27" fillId="0" borderId="0" xfId="0" applyNumberFormat="1" applyFont="1" applyBorder="1" applyAlignment="1">
      <alignment horizontal="center"/>
    </xf>
    <xf numFmtId="0" fontId="0" fillId="0" borderId="18" xfId="0" applyFont="1" applyBorder="1"/>
    <xf numFmtId="177" fontId="0" fillId="0" borderId="18" xfId="124" applyNumberFormat="1" applyFont="1" applyBorder="1"/>
    <xf numFmtId="177" fontId="0" fillId="0" borderId="21" xfId="124" applyNumberFormat="1" applyFont="1" applyBorder="1"/>
    <xf numFmtId="0" fontId="27" fillId="0" borderId="176" xfId="0" applyFont="1" applyFill="1" applyBorder="1" applyAlignment="1">
      <alignment vertical="center"/>
    </xf>
    <xf numFmtId="0" fontId="27" fillId="0" borderId="18" xfId="0" applyFont="1" applyFill="1" applyBorder="1" applyAlignment="1">
      <alignment vertical="center"/>
    </xf>
    <xf numFmtId="0" fontId="27" fillId="0" borderId="21" xfId="0" applyFont="1" applyFill="1" applyBorder="1" applyAlignment="1">
      <alignment vertical="center"/>
    </xf>
    <xf numFmtId="9" fontId="0" fillId="0" borderId="0" xfId="0" applyNumberFormat="1" applyFont="1" applyBorder="1"/>
    <xf numFmtId="9" fontId="0" fillId="0" borderId="0" xfId="0" applyNumberFormat="1" applyFont="1"/>
    <xf numFmtId="9" fontId="0" fillId="51" borderId="172" xfId="0" applyNumberFormat="1" applyFont="1" applyFill="1" applyBorder="1"/>
    <xf numFmtId="9" fontId="0" fillId="51" borderId="0" xfId="0" applyNumberFormat="1" applyFont="1" applyFill="1"/>
    <xf numFmtId="9" fontId="0" fillId="51" borderId="17" xfId="0" applyNumberFormat="1" applyFont="1" applyFill="1" applyBorder="1"/>
    <xf numFmtId="9" fontId="0" fillId="0" borderId="17" xfId="0" applyNumberFormat="1" applyFont="1" applyBorder="1"/>
    <xf numFmtId="9" fontId="0" fillId="0" borderId="0" xfId="147" applyNumberFormat="1" applyFont="1" applyBorder="1"/>
    <xf numFmtId="9" fontId="0" fillId="0" borderId="0" xfId="147" applyNumberFormat="1" applyFont="1"/>
    <xf numFmtId="9" fontId="0" fillId="51" borderId="17" xfId="124" applyNumberFormat="1" applyFont="1" applyFill="1" applyBorder="1"/>
    <xf numFmtId="9" fontId="0" fillId="0" borderId="0" xfId="124" applyNumberFormat="1" applyFont="1"/>
    <xf numFmtId="9" fontId="0" fillId="0" borderId="17" xfId="124" applyNumberFormat="1" applyFont="1" applyBorder="1"/>
    <xf numFmtId="9" fontId="0" fillId="0" borderId="22" xfId="147" applyNumberFormat="1" applyFont="1" applyBorder="1"/>
    <xf numFmtId="9" fontId="0" fillId="51" borderId="33" xfId="124" applyNumberFormat="1" applyFont="1" applyFill="1" applyBorder="1"/>
    <xf numFmtId="9" fontId="0" fillId="51" borderId="22" xfId="124" applyNumberFormat="1" applyFont="1" applyFill="1" applyBorder="1"/>
    <xf numFmtId="9" fontId="0" fillId="51" borderId="19" xfId="124" applyNumberFormat="1" applyFont="1" applyFill="1" applyBorder="1"/>
    <xf numFmtId="169" fontId="0" fillId="98" borderId="18" xfId="0" applyNumberFormat="1" applyFont="1" applyFill="1" applyBorder="1" applyAlignment="1">
      <alignment horizontal="center"/>
    </xf>
    <xf numFmtId="176" fontId="25" fillId="98" borderId="18" xfId="0" applyNumberFormat="1" applyFont="1" applyFill="1" applyBorder="1" applyAlignment="1" applyProtection="1">
      <alignment horizontal="center"/>
      <protection locked="0"/>
    </xf>
    <xf numFmtId="43" fontId="0" fillId="99" borderId="18" xfId="71" applyNumberFormat="1" applyFont="1" applyFill="1" applyBorder="1" applyProtection="1">
      <protection locked="0"/>
    </xf>
    <xf numFmtId="2" fontId="25" fillId="99" borderId="18" xfId="0" applyNumberFormat="1" applyFont="1" applyFill="1" applyBorder="1" applyAlignment="1" applyProtection="1">
      <alignment horizontal="right"/>
      <protection locked="0"/>
    </xf>
    <xf numFmtId="0" fontId="27" fillId="100" borderId="56" xfId="0" applyFont="1" applyFill="1" applyBorder="1" applyAlignment="1" applyProtection="1">
      <alignment horizontal="left" vertical="top" wrapText="1"/>
      <protection locked="0"/>
    </xf>
    <xf numFmtId="0" fontId="152" fillId="0" borderId="0" xfId="0" applyFont="1" applyAlignment="1" applyProtection="1">
      <alignment horizontal="left"/>
      <protection locked="0"/>
    </xf>
    <xf numFmtId="0" fontId="35" fillId="0" borderId="0" xfId="116"/>
    <xf numFmtId="0" fontId="154" fillId="0" borderId="0" xfId="116" applyFont="1"/>
    <xf numFmtId="0" fontId="109" fillId="51" borderId="172" xfId="116" applyFont="1" applyFill="1" applyBorder="1" applyAlignment="1">
      <alignment horizontal="left"/>
    </xf>
    <xf numFmtId="0" fontId="155" fillId="51" borderId="17" xfId="113" applyFont="1" applyFill="1" applyBorder="1"/>
    <xf numFmtId="0" fontId="155" fillId="51" borderId="0" xfId="113" applyFont="1" applyFill="1"/>
    <xf numFmtId="0" fontId="26" fillId="51" borderId="0" xfId="113" applyFill="1"/>
    <xf numFmtId="0" fontId="35" fillId="51" borderId="0" xfId="116" applyFill="1"/>
    <xf numFmtId="0" fontId="35" fillId="51" borderId="17" xfId="116" applyFill="1" applyBorder="1"/>
    <xf numFmtId="0" fontId="155" fillId="51" borderId="172" xfId="113" applyFont="1" applyFill="1" applyBorder="1"/>
    <xf numFmtId="0" fontId="109" fillId="51" borderId="33" xfId="116" applyFont="1" applyFill="1" applyBorder="1" applyAlignment="1">
      <alignment horizontal="left"/>
    </xf>
    <xf numFmtId="0" fontId="155" fillId="51" borderId="19" xfId="113" applyFont="1" applyFill="1" applyBorder="1"/>
    <xf numFmtId="0" fontId="155" fillId="51" borderId="22" xfId="113" applyFont="1" applyFill="1" applyBorder="1" applyAlignment="1">
      <alignment horizontal="center"/>
    </xf>
    <xf numFmtId="0" fontId="155" fillId="51" borderId="19" xfId="113" applyFont="1" applyFill="1" applyBorder="1" applyAlignment="1">
      <alignment horizontal="center"/>
    </xf>
    <xf numFmtId="0" fontId="155" fillId="51" borderId="33" xfId="113" applyFont="1" applyFill="1" applyBorder="1" applyAlignment="1">
      <alignment horizontal="center"/>
    </xf>
    <xf numFmtId="0" fontId="155" fillId="0" borderId="0" xfId="113" applyFont="1" applyAlignment="1">
      <alignment horizontal="center"/>
    </xf>
    <xf numFmtId="0" fontId="153" fillId="54" borderId="170" xfId="116" applyFont="1" applyFill="1" applyBorder="1"/>
    <xf numFmtId="0" fontId="153" fillId="54" borderId="164" xfId="116" applyFont="1" applyFill="1" applyBorder="1"/>
    <xf numFmtId="0" fontId="156" fillId="91" borderId="180" xfId="87" applyFont="1" applyFill="1" applyBorder="1"/>
    <xf numFmtId="0" fontId="156" fillId="91" borderId="181" xfId="87" applyFont="1" applyFill="1" applyBorder="1"/>
    <xf numFmtId="0" fontId="157" fillId="91" borderId="180" xfId="87" applyFont="1" applyFill="1" applyBorder="1" applyAlignment="1">
      <alignment horizontal="left"/>
    </xf>
    <xf numFmtId="0" fontId="156" fillId="91" borderId="182" xfId="87" applyFont="1" applyFill="1" applyBorder="1"/>
    <xf numFmtId="0" fontId="158" fillId="0" borderId="0" xfId="116" applyFont="1"/>
    <xf numFmtId="0" fontId="157" fillId="91" borderId="181" xfId="87" applyFont="1" applyFill="1" applyBorder="1"/>
    <xf numFmtId="0" fontId="157" fillId="91" borderId="182" xfId="87" applyFont="1" applyFill="1" applyBorder="1"/>
    <xf numFmtId="0" fontId="109" fillId="51" borderId="17" xfId="113" applyFont="1" applyFill="1" applyBorder="1"/>
    <xf numFmtId="43" fontId="84" fillId="51" borderId="0" xfId="74" applyFont="1" applyFill="1" applyAlignment="1">
      <alignment horizontal="center"/>
    </xf>
    <xf numFmtId="43" fontId="84" fillId="51" borderId="17" xfId="74" applyFont="1" applyFill="1" applyBorder="1" applyAlignment="1">
      <alignment horizontal="center"/>
    </xf>
    <xf numFmtId="0" fontId="1" fillId="0" borderId="0" xfId="116" applyFont="1"/>
    <xf numFmtId="43" fontId="84" fillId="55" borderId="172" xfId="74" applyFont="1" applyFill="1" applyBorder="1" applyAlignment="1">
      <alignment horizontal="center"/>
    </xf>
    <xf numFmtId="43" fontId="84" fillId="55" borderId="0" xfId="74" applyFont="1" applyFill="1" applyAlignment="1">
      <alignment horizontal="center"/>
    </xf>
    <xf numFmtId="43" fontId="84" fillId="55" borderId="17" xfId="74" applyFont="1" applyFill="1" applyBorder="1" applyAlignment="1">
      <alignment horizontal="center"/>
    </xf>
    <xf numFmtId="9" fontId="109" fillId="0" borderId="0" xfId="113" applyNumberFormat="1" applyFont="1" applyAlignment="1">
      <alignment horizontal="center"/>
    </xf>
    <xf numFmtId="0" fontId="109" fillId="51" borderId="19" xfId="113" applyFont="1" applyFill="1" applyBorder="1"/>
    <xf numFmtId="2" fontId="76" fillId="55" borderId="56" xfId="116" applyNumberFormat="1" applyFont="1" applyFill="1" applyBorder="1" applyAlignment="1">
      <alignment horizontal="center"/>
    </xf>
    <xf numFmtId="0" fontId="159" fillId="51" borderId="172" xfId="41434" applyFont="1" applyFill="1" applyBorder="1" applyAlignment="1">
      <alignment horizontal="left"/>
    </xf>
    <xf numFmtId="0" fontId="109" fillId="51" borderId="33" xfId="41434" applyFont="1" applyFill="1" applyBorder="1" applyAlignment="1">
      <alignment horizontal="left"/>
    </xf>
    <xf numFmtId="0" fontId="160" fillId="0" borderId="0" xfId="116" applyFont="1"/>
    <xf numFmtId="0" fontId="149" fillId="0" borderId="0" xfId="42645"/>
    <xf numFmtId="0" fontId="149" fillId="0" borderId="22" xfId="42645" applyBorder="1"/>
    <xf numFmtId="0" fontId="25" fillId="0" borderId="171" xfId="0" applyFont="1" applyBorder="1"/>
    <xf numFmtId="0" fontId="25" fillId="0" borderId="18" xfId="0" applyFont="1" applyBorder="1"/>
    <xf numFmtId="0" fontId="25" fillId="0" borderId="0" xfId="0" applyNumberFormat="1" applyFont="1" applyFill="1" applyAlignment="1" applyProtection="1">
      <alignment horizontal="right"/>
      <protection locked="0"/>
    </xf>
    <xf numFmtId="0" fontId="25" fillId="0" borderId="0" xfId="0" applyNumberFormat="1" applyFont="1" applyAlignment="1" applyProtection="1">
      <alignment horizontal="center" vertical="center"/>
      <protection locked="0"/>
    </xf>
    <xf numFmtId="0" fontId="0" fillId="0" borderId="0" xfId="0" applyNumberFormat="1"/>
    <xf numFmtId="0" fontId="27" fillId="100" borderId="56" xfId="0" applyNumberFormat="1" applyFont="1" applyFill="1" applyBorder="1" applyAlignment="1" applyProtection="1">
      <alignment horizontal="left" vertical="top" wrapText="1"/>
      <protection locked="0"/>
    </xf>
    <xf numFmtId="0" fontId="25" fillId="0" borderId="0" xfId="0" applyNumberFormat="1" applyFont="1"/>
    <xf numFmtId="0" fontId="0" fillId="0" borderId="18" xfId="71" applyNumberFormat="1" applyFont="1" applyFill="1" applyBorder="1" applyAlignment="1" applyProtection="1">
      <alignment horizontal="left"/>
      <protection locked="0"/>
    </xf>
    <xf numFmtId="0" fontId="0" fillId="0" borderId="18" xfId="71" applyNumberFormat="1" applyFont="1" applyFill="1" applyBorder="1" applyAlignment="1" applyProtection="1">
      <alignment horizontal="right"/>
      <protection locked="0"/>
    </xf>
    <xf numFmtId="44" fontId="25" fillId="38" borderId="18" xfId="79" applyFont="1" applyFill="1" applyBorder="1" applyProtection="1">
      <protection locked="0"/>
    </xf>
    <xf numFmtId="9" fontId="0" fillId="0" borderId="18" xfId="147" applyFont="1" applyFill="1" applyBorder="1" applyAlignment="1" applyProtection="1">
      <alignment horizontal="right"/>
      <protection locked="0"/>
    </xf>
    <xf numFmtId="9" fontId="25" fillId="38" borderId="18" xfId="147" applyNumberFormat="1" applyFont="1" applyFill="1" applyBorder="1" applyAlignment="1" applyProtection="1">
      <alignment horizontal="right"/>
      <protection locked="0"/>
    </xf>
    <xf numFmtId="9" fontId="0" fillId="0" borderId="18" xfId="147" applyNumberFormat="1" applyFont="1" applyFill="1" applyBorder="1" applyAlignment="1" applyProtection="1">
      <alignment horizontal="right"/>
      <protection locked="0"/>
    </xf>
    <xf numFmtId="1" fontId="0" fillId="0" borderId="18" xfId="0" applyNumberFormat="1" applyFont="1" applyFill="1" applyBorder="1" applyAlignment="1" applyProtection="1">
      <alignment horizontal="center"/>
      <protection locked="0"/>
    </xf>
    <xf numFmtId="1" fontId="0" fillId="102" borderId="18" xfId="0" applyNumberFormat="1" applyFill="1" applyBorder="1" applyAlignment="1" applyProtection="1">
      <alignment horizontal="center"/>
    </xf>
    <xf numFmtId="44" fontId="0" fillId="50" borderId="18" xfId="79" quotePrefix="1" applyFont="1" applyFill="1" applyBorder="1"/>
    <xf numFmtId="165" fontId="27" fillId="102" borderId="18" xfId="0" applyNumberFormat="1" applyFont="1" applyFill="1" applyBorder="1" applyProtection="1"/>
    <xf numFmtId="44" fontId="27" fillId="102" borderId="18" xfId="79" applyFont="1" applyFill="1" applyBorder="1" applyProtection="1"/>
    <xf numFmtId="165" fontId="0" fillId="102" borderId="18" xfId="0" quotePrefix="1" applyNumberFormat="1" applyFill="1" applyBorder="1" applyProtection="1"/>
    <xf numFmtId="0" fontId="27" fillId="103" borderId="166" xfId="0" applyFont="1" applyFill="1" applyBorder="1" applyAlignment="1" applyProtection="1">
      <alignment horizontal="left" vertical="top" wrapText="1"/>
      <protection locked="0"/>
    </xf>
    <xf numFmtId="0" fontId="0" fillId="0" borderId="49" xfId="0" applyFill="1" applyBorder="1" applyProtection="1"/>
    <xf numFmtId="0" fontId="27" fillId="103" borderId="171" xfId="0" applyFont="1" applyFill="1" applyBorder="1" applyAlignment="1" applyProtection="1">
      <alignment horizontal="left" vertical="top" wrapText="1"/>
      <protection locked="0"/>
    </xf>
    <xf numFmtId="0" fontId="0" fillId="0" borderId="18" xfId="0" applyFill="1" applyBorder="1" applyProtection="1"/>
    <xf numFmtId="0" fontId="27" fillId="103" borderId="78" xfId="0" applyFont="1" applyFill="1" applyBorder="1" applyAlignment="1" applyProtection="1">
      <alignment horizontal="left" vertical="top" wrapText="1"/>
      <protection locked="0"/>
    </xf>
    <xf numFmtId="0" fontId="0" fillId="0" borderId="17" xfId="0" applyFill="1" applyBorder="1" applyProtection="1"/>
    <xf numFmtId="9" fontId="0" fillId="0" borderId="17" xfId="147" applyFont="1" applyFill="1" applyBorder="1" applyProtection="1"/>
    <xf numFmtId="171" fontId="80" fillId="0" borderId="0" xfId="71" applyNumberFormat="1" applyFont="1" applyFill="1" applyBorder="1" applyAlignment="1" applyProtection="1">
      <alignment wrapText="1"/>
    </xf>
    <xf numFmtId="0" fontId="133" fillId="92" borderId="170" xfId="0" applyFont="1" applyFill="1" applyBorder="1" applyAlignment="1" applyProtection="1">
      <alignment horizontal="center"/>
      <protection locked="0"/>
    </xf>
    <xf numFmtId="0" fontId="133" fillId="92" borderId="164" xfId="0" applyFont="1" applyFill="1" applyBorder="1" applyAlignment="1" applyProtection="1">
      <alignment horizontal="center"/>
      <protection locked="0"/>
    </xf>
    <xf numFmtId="0" fontId="161" fillId="51" borderId="57" xfId="0" applyFont="1" applyFill="1" applyBorder="1" applyAlignment="1" applyProtection="1">
      <protection locked="0"/>
    </xf>
    <xf numFmtId="0" fontId="161" fillId="51" borderId="164" xfId="0" applyFont="1" applyFill="1" applyBorder="1" applyAlignment="1" applyProtection="1">
      <protection locked="0"/>
    </xf>
    <xf numFmtId="0" fontId="132" fillId="50" borderId="176" xfId="0" applyFont="1" applyFill="1" applyBorder="1" applyAlignment="1" applyProtection="1">
      <alignment vertical="center"/>
      <protection locked="0"/>
    </xf>
    <xf numFmtId="0" fontId="132" fillId="50" borderId="71" xfId="0" applyFont="1" applyFill="1" applyBorder="1" applyAlignment="1" applyProtection="1">
      <alignment vertical="center"/>
      <protection locked="0"/>
    </xf>
    <xf numFmtId="0" fontId="76" fillId="0" borderId="0" xfId="0" applyFont="1"/>
    <xf numFmtId="0" fontId="82" fillId="0" borderId="21" xfId="0" applyFont="1" applyBorder="1" applyAlignment="1">
      <alignment horizontal="left" vertical="top"/>
    </xf>
    <xf numFmtId="0" fontId="82" fillId="0" borderId="22" xfId="0" applyFont="1" applyBorder="1" applyAlignment="1">
      <alignment horizontal="left" vertical="top"/>
    </xf>
    <xf numFmtId="0" fontId="82" fillId="0" borderId="19" xfId="0" applyFont="1" applyBorder="1" applyAlignment="1">
      <alignment horizontal="left" vertical="top"/>
    </xf>
    <xf numFmtId="0" fontId="76" fillId="0" borderId="0" xfId="0" applyFont="1" applyAlignment="1">
      <alignment horizontal="left" vertical="top" wrapText="1"/>
    </xf>
    <xf numFmtId="0" fontId="76" fillId="41" borderId="18" xfId="0" applyFont="1" applyFill="1" applyBorder="1" applyAlignment="1">
      <alignment vertical="center"/>
    </xf>
    <xf numFmtId="0" fontId="149" fillId="0" borderId="0" xfId="42645" applyFont="1"/>
    <xf numFmtId="0" fontId="76" fillId="41" borderId="0" xfId="0" applyFont="1" applyFill="1"/>
    <xf numFmtId="10" fontId="76" fillId="41" borderId="0" xfId="0" applyNumberFormat="1" applyFont="1" applyFill="1" applyAlignment="1">
      <alignment horizontal="left"/>
    </xf>
    <xf numFmtId="0" fontId="76" fillId="41" borderId="0" xfId="0" quotePrefix="1" applyFont="1" applyFill="1"/>
    <xf numFmtId="0" fontId="76" fillId="41" borderId="21" xfId="0" applyFont="1" applyFill="1" applyBorder="1" applyAlignment="1">
      <alignment vertical="center"/>
    </xf>
    <xf numFmtId="0" fontId="76" fillId="41" borderId="22" xfId="0" applyFont="1" applyFill="1" applyBorder="1"/>
    <xf numFmtId="0" fontId="76" fillId="0" borderId="0" xfId="0" applyFont="1" applyAlignment="1">
      <alignment horizontal="center" vertical="center"/>
    </xf>
    <xf numFmtId="0" fontId="76" fillId="0" borderId="0" xfId="0" applyFont="1" applyAlignment="1">
      <alignment horizontal="center"/>
    </xf>
    <xf numFmtId="0" fontId="82" fillId="31" borderId="0" xfId="0" applyFont="1" applyFill="1" applyAlignment="1" applyProtection="1">
      <alignment horizontal="center" wrapText="1"/>
      <protection locked="0"/>
    </xf>
    <xf numFmtId="0" fontId="82" fillId="31" borderId="72" xfId="0" applyFont="1" applyFill="1" applyBorder="1" applyAlignment="1" applyProtection="1">
      <alignment horizontal="center" wrapText="1"/>
      <protection locked="0"/>
    </xf>
    <xf numFmtId="0" fontId="82" fillId="51" borderId="17" xfId="0" applyFont="1" applyFill="1" applyBorder="1" applyAlignment="1" applyProtection="1">
      <alignment horizontal="center" vertical="center" wrapText="1"/>
      <protection locked="0"/>
    </xf>
    <xf numFmtId="0" fontId="76" fillId="0" borderId="0" xfId="0" applyFont="1" applyAlignment="1" applyProtection="1">
      <alignment vertical="center"/>
      <protection locked="0"/>
    </xf>
    <xf numFmtId="0" fontId="82" fillId="51" borderId="172" xfId="0" applyFont="1" applyFill="1" applyBorder="1" applyAlignment="1">
      <alignment horizontal="center"/>
    </xf>
    <xf numFmtId="0" fontId="82" fillId="51" borderId="172" xfId="0" applyFont="1" applyFill="1" applyBorder="1" applyAlignment="1">
      <alignment horizontal="center" vertical="center"/>
    </xf>
    <xf numFmtId="0" fontId="82" fillId="72" borderId="172" xfId="0" applyFont="1" applyFill="1" applyBorder="1" applyAlignment="1" applyProtection="1">
      <alignment horizontal="center" vertical="center"/>
      <protection locked="0"/>
    </xf>
    <xf numFmtId="0" fontId="82" fillId="72" borderId="17" xfId="0" applyFont="1" applyFill="1" applyBorder="1" applyAlignment="1" applyProtection="1">
      <alignment horizontal="center" vertical="center"/>
      <protection locked="0"/>
    </xf>
    <xf numFmtId="0" fontId="82" fillId="42" borderId="0" xfId="0" applyFont="1" applyFill="1" applyAlignment="1">
      <alignment horizontal="center" wrapText="1"/>
    </xf>
    <xf numFmtId="0" fontId="82" fillId="42" borderId="17" xfId="0" applyFont="1" applyFill="1" applyBorder="1" applyAlignment="1">
      <alignment horizontal="center" wrapText="1"/>
    </xf>
    <xf numFmtId="0" fontId="76" fillId="51" borderId="17" xfId="0" applyFont="1" applyFill="1" applyBorder="1" applyAlignment="1" applyProtection="1">
      <alignment horizontal="left" vertical="center" wrapText="1"/>
      <protection locked="0"/>
    </xf>
    <xf numFmtId="0" fontId="27" fillId="51" borderId="172" xfId="0" applyFont="1" applyFill="1" applyBorder="1" applyAlignment="1">
      <alignment horizontal="center"/>
    </xf>
    <xf numFmtId="0" fontId="27" fillId="51" borderId="18" xfId="0" applyFont="1" applyFill="1" applyBorder="1" applyAlignment="1">
      <alignment horizontal="center"/>
    </xf>
    <xf numFmtId="0" fontId="163" fillId="51" borderId="172" xfId="0" applyFont="1" applyFill="1" applyBorder="1" applyAlignment="1">
      <alignment horizontal="center" wrapText="1"/>
    </xf>
    <xf numFmtId="0" fontId="163" fillId="51" borderId="18" xfId="0" applyFont="1" applyFill="1" applyBorder="1" applyAlignment="1">
      <alignment horizontal="center" wrapText="1"/>
    </xf>
    <xf numFmtId="0" fontId="164" fillId="51" borderId="170" xfId="0" applyFont="1" applyFill="1" applyBorder="1" applyAlignment="1" applyProtection="1">
      <alignment horizontal="center"/>
      <protection locked="0"/>
    </xf>
    <xf numFmtId="0" fontId="164" fillId="51" borderId="164" xfId="0" applyFont="1" applyFill="1" applyBorder="1" applyAlignment="1" applyProtection="1">
      <alignment vertical="center" wrapText="1"/>
      <protection locked="0"/>
    </xf>
    <xf numFmtId="0" fontId="164" fillId="0" borderId="0" xfId="0" applyFont="1" applyProtection="1">
      <protection locked="0"/>
    </xf>
    <xf numFmtId="0" fontId="161" fillId="72" borderId="57" xfId="0" applyFont="1" applyFill="1" applyBorder="1" applyAlignment="1" applyProtection="1">
      <protection locked="0"/>
    </xf>
    <xf numFmtId="0" fontId="164" fillId="72" borderId="170" xfId="0" applyFont="1" applyFill="1" applyBorder="1" applyAlignment="1" applyProtection="1">
      <alignment horizontal="center"/>
      <protection locked="0"/>
    </xf>
    <xf numFmtId="0" fontId="164" fillId="72" borderId="170" xfId="0" applyFont="1" applyFill="1" applyBorder="1" applyAlignment="1" applyProtection="1">
      <alignment vertical="center" wrapText="1"/>
      <protection locked="0"/>
    </xf>
    <xf numFmtId="0" fontId="164" fillId="72" borderId="164" xfId="0" applyFont="1" applyFill="1" applyBorder="1" applyAlignment="1" applyProtection="1">
      <alignment vertical="center" wrapText="1"/>
      <protection locked="0"/>
    </xf>
    <xf numFmtId="0" fontId="76" fillId="0" borderId="172" xfId="0" applyFont="1" applyBorder="1" applyAlignment="1">
      <alignment horizontal="center"/>
    </xf>
    <xf numFmtId="0" fontId="76" fillId="0" borderId="17" xfId="0" applyFont="1" applyBorder="1" applyAlignment="1">
      <alignment horizontal="center"/>
    </xf>
    <xf numFmtId="180" fontId="76" fillId="0" borderId="0" xfId="71" applyNumberFormat="1" applyFont="1" applyProtection="1">
      <protection locked="0"/>
    </xf>
    <xf numFmtId="180" fontId="76" fillId="0" borderId="0" xfId="71" applyNumberFormat="1" applyFont="1"/>
    <xf numFmtId="0" fontId="76" fillId="0" borderId="17" xfId="71" applyNumberFormat="1" applyFont="1" applyBorder="1" applyProtection="1">
      <protection locked="0"/>
    </xf>
    <xf numFmtId="0" fontId="76" fillId="51" borderId="18" xfId="0" applyFont="1" applyFill="1" applyBorder="1" applyAlignment="1">
      <alignment horizontal="center"/>
    </xf>
    <xf numFmtId="178" fontId="76" fillId="55" borderId="172" xfId="0" applyNumberFormat="1" applyFont="1" applyFill="1" applyBorder="1" applyAlignment="1">
      <alignment horizontal="center"/>
    </xf>
    <xf numFmtId="178" fontId="76" fillId="41" borderId="172" xfId="0" applyNumberFormat="1" applyFont="1" applyFill="1" applyBorder="1" applyAlignment="1">
      <alignment horizontal="center"/>
    </xf>
    <xf numFmtId="180" fontId="76" fillId="41" borderId="172" xfId="71" applyNumberFormat="1" applyFont="1" applyFill="1" applyBorder="1" applyAlignment="1">
      <alignment horizontal="center"/>
    </xf>
    <xf numFmtId="178" fontId="76" fillId="51" borderId="18" xfId="0" applyNumberFormat="1" applyFont="1" applyFill="1" applyBorder="1" applyAlignment="1">
      <alignment horizontal="center"/>
    </xf>
    <xf numFmtId="0" fontId="76" fillId="51" borderId="21" xfId="0" applyFont="1" applyFill="1" applyBorder="1" applyAlignment="1">
      <alignment horizontal="center"/>
    </xf>
    <xf numFmtId="178" fontId="76" fillId="55" borderId="33" xfId="0" applyNumberFormat="1" applyFont="1" applyFill="1" applyBorder="1" applyAlignment="1">
      <alignment horizontal="center"/>
    </xf>
    <xf numFmtId="178" fontId="76" fillId="41" borderId="33" xfId="0" applyNumberFormat="1" applyFont="1" applyFill="1" applyBorder="1" applyAlignment="1">
      <alignment horizontal="center"/>
    </xf>
    <xf numFmtId="180" fontId="76" fillId="41" borderId="21" xfId="71" applyNumberFormat="1" applyFont="1" applyFill="1" applyBorder="1" applyAlignment="1">
      <alignment horizontal="center"/>
    </xf>
    <xf numFmtId="178" fontId="76" fillId="51" borderId="21" xfId="0" applyNumberFormat="1" applyFont="1" applyFill="1" applyBorder="1" applyAlignment="1">
      <alignment horizontal="center"/>
    </xf>
    <xf numFmtId="180" fontId="76" fillId="0" borderId="0" xfId="71" applyNumberFormat="1" applyFont="1" applyBorder="1"/>
    <xf numFmtId="180" fontId="76" fillId="0" borderId="22" xfId="71" applyNumberFormat="1" applyFont="1" applyBorder="1"/>
    <xf numFmtId="0" fontId="76" fillId="0" borderId="19" xfId="71" applyNumberFormat="1" applyFont="1" applyBorder="1" applyProtection="1">
      <protection locked="0"/>
    </xf>
    <xf numFmtId="0" fontId="76" fillId="0" borderId="0" xfId="0" applyFont="1" applyAlignment="1" applyProtection="1">
      <alignment horizontal="left" vertical="top"/>
      <protection locked="0"/>
    </xf>
    <xf numFmtId="0" fontId="82" fillId="51" borderId="176" xfId="0" applyFont="1" applyFill="1" applyBorder="1" applyAlignment="1">
      <alignment horizontal="center"/>
    </xf>
    <xf numFmtId="0" fontId="82" fillId="51" borderId="176" xfId="0" applyFont="1" applyFill="1" applyBorder="1" applyAlignment="1">
      <alignment horizontal="center" vertical="center"/>
    </xf>
    <xf numFmtId="0" fontId="163" fillId="51" borderId="33" xfId="0" applyFont="1" applyFill="1" applyBorder="1" applyAlignment="1">
      <alignment horizontal="center" wrapText="1"/>
    </xf>
    <xf numFmtId="0" fontId="163" fillId="51" borderId="21" xfId="0" applyFont="1" applyFill="1" applyBorder="1" applyAlignment="1">
      <alignment horizontal="center" wrapText="1"/>
    </xf>
    <xf numFmtId="180" fontId="76" fillId="41" borderId="33" xfId="71" applyNumberFormat="1" applyFont="1" applyFill="1" applyBorder="1" applyAlignment="1">
      <alignment horizontal="center"/>
    </xf>
    <xf numFmtId="0" fontId="76" fillId="0" borderId="33" xfId="0" applyFont="1" applyBorder="1" applyAlignment="1">
      <alignment horizontal="center"/>
    </xf>
    <xf numFmtId="180" fontId="76" fillId="41" borderId="18" xfId="71" applyNumberFormat="1" applyFont="1" applyFill="1" applyBorder="1" applyAlignment="1">
      <alignment horizontal="center"/>
    </xf>
    <xf numFmtId="0" fontId="165" fillId="92" borderId="57" xfId="0" applyFont="1" applyFill="1" applyBorder="1" applyAlignment="1" applyProtection="1">
      <protection locked="0"/>
    </xf>
    <xf numFmtId="0" fontId="165" fillId="92" borderId="59" xfId="0" applyFont="1" applyFill="1" applyBorder="1" applyAlignment="1" applyProtection="1">
      <protection locked="0"/>
    </xf>
    <xf numFmtId="0" fontId="166" fillId="92" borderId="170" xfId="0" applyFont="1" applyFill="1" applyBorder="1" applyAlignment="1" applyProtection="1">
      <alignment horizontal="center"/>
      <protection locked="0"/>
    </xf>
    <xf numFmtId="0" fontId="166" fillId="92" borderId="164" xfId="0" applyFont="1" applyFill="1" applyBorder="1" applyAlignment="1" applyProtection="1">
      <alignment horizontal="center"/>
      <protection locked="0"/>
    </xf>
    <xf numFmtId="0" fontId="165" fillId="92" borderId="170" xfId="0" applyFont="1" applyFill="1" applyBorder="1" applyAlignment="1" applyProtection="1">
      <alignment horizontal="left"/>
      <protection locked="0"/>
    </xf>
    <xf numFmtId="0" fontId="56" fillId="51" borderId="170" xfId="0" applyFont="1" applyFill="1" applyBorder="1" applyProtection="1">
      <protection locked="0"/>
    </xf>
    <xf numFmtId="180" fontId="134" fillId="51" borderId="164" xfId="71" applyNumberFormat="1" applyFont="1" applyFill="1" applyBorder="1" applyAlignment="1" applyProtection="1">
      <alignment vertical="center" wrapText="1"/>
      <protection locked="0"/>
    </xf>
    <xf numFmtId="180" fontId="76" fillId="0" borderId="176" xfId="71" applyNumberFormat="1" applyFont="1" applyBorder="1" applyProtection="1">
      <protection locked="0"/>
    </xf>
    <xf numFmtId="180" fontId="76" fillId="0" borderId="172" xfId="71" applyNumberFormat="1" applyFont="1" applyBorder="1" applyProtection="1">
      <protection locked="0"/>
    </xf>
    <xf numFmtId="180" fontId="76" fillId="0" borderId="33" xfId="71" applyNumberFormat="1" applyFont="1" applyBorder="1" applyProtection="1">
      <protection locked="0"/>
    </xf>
    <xf numFmtId="0" fontId="76" fillId="0" borderId="19" xfId="0" applyFont="1" applyBorder="1" applyAlignment="1">
      <alignment horizontal="center"/>
    </xf>
    <xf numFmtId="180" fontId="76" fillId="0" borderId="33" xfId="71" applyNumberFormat="1" applyFont="1" applyBorder="1"/>
    <xf numFmtId="180" fontId="76" fillId="0" borderId="176" xfId="71" applyNumberFormat="1" applyFont="1" applyBorder="1"/>
    <xf numFmtId="180" fontId="76" fillId="0" borderId="71" xfId="71" applyNumberFormat="1" applyFont="1" applyBorder="1"/>
    <xf numFmtId="180" fontId="76" fillId="0" borderId="172" xfId="71" applyNumberFormat="1" applyFont="1" applyBorder="1"/>
    <xf numFmtId="0" fontId="82" fillId="31" borderId="0" xfId="0" applyFont="1" applyFill="1" applyAlignment="1" applyProtection="1">
      <alignment horizontal="center" vertical="top" wrapText="1"/>
      <protection locked="0"/>
    </xf>
    <xf numFmtId="0" fontId="82" fillId="31" borderId="17" xfId="0" applyFont="1" applyFill="1" applyBorder="1" applyAlignment="1" applyProtection="1">
      <alignment horizontal="center" vertical="top" wrapText="1"/>
      <protection locked="0"/>
    </xf>
    <xf numFmtId="0" fontId="82" fillId="51" borderId="17" xfId="0" applyFont="1" applyFill="1" applyBorder="1" applyAlignment="1" applyProtection="1">
      <alignment horizontal="center" vertical="top" wrapText="1"/>
      <protection locked="0"/>
    </xf>
    <xf numFmtId="0" fontId="76" fillId="0" borderId="0" xfId="0" applyFont="1" applyAlignment="1" applyProtection="1">
      <alignment vertical="top"/>
      <protection locked="0"/>
    </xf>
    <xf numFmtId="0" fontId="27" fillId="97" borderId="30" xfId="0" applyFont="1" applyFill="1" applyBorder="1" applyAlignment="1" applyProtection="1">
      <alignment horizontal="center" vertical="center"/>
    </xf>
    <xf numFmtId="0" fontId="27" fillId="97" borderId="31" xfId="0" applyFont="1" applyFill="1" applyBorder="1" applyAlignment="1" applyProtection="1">
      <alignment horizontal="center" vertical="center"/>
    </xf>
    <xf numFmtId="0" fontId="27" fillId="97" borderId="39" xfId="0" applyFont="1" applyFill="1" applyBorder="1" applyAlignment="1" applyProtection="1">
      <alignment horizontal="center" vertical="center"/>
    </xf>
    <xf numFmtId="0" fontId="0" fillId="0" borderId="21" xfId="0" applyFont="1" applyFill="1" applyBorder="1" applyProtection="1">
      <protection locked="0"/>
    </xf>
    <xf numFmtId="3" fontId="0" fillId="0" borderId="21" xfId="71" applyNumberFormat="1" applyFont="1" applyFill="1" applyBorder="1" applyAlignment="1" applyProtection="1">
      <alignment horizontal="center" vertical="center"/>
      <protection locked="0"/>
    </xf>
    <xf numFmtId="1" fontId="0" fillId="0" borderId="21" xfId="0" applyNumberFormat="1" applyFont="1" applyFill="1" applyBorder="1" applyAlignment="1" applyProtection="1">
      <alignment horizontal="center"/>
      <protection locked="0"/>
    </xf>
    <xf numFmtId="44" fontId="0" fillId="0" borderId="21" xfId="79" applyFont="1" applyFill="1" applyBorder="1" applyAlignment="1" applyProtection="1">
      <alignment horizontal="center" vertical="center"/>
      <protection locked="0"/>
    </xf>
    <xf numFmtId="44" fontId="25" fillId="38" borderId="21" xfId="79" applyFont="1" applyFill="1" applyBorder="1" applyProtection="1">
      <protection locked="0"/>
    </xf>
    <xf numFmtId="9" fontId="0" fillId="0" borderId="21" xfId="147" applyNumberFormat="1" applyFont="1" applyFill="1" applyBorder="1" applyAlignment="1" applyProtection="1">
      <alignment horizontal="right"/>
      <protection locked="0"/>
    </xf>
    <xf numFmtId="9" fontId="25" fillId="38" borderId="21" xfId="147" applyNumberFormat="1" applyFont="1" applyFill="1" applyBorder="1" applyAlignment="1" applyProtection="1">
      <alignment horizontal="right"/>
      <protection locked="0"/>
    </xf>
    <xf numFmtId="43" fontId="0" fillId="99" borderId="21" xfId="71" applyNumberFormat="1" applyFont="1" applyFill="1" applyBorder="1" applyProtection="1">
      <protection locked="0"/>
    </xf>
    <xf numFmtId="0" fontId="0" fillId="0" borderId="21" xfId="0" applyNumberFormat="1" applyFont="1" applyFill="1" applyBorder="1"/>
    <xf numFmtId="169" fontId="0" fillId="98" borderId="21" xfId="0" applyNumberFormat="1" applyFont="1" applyFill="1" applyBorder="1" applyAlignment="1">
      <alignment horizontal="center"/>
    </xf>
    <xf numFmtId="176" fontId="25" fillId="98" borderId="21" xfId="0" applyNumberFormat="1" applyFont="1" applyFill="1" applyBorder="1" applyAlignment="1" applyProtection="1">
      <alignment horizontal="center"/>
      <protection locked="0"/>
    </xf>
    <xf numFmtId="2" fontId="25" fillId="99" borderId="21" xfId="0" applyNumberFormat="1" applyFont="1" applyFill="1" applyBorder="1" applyAlignment="1" applyProtection="1">
      <alignment horizontal="right"/>
      <protection locked="0"/>
    </xf>
    <xf numFmtId="2" fontId="0" fillId="0" borderId="21" xfId="0" applyNumberFormat="1" applyFont="1" applyFill="1" applyBorder="1" applyAlignment="1" applyProtection="1">
      <alignment horizontal="right"/>
      <protection locked="0"/>
    </xf>
    <xf numFmtId="171" fontId="0" fillId="0" borderId="21" xfId="71" applyNumberFormat="1" applyFont="1" applyFill="1" applyBorder="1" applyAlignment="1" applyProtection="1">
      <alignment horizontal="right"/>
      <protection locked="0"/>
    </xf>
    <xf numFmtId="0" fontId="0" fillId="0" borderId="21" xfId="71" applyNumberFormat="1" applyFont="1" applyFill="1" applyBorder="1" applyAlignment="1" applyProtection="1">
      <alignment horizontal="left"/>
      <protection locked="0"/>
    </xf>
    <xf numFmtId="0" fontId="25" fillId="0" borderId="21" xfId="0" applyFont="1" applyBorder="1"/>
    <xf numFmtId="9" fontId="0" fillId="0" borderId="21" xfId="147" applyFont="1" applyFill="1" applyBorder="1" applyAlignment="1" applyProtection="1">
      <alignment horizontal="right"/>
      <protection locked="0"/>
    </xf>
    <xf numFmtId="170" fontId="76" fillId="99" borderId="0" xfId="79" applyNumberFormat="1" applyFont="1" applyFill="1" applyBorder="1"/>
    <xf numFmtId="0" fontId="84" fillId="0" borderId="22" xfId="201" applyFont="1" applyBorder="1"/>
    <xf numFmtId="170" fontId="76" fillId="99" borderId="22" xfId="79" applyNumberFormat="1" applyFont="1" applyFill="1" applyBorder="1"/>
    <xf numFmtId="44" fontId="76" fillId="47" borderId="0" xfId="202" applyNumberFormat="1" applyFont="1" applyFill="1" applyBorder="1"/>
    <xf numFmtId="3" fontId="92" fillId="0" borderId="0" xfId="41216" applyNumberFormat="1" applyFont="1" applyFill="1" applyAlignment="1">
      <alignment horizontal="right"/>
    </xf>
    <xf numFmtId="0" fontId="83" fillId="0" borderId="176" xfId="121" applyFont="1" applyFill="1" applyBorder="1" applyAlignment="1">
      <alignment horizontal="left"/>
    </xf>
    <xf numFmtId="0" fontId="71" fillId="0" borderId="0" xfId="41216" applyFont="1" applyAlignment="1">
      <alignment horizontal="right"/>
    </xf>
    <xf numFmtId="0" fontId="71" fillId="0" borderId="0" xfId="41216" applyFont="1" applyAlignment="1">
      <alignment horizontal="center"/>
    </xf>
    <xf numFmtId="192" fontId="71" fillId="0" borderId="0" xfId="41216" applyNumberFormat="1" applyFont="1" applyFill="1" applyAlignment="1">
      <alignment horizontal="center"/>
    </xf>
    <xf numFmtId="192" fontId="71" fillId="0" borderId="0" xfId="41216" applyNumberFormat="1" applyFont="1" applyAlignment="1">
      <alignment horizontal="center"/>
    </xf>
    <xf numFmtId="0" fontId="75" fillId="0" borderId="0" xfId="41217" applyFont="1" applyAlignment="1">
      <alignment horizontal="center"/>
    </xf>
    <xf numFmtId="192" fontId="72" fillId="0" borderId="0" xfId="41219" applyNumberFormat="1" applyFont="1" applyFill="1" applyBorder="1"/>
    <xf numFmtId="192" fontId="72" fillId="0" borderId="26" xfId="41219" applyNumberFormat="1" applyFont="1" applyFill="1" applyBorder="1"/>
    <xf numFmtId="0" fontId="167" fillId="0" borderId="0" xfId="41217" applyFont="1" applyAlignment="1">
      <alignment horizontal="right"/>
    </xf>
    <xf numFmtId="0" fontId="89" fillId="0" borderId="172" xfId="41216" applyFont="1" applyBorder="1" applyAlignment="1">
      <alignment horizontal="center" vertical="center" wrapText="1"/>
    </xf>
    <xf numFmtId="0" fontId="89" fillId="0" borderId="0" xfId="41216" applyFont="1" applyBorder="1" applyAlignment="1">
      <alignment horizontal="center" vertical="center" wrapText="1"/>
    </xf>
    <xf numFmtId="0" fontId="89" fillId="0" borderId="174" xfId="41216" applyFont="1" applyBorder="1" applyAlignment="1">
      <alignment horizontal="center" vertical="center" wrapText="1"/>
    </xf>
    <xf numFmtId="0" fontId="72" fillId="0" borderId="0" xfId="41216" applyFont="1" applyFill="1" applyBorder="1" applyAlignment="1">
      <alignment horizontal="center" vertical="center" wrapText="1"/>
    </xf>
    <xf numFmtId="0" fontId="89" fillId="0" borderId="26" xfId="41216" applyFont="1" applyBorder="1" applyAlignment="1">
      <alignment horizontal="center" wrapText="1"/>
    </xf>
    <xf numFmtId="0" fontId="74" fillId="0" borderId="0" xfId="41216" applyFont="1" applyFill="1" applyAlignment="1">
      <alignment horizontal="center"/>
    </xf>
    <xf numFmtId="0" fontId="71" fillId="0" borderId="0" xfId="41216" applyFont="1" applyFill="1" applyAlignment="1">
      <alignment horizontal="center"/>
    </xf>
    <xf numFmtId="0" fontId="7" fillId="0" borderId="0" xfId="41217" applyFont="1" applyFill="1" applyAlignment="1">
      <alignment horizontal="center"/>
    </xf>
    <xf numFmtId="188" fontId="12" fillId="0" borderId="0" xfId="41217" applyNumberFormat="1" applyFill="1" applyAlignment="1">
      <alignment horizontal="center"/>
    </xf>
    <xf numFmtId="44" fontId="12" fillId="0" borderId="0" xfId="41217" applyNumberFormat="1" applyFill="1" applyAlignment="1">
      <alignment horizontal="center"/>
    </xf>
    <xf numFmtId="0" fontId="12" fillId="0" borderId="0" xfId="41217" applyFill="1" applyAlignment="1">
      <alignment horizontal="center"/>
    </xf>
    <xf numFmtId="0" fontId="143" fillId="48" borderId="14" xfId="42639" applyFont="1" applyFill="1" applyBorder="1"/>
    <xf numFmtId="0" fontId="143" fillId="48" borderId="15" xfId="42639" applyFont="1" applyFill="1" applyBorder="1"/>
    <xf numFmtId="196" fontId="143" fillId="48" borderId="15" xfId="147" applyNumberFormat="1" applyFont="1" applyFill="1" applyBorder="1"/>
    <xf numFmtId="0" fontId="143" fillId="48" borderId="16" xfId="42639" applyFont="1" applyFill="1" applyBorder="1"/>
    <xf numFmtId="0" fontId="89" fillId="48" borderId="14" xfId="41216" applyFont="1" applyFill="1" applyBorder="1" applyAlignment="1">
      <alignment horizontal="center" wrapText="1"/>
    </xf>
    <xf numFmtId="0" fontId="88" fillId="48" borderId="15" xfId="41216" applyFont="1" applyFill="1" applyBorder="1" applyAlignment="1">
      <alignment horizontal="center" vertical="center" wrapText="1"/>
    </xf>
    <xf numFmtId="0" fontId="89" fillId="48" borderId="15" xfId="41216" applyFont="1" applyFill="1" applyBorder="1" applyAlignment="1">
      <alignment horizontal="center" vertical="center" wrapText="1"/>
    </xf>
    <xf numFmtId="0" fontId="72" fillId="48" borderId="15" xfId="41216" applyFont="1" applyFill="1" applyBorder="1" applyAlignment="1">
      <alignment horizontal="center" vertical="center" wrapText="1"/>
    </xf>
    <xf numFmtId="0" fontId="97" fillId="48" borderId="15" xfId="41216" applyFont="1" applyFill="1" applyBorder="1" applyAlignment="1">
      <alignment horizontal="center" vertical="center" wrapText="1"/>
    </xf>
    <xf numFmtId="0" fontId="97" fillId="48" borderId="16" xfId="41216" applyFont="1" applyFill="1" applyBorder="1" applyAlignment="1">
      <alignment horizontal="center" vertical="center" wrapText="1"/>
    </xf>
    <xf numFmtId="0" fontId="72" fillId="48" borderId="14" xfId="41216" applyFont="1" applyFill="1" applyBorder="1" applyAlignment="1">
      <alignment horizontal="center"/>
    </xf>
    <xf numFmtId="0" fontId="71" fillId="48" borderId="15" xfId="41216" applyFont="1" applyFill="1" applyBorder="1"/>
    <xf numFmtId="43" fontId="72" fillId="48" borderId="15" xfId="41216" applyNumberFormat="1" applyFont="1" applyFill="1" applyBorder="1" applyAlignment="1">
      <alignment horizontal="centerContinuous"/>
    </xf>
    <xf numFmtId="192" fontId="92" fillId="48" borderId="15" xfId="41216" applyNumberFormat="1" applyFont="1" applyFill="1" applyBorder="1" applyAlignment="1">
      <alignment horizontal="centerContinuous"/>
    </xf>
    <xf numFmtId="0" fontId="72" fillId="48" borderId="15" xfId="41216" applyFont="1" applyFill="1" applyBorder="1" applyAlignment="1">
      <alignment horizontal="centerContinuous"/>
    </xf>
    <xf numFmtId="192" fontId="71" fillId="48" borderId="15" xfId="41216" applyNumberFormat="1" applyFont="1" applyFill="1" applyBorder="1"/>
    <xf numFmtId="192" fontId="71" fillId="48" borderId="16" xfId="41216" applyNumberFormat="1" applyFont="1" applyFill="1" applyBorder="1"/>
    <xf numFmtId="10" fontId="128" fillId="0" borderId="0" xfId="305" applyNumberFormat="1" applyFont="1" applyFill="1" applyBorder="1"/>
    <xf numFmtId="0" fontId="134" fillId="51" borderId="170" xfId="0" applyFont="1" applyFill="1" applyBorder="1" applyAlignment="1" applyProtection="1">
      <alignment horizontal="center"/>
      <protection locked="0"/>
    </xf>
    <xf numFmtId="0" fontId="0" fillId="51" borderId="170" xfId="0" applyFont="1" applyFill="1" applyBorder="1" applyAlignment="1" applyProtection="1">
      <alignment horizontal="left" vertical="center"/>
      <protection locked="0"/>
    </xf>
    <xf numFmtId="0" fontId="76" fillId="36" borderId="172" xfId="0" applyFont="1" applyFill="1" applyBorder="1" applyAlignment="1" applyProtection="1">
      <alignment horizontal="left" vertical="top" wrapText="1"/>
      <protection locked="0"/>
    </xf>
    <xf numFmtId="0" fontId="76" fillId="36" borderId="0" xfId="0" applyFont="1" applyFill="1" applyAlignment="1" applyProtection="1">
      <alignment horizontal="left" vertical="top" wrapText="1"/>
      <protection locked="0"/>
    </xf>
    <xf numFmtId="0" fontId="76" fillId="36" borderId="17" xfId="0" applyFont="1" applyFill="1" applyBorder="1" applyAlignment="1" applyProtection="1">
      <alignment horizontal="left" vertical="top" wrapText="1"/>
      <protection locked="0"/>
    </xf>
    <xf numFmtId="0" fontId="76" fillId="36" borderId="0" xfId="0" applyFont="1" applyFill="1" applyBorder="1" applyAlignment="1" applyProtection="1">
      <alignment horizontal="left" vertical="top" wrapText="1"/>
      <protection locked="0"/>
    </xf>
    <xf numFmtId="165" fontId="0" fillId="0" borderId="72" xfId="0" applyNumberFormat="1" applyFont="1" applyFill="1" applyBorder="1" applyProtection="1"/>
    <xf numFmtId="165" fontId="0" fillId="0" borderId="72" xfId="0" applyNumberFormat="1" applyFont="1" applyFill="1" applyBorder="1" applyProtection="1">
      <protection locked="0"/>
    </xf>
    <xf numFmtId="165" fontId="0" fillId="0" borderId="17" xfId="0" applyNumberFormat="1" applyFont="1" applyBorder="1" applyProtection="1">
      <protection locked="0"/>
    </xf>
    <xf numFmtId="165" fontId="0" fillId="0" borderId="19" xfId="0" applyNumberFormat="1" applyFont="1" applyBorder="1" applyProtection="1">
      <protection locked="0"/>
    </xf>
    <xf numFmtId="165" fontId="0" fillId="97" borderId="72" xfId="0" applyNumberFormat="1" applyFont="1" applyFill="1" applyBorder="1" applyProtection="1"/>
    <xf numFmtId="165" fontId="0" fillId="97" borderId="17" xfId="0" applyNumberFormat="1" applyFont="1" applyFill="1" applyBorder="1" applyProtection="1"/>
    <xf numFmtId="165" fontId="0" fillId="97" borderId="19" xfId="0" applyNumberFormat="1" applyFont="1" applyFill="1" applyBorder="1" applyProtection="1"/>
    <xf numFmtId="165" fontId="0" fillId="0" borderId="172" xfId="0" applyNumberFormat="1" applyFont="1" applyFill="1" applyBorder="1" applyProtection="1">
      <protection locked="0"/>
    </xf>
    <xf numFmtId="165" fontId="76" fillId="51" borderId="170" xfId="0" applyNumberFormat="1" applyFont="1" applyFill="1" applyBorder="1" applyAlignment="1" applyProtection="1">
      <alignment horizontal="left"/>
      <protection locked="0"/>
    </xf>
    <xf numFmtId="165" fontId="0" fillId="0" borderId="172" xfId="0" applyNumberFormat="1" applyFont="1" applyFill="1" applyBorder="1" applyProtection="1"/>
    <xf numFmtId="165" fontId="0" fillId="0" borderId="172" xfId="0" applyNumberFormat="1" applyFont="1" applyBorder="1" applyProtection="1"/>
    <xf numFmtId="165" fontId="134" fillId="51" borderId="170" xfId="0" applyNumberFormat="1" applyFont="1" applyFill="1" applyBorder="1" applyAlignment="1" applyProtection="1">
      <alignment horizontal="center"/>
      <protection locked="0"/>
    </xf>
    <xf numFmtId="0" fontId="27" fillId="97" borderId="32" xfId="0" applyFont="1" applyFill="1" applyBorder="1" applyAlignment="1" applyProtection="1">
      <alignment horizontal="center" vertical="center" wrapText="1"/>
    </xf>
    <xf numFmtId="0" fontId="27" fillId="97" borderId="41" xfId="0" applyFont="1" applyFill="1" applyBorder="1" applyAlignment="1" applyProtection="1">
      <alignment horizontal="center" vertical="center" wrapText="1"/>
    </xf>
    <xf numFmtId="0" fontId="27" fillId="97" borderId="80" xfId="0" applyFont="1" applyFill="1" applyBorder="1" applyAlignment="1" applyProtection="1">
      <alignment horizontal="center" vertical="center" wrapText="1"/>
    </xf>
    <xf numFmtId="0" fontId="27" fillId="97" borderId="32" xfId="0" applyFont="1" applyFill="1" applyBorder="1" applyAlignment="1" applyProtection="1">
      <alignment horizontal="center" wrapText="1"/>
    </xf>
    <xf numFmtId="0" fontId="27" fillId="97" borderId="41" xfId="0" applyFont="1" applyFill="1" applyBorder="1" applyAlignment="1" applyProtection="1">
      <alignment horizontal="center" wrapText="1"/>
    </xf>
    <xf numFmtId="0" fontId="27" fillId="97" borderId="42" xfId="0" applyFont="1" applyFill="1" applyBorder="1" applyAlignment="1" applyProtection="1">
      <alignment horizontal="center" wrapText="1"/>
    </xf>
    <xf numFmtId="168" fontId="78" fillId="55" borderId="91" xfId="0" applyNumberFormat="1" applyFont="1" applyFill="1" applyBorder="1" applyAlignment="1" applyProtection="1">
      <alignment horizontal="center"/>
    </xf>
    <xf numFmtId="168" fontId="0" fillId="55" borderId="21" xfId="0" applyNumberFormat="1" applyFont="1" applyFill="1" applyBorder="1" applyAlignment="1" applyProtection="1">
      <alignment horizontal="center"/>
    </xf>
    <xf numFmtId="168" fontId="0" fillId="55" borderId="56" xfId="0" applyNumberFormat="1" applyFont="1" applyFill="1" applyBorder="1" applyAlignment="1" applyProtection="1">
      <alignment horizontal="center"/>
    </xf>
    <xf numFmtId="168" fontId="0" fillId="55" borderId="119" xfId="0" applyNumberFormat="1" applyFont="1" applyFill="1" applyBorder="1" applyAlignment="1" applyProtection="1">
      <alignment horizontal="center"/>
    </xf>
    <xf numFmtId="171" fontId="25" fillId="102" borderId="0" xfId="71" applyNumberFormat="1" applyFont="1" applyFill="1" applyBorder="1" applyAlignment="1" applyProtection="1">
      <alignment wrapText="1"/>
    </xf>
    <xf numFmtId="171" fontId="0" fillId="0" borderId="0" xfId="0" applyNumberFormat="1" applyFont="1" applyBorder="1" applyProtection="1"/>
    <xf numFmtId="0" fontId="27" fillId="103" borderId="49" xfId="0" applyFont="1" applyFill="1" applyBorder="1" applyAlignment="1" applyProtection="1">
      <alignment horizontal="left" vertical="top" wrapText="1"/>
      <protection locked="0"/>
    </xf>
    <xf numFmtId="0" fontId="27" fillId="103" borderId="18" xfId="0" applyFont="1" applyFill="1" applyBorder="1" applyAlignment="1" applyProtection="1">
      <alignment horizontal="left" vertical="top" wrapText="1"/>
      <protection locked="0"/>
    </xf>
    <xf numFmtId="0" fontId="27" fillId="103" borderId="17" xfId="0" applyFont="1" applyFill="1" applyBorder="1" applyAlignment="1" applyProtection="1">
      <alignment horizontal="left" vertical="top" wrapText="1"/>
      <protection locked="0"/>
    </xf>
    <xf numFmtId="0" fontId="76" fillId="41" borderId="0" xfId="0" applyFont="1" applyFill="1" applyBorder="1"/>
    <xf numFmtId="0" fontId="132" fillId="50" borderId="72" xfId="0" applyFont="1" applyFill="1" applyBorder="1" applyAlignment="1" applyProtection="1">
      <alignment vertical="center"/>
      <protection locked="0"/>
    </xf>
    <xf numFmtId="0" fontId="76" fillId="0" borderId="0" xfId="0" applyFont="1" applyAlignment="1"/>
    <xf numFmtId="0" fontId="76" fillId="0" borderId="0" xfId="0" applyFont="1" applyAlignment="1">
      <alignment horizontal="left" vertical="top"/>
    </xf>
    <xf numFmtId="166" fontId="76" fillId="0" borderId="17" xfId="147" applyNumberFormat="1" applyFont="1" applyFill="1" applyBorder="1"/>
    <xf numFmtId="166" fontId="76" fillId="0" borderId="19" xfId="147" applyNumberFormat="1" applyFont="1" applyFill="1" applyBorder="1"/>
    <xf numFmtId="166" fontId="0" fillId="0" borderId="18" xfId="147" applyNumberFormat="1" applyFont="1" applyFill="1" applyBorder="1" applyProtection="1"/>
    <xf numFmtId="0" fontId="25" fillId="39" borderId="0" xfId="71" applyNumberFormat="1" applyFont="1" applyFill="1" applyBorder="1" applyAlignment="1" applyProtection="1">
      <alignment wrapText="1"/>
    </xf>
    <xf numFmtId="0" fontId="25" fillId="39" borderId="0" xfId="71" applyNumberFormat="1" applyFont="1" applyFill="1" applyBorder="1" applyAlignment="1" applyProtection="1">
      <alignment vertical="top" wrapText="1"/>
    </xf>
    <xf numFmtId="0" fontId="0" fillId="39" borderId="0" xfId="0" applyNumberFormat="1" applyFill="1" applyAlignment="1" applyProtection="1">
      <alignment vertical="top"/>
    </xf>
    <xf numFmtId="170" fontId="74" fillId="0" borderId="172" xfId="79" applyNumberFormat="1" applyFont="1" applyFill="1" applyBorder="1" applyAlignment="1">
      <alignment horizontal="left"/>
    </xf>
    <xf numFmtId="170" fontId="71" fillId="0" borderId="172" xfId="79" applyNumberFormat="1" applyFont="1" applyFill="1" applyBorder="1"/>
    <xf numFmtId="171" fontId="25" fillId="40" borderId="72" xfId="71" applyNumberFormat="1" applyFont="1" applyFill="1" applyBorder="1" applyAlignment="1">
      <alignment horizontal="left"/>
    </xf>
    <xf numFmtId="171" fontId="25" fillId="40" borderId="17" xfId="71" applyNumberFormat="1" applyFont="1" applyFill="1" applyBorder="1" applyAlignment="1">
      <alignment horizontal="left"/>
    </xf>
    <xf numFmtId="171" fontId="25" fillId="0" borderId="17" xfId="71" applyNumberFormat="1" applyFont="1" applyFill="1" applyBorder="1" applyAlignment="1">
      <alignment horizontal="left"/>
    </xf>
    <xf numFmtId="171" fontId="25" fillId="0" borderId="19" xfId="71" applyNumberFormat="1" applyFont="1" applyFill="1" applyBorder="1" applyAlignment="1" applyProtection="1">
      <alignment horizontal="left" wrapText="1"/>
      <protection locked="0"/>
    </xf>
    <xf numFmtId="174" fontId="76" fillId="51" borderId="170" xfId="0" applyNumberFormat="1" applyFont="1" applyFill="1" applyBorder="1" applyAlignment="1" applyProtection="1">
      <alignment horizontal="left"/>
      <protection locked="0"/>
    </xf>
    <xf numFmtId="0" fontId="76" fillId="51" borderId="170" xfId="0" applyFont="1" applyFill="1" applyBorder="1" applyAlignment="1" applyProtection="1">
      <alignment horizontal="left"/>
      <protection locked="0"/>
    </xf>
    <xf numFmtId="3" fontId="74" fillId="0" borderId="26" xfId="41216" applyNumberFormat="1" applyFont="1" applyFill="1" applyBorder="1"/>
    <xf numFmtId="41" fontId="74" fillId="0" borderId="26" xfId="41219" applyNumberFormat="1" applyFont="1" applyFill="1" applyBorder="1"/>
    <xf numFmtId="41" fontId="89" fillId="0" borderId="26" xfId="41219" applyNumberFormat="1" applyFont="1" applyFill="1" applyBorder="1" applyAlignment="1">
      <alignment horizontal="center"/>
    </xf>
    <xf numFmtId="41" fontId="140" fillId="0" borderId="26" xfId="41219" applyNumberFormat="1" applyFont="1" applyFill="1" applyBorder="1" applyAlignment="1">
      <alignment horizontal="center"/>
    </xf>
    <xf numFmtId="41" fontId="74" fillId="0" borderId="26" xfId="41219" applyNumberFormat="1" applyFont="1" applyFill="1" applyBorder="1" applyAlignment="1">
      <alignment horizontal="center"/>
    </xf>
    <xf numFmtId="41" fontId="89" fillId="0" borderId="26" xfId="41219" applyNumberFormat="1" applyFont="1" applyFill="1" applyBorder="1"/>
    <xf numFmtId="41" fontId="89" fillId="0" borderId="112" xfId="41219" applyNumberFormat="1" applyFont="1" applyFill="1" applyBorder="1"/>
    <xf numFmtId="44" fontId="73" fillId="104" borderId="67" xfId="79" applyFont="1" applyFill="1" applyBorder="1" applyAlignment="1">
      <alignment horizontal="center" vertical="top" wrapText="1"/>
    </xf>
    <xf numFmtId="0" fontId="69" fillId="104" borderId="39" xfId="0" applyFont="1" applyFill="1" applyBorder="1" applyAlignment="1">
      <alignment horizontal="center"/>
    </xf>
    <xf numFmtId="0" fontId="69" fillId="105" borderId="38" xfId="0" applyFont="1" applyFill="1" applyBorder="1" applyAlignment="1">
      <alignment horizontal="center"/>
    </xf>
    <xf numFmtId="44" fontId="73" fillId="105" borderId="169" xfId="79" applyFont="1" applyFill="1" applyBorder="1" applyAlignment="1">
      <alignment horizontal="center" vertical="top" wrapText="1"/>
    </xf>
    <xf numFmtId="0" fontId="69" fillId="67" borderId="46" xfId="0" applyFont="1" applyFill="1" applyBorder="1" applyAlignment="1">
      <alignment horizontal="center"/>
    </xf>
    <xf numFmtId="0" fontId="69" fillId="105" borderId="46" xfId="0" applyFont="1" applyFill="1" applyBorder="1" applyAlignment="1">
      <alignment horizontal="center"/>
    </xf>
    <xf numFmtId="44" fontId="73" fillId="67" borderId="68" xfId="79" applyFont="1" applyFill="1" applyBorder="1" applyAlignment="1">
      <alignment horizontal="center" vertical="top" wrapText="1"/>
    </xf>
    <xf numFmtId="44" fontId="73" fillId="105" borderId="68" xfId="79" applyFont="1" applyFill="1" applyBorder="1" applyAlignment="1">
      <alignment horizontal="center" vertical="top" wrapText="1"/>
    </xf>
    <xf numFmtId="44" fontId="27" fillId="0" borderId="25" xfId="79" applyFont="1" applyFill="1" applyBorder="1" applyProtection="1"/>
    <xf numFmtId="0" fontId="0" fillId="0" borderId="171" xfId="335" applyFont="1" applyFill="1" applyBorder="1"/>
    <xf numFmtId="0" fontId="0" fillId="0" borderId="21" xfId="335" applyFont="1" applyFill="1" applyBorder="1"/>
    <xf numFmtId="0" fontId="0" fillId="0" borderId="171" xfId="0" applyFont="1" applyFill="1" applyBorder="1" applyProtection="1">
      <protection locked="0"/>
    </xf>
    <xf numFmtId="44" fontId="0" fillId="0" borderId="171" xfId="79" applyFont="1" applyFill="1" applyBorder="1" applyAlignment="1" applyProtection="1">
      <alignment horizontal="center" vertical="center"/>
      <protection locked="0"/>
    </xf>
    <xf numFmtId="44" fontId="25" fillId="38" borderId="171" xfId="79" applyFont="1" applyFill="1" applyBorder="1" applyProtection="1">
      <protection locked="0"/>
    </xf>
    <xf numFmtId="9" fontId="0" fillId="0" borderId="171" xfId="147" applyNumberFormat="1" applyFont="1" applyFill="1" applyBorder="1" applyAlignment="1" applyProtection="1">
      <alignment horizontal="right"/>
      <protection locked="0"/>
    </xf>
    <xf numFmtId="9" fontId="25" fillId="38" borderId="171" xfId="147" applyNumberFormat="1" applyFont="1" applyFill="1" applyBorder="1" applyAlignment="1" applyProtection="1">
      <alignment horizontal="right"/>
      <protection locked="0"/>
    </xf>
    <xf numFmtId="43" fontId="0" fillId="99" borderId="171" xfId="71" applyNumberFormat="1" applyFont="1" applyFill="1" applyBorder="1" applyProtection="1">
      <protection locked="0"/>
    </xf>
    <xf numFmtId="0" fontId="0" fillId="0" borderId="171" xfId="0" applyNumberFormat="1" applyFont="1" applyFill="1" applyBorder="1"/>
    <xf numFmtId="169" fontId="0" fillId="98" borderId="171" xfId="0" applyNumberFormat="1" applyFont="1" applyFill="1" applyBorder="1" applyAlignment="1">
      <alignment horizontal="center"/>
    </xf>
    <xf numFmtId="176" fontId="25" fillId="98" borderId="171" xfId="0" applyNumberFormat="1" applyFont="1" applyFill="1" applyBorder="1" applyAlignment="1" applyProtection="1">
      <alignment horizontal="center"/>
      <protection locked="0"/>
    </xf>
    <xf numFmtId="2" fontId="25" fillId="99" borderId="171" xfId="0" applyNumberFormat="1" applyFont="1" applyFill="1" applyBorder="1" applyAlignment="1" applyProtection="1">
      <alignment horizontal="right"/>
      <protection locked="0"/>
    </xf>
    <xf numFmtId="2" fontId="0" fillId="0" borderId="171" xfId="0" applyNumberFormat="1" applyFont="1" applyFill="1" applyBorder="1" applyAlignment="1" applyProtection="1">
      <alignment horizontal="right"/>
      <protection locked="0"/>
    </xf>
    <xf numFmtId="171" fontId="0" fillId="0" borderId="171" xfId="71" applyNumberFormat="1" applyFont="1" applyFill="1" applyBorder="1" applyAlignment="1" applyProtection="1">
      <alignment horizontal="right"/>
      <protection locked="0"/>
    </xf>
    <xf numFmtId="0" fontId="0" fillId="0" borderId="171" xfId="71" applyNumberFormat="1" applyFont="1" applyFill="1" applyBorder="1" applyAlignment="1" applyProtection="1">
      <alignment horizontal="left"/>
      <protection locked="0"/>
    </xf>
    <xf numFmtId="9" fontId="0" fillId="0" borderId="171" xfId="147" applyFont="1" applyFill="1" applyBorder="1" applyAlignment="1" applyProtection="1">
      <alignment horizontal="right"/>
      <protection locked="0"/>
    </xf>
    <xf numFmtId="0" fontId="96" fillId="0" borderId="71" xfId="0" applyFont="1" applyFill="1" applyBorder="1"/>
    <xf numFmtId="0" fontId="0" fillId="0" borderId="71" xfId="0" applyFill="1" applyBorder="1"/>
    <xf numFmtId="43" fontId="0" fillId="0" borderId="71" xfId="0" applyNumberFormat="1" applyFill="1" applyBorder="1"/>
    <xf numFmtId="171" fontId="138" fillId="0" borderId="71" xfId="71" applyNumberFormat="1" applyFont="1" applyBorder="1"/>
    <xf numFmtId="171" fontId="138" fillId="0" borderId="0" xfId="71" applyNumberFormat="1" applyFont="1" applyBorder="1" applyAlignment="1">
      <alignment horizontal="left" vertical="top" wrapText="1"/>
    </xf>
    <xf numFmtId="171" fontId="76" fillId="43" borderId="0" xfId="71" applyNumberFormat="1" applyFont="1" applyFill="1" applyBorder="1"/>
    <xf numFmtId="171" fontId="76" fillId="44" borderId="0" xfId="0" applyNumberFormat="1" applyFont="1" applyFill="1" applyBorder="1"/>
    <xf numFmtId="0" fontId="72" fillId="0" borderId="49" xfId="41216" applyFont="1" applyBorder="1" applyAlignment="1">
      <alignment horizontal="center" wrapText="1"/>
    </xf>
    <xf numFmtId="0" fontId="89" fillId="0" borderId="15" xfId="41216" applyFont="1" applyBorder="1" applyAlignment="1">
      <alignment horizontal="center" vertical="center" wrapText="1"/>
    </xf>
    <xf numFmtId="172" fontId="89" fillId="0" borderId="15" xfId="71" applyNumberFormat="1" applyFont="1" applyBorder="1" applyAlignment="1">
      <alignment horizontal="center" vertical="center" wrapText="1"/>
    </xf>
    <xf numFmtId="0" fontId="89" fillId="0" borderId="15" xfId="41216" applyFont="1" applyFill="1" applyBorder="1" applyAlignment="1">
      <alignment horizontal="center" vertical="center" wrapText="1"/>
    </xf>
    <xf numFmtId="0" fontId="89" fillId="0" borderId="16" xfId="41216" applyFont="1" applyFill="1" applyBorder="1" applyAlignment="1">
      <alignment horizontal="center" vertical="center" wrapText="1"/>
    </xf>
    <xf numFmtId="0" fontId="109" fillId="51" borderId="17" xfId="335" applyFont="1" applyFill="1" applyBorder="1"/>
    <xf numFmtId="0" fontId="109" fillId="51" borderId="19" xfId="335" applyFont="1" applyFill="1" applyBorder="1"/>
    <xf numFmtId="0" fontId="72" fillId="0" borderId="15" xfId="41216" applyFont="1" applyBorder="1" applyAlignment="1">
      <alignment horizontal="center" wrapText="1"/>
    </xf>
    <xf numFmtId="0" fontId="169" fillId="106" borderId="0" xfId="41216" applyFont="1" applyFill="1" applyBorder="1" applyAlignment="1">
      <alignment horizontal="left"/>
    </xf>
    <xf numFmtId="170" fontId="89" fillId="48" borderId="15" xfId="41216" applyNumberFormat="1" applyFont="1" applyFill="1" applyBorder="1" applyAlignment="1">
      <alignment horizontal="center" vertical="center" wrapText="1"/>
    </xf>
    <xf numFmtId="170" fontId="74" fillId="0" borderId="0" xfId="41216" applyNumberFormat="1" applyFont="1" applyBorder="1"/>
    <xf numFmtId="170" fontId="74" fillId="0" borderId="174" xfId="41216" applyNumberFormat="1" applyFont="1" applyBorder="1"/>
    <xf numFmtId="0" fontId="74" fillId="0" borderId="185" xfId="41216" applyFont="1" applyBorder="1"/>
    <xf numFmtId="170" fontId="74" fillId="0" borderId="185" xfId="79" applyNumberFormat="1" applyFont="1" applyBorder="1"/>
    <xf numFmtId="170" fontId="89" fillId="0" borderId="185" xfId="79" applyNumberFormat="1" applyFont="1" applyFill="1" applyBorder="1"/>
    <xf numFmtId="170" fontId="74" fillId="0" borderId="185" xfId="79" applyNumberFormat="1" applyFont="1" applyFill="1" applyBorder="1"/>
    <xf numFmtId="170" fontId="89" fillId="0" borderId="183" xfId="79" applyNumberFormat="1" applyFont="1" applyFill="1" applyBorder="1"/>
    <xf numFmtId="165" fontId="0" fillId="0" borderId="176" xfId="0" applyNumberFormat="1" applyFont="1" applyFill="1" applyBorder="1" applyProtection="1">
      <protection locked="0"/>
    </xf>
    <xf numFmtId="0" fontId="0" fillId="0" borderId="0" xfId="335" applyFont="1"/>
    <xf numFmtId="168" fontId="0" fillId="55" borderId="0" xfId="0" applyNumberFormat="1" applyFont="1" applyFill="1" applyBorder="1" applyAlignment="1" applyProtection="1">
      <alignment horizontal="center"/>
    </xf>
    <xf numFmtId="0" fontId="27" fillId="51" borderId="116" xfId="0" applyFont="1" applyFill="1" applyBorder="1" applyAlignment="1">
      <alignment horizontal="center"/>
    </xf>
    <xf numFmtId="0" fontId="27" fillId="51" borderId="0" xfId="0" applyFont="1" applyFill="1" applyAlignment="1">
      <alignment horizontal="center"/>
    </xf>
    <xf numFmtId="0" fontId="27" fillId="51" borderId="117" xfId="0" applyFont="1" applyFill="1" applyBorder="1" applyAlignment="1">
      <alignment horizontal="center"/>
    </xf>
    <xf numFmtId="0" fontId="27" fillId="51" borderId="102" xfId="0" applyFont="1" applyFill="1" applyBorder="1" applyAlignment="1">
      <alignment horizontal="center"/>
    </xf>
    <xf numFmtId="178" fontId="171" fillId="51" borderId="47" xfId="0" applyNumberFormat="1" applyFont="1" applyFill="1" applyBorder="1" applyAlignment="1">
      <alignment horizontal="center"/>
    </xf>
    <xf numFmtId="178" fontId="171" fillId="51" borderId="21" xfId="0" applyNumberFormat="1" applyFont="1" applyFill="1" applyBorder="1" applyAlignment="1">
      <alignment horizontal="center"/>
    </xf>
    <xf numFmtId="178" fontId="171" fillId="51" borderId="69" xfId="0" applyNumberFormat="1" applyFont="1" applyFill="1" applyBorder="1" applyAlignment="1">
      <alignment horizontal="center"/>
    </xf>
    <xf numFmtId="178" fontId="171" fillId="51" borderId="56" xfId="0" applyNumberFormat="1" applyFont="1" applyFill="1" applyBorder="1" applyAlignment="1">
      <alignment horizontal="center"/>
    </xf>
    <xf numFmtId="178" fontId="0" fillId="55" borderId="91" xfId="0" applyNumberFormat="1" applyFill="1" applyBorder="1" applyAlignment="1">
      <alignment horizontal="center"/>
    </xf>
    <xf numFmtId="178" fontId="0" fillId="55" borderId="21" xfId="0" applyNumberFormat="1" applyFill="1" applyBorder="1" applyAlignment="1">
      <alignment horizontal="center"/>
    </xf>
    <xf numFmtId="178" fontId="0" fillId="55" borderId="81" xfId="0" applyNumberFormat="1" applyFill="1" applyBorder="1" applyAlignment="1">
      <alignment horizontal="center"/>
    </xf>
    <xf numFmtId="178" fontId="0" fillId="55" borderId="120" xfId="0" applyNumberFormat="1" applyFill="1" applyBorder="1" applyAlignment="1">
      <alignment horizontal="center"/>
    </xf>
    <xf numFmtId="178" fontId="0" fillId="55" borderId="121" xfId="0" applyNumberFormat="1" applyFill="1" applyBorder="1" applyAlignment="1">
      <alignment horizontal="center"/>
    </xf>
    <xf numFmtId="178" fontId="0" fillId="55" borderId="122" xfId="0" applyNumberFormat="1" applyFill="1" applyBorder="1" applyAlignment="1">
      <alignment horizontal="center"/>
    </xf>
    <xf numFmtId="168" fontId="171" fillId="51" borderId="19" xfId="0" applyNumberFormat="1" applyFont="1" applyFill="1" applyBorder="1" applyAlignment="1">
      <alignment horizontal="center"/>
    </xf>
    <xf numFmtId="168" fontId="171" fillId="51" borderId="21" xfId="147" applyNumberFormat="1" applyFont="1" applyFill="1" applyBorder="1" applyAlignment="1" applyProtection="1">
      <alignment horizontal="center"/>
    </xf>
    <xf numFmtId="168" fontId="171" fillId="51" borderId="164" xfId="0" applyNumberFormat="1" applyFont="1" applyFill="1" applyBorder="1" applyAlignment="1">
      <alignment horizontal="center"/>
    </xf>
    <xf numFmtId="168" fontId="171" fillId="51" borderId="56" xfId="147" applyNumberFormat="1" applyFont="1" applyFill="1" applyBorder="1" applyAlignment="1" applyProtection="1">
      <alignment horizontal="center"/>
    </xf>
    <xf numFmtId="168" fontId="0" fillId="55" borderId="66" xfId="0" applyNumberFormat="1" applyFill="1" applyBorder="1" applyAlignment="1">
      <alignment horizontal="center"/>
    </xf>
    <xf numFmtId="168" fontId="0" fillId="55" borderId="124" xfId="0" applyNumberFormat="1" applyFill="1" applyBorder="1" applyAlignment="1">
      <alignment horizontal="center"/>
    </xf>
    <xf numFmtId="168" fontId="0" fillId="55" borderId="57" xfId="0" applyNumberFormat="1" applyFill="1" applyBorder="1" applyAlignment="1">
      <alignment horizontal="center"/>
    </xf>
    <xf numFmtId="168" fontId="0" fillId="55" borderId="125" xfId="0" applyNumberFormat="1" applyFill="1" applyBorder="1" applyAlignment="1">
      <alignment horizontal="center"/>
    </xf>
    <xf numFmtId="168" fontId="0" fillId="55" borderId="67" xfId="0" applyNumberFormat="1" applyFill="1" applyBorder="1" applyAlignment="1">
      <alignment horizontal="center"/>
    </xf>
    <xf numFmtId="168" fontId="0" fillId="55" borderId="126" xfId="0" applyNumberFormat="1" applyFill="1" applyBorder="1" applyAlignment="1">
      <alignment horizontal="center"/>
    </xf>
    <xf numFmtId="178" fontId="171" fillId="51" borderId="91" xfId="0" applyNumberFormat="1" applyFont="1" applyFill="1" applyBorder="1" applyAlignment="1">
      <alignment horizontal="center"/>
    </xf>
    <xf numFmtId="178" fontId="171" fillId="51" borderId="81" xfId="0" applyNumberFormat="1" applyFont="1" applyFill="1" applyBorder="1" applyAlignment="1">
      <alignment horizontal="center"/>
    </xf>
    <xf numFmtId="178" fontId="171" fillId="51" borderId="66" xfId="0" applyNumberFormat="1" applyFont="1" applyFill="1" applyBorder="1" applyAlignment="1">
      <alignment horizontal="center"/>
    </xf>
    <xf numFmtId="178" fontId="171" fillId="51" borderId="67" xfId="0" applyNumberFormat="1" applyFont="1" applyFill="1" applyBorder="1" applyAlignment="1">
      <alignment horizontal="center"/>
    </xf>
    <xf numFmtId="0" fontId="0" fillId="51" borderId="0" xfId="0" applyFill="1"/>
    <xf numFmtId="0" fontId="27" fillId="51" borderId="68" xfId="0" applyFont="1" applyFill="1" applyBorder="1" applyAlignment="1">
      <alignment horizontal="center"/>
    </xf>
    <xf numFmtId="0" fontId="0" fillId="51" borderId="102" xfId="0" applyFill="1" applyBorder="1"/>
    <xf numFmtId="0" fontId="27" fillId="51" borderId="127" xfId="0" applyFont="1" applyFill="1" applyBorder="1" applyAlignment="1">
      <alignment horizontal="center"/>
    </xf>
    <xf numFmtId="178" fontId="171" fillId="51" borderId="30" xfId="0" applyNumberFormat="1" applyFont="1" applyFill="1" applyBorder="1" applyAlignment="1">
      <alignment horizontal="center"/>
    </xf>
    <xf numFmtId="178" fontId="171" fillId="51" borderId="31" xfId="0" applyNumberFormat="1" applyFont="1" applyFill="1" applyBorder="1" applyAlignment="1">
      <alignment horizontal="center"/>
    </xf>
    <xf numFmtId="178" fontId="171" fillId="51" borderId="39" xfId="0" applyNumberFormat="1" applyFont="1" applyFill="1" applyBorder="1" applyAlignment="1">
      <alignment horizontal="center"/>
    </xf>
    <xf numFmtId="168" fontId="171" fillId="51" borderId="33" xfId="0" applyNumberFormat="1" applyFont="1" applyFill="1" applyBorder="1" applyAlignment="1">
      <alignment horizontal="center"/>
    </xf>
    <xf numFmtId="168" fontId="171" fillId="51" borderId="57" xfId="0" applyNumberFormat="1" applyFont="1" applyFill="1" applyBorder="1" applyAlignment="1">
      <alignment horizontal="center"/>
    </xf>
    <xf numFmtId="178" fontId="0" fillId="51" borderId="66" xfId="0" applyNumberFormat="1" applyFill="1" applyBorder="1" applyAlignment="1">
      <alignment horizontal="center"/>
    </xf>
    <xf numFmtId="178" fontId="0" fillId="51" borderId="56" xfId="0" applyNumberFormat="1" applyFill="1" applyBorder="1" applyAlignment="1">
      <alignment horizontal="center"/>
    </xf>
    <xf numFmtId="178" fontId="0" fillId="51" borderId="67" xfId="0" applyNumberFormat="1" applyFill="1" applyBorder="1" applyAlignment="1">
      <alignment horizontal="center"/>
    </xf>
    <xf numFmtId="168" fontId="0" fillId="51" borderId="164" xfId="0" applyNumberFormat="1" applyFill="1" applyBorder="1" applyAlignment="1">
      <alignment horizontal="center"/>
    </xf>
    <xf numFmtId="168" fontId="0" fillId="51" borderId="57" xfId="0" applyNumberFormat="1" applyFill="1" applyBorder="1" applyAlignment="1">
      <alignment horizontal="center"/>
    </xf>
    <xf numFmtId="178" fontId="0" fillId="51" borderId="124" xfId="0" applyNumberFormat="1" applyFill="1" applyBorder="1" applyAlignment="1">
      <alignment horizontal="center"/>
    </xf>
    <xf numFmtId="178" fontId="0" fillId="51" borderId="119" xfId="0" applyNumberFormat="1" applyFill="1" applyBorder="1" applyAlignment="1">
      <alignment horizontal="center"/>
    </xf>
    <xf numFmtId="178" fontId="0" fillId="51" borderId="126" xfId="0" applyNumberFormat="1" applyFill="1" applyBorder="1" applyAlignment="1">
      <alignment horizontal="center"/>
    </xf>
    <xf numFmtId="168" fontId="0" fillId="51" borderId="123" xfId="0" applyNumberFormat="1" applyFill="1" applyBorder="1" applyAlignment="1">
      <alignment horizontal="center"/>
    </xf>
    <xf numFmtId="168" fontId="0" fillId="51" borderId="125" xfId="0" applyNumberFormat="1" applyFill="1" applyBorder="1" applyAlignment="1">
      <alignment horizontal="center"/>
    </xf>
    <xf numFmtId="168" fontId="0" fillId="55" borderId="91" xfId="0" applyNumberFormat="1" applyFill="1" applyBorder="1" applyAlignment="1">
      <alignment horizontal="center"/>
    </xf>
    <xf numFmtId="168" fontId="0" fillId="55" borderId="33" xfId="0" applyNumberFormat="1" applyFill="1" applyBorder="1" applyAlignment="1">
      <alignment horizontal="center"/>
    </xf>
    <xf numFmtId="168" fontId="0" fillId="55" borderId="81" xfId="0" applyNumberFormat="1" applyFill="1" applyBorder="1" applyAlignment="1">
      <alignment horizontal="center"/>
    </xf>
    <xf numFmtId="168" fontId="0" fillId="55" borderId="120" xfId="0" applyNumberFormat="1" applyFill="1" applyBorder="1" applyAlignment="1">
      <alignment horizontal="center"/>
    </xf>
    <xf numFmtId="168" fontId="0" fillId="55" borderId="128" xfId="0" applyNumberFormat="1" applyFill="1" applyBorder="1" applyAlignment="1">
      <alignment horizontal="center"/>
    </xf>
    <xf numFmtId="168" fontId="0" fillId="55" borderId="122" xfId="0" applyNumberFormat="1" applyFill="1" applyBorder="1" applyAlignment="1">
      <alignment horizontal="center"/>
    </xf>
    <xf numFmtId="168" fontId="171" fillId="55" borderId="91" xfId="0" applyNumberFormat="1" applyFont="1" applyFill="1" applyBorder="1" applyAlignment="1">
      <alignment horizontal="center"/>
    </xf>
    <xf numFmtId="168" fontId="171" fillId="55" borderId="33" xfId="0" applyNumberFormat="1" applyFont="1" applyFill="1" applyBorder="1" applyAlignment="1">
      <alignment horizontal="center"/>
    </xf>
    <xf numFmtId="0" fontId="27" fillId="51" borderId="32" xfId="0" applyFont="1" applyFill="1" applyBorder="1" applyAlignment="1">
      <alignment horizontal="center" vertical="center"/>
    </xf>
    <xf numFmtId="178" fontId="78" fillId="51" borderId="66" xfId="0" applyNumberFormat="1" applyFont="1" applyFill="1" applyBorder="1" applyAlignment="1">
      <alignment horizontal="center"/>
    </xf>
    <xf numFmtId="178" fontId="78" fillId="51" borderId="124" xfId="0" applyNumberFormat="1" applyFont="1" applyFill="1" applyBorder="1" applyAlignment="1">
      <alignment horizontal="center"/>
    </xf>
    <xf numFmtId="0" fontId="126" fillId="51" borderId="0" xfId="0" applyFont="1" applyFill="1" applyAlignment="1">
      <alignment horizontal="center"/>
    </xf>
    <xf numFmtId="0" fontId="126" fillId="51" borderId="102" xfId="0" applyFont="1" applyFill="1" applyBorder="1" applyAlignment="1">
      <alignment horizontal="center"/>
    </xf>
    <xf numFmtId="168" fontId="171" fillId="51" borderId="66" xfId="0" applyNumberFormat="1" applyFont="1" applyFill="1" applyBorder="1" applyAlignment="1">
      <alignment horizontal="center"/>
    </xf>
    <xf numFmtId="168" fontId="171" fillId="55" borderId="81" xfId="0" applyNumberFormat="1" applyFont="1" applyFill="1" applyBorder="1" applyAlignment="1">
      <alignment horizontal="center"/>
    </xf>
    <xf numFmtId="178" fontId="171" fillId="51" borderId="124" xfId="0" applyNumberFormat="1" applyFont="1" applyFill="1" applyBorder="1" applyAlignment="1">
      <alignment horizontal="center"/>
    </xf>
    <xf numFmtId="178" fontId="171" fillId="51" borderId="119" xfId="0" applyNumberFormat="1" applyFont="1" applyFill="1" applyBorder="1" applyAlignment="1">
      <alignment horizontal="center"/>
    </xf>
    <xf numFmtId="178" fontId="171" fillId="51" borderId="126" xfId="0" applyNumberFormat="1" applyFont="1" applyFill="1" applyBorder="1" applyAlignment="1">
      <alignment horizontal="center"/>
    </xf>
    <xf numFmtId="168" fontId="171" fillId="51" borderId="124" xfId="0" applyNumberFormat="1" applyFont="1" applyFill="1" applyBorder="1" applyAlignment="1">
      <alignment horizontal="center"/>
    </xf>
    <xf numFmtId="168" fontId="171" fillId="51" borderId="125" xfId="0" applyNumberFormat="1" applyFont="1" applyFill="1" applyBorder="1" applyAlignment="1">
      <alignment horizontal="center"/>
    </xf>
    <xf numFmtId="168" fontId="171" fillId="55" borderId="120" xfId="0" applyNumberFormat="1" applyFont="1" applyFill="1" applyBorder="1" applyAlignment="1">
      <alignment horizontal="center"/>
    </xf>
    <xf numFmtId="168" fontId="171" fillId="55" borderId="128" xfId="0" applyNumberFormat="1" applyFont="1" applyFill="1" applyBorder="1" applyAlignment="1">
      <alignment horizontal="center"/>
    </xf>
    <xf numFmtId="168" fontId="171" fillId="55" borderId="122" xfId="0" applyNumberFormat="1" applyFont="1" applyFill="1" applyBorder="1" applyAlignment="1">
      <alignment horizontal="center"/>
    </xf>
    <xf numFmtId="168" fontId="171" fillId="51" borderId="105" xfId="0" applyNumberFormat="1" applyFont="1" applyFill="1" applyBorder="1" applyAlignment="1">
      <alignment horizontal="center"/>
    </xf>
    <xf numFmtId="168" fontId="171" fillId="51" borderId="68" xfId="0" applyNumberFormat="1" applyFont="1" applyFill="1" applyBorder="1" applyAlignment="1">
      <alignment horizontal="center"/>
    </xf>
    <xf numFmtId="168" fontId="171" fillId="51" borderId="91" xfId="0" applyNumberFormat="1" applyFont="1" applyFill="1" applyBorder="1" applyAlignment="1">
      <alignment horizontal="center"/>
    </xf>
    <xf numFmtId="168" fontId="171" fillId="51" borderId="21" xfId="0" applyNumberFormat="1" applyFont="1" applyFill="1" applyBorder="1" applyAlignment="1">
      <alignment horizontal="center"/>
    </xf>
    <xf numFmtId="168" fontId="171" fillId="51" borderId="56" xfId="0" applyNumberFormat="1" applyFont="1" applyFill="1" applyBorder="1" applyAlignment="1">
      <alignment horizontal="center"/>
    </xf>
    <xf numFmtId="168" fontId="0" fillId="51" borderId="66" xfId="0" applyNumberFormat="1" applyFill="1" applyBorder="1" applyAlignment="1">
      <alignment horizontal="center"/>
    </xf>
    <xf numFmtId="168" fontId="0" fillId="51" borderId="56" xfId="0" applyNumberFormat="1" applyFill="1" applyBorder="1" applyAlignment="1">
      <alignment horizontal="center"/>
    </xf>
    <xf numFmtId="168" fontId="0" fillId="51" borderId="124" xfId="0" applyNumberFormat="1" applyFill="1" applyBorder="1" applyAlignment="1">
      <alignment horizontal="center"/>
    </xf>
    <xf numFmtId="168" fontId="0" fillId="51" borderId="119" xfId="0" applyNumberFormat="1" applyFill="1" applyBorder="1" applyAlignment="1">
      <alignment horizontal="center"/>
    </xf>
    <xf numFmtId="178" fontId="171" fillId="55" borderId="91" xfId="0" applyNumberFormat="1" applyFont="1" applyFill="1" applyBorder="1" applyAlignment="1">
      <alignment horizontal="center"/>
    </xf>
    <xf numFmtId="178" fontId="171" fillId="55" borderId="21" xfId="0" applyNumberFormat="1" applyFont="1" applyFill="1" applyBorder="1" applyAlignment="1">
      <alignment horizontal="center"/>
    </xf>
    <xf numFmtId="178" fontId="171" fillId="55" borderId="81" xfId="0" applyNumberFormat="1" applyFont="1" applyFill="1" applyBorder="1" applyAlignment="1">
      <alignment horizontal="center"/>
    </xf>
    <xf numFmtId="178" fontId="171" fillId="55" borderId="120" xfId="0" applyNumberFormat="1" applyFont="1" applyFill="1" applyBorder="1" applyAlignment="1">
      <alignment horizontal="center"/>
    </xf>
    <xf numFmtId="178" fontId="171" fillId="55" borderId="121" xfId="0" applyNumberFormat="1" applyFont="1" applyFill="1" applyBorder="1" applyAlignment="1">
      <alignment horizontal="center"/>
    </xf>
    <xf numFmtId="178" fontId="171" fillId="55" borderId="122" xfId="0" applyNumberFormat="1" applyFont="1" applyFill="1" applyBorder="1" applyAlignment="1">
      <alignment horizontal="center"/>
    </xf>
    <xf numFmtId="0" fontId="27" fillId="97" borderId="38" xfId="0" applyFont="1" applyFill="1" applyBorder="1" applyAlignment="1">
      <alignment horizontal="center" vertical="center"/>
    </xf>
    <xf numFmtId="178" fontId="172" fillId="55" borderId="172" xfId="0" applyNumberFormat="1" applyFont="1" applyFill="1" applyBorder="1" applyAlignment="1">
      <alignment horizontal="center"/>
    </xf>
    <xf numFmtId="0" fontId="82" fillId="39" borderId="172" xfId="0" applyFont="1" applyFill="1" applyBorder="1" applyAlignment="1">
      <alignment horizontal="center" vertical="center"/>
    </xf>
    <xf numFmtId="178" fontId="172" fillId="51" borderId="18" xfId="0" applyNumberFormat="1" applyFont="1" applyFill="1" applyBorder="1" applyAlignment="1">
      <alignment horizontal="center"/>
    </xf>
    <xf numFmtId="178" fontId="172" fillId="51" borderId="171" xfId="0" applyNumberFormat="1" applyFont="1" applyFill="1" applyBorder="1" applyAlignment="1">
      <alignment horizontal="center"/>
    </xf>
    <xf numFmtId="178" fontId="172" fillId="41" borderId="172" xfId="0" applyNumberFormat="1" applyFont="1" applyFill="1" applyBorder="1" applyAlignment="1">
      <alignment horizontal="center"/>
    </xf>
    <xf numFmtId="180" fontId="172" fillId="41" borderId="172" xfId="71" applyNumberFormat="1" applyFont="1" applyFill="1" applyBorder="1" applyAlignment="1">
      <alignment horizontal="center"/>
    </xf>
    <xf numFmtId="178" fontId="172" fillId="55" borderId="176" xfId="0" applyNumberFormat="1" applyFont="1" applyFill="1" applyBorder="1" applyAlignment="1">
      <alignment horizontal="center"/>
    </xf>
    <xf numFmtId="180" fontId="172" fillId="41" borderId="171" xfId="71" applyNumberFormat="1" applyFont="1" applyFill="1" applyBorder="1" applyAlignment="1">
      <alignment horizontal="center"/>
    </xf>
    <xf numFmtId="180" fontId="172" fillId="41" borderId="18" xfId="71" applyNumberFormat="1" applyFont="1" applyFill="1" applyBorder="1" applyAlignment="1">
      <alignment horizontal="center"/>
    </xf>
    <xf numFmtId="14" fontId="0" fillId="0" borderId="0" xfId="0" applyNumberFormat="1" applyAlignment="1">
      <alignment horizontal="center"/>
    </xf>
    <xf numFmtId="0" fontId="0" fillId="0" borderId="0" xfId="0" applyFont="1" applyFill="1" applyBorder="1" applyAlignment="1">
      <alignment horizontal="center"/>
    </xf>
    <xf numFmtId="41" fontId="74" fillId="0" borderId="0" xfId="147" applyNumberFormat="1" applyFont="1" applyFill="1" applyBorder="1" applyAlignment="1">
      <alignment horizontal="center"/>
    </xf>
    <xf numFmtId="37" fontId="74" fillId="0" borderId="0" xfId="41216" applyNumberFormat="1" applyFont="1" applyFill="1" applyBorder="1" applyAlignment="1">
      <alignment horizontal="center"/>
    </xf>
    <xf numFmtId="201" fontId="75" fillId="0" borderId="0" xfId="41217" applyNumberFormat="1" applyFont="1"/>
    <xf numFmtId="170" fontId="58" fillId="0" borderId="0" xfId="79" applyNumberFormat="1" applyFont="1" applyFill="1" applyBorder="1"/>
    <xf numFmtId="170" fontId="76" fillId="0" borderId="0" xfId="305" applyNumberFormat="1" applyFont="1" applyFill="1" applyBorder="1"/>
    <xf numFmtId="9" fontId="0" fillId="42" borderId="186" xfId="147" applyFont="1" applyFill="1" applyBorder="1" applyAlignment="1" applyProtection="1">
      <alignment horizontal="center"/>
      <protection locked="0"/>
    </xf>
    <xf numFmtId="0" fontId="25" fillId="0" borderId="0" xfId="335"/>
    <xf numFmtId="0" fontId="0" fillId="0" borderId="0" xfId="335" applyFont="1" applyAlignment="1">
      <alignment vertical="center"/>
    </xf>
    <xf numFmtId="165" fontId="25" fillId="40" borderId="0" xfId="41222" applyNumberFormat="1" applyFont="1" applyFill="1" applyBorder="1" applyAlignment="1">
      <alignment horizontal="center" vertical="center"/>
    </xf>
    <xf numFmtId="4" fontId="25" fillId="40" borderId="18" xfId="335" applyNumberFormat="1" applyFill="1" applyBorder="1" applyAlignment="1">
      <alignment horizontal="center"/>
    </xf>
    <xf numFmtId="4" fontId="25" fillId="40" borderId="101" xfId="335" applyNumberFormat="1" applyFill="1" applyBorder="1" applyAlignment="1">
      <alignment horizontal="center"/>
    </xf>
    <xf numFmtId="0" fontId="27" fillId="51" borderId="0" xfId="335" applyFont="1" applyFill="1" applyAlignment="1">
      <alignment horizontal="left"/>
    </xf>
    <xf numFmtId="0" fontId="132" fillId="87" borderId="0" xfId="0" applyFont="1" applyFill="1" applyAlignment="1" applyProtection="1">
      <alignment vertical="center"/>
      <protection locked="0"/>
    </xf>
    <xf numFmtId="174" fontId="0" fillId="97" borderId="172" xfId="0" applyNumberFormat="1" applyFill="1" applyBorder="1" applyProtection="1">
      <protection locked="0"/>
    </xf>
    <xf numFmtId="174" fontId="0" fillId="97" borderId="0" xfId="0" applyNumberFormat="1" applyFill="1" applyProtection="1">
      <protection locked="0"/>
    </xf>
    <xf numFmtId="174" fontId="0" fillId="97" borderId="176" xfId="0" applyNumberFormat="1" applyFill="1" applyBorder="1" applyProtection="1">
      <protection locked="0"/>
    </xf>
    <xf numFmtId="174" fontId="0" fillId="97" borderId="33" xfId="0" applyNumberFormat="1" applyFill="1" applyBorder="1" applyProtection="1">
      <protection locked="0"/>
    </xf>
    <xf numFmtId="174" fontId="0" fillId="97" borderId="22" xfId="0" applyNumberFormat="1" applyFill="1" applyBorder="1" applyProtection="1">
      <protection locked="0"/>
    </xf>
    <xf numFmtId="173" fontId="0" fillId="97" borderId="18" xfId="0" applyNumberFormat="1" applyFill="1" applyBorder="1" applyProtection="1">
      <protection locked="0"/>
    </xf>
    <xf numFmtId="173" fontId="0" fillId="97" borderId="171" xfId="0" applyNumberFormat="1" applyFill="1" applyBorder="1" applyProtection="1">
      <protection locked="0"/>
    </xf>
    <xf numFmtId="174" fontId="0" fillId="97" borderId="71" xfId="0" applyNumberFormat="1" applyFill="1" applyBorder="1" applyProtection="1">
      <protection locked="0"/>
    </xf>
    <xf numFmtId="174" fontId="0" fillId="97" borderId="72" xfId="0" applyNumberFormat="1" applyFill="1" applyBorder="1" applyProtection="1">
      <protection locked="0"/>
    </xf>
    <xf numFmtId="174" fontId="0" fillId="97" borderId="17" xfId="0" applyNumberFormat="1" applyFill="1" applyBorder="1" applyProtection="1">
      <protection locked="0"/>
    </xf>
    <xf numFmtId="173" fontId="0" fillId="97" borderId="21" xfId="0" applyNumberFormat="1" applyFill="1" applyBorder="1" applyProtection="1">
      <protection locked="0"/>
    </xf>
    <xf numFmtId="174" fontId="0" fillId="97" borderId="19" xfId="0" applyNumberFormat="1" applyFill="1" applyBorder="1" applyProtection="1">
      <protection locked="0"/>
    </xf>
    <xf numFmtId="2" fontId="0" fillId="0" borderId="18" xfId="71" applyNumberFormat="1" applyFont="1" applyFill="1" applyBorder="1" applyProtection="1">
      <protection locked="0"/>
    </xf>
    <xf numFmtId="2" fontId="0" fillId="0" borderId="21" xfId="71" applyNumberFormat="1" applyFont="1" applyFill="1" applyBorder="1" applyProtection="1">
      <protection locked="0"/>
    </xf>
    <xf numFmtId="0" fontId="27" fillId="55" borderId="170" xfId="0" applyFont="1" applyFill="1" applyBorder="1"/>
    <xf numFmtId="165" fontId="27" fillId="55" borderId="144" xfId="0" applyNumberFormat="1" applyFont="1" applyFill="1" applyBorder="1" applyAlignment="1">
      <alignment horizontal="right"/>
    </xf>
    <xf numFmtId="0" fontId="0" fillId="55" borderId="172" xfId="0" applyFill="1" applyBorder="1"/>
    <xf numFmtId="0" fontId="0" fillId="55" borderId="0" xfId="0" applyFill="1"/>
    <xf numFmtId="165" fontId="0" fillId="55" borderId="135" xfId="0" applyNumberFormat="1" applyFill="1" applyBorder="1"/>
    <xf numFmtId="0" fontId="0" fillId="0" borderId="0" xfId="0" applyFont="1" applyFill="1" applyBorder="1" applyAlignment="1"/>
    <xf numFmtId="0" fontId="0" fillId="55" borderId="140" xfId="0" applyFill="1" applyBorder="1"/>
    <xf numFmtId="0" fontId="0" fillId="55" borderId="137" xfId="0" applyFill="1" applyBorder="1"/>
    <xf numFmtId="165" fontId="0" fillId="55" borderId="143" xfId="0" applyNumberFormat="1" applyFill="1" applyBorder="1"/>
    <xf numFmtId="165" fontId="0" fillId="97" borderId="72" xfId="0" applyNumberFormat="1" applyFont="1" applyFill="1" applyBorder="1" applyProtection="1">
      <protection locked="0"/>
    </xf>
    <xf numFmtId="165" fontId="0" fillId="97" borderId="17" xfId="0" applyNumberFormat="1" applyFont="1" applyFill="1" applyBorder="1" applyProtection="1">
      <protection locked="0"/>
    </xf>
    <xf numFmtId="165" fontId="0" fillId="97" borderId="19" xfId="0" applyNumberFormat="1" applyFont="1" applyFill="1" applyBorder="1" applyProtection="1">
      <protection locked="0"/>
    </xf>
    <xf numFmtId="165" fontId="0" fillId="97" borderId="33" xfId="0" applyNumberFormat="1" applyFont="1" applyFill="1" applyBorder="1" applyProtection="1">
      <protection locked="0"/>
    </xf>
    <xf numFmtId="2" fontId="0" fillId="51" borderId="129" xfId="0" applyNumberFormat="1" applyFill="1" applyBorder="1" applyAlignment="1">
      <alignment horizontal="center"/>
    </xf>
    <xf numFmtId="2" fontId="0" fillId="51" borderId="71" xfId="0" applyNumberFormat="1" applyFill="1" applyBorder="1" applyAlignment="1">
      <alignment horizontal="center"/>
    </xf>
    <xf numFmtId="2" fontId="0" fillId="51" borderId="72" xfId="0" applyNumberFormat="1" applyFill="1" applyBorder="1" applyAlignment="1">
      <alignment horizontal="center"/>
    </xf>
    <xf numFmtId="2" fontId="0" fillId="51" borderId="0" xfId="0" applyNumberFormat="1" applyFill="1" applyAlignment="1">
      <alignment horizontal="center"/>
    </xf>
    <xf numFmtId="2" fontId="0" fillId="51" borderId="176" xfId="0" applyNumberFormat="1" applyFill="1" applyBorder="1" applyAlignment="1">
      <alignment horizontal="center"/>
    </xf>
    <xf numFmtId="2" fontId="0" fillId="51" borderId="130" xfId="0" applyNumberFormat="1" applyFill="1" applyBorder="1" applyAlignment="1">
      <alignment horizontal="center"/>
    </xf>
    <xf numFmtId="2" fontId="0" fillId="51" borderId="24" xfId="0" applyNumberFormat="1" applyFill="1" applyBorder="1" applyAlignment="1">
      <alignment horizontal="center"/>
    </xf>
    <xf numFmtId="2" fontId="0" fillId="51" borderId="17" xfId="0" applyNumberFormat="1" applyFill="1" applyBorder="1" applyAlignment="1">
      <alignment horizontal="center"/>
    </xf>
    <xf numFmtId="2" fontId="0" fillId="51" borderId="172" xfId="0" applyNumberFormat="1" applyFill="1" applyBorder="1" applyAlignment="1">
      <alignment horizontal="center"/>
    </xf>
    <xf numFmtId="2" fontId="0" fillId="51" borderId="80" xfId="0" applyNumberFormat="1" applyFill="1" applyBorder="1" applyAlignment="1">
      <alignment horizontal="center"/>
    </xf>
    <xf numFmtId="2" fontId="0" fillId="51" borderId="138" xfId="0" applyNumberFormat="1" applyFill="1" applyBorder="1" applyAlignment="1">
      <alignment horizontal="center"/>
    </xf>
    <xf numFmtId="2" fontId="0" fillId="51" borderId="137" xfId="0" applyNumberFormat="1" applyFill="1" applyBorder="1" applyAlignment="1">
      <alignment horizontal="center"/>
    </xf>
    <xf numFmtId="2" fontId="0" fillId="51" borderId="139" xfId="0" applyNumberFormat="1" applyFill="1" applyBorder="1" applyAlignment="1">
      <alignment horizontal="center"/>
    </xf>
    <xf numFmtId="2" fontId="0" fillId="51" borderId="140" xfId="0" applyNumberFormat="1" applyFill="1" applyBorder="1" applyAlignment="1">
      <alignment horizontal="center"/>
    </xf>
    <xf numFmtId="2" fontId="0" fillId="51" borderId="141" xfId="0" applyNumberFormat="1" applyFill="1" applyBorder="1" applyAlignment="1">
      <alignment horizontal="center"/>
    </xf>
    <xf numFmtId="0" fontId="0" fillId="51" borderId="134" xfId="0" applyFill="1" applyBorder="1" applyAlignment="1">
      <alignment horizontal="center"/>
    </xf>
    <xf numFmtId="0" fontId="0" fillId="51" borderId="0" xfId="0" applyFill="1" applyAlignment="1">
      <alignment horizontal="center"/>
    </xf>
    <xf numFmtId="0" fontId="0" fillId="51" borderId="136" xfId="0" applyFill="1" applyBorder="1" applyAlignment="1">
      <alignment horizontal="center"/>
    </xf>
    <xf numFmtId="0" fontId="0" fillId="51" borderId="137" xfId="0" applyFill="1" applyBorder="1" applyAlignment="1">
      <alignment horizontal="center"/>
    </xf>
    <xf numFmtId="2" fontId="0" fillId="51" borderId="93" xfId="0" applyNumberFormat="1" applyFill="1" applyBorder="1" applyAlignment="1">
      <alignment horizontal="center"/>
    </xf>
    <xf numFmtId="0" fontId="0" fillId="51" borderId="28" xfId="0" applyFill="1" applyBorder="1" applyAlignment="1">
      <alignment horizontal="center"/>
    </xf>
    <xf numFmtId="2" fontId="0" fillId="51" borderId="51" xfId="0" applyNumberFormat="1" applyFill="1" applyBorder="1" applyAlignment="1">
      <alignment horizontal="center"/>
    </xf>
    <xf numFmtId="2" fontId="0" fillId="51" borderId="28" xfId="0" applyNumberFormat="1" applyFill="1" applyBorder="1" applyAlignment="1">
      <alignment horizontal="center"/>
    </xf>
    <xf numFmtId="2" fontId="0" fillId="51" borderId="104" xfId="0" applyNumberFormat="1" applyFill="1" applyBorder="1" applyAlignment="1">
      <alignment horizontal="center"/>
    </xf>
    <xf numFmtId="2" fontId="0" fillId="51" borderId="49" xfId="0" applyNumberFormat="1" applyFill="1" applyBorder="1" applyAlignment="1">
      <alignment horizontal="center"/>
    </xf>
    <xf numFmtId="178" fontId="0" fillId="51" borderId="49" xfId="0" applyNumberFormat="1" applyFill="1" applyBorder="1" applyAlignment="1">
      <alignment horizontal="center"/>
    </xf>
    <xf numFmtId="178" fontId="0" fillId="51" borderId="142" xfId="0" applyNumberFormat="1" applyFill="1" applyBorder="1" applyAlignment="1">
      <alignment horizontal="center"/>
    </xf>
    <xf numFmtId="2" fontId="0" fillId="51" borderId="0" xfId="0" applyNumberFormat="1" applyFill="1"/>
    <xf numFmtId="0" fontId="0" fillId="51" borderId="0" xfId="0" applyFill="1" applyProtection="1">
      <protection locked="0"/>
    </xf>
    <xf numFmtId="2" fontId="0" fillId="51" borderId="137" xfId="0" applyNumberFormat="1" applyFill="1" applyBorder="1"/>
    <xf numFmtId="0" fontId="0" fillId="51" borderId="137" xfId="0" applyFill="1" applyBorder="1" applyProtection="1">
      <protection locked="0"/>
    </xf>
    <xf numFmtId="0" fontId="130" fillId="51" borderId="24" xfId="0" applyFont="1" applyFill="1" applyBorder="1"/>
    <xf numFmtId="0" fontId="0" fillId="51" borderId="26" xfId="0" applyFill="1" applyBorder="1" applyProtection="1">
      <protection locked="0"/>
    </xf>
    <xf numFmtId="0" fontId="0" fillId="51" borderId="135" xfId="0" applyFill="1" applyBorder="1" applyProtection="1">
      <protection locked="0"/>
    </xf>
    <xf numFmtId="0" fontId="0" fillId="51" borderId="24" xfId="0" applyFill="1" applyBorder="1" applyAlignment="1" applyProtection="1">
      <alignment horizontal="center"/>
      <protection locked="0"/>
    </xf>
    <xf numFmtId="0" fontId="0" fillId="51" borderId="0" xfId="0" applyFill="1" applyAlignment="1" applyProtection="1">
      <alignment horizontal="center"/>
      <protection locked="0"/>
    </xf>
    <xf numFmtId="0" fontId="0" fillId="94" borderId="0" xfId="0" applyFill="1" applyAlignment="1" applyProtection="1">
      <alignment horizontal="center"/>
      <protection locked="0"/>
    </xf>
    <xf numFmtId="0" fontId="0" fillId="51" borderId="26" xfId="0" applyFill="1" applyBorder="1" applyAlignment="1" applyProtection="1">
      <alignment horizontal="center"/>
      <protection locked="0"/>
    </xf>
    <xf numFmtId="0" fontId="0" fillId="94" borderId="135" xfId="0" applyFill="1" applyBorder="1" applyAlignment="1" applyProtection="1">
      <alignment horizontal="center"/>
      <protection locked="0"/>
    </xf>
    <xf numFmtId="0" fontId="0" fillId="51" borderId="24" xfId="0" applyFill="1" applyBorder="1" applyProtection="1">
      <protection locked="0"/>
    </xf>
    <xf numFmtId="0" fontId="130" fillId="51" borderId="134" xfId="0" applyFont="1" applyFill="1" applyBorder="1"/>
    <xf numFmtId="0" fontId="0" fillId="51" borderId="134" xfId="0" applyFill="1" applyBorder="1" applyAlignment="1" applyProtection="1">
      <alignment horizontal="center"/>
      <protection locked="0"/>
    </xf>
    <xf numFmtId="0" fontId="0" fillId="51" borderId="26" xfId="0" applyFill="1" applyBorder="1"/>
    <xf numFmtId="0" fontId="130" fillId="51" borderId="109" xfId="0" applyFont="1" applyFill="1" applyBorder="1"/>
    <xf numFmtId="0" fontId="76" fillId="51" borderId="0" xfId="0" applyFont="1" applyFill="1" applyAlignment="1" applyProtection="1">
      <alignment horizontal="center"/>
      <protection locked="0"/>
    </xf>
    <xf numFmtId="0" fontId="54" fillId="51" borderId="109" xfId="0" applyFont="1" applyFill="1" applyBorder="1" applyAlignment="1">
      <alignment horizontal="left"/>
    </xf>
    <xf numFmtId="0" fontId="54" fillId="51" borderId="0" xfId="0" applyFont="1" applyFill="1" applyAlignment="1">
      <alignment horizontal="left"/>
    </xf>
    <xf numFmtId="0" fontId="27" fillId="51" borderId="41" xfId="0" applyFont="1" applyFill="1" applyBorder="1" applyAlignment="1">
      <alignment horizontal="center" vertical="center"/>
    </xf>
    <xf numFmtId="0" fontId="27" fillId="51" borderId="52" xfId="0" applyFont="1" applyFill="1" applyBorder="1" applyAlignment="1">
      <alignment horizontal="center" vertical="center"/>
    </xf>
    <xf numFmtId="0" fontId="27" fillId="51" borderId="32" xfId="0" applyFont="1" applyFill="1" applyBorder="1" applyAlignment="1">
      <alignment horizontal="center" vertical="center" wrapText="1"/>
    </xf>
    <xf numFmtId="0" fontId="27" fillId="51" borderId="41" xfId="0" applyFont="1" applyFill="1" applyBorder="1" applyAlignment="1">
      <alignment horizontal="center" vertical="center" wrapText="1"/>
    </xf>
    <xf numFmtId="0" fontId="27" fillId="51" borderId="42" xfId="0" applyFont="1" applyFill="1" applyBorder="1" applyAlignment="1">
      <alignment horizontal="center" vertical="center" wrapText="1"/>
    </xf>
    <xf numFmtId="2" fontId="27" fillId="51" borderId="43" xfId="0" applyNumberFormat="1" applyFont="1" applyFill="1" applyBorder="1" applyAlignment="1">
      <alignment horizontal="center" vertical="center" wrapText="1"/>
    </xf>
    <xf numFmtId="178" fontId="0" fillId="51" borderId="69" xfId="0" applyNumberFormat="1" applyFill="1" applyBorder="1" applyAlignment="1">
      <alignment horizontal="center"/>
    </xf>
    <xf numFmtId="178" fontId="0" fillId="51" borderId="118" xfId="0" applyNumberFormat="1" applyFill="1" applyBorder="1" applyAlignment="1">
      <alignment horizontal="center"/>
    </xf>
    <xf numFmtId="168" fontId="0" fillId="51" borderId="56" xfId="147" applyNumberFormat="1" applyFont="1" applyFill="1" applyBorder="1" applyAlignment="1" applyProtection="1">
      <alignment horizontal="center"/>
    </xf>
    <xf numFmtId="168" fontId="0" fillId="51" borderId="119" xfId="147" applyNumberFormat="1" applyFont="1" applyFill="1" applyBorder="1" applyAlignment="1" applyProtection="1">
      <alignment horizontal="center"/>
    </xf>
    <xf numFmtId="0" fontId="27" fillId="51" borderId="42" xfId="0" applyFont="1" applyFill="1" applyBorder="1" applyAlignment="1">
      <alignment horizontal="center" vertical="center"/>
    </xf>
    <xf numFmtId="0" fontId="27" fillId="51" borderId="43" xfId="0" applyFont="1" applyFill="1" applyBorder="1" applyAlignment="1">
      <alignment horizontal="center" vertical="center"/>
    </xf>
    <xf numFmtId="2" fontId="27" fillId="51" borderId="41" xfId="0" applyNumberFormat="1" applyFont="1" applyFill="1" applyBorder="1" applyAlignment="1">
      <alignment horizontal="center" vertical="center" wrapText="1"/>
    </xf>
    <xf numFmtId="178" fontId="0" fillId="51" borderId="91" xfId="0" applyNumberFormat="1" applyFill="1" applyBorder="1" applyAlignment="1">
      <alignment horizontal="center"/>
    </xf>
    <xf numFmtId="178" fontId="0" fillId="51" borderId="21" xfId="0" applyNumberFormat="1" applyFill="1" applyBorder="1" applyAlignment="1">
      <alignment horizontal="center"/>
    </xf>
    <xf numFmtId="178" fontId="0" fillId="51" borderId="81" xfId="0" applyNumberFormat="1" applyFill="1" applyBorder="1" applyAlignment="1">
      <alignment horizontal="center"/>
    </xf>
    <xf numFmtId="178" fontId="78" fillId="51" borderId="67" xfId="0" applyNumberFormat="1" applyFont="1" applyFill="1" applyBorder="1" applyAlignment="1">
      <alignment horizontal="center"/>
    </xf>
    <xf numFmtId="178" fontId="78" fillId="51" borderId="126" xfId="0" applyNumberFormat="1" applyFont="1" applyFill="1" applyBorder="1" applyAlignment="1">
      <alignment horizontal="center"/>
    </xf>
    <xf numFmtId="0" fontId="27" fillId="51" borderId="130" xfId="0" applyFont="1" applyFill="1" applyBorder="1" applyAlignment="1">
      <alignment horizontal="center" vertical="center" wrapText="1"/>
    </xf>
    <xf numFmtId="0" fontId="130" fillId="51" borderId="148" xfId="0" applyFont="1" applyFill="1" applyBorder="1"/>
    <xf numFmtId="0" fontId="0" fillId="51" borderId="148" xfId="0" applyFill="1" applyBorder="1" applyAlignment="1" applyProtection="1">
      <alignment horizontal="center"/>
      <protection locked="0"/>
    </xf>
    <xf numFmtId="0" fontId="0" fillId="95" borderId="0" xfId="0" applyFill="1" applyAlignment="1" applyProtection="1">
      <alignment horizontal="center"/>
      <protection locked="0"/>
    </xf>
    <xf numFmtId="0" fontId="120" fillId="51" borderId="148" xfId="0" applyFont="1" applyFill="1" applyBorder="1" applyAlignment="1">
      <alignment horizontal="left"/>
    </xf>
    <xf numFmtId="0" fontId="113" fillId="51" borderId="0" xfId="0" applyFont="1" applyFill="1" applyAlignment="1">
      <alignment horizontal="center" vertical="center" wrapText="1"/>
    </xf>
    <xf numFmtId="0" fontId="113" fillId="51" borderId="172" xfId="0" applyFont="1" applyFill="1" applyBorder="1" applyAlignment="1">
      <alignment horizontal="center" vertical="center" wrapText="1"/>
    </xf>
    <xf numFmtId="0" fontId="113" fillId="51" borderId="0" xfId="0" applyFont="1" applyFill="1" applyAlignment="1">
      <alignment horizontal="left" vertical="center" wrapText="1" indent="1"/>
    </xf>
    <xf numFmtId="0" fontId="113" fillId="51" borderId="172" xfId="0" applyFont="1" applyFill="1" applyBorder="1" applyAlignment="1">
      <alignment horizontal="left" vertical="center" wrapText="1" indent="1"/>
    </xf>
    <xf numFmtId="8" fontId="122" fillId="51" borderId="0" xfId="0" applyNumberFormat="1" applyFont="1" applyFill="1" applyAlignment="1">
      <alignment horizontal="center" vertical="center" wrapText="1"/>
    </xf>
    <xf numFmtId="8" fontId="122" fillId="51" borderId="172" xfId="0" applyNumberFormat="1" applyFont="1" applyFill="1" applyBorder="1" applyAlignment="1">
      <alignment horizontal="center" vertical="center" wrapText="1"/>
    </xf>
    <xf numFmtId="0" fontId="0" fillId="0" borderId="0" xfId="0" applyProtection="1">
      <protection locked="0"/>
    </xf>
    <xf numFmtId="0" fontId="0" fillId="51" borderId="149" xfId="0" applyFill="1" applyBorder="1" applyAlignment="1" applyProtection="1">
      <alignment horizontal="center"/>
      <protection locked="0"/>
    </xf>
    <xf numFmtId="0" fontId="0" fillId="0" borderId="0" xfId="0" applyAlignment="1" applyProtection="1">
      <alignment horizontal="center"/>
      <protection locked="0"/>
    </xf>
    <xf numFmtId="0" fontId="0" fillId="51" borderId="149" xfId="0" applyFill="1" applyBorder="1" applyProtection="1">
      <protection locked="0"/>
    </xf>
    <xf numFmtId="0" fontId="0" fillId="51" borderId="47" xfId="0" applyFill="1" applyBorder="1" applyAlignment="1">
      <alignment horizontal="center"/>
    </xf>
    <xf numFmtId="2" fontId="0" fillId="51" borderId="91" xfId="0" applyNumberFormat="1" applyFill="1" applyBorder="1" applyAlignment="1">
      <alignment horizontal="center"/>
    </xf>
    <xf numFmtId="2" fontId="0" fillId="51" borderId="21" xfId="0" applyNumberFormat="1" applyFill="1" applyBorder="1" applyAlignment="1">
      <alignment horizontal="center"/>
    </xf>
    <xf numFmtId="181" fontId="0" fillId="51" borderId="21" xfId="0" applyNumberFormat="1" applyFill="1" applyBorder="1" applyAlignment="1">
      <alignment horizontal="center"/>
    </xf>
    <xf numFmtId="2" fontId="0" fillId="51" borderId="152" xfId="0" applyNumberFormat="1" applyFill="1" applyBorder="1" applyAlignment="1">
      <alignment horizontal="center"/>
    </xf>
    <xf numFmtId="0" fontId="0" fillId="51" borderId="69" xfId="0" applyFill="1" applyBorder="1" applyAlignment="1">
      <alignment horizontal="center"/>
    </xf>
    <xf numFmtId="2" fontId="0" fillId="51" borderId="66" xfId="0" applyNumberFormat="1" applyFill="1" applyBorder="1" applyAlignment="1">
      <alignment horizontal="center"/>
    </xf>
    <xf numFmtId="2" fontId="0" fillId="51" borderId="56" xfId="0" applyNumberFormat="1" applyFill="1" applyBorder="1" applyAlignment="1">
      <alignment horizontal="center"/>
    </xf>
    <xf numFmtId="181" fontId="0" fillId="51" borderId="56" xfId="0" applyNumberFormat="1" applyFill="1" applyBorder="1" applyAlignment="1">
      <alignment horizontal="center"/>
    </xf>
    <xf numFmtId="2" fontId="0" fillId="51" borderId="153" xfId="0" applyNumberFormat="1" applyFill="1" applyBorder="1" applyAlignment="1">
      <alignment horizontal="center"/>
    </xf>
    <xf numFmtId="0" fontId="0" fillId="0" borderId="156" xfId="0" applyBorder="1" applyProtection="1">
      <protection locked="0"/>
    </xf>
    <xf numFmtId="0" fontId="0" fillId="51" borderId="160" xfId="0" applyFill="1" applyBorder="1" applyAlignment="1">
      <alignment horizontal="center"/>
    </xf>
    <xf numFmtId="2" fontId="0" fillId="51" borderId="161" xfId="0" applyNumberFormat="1" applyFill="1" applyBorder="1" applyAlignment="1">
      <alignment horizontal="center"/>
    </xf>
    <xf numFmtId="2" fontId="0" fillId="51" borderId="162" xfId="0" applyNumberFormat="1" applyFill="1" applyBorder="1" applyAlignment="1">
      <alignment horizontal="center"/>
    </xf>
    <xf numFmtId="181" fontId="0" fillId="51" borderId="162" xfId="0" applyNumberFormat="1" applyFill="1" applyBorder="1" applyAlignment="1">
      <alignment horizontal="center"/>
    </xf>
    <xf numFmtId="2" fontId="0" fillId="51" borderId="163" xfId="0" applyNumberFormat="1" applyFill="1" applyBorder="1" applyAlignment="1">
      <alignment horizontal="center"/>
    </xf>
    <xf numFmtId="165" fontId="134" fillId="51" borderId="59" xfId="0" applyNumberFormat="1" applyFont="1" applyFill="1" applyBorder="1" applyAlignment="1" applyProtection="1">
      <alignment horizontal="center"/>
      <protection locked="0"/>
    </xf>
    <xf numFmtId="165" fontId="0" fillId="0" borderId="0" xfId="0" applyNumberFormat="1" applyFont="1" applyProtection="1">
      <protection locked="0"/>
    </xf>
    <xf numFmtId="165" fontId="133" fillId="92" borderId="59" xfId="0" applyNumberFormat="1" applyFont="1" applyFill="1" applyBorder="1" applyAlignment="1" applyProtection="1">
      <alignment horizontal="center"/>
      <protection locked="0"/>
    </xf>
    <xf numFmtId="168" fontId="0" fillId="51" borderId="68" xfId="0" applyNumberFormat="1" applyFill="1" applyBorder="1" applyAlignment="1">
      <alignment horizontal="center"/>
    </xf>
    <xf numFmtId="168" fontId="0" fillId="51" borderId="127" xfId="0" applyNumberFormat="1" applyFill="1" applyBorder="1" applyAlignment="1">
      <alignment horizontal="center"/>
    </xf>
    <xf numFmtId="0" fontId="27" fillId="97" borderId="66" xfId="0" applyFont="1" applyFill="1" applyBorder="1" applyAlignment="1">
      <alignment horizontal="center" vertical="center" wrapText="1"/>
    </xf>
    <xf numFmtId="0" fontId="27" fillId="97" borderId="56" xfId="0" applyFont="1" applyFill="1" applyBorder="1" applyAlignment="1">
      <alignment horizontal="center" vertical="center" wrapText="1"/>
    </xf>
    <xf numFmtId="0" fontId="27" fillId="97" borderId="67" xfId="0" applyFont="1" applyFill="1" applyBorder="1" applyAlignment="1">
      <alignment horizontal="center" vertical="center" wrapText="1"/>
    </xf>
    <xf numFmtId="0" fontId="27" fillId="97" borderId="130" xfId="0" applyFont="1" applyFill="1" applyBorder="1" applyAlignment="1">
      <alignment horizontal="center" vertical="center" wrapText="1"/>
    </xf>
    <xf numFmtId="0" fontId="27" fillId="97" borderId="169" xfId="0" applyFont="1" applyFill="1" applyBorder="1" applyAlignment="1">
      <alignment horizontal="center" vertical="center" wrapText="1"/>
    </xf>
    <xf numFmtId="0" fontId="0" fillId="38" borderId="0" xfId="0" applyFill="1" applyAlignment="1" applyProtection="1">
      <alignment horizontal="center"/>
      <protection locked="0"/>
    </xf>
    <xf numFmtId="43" fontId="76" fillId="55" borderId="56" xfId="71" applyFont="1" applyFill="1" applyBorder="1" applyAlignment="1">
      <alignment horizontal="center"/>
    </xf>
    <xf numFmtId="43" fontId="76" fillId="103" borderId="56" xfId="71" applyFont="1" applyFill="1" applyBorder="1" applyAlignment="1">
      <alignment horizontal="center"/>
    </xf>
    <xf numFmtId="0" fontId="173" fillId="54" borderId="170" xfId="116" applyFont="1" applyFill="1" applyBorder="1"/>
    <xf numFmtId="180" fontId="76" fillId="51" borderId="164" xfId="71" applyNumberFormat="1" applyFont="1" applyFill="1" applyBorder="1" applyAlignment="1" applyProtection="1">
      <alignment horizontal="right" wrapText="1"/>
      <protection locked="0"/>
    </xf>
    <xf numFmtId="0" fontId="161" fillId="51" borderId="170" xfId="0" applyFont="1" applyFill="1" applyBorder="1" applyAlignment="1" applyProtection="1">
      <protection locked="0"/>
    </xf>
    <xf numFmtId="0" fontId="161" fillId="51" borderId="170" xfId="0" applyFont="1" applyFill="1" applyBorder="1" applyAlignment="1" applyProtection="1">
      <alignment wrapText="1"/>
      <protection locked="0"/>
    </xf>
    <xf numFmtId="0" fontId="56" fillId="51" borderId="170" xfId="0" applyFont="1" applyFill="1" applyBorder="1" applyAlignment="1" applyProtection="1">
      <protection locked="0"/>
    </xf>
    <xf numFmtId="0" fontId="76" fillId="0" borderId="0" xfId="0" applyFont="1" applyFill="1"/>
    <xf numFmtId="180" fontId="76" fillId="97" borderId="17" xfId="71" applyNumberFormat="1" applyFont="1" applyFill="1" applyBorder="1" applyProtection="1">
      <protection locked="0"/>
    </xf>
    <xf numFmtId="202" fontId="74" fillId="0" borderId="0" xfId="147" applyNumberFormat="1" applyFont="1" applyFill="1" applyBorder="1" applyAlignment="1">
      <alignment horizontal="center"/>
    </xf>
    <xf numFmtId="180" fontId="76" fillId="97" borderId="78" xfId="71" applyNumberFormat="1" applyFont="1" applyFill="1" applyBorder="1" applyProtection="1">
      <protection locked="0"/>
    </xf>
    <xf numFmtId="180" fontId="76" fillId="97" borderId="19" xfId="71" applyNumberFormat="1" applyFont="1" applyFill="1" applyBorder="1" applyProtection="1">
      <protection locked="0"/>
    </xf>
    <xf numFmtId="180" fontId="76" fillId="97" borderId="72" xfId="71" applyNumberFormat="1" applyFont="1" applyFill="1" applyBorder="1" applyProtection="1">
      <protection locked="0"/>
    </xf>
    <xf numFmtId="0" fontId="72" fillId="106" borderId="165" xfId="41216" applyFont="1" applyFill="1" applyBorder="1" applyAlignment="1">
      <alignment horizontal="center" vertical="center" wrapText="1"/>
    </xf>
    <xf numFmtId="2" fontId="25" fillId="0" borderId="18" xfId="0" applyNumberFormat="1" applyFont="1" applyFill="1" applyBorder="1" applyAlignment="1" applyProtection="1">
      <alignment horizontal="right"/>
      <protection locked="0"/>
    </xf>
    <xf numFmtId="43" fontId="0" fillId="0" borderId="18" xfId="71" applyNumberFormat="1" applyFont="1" applyFill="1" applyBorder="1" applyProtection="1">
      <protection locked="0"/>
    </xf>
    <xf numFmtId="0" fontId="0" fillId="0" borderId="71" xfId="335" applyFont="1" applyBorder="1" applyAlignment="1">
      <alignment horizontal="left" vertical="top" wrapText="1"/>
    </xf>
    <xf numFmtId="0" fontId="0" fillId="107" borderId="0" xfId="335" applyFont="1" applyFill="1" applyAlignment="1">
      <alignment horizontal="left" vertical="center" wrapText="1"/>
    </xf>
    <xf numFmtId="0" fontId="168" fillId="0" borderId="71" xfId="0"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0" fillId="0" borderId="167" xfId="335" applyFont="1" applyFill="1" applyBorder="1" applyAlignment="1">
      <alignment horizontal="left" vertical="top" wrapText="1"/>
    </xf>
    <xf numFmtId="0" fontId="0" fillId="0" borderId="167" xfId="335" applyFont="1" applyBorder="1" applyAlignment="1">
      <alignment horizontal="left" vertical="top" wrapText="1"/>
    </xf>
    <xf numFmtId="0" fontId="0" fillId="0" borderId="168" xfId="335" applyFont="1" applyBorder="1" applyAlignment="1">
      <alignment horizontal="left" vertical="top" wrapText="1"/>
    </xf>
    <xf numFmtId="0" fontId="25" fillId="0" borderId="167" xfId="335" applyBorder="1" applyAlignment="1">
      <alignment horizontal="left" vertical="top" wrapText="1"/>
    </xf>
    <xf numFmtId="0" fontId="96" fillId="0" borderId="0" xfId="0" applyFont="1" applyFill="1" applyAlignment="1">
      <alignment horizontal="center"/>
    </xf>
    <xf numFmtId="199" fontId="25" fillId="0" borderId="0" xfId="79" applyNumberFormat="1" applyFont="1" applyFill="1" applyAlignment="1" applyProtection="1">
      <alignment horizontal="center"/>
      <protection locked="0"/>
    </xf>
    <xf numFmtId="199" fontId="25" fillId="0" borderId="22" xfId="79" applyNumberFormat="1" applyFont="1" applyBorder="1" applyAlignment="1" applyProtection="1">
      <alignment horizontal="center" vertical="center"/>
      <protection locked="0"/>
    </xf>
    <xf numFmtId="165" fontId="27" fillId="35" borderId="56" xfId="0" applyNumberFormat="1" applyFont="1" applyFill="1" applyBorder="1" applyAlignment="1" applyProtection="1">
      <alignment horizontal="center" vertical="center"/>
      <protection locked="0"/>
    </xf>
    <xf numFmtId="0" fontId="27" fillId="32" borderId="56" xfId="0" applyFont="1" applyFill="1" applyBorder="1" applyAlignment="1" applyProtection="1">
      <alignment horizontal="center" vertical="center"/>
      <protection locked="0"/>
    </xf>
    <xf numFmtId="2" fontId="27" fillId="33" borderId="82" xfId="0" applyNumberFormat="1" applyFont="1" applyFill="1" applyBorder="1" applyAlignment="1" applyProtection="1">
      <alignment horizontal="center" vertical="center" wrapText="1"/>
      <protection locked="0"/>
    </xf>
    <xf numFmtId="1" fontId="27" fillId="48" borderId="56" xfId="0" applyNumberFormat="1" applyFont="1" applyFill="1" applyBorder="1" applyAlignment="1" applyProtection="1">
      <alignment horizontal="center" vertical="center"/>
      <protection locked="0"/>
    </xf>
    <xf numFmtId="174" fontId="69" fillId="56" borderId="36" xfId="113" applyNumberFormat="1" applyFont="1" applyFill="1" applyBorder="1" applyAlignment="1" applyProtection="1">
      <alignment horizontal="center"/>
    </xf>
    <xf numFmtId="174" fontId="69" fillId="56" borderId="35" xfId="113" applyNumberFormat="1" applyFont="1" applyFill="1" applyBorder="1" applyAlignment="1" applyProtection="1">
      <alignment horizontal="center"/>
    </xf>
    <xf numFmtId="174" fontId="69" fillId="56" borderId="37" xfId="113" applyNumberFormat="1" applyFont="1" applyFill="1" applyBorder="1" applyAlignment="1" applyProtection="1">
      <alignment horizontal="center"/>
    </xf>
    <xf numFmtId="0" fontId="69" fillId="53" borderId="36" xfId="0" applyFont="1" applyFill="1" applyBorder="1" applyAlignment="1">
      <alignment horizontal="center"/>
    </xf>
    <xf numFmtId="0" fontId="69" fillId="53" borderId="35" xfId="0" applyFont="1" applyFill="1" applyBorder="1" applyAlignment="1">
      <alignment horizontal="center"/>
    </xf>
    <xf numFmtId="0" fontId="69" fillId="53" borderId="37" xfId="0" applyFont="1" applyFill="1" applyBorder="1" applyAlignment="1">
      <alignment horizontal="center"/>
    </xf>
    <xf numFmtId="167" fontId="69" fillId="61" borderId="36" xfId="113" applyNumberFormat="1" applyFont="1" applyFill="1" applyBorder="1" applyAlignment="1" applyProtection="1">
      <alignment horizontal="center" wrapText="1"/>
    </xf>
    <xf numFmtId="167" fontId="69" fillId="61" borderId="35" xfId="113" applyNumberFormat="1" applyFont="1" applyFill="1" applyBorder="1" applyAlignment="1" applyProtection="1">
      <alignment horizontal="center" wrapText="1"/>
    </xf>
    <xf numFmtId="167" fontId="69" fillId="61" borderId="37" xfId="113" applyNumberFormat="1" applyFont="1" applyFill="1" applyBorder="1" applyAlignment="1" applyProtection="1">
      <alignment horizontal="center" wrapText="1"/>
    </xf>
    <xf numFmtId="167" fontId="69" fillId="62" borderId="31" xfId="113" applyNumberFormat="1" applyFont="1" applyFill="1" applyBorder="1" applyAlignment="1" applyProtection="1">
      <alignment horizontal="center" wrapText="1"/>
    </xf>
    <xf numFmtId="167" fontId="69" fillId="54" borderId="36" xfId="113" applyNumberFormat="1" applyFont="1" applyFill="1" applyBorder="1" applyAlignment="1" applyProtection="1">
      <alignment horizontal="center" wrapText="1"/>
    </xf>
    <xf numFmtId="167" fontId="69" fillId="54" borderId="35" xfId="113" applyNumberFormat="1" applyFont="1" applyFill="1" applyBorder="1" applyAlignment="1" applyProtection="1">
      <alignment horizontal="center" wrapText="1"/>
    </xf>
    <xf numFmtId="167" fontId="69" fillId="54" borderId="37" xfId="113" applyNumberFormat="1" applyFont="1" applyFill="1" applyBorder="1" applyAlignment="1" applyProtection="1">
      <alignment horizontal="center" wrapText="1"/>
    </xf>
    <xf numFmtId="0" fontId="27" fillId="100" borderId="57" xfId="0" applyFont="1" applyFill="1" applyBorder="1" applyAlignment="1">
      <alignment horizontal="center"/>
    </xf>
    <xf numFmtId="0" fontId="27" fillId="100" borderId="170" xfId="0" applyFont="1" applyFill="1" applyBorder="1" applyAlignment="1">
      <alignment horizontal="center"/>
    </xf>
    <xf numFmtId="0" fontId="27" fillId="100" borderId="164" xfId="0" applyFont="1" applyFill="1" applyBorder="1" applyAlignment="1">
      <alignment horizontal="center"/>
    </xf>
    <xf numFmtId="180" fontId="69" fillId="54" borderId="36" xfId="0" applyNumberFormat="1" applyFont="1" applyFill="1" applyBorder="1" applyAlignment="1" applyProtection="1">
      <alignment horizontal="center" vertical="center" wrapText="1"/>
    </xf>
    <xf numFmtId="180" fontId="69" fillId="54" borderId="35" xfId="0" applyNumberFormat="1" applyFont="1" applyFill="1" applyBorder="1" applyAlignment="1" applyProtection="1">
      <alignment horizontal="center" vertical="center" wrapText="1"/>
    </xf>
    <xf numFmtId="180" fontId="69" fillId="54" borderId="37" xfId="0" applyNumberFormat="1" applyFont="1" applyFill="1" applyBorder="1" applyAlignment="1" applyProtection="1">
      <alignment horizontal="center" vertical="center" wrapText="1"/>
    </xf>
    <xf numFmtId="0" fontId="27" fillId="0" borderId="30" xfId="0" applyFont="1" applyFill="1" applyBorder="1" applyAlignment="1" applyProtection="1">
      <alignment horizontal="center"/>
    </xf>
    <xf numFmtId="0" fontId="27" fillId="0" borderId="31" xfId="0" applyFont="1" applyFill="1" applyBorder="1" applyAlignment="1" applyProtection="1">
      <alignment horizontal="center"/>
    </xf>
    <xf numFmtId="0" fontId="68" fillId="50" borderId="31" xfId="0" applyFont="1" applyFill="1" applyBorder="1" applyAlignment="1" applyProtection="1">
      <alignment horizontal="center"/>
    </xf>
    <xf numFmtId="0" fontId="69" fillId="69" borderId="36" xfId="0" applyFont="1" applyFill="1" applyBorder="1" applyAlignment="1">
      <alignment horizontal="center"/>
    </xf>
    <xf numFmtId="0" fontId="69" fillId="69" borderId="35" xfId="0" applyFont="1" applyFill="1" applyBorder="1" applyAlignment="1">
      <alignment horizontal="center"/>
    </xf>
    <xf numFmtId="0" fontId="69" fillId="69" borderId="37" xfId="0" applyFont="1" applyFill="1" applyBorder="1" applyAlignment="1">
      <alignment horizontal="center"/>
    </xf>
    <xf numFmtId="0" fontId="69" fillId="53" borderId="31" xfId="0" applyFont="1" applyFill="1" applyBorder="1" applyAlignment="1">
      <alignment horizontal="center"/>
    </xf>
    <xf numFmtId="180" fontId="69" fillId="70" borderId="36" xfId="0" applyNumberFormat="1" applyFont="1" applyFill="1" applyBorder="1" applyAlignment="1" applyProtection="1">
      <alignment horizontal="center" vertical="center" wrapText="1"/>
    </xf>
    <xf numFmtId="180" fontId="69" fillId="70" borderId="35" xfId="0" applyNumberFormat="1" applyFont="1" applyFill="1" applyBorder="1" applyAlignment="1" applyProtection="1">
      <alignment horizontal="center" vertical="center" wrapText="1"/>
    </xf>
    <xf numFmtId="180" fontId="69" fillId="70" borderId="37" xfId="0" applyNumberFormat="1" applyFont="1" applyFill="1" applyBorder="1" applyAlignment="1" applyProtection="1">
      <alignment horizontal="center" vertical="center" wrapText="1"/>
    </xf>
    <xf numFmtId="0" fontId="69" fillId="63" borderId="31" xfId="0" applyFont="1" applyFill="1" applyBorder="1" applyAlignment="1">
      <alignment horizontal="center"/>
    </xf>
    <xf numFmtId="174" fontId="69" fillId="50" borderId="36" xfId="113" applyNumberFormat="1" applyFont="1" applyFill="1" applyBorder="1" applyAlignment="1" applyProtection="1">
      <alignment horizontal="center"/>
    </xf>
    <xf numFmtId="174" fontId="69" fillId="50" borderId="35" xfId="113" applyNumberFormat="1" applyFont="1" applyFill="1" applyBorder="1" applyAlignment="1" applyProtection="1">
      <alignment horizontal="center"/>
    </xf>
    <xf numFmtId="174" fontId="69" fillId="50" borderId="37" xfId="113" applyNumberFormat="1" applyFont="1" applyFill="1" applyBorder="1" applyAlignment="1" applyProtection="1">
      <alignment horizontal="center"/>
    </xf>
    <xf numFmtId="174" fontId="69" fillId="52" borderId="36" xfId="113" applyNumberFormat="1" applyFont="1" applyFill="1" applyBorder="1" applyAlignment="1" applyProtection="1">
      <alignment horizontal="center"/>
    </xf>
    <xf numFmtId="174" fontId="69" fillId="52" borderId="35" xfId="113" applyNumberFormat="1" applyFont="1" applyFill="1" applyBorder="1" applyAlignment="1" applyProtection="1">
      <alignment horizontal="center"/>
    </xf>
    <xf numFmtId="174" fontId="69" fillId="52" borderId="37" xfId="113" applyNumberFormat="1" applyFont="1" applyFill="1" applyBorder="1" applyAlignment="1" applyProtection="1">
      <alignment horizontal="center"/>
    </xf>
    <xf numFmtId="0" fontId="108" fillId="51" borderId="189" xfId="0" applyFont="1" applyFill="1" applyBorder="1" applyAlignment="1">
      <alignment horizontal="center" vertical="center" wrapText="1"/>
    </xf>
    <xf numFmtId="0" fontId="108" fillId="51" borderId="148" xfId="0" applyFont="1" applyFill="1" applyBorder="1" applyAlignment="1">
      <alignment horizontal="center" vertical="center" wrapText="1"/>
    </xf>
    <xf numFmtId="0" fontId="108" fillId="51" borderId="150" xfId="0" applyFont="1" applyFill="1" applyBorder="1" applyAlignment="1">
      <alignment horizontal="center" vertical="center" wrapText="1"/>
    </xf>
    <xf numFmtId="0" fontId="112" fillId="51" borderId="176" xfId="0" applyFont="1" applyFill="1" applyBorder="1" applyAlignment="1">
      <alignment horizontal="center" vertical="center" wrapText="1"/>
    </xf>
    <xf numFmtId="0" fontId="112" fillId="51" borderId="71" xfId="0" applyFont="1" applyFill="1" applyBorder="1" applyAlignment="1">
      <alignment horizontal="center" vertical="center" wrapText="1"/>
    </xf>
    <xf numFmtId="0" fontId="112" fillId="51" borderId="72" xfId="0" applyFont="1" applyFill="1" applyBorder="1" applyAlignment="1">
      <alignment horizontal="center" vertical="center" wrapText="1"/>
    </xf>
    <xf numFmtId="0" fontId="112" fillId="51" borderId="172" xfId="0" applyFont="1" applyFill="1" applyBorder="1" applyAlignment="1">
      <alignment horizontal="center" vertical="center" wrapText="1"/>
    </xf>
    <xf numFmtId="0" fontId="112" fillId="51" borderId="0" xfId="0" applyFont="1" applyFill="1" applyBorder="1" applyAlignment="1">
      <alignment horizontal="center" vertical="center" wrapText="1"/>
    </xf>
    <xf numFmtId="0" fontId="112" fillId="51" borderId="17" xfId="0" applyFont="1" applyFill="1" applyBorder="1" applyAlignment="1">
      <alignment horizontal="center" vertical="center" wrapText="1"/>
    </xf>
    <xf numFmtId="0" fontId="112" fillId="51" borderId="90" xfId="0" applyFont="1" applyFill="1" applyBorder="1" applyAlignment="1">
      <alignment horizontal="center" vertical="center" wrapText="1"/>
    </xf>
    <xf numFmtId="0" fontId="112" fillId="51" borderId="165" xfId="0" applyFont="1" applyFill="1" applyBorder="1" applyAlignment="1">
      <alignment horizontal="center" vertical="center" wrapText="1"/>
    </xf>
    <xf numFmtId="0" fontId="112" fillId="51" borderId="95" xfId="0" applyFont="1" applyFill="1" applyBorder="1" applyAlignment="1">
      <alignment horizontal="center" vertical="center" wrapText="1"/>
    </xf>
    <xf numFmtId="0" fontId="112" fillId="51" borderId="88" xfId="0" applyFont="1" applyFill="1" applyBorder="1" applyAlignment="1">
      <alignment horizontal="center" vertical="center" wrapText="1"/>
    </xf>
    <xf numFmtId="0" fontId="112" fillId="51" borderId="26" xfId="0" applyFont="1" applyFill="1" applyBorder="1" applyAlignment="1">
      <alignment horizontal="center" vertical="center" wrapText="1"/>
    </xf>
    <xf numFmtId="0" fontId="112" fillId="51" borderId="112" xfId="0" applyFont="1" applyFill="1" applyBorder="1" applyAlignment="1">
      <alignment horizontal="center" vertical="center" wrapText="1"/>
    </xf>
    <xf numFmtId="0" fontId="113" fillId="51" borderId="51" xfId="0" applyFont="1" applyFill="1" applyBorder="1" applyAlignment="1">
      <alignment horizontal="center" vertical="center" wrapText="1"/>
    </xf>
    <xf numFmtId="0" fontId="113" fillId="51" borderId="28" xfId="0" applyFont="1" applyFill="1" applyBorder="1" applyAlignment="1">
      <alignment horizontal="center" vertical="center" wrapText="1"/>
    </xf>
    <xf numFmtId="0" fontId="113" fillId="51" borderId="94" xfId="0" applyFont="1" applyFill="1" applyBorder="1" applyAlignment="1">
      <alignment horizontal="center" vertical="center" wrapText="1"/>
    </xf>
    <xf numFmtId="0" fontId="0" fillId="51" borderId="24" xfId="0" applyFill="1" applyBorder="1" applyAlignment="1">
      <alignment horizontal="center"/>
    </xf>
    <xf numFmtId="0" fontId="0" fillId="51" borderId="0" xfId="0" applyFill="1" applyAlignment="1">
      <alignment horizontal="center"/>
    </xf>
    <xf numFmtId="0" fontId="94" fillId="51" borderId="23" xfId="0" applyFont="1" applyFill="1" applyBorder="1" applyAlignment="1">
      <alignment horizontal="center"/>
    </xf>
    <xf numFmtId="0" fontId="94" fillId="51" borderId="87" xfId="0" applyFont="1" applyFill="1" applyBorder="1" applyAlignment="1">
      <alignment horizontal="center"/>
    </xf>
    <xf numFmtId="0" fontId="94" fillId="51" borderId="14" xfId="0" applyFont="1" applyFill="1" applyBorder="1" applyAlignment="1">
      <alignment horizontal="center"/>
    </xf>
    <xf numFmtId="0" fontId="94" fillId="51" borderId="15" xfId="0" applyFont="1" applyFill="1" applyBorder="1" applyAlignment="1">
      <alignment horizontal="center"/>
    </xf>
    <xf numFmtId="0" fontId="94" fillId="51" borderId="190" xfId="0" applyFont="1" applyFill="1" applyBorder="1" applyAlignment="1">
      <alignment horizontal="center"/>
    </xf>
    <xf numFmtId="0" fontId="27" fillId="51" borderId="27" xfId="0" applyFont="1" applyFill="1" applyBorder="1" applyAlignment="1" applyProtection="1">
      <alignment horizontal="center" vertical="center" wrapText="1"/>
    </xf>
    <xf numFmtId="0" fontId="27" fillId="51" borderId="29" xfId="0" applyFont="1" applyFill="1" applyBorder="1" applyAlignment="1" applyProtection="1">
      <alignment horizontal="center" vertical="center" wrapText="1"/>
    </xf>
    <xf numFmtId="0" fontId="27" fillId="51" borderId="24" xfId="0" applyFont="1" applyFill="1" applyBorder="1" applyAlignment="1" applyProtection="1">
      <alignment horizontal="center" vertical="center" wrapText="1"/>
    </xf>
    <xf numFmtId="0" fontId="27" fillId="51" borderId="26" xfId="0" applyFont="1" applyFill="1" applyBorder="1" applyAlignment="1" applyProtection="1">
      <alignment horizontal="center" vertical="center" wrapText="1"/>
    </xf>
    <xf numFmtId="0" fontId="27" fillId="51" borderId="47" xfId="0" applyFont="1" applyFill="1" applyBorder="1" applyAlignment="1" applyProtection="1">
      <alignment horizontal="center" vertical="center" wrapText="1"/>
    </xf>
    <xf numFmtId="0" fontId="27" fillId="51" borderId="48" xfId="0" applyFont="1" applyFill="1" applyBorder="1" applyAlignment="1" applyProtection="1">
      <alignment horizontal="center" vertical="center" wrapText="1"/>
    </xf>
    <xf numFmtId="0" fontId="0" fillId="51" borderId="28" xfId="0" applyFont="1" applyFill="1" applyBorder="1" applyAlignment="1">
      <alignment horizontal="center" vertical="center" wrapText="1"/>
    </xf>
    <xf numFmtId="0" fontId="0" fillId="51" borderId="29" xfId="0" applyFont="1" applyFill="1" applyBorder="1" applyAlignment="1">
      <alignment horizontal="center" vertical="center" wrapText="1"/>
    </xf>
    <xf numFmtId="0" fontId="0" fillId="51" borderId="24" xfId="0" applyFont="1" applyFill="1" applyBorder="1" applyAlignment="1">
      <alignment horizontal="center" vertical="center" wrapText="1"/>
    </xf>
    <xf numFmtId="0" fontId="0" fillId="51" borderId="0" xfId="0" applyFont="1" applyFill="1" applyBorder="1" applyAlignment="1">
      <alignment horizontal="center" vertical="center" wrapText="1"/>
    </xf>
    <xf numFmtId="0" fontId="0" fillId="51" borderId="26" xfId="0" applyFont="1" applyFill="1" applyBorder="1" applyAlignment="1">
      <alignment horizontal="center" vertical="center" wrapText="1"/>
    </xf>
    <xf numFmtId="0" fontId="0" fillId="51" borderId="47" xfId="0" applyFont="1" applyFill="1" applyBorder="1" applyAlignment="1">
      <alignment horizontal="center" vertical="center" wrapText="1"/>
    </xf>
    <xf numFmtId="0" fontId="0" fillId="51" borderId="22" xfId="0" applyFont="1" applyFill="1" applyBorder="1" applyAlignment="1">
      <alignment horizontal="center" vertical="center" wrapText="1"/>
    </xf>
    <xf numFmtId="0" fontId="0" fillId="51" borderId="48" xfId="0" applyFont="1" applyFill="1" applyBorder="1" applyAlignment="1">
      <alignment horizontal="center" vertical="center" wrapText="1"/>
    </xf>
    <xf numFmtId="0" fontId="27" fillId="51" borderId="34" xfId="0" applyFont="1" applyFill="1" applyBorder="1" applyAlignment="1">
      <alignment horizontal="center"/>
    </xf>
    <xf numFmtId="0" fontId="27" fillId="51" borderId="35" xfId="0" applyFont="1" applyFill="1" applyBorder="1" applyAlignment="1">
      <alignment horizontal="center"/>
    </xf>
    <xf numFmtId="0" fontId="27" fillId="51" borderId="37" xfId="0" applyFont="1" applyFill="1" applyBorder="1" applyAlignment="1">
      <alignment horizontal="center"/>
    </xf>
    <xf numFmtId="0" fontId="27" fillId="51" borderId="36" xfId="0" applyFont="1" applyFill="1" applyBorder="1" applyAlignment="1">
      <alignment horizontal="center"/>
    </xf>
    <xf numFmtId="0" fontId="27" fillId="51" borderId="104" xfId="0" applyFont="1" applyFill="1" applyBorder="1" applyAlignment="1">
      <alignment horizontal="center" wrapText="1"/>
    </xf>
    <xf numFmtId="0" fontId="27" fillId="51" borderId="81" xfId="0" applyFont="1" applyFill="1" applyBorder="1" applyAlignment="1">
      <alignment horizontal="center" wrapText="1"/>
    </xf>
    <xf numFmtId="0" fontId="56" fillId="51" borderId="57" xfId="0" applyFont="1" applyFill="1" applyBorder="1" applyAlignment="1" applyProtection="1">
      <alignment horizontal="center"/>
      <protection locked="0"/>
    </xf>
    <xf numFmtId="0" fontId="56" fillId="51" borderId="59" xfId="0" applyFont="1" applyFill="1" applyBorder="1" applyAlignment="1" applyProtection="1">
      <alignment horizontal="center"/>
      <protection locked="0"/>
    </xf>
    <xf numFmtId="0" fontId="27" fillId="51" borderId="23" xfId="0" applyFont="1" applyFill="1" applyBorder="1" applyAlignment="1" applyProtection="1">
      <alignment horizontal="center" vertical="center" wrapText="1"/>
    </xf>
    <xf numFmtId="0" fontId="27" fillId="51" borderId="25" xfId="0" applyFont="1" applyFill="1" applyBorder="1" applyAlignment="1" applyProtection="1">
      <alignment horizontal="center" vertical="center" wrapText="1"/>
    </xf>
    <xf numFmtId="0" fontId="27" fillId="51" borderId="87" xfId="0" applyFont="1" applyFill="1" applyBorder="1" applyAlignment="1" applyProtection="1">
      <alignment horizontal="center" vertical="center" wrapText="1"/>
    </xf>
    <xf numFmtId="0" fontId="82" fillId="72" borderId="85" xfId="0" applyFont="1" applyFill="1" applyBorder="1" applyAlignment="1" applyProtection="1">
      <alignment horizontal="center" vertical="top"/>
      <protection locked="0"/>
    </xf>
    <xf numFmtId="0" fontId="82" fillId="72" borderId="71" xfId="0" applyFont="1" applyFill="1" applyBorder="1" applyAlignment="1" applyProtection="1">
      <alignment horizontal="center" vertical="top"/>
      <protection locked="0"/>
    </xf>
    <xf numFmtId="0" fontId="82" fillId="72" borderId="33" xfId="0" applyFont="1" applyFill="1" applyBorder="1" applyAlignment="1" applyProtection="1">
      <alignment horizontal="center" vertical="top"/>
      <protection locked="0"/>
    </xf>
    <xf numFmtId="0" fontId="82" fillId="72" borderId="22" xfId="0" applyFont="1" applyFill="1" applyBorder="1" applyAlignment="1" applyProtection="1">
      <alignment horizontal="center" vertical="top"/>
      <protection locked="0"/>
    </xf>
    <xf numFmtId="0" fontId="82" fillId="31" borderId="85" xfId="0" applyFont="1" applyFill="1" applyBorder="1" applyAlignment="1" applyProtection="1">
      <alignment horizontal="center" vertical="center" wrapText="1"/>
      <protection locked="0"/>
    </xf>
    <xf numFmtId="0" fontId="82" fillId="31" borderId="71" xfId="0" applyFont="1" applyFill="1" applyBorder="1" applyAlignment="1" applyProtection="1">
      <alignment horizontal="center" vertical="center" wrapText="1"/>
      <protection locked="0"/>
    </xf>
    <xf numFmtId="0" fontId="82" fillId="31" borderId="78" xfId="0" applyFont="1" applyFill="1" applyBorder="1" applyAlignment="1" applyProtection="1">
      <alignment horizontal="center" vertical="center" wrapText="1"/>
      <protection locked="0"/>
    </xf>
    <xf numFmtId="0" fontId="82" fillId="36" borderId="0" xfId="0" applyFont="1" applyFill="1" applyAlignment="1" applyProtection="1">
      <alignment horizontal="center" vertical="center" wrapText="1"/>
      <protection locked="0"/>
    </xf>
    <xf numFmtId="0" fontId="82" fillId="36" borderId="17" xfId="0" applyFont="1" applyFill="1" applyBorder="1" applyAlignment="1" applyProtection="1">
      <alignment horizontal="center" vertical="center" wrapText="1"/>
      <protection locked="0"/>
    </xf>
    <xf numFmtId="0" fontId="82" fillId="36" borderId="172" xfId="0" applyFont="1" applyFill="1" applyBorder="1" applyAlignment="1" applyProtection="1">
      <alignment horizontal="center" vertical="center" wrapText="1"/>
      <protection locked="0"/>
    </xf>
    <xf numFmtId="0" fontId="126" fillId="51" borderId="14" xfId="0" applyFont="1" applyFill="1" applyBorder="1" applyAlignment="1" applyProtection="1">
      <alignment horizontal="center" vertical="center"/>
    </xf>
    <xf numFmtId="0" fontId="126" fillId="51" borderId="15" xfId="0" applyFont="1" applyFill="1" applyBorder="1" applyAlignment="1" applyProtection="1">
      <alignment horizontal="center" vertical="center"/>
    </xf>
    <xf numFmtId="0" fontId="126" fillId="51" borderId="16" xfId="0" applyFont="1" applyFill="1" applyBorder="1" applyAlignment="1" applyProtection="1">
      <alignment horizontal="center" vertical="center"/>
    </xf>
    <xf numFmtId="0" fontId="27" fillId="51" borderId="30" xfId="0" applyFont="1" applyFill="1" applyBorder="1" applyAlignment="1" applyProtection="1">
      <alignment horizontal="center" vertical="center"/>
    </xf>
    <xf numFmtId="0" fontId="27" fillId="51" borderId="31" xfId="0" applyFont="1" applyFill="1" applyBorder="1" applyAlignment="1" applyProtection="1">
      <alignment horizontal="center" vertical="center"/>
    </xf>
    <xf numFmtId="0" fontId="27" fillId="51" borderId="39" xfId="0" applyFont="1" applyFill="1" applyBorder="1" applyAlignment="1" applyProtection="1">
      <alignment horizontal="center" vertical="center"/>
    </xf>
    <xf numFmtId="0" fontId="27" fillId="51" borderId="34" xfId="0" applyFont="1" applyFill="1" applyBorder="1" applyAlignment="1" applyProtection="1">
      <alignment horizontal="center" vertical="center" wrapText="1"/>
    </xf>
    <xf numFmtId="0" fontId="27" fillId="51" borderId="35" xfId="0" applyFont="1" applyFill="1" applyBorder="1" applyAlignment="1" applyProtection="1">
      <alignment horizontal="center" vertical="center" wrapText="1"/>
    </xf>
    <xf numFmtId="0" fontId="27" fillId="51" borderId="38" xfId="0" applyFont="1" applyFill="1" applyBorder="1" applyAlignment="1" applyProtection="1">
      <alignment horizontal="center" vertical="center" wrapText="1"/>
    </xf>
    <xf numFmtId="0" fontId="51" fillId="51" borderId="14" xfId="0" applyFont="1" applyFill="1" applyBorder="1" applyAlignment="1" applyProtection="1">
      <alignment horizontal="center" vertical="center"/>
    </xf>
    <xf numFmtId="0" fontId="51" fillId="51" borderId="15" xfId="0" applyFont="1" applyFill="1" applyBorder="1" applyAlignment="1" applyProtection="1">
      <alignment horizontal="center" vertical="center"/>
    </xf>
    <xf numFmtId="0" fontId="51" fillId="51" borderId="16" xfId="0" applyFont="1" applyFill="1" applyBorder="1" applyAlignment="1" applyProtection="1">
      <alignment horizontal="center" vertical="center"/>
    </xf>
    <xf numFmtId="0" fontId="0" fillId="51" borderId="28" xfId="0" applyFont="1" applyFill="1" applyBorder="1" applyAlignment="1">
      <alignment wrapText="1"/>
    </xf>
    <xf numFmtId="0" fontId="0" fillId="51" borderId="29" xfId="0" applyFont="1" applyFill="1" applyBorder="1" applyAlignment="1">
      <alignment wrapText="1"/>
    </xf>
    <xf numFmtId="0" fontId="0" fillId="51" borderId="24" xfId="0" applyFont="1" applyFill="1" applyBorder="1" applyAlignment="1">
      <alignment wrapText="1"/>
    </xf>
    <xf numFmtId="0" fontId="0" fillId="51" borderId="0" xfId="0" applyFont="1" applyFill="1" applyBorder="1" applyAlignment="1">
      <alignment wrapText="1"/>
    </xf>
    <xf numFmtId="0" fontId="0" fillId="51" borderId="26" xfId="0" applyFont="1" applyFill="1" applyBorder="1" applyAlignment="1">
      <alignment wrapText="1"/>
    </xf>
    <xf numFmtId="0" fontId="0" fillId="51" borderId="47" xfId="0" applyFont="1" applyFill="1" applyBorder="1" applyAlignment="1">
      <alignment wrapText="1"/>
    </xf>
    <xf numFmtId="0" fontId="0" fillId="51" borderId="22" xfId="0" applyFont="1" applyFill="1" applyBorder="1" applyAlignment="1">
      <alignment wrapText="1"/>
    </xf>
    <xf numFmtId="0" fontId="0" fillId="51" borderId="48" xfId="0" applyFont="1" applyFill="1" applyBorder="1" applyAlignment="1">
      <alignment wrapText="1"/>
    </xf>
    <xf numFmtId="0" fontId="27" fillId="51" borderId="28" xfId="0" applyFont="1" applyFill="1" applyBorder="1" applyAlignment="1" applyProtection="1">
      <alignment horizontal="center" vertical="center" wrapText="1"/>
    </xf>
    <xf numFmtId="0" fontId="27" fillId="51" borderId="0" xfId="0" applyFont="1" applyFill="1" applyBorder="1" applyAlignment="1" applyProtection="1">
      <alignment horizontal="center" vertical="center" wrapText="1"/>
    </xf>
    <xf numFmtId="0" fontId="27" fillId="51" borderId="22" xfId="0" applyFont="1" applyFill="1" applyBorder="1" applyAlignment="1" applyProtection="1">
      <alignment horizontal="center" vertical="center" wrapText="1"/>
    </xf>
    <xf numFmtId="0" fontId="82" fillId="31" borderId="85" xfId="0" applyFont="1" applyFill="1" applyBorder="1" applyAlignment="1" applyProtection="1">
      <alignment horizontal="center" vertical="top" wrapText="1"/>
      <protection locked="0"/>
    </xf>
    <xf numFmtId="0" fontId="82" fillId="31" borderId="33" xfId="0" applyFont="1" applyFill="1" applyBorder="1" applyAlignment="1" applyProtection="1">
      <alignment horizontal="center" vertical="top" wrapText="1"/>
      <protection locked="0"/>
    </xf>
    <xf numFmtId="0" fontId="82" fillId="88" borderId="85" xfId="0" applyFont="1" applyFill="1" applyBorder="1" applyAlignment="1" applyProtection="1">
      <alignment horizontal="center" vertical="center" wrapText="1"/>
      <protection locked="0"/>
    </xf>
    <xf numFmtId="0" fontId="82" fillId="88" borderId="71" xfId="0" applyFont="1" applyFill="1" applyBorder="1" applyAlignment="1" applyProtection="1">
      <alignment horizontal="center" vertical="center" wrapText="1"/>
      <protection locked="0"/>
    </xf>
    <xf numFmtId="0" fontId="82" fillId="88" borderId="78" xfId="0" applyFont="1" applyFill="1" applyBorder="1" applyAlignment="1" applyProtection="1">
      <alignment horizontal="center" vertical="center" wrapText="1"/>
      <protection locked="0"/>
    </xf>
    <xf numFmtId="0" fontId="82" fillId="90" borderId="85" xfId="0" applyFont="1" applyFill="1" applyBorder="1" applyAlignment="1" applyProtection="1">
      <alignment horizontal="center" vertical="center" wrapText="1"/>
      <protection locked="0"/>
    </xf>
    <xf numFmtId="0" fontId="82" fillId="90" borderId="71" xfId="0" applyFont="1" applyFill="1" applyBorder="1" applyAlignment="1" applyProtection="1">
      <alignment horizontal="center" vertical="center" wrapText="1"/>
      <protection locked="0"/>
    </xf>
    <xf numFmtId="0" fontId="82" fillId="34" borderId="85" xfId="0" applyFont="1" applyFill="1" applyBorder="1" applyAlignment="1" applyProtection="1">
      <alignment horizontal="center" vertical="center" wrapText="1"/>
      <protection locked="0"/>
    </xf>
    <xf numFmtId="0" fontId="82" fillId="34" borderId="71" xfId="0" applyFont="1" applyFill="1" applyBorder="1" applyAlignment="1" applyProtection="1">
      <alignment horizontal="center" vertical="center" wrapText="1"/>
      <protection locked="0"/>
    </xf>
    <xf numFmtId="0" fontId="82" fillId="34" borderId="72" xfId="0" applyFont="1" applyFill="1" applyBorder="1" applyAlignment="1" applyProtection="1">
      <alignment horizontal="center" vertical="center" wrapText="1"/>
      <protection locked="0"/>
    </xf>
    <xf numFmtId="0" fontId="82" fillId="89" borderId="85" xfId="0" applyFont="1" applyFill="1" applyBorder="1" applyAlignment="1" applyProtection="1">
      <alignment horizontal="center" vertical="top" wrapText="1"/>
      <protection locked="0"/>
    </xf>
    <xf numFmtId="0" fontId="82" fillId="89" borderId="72" xfId="0" applyFont="1" applyFill="1" applyBorder="1" applyAlignment="1" applyProtection="1">
      <alignment horizontal="center" vertical="top" wrapText="1"/>
      <protection locked="0"/>
    </xf>
    <xf numFmtId="0" fontId="82" fillId="36" borderId="85" xfId="0" applyFont="1" applyFill="1" applyBorder="1" applyAlignment="1" applyProtection="1">
      <alignment horizontal="center" vertical="center" wrapText="1"/>
      <protection locked="0"/>
    </xf>
    <xf numFmtId="0" fontId="82" fillId="36" borderId="71" xfId="0" applyFont="1" applyFill="1" applyBorder="1" applyAlignment="1" applyProtection="1">
      <alignment horizontal="center" vertical="center" wrapText="1"/>
      <protection locked="0"/>
    </xf>
    <xf numFmtId="0" fontId="82" fillId="36" borderId="78" xfId="0" applyFont="1" applyFill="1" applyBorder="1" applyAlignment="1" applyProtection="1">
      <alignment horizontal="center" vertical="center" wrapText="1"/>
      <protection locked="0"/>
    </xf>
    <xf numFmtId="0" fontId="0" fillId="38" borderId="82" xfId="0" applyFont="1" applyFill="1" applyBorder="1" applyAlignment="1" applyProtection="1">
      <alignment horizontal="center" vertical="center" wrapText="1"/>
      <protection locked="0"/>
    </xf>
    <xf numFmtId="0" fontId="0" fillId="38" borderId="21" xfId="0" applyFont="1" applyFill="1" applyBorder="1" applyAlignment="1" applyProtection="1">
      <alignment horizontal="center" vertical="center" wrapText="1"/>
      <protection locked="0"/>
    </xf>
    <xf numFmtId="0" fontId="82" fillId="91" borderId="85" xfId="0" applyFont="1" applyFill="1" applyBorder="1" applyAlignment="1" applyProtection="1">
      <alignment horizontal="center" vertical="center" wrapText="1"/>
      <protection locked="0"/>
    </xf>
    <xf numFmtId="0" fontId="82" fillId="91" borderId="78" xfId="0" applyFont="1" applyFill="1" applyBorder="1" applyAlignment="1" applyProtection="1">
      <alignment horizontal="center" vertical="center" wrapText="1"/>
      <protection locked="0"/>
    </xf>
    <xf numFmtId="0" fontId="82" fillId="38" borderId="85" xfId="0" applyFont="1" applyFill="1" applyBorder="1" applyAlignment="1" applyProtection="1">
      <alignment horizontal="center" vertical="center" wrapText="1"/>
      <protection locked="0"/>
    </xf>
    <xf numFmtId="0" fontId="82" fillId="38" borderId="71" xfId="0" applyFont="1" applyFill="1" applyBorder="1" applyAlignment="1" applyProtection="1">
      <alignment horizontal="center" vertical="center" wrapText="1"/>
      <protection locked="0"/>
    </xf>
    <xf numFmtId="0" fontId="82" fillId="38" borderId="78" xfId="0" applyFont="1" applyFill="1" applyBorder="1" applyAlignment="1" applyProtection="1">
      <alignment horizontal="center" vertical="center" wrapText="1"/>
      <protection locked="0"/>
    </xf>
    <xf numFmtId="0" fontId="27" fillId="97" borderId="27" xfId="0" applyFont="1" applyFill="1" applyBorder="1" applyAlignment="1" applyProtection="1">
      <alignment horizontal="center" vertical="center" wrapText="1"/>
    </xf>
    <xf numFmtId="0" fontId="27" fillId="97" borderId="28" xfId="0" applyFont="1" applyFill="1" applyBorder="1" applyAlignment="1" applyProtection="1">
      <alignment horizontal="center" vertical="center" wrapText="1"/>
    </xf>
    <xf numFmtId="0" fontId="27" fillId="97" borderId="29" xfId="0" applyFont="1" applyFill="1" applyBorder="1" applyAlignment="1" applyProtection="1">
      <alignment horizontal="center" vertical="center" wrapText="1"/>
    </xf>
    <xf numFmtId="0" fontId="27" fillId="97" borderId="111" xfId="0" applyFont="1" applyFill="1" applyBorder="1" applyAlignment="1" applyProtection="1">
      <alignment horizontal="center" vertical="center" wrapText="1"/>
    </xf>
    <xf numFmtId="0" fontId="27" fillId="97" borderId="165" xfId="0" applyFont="1" applyFill="1" applyBorder="1" applyAlignment="1" applyProtection="1">
      <alignment horizontal="center" vertical="center" wrapText="1"/>
    </xf>
    <xf numFmtId="0" fontId="27" fillId="97" borderId="112" xfId="0" applyFont="1" applyFill="1" applyBorder="1" applyAlignment="1" applyProtection="1">
      <alignment horizontal="center" vertical="center" wrapText="1"/>
    </xf>
    <xf numFmtId="0" fontId="27" fillId="97" borderId="30" xfId="0" applyFont="1" applyFill="1" applyBorder="1" applyAlignment="1" applyProtection="1">
      <alignment horizontal="center" vertical="center"/>
    </xf>
    <xf numFmtId="0" fontId="27" fillId="97" borderId="31" xfId="0" applyFont="1" applyFill="1" applyBorder="1" applyAlignment="1" applyProtection="1">
      <alignment horizontal="center" vertical="center"/>
    </xf>
    <xf numFmtId="0" fontId="27" fillId="97" borderId="39" xfId="0" applyFont="1" applyFill="1" applyBorder="1" applyAlignment="1" applyProtection="1">
      <alignment horizontal="center" vertical="center"/>
    </xf>
    <xf numFmtId="0" fontId="27" fillId="97" borderId="27" xfId="0" applyFont="1" applyFill="1" applyBorder="1" applyAlignment="1">
      <alignment horizontal="center" vertical="center" wrapText="1"/>
    </xf>
    <xf numFmtId="0" fontId="27" fillId="97" borderId="28" xfId="0" applyFont="1" applyFill="1" applyBorder="1" applyAlignment="1">
      <alignment horizontal="center" vertical="center" wrapText="1"/>
    </xf>
    <xf numFmtId="0" fontId="27" fillId="97" borderId="29" xfId="0" applyFont="1" applyFill="1" applyBorder="1" applyAlignment="1">
      <alignment horizontal="center" vertical="center" wrapText="1"/>
    </xf>
    <xf numFmtId="0" fontId="27" fillId="97" borderId="111" xfId="0" applyFont="1" applyFill="1" applyBorder="1" applyAlignment="1">
      <alignment horizontal="center" vertical="center" wrapText="1"/>
    </xf>
    <xf numFmtId="0" fontId="27" fillId="97" borderId="165" xfId="0" applyFont="1" applyFill="1" applyBorder="1" applyAlignment="1">
      <alignment horizontal="center" vertical="center" wrapText="1"/>
    </xf>
    <xf numFmtId="0" fontId="27" fillId="97" borderId="112" xfId="0" applyFont="1" applyFill="1" applyBorder="1" applyAlignment="1">
      <alignment horizontal="center" vertical="center" wrapText="1"/>
    </xf>
    <xf numFmtId="0" fontId="27" fillId="51" borderId="14" xfId="0" applyFont="1" applyFill="1" applyBorder="1" applyAlignment="1" applyProtection="1">
      <alignment horizontal="center" vertical="center" wrapText="1"/>
    </xf>
    <xf numFmtId="0" fontId="27" fillId="51" borderId="16" xfId="0" applyFont="1" applyFill="1" applyBorder="1" applyAlignment="1" applyProtection="1">
      <alignment horizontal="center" vertical="center" wrapText="1"/>
    </xf>
    <xf numFmtId="0" fontId="27" fillId="51" borderId="112" xfId="0" applyFont="1" applyFill="1" applyBorder="1" applyAlignment="1" applyProtection="1">
      <alignment horizontal="center" vertical="center" wrapText="1"/>
    </xf>
    <xf numFmtId="0" fontId="27" fillId="51" borderId="15" xfId="0" applyFont="1" applyFill="1" applyBorder="1" applyAlignment="1" applyProtection="1">
      <alignment horizontal="center" vertical="center" wrapText="1"/>
    </xf>
    <xf numFmtId="0" fontId="27" fillId="51" borderId="111" xfId="0" applyFont="1" applyFill="1" applyBorder="1" applyAlignment="1" applyProtection="1">
      <alignment horizontal="center" vertical="center" wrapText="1"/>
    </xf>
    <xf numFmtId="0" fontId="27" fillId="51" borderId="79" xfId="0" applyFont="1" applyFill="1" applyBorder="1" applyAlignment="1" applyProtection="1">
      <alignment horizontal="center" vertical="center" wrapText="1"/>
    </xf>
    <xf numFmtId="0" fontId="27" fillId="51" borderId="27" xfId="0" applyFont="1" applyFill="1" applyBorder="1" applyAlignment="1">
      <alignment horizontal="center" vertical="center" wrapText="1"/>
    </xf>
    <xf numFmtId="0" fontId="27" fillId="51" borderId="28" xfId="0" applyFont="1" applyFill="1" applyBorder="1" applyAlignment="1">
      <alignment horizontal="center" vertical="center" wrapText="1"/>
    </xf>
    <xf numFmtId="0" fontId="27" fillId="51" borderId="29" xfId="0" applyFont="1" applyFill="1" applyBorder="1" applyAlignment="1">
      <alignment horizontal="center" vertical="center" wrapText="1"/>
    </xf>
    <xf numFmtId="0" fontId="27" fillId="51" borderId="111" xfId="0" applyFont="1" applyFill="1" applyBorder="1" applyAlignment="1">
      <alignment horizontal="center" vertical="center" wrapText="1"/>
    </xf>
    <xf numFmtId="0" fontId="27" fillId="51" borderId="165" xfId="0" applyFont="1" applyFill="1" applyBorder="1" applyAlignment="1">
      <alignment horizontal="center" vertical="center" wrapText="1"/>
    </xf>
    <xf numFmtId="0" fontId="27" fillId="51" borderId="112" xfId="0" applyFont="1" applyFill="1" applyBorder="1" applyAlignment="1">
      <alignment horizontal="center" vertical="center" wrapText="1"/>
    </xf>
    <xf numFmtId="0" fontId="126" fillId="51" borderId="30" xfId="0" applyFont="1" applyFill="1" applyBorder="1" applyAlignment="1" applyProtection="1">
      <alignment horizontal="center" vertical="center"/>
    </xf>
    <xf numFmtId="0" fontId="126" fillId="51" borderId="31" xfId="0" applyFont="1" applyFill="1" applyBorder="1" applyAlignment="1" applyProtection="1">
      <alignment horizontal="center" vertical="center"/>
    </xf>
    <xf numFmtId="0" fontId="126" fillId="51" borderId="39" xfId="0" applyFont="1" applyFill="1" applyBorder="1" applyAlignment="1" applyProtection="1">
      <alignment horizontal="center" vertical="center"/>
    </xf>
    <xf numFmtId="0" fontId="126" fillId="51" borderId="34" xfId="0" applyFont="1" applyFill="1" applyBorder="1" applyAlignment="1" applyProtection="1">
      <alignment horizontal="center" vertical="center" wrapText="1"/>
    </xf>
    <xf numFmtId="0" fontId="126" fillId="51" borderId="35" xfId="0" applyFont="1" applyFill="1" applyBorder="1" applyAlignment="1" applyProtection="1">
      <alignment horizontal="center" vertical="center" wrapText="1"/>
    </xf>
    <xf numFmtId="0" fontId="126" fillId="51" borderId="38" xfId="0" applyFont="1" applyFill="1" applyBorder="1" applyAlignment="1" applyProtection="1">
      <alignment horizontal="center" vertical="center" wrapText="1"/>
    </xf>
    <xf numFmtId="0" fontId="0" fillId="51" borderId="138" xfId="0" applyFill="1" applyBorder="1" applyAlignment="1">
      <alignment horizontal="center"/>
    </xf>
    <xf numFmtId="0" fontId="0" fillId="51" borderId="137" xfId="0" applyFill="1" applyBorder="1" applyAlignment="1">
      <alignment horizontal="center"/>
    </xf>
    <xf numFmtId="0" fontId="27" fillId="97" borderId="14" xfId="0" applyFont="1" applyFill="1" applyBorder="1" applyAlignment="1" applyProtection="1">
      <alignment horizontal="center" vertical="center" wrapText="1"/>
    </xf>
    <xf numFmtId="0" fontId="27" fillId="97" borderId="15" xfId="0" applyFont="1" applyFill="1" applyBorder="1" applyAlignment="1" applyProtection="1">
      <alignment horizontal="center" vertical="center" wrapText="1"/>
    </xf>
    <xf numFmtId="0" fontId="27" fillId="97" borderId="16" xfId="0" applyFont="1" applyFill="1" applyBorder="1" applyAlignment="1" applyProtection="1">
      <alignment horizontal="center" vertical="center" wrapText="1"/>
    </xf>
    <xf numFmtId="0" fontId="27" fillId="97" borderId="79" xfId="0" applyFont="1" applyFill="1" applyBorder="1" applyAlignment="1" applyProtection="1">
      <alignment horizontal="center" vertical="center" wrapText="1"/>
    </xf>
    <xf numFmtId="0" fontId="139" fillId="97" borderId="0" xfId="0" applyFont="1" applyFill="1" applyBorder="1" applyAlignment="1">
      <alignment horizontal="center" vertical="center" wrapText="1"/>
    </xf>
    <xf numFmtId="0" fontId="27" fillId="97" borderId="24" xfId="0" applyFont="1" applyFill="1" applyBorder="1" applyAlignment="1" applyProtection="1">
      <alignment horizontal="center" vertical="center" wrapText="1"/>
    </xf>
    <xf numFmtId="0" fontId="27" fillId="97" borderId="26" xfId="0" applyFont="1" applyFill="1" applyBorder="1" applyAlignment="1" applyProtection="1">
      <alignment horizontal="center" vertical="center" wrapText="1"/>
    </xf>
    <xf numFmtId="0" fontId="27" fillId="97" borderId="47" xfId="0" applyFont="1" applyFill="1" applyBorder="1" applyAlignment="1" applyProtection="1">
      <alignment horizontal="center" vertical="center" wrapText="1"/>
    </xf>
    <xf numFmtId="0" fontId="27" fillId="97" borderId="48" xfId="0" applyFont="1" applyFill="1" applyBorder="1" applyAlignment="1" applyProtection="1">
      <alignment horizontal="center" vertical="center" wrapText="1"/>
    </xf>
    <xf numFmtId="0" fontId="27" fillId="51" borderId="14" xfId="0" applyFont="1" applyFill="1" applyBorder="1" applyAlignment="1" applyProtection="1">
      <alignment horizontal="center" vertical="center"/>
    </xf>
    <xf numFmtId="0" fontId="27" fillId="51" borderId="15" xfId="0" applyFont="1" applyFill="1" applyBorder="1" applyAlignment="1" applyProtection="1">
      <alignment horizontal="center" vertical="center"/>
    </xf>
    <xf numFmtId="0" fontId="27" fillId="51" borderId="16" xfId="0" applyFont="1" applyFill="1" applyBorder="1" applyAlignment="1" applyProtection="1">
      <alignment horizontal="center" vertical="center"/>
    </xf>
    <xf numFmtId="0" fontId="27" fillId="51" borderId="57" xfId="0" applyFont="1" applyFill="1" applyBorder="1" applyAlignment="1">
      <alignment horizontal="center"/>
    </xf>
    <xf numFmtId="0" fontId="27" fillId="51" borderId="59" xfId="0" applyFont="1" applyFill="1" applyBorder="1" applyAlignment="1">
      <alignment horizontal="center"/>
    </xf>
    <xf numFmtId="0" fontId="27" fillId="51" borderId="70" xfId="0" applyFont="1" applyFill="1" applyBorder="1" applyAlignment="1">
      <alignment horizontal="center"/>
    </xf>
    <xf numFmtId="0" fontId="27" fillId="51" borderId="0" xfId="0" applyFont="1" applyFill="1" applyBorder="1" applyAlignment="1">
      <alignment horizontal="center" wrapText="1"/>
    </xf>
    <xf numFmtId="0" fontId="27" fillId="51" borderId="24" xfId="0" applyFont="1" applyFill="1" applyBorder="1" applyAlignment="1">
      <alignment horizontal="center"/>
    </xf>
    <xf numFmtId="0" fontId="27" fillId="51" borderId="0" xfId="0" applyFont="1" applyFill="1" applyBorder="1" applyAlignment="1">
      <alignment horizontal="center"/>
    </xf>
    <xf numFmtId="0" fontId="51" fillId="51" borderId="14" xfId="0" applyFont="1" applyFill="1" applyBorder="1" applyAlignment="1">
      <alignment horizontal="center" vertical="center"/>
    </xf>
    <xf numFmtId="0" fontId="51" fillId="51" borderId="15" xfId="0" applyFont="1" applyFill="1" applyBorder="1" applyAlignment="1">
      <alignment horizontal="center" vertical="center"/>
    </xf>
    <xf numFmtId="0" fontId="51" fillId="51" borderId="16" xfId="0" applyFont="1" applyFill="1" applyBorder="1" applyAlignment="1">
      <alignment horizontal="center" vertical="center"/>
    </xf>
    <xf numFmtId="0" fontId="27" fillId="51" borderId="33" xfId="0" applyFont="1" applyFill="1" applyBorder="1" applyAlignment="1">
      <alignment horizontal="center"/>
    </xf>
    <xf numFmtId="0" fontId="27" fillId="51" borderId="22" xfId="0" applyFont="1" applyFill="1" applyBorder="1" applyAlignment="1">
      <alignment horizontal="center"/>
    </xf>
    <xf numFmtId="0" fontId="27" fillId="51" borderId="19" xfId="0" applyFont="1" applyFill="1" applyBorder="1" applyAlignment="1">
      <alignment horizontal="center"/>
    </xf>
    <xf numFmtId="0" fontId="27" fillId="51" borderId="80" xfId="0" applyFont="1" applyFill="1" applyBorder="1" applyAlignment="1">
      <alignment horizontal="center" wrapText="1"/>
    </xf>
    <xf numFmtId="0" fontId="27" fillId="51" borderId="176" xfId="0" applyFont="1" applyFill="1" applyBorder="1" applyAlignment="1" applyProtection="1">
      <alignment horizontal="left" vertical="top" wrapText="1"/>
      <protection locked="0"/>
    </xf>
    <xf numFmtId="0" fontId="27" fillId="51" borderId="71" xfId="0" applyFont="1" applyFill="1" applyBorder="1" applyAlignment="1" applyProtection="1">
      <alignment horizontal="left" vertical="top" wrapText="1"/>
      <protection locked="0"/>
    </xf>
    <xf numFmtId="0" fontId="27" fillId="51" borderId="187" xfId="0" applyFont="1" applyFill="1" applyBorder="1" applyAlignment="1" applyProtection="1">
      <alignment horizontal="left" vertical="top" wrapText="1"/>
      <protection locked="0"/>
    </xf>
    <xf numFmtId="0" fontId="27" fillId="51" borderId="33" xfId="0" applyFont="1" applyFill="1" applyBorder="1" applyAlignment="1" applyProtection="1">
      <alignment horizontal="left" vertical="top" wrapText="1"/>
      <protection locked="0"/>
    </xf>
    <xf numFmtId="0" fontId="27" fillId="51" borderId="22" xfId="0" applyFont="1" applyFill="1" applyBorder="1" applyAlignment="1" applyProtection="1">
      <alignment horizontal="left" vertical="top" wrapText="1"/>
      <protection locked="0"/>
    </xf>
    <xf numFmtId="0" fontId="27" fillId="51" borderId="188" xfId="0" applyFont="1" applyFill="1" applyBorder="1" applyAlignment="1" applyProtection="1">
      <alignment horizontal="left" vertical="top" wrapText="1"/>
      <protection locked="0"/>
    </xf>
    <xf numFmtId="166" fontId="27" fillId="0" borderId="176" xfId="0" applyNumberFormat="1" applyFont="1" applyBorder="1" applyAlignment="1">
      <alignment horizontal="center"/>
    </xf>
    <xf numFmtId="166" fontId="27" fillId="0" borderId="71" xfId="0" applyNumberFormat="1" applyFont="1" applyBorder="1" applyAlignment="1">
      <alignment horizontal="center"/>
    </xf>
    <xf numFmtId="0" fontId="27" fillId="0" borderId="57" xfId="0" applyFont="1" applyBorder="1" applyAlignment="1">
      <alignment horizontal="center"/>
    </xf>
    <xf numFmtId="0" fontId="27" fillId="0" borderId="170" xfId="0" applyFont="1" applyBorder="1" applyAlignment="1">
      <alignment horizontal="center"/>
    </xf>
    <xf numFmtId="0" fontId="27" fillId="0" borderId="164" xfId="0" applyFont="1" applyBorder="1" applyAlignment="1">
      <alignment horizontal="center"/>
    </xf>
    <xf numFmtId="0" fontId="153" fillId="92" borderId="177" xfId="116" applyFont="1" applyFill="1" applyBorder="1" applyAlignment="1">
      <alignment horizontal="center"/>
    </xf>
    <xf numFmtId="0" fontId="153" fillId="92" borderId="178" xfId="116" applyFont="1" applyFill="1" applyBorder="1" applyAlignment="1">
      <alignment horizontal="center"/>
    </xf>
    <xf numFmtId="0" fontId="153" fillId="92" borderId="179" xfId="116" applyFont="1" applyFill="1" applyBorder="1" applyAlignment="1">
      <alignment horizontal="center"/>
    </xf>
    <xf numFmtId="0" fontId="153" fillId="54" borderId="57" xfId="116" applyFont="1" applyFill="1" applyBorder="1" applyAlignment="1">
      <alignment horizontal="center"/>
    </xf>
    <xf numFmtId="0" fontId="153" fillId="54" borderId="170" xfId="116" applyFont="1" applyFill="1" applyBorder="1" applyAlignment="1">
      <alignment horizontal="center"/>
    </xf>
    <xf numFmtId="0" fontId="82" fillId="41" borderId="176" xfId="0" applyFont="1" applyFill="1" applyBorder="1" applyAlignment="1">
      <alignment horizontal="left" vertical="top" wrapText="1"/>
    </xf>
    <xf numFmtId="0" fontId="82" fillId="41" borderId="71" xfId="0" applyFont="1" applyFill="1" applyBorder="1" applyAlignment="1">
      <alignment horizontal="left" vertical="top" wrapText="1"/>
    </xf>
    <xf numFmtId="0" fontId="82" fillId="41" borderId="78" xfId="0" applyFont="1" applyFill="1" applyBorder="1" applyAlignment="1">
      <alignment horizontal="left" vertical="top" wrapText="1"/>
    </xf>
    <xf numFmtId="0" fontId="82" fillId="41" borderId="33" xfId="0" applyFont="1" applyFill="1" applyBorder="1" applyAlignment="1">
      <alignment horizontal="left" vertical="top" wrapText="1"/>
    </xf>
    <xf numFmtId="0" fontId="82" fillId="41" borderId="22" xfId="0" applyFont="1" applyFill="1" applyBorder="1" applyAlignment="1">
      <alignment horizontal="left" vertical="top" wrapText="1"/>
    </xf>
    <xf numFmtId="0" fontId="82" fillId="41" borderId="19" xfId="0" applyFont="1" applyFill="1" applyBorder="1" applyAlignment="1">
      <alignment horizontal="left" vertical="top" wrapText="1"/>
    </xf>
    <xf numFmtId="0" fontId="82" fillId="51" borderId="18" xfId="0" applyFont="1" applyFill="1" applyBorder="1" applyAlignment="1">
      <alignment horizontal="center" vertical="center"/>
    </xf>
    <xf numFmtId="0" fontId="82" fillId="51" borderId="18" xfId="0" applyFont="1" applyFill="1" applyBorder="1" applyAlignment="1">
      <alignment horizontal="center" vertical="top" wrapText="1"/>
    </xf>
    <xf numFmtId="0" fontId="82" fillId="72" borderId="176" xfId="0" applyFont="1" applyFill="1" applyBorder="1" applyAlignment="1" applyProtection="1">
      <alignment horizontal="center" vertical="center"/>
      <protection locked="0"/>
    </xf>
    <xf numFmtId="0" fontId="82" fillId="72" borderId="72" xfId="0" applyFont="1" applyFill="1" applyBorder="1" applyAlignment="1" applyProtection="1">
      <alignment horizontal="center" vertical="center"/>
      <protection locked="0"/>
    </xf>
    <xf numFmtId="0" fontId="162" fillId="101" borderId="57" xfId="0" applyFont="1" applyFill="1" applyBorder="1" applyAlignment="1">
      <alignment horizontal="center"/>
    </xf>
    <xf numFmtId="0" fontId="162" fillId="101" borderId="170" xfId="0" applyFont="1" applyFill="1" applyBorder="1" applyAlignment="1">
      <alignment horizontal="center"/>
    </xf>
    <xf numFmtId="0" fontId="162" fillId="101" borderId="164" xfId="0" applyFont="1" applyFill="1" applyBorder="1" applyAlignment="1">
      <alignment horizontal="center"/>
    </xf>
    <xf numFmtId="0" fontId="82" fillId="72" borderId="172" xfId="0" applyFont="1" applyFill="1" applyBorder="1" applyAlignment="1" applyProtection="1">
      <alignment horizontal="center" vertical="top"/>
      <protection locked="0"/>
    </xf>
    <xf numFmtId="0" fontId="82" fillId="72" borderId="17" xfId="0" applyFont="1" applyFill="1" applyBorder="1" applyAlignment="1" applyProtection="1">
      <alignment horizontal="center" vertical="top"/>
      <protection locked="0"/>
    </xf>
    <xf numFmtId="0" fontId="82" fillId="51" borderId="21" xfId="0" applyFont="1" applyFill="1" applyBorder="1" applyAlignment="1">
      <alignment horizontal="center" vertical="center"/>
    </xf>
    <xf numFmtId="0" fontId="82" fillId="51" borderId="21" xfId="0" applyFont="1" applyFill="1" applyBorder="1" applyAlignment="1">
      <alignment horizontal="center" vertical="top" wrapText="1"/>
    </xf>
    <xf numFmtId="0" fontId="82" fillId="51" borderId="171" xfId="0" applyFont="1" applyFill="1" applyBorder="1" applyAlignment="1">
      <alignment horizontal="center" vertical="center"/>
    </xf>
    <xf numFmtId="0" fontId="82" fillId="51" borderId="171" xfId="0" applyFont="1" applyFill="1" applyBorder="1" applyAlignment="1">
      <alignment horizontal="center" vertical="top" wrapText="1"/>
    </xf>
    <xf numFmtId="0" fontId="88" fillId="0" borderId="0" xfId="41216" applyFont="1" applyFill="1" applyAlignment="1">
      <alignment horizontal="center"/>
    </xf>
    <xf numFmtId="0" fontId="72" fillId="0" borderId="72" xfId="41216" applyFont="1" applyFill="1" applyBorder="1" applyAlignment="1">
      <alignment horizontal="center" vertical="center" wrapText="1"/>
    </xf>
    <xf numFmtId="0" fontId="72" fillId="0" borderId="17" xfId="41216" applyFont="1" applyFill="1" applyBorder="1" applyAlignment="1">
      <alignment horizontal="center" vertical="center" wrapText="1"/>
    </xf>
    <xf numFmtId="0" fontId="72" fillId="0" borderId="85" xfId="41216" applyFont="1" applyFill="1" applyBorder="1" applyAlignment="1">
      <alignment horizontal="center" vertical="center" wrapText="1"/>
    </xf>
    <xf numFmtId="0" fontId="72" fillId="0" borderId="172" xfId="41216" applyFont="1" applyFill="1" applyBorder="1" applyAlignment="1">
      <alignment horizontal="center" vertical="center" wrapText="1"/>
    </xf>
    <xf numFmtId="0" fontId="97" fillId="0" borderId="72" xfId="41216" applyFont="1" applyFill="1" applyBorder="1" applyAlignment="1">
      <alignment horizontal="center" vertical="center" wrapText="1"/>
    </xf>
    <xf numFmtId="0" fontId="97" fillId="0" borderId="17" xfId="41216" applyFont="1" applyFill="1" applyBorder="1" applyAlignment="1">
      <alignment horizontal="center" vertical="center" wrapText="1"/>
    </xf>
    <xf numFmtId="0" fontId="72" fillId="0" borderId="184" xfId="41216" applyFont="1" applyBorder="1" applyAlignment="1">
      <alignment horizontal="center" vertical="center"/>
    </xf>
    <xf numFmtId="0" fontId="89" fillId="0" borderId="183" xfId="41216" applyFont="1" applyBorder="1" applyAlignment="1">
      <alignment horizontal="center" vertical="center"/>
    </xf>
    <xf numFmtId="0" fontId="88" fillId="0" borderId="93" xfId="41216" applyFont="1" applyBorder="1" applyAlignment="1">
      <alignment horizontal="center" vertical="center" wrapText="1"/>
    </xf>
    <xf numFmtId="0" fontId="88" fillId="0" borderId="49" xfId="41216" applyFont="1" applyBorder="1" applyAlignment="1">
      <alignment horizontal="center" vertical="center" wrapText="1"/>
    </xf>
    <xf numFmtId="0" fontId="72" fillId="0" borderId="71" xfId="41216" applyFont="1" applyFill="1" applyBorder="1" applyAlignment="1">
      <alignment horizontal="center" vertical="center" wrapText="1"/>
    </xf>
    <xf numFmtId="0" fontId="72" fillId="0" borderId="0" xfId="41216" applyFont="1" applyFill="1" applyBorder="1" applyAlignment="1">
      <alignment horizontal="center" vertical="center" wrapText="1"/>
    </xf>
    <xf numFmtId="0" fontId="89" fillId="0" borderId="85" xfId="41216" applyFont="1" applyBorder="1" applyAlignment="1">
      <alignment horizontal="center"/>
    </xf>
    <xf numFmtId="0" fontId="89" fillId="0" borderId="71" xfId="41216" applyFont="1" applyBorder="1" applyAlignment="1">
      <alignment horizontal="center"/>
    </xf>
    <xf numFmtId="0" fontId="89" fillId="0" borderId="175" xfId="41216" applyFont="1" applyBorder="1" applyAlignment="1">
      <alignment horizontal="center"/>
    </xf>
    <xf numFmtId="0" fontId="97" fillId="0" borderId="172" xfId="41216" applyFont="1" applyBorder="1" applyAlignment="1">
      <alignment horizontal="center"/>
    </xf>
    <xf numFmtId="0" fontId="97" fillId="0" borderId="0" xfId="41216" applyFont="1" applyBorder="1" applyAlignment="1">
      <alignment horizontal="center"/>
    </xf>
    <xf numFmtId="0" fontId="97" fillId="0" borderId="17" xfId="41216" applyFont="1" applyBorder="1" applyAlignment="1">
      <alignment horizontal="center"/>
    </xf>
    <xf numFmtId="0" fontId="88" fillId="0" borderId="36" xfId="41216" applyFont="1" applyBorder="1" applyAlignment="1">
      <alignment horizontal="center"/>
    </xf>
    <xf numFmtId="0" fontId="88" fillId="0" borderId="35" xfId="41216" applyFont="1" applyBorder="1" applyAlignment="1">
      <alignment horizontal="center"/>
    </xf>
    <xf numFmtId="0" fontId="88" fillId="0" borderId="37" xfId="41216" applyFont="1" applyBorder="1" applyAlignment="1">
      <alignment horizontal="center"/>
    </xf>
    <xf numFmtId="0" fontId="88" fillId="0" borderId="51" xfId="41216" applyFont="1" applyBorder="1" applyAlignment="1">
      <alignment horizontal="center"/>
    </xf>
    <xf numFmtId="0" fontId="88" fillId="0" borderId="28" xfId="41216" applyFont="1" applyBorder="1" applyAlignment="1">
      <alignment horizontal="center"/>
    </xf>
    <xf numFmtId="0" fontId="88" fillId="0" borderId="29" xfId="41216" applyFont="1" applyBorder="1" applyAlignment="1">
      <alignment horizontal="center"/>
    </xf>
    <xf numFmtId="0" fontId="97" fillId="0" borderId="88" xfId="41216" applyFont="1" applyFill="1" applyBorder="1" applyAlignment="1">
      <alignment horizontal="center" vertical="center" wrapText="1"/>
    </xf>
    <xf numFmtId="0" fontId="97" fillId="0" borderId="26" xfId="41216" applyFont="1" applyFill="1" applyBorder="1" applyAlignment="1">
      <alignment horizontal="center" vertical="center" wrapText="1"/>
    </xf>
    <xf numFmtId="0" fontId="97" fillId="0" borderId="171" xfId="41216" applyFont="1" applyFill="1" applyBorder="1" applyAlignment="1">
      <alignment horizontal="center" vertical="center" wrapText="1"/>
    </xf>
    <xf numFmtId="0" fontId="97" fillId="0" borderId="18" xfId="41216" applyFont="1" applyFill="1" applyBorder="1" applyAlignment="1">
      <alignment horizontal="center" vertical="center" wrapText="1"/>
    </xf>
    <xf numFmtId="0" fontId="143" fillId="0" borderId="34" xfId="42639" applyFont="1" applyBorder="1" applyAlignment="1">
      <alignment horizontal="center"/>
    </xf>
    <xf numFmtId="0" fontId="143" fillId="0" borderId="35" xfId="42639" applyFont="1" applyBorder="1" applyAlignment="1">
      <alignment horizontal="center"/>
    </xf>
    <xf numFmtId="0" fontId="143" fillId="0" borderId="38" xfId="42639" applyFont="1" applyBorder="1" applyAlignment="1">
      <alignment horizontal="center"/>
    </xf>
    <xf numFmtId="0" fontId="143" fillId="0" borderId="27" xfId="42639" applyFont="1" applyBorder="1" applyAlignment="1">
      <alignment horizontal="center"/>
    </xf>
    <xf numFmtId="0" fontId="143" fillId="0" borderId="28" xfId="42639" applyFont="1" applyBorder="1" applyAlignment="1">
      <alignment horizontal="center"/>
    </xf>
    <xf numFmtId="0" fontId="143" fillId="0" borderId="33" xfId="0" applyFont="1" applyBorder="1" applyAlignment="1">
      <alignment horizontal="left" wrapText="1"/>
    </xf>
    <xf numFmtId="0" fontId="143" fillId="0" borderId="22" xfId="0" applyFont="1" applyBorder="1" applyAlignment="1">
      <alignment horizontal="left" wrapText="1"/>
    </xf>
    <xf numFmtId="0" fontId="143" fillId="0" borderId="48" xfId="0" applyFont="1" applyBorder="1" applyAlignment="1">
      <alignment horizontal="left" wrapText="1"/>
    </xf>
  </cellXfs>
  <cellStyles count="42646">
    <cellStyle name="$/kW" xfId="1" xr:uid="{00000000-0005-0000-0000-000000000000}"/>
    <cellStyle name="$/kW 2" xfId="342" xr:uid="{00000000-0005-0000-0000-000001000000}"/>
    <cellStyle name="$/kWh" xfId="2" xr:uid="{00000000-0005-0000-0000-000002000000}"/>
    <cellStyle name="$/kWh 2" xfId="343" xr:uid="{00000000-0005-0000-0000-000003000000}"/>
    <cellStyle name="$/kW-yr" xfId="3" xr:uid="{00000000-0005-0000-0000-000004000000}"/>
    <cellStyle name="$/kW-yr 2" xfId="344" xr:uid="{00000000-0005-0000-0000-000005000000}"/>
    <cellStyle name="$/MWh" xfId="4" xr:uid="{00000000-0005-0000-0000-000006000000}"/>
    <cellStyle name="$/MWh 2" xfId="345" xr:uid="{00000000-0005-0000-0000-000007000000}"/>
    <cellStyle name="$M" xfId="5" xr:uid="{00000000-0005-0000-0000-000008000000}"/>
    <cellStyle name="$M 2" xfId="346" xr:uid="{00000000-0005-0000-0000-000009000000}"/>
    <cellStyle name="(000's)" xfId="41241" xr:uid="{00000000-0005-0000-0000-00000A000000}"/>
    <cellStyle name="(000's) 2" xfId="42484" xr:uid="{00000000-0005-0000-0000-00000B000000}"/>
    <cellStyle name="20% - Accent1" xfId="6" builtinId="30" customBuiltin="1"/>
    <cellStyle name="20% - Accent1 2" xfId="7" xr:uid="{00000000-0005-0000-0000-00000D000000}"/>
    <cellStyle name="20% - Accent1 2 2" xfId="169" xr:uid="{00000000-0005-0000-0000-00000E000000}"/>
    <cellStyle name="20% - Accent1 2 2 2" xfId="41242" xr:uid="{00000000-0005-0000-0000-00000F000000}"/>
    <cellStyle name="20% - Accent1 2 2 2 2" xfId="41657" xr:uid="{00000000-0005-0000-0000-000010000000}"/>
    <cellStyle name="20% - Accent1 2 2 3" xfId="41658" xr:uid="{00000000-0005-0000-0000-000011000000}"/>
    <cellStyle name="20% - Accent1 2 2 3 2" xfId="41659" xr:uid="{00000000-0005-0000-0000-000012000000}"/>
    <cellStyle name="20% - Accent1 2 2 4" xfId="41660" xr:uid="{00000000-0005-0000-0000-000013000000}"/>
    <cellStyle name="20% - Accent1 3" xfId="204" xr:uid="{00000000-0005-0000-0000-000014000000}"/>
    <cellStyle name="20% - Accent1 4" xfId="205" xr:uid="{00000000-0005-0000-0000-000015000000}"/>
    <cellStyle name="20% - Accent1 5" xfId="449" xr:uid="{00000000-0005-0000-0000-000016000000}"/>
    <cellStyle name="20% - Accent1 6" xfId="11402" xr:uid="{00000000-0005-0000-0000-000017000000}"/>
    <cellStyle name="20% - Accent2" xfId="8" builtinId="34" customBuiltin="1"/>
    <cellStyle name="20% - Accent2 2" xfId="9" xr:uid="{00000000-0005-0000-0000-000019000000}"/>
    <cellStyle name="20% - Accent2 2 2" xfId="170" xr:uid="{00000000-0005-0000-0000-00001A000000}"/>
    <cellStyle name="20% - Accent2 2 2 2" xfId="41243" xr:uid="{00000000-0005-0000-0000-00001B000000}"/>
    <cellStyle name="20% - Accent2 2 2 2 2" xfId="41661" xr:uid="{00000000-0005-0000-0000-00001C000000}"/>
    <cellStyle name="20% - Accent2 2 2 3" xfId="41662" xr:uid="{00000000-0005-0000-0000-00001D000000}"/>
    <cellStyle name="20% - Accent2 2 2 3 2" xfId="41663" xr:uid="{00000000-0005-0000-0000-00001E000000}"/>
    <cellStyle name="20% - Accent2 2 2 4" xfId="41664" xr:uid="{00000000-0005-0000-0000-00001F000000}"/>
    <cellStyle name="20% - Accent2 3" xfId="206" xr:uid="{00000000-0005-0000-0000-000020000000}"/>
    <cellStyle name="20% - Accent2 4" xfId="207" xr:uid="{00000000-0005-0000-0000-000021000000}"/>
    <cellStyle name="20% - Accent2 5" xfId="450" xr:uid="{00000000-0005-0000-0000-000022000000}"/>
    <cellStyle name="20% - Accent2 6" xfId="11403" xr:uid="{00000000-0005-0000-0000-000023000000}"/>
    <cellStyle name="20% - Accent3" xfId="10" builtinId="38" customBuiltin="1"/>
    <cellStyle name="20% - Accent3 2" xfId="11" xr:uid="{00000000-0005-0000-0000-000025000000}"/>
    <cellStyle name="20% - Accent3 2 2" xfId="171" xr:uid="{00000000-0005-0000-0000-000026000000}"/>
    <cellStyle name="20% - Accent3 2 2 2" xfId="41244" xr:uid="{00000000-0005-0000-0000-000027000000}"/>
    <cellStyle name="20% - Accent3 2 2 2 2" xfId="41665" xr:uid="{00000000-0005-0000-0000-000028000000}"/>
    <cellStyle name="20% - Accent3 2 2 3" xfId="41666" xr:uid="{00000000-0005-0000-0000-000029000000}"/>
    <cellStyle name="20% - Accent3 2 2 3 2" xfId="41667" xr:uid="{00000000-0005-0000-0000-00002A000000}"/>
    <cellStyle name="20% - Accent3 2 2 4" xfId="41668" xr:uid="{00000000-0005-0000-0000-00002B000000}"/>
    <cellStyle name="20% - Accent3 3" xfId="208" xr:uid="{00000000-0005-0000-0000-00002C000000}"/>
    <cellStyle name="20% - Accent3 4" xfId="209" xr:uid="{00000000-0005-0000-0000-00002D000000}"/>
    <cellStyle name="20% - Accent3 5" xfId="451" xr:uid="{00000000-0005-0000-0000-00002E000000}"/>
    <cellStyle name="20% - Accent3 6" xfId="11404" xr:uid="{00000000-0005-0000-0000-00002F000000}"/>
    <cellStyle name="20% - Accent4" xfId="12" builtinId="42" customBuiltin="1"/>
    <cellStyle name="20% - Accent4 2" xfId="13" xr:uid="{00000000-0005-0000-0000-000031000000}"/>
    <cellStyle name="20% - Accent4 2 2" xfId="172" xr:uid="{00000000-0005-0000-0000-000032000000}"/>
    <cellStyle name="20% - Accent4 2 2 2" xfId="41245" xr:uid="{00000000-0005-0000-0000-000033000000}"/>
    <cellStyle name="20% - Accent4 2 2 2 2" xfId="41669" xr:uid="{00000000-0005-0000-0000-000034000000}"/>
    <cellStyle name="20% - Accent4 2 2 3" xfId="41670" xr:uid="{00000000-0005-0000-0000-000035000000}"/>
    <cellStyle name="20% - Accent4 2 2 3 2" xfId="41671" xr:uid="{00000000-0005-0000-0000-000036000000}"/>
    <cellStyle name="20% - Accent4 2 2 4" xfId="41672" xr:uid="{00000000-0005-0000-0000-000037000000}"/>
    <cellStyle name="20% - Accent4 3" xfId="210" xr:uid="{00000000-0005-0000-0000-000038000000}"/>
    <cellStyle name="20% - Accent4 4" xfId="211" xr:uid="{00000000-0005-0000-0000-000039000000}"/>
    <cellStyle name="20% - Accent4 5" xfId="452" xr:uid="{00000000-0005-0000-0000-00003A000000}"/>
    <cellStyle name="20% - Accent4 6" xfId="11405" xr:uid="{00000000-0005-0000-0000-00003B000000}"/>
    <cellStyle name="20% - Accent5" xfId="14" builtinId="46" customBuiltin="1"/>
    <cellStyle name="20% - Accent5 2" xfId="15" xr:uid="{00000000-0005-0000-0000-00003D000000}"/>
    <cellStyle name="20% - Accent5 2 2" xfId="41246" xr:uid="{00000000-0005-0000-0000-00003E000000}"/>
    <cellStyle name="20% - Accent5 2 2 2" xfId="41514" xr:uid="{00000000-0005-0000-0000-00003F000000}"/>
    <cellStyle name="20% - Accent5 2 2 2 2" xfId="41673" xr:uid="{00000000-0005-0000-0000-000040000000}"/>
    <cellStyle name="20% - Accent5 2 2 3" xfId="41674" xr:uid="{00000000-0005-0000-0000-000041000000}"/>
    <cellStyle name="20% - Accent5 2 2 3 2" xfId="41675" xr:uid="{00000000-0005-0000-0000-000042000000}"/>
    <cellStyle name="20% - Accent5 2 2 4" xfId="41676" xr:uid="{00000000-0005-0000-0000-000043000000}"/>
    <cellStyle name="20% - Accent5 2 3" xfId="41247" xr:uid="{00000000-0005-0000-0000-000044000000}"/>
    <cellStyle name="20% - Accent5 3" xfId="212" xr:uid="{00000000-0005-0000-0000-000045000000}"/>
    <cellStyle name="20% - Accent5 4" xfId="453" xr:uid="{00000000-0005-0000-0000-000046000000}"/>
    <cellStyle name="20% - Accent5 5" xfId="11406" xr:uid="{00000000-0005-0000-0000-000047000000}"/>
    <cellStyle name="20% - Accent6" xfId="16" builtinId="50" customBuiltin="1"/>
    <cellStyle name="20% - Accent6 2" xfId="17" xr:uid="{00000000-0005-0000-0000-000049000000}"/>
    <cellStyle name="20% - Accent6 2 2" xfId="41248" xr:uid="{00000000-0005-0000-0000-00004A000000}"/>
    <cellStyle name="20% - Accent6 2 2 2" xfId="41515" xr:uid="{00000000-0005-0000-0000-00004B000000}"/>
    <cellStyle name="20% - Accent6 2 2 2 2" xfId="41677" xr:uid="{00000000-0005-0000-0000-00004C000000}"/>
    <cellStyle name="20% - Accent6 2 2 3" xfId="41678" xr:uid="{00000000-0005-0000-0000-00004D000000}"/>
    <cellStyle name="20% - Accent6 2 2 3 2" xfId="41679" xr:uid="{00000000-0005-0000-0000-00004E000000}"/>
    <cellStyle name="20% - Accent6 2 2 4" xfId="41680" xr:uid="{00000000-0005-0000-0000-00004F000000}"/>
    <cellStyle name="20% - Accent6 2 3" xfId="41249" xr:uid="{00000000-0005-0000-0000-000050000000}"/>
    <cellStyle name="20% - Accent6 3" xfId="213" xr:uid="{00000000-0005-0000-0000-000051000000}"/>
    <cellStyle name="20% - Accent6 3 2" xfId="41250" xr:uid="{00000000-0005-0000-0000-000052000000}"/>
    <cellStyle name="20% - Accent6 4" xfId="454" xr:uid="{00000000-0005-0000-0000-000053000000}"/>
    <cellStyle name="20% - Accent6 5" xfId="11407" xr:uid="{00000000-0005-0000-0000-000054000000}"/>
    <cellStyle name="40% - Accent1" xfId="18" builtinId="31" customBuiltin="1"/>
    <cellStyle name="40% - Accent1 2" xfId="19" xr:uid="{00000000-0005-0000-0000-000056000000}"/>
    <cellStyle name="40% - Accent1 2 2" xfId="173" xr:uid="{00000000-0005-0000-0000-000057000000}"/>
    <cellStyle name="40% - Accent1 2 2 2" xfId="41251" xr:uid="{00000000-0005-0000-0000-000058000000}"/>
    <cellStyle name="40% - Accent1 2 2 2 2" xfId="41681" xr:uid="{00000000-0005-0000-0000-000059000000}"/>
    <cellStyle name="40% - Accent1 2 2 3" xfId="41682" xr:uid="{00000000-0005-0000-0000-00005A000000}"/>
    <cellStyle name="40% - Accent1 2 2 3 2" xfId="41683" xr:uid="{00000000-0005-0000-0000-00005B000000}"/>
    <cellStyle name="40% - Accent1 2 2 4" xfId="41684" xr:uid="{00000000-0005-0000-0000-00005C000000}"/>
    <cellStyle name="40% - Accent1 3" xfId="214" xr:uid="{00000000-0005-0000-0000-00005D000000}"/>
    <cellStyle name="40% - Accent1 4" xfId="215" xr:uid="{00000000-0005-0000-0000-00005E000000}"/>
    <cellStyle name="40% - Accent1 5" xfId="455" xr:uid="{00000000-0005-0000-0000-00005F000000}"/>
    <cellStyle name="40% - Accent1 6" xfId="11408" xr:uid="{00000000-0005-0000-0000-000060000000}"/>
    <cellStyle name="40% - Accent2" xfId="20" builtinId="35" customBuiltin="1"/>
    <cellStyle name="40% - Accent2 2" xfId="21" xr:uid="{00000000-0005-0000-0000-000062000000}"/>
    <cellStyle name="40% - Accent2 2 2" xfId="41252" xr:uid="{00000000-0005-0000-0000-000063000000}"/>
    <cellStyle name="40% - Accent2 2 2 2" xfId="41516" xr:uid="{00000000-0005-0000-0000-000064000000}"/>
    <cellStyle name="40% - Accent2 2 2 2 2" xfId="41685" xr:uid="{00000000-0005-0000-0000-000065000000}"/>
    <cellStyle name="40% - Accent2 2 2 3" xfId="41686" xr:uid="{00000000-0005-0000-0000-000066000000}"/>
    <cellStyle name="40% - Accent2 2 2 3 2" xfId="41687" xr:uid="{00000000-0005-0000-0000-000067000000}"/>
    <cellStyle name="40% - Accent2 2 2 4" xfId="41688" xr:uid="{00000000-0005-0000-0000-000068000000}"/>
    <cellStyle name="40% - Accent2 2 3" xfId="41253" xr:uid="{00000000-0005-0000-0000-000069000000}"/>
    <cellStyle name="40% - Accent2 3" xfId="216" xr:uid="{00000000-0005-0000-0000-00006A000000}"/>
    <cellStyle name="40% - Accent2 4" xfId="456" xr:uid="{00000000-0005-0000-0000-00006B000000}"/>
    <cellStyle name="40% - Accent2 5" xfId="11409" xr:uid="{00000000-0005-0000-0000-00006C000000}"/>
    <cellStyle name="40% - Accent3" xfId="22" builtinId="39" customBuiltin="1"/>
    <cellStyle name="40% - Accent3 2" xfId="23" xr:uid="{00000000-0005-0000-0000-00006E000000}"/>
    <cellStyle name="40% - Accent3 2 2" xfId="174" xr:uid="{00000000-0005-0000-0000-00006F000000}"/>
    <cellStyle name="40% - Accent3 2 2 2" xfId="41254" xr:uid="{00000000-0005-0000-0000-000070000000}"/>
    <cellStyle name="40% - Accent3 2 2 2 2" xfId="41689" xr:uid="{00000000-0005-0000-0000-000071000000}"/>
    <cellStyle name="40% - Accent3 2 2 3" xfId="41690" xr:uid="{00000000-0005-0000-0000-000072000000}"/>
    <cellStyle name="40% - Accent3 2 2 3 2" xfId="41691" xr:uid="{00000000-0005-0000-0000-000073000000}"/>
    <cellStyle name="40% - Accent3 2 2 4" xfId="41692" xr:uid="{00000000-0005-0000-0000-000074000000}"/>
    <cellStyle name="40% - Accent3 3" xfId="217" xr:uid="{00000000-0005-0000-0000-000075000000}"/>
    <cellStyle name="40% - Accent3 4" xfId="218" xr:uid="{00000000-0005-0000-0000-000076000000}"/>
    <cellStyle name="40% - Accent3 5" xfId="457" xr:uid="{00000000-0005-0000-0000-000077000000}"/>
    <cellStyle name="40% - Accent3 6" xfId="11410" xr:uid="{00000000-0005-0000-0000-000078000000}"/>
    <cellStyle name="40% - Accent4" xfId="24" builtinId="43" customBuiltin="1"/>
    <cellStyle name="40% - Accent4 2" xfId="25" xr:uid="{00000000-0005-0000-0000-00007A000000}"/>
    <cellStyle name="40% - Accent4 2 2" xfId="175" xr:uid="{00000000-0005-0000-0000-00007B000000}"/>
    <cellStyle name="40% - Accent4 2 2 2" xfId="41255" xr:uid="{00000000-0005-0000-0000-00007C000000}"/>
    <cellStyle name="40% - Accent4 2 2 2 2" xfId="41693" xr:uid="{00000000-0005-0000-0000-00007D000000}"/>
    <cellStyle name="40% - Accent4 2 2 3" xfId="41694" xr:uid="{00000000-0005-0000-0000-00007E000000}"/>
    <cellStyle name="40% - Accent4 2 2 3 2" xfId="41695" xr:uid="{00000000-0005-0000-0000-00007F000000}"/>
    <cellStyle name="40% - Accent4 2 2 4" xfId="41696" xr:uid="{00000000-0005-0000-0000-000080000000}"/>
    <cellStyle name="40% - Accent4 3" xfId="219" xr:uid="{00000000-0005-0000-0000-000081000000}"/>
    <cellStyle name="40% - Accent4 4" xfId="220" xr:uid="{00000000-0005-0000-0000-000082000000}"/>
    <cellStyle name="40% - Accent4 5" xfId="458" xr:uid="{00000000-0005-0000-0000-000083000000}"/>
    <cellStyle name="40% - Accent4 6" xfId="11411" xr:uid="{00000000-0005-0000-0000-000084000000}"/>
    <cellStyle name="40% - Accent5" xfId="26" builtinId="47" customBuiltin="1"/>
    <cellStyle name="40% - Accent5 2" xfId="27" xr:uid="{00000000-0005-0000-0000-000086000000}"/>
    <cellStyle name="40% - Accent5 2 2" xfId="41256" xr:uid="{00000000-0005-0000-0000-000087000000}"/>
    <cellStyle name="40% - Accent5 2 2 2" xfId="41517" xr:uid="{00000000-0005-0000-0000-000088000000}"/>
    <cellStyle name="40% - Accent5 2 2 2 2" xfId="41697" xr:uid="{00000000-0005-0000-0000-000089000000}"/>
    <cellStyle name="40% - Accent5 2 2 3" xfId="41698" xr:uid="{00000000-0005-0000-0000-00008A000000}"/>
    <cellStyle name="40% - Accent5 2 2 3 2" xfId="41699" xr:uid="{00000000-0005-0000-0000-00008B000000}"/>
    <cellStyle name="40% - Accent5 2 2 4" xfId="41700" xr:uid="{00000000-0005-0000-0000-00008C000000}"/>
    <cellStyle name="40% - Accent5 2 3" xfId="41257" xr:uid="{00000000-0005-0000-0000-00008D000000}"/>
    <cellStyle name="40% - Accent5 3" xfId="221" xr:uid="{00000000-0005-0000-0000-00008E000000}"/>
    <cellStyle name="40% - Accent5 4" xfId="459" xr:uid="{00000000-0005-0000-0000-00008F000000}"/>
    <cellStyle name="40% - Accent5 5" xfId="11412" xr:uid="{00000000-0005-0000-0000-000090000000}"/>
    <cellStyle name="40% - Accent6" xfId="28" builtinId="51" customBuiltin="1"/>
    <cellStyle name="40% - Accent6 2" xfId="29" xr:uid="{00000000-0005-0000-0000-000092000000}"/>
    <cellStyle name="40% - Accent6 2 2" xfId="176" xr:uid="{00000000-0005-0000-0000-000093000000}"/>
    <cellStyle name="40% - Accent6 2 2 2" xfId="41258" xr:uid="{00000000-0005-0000-0000-000094000000}"/>
    <cellStyle name="40% - Accent6 2 2 2 2" xfId="41701" xr:uid="{00000000-0005-0000-0000-000095000000}"/>
    <cellStyle name="40% - Accent6 2 2 3" xfId="41702" xr:uid="{00000000-0005-0000-0000-000096000000}"/>
    <cellStyle name="40% - Accent6 2 2 3 2" xfId="41703" xr:uid="{00000000-0005-0000-0000-000097000000}"/>
    <cellStyle name="40% - Accent6 2 2 4" xfId="41704" xr:uid="{00000000-0005-0000-0000-000098000000}"/>
    <cellStyle name="40% - Accent6 3" xfId="222" xr:uid="{00000000-0005-0000-0000-000099000000}"/>
    <cellStyle name="40% - Accent6 4" xfId="223" xr:uid="{00000000-0005-0000-0000-00009A000000}"/>
    <cellStyle name="40% - Accent6 5" xfId="460" xr:uid="{00000000-0005-0000-0000-00009B000000}"/>
    <cellStyle name="40% - Accent6 6" xfId="11413" xr:uid="{00000000-0005-0000-0000-00009C000000}"/>
    <cellStyle name="60% - Accent1" xfId="30" builtinId="32" customBuiltin="1"/>
    <cellStyle name="60% - Accent1 2" xfId="31" xr:uid="{00000000-0005-0000-0000-00009E000000}"/>
    <cellStyle name="60% - Accent1 2 2" xfId="177" xr:uid="{00000000-0005-0000-0000-00009F000000}"/>
    <cellStyle name="60% - Accent1 3" xfId="224" xr:uid="{00000000-0005-0000-0000-0000A0000000}"/>
    <cellStyle name="60% - Accent1 4" xfId="225" xr:uid="{00000000-0005-0000-0000-0000A1000000}"/>
    <cellStyle name="60% - Accent1 5" xfId="461" xr:uid="{00000000-0005-0000-0000-0000A2000000}"/>
    <cellStyle name="60% - Accent1 6" xfId="11414" xr:uid="{00000000-0005-0000-0000-0000A3000000}"/>
    <cellStyle name="60% - Accent2" xfId="32" builtinId="36" customBuiltin="1"/>
    <cellStyle name="60% - Accent2 2" xfId="33" xr:uid="{00000000-0005-0000-0000-0000A5000000}"/>
    <cellStyle name="60% - Accent2 2 2" xfId="41259" xr:uid="{00000000-0005-0000-0000-0000A6000000}"/>
    <cellStyle name="60% - Accent2 3" xfId="226" xr:uid="{00000000-0005-0000-0000-0000A7000000}"/>
    <cellStyle name="60% - Accent2 4" xfId="462" xr:uid="{00000000-0005-0000-0000-0000A8000000}"/>
    <cellStyle name="60% - Accent2 5" xfId="11415" xr:uid="{00000000-0005-0000-0000-0000A9000000}"/>
    <cellStyle name="60% - Accent3" xfId="34" builtinId="40" customBuiltin="1"/>
    <cellStyle name="60% - Accent3 2" xfId="35" xr:uid="{00000000-0005-0000-0000-0000AB000000}"/>
    <cellStyle name="60% - Accent3 2 2" xfId="178" xr:uid="{00000000-0005-0000-0000-0000AC000000}"/>
    <cellStyle name="60% - Accent3 3" xfId="227" xr:uid="{00000000-0005-0000-0000-0000AD000000}"/>
    <cellStyle name="60% - Accent3 4" xfId="228" xr:uid="{00000000-0005-0000-0000-0000AE000000}"/>
    <cellStyle name="60% - Accent3 5" xfId="463" xr:uid="{00000000-0005-0000-0000-0000AF000000}"/>
    <cellStyle name="60% - Accent3 6" xfId="11416" xr:uid="{00000000-0005-0000-0000-0000B0000000}"/>
    <cellStyle name="60% - Accent4" xfId="36" builtinId="44" customBuiltin="1"/>
    <cellStyle name="60% - Accent4 2" xfId="37" xr:uid="{00000000-0005-0000-0000-0000B2000000}"/>
    <cellStyle name="60% - Accent4 2 2" xfId="179" xr:uid="{00000000-0005-0000-0000-0000B3000000}"/>
    <cellStyle name="60% - Accent4 3" xfId="229" xr:uid="{00000000-0005-0000-0000-0000B4000000}"/>
    <cellStyle name="60% - Accent4 4" xfId="230" xr:uid="{00000000-0005-0000-0000-0000B5000000}"/>
    <cellStyle name="60% - Accent4 5" xfId="464" xr:uid="{00000000-0005-0000-0000-0000B6000000}"/>
    <cellStyle name="60% - Accent4 6" xfId="11417" xr:uid="{00000000-0005-0000-0000-0000B7000000}"/>
    <cellStyle name="60% - Accent5" xfId="38" builtinId="48" customBuiltin="1"/>
    <cellStyle name="60% - Accent5 2" xfId="39" xr:uid="{00000000-0005-0000-0000-0000B9000000}"/>
    <cellStyle name="60% - Accent5 2 2" xfId="41260" xr:uid="{00000000-0005-0000-0000-0000BA000000}"/>
    <cellStyle name="60% - Accent5 3" xfId="231" xr:uid="{00000000-0005-0000-0000-0000BB000000}"/>
    <cellStyle name="60% - Accent5 4" xfId="465" xr:uid="{00000000-0005-0000-0000-0000BC000000}"/>
    <cellStyle name="60% - Accent5 5" xfId="11418" xr:uid="{00000000-0005-0000-0000-0000BD000000}"/>
    <cellStyle name="60% - Accent6" xfId="40" builtinId="52" customBuiltin="1"/>
    <cellStyle name="60% - Accent6 2" xfId="41" xr:uid="{00000000-0005-0000-0000-0000BF000000}"/>
    <cellStyle name="60% - Accent6 2 2" xfId="180" xr:uid="{00000000-0005-0000-0000-0000C0000000}"/>
    <cellStyle name="60% - Accent6 3" xfId="232" xr:uid="{00000000-0005-0000-0000-0000C1000000}"/>
    <cellStyle name="60% - Accent6 4" xfId="233" xr:uid="{00000000-0005-0000-0000-0000C2000000}"/>
    <cellStyle name="60% - Accent6 5" xfId="466" xr:uid="{00000000-0005-0000-0000-0000C3000000}"/>
    <cellStyle name="60% - Accent6 6" xfId="11419" xr:uid="{00000000-0005-0000-0000-0000C4000000}"/>
    <cellStyle name="Accent1" xfId="42" builtinId="29" customBuiltin="1"/>
    <cellStyle name="Accent1 2" xfId="43" xr:uid="{00000000-0005-0000-0000-0000C6000000}"/>
    <cellStyle name="Accent1 2 2" xfId="181" xr:uid="{00000000-0005-0000-0000-0000C7000000}"/>
    <cellStyle name="Accent1 3" xfId="234" xr:uid="{00000000-0005-0000-0000-0000C8000000}"/>
    <cellStyle name="Accent1 4" xfId="235" xr:uid="{00000000-0005-0000-0000-0000C9000000}"/>
    <cellStyle name="Accent1 5" xfId="467" xr:uid="{00000000-0005-0000-0000-0000CA000000}"/>
    <cellStyle name="Accent1 6" xfId="11420" xr:uid="{00000000-0005-0000-0000-0000CB000000}"/>
    <cellStyle name="Accent2" xfId="44" builtinId="33" customBuiltin="1"/>
    <cellStyle name="Accent2 2" xfId="45" xr:uid="{00000000-0005-0000-0000-0000CD000000}"/>
    <cellStyle name="Accent2 2 2" xfId="182" xr:uid="{00000000-0005-0000-0000-0000CE000000}"/>
    <cellStyle name="Accent2 3" xfId="236" xr:uid="{00000000-0005-0000-0000-0000CF000000}"/>
    <cellStyle name="Accent2 4" xfId="237" xr:uid="{00000000-0005-0000-0000-0000D0000000}"/>
    <cellStyle name="Accent2 5" xfId="468" xr:uid="{00000000-0005-0000-0000-0000D1000000}"/>
    <cellStyle name="Accent2 6" xfId="11421" xr:uid="{00000000-0005-0000-0000-0000D2000000}"/>
    <cellStyle name="Accent3" xfId="46" builtinId="37" customBuiltin="1"/>
    <cellStyle name="Accent3 2" xfId="47" xr:uid="{00000000-0005-0000-0000-0000D4000000}"/>
    <cellStyle name="Accent3 2 2" xfId="183" xr:uid="{00000000-0005-0000-0000-0000D5000000}"/>
    <cellStyle name="Accent3 3" xfId="238" xr:uid="{00000000-0005-0000-0000-0000D6000000}"/>
    <cellStyle name="Accent3 4" xfId="239" xr:uid="{00000000-0005-0000-0000-0000D7000000}"/>
    <cellStyle name="Accent3 5" xfId="469" xr:uid="{00000000-0005-0000-0000-0000D8000000}"/>
    <cellStyle name="Accent3 6" xfId="11422" xr:uid="{00000000-0005-0000-0000-0000D9000000}"/>
    <cellStyle name="Accent4" xfId="48" builtinId="41" customBuiltin="1"/>
    <cellStyle name="Accent4 2" xfId="49" xr:uid="{00000000-0005-0000-0000-0000DB000000}"/>
    <cellStyle name="Accent4 2 2" xfId="184" xr:uid="{00000000-0005-0000-0000-0000DC000000}"/>
    <cellStyle name="Accent4 3" xfId="240" xr:uid="{00000000-0005-0000-0000-0000DD000000}"/>
    <cellStyle name="Accent4 4" xfId="241" xr:uid="{00000000-0005-0000-0000-0000DE000000}"/>
    <cellStyle name="Accent4 5" xfId="470" xr:uid="{00000000-0005-0000-0000-0000DF000000}"/>
    <cellStyle name="Accent4 6" xfId="11423" xr:uid="{00000000-0005-0000-0000-0000E0000000}"/>
    <cellStyle name="Accent5" xfId="50" builtinId="45" customBuiltin="1"/>
    <cellStyle name="Accent5 2" xfId="51" xr:uid="{00000000-0005-0000-0000-0000E2000000}"/>
    <cellStyle name="Accent5 2 2" xfId="41261" xr:uid="{00000000-0005-0000-0000-0000E3000000}"/>
    <cellStyle name="Accent5 3" xfId="242" xr:uid="{00000000-0005-0000-0000-0000E4000000}"/>
    <cellStyle name="Accent5 4" xfId="471" xr:uid="{00000000-0005-0000-0000-0000E5000000}"/>
    <cellStyle name="Accent5 5" xfId="11424" xr:uid="{00000000-0005-0000-0000-0000E6000000}"/>
    <cellStyle name="Accent6" xfId="52" builtinId="49" customBuiltin="1"/>
    <cellStyle name="Accent6 2" xfId="53" xr:uid="{00000000-0005-0000-0000-0000E8000000}"/>
    <cellStyle name="Accent6 2 2" xfId="41262" xr:uid="{00000000-0005-0000-0000-0000E9000000}"/>
    <cellStyle name="Accent6 3" xfId="243" xr:uid="{00000000-0005-0000-0000-0000EA000000}"/>
    <cellStyle name="Accent6 4" xfId="472" xr:uid="{00000000-0005-0000-0000-0000EB000000}"/>
    <cellStyle name="Accent6 5" xfId="11425" xr:uid="{00000000-0005-0000-0000-0000EC000000}"/>
    <cellStyle name="Bad" xfId="54" builtinId="27" customBuiltin="1"/>
    <cellStyle name="Bad 2" xfId="55" xr:uid="{00000000-0005-0000-0000-0000EE000000}"/>
    <cellStyle name="Bad 3" xfId="244" xr:uid="{00000000-0005-0000-0000-0000EF000000}"/>
    <cellStyle name="Bad 4" xfId="245" xr:uid="{00000000-0005-0000-0000-0000F0000000}"/>
    <cellStyle name="Bad 5" xfId="473" xr:uid="{00000000-0005-0000-0000-0000F1000000}"/>
    <cellStyle name="Bad 6" xfId="11426" xr:uid="{00000000-0005-0000-0000-0000F2000000}"/>
    <cellStyle name="Calculation" xfId="56" builtinId="22" customBuiltin="1"/>
    <cellStyle name="Calculation 10" xfId="11427" xr:uid="{00000000-0005-0000-0000-0000F4000000}"/>
    <cellStyle name="Calculation 2" xfId="57" xr:uid="{00000000-0005-0000-0000-0000F5000000}"/>
    <cellStyle name="Calculation 2 10" xfId="536" xr:uid="{00000000-0005-0000-0000-0000F6000000}"/>
    <cellStyle name="Calculation 2 10 10" xfId="19546" xr:uid="{00000000-0005-0000-0000-0000F7000000}"/>
    <cellStyle name="Calculation 2 10 11" xfId="30391" xr:uid="{00000000-0005-0000-0000-0000F8000000}"/>
    <cellStyle name="Calculation 2 10 12" xfId="11610" xr:uid="{00000000-0005-0000-0000-0000F9000000}"/>
    <cellStyle name="Calculation 2 10 2" xfId="1142" xr:uid="{00000000-0005-0000-0000-0000FA000000}"/>
    <cellStyle name="Calculation 2 10 2 2" xfId="3995" xr:uid="{00000000-0005-0000-0000-0000FB000000}"/>
    <cellStyle name="Calculation 2 10 2 2 2" xfId="22967" xr:uid="{00000000-0005-0000-0000-0000FC000000}"/>
    <cellStyle name="Calculation 2 10 2 2 3" xfId="33812" xr:uid="{00000000-0005-0000-0000-0000FD000000}"/>
    <cellStyle name="Calculation 2 10 2 2 4" xfId="14087" xr:uid="{00000000-0005-0000-0000-0000FE000000}"/>
    <cellStyle name="Calculation 2 10 2 3" xfId="6668" xr:uid="{00000000-0005-0000-0000-0000FF000000}"/>
    <cellStyle name="Calculation 2 10 2 3 2" xfId="25640" xr:uid="{00000000-0005-0000-0000-000000010000}"/>
    <cellStyle name="Calculation 2 10 2 3 3" xfId="36485" xr:uid="{00000000-0005-0000-0000-000001010000}"/>
    <cellStyle name="Calculation 2 10 2 3 4" xfId="16002" xr:uid="{00000000-0005-0000-0000-000002010000}"/>
    <cellStyle name="Calculation 2 10 2 4" xfId="9327" xr:uid="{00000000-0005-0000-0000-000003010000}"/>
    <cellStyle name="Calculation 2 10 2 4 2" xfId="28299" xr:uid="{00000000-0005-0000-0000-000004010000}"/>
    <cellStyle name="Calculation 2 10 2 4 3" xfId="39144" xr:uid="{00000000-0005-0000-0000-000005010000}"/>
    <cellStyle name="Calculation 2 10 2 4 4" xfId="17906" xr:uid="{00000000-0005-0000-0000-000006010000}"/>
    <cellStyle name="Calculation 2 10 2 5" xfId="20123" xr:uid="{00000000-0005-0000-0000-000007010000}"/>
    <cellStyle name="Calculation 2 10 2 6" xfId="30968" xr:uid="{00000000-0005-0000-0000-000008010000}"/>
    <cellStyle name="Calculation 2 10 2 7" xfId="12052" xr:uid="{00000000-0005-0000-0000-000009010000}"/>
    <cellStyle name="Calculation 2 10 3" xfId="1539" xr:uid="{00000000-0005-0000-0000-00000A010000}"/>
    <cellStyle name="Calculation 2 10 3 2" xfId="4392" xr:uid="{00000000-0005-0000-0000-00000B010000}"/>
    <cellStyle name="Calculation 2 10 3 2 2" xfId="23364" xr:uid="{00000000-0005-0000-0000-00000C010000}"/>
    <cellStyle name="Calculation 2 10 3 2 3" xfId="34209" xr:uid="{00000000-0005-0000-0000-00000D010000}"/>
    <cellStyle name="Calculation 2 10 3 2 4" xfId="14373" xr:uid="{00000000-0005-0000-0000-00000E010000}"/>
    <cellStyle name="Calculation 2 10 3 3" xfId="7064" xr:uid="{00000000-0005-0000-0000-00000F010000}"/>
    <cellStyle name="Calculation 2 10 3 3 2" xfId="26036" xr:uid="{00000000-0005-0000-0000-000010010000}"/>
    <cellStyle name="Calculation 2 10 3 3 3" xfId="36881" xr:uid="{00000000-0005-0000-0000-000011010000}"/>
    <cellStyle name="Calculation 2 10 3 3 4" xfId="16287" xr:uid="{00000000-0005-0000-0000-000012010000}"/>
    <cellStyle name="Calculation 2 10 3 4" xfId="9723" xr:uid="{00000000-0005-0000-0000-000013010000}"/>
    <cellStyle name="Calculation 2 10 3 4 2" xfId="28695" xr:uid="{00000000-0005-0000-0000-000014010000}"/>
    <cellStyle name="Calculation 2 10 3 4 3" xfId="39540" xr:uid="{00000000-0005-0000-0000-000015010000}"/>
    <cellStyle name="Calculation 2 10 3 4 4" xfId="18191" xr:uid="{00000000-0005-0000-0000-000016010000}"/>
    <cellStyle name="Calculation 2 10 3 5" xfId="20519" xr:uid="{00000000-0005-0000-0000-000017010000}"/>
    <cellStyle name="Calculation 2 10 3 6" xfId="31364" xr:uid="{00000000-0005-0000-0000-000018010000}"/>
    <cellStyle name="Calculation 2 10 3 7" xfId="12337" xr:uid="{00000000-0005-0000-0000-000019010000}"/>
    <cellStyle name="Calculation 2 10 4" xfId="1943" xr:uid="{00000000-0005-0000-0000-00001A010000}"/>
    <cellStyle name="Calculation 2 10 4 2" xfId="4796" xr:uid="{00000000-0005-0000-0000-00001B010000}"/>
    <cellStyle name="Calculation 2 10 4 2 2" xfId="23768" xr:uid="{00000000-0005-0000-0000-00001C010000}"/>
    <cellStyle name="Calculation 2 10 4 2 3" xfId="34613" xr:uid="{00000000-0005-0000-0000-00001D010000}"/>
    <cellStyle name="Calculation 2 10 4 2 4" xfId="14661" xr:uid="{00000000-0005-0000-0000-00001E010000}"/>
    <cellStyle name="Calculation 2 10 4 3" xfId="7468" xr:uid="{00000000-0005-0000-0000-00001F010000}"/>
    <cellStyle name="Calculation 2 10 4 3 2" xfId="26440" xr:uid="{00000000-0005-0000-0000-000020010000}"/>
    <cellStyle name="Calculation 2 10 4 3 3" xfId="37285" xr:uid="{00000000-0005-0000-0000-000021010000}"/>
    <cellStyle name="Calculation 2 10 4 3 4" xfId="16575" xr:uid="{00000000-0005-0000-0000-000022010000}"/>
    <cellStyle name="Calculation 2 10 4 4" xfId="10127" xr:uid="{00000000-0005-0000-0000-000023010000}"/>
    <cellStyle name="Calculation 2 10 4 4 2" xfId="29099" xr:uid="{00000000-0005-0000-0000-000024010000}"/>
    <cellStyle name="Calculation 2 10 4 4 3" xfId="39944" xr:uid="{00000000-0005-0000-0000-000025010000}"/>
    <cellStyle name="Calculation 2 10 4 4 4" xfId="18479" xr:uid="{00000000-0005-0000-0000-000026010000}"/>
    <cellStyle name="Calculation 2 10 4 5" xfId="20923" xr:uid="{00000000-0005-0000-0000-000027010000}"/>
    <cellStyle name="Calculation 2 10 4 6" xfId="31768" xr:uid="{00000000-0005-0000-0000-000028010000}"/>
    <cellStyle name="Calculation 2 10 4 7" xfId="12625" xr:uid="{00000000-0005-0000-0000-000029010000}"/>
    <cellStyle name="Calculation 2 10 5" xfId="2335" xr:uid="{00000000-0005-0000-0000-00002A010000}"/>
    <cellStyle name="Calculation 2 10 5 2" xfId="5188" xr:uid="{00000000-0005-0000-0000-00002B010000}"/>
    <cellStyle name="Calculation 2 10 5 2 2" xfId="24160" xr:uid="{00000000-0005-0000-0000-00002C010000}"/>
    <cellStyle name="Calculation 2 10 5 2 3" xfId="35005" xr:uid="{00000000-0005-0000-0000-00002D010000}"/>
    <cellStyle name="Calculation 2 10 5 2 4" xfId="14942" xr:uid="{00000000-0005-0000-0000-00002E010000}"/>
    <cellStyle name="Calculation 2 10 5 3" xfId="7859" xr:uid="{00000000-0005-0000-0000-00002F010000}"/>
    <cellStyle name="Calculation 2 10 5 3 2" xfId="26831" xr:uid="{00000000-0005-0000-0000-000030010000}"/>
    <cellStyle name="Calculation 2 10 5 3 3" xfId="37676" xr:uid="{00000000-0005-0000-0000-000031010000}"/>
    <cellStyle name="Calculation 2 10 5 3 4" xfId="16855" xr:uid="{00000000-0005-0000-0000-000032010000}"/>
    <cellStyle name="Calculation 2 10 5 4" xfId="10518" xr:uid="{00000000-0005-0000-0000-000033010000}"/>
    <cellStyle name="Calculation 2 10 5 4 2" xfId="29490" xr:uid="{00000000-0005-0000-0000-000034010000}"/>
    <cellStyle name="Calculation 2 10 5 4 3" xfId="40335" xr:uid="{00000000-0005-0000-0000-000035010000}"/>
    <cellStyle name="Calculation 2 10 5 4 4" xfId="18759" xr:uid="{00000000-0005-0000-0000-000036010000}"/>
    <cellStyle name="Calculation 2 10 5 5" xfId="21314" xr:uid="{00000000-0005-0000-0000-000037010000}"/>
    <cellStyle name="Calculation 2 10 5 6" xfId="32159" xr:uid="{00000000-0005-0000-0000-000038010000}"/>
    <cellStyle name="Calculation 2 10 5 7" xfId="12905" xr:uid="{00000000-0005-0000-0000-000039010000}"/>
    <cellStyle name="Calculation 2 10 6" xfId="2724" xr:uid="{00000000-0005-0000-0000-00003A010000}"/>
    <cellStyle name="Calculation 2 10 6 2" xfId="5576" xr:uid="{00000000-0005-0000-0000-00003B010000}"/>
    <cellStyle name="Calculation 2 10 6 2 2" xfId="24548" xr:uid="{00000000-0005-0000-0000-00003C010000}"/>
    <cellStyle name="Calculation 2 10 6 2 3" xfId="35393" xr:uid="{00000000-0005-0000-0000-00003D010000}"/>
    <cellStyle name="Calculation 2 10 6 2 4" xfId="15220" xr:uid="{00000000-0005-0000-0000-00003E010000}"/>
    <cellStyle name="Calculation 2 10 6 3" xfId="8247" xr:uid="{00000000-0005-0000-0000-00003F010000}"/>
    <cellStyle name="Calculation 2 10 6 3 2" xfId="27219" xr:uid="{00000000-0005-0000-0000-000040010000}"/>
    <cellStyle name="Calculation 2 10 6 3 3" xfId="38064" xr:uid="{00000000-0005-0000-0000-000041010000}"/>
    <cellStyle name="Calculation 2 10 6 3 4" xfId="17133" xr:uid="{00000000-0005-0000-0000-000042010000}"/>
    <cellStyle name="Calculation 2 10 6 4" xfId="10906" xr:uid="{00000000-0005-0000-0000-000043010000}"/>
    <cellStyle name="Calculation 2 10 6 4 2" xfId="29878" xr:uid="{00000000-0005-0000-0000-000044010000}"/>
    <cellStyle name="Calculation 2 10 6 4 3" xfId="40723" xr:uid="{00000000-0005-0000-0000-000045010000}"/>
    <cellStyle name="Calculation 2 10 6 4 4" xfId="19037" xr:uid="{00000000-0005-0000-0000-000046010000}"/>
    <cellStyle name="Calculation 2 10 6 5" xfId="21702" xr:uid="{00000000-0005-0000-0000-000047010000}"/>
    <cellStyle name="Calculation 2 10 6 6" xfId="32547" xr:uid="{00000000-0005-0000-0000-000048010000}"/>
    <cellStyle name="Calculation 2 10 6 7" xfId="13183" xr:uid="{00000000-0005-0000-0000-000049010000}"/>
    <cellStyle name="Calculation 2 10 7" xfId="3415" xr:uid="{00000000-0005-0000-0000-00004A010000}"/>
    <cellStyle name="Calculation 2 10 7 2" xfId="22387" xr:uid="{00000000-0005-0000-0000-00004B010000}"/>
    <cellStyle name="Calculation 2 10 7 3" xfId="33232" xr:uid="{00000000-0005-0000-0000-00004C010000}"/>
    <cellStyle name="Calculation 2 10 7 4" xfId="13665" xr:uid="{00000000-0005-0000-0000-00004D010000}"/>
    <cellStyle name="Calculation 2 10 8" xfId="6091" xr:uid="{00000000-0005-0000-0000-00004E010000}"/>
    <cellStyle name="Calculation 2 10 8 2" xfId="25063" xr:uid="{00000000-0005-0000-0000-00004F010000}"/>
    <cellStyle name="Calculation 2 10 8 3" xfId="35908" xr:uid="{00000000-0005-0000-0000-000050010000}"/>
    <cellStyle name="Calculation 2 10 8 4" xfId="15582" xr:uid="{00000000-0005-0000-0000-000051010000}"/>
    <cellStyle name="Calculation 2 10 9" xfId="8750" xr:uid="{00000000-0005-0000-0000-000052010000}"/>
    <cellStyle name="Calculation 2 10 9 2" xfId="27722" xr:uid="{00000000-0005-0000-0000-000053010000}"/>
    <cellStyle name="Calculation 2 10 9 3" xfId="38567" xr:uid="{00000000-0005-0000-0000-000054010000}"/>
    <cellStyle name="Calculation 2 10 9 4" xfId="17486" xr:uid="{00000000-0005-0000-0000-000055010000}"/>
    <cellStyle name="Calculation 2 11" xfId="11428" xr:uid="{00000000-0005-0000-0000-000056010000}"/>
    <cellStyle name="Calculation 2 2" xfId="58" xr:uid="{00000000-0005-0000-0000-000057010000}"/>
    <cellStyle name="Calculation 2 2 2" xfId="349" xr:uid="{00000000-0005-0000-0000-000058010000}"/>
    <cellStyle name="Calculation 2 2 2 10" xfId="2033" xr:uid="{00000000-0005-0000-0000-000059010000}"/>
    <cellStyle name="Calculation 2 2 2 10 2" xfId="4886" xr:uid="{00000000-0005-0000-0000-00005A010000}"/>
    <cellStyle name="Calculation 2 2 2 10 2 2" xfId="23858" xr:uid="{00000000-0005-0000-0000-00005B010000}"/>
    <cellStyle name="Calculation 2 2 2 10 2 3" xfId="34703" xr:uid="{00000000-0005-0000-0000-00005C010000}"/>
    <cellStyle name="Calculation 2 2 2 10 2 4" xfId="14731" xr:uid="{00000000-0005-0000-0000-00005D010000}"/>
    <cellStyle name="Calculation 2 2 2 10 3" xfId="7558" xr:uid="{00000000-0005-0000-0000-00005E010000}"/>
    <cellStyle name="Calculation 2 2 2 10 3 2" xfId="26530" xr:uid="{00000000-0005-0000-0000-00005F010000}"/>
    <cellStyle name="Calculation 2 2 2 10 3 3" xfId="37375" xr:uid="{00000000-0005-0000-0000-000060010000}"/>
    <cellStyle name="Calculation 2 2 2 10 3 4" xfId="16645" xr:uid="{00000000-0005-0000-0000-000061010000}"/>
    <cellStyle name="Calculation 2 2 2 10 4" xfId="10217" xr:uid="{00000000-0005-0000-0000-000062010000}"/>
    <cellStyle name="Calculation 2 2 2 10 4 2" xfId="29189" xr:uid="{00000000-0005-0000-0000-000063010000}"/>
    <cellStyle name="Calculation 2 2 2 10 4 3" xfId="40034" xr:uid="{00000000-0005-0000-0000-000064010000}"/>
    <cellStyle name="Calculation 2 2 2 10 4 4" xfId="18549" xr:uid="{00000000-0005-0000-0000-000065010000}"/>
    <cellStyle name="Calculation 2 2 2 10 5" xfId="21013" xr:uid="{00000000-0005-0000-0000-000066010000}"/>
    <cellStyle name="Calculation 2 2 2 10 6" xfId="31858" xr:uid="{00000000-0005-0000-0000-000067010000}"/>
    <cellStyle name="Calculation 2 2 2 10 7" xfId="12695" xr:uid="{00000000-0005-0000-0000-000068010000}"/>
    <cellStyle name="Calculation 2 2 2 11" xfId="2424" xr:uid="{00000000-0005-0000-0000-000069010000}"/>
    <cellStyle name="Calculation 2 2 2 11 2" xfId="5277" xr:uid="{00000000-0005-0000-0000-00006A010000}"/>
    <cellStyle name="Calculation 2 2 2 11 2 2" xfId="24249" xr:uid="{00000000-0005-0000-0000-00006B010000}"/>
    <cellStyle name="Calculation 2 2 2 11 2 3" xfId="35094" xr:uid="{00000000-0005-0000-0000-00006C010000}"/>
    <cellStyle name="Calculation 2 2 2 11 2 4" xfId="15011" xr:uid="{00000000-0005-0000-0000-00006D010000}"/>
    <cellStyle name="Calculation 2 2 2 11 3" xfId="7948" xr:uid="{00000000-0005-0000-0000-00006E010000}"/>
    <cellStyle name="Calculation 2 2 2 11 3 2" xfId="26920" xr:uid="{00000000-0005-0000-0000-00006F010000}"/>
    <cellStyle name="Calculation 2 2 2 11 3 3" xfId="37765" xr:uid="{00000000-0005-0000-0000-000070010000}"/>
    <cellStyle name="Calculation 2 2 2 11 3 4" xfId="16924" xr:uid="{00000000-0005-0000-0000-000071010000}"/>
    <cellStyle name="Calculation 2 2 2 11 4" xfId="10607" xr:uid="{00000000-0005-0000-0000-000072010000}"/>
    <cellStyle name="Calculation 2 2 2 11 4 2" xfId="29579" xr:uid="{00000000-0005-0000-0000-000073010000}"/>
    <cellStyle name="Calculation 2 2 2 11 4 3" xfId="40424" xr:uid="{00000000-0005-0000-0000-000074010000}"/>
    <cellStyle name="Calculation 2 2 2 11 4 4" xfId="18828" xr:uid="{00000000-0005-0000-0000-000075010000}"/>
    <cellStyle name="Calculation 2 2 2 11 5" xfId="21403" xr:uid="{00000000-0005-0000-0000-000076010000}"/>
    <cellStyle name="Calculation 2 2 2 11 6" xfId="32248" xr:uid="{00000000-0005-0000-0000-000077010000}"/>
    <cellStyle name="Calculation 2 2 2 11 7" xfId="12974" xr:uid="{00000000-0005-0000-0000-000078010000}"/>
    <cellStyle name="Calculation 2 2 2 12" xfId="2420" xr:uid="{00000000-0005-0000-0000-000079010000}"/>
    <cellStyle name="Calculation 2 2 2 12 2" xfId="5273" xr:uid="{00000000-0005-0000-0000-00007A010000}"/>
    <cellStyle name="Calculation 2 2 2 12 2 2" xfId="24245" xr:uid="{00000000-0005-0000-0000-00007B010000}"/>
    <cellStyle name="Calculation 2 2 2 12 2 3" xfId="35090" xr:uid="{00000000-0005-0000-0000-00007C010000}"/>
    <cellStyle name="Calculation 2 2 2 12 2 4" xfId="15008" xr:uid="{00000000-0005-0000-0000-00007D010000}"/>
    <cellStyle name="Calculation 2 2 2 12 3" xfId="7944" xr:uid="{00000000-0005-0000-0000-00007E010000}"/>
    <cellStyle name="Calculation 2 2 2 12 3 2" xfId="26916" xr:uid="{00000000-0005-0000-0000-00007F010000}"/>
    <cellStyle name="Calculation 2 2 2 12 3 3" xfId="37761" xr:uid="{00000000-0005-0000-0000-000080010000}"/>
    <cellStyle name="Calculation 2 2 2 12 3 4" xfId="16921" xr:uid="{00000000-0005-0000-0000-000081010000}"/>
    <cellStyle name="Calculation 2 2 2 12 4" xfId="10603" xr:uid="{00000000-0005-0000-0000-000082010000}"/>
    <cellStyle name="Calculation 2 2 2 12 4 2" xfId="29575" xr:uid="{00000000-0005-0000-0000-000083010000}"/>
    <cellStyle name="Calculation 2 2 2 12 4 3" xfId="40420" xr:uid="{00000000-0005-0000-0000-000084010000}"/>
    <cellStyle name="Calculation 2 2 2 12 4 4" xfId="18825" xr:uid="{00000000-0005-0000-0000-000085010000}"/>
    <cellStyle name="Calculation 2 2 2 12 5" xfId="21399" xr:uid="{00000000-0005-0000-0000-000086010000}"/>
    <cellStyle name="Calculation 2 2 2 12 6" xfId="32244" xr:uid="{00000000-0005-0000-0000-000087010000}"/>
    <cellStyle name="Calculation 2 2 2 12 7" xfId="12971" xr:uid="{00000000-0005-0000-0000-000088010000}"/>
    <cellStyle name="Calculation 2 2 2 13" xfId="2809" xr:uid="{00000000-0005-0000-0000-000089010000}"/>
    <cellStyle name="Calculation 2 2 2 13 2" xfId="5661" xr:uid="{00000000-0005-0000-0000-00008A010000}"/>
    <cellStyle name="Calculation 2 2 2 13 2 2" xfId="24633" xr:uid="{00000000-0005-0000-0000-00008B010000}"/>
    <cellStyle name="Calculation 2 2 2 13 2 3" xfId="35478" xr:uid="{00000000-0005-0000-0000-00008C010000}"/>
    <cellStyle name="Calculation 2 2 2 13 2 4" xfId="15286" xr:uid="{00000000-0005-0000-0000-00008D010000}"/>
    <cellStyle name="Calculation 2 2 2 13 3" xfId="8332" xr:uid="{00000000-0005-0000-0000-00008E010000}"/>
    <cellStyle name="Calculation 2 2 2 13 3 2" xfId="27304" xr:uid="{00000000-0005-0000-0000-00008F010000}"/>
    <cellStyle name="Calculation 2 2 2 13 3 3" xfId="38149" xr:uid="{00000000-0005-0000-0000-000090010000}"/>
    <cellStyle name="Calculation 2 2 2 13 3 4" xfId="17199" xr:uid="{00000000-0005-0000-0000-000091010000}"/>
    <cellStyle name="Calculation 2 2 2 13 4" xfId="10991" xr:uid="{00000000-0005-0000-0000-000092010000}"/>
    <cellStyle name="Calculation 2 2 2 13 4 2" xfId="29963" xr:uid="{00000000-0005-0000-0000-000093010000}"/>
    <cellStyle name="Calculation 2 2 2 13 4 3" xfId="40808" xr:uid="{00000000-0005-0000-0000-000094010000}"/>
    <cellStyle name="Calculation 2 2 2 13 4 4" xfId="19103" xr:uid="{00000000-0005-0000-0000-000095010000}"/>
    <cellStyle name="Calculation 2 2 2 13 5" xfId="21787" xr:uid="{00000000-0005-0000-0000-000096010000}"/>
    <cellStyle name="Calculation 2 2 2 13 6" xfId="32632" xr:uid="{00000000-0005-0000-0000-000097010000}"/>
    <cellStyle name="Calculation 2 2 2 13 7" xfId="13249" xr:uid="{00000000-0005-0000-0000-000098010000}"/>
    <cellStyle name="Calculation 2 2 2 14" xfId="3311" xr:uid="{00000000-0005-0000-0000-000099010000}"/>
    <cellStyle name="Calculation 2 2 2 14 2" xfId="22285" xr:uid="{00000000-0005-0000-0000-00009A010000}"/>
    <cellStyle name="Calculation 2 2 2 14 3" xfId="33130" xr:uid="{00000000-0005-0000-0000-00009B010000}"/>
    <cellStyle name="Calculation 2 2 2 14 4" xfId="13595" xr:uid="{00000000-0005-0000-0000-00009C010000}"/>
    <cellStyle name="Calculation 2 2 2 15" xfId="3399" xr:uid="{00000000-0005-0000-0000-00009D010000}"/>
    <cellStyle name="Calculation 2 2 2 15 2" xfId="22371" xr:uid="{00000000-0005-0000-0000-00009E010000}"/>
    <cellStyle name="Calculation 2 2 2 15 3" xfId="33216" xr:uid="{00000000-0005-0000-0000-00009F010000}"/>
    <cellStyle name="Calculation 2 2 2 15 4" xfId="13652" xr:uid="{00000000-0005-0000-0000-0000A0010000}"/>
    <cellStyle name="Calculation 2 2 2 16" xfId="514" xr:uid="{00000000-0005-0000-0000-0000A1010000}"/>
    <cellStyle name="Calculation 2 2 2 16 2" xfId="19536" xr:uid="{00000000-0005-0000-0000-0000A2010000}"/>
    <cellStyle name="Calculation 2 2 2 16 3" xfId="30381" xr:uid="{00000000-0005-0000-0000-0000A3010000}"/>
    <cellStyle name="Calculation 2 2 2 16 4" xfId="11590" xr:uid="{00000000-0005-0000-0000-0000A4010000}"/>
    <cellStyle name="Calculation 2 2 2 17" xfId="19446" xr:uid="{00000000-0005-0000-0000-0000A5010000}"/>
    <cellStyle name="Calculation 2 2 2 18" xfId="19420" xr:uid="{00000000-0005-0000-0000-0000A6010000}"/>
    <cellStyle name="Calculation 2 2 2 19" xfId="11505" xr:uid="{00000000-0005-0000-0000-0000A7010000}"/>
    <cellStyle name="Calculation 2 2 2 2" xfId="657" xr:uid="{00000000-0005-0000-0000-0000A8010000}"/>
    <cellStyle name="Calculation 2 2 2 2 10" xfId="19642" xr:uid="{00000000-0005-0000-0000-0000A9010000}"/>
    <cellStyle name="Calculation 2 2 2 2 11" xfId="30487" xr:uid="{00000000-0005-0000-0000-0000AA010000}"/>
    <cellStyle name="Calculation 2 2 2 2 12" xfId="11709" xr:uid="{00000000-0005-0000-0000-0000AB010000}"/>
    <cellStyle name="Calculation 2 2 2 2 2" xfId="1244" xr:uid="{00000000-0005-0000-0000-0000AC010000}"/>
    <cellStyle name="Calculation 2 2 2 2 2 2" xfId="4097" xr:uid="{00000000-0005-0000-0000-0000AD010000}"/>
    <cellStyle name="Calculation 2 2 2 2 2 2 2" xfId="23069" xr:uid="{00000000-0005-0000-0000-0000AE010000}"/>
    <cellStyle name="Calculation 2 2 2 2 2 2 3" xfId="33914" xr:uid="{00000000-0005-0000-0000-0000AF010000}"/>
    <cellStyle name="Calculation 2 2 2 2 2 2 4" xfId="14170" xr:uid="{00000000-0005-0000-0000-0000B0010000}"/>
    <cellStyle name="Calculation 2 2 2 2 2 3" xfId="6770" xr:uid="{00000000-0005-0000-0000-0000B1010000}"/>
    <cellStyle name="Calculation 2 2 2 2 2 3 2" xfId="25742" xr:uid="{00000000-0005-0000-0000-0000B2010000}"/>
    <cellStyle name="Calculation 2 2 2 2 2 3 3" xfId="36587" xr:uid="{00000000-0005-0000-0000-0000B3010000}"/>
    <cellStyle name="Calculation 2 2 2 2 2 3 4" xfId="16085" xr:uid="{00000000-0005-0000-0000-0000B4010000}"/>
    <cellStyle name="Calculation 2 2 2 2 2 4" xfId="9429" xr:uid="{00000000-0005-0000-0000-0000B5010000}"/>
    <cellStyle name="Calculation 2 2 2 2 2 4 2" xfId="28401" xr:uid="{00000000-0005-0000-0000-0000B6010000}"/>
    <cellStyle name="Calculation 2 2 2 2 2 4 3" xfId="39246" xr:uid="{00000000-0005-0000-0000-0000B7010000}"/>
    <cellStyle name="Calculation 2 2 2 2 2 4 4" xfId="17989" xr:uid="{00000000-0005-0000-0000-0000B8010000}"/>
    <cellStyle name="Calculation 2 2 2 2 2 5" xfId="20225" xr:uid="{00000000-0005-0000-0000-0000B9010000}"/>
    <cellStyle name="Calculation 2 2 2 2 2 6" xfId="31070" xr:uid="{00000000-0005-0000-0000-0000BA010000}"/>
    <cellStyle name="Calculation 2 2 2 2 2 7" xfId="12135" xr:uid="{00000000-0005-0000-0000-0000BB010000}"/>
    <cellStyle name="Calculation 2 2 2 2 3" xfId="1643" xr:uid="{00000000-0005-0000-0000-0000BC010000}"/>
    <cellStyle name="Calculation 2 2 2 2 3 2" xfId="4496" xr:uid="{00000000-0005-0000-0000-0000BD010000}"/>
    <cellStyle name="Calculation 2 2 2 2 3 2 2" xfId="23468" xr:uid="{00000000-0005-0000-0000-0000BE010000}"/>
    <cellStyle name="Calculation 2 2 2 2 3 2 3" xfId="34313" xr:uid="{00000000-0005-0000-0000-0000BF010000}"/>
    <cellStyle name="Calculation 2 2 2 2 3 2 4" xfId="14457" xr:uid="{00000000-0005-0000-0000-0000C0010000}"/>
    <cellStyle name="Calculation 2 2 2 2 3 3" xfId="7168" xr:uid="{00000000-0005-0000-0000-0000C1010000}"/>
    <cellStyle name="Calculation 2 2 2 2 3 3 2" xfId="26140" xr:uid="{00000000-0005-0000-0000-0000C2010000}"/>
    <cellStyle name="Calculation 2 2 2 2 3 3 3" xfId="36985" xr:uid="{00000000-0005-0000-0000-0000C3010000}"/>
    <cellStyle name="Calculation 2 2 2 2 3 3 4" xfId="16371" xr:uid="{00000000-0005-0000-0000-0000C4010000}"/>
    <cellStyle name="Calculation 2 2 2 2 3 4" xfId="9827" xr:uid="{00000000-0005-0000-0000-0000C5010000}"/>
    <cellStyle name="Calculation 2 2 2 2 3 4 2" xfId="28799" xr:uid="{00000000-0005-0000-0000-0000C6010000}"/>
    <cellStyle name="Calculation 2 2 2 2 3 4 3" xfId="39644" xr:uid="{00000000-0005-0000-0000-0000C7010000}"/>
    <cellStyle name="Calculation 2 2 2 2 3 4 4" xfId="18275" xr:uid="{00000000-0005-0000-0000-0000C8010000}"/>
    <cellStyle name="Calculation 2 2 2 2 3 5" xfId="20623" xr:uid="{00000000-0005-0000-0000-0000C9010000}"/>
    <cellStyle name="Calculation 2 2 2 2 3 6" xfId="31468" xr:uid="{00000000-0005-0000-0000-0000CA010000}"/>
    <cellStyle name="Calculation 2 2 2 2 3 7" xfId="12421" xr:uid="{00000000-0005-0000-0000-0000CB010000}"/>
    <cellStyle name="Calculation 2 2 2 2 4" xfId="2047" xr:uid="{00000000-0005-0000-0000-0000CC010000}"/>
    <cellStyle name="Calculation 2 2 2 2 4 2" xfId="4900" xr:uid="{00000000-0005-0000-0000-0000CD010000}"/>
    <cellStyle name="Calculation 2 2 2 2 4 2 2" xfId="23872" xr:uid="{00000000-0005-0000-0000-0000CE010000}"/>
    <cellStyle name="Calculation 2 2 2 2 4 2 3" xfId="34717" xr:uid="{00000000-0005-0000-0000-0000CF010000}"/>
    <cellStyle name="Calculation 2 2 2 2 4 2 4" xfId="14744" xr:uid="{00000000-0005-0000-0000-0000D0010000}"/>
    <cellStyle name="Calculation 2 2 2 2 4 3" xfId="7571" xr:uid="{00000000-0005-0000-0000-0000D1010000}"/>
    <cellStyle name="Calculation 2 2 2 2 4 3 2" xfId="26543" xr:uid="{00000000-0005-0000-0000-0000D2010000}"/>
    <cellStyle name="Calculation 2 2 2 2 4 3 3" xfId="37388" xr:uid="{00000000-0005-0000-0000-0000D3010000}"/>
    <cellStyle name="Calculation 2 2 2 2 4 3 4" xfId="16657" xr:uid="{00000000-0005-0000-0000-0000D4010000}"/>
    <cellStyle name="Calculation 2 2 2 2 4 4" xfId="10230" xr:uid="{00000000-0005-0000-0000-0000D5010000}"/>
    <cellStyle name="Calculation 2 2 2 2 4 4 2" xfId="29202" xr:uid="{00000000-0005-0000-0000-0000D6010000}"/>
    <cellStyle name="Calculation 2 2 2 2 4 4 3" xfId="40047" xr:uid="{00000000-0005-0000-0000-0000D7010000}"/>
    <cellStyle name="Calculation 2 2 2 2 4 4 4" xfId="18561" xr:uid="{00000000-0005-0000-0000-0000D8010000}"/>
    <cellStyle name="Calculation 2 2 2 2 4 5" xfId="21026" xr:uid="{00000000-0005-0000-0000-0000D9010000}"/>
    <cellStyle name="Calculation 2 2 2 2 4 6" xfId="31871" xr:uid="{00000000-0005-0000-0000-0000DA010000}"/>
    <cellStyle name="Calculation 2 2 2 2 4 7" xfId="12707" xr:uid="{00000000-0005-0000-0000-0000DB010000}"/>
    <cellStyle name="Calculation 2 2 2 2 5" xfId="2437" xr:uid="{00000000-0005-0000-0000-0000DC010000}"/>
    <cellStyle name="Calculation 2 2 2 2 5 2" xfId="5289" xr:uid="{00000000-0005-0000-0000-0000DD010000}"/>
    <cellStyle name="Calculation 2 2 2 2 5 2 2" xfId="24261" xr:uid="{00000000-0005-0000-0000-0000DE010000}"/>
    <cellStyle name="Calculation 2 2 2 2 5 2 3" xfId="35106" xr:uid="{00000000-0005-0000-0000-0000DF010000}"/>
    <cellStyle name="Calculation 2 2 2 2 5 2 4" xfId="15023" xr:uid="{00000000-0005-0000-0000-0000E0010000}"/>
    <cellStyle name="Calculation 2 2 2 2 5 3" xfId="7960" xr:uid="{00000000-0005-0000-0000-0000E1010000}"/>
    <cellStyle name="Calculation 2 2 2 2 5 3 2" xfId="26932" xr:uid="{00000000-0005-0000-0000-0000E2010000}"/>
    <cellStyle name="Calculation 2 2 2 2 5 3 3" xfId="37777" xr:uid="{00000000-0005-0000-0000-0000E3010000}"/>
    <cellStyle name="Calculation 2 2 2 2 5 3 4" xfId="16936" xr:uid="{00000000-0005-0000-0000-0000E4010000}"/>
    <cellStyle name="Calculation 2 2 2 2 5 4" xfId="10619" xr:uid="{00000000-0005-0000-0000-0000E5010000}"/>
    <cellStyle name="Calculation 2 2 2 2 5 4 2" xfId="29591" xr:uid="{00000000-0005-0000-0000-0000E6010000}"/>
    <cellStyle name="Calculation 2 2 2 2 5 4 3" xfId="40436" xr:uid="{00000000-0005-0000-0000-0000E7010000}"/>
    <cellStyle name="Calculation 2 2 2 2 5 4 4" xfId="18840" xr:uid="{00000000-0005-0000-0000-0000E8010000}"/>
    <cellStyle name="Calculation 2 2 2 2 5 5" xfId="21415" xr:uid="{00000000-0005-0000-0000-0000E9010000}"/>
    <cellStyle name="Calculation 2 2 2 2 5 6" xfId="32260" xr:uid="{00000000-0005-0000-0000-0000EA010000}"/>
    <cellStyle name="Calculation 2 2 2 2 5 7" xfId="12986" xr:uid="{00000000-0005-0000-0000-0000EB010000}"/>
    <cellStyle name="Calculation 2 2 2 2 6" xfId="2823" xr:uid="{00000000-0005-0000-0000-0000EC010000}"/>
    <cellStyle name="Calculation 2 2 2 2 6 2" xfId="5674" xr:uid="{00000000-0005-0000-0000-0000ED010000}"/>
    <cellStyle name="Calculation 2 2 2 2 6 2 2" xfId="24646" xr:uid="{00000000-0005-0000-0000-0000EE010000}"/>
    <cellStyle name="Calculation 2 2 2 2 6 2 3" xfId="35491" xr:uid="{00000000-0005-0000-0000-0000EF010000}"/>
    <cellStyle name="Calculation 2 2 2 2 6 2 4" xfId="15299" xr:uid="{00000000-0005-0000-0000-0000F0010000}"/>
    <cellStyle name="Calculation 2 2 2 2 6 3" xfId="8345" xr:uid="{00000000-0005-0000-0000-0000F1010000}"/>
    <cellStyle name="Calculation 2 2 2 2 6 3 2" xfId="27317" xr:uid="{00000000-0005-0000-0000-0000F2010000}"/>
    <cellStyle name="Calculation 2 2 2 2 6 3 3" xfId="38162" xr:uid="{00000000-0005-0000-0000-0000F3010000}"/>
    <cellStyle name="Calculation 2 2 2 2 6 3 4" xfId="17212" xr:uid="{00000000-0005-0000-0000-0000F4010000}"/>
    <cellStyle name="Calculation 2 2 2 2 6 4" xfId="11004" xr:uid="{00000000-0005-0000-0000-0000F5010000}"/>
    <cellStyle name="Calculation 2 2 2 2 6 4 2" xfId="29976" xr:uid="{00000000-0005-0000-0000-0000F6010000}"/>
    <cellStyle name="Calculation 2 2 2 2 6 4 3" xfId="40821" xr:uid="{00000000-0005-0000-0000-0000F7010000}"/>
    <cellStyle name="Calculation 2 2 2 2 6 4 4" xfId="19116" xr:uid="{00000000-0005-0000-0000-0000F8010000}"/>
    <cellStyle name="Calculation 2 2 2 2 6 5" xfId="21800" xr:uid="{00000000-0005-0000-0000-0000F9010000}"/>
    <cellStyle name="Calculation 2 2 2 2 6 6" xfId="32645" xr:uid="{00000000-0005-0000-0000-0000FA010000}"/>
    <cellStyle name="Calculation 2 2 2 2 6 7" xfId="13262" xr:uid="{00000000-0005-0000-0000-0000FB010000}"/>
    <cellStyle name="Calculation 2 2 2 2 7" xfId="3512" xr:uid="{00000000-0005-0000-0000-0000FC010000}"/>
    <cellStyle name="Calculation 2 2 2 2 7 2" xfId="22484" xr:uid="{00000000-0005-0000-0000-0000FD010000}"/>
    <cellStyle name="Calculation 2 2 2 2 7 3" xfId="33329" xr:uid="{00000000-0005-0000-0000-0000FE010000}"/>
    <cellStyle name="Calculation 2 2 2 2 7 4" xfId="13743" xr:uid="{00000000-0005-0000-0000-0000FF010000}"/>
    <cellStyle name="Calculation 2 2 2 2 8" xfId="6187" xr:uid="{00000000-0005-0000-0000-000000020000}"/>
    <cellStyle name="Calculation 2 2 2 2 8 2" xfId="25159" xr:uid="{00000000-0005-0000-0000-000001020000}"/>
    <cellStyle name="Calculation 2 2 2 2 8 3" xfId="36004" xr:uid="{00000000-0005-0000-0000-000002020000}"/>
    <cellStyle name="Calculation 2 2 2 2 8 4" xfId="15659" xr:uid="{00000000-0005-0000-0000-000003020000}"/>
    <cellStyle name="Calculation 2 2 2 2 9" xfId="8846" xr:uid="{00000000-0005-0000-0000-000004020000}"/>
    <cellStyle name="Calculation 2 2 2 2 9 2" xfId="27818" xr:uid="{00000000-0005-0000-0000-000005020000}"/>
    <cellStyle name="Calculation 2 2 2 2 9 3" xfId="38663" xr:uid="{00000000-0005-0000-0000-000006020000}"/>
    <cellStyle name="Calculation 2 2 2 2 9 4" xfId="17563" xr:uid="{00000000-0005-0000-0000-000007020000}"/>
    <cellStyle name="Calculation 2 2 2 3" xfId="639" xr:uid="{00000000-0005-0000-0000-000008020000}"/>
    <cellStyle name="Calculation 2 2 2 3 10" xfId="19635" xr:uid="{00000000-0005-0000-0000-000009020000}"/>
    <cellStyle name="Calculation 2 2 2 3 11" xfId="30480" xr:uid="{00000000-0005-0000-0000-00000A020000}"/>
    <cellStyle name="Calculation 2 2 2 3 12" xfId="11691" xr:uid="{00000000-0005-0000-0000-00000B020000}"/>
    <cellStyle name="Calculation 2 2 2 3 2" xfId="1234" xr:uid="{00000000-0005-0000-0000-00000C020000}"/>
    <cellStyle name="Calculation 2 2 2 3 2 2" xfId="4087" xr:uid="{00000000-0005-0000-0000-00000D020000}"/>
    <cellStyle name="Calculation 2 2 2 3 2 2 2" xfId="23059" xr:uid="{00000000-0005-0000-0000-00000E020000}"/>
    <cellStyle name="Calculation 2 2 2 3 2 2 3" xfId="33904" xr:uid="{00000000-0005-0000-0000-00000F020000}"/>
    <cellStyle name="Calculation 2 2 2 3 2 2 4" xfId="14160" xr:uid="{00000000-0005-0000-0000-000010020000}"/>
    <cellStyle name="Calculation 2 2 2 3 2 3" xfId="6760" xr:uid="{00000000-0005-0000-0000-000011020000}"/>
    <cellStyle name="Calculation 2 2 2 3 2 3 2" xfId="25732" xr:uid="{00000000-0005-0000-0000-000012020000}"/>
    <cellStyle name="Calculation 2 2 2 3 2 3 3" xfId="36577" xr:uid="{00000000-0005-0000-0000-000013020000}"/>
    <cellStyle name="Calculation 2 2 2 3 2 3 4" xfId="16075" xr:uid="{00000000-0005-0000-0000-000014020000}"/>
    <cellStyle name="Calculation 2 2 2 3 2 4" xfId="9419" xr:uid="{00000000-0005-0000-0000-000015020000}"/>
    <cellStyle name="Calculation 2 2 2 3 2 4 2" xfId="28391" xr:uid="{00000000-0005-0000-0000-000016020000}"/>
    <cellStyle name="Calculation 2 2 2 3 2 4 3" xfId="39236" xr:uid="{00000000-0005-0000-0000-000017020000}"/>
    <cellStyle name="Calculation 2 2 2 3 2 4 4" xfId="17979" xr:uid="{00000000-0005-0000-0000-000018020000}"/>
    <cellStyle name="Calculation 2 2 2 3 2 5" xfId="20215" xr:uid="{00000000-0005-0000-0000-000019020000}"/>
    <cellStyle name="Calculation 2 2 2 3 2 6" xfId="31060" xr:uid="{00000000-0005-0000-0000-00001A020000}"/>
    <cellStyle name="Calculation 2 2 2 3 2 7" xfId="12125" xr:uid="{00000000-0005-0000-0000-00001B020000}"/>
    <cellStyle name="Calculation 2 2 2 3 3" xfId="1633" xr:uid="{00000000-0005-0000-0000-00001C020000}"/>
    <cellStyle name="Calculation 2 2 2 3 3 2" xfId="4486" xr:uid="{00000000-0005-0000-0000-00001D020000}"/>
    <cellStyle name="Calculation 2 2 2 3 3 2 2" xfId="23458" xr:uid="{00000000-0005-0000-0000-00001E020000}"/>
    <cellStyle name="Calculation 2 2 2 3 3 2 3" xfId="34303" xr:uid="{00000000-0005-0000-0000-00001F020000}"/>
    <cellStyle name="Calculation 2 2 2 3 3 2 4" xfId="14448" xr:uid="{00000000-0005-0000-0000-000020020000}"/>
    <cellStyle name="Calculation 2 2 2 3 3 3" xfId="7158" xr:uid="{00000000-0005-0000-0000-000021020000}"/>
    <cellStyle name="Calculation 2 2 2 3 3 3 2" xfId="26130" xr:uid="{00000000-0005-0000-0000-000022020000}"/>
    <cellStyle name="Calculation 2 2 2 3 3 3 3" xfId="36975" xr:uid="{00000000-0005-0000-0000-000023020000}"/>
    <cellStyle name="Calculation 2 2 2 3 3 3 4" xfId="16362" xr:uid="{00000000-0005-0000-0000-000024020000}"/>
    <cellStyle name="Calculation 2 2 2 3 3 4" xfId="9817" xr:uid="{00000000-0005-0000-0000-000025020000}"/>
    <cellStyle name="Calculation 2 2 2 3 3 4 2" xfId="28789" xr:uid="{00000000-0005-0000-0000-000026020000}"/>
    <cellStyle name="Calculation 2 2 2 3 3 4 3" xfId="39634" xr:uid="{00000000-0005-0000-0000-000027020000}"/>
    <cellStyle name="Calculation 2 2 2 3 3 4 4" xfId="18266" xr:uid="{00000000-0005-0000-0000-000028020000}"/>
    <cellStyle name="Calculation 2 2 2 3 3 5" xfId="20613" xr:uid="{00000000-0005-0000-0000-000029020000}"/>
    <cellStyle name="Calculation 2 2 2 3 3 6" xfId="31458" xr:uid="{00000000-0005-0000-0000-00002A020000}"/>
    <cellStyle name="Calculation 2 2 2 3 3 7" xfId="12412" xr:uid="{00000000-0005-0000-0000-00002B020000}"/>
    <cellStyle name="Calculation 2 2 2 3 4" xfId="2037" xr:uid="{00000000-0005-0000-0000-00002C020000}"/>
    <cellStyle name="Calculation 2 2 2 3 4 2" xfId="4890" xr:uid="{00000000-0005-0000-0000-00002D020000}"/>
    <cellStyle name="Calculation 2 2 2 3 4 2 2" xfId="23862" xr:uid="{00000000-0005-0000-0000-00002E020000}"/>
    <cellStyle name="Calculation 2 2 2 3 4 2 3" xfId="34707" xr:uid="{00000000-0005-0000-0000-00002F020000}"/>
    <cellStyle name="Calculation 2 2 2 3 4 2 4" xfId="14735" xr:uid="{00000000-0005-0000-0000-000030020000}"/>
    <cellStyle name="Calculation 2 2 2 3 4 3" xfId="7562" xr:uid="{00000000-0005-0000-0000-000031020000}"/>
    <cellStyle name="Calculation 2 2 2 3 4 3 2" xfId="26534" xr:uid="{00000000-0005-0000-0000-000032020000}"/>
    <cellStyle name="Calculation 2 2 2 3 4 3 3" xfId="37379" xr:uid="{00000000-0005-0000-0000-000033020000}"/>
    <cellStyle name="Calculation 2 2 2 3 4 3 4" xfId="16649" xr:uid="{00000000-0005-0000-0000-000034020000}"/>
    <cellStyle name="Calculation 2 2 2 3 4 4" xfId="10221" xr:uid="{00000000-0005-0000-0000-000035020000}"/>
    <cellStyle name="Calculation 2 2 2 3 4 4 2" xfId="29193" xr:uid="{00000000-0005-0000-0000-000036020000}"/>
    <cellStyle name="Calculation 2 2 2 3 4 4 3" xfId="40038" xr:uid="{00000000-0005-0000-0000-000037020000}"/>
    <cellStyle name="Calculation 2 2 2 3 4 4 4" xfId="18553" xr:uid="{00000000-0005-0000-0000-000038020000}"/>
    <cellStyle name="Calculation 2 2 2 3 4 5" xfId="21017" xr:uid="{00000000-0005-0000-0000-000039020000}"/>
    <cellStyle name="Calculation 2 2 2 3 4 6" xfId="31862" xr:uid="{00000000-0005-0000-0000-00003A020000}"/>
    <cellStyle name="Calculation 2 2 2 3 4 7" xfId="12699" xr:uid="{00000000-0005-0000-0000-00003B020000}"/>
    <cellStyle name="Calculation 2 2 2 3 5" xfId="2428" xr:uid="{00000000-0005-0000-0000-00003C020000}"/>
    <cellStyle name="Calculation 2 2 2 3 5 2" xfId="5281" xr:uid="{00000000-0005-0000-0000-00003D020000}"/>
    <cellStyle name="Calculation 2 2 2 3 5 2 2" xfId="24253" xr:uid="{00000000-0005-0000-0000-00003E020000}"/>
    <cellStyle name="Calculation 2 2 2 3 5 2 3" xfId="35098" xr:uid="{00000000-0005-0000-0000-00003F020000}"/>
    <cellStyle name="Calculation 2 2 2 3 5 2 4" xfId="15015" xr:uid="{00000000-0005-0000-0000-000040020000}"/>
    <cellStyle name="Calculation 2 2 2 3 5 3" xfId="7952" xr:uid="{00000000-0005-0000-0000-000041020000}"/>
    <cellStyle name="Calculation 2 2 2 3 5 3 2" xfId="26924" xr:uid="{00000000-0005-0000-0000-000042020000}"/>
    <cellStyle name="Calculation 2 2 2 3 5 3 3" xfId="37769" xr:uid="{00000000-0005-0000-0000-000043020000}"/>
    <cellStyle name="Calculation 2 2 2 3 5 3 4" xfId="16928" xr:uid="{00000000-0005-0000-0000-000044020000}"/>
    <cellStyle name="Calculation 2 2 2 3 5 4" xfId="10611" xr:uid="{00000000-0005-0000-0000-000045020000}"/>
    <cellStyle name="Calculation 2 2 2 3 5 4 2" xfId="29583" xr:uid="{00000000-0005-0000-0000-000046020000}"/>
    <cellStyle name="Calculation 2 2 2 3 5 4 3" xfId="40428" xr:uid="{00000000-0005-0000-0000-000047020000}"/>
    <cellStyle name="Calculation 2 2 2 3 5 4 4" xfId="18832" xr:uid="{00000000-0005-0000-0000-000048020000}"/>
    <cellStyle name="Calculation 2 2 2 3 5 5" xfId="21407" xr:uid="{00000000-0005-0000-0000-000049020000}"/>
    <cellStyle name="Calculation 2 2 2 3 5 6" xfId="32252" xr:uid="{00000000-0005-0000-0000-00004A020000}"/>
    <cellStyle name="Calculation 2 2 2 3 5 7" xfId="12978" xr:uid="{00000000-0005-0000-0000-00004B020000}"/>
    <cellStyle name="Calculation 2 2 2 3 6" xfId="2815" xr:uid="{00000000-0005-0000-0000-00004C020000}"/>
    <cellStyle name="Calculation 2 2 2 3 6 2" xfId="5667" xr:uid="{00000000-0005-0000-0000-00004D020000}"/>
    <cellStyle name="Calculation 2 2 2 3 6 2 2" xfId="24639" xr:uid="{00000000-0005-0000-0000-00004E020000}"/>
    <cellStyle name="Calculation 2 2 2 3 6 2 3" xfId="35484" xr:uid="{00000000-0005-0000-0000-00004F020000}"/>
    <cellStyle name="Calculation 2 2 2 3 6 2 4" xfId="15292" xr:uid="{00000000-0005-0000-0000-000050020000}"/>
    <cellStyle name="Calculation 2 2 2 3 6 3" xfId="8338" xr:uid="{00000000-0005-0000-0000-000051020000}"/>
    <cellStyle name="Calculation 2 2 2 3 6 3 2" xfId="27310" xr:uid="{00000000-0005-0000-0000-000052020000}"/>
    <cellStyle name="Calculation 2 2 2 3 6 3 3" xfId="38155" xr:uid="{00000000-0005-0000-0000-000053020000}"/>
    <cellStyle name="Calculation 2 2 2 3 6 3 4" xfId="17205" xr:uid="{00000000-0005-0000-0000-000054020000}"/>
    <cellStyle name="Calculation 2 2 2 3 6 4" xfId="10997" xr:uid="{00000000-0005-0000-0000-000055020000}"/>
    <cellStyle name="Calculation 2 2 2 3 6 4 2" xfId="29969" xr:uid="{00000000-0005-0000-0000-000056020000}"/>
    <cellStyle name="Calculation 2 2 2 3 6 4 3" xfId="40814" xr:uid="{00000000-0005-0000-0000-000057020000}"/>
    <cellStyle name="Calculation 2 2 2 3 6 4 4" xfId="19109" xr:uid="{00000000-0005-0000-0000-000058020000}"/>
    <cellStyle name="Calculation 2 2 2 3 6 5" xfId="21793" xr:uid="{00000000-0005-0000-0000-000059020000}"/>
    <cellStyle name="Calculation 2 2 2 3 6 6" xfId="32638" xr:uid="{00000000-0005-0000-0000-00005A020000}"/>
    <cellStyle name="Calculation 2 2 2 3 6 7" xfId="13255" xr:uid="{00000000-0005-0000-0000-00005B020000}"/>
    <cellStyle name="Calculation 2 2 2 3 7" xfId="3505" xr:uid="{00000000-0005-0000-0000-00005C020000}"/>
    <cellStyle name="Calculation 2 2 2 3 7 2" xfId="22477" xr:uid="{00000000-0005-0000-0000-00005D020000}"/>
    <cellStyle name="Calculation 2 2 2 3 7 3" xfId="33322" xr:uid="{00000000-0005-0000-0000-00005E020000}"/>
    <cellStyle name="Calculation 2 2 2 3 7 4" xfId="13736" xr:uid="{00000000-0005-0000-0000-00005F020000}"/>
    <cellStyle name="Calculation 2 2 2 3 8" xfId="6180" xr:uid="{00000000-0005-0000-0000-000060020000}"/>
    <cellStyle name="Calculation 2 2 2 3 8 2" xfId="25152" xr:uid="{00000000-0005-0000-0000-000061020000}"/>
    <cellStyle name="Calculation 2 2 2 3 8 3" xfId="35997" xr:uid="{00000000-0005-0000-0000-000062020000}"/>
    <cellStyle name="Calculation 2 2 2 3 8 4" xfId="15652" xr:uid="{00000000-0005-0000-0000-000063020000}"/>
    <cellStyle name="Calculation 2 2 2 3 9" xfId="8839" xr:uid="{00000000-0005-0000-0000-000064020000}"/>
    <cellStyle name="Calculation 2 2 2 3 9 2" xfId="27811" xr:uid="{00000000-0005-0000-0000-000065020000}"/>
    <cellStyle name="Calculation 2 2 2 3 9 3" xfId="38656" xr:uid="{00000000-0005-0000-0000-000066020000}"/>
    <cellStyle name="Calculation 2 2 2 3 9 4" xfId="17556" xr:uid="{00000000-0005-0000-0000-000067020000}"/>
    <cellStyle name="Calculation 2 2 2 4" xfId="600" xr:uid="{00000000-0005-0000-0000-000068020000}"/>
    <cellStyle name="Calculation 2 2 2 4 10" xfId="19607" xr:uid="{00000000-0005-0000-0000-000069020000}"/>
    <cellStyle name="Calculation 2 2 2 4 11" xfId="30452" xr:uid="{00000000-0005-0000-0000-00006A020000}"/>
    <cellStyle name="Calculation 2 2 2 4 12" xfId="11662" xr:uid="{00000000-0005-0000-0000-00006B020000}"/>
    <cellStyle name="Calculation 2 2 2 4 2" xfId="1204" xr:uid="{00000000-0005-0000-0000-00006C020000}"/>
    <cellStyle name="Calculation 2 2 2 4 2 2" xfId="4057" xr:uid="{00000000-0005-0000-0000-00006D020000}"/>
    <cellStyle name="Calculation 2 2 2 4 2 2 2" xfId="23029" xr:uid="{00000000-0005-0000-0000-00006E020000}"/>
    <cellStyle name="Calculation 2 2 2 4 2 2 3" xfId="33874" xr:uid="{00000000-0005-0000-0000-00006F020000}"/>
    <cellStyle name="Calculation 2 2 2 4 2 2 4" xfId="14137" xr:uid="{00000000-0005-0000-0000-000070020000}"/>
    <cellStyle name="Calculation 2 2 2 4 2 3" xfId="6730" xr:uid="{00000000-0005-0000-0000-000071020000}"/>
    <cellStyle name="Calculation 2 2 2 4 2 3 2" xfId="25702" xr:uid="{00000000-0005-0000-0000-000072020000}"/>
    <cellStyle name="Calculation 2 2 2 4 2 3 3" xfId="36547" xr:uid="{00000000-0005-0000-0000-000073020000}"/>
    <cellStyle name="Calculation 2 2 2 4 2 3 4" xfId="16052" xr:uid="{00000000-0005-0000-0000-000074020000}"/>
    <cellStyle name="Calculation 2 2 2 4 2 4" xfId="9389" xr:uid="{00000000-0005-0000-0000-000075020000}"/>
    <cellStyle name="Calculation 2 2 2 4 2 4 2" xfId="28361" xr:uid="{00000000-0005-0000-0000-000076020000}"/>
    <cellStyle name="Calculation 2 2 2 4 2 4 3" xfId="39206" xr:uid="{00000000-0005-0000-0000-000077020000}"/>
    <cellStyle name="Calculation 2 2 2 4 2 4 4" xfId="17956" xr:uid="{00000000-0005-0000-0000-000078020000}"/>
    <cellStyle name="Calculation 2 2 2 4 2 5" xfId="20185" xr:uid="{00000000-0005-0000-0000-000079020000}"/>
    <cellStyle name="Calculation 2 2 2 4 2 6" xfId="31030" xr:uid="{00000000-0005-0000-0000-00007A020000}"/>
    <cellStyle name="Calculation 2 2 2 4 2 7" xfId="12102" xr:uid="{00000000-0005-0000-0000-00007B020000}"/>
    <cellStyle name="Calculation 2 2 2 4 3" xfId="1602" xr:uid="{00000000-0005-0000-0000-00007C020000}"/>
    <cellStyle name="Calculation 2 2 2 4 3 2" xfId="4455" xr:uid="{00000000-0005-0000-0000-00007D020000}"/>
    <cellStyle name="Calculation 2 2 2 4 3 2 2" xfId="23427" xr:uid="{00000000-0005-0000-0000-00007E020000}"/>
    <cellStyle name="Calculation 2 2 2 4 3 2 3" xfId="34272" xr:uid="{00000000-0005-0000-0000-00007F020000}"/>
    <cellStyle name="Calculation 2 2 2 4 3 2 4" xfId="14424" xr:uid="{00000000-0005-0000-0000-000080020000}"/>
    <cellStyle name="Calculation 2 2 2 4 3 3" xfId="7127" xr:uid="{00000000-0005-0000-0000-000081020000}"/>
    <cellStyle name="Calculation 2 2 2 4 3 3 2" xfId="26099" xr:uid="{00000000-0005-0000-0000-000082020000}"/>
    <cellStyle name="Calculation 2 2 2 4 3 3 3" xfId="36944" xr:uid="{00000000-0005-0000-0000-000083020000}"/>
    <cellStyle name="Calculation 2 2 2 4 3 3 4" xfId="16338" xr:uid="{00000000-0005-0000-0000-000084020000}"/>
    <cellStyle name="Calculation 2 2 2 4 3 4" xfId="9786" xr:uid="{00000000-0005-0000-0000-000085020000}"/>
    <cellStyle name="Calculation 2 2 2 4 3 4 2" xfId="28758" xr:uid="{00000000-0005-0000-0000-000086020000}"/>
    <cellStyle name="Calculation 2 2 2 4 3 4 3" xfId="39603" xr:uid="{00000000-0005-0000-0000-000087020000}"/>
    <cellStyle name="Calculation 2 2 2 4 3 4 4" xfId="18242" xr:uid="{00000000-0005-0000-0000-000088020000}"/>
    <cellStyle name="Calculation 2 2 2 4 3 5" xfId="20582" xr:uid="{00000000-0005-0000-0000-000089020000}"/>
    <cellStyle name="Calculation 2 2 2 4 3 6" xfId="31427" xr:uid="{00000000-0005-0000-0000-00008A020000}"/>
    <cellStyle name="Calculation 2 2 2 4 3 7" xfId="12388" xr:uid="{00000000-0005-0000-0000-00008B020000}"/>
    <cellStyle name="Calculation 2 2 2 4 4" xfId="2004" xr:uid="{00000000-0005-0000-0000-00008C020000}"/>
    <cellStyle name="Calculation 2 2 2 4 4 2" xfId="4857" xr:uid="{00000000-0005-0000-0000-00008D020000}"/>
    <cellStyle name="Calculation 2 2 2 4 4 2 2" xfId="23829" xr:uid="{00000000-0005-0000-0000-00008E020000}"/>
    <cellStyle name="Calculation 2 2 2 4 4 2 3" xfId="34674" xr:uid="{00000000-0005-0000-0000-00008F020000}"/>
    <cellStyle name="Calculation 2 2 2 4 4 2 4" xfId="14710" xr:uid="{00000000-0005-0000-0000-000090020000}"/>
    <cellStyle name="Calculation 2 2 2 4 4 3" xfId="7529" xr:uid="{00000000-0005-0000-0000-000091020000}"/>
    <cellStyle name="Calculation 2 2 2 4 4 3 2" xfId="26501" xr:uid="{00000000-0005-0000-0000-000092020000}"/>
    <cellStyle name="Calculation 2 2 2 4 4 3 3" xfId="37346" xr:uid="{00000000-0005-0000-0000-000093020000}"/>
    <cellStyle name="Calculation 2 2 2 4 4 3 4" xfId="16624" xr:uid="{00000000-0005-0000-0000-000094020000}"/>
    <cellStyle name="Calculation 2 2 2 4 4 4" xfId="10188" xr:uid="{00000000-0005-0000-0000-000095020000}"/>
    <cellStyle name="Calculation 2 2 2 4 4 4 2" xfId="29160" xr:uid="{00000000-0005-0000-0000-000096020000}"/>
    <cellStyle name="Calculation 2 2 2 4 4 4 3" xfId="40005" xr:uid="{00000000-0005-0000-0000-000097020000}"/>
    <cellStyle name="Calculation 2 2 2 4 4 4 4" xfId="18528" xr:uid="{00000000-0005-0000-0000-000098020000}"/>
    <cellStyle name="Calculation 2 2 2 4 4 5" xfId="20984" xr:uid="{00000000-0005-0000-0000-000099020000}"/>
    <cellStyle name="Calculation 2 2 2 4 4 6" xfId="31829" xr:uid="{00000000-0005-0000-0000-00009A020000}"/>
    <cellStyle name="Calculation 2 2 2 4 4 7" xfId="12674" xr:uid="{00000000-0005-0000-0000-00009B020000}"/>
    <cellStyle name="Calculation 2 2 2 4 5" xfId="2396" xr:uid="{00000000-0005-0000-0000-00009C020000}"/>
    <cellStyle name="Calculation 2 2 2 4 5 2" xfId="5249" xr:uid="{00000000-0005-0000-0000-00009D020000}"/>
    <cellStyle name="Calculation 2 2 2 4 5 2 2" xfId="24221" xr:uid="{00000000-0005-0000-0000-00009E020000}"/>
    <cellStyle name="Calculation 2 2 2 4 5 2 3" xfId="35066" xr:uid="{00000000-0005-0000-0000-00009F020000}"/>
    <cellStyle name="Calculation 2 2 2 4 5 2 4" xfId="14991" xr:uid="{00000000-0005-0000-0000-0000A0020000}"/>
    <cellStyle name="Calculation 2 2 2 4 5 3" xfId="7920" xr:uid="{00000000-0005-0000-0000-0000A1020000}"/>
    <cellStyle name="Calculation 2 2 2 4 5 3 2" xfId="26892" xr:uid="{00000000-0005-0000-0000-0000A2020000}"/>
    <cellStyle name="Calculation 2 2 2 4 5 3 3" xfId="37737" xr:uid="{00000000-0005-0000-0000-0000A3020000}"/>
    <cellStyle name="Calculation 2 2 2 4 5 3 4" xfId="16904" xr:uid="{00000000-0005-0000-0000-0000A4020000}"/>
    <cellStyle name="Calculation 2 2 2 4 5 4" xfId="10579" xr:uid="{00000000-0005-0000-0000-0000A5020000}"/>
    <cellStyle name="Calculation 2 2 2 4 5 4 2" xfId="29551" xr:uid="{00000000-0005-0000-0000-0000A6020000}"/>
    <cellStyle name="Calculation 2 2 2 4 5 4 3" xfId="40396" xr:uid="{00000000-0005-0000-0000-0000A7020000}"/>
    <cellStyle name="Calculation 2 2 2 4 5 4 4" xfId="18808" xr:uid="{00000000-0005-0000-0000-0000A8020000}"/>
    <cellStyle name="Calculation 2 2 2 4 5 5" xfId="21375" xr:uid="{00000000-0005-0000-0000-0000A9020000}"/>
    <cellStyle name="Calculation 2 2 2 4 5 6" xfId="32220" xr:uid="{00000000-0005-0000-0000-0000AA020000}"/>
    <cellStyle name="Calculation 2 2 2 4 5 7" xfId="12954" xr:uid="{00000000-0005-0000-0000-0000AB020000}"/>
    <cellStyle name="Calculation 2 2 2 4 6" xfId="2785" xr:uid="{00000000-0005-0000-0000-0000AC020000}"/>
    <cellStyle name="Calculation 2 2 2 4 6 2" xfId="5637" xr:uid="{00000000-0005-0000-0000-0000AD020000}"/>
    <cellStyle name="Calculation 2 2 2 4 6 2 2" xfId="24609" xr:uid="{00000000-0005-0000-0000-0000AE020000}"/>
    <cellStyle name="Calculation 2 2 2 4 6 2 3" xfId="35454" xr:uid="{00000000-0005-0000-0000-0000AF020000}"/>
    <cellStyle name="Calculation 2 2 2 4 6 2 4" xfId="15269" xr:uid="{00000000-0005-0000-0000-0000B0020000}"/>
    <cellStyle name="Calculation 2 2 2 4 6 3" xfId="8308" xr:uid="{00000000-0005-0000-0000-0000B1020000}"/>
    <cellStyle name="Calculation 2 2 2 4 6 3 2" xfId="27280" xr:uid="{00000000-0005-0000-0000-0000B2020000}"/>
    <cellStyle name="Calculation 2 2 2 4 6 3 3" xfId="38125" xr:uid="{00000000-0005-0000-0000-0000B3020000}"/>
    <cellStyle name="Calculation 2 2 2 4 6 3 4" xfId="17182" xr:uid="{00000000-0005-0000-0000-0000B4020000}"/>
    <cellStyle name="Calculation 2 2 2 4 6 4" xfId="10967" xr:uid="{00000000-0005-0000-0000-0000B5020000}"/>
    <cellStyle name="Calculation 2 2 2 4 6 4 2" xfId="29939" xr:uid="{00000000-0005-0000-0000-0000B6020000}"/>
    <cellStyle name="Calculation 2 2 2 4 6 4 3" xfId="40784" xr:uid="{00000000-0005-0000-0000-0000B7020000}"/>
    <cellStyle name="Calculation 2 2 2 4 6 4 4" xfId="19086" xr:uid="{00000000-0005-0000-0000-0000B8020000}"/>
    <cellStyle name="Calculation 2 2 2 4 6 5" xfId="21763" xr:uid="{00000000-0005-0000-0000-0000B9020000}"/>
    <cellStyle name="Calculation 2 2 2 4 6 6" xfId="32608" xr:uid="{00000000-0005-0000-0000-0000BA020000}"/>
    <cellStyle name="Calculation 2 2 2 4 6 7" xfId="13232" xr:uid="{00000000-0005-0000-0000-0000BB020000}"/>
    <cellStyle name="Calculation 2 2 2 4 7" xfId="3476" xr:uid="{00000000-0005-0000-0000-0000BC020000}"/>
    <cellStyle name="Calculation 2 2 2 4 7 2" xfId="22448" xr:uid="{00000000-0005-0000-0000-0000BD020000}"/>
    <cellStyle name="Calculation 2 2 2 4 7 3" xfId="33293" xr:uid="{00000000-0005-0000-0000-0000BE020000}"/>
    <cellStyle name="Calculation 2 2 2 4 7 4" xfId="13714" xr:uid="{00000000-0005-0000-0000-0000BF020000}"/>
    <cellStyle name="Calculation 2 2 2 4 8" xfId="6152" xr:uid="{00000000-0005-0000-0000-0000C0020000}"/>
    <cellStyle name="Calculation 2 2 2 4 8 2" xfId="25124" xr:uid="{00000000-0005-0000-0000-0000C1020000}"/>
    <cellStyle name="Calculation 2 2 2 4 8 3" xfId="35969" xr:uid="{00000000-0005-0000-0000-0000C2020000}"/>
    <cellStyle name="Calculation 2 2 2 4 8 4" xfId="15631" xr:uid="{00000000-0005-0000-0000-0000C3020000}"/>
    <cellStyle name="Calculation 2 2 2 4 9" xfId="8811" xr:uid="{00000000-0005-0000-0000-0000C4020000}"/>
    <cellStyle name="Calculation 2 2 2 4 9 2" xfId="27783" xr:uid="{00000000-0005-0000-0000-0000C5020000}"/>
    <cellStyle name="Calculation 2 2 2 4 9 3" xfId="38628" xr:uid="{00000000-0005-0000-0000-0000C6020000}"/>
    <cellStyle name="Calculation 2 2 2 4 9 4" xfId="17535" xr:uid="{00000000-0005-0000-0000-0000C7020000}"/>
    <cellStyle name="Calculation 2 2 2 5" xfId="593" xr:uid="{00000000-0005-0000-0000-0000C8020000}"/>
    <cellStyle name="Calculation 2 2 2 5 10" xfId="19603" xr:uid="{00000000-0005-0000-0000-0000C9020000}"/>
    <cellStyle name="Calculation 2 2 2 5 11" xfId="30448" xr:uid="{00000000-0005-0000-0000-0000CA020000}"/>
    <cellStyle name="Calculation 2 2 2 5 12" xfId="11657" xr:uid="{00000000-0005-0000-0000-0000CB020000}"/>
    <cellStyle name="Calculation 2 2 2 5 2" xfId="1199" xr:uid="{00000000-0005-0000-0000-0000CC020000}"/>
    <cellStyle name="Calculation 2 2 2 5 2 2" xfId="4052" xr:uid="{00000000-0005-0000-0000-0000CD020000}"/>
    <cellStyle name="Calculation 2 2 2 5 2 2 2" xfId="23024" xr:uid="{00000000-0005-0000-0000-0000CE020000}"/>
    <cellStyle name="Calculation 2 2 2 5 2 2 3" xfId="33869" xr:uid="{00000000-0005-0000-0000-0000CF020000}"/>
    <cellStyle name="Calculation 2 2 2 5 2 2 4" xfId="14134" xr:uid="{00000000-0005-0000-0000-0000D0020000}"/>
    <cellStyle name="Calculation 2 2 2 5 2 3" xfId="6725" xr:uid="{00000000-0005-0000-0000-0000D1020000}"/>
    <cellStyle name="Calculation 2 2 2 5 2 3 2" xfId="25697" xr:uid="{00000000-0005-0000-0000-0000D2020000}"/>
    <cellStyle name="Calculation 2 2 2 5 2 3 3" xfId="36542" xr:uid="{00000000-0005-0000-0000-0000D3020000}"/>
    <cellStyle name="Calculation 2 2 2 5 2 3 4" xfId="16049" xr:uid="{00000000-0005-0000-0000-0000D4020000}"/>
    <cellStyle name="Calculation 2 2 2 5 2 4" xfId="9384" xr:uid="{00000000-0005-0000-0000-0000D5020000}"/>
    <cellStyle name="Calculation 2 2 2 5 2 4 2" xfId="28356" xr:uid="{00000000-0005-0000-0000-0000D6020000}"/>
    <cellStyle name="Calculation 2 2 2 5 2 4 3" xfId="39201" xr:uid="{00000000-0005-0000-0000-0000D7020000}"/>
    <cellStyle name="Calculation 2 2 2 5 2 4 4" xfId="17953" xr:uid="{00000000-0005-0000-0000-0000D8020000}"/>
    <cellStyle name="Calculation 2 2 2 5 2 5" xfId="20180" xr:uid="{00000000-0005-0000-0000-0000D9020000}"/>
    <cellStyle name="Calculation 2 2 2 5 2 6" xfId="31025" xr:uid="{00000000-0005-0000-0000-0000DA020000}"/>
    <cellStyle name="Calculation 2 2 2 5 2 7" xfId="12099" xr:uid="{00000000-0005-0000-0000-0000DB020000}"/>
    <cellStyle name="Calculation 2 2 2 5 3" xfId="1596" xr:uid="{00000000-0005-0000-0000-0000DC020000}"/>
    <cellStyle name="Calculation 2 2 2 5 3 2" xfId="4449" xr:uid="{00000000-0005-0000-0000-0000DD020000}"/>
    <cellStyle name="Calculation 2 2 2 5 3 2 2" xfId="23421" xr:uid="{00000000-0005-0000-0000-0000DE020000}"/>
    <cellStyle name="Calculation 2 2 2 5 3 2 3" xfId="34266" xr:uid="{00000000-0005-0000-0000-0000DF020000}"/>
    <cellStyle name="Calculation 2 2 2 5 3 2 4" xfId="14420" xr:uid="{00000000-0005-0000-0000-0000E0020000}"/>
    <cellStyle name="Calculation 2 2 2 5 3 3" xfId="7121" xr:uid="{00000000-0005-0000-0000-0000E1020000}"/>
    <cellStyle name="Calculation 2 2 2 5 3 3 2" xfId="26093" xr:uid="{00000000-0005-0000-0000-0000E2020000}"/>
    <cellStyle name="Calculation 2 2 2 5 3 3 3" xfId="36938" xr:uid="{00000000-0005-0000-0000-0000E3020000}"/>
    <cellStyle name="Calculation 2 2 2 5 3 3 4" xfId="16334" xr:uid="{00000000-0005-0000-0000-0000E4020000}"/>
    <cellStyle name="Calculation 2 2 2 5 3 4" xfId="9780" xr:uid="{00000000-0005-0000-0000-0000E5020000}"/>
    <cellStyle name="Calculation 2 2 2 5 3 4 2" xfId="28752" xr:uid="{00000000-0005-0000-0000-0000E6020000}"/>
    <cellStyle name="Calculation 2 2 2 5 3 4 3" xfId="39597" xr:uid="{00000000-0005-0000-0000-0000E7020000}"/>
    <cellStyle name="Calculation 2 2 2 5 3 4 4" xfId="18238" xr:uid="{00000000-0005-0000-0000-0000E8020000}"/>
    <cellStyle name="Calculation 2 2 2 5 3 5" xfId="20576" xr:uid="{00000000-0005-0000-0000-0000E9020000}"/>
    <cellStyle name="Calculation 2 2 2 5 3 6" xfId="31421" xr:uid="{00000000-0005-0000-0000-0000EA020000}"/>
    <cellStyle name="Calculation 2 2 2 5 3 7" xfId="12384" xr:uid="{00000000-0005-0000-0000-0000EB020000}"/>
    <cellStyle name="Calculation 2 2 2 5 4" xfId="2000" xr:uid="{00000000-0005-0000-0000-0000EC020000}"/>
    <cellStyle name="Calculation 2 2 2 5 4 2" xfId="4853" xr:uid="{00000000-0005-0000-0000-0000ED020000}"/>
    <cellStyle name="Calculation 2 2 2 5 4 2 2" xfId="23825" xr:uid="{00000000-0005-0000-0000-0000EE020000}"/>
    <cellStyle name="Calculation 2 2 2 5 4 2 3" xfId="34670" xr:uid="{00000000-0005-0000-0000-0000EF020000}"/>
    <cellStyle name="Calculation 2 2 2 5 4 2 4" xfId="14708" xr:uid="{00000000-0005-0000-0000-0000F0020000}"/>
    <cellStyle name="Calculation 2 2 2 5 4 3" xfId="7525" xr:uid="{00000000-0005-0000-0000-0000F1020000}"/>
    <cellStyle name="Calculation 2 2 2 5 4 3 2" xfId="26497" xr:uid="{00000000-0005-0000-0000-0000F2020000}"/>
    <cellStyle name="Calculation 2 2 2 5 4 3 3" xfId="37342" xr:uid="{00000000-0005-0000-0000-0000F3020000}"/>
    <cellStyle name="Calculation 2 2 2 5 4 3 4" xfId="16622" xr:uid="{00000000-0005-0000-0000-0000F4020000}"/>
    <cellStyle name="Calculation 2 2 2 5 4 4" xfId="10184" xr:uid="{00000000-0005-0000-0000-0000F5020000}"/>
    <cellStyle name="Calculation 2 2 2 5 4 4 2" xfId="29156" xr:uid="{00000000-0005-0000-0000-0000F6020000}"/>
    <cellStyle name="Calculation 2 2 2 5 4 4 3" xfId="40001" xr:uid="{00000000-0005-0000-0000-0000F7020000}"/>
    <cellStyle name="Calculation 2 2 2 5 4 4 4" xfId="18526" xr:uid="{00000000-0005-0000-0000-0000F8020000}"/>
    <cellStyle name="Calculation 2 2 2 5 4 5" xfId="20980" xr:uid="{00000000-0005-0000-0000-0000F9020000}"/>
    <cellStyle name="Calculation 2 2 2 5 4 6" xfId="31825" xr:uid="{00000000-0005-0000-0000-0000FA020000}"/>
    <cellStyle name="Calculation 2 2 2 5 4 7" xfId="12672" xr:uid="{00000000-0005-0000-0000-0000FB020000}"/>
    <cellStyle name="Calculation 2 2 2 5 5" xfId="2392" xr:uid="{00000000-0005-0000-0000-0000FC020000}"/>
    <cellStyle name="Calculation 2 2 2 5 5 2" xfId="5245" xr:uid="{00000000-0005-0000-0000-0000FD020000}"/>
    <cellStyle name="Calculation 2 2 2 5 5 2 2" xfId="24217" xr:uid="{00000000-0005-0000-0000-0000FE020000}"/>
    <cellStyle name="Calculation 2 2 2 5 5 2 3" xfId="35062" xr:uid="{00000000-0005-0000-0000-0000FF020000}"/>
    <cellStyle name="Calculation 2 2 2 5 5 2 4" xfId="14989" xr:uid="{00000000-0005-0000-0000-000000030000}"/>
    <cellStyle name="Calculation 2 2 2 5 5 3" xfId="7916" xr:uid="{00000000-0005-0000-0000-000001030000}"/>
    <cellStyle name="Calculation 2 2 2 5 5 3 2" xfId="26888" xr:uid="{00000000-0005-0000-0000-000002030000}"/>
    <cellStyle name="Calculation 2 2 2 5 5 3 3" xfId="37733" xr:uid="{00000000-0005-0000-0000-000003030000}"/>
    <cellStyle name="Calculation 2 2 2 5 5 3 4" xfId="16902" xr:uid="{00000000-0005-0000-0000-000004030000}"/>
    <cellStyle name="Calculation 2 2 2 5 5 4" xfId="10575" xr:uid="{00000000-0005-0000-0000-000005030000}"/>
    <cellStyle name="Calculation 2 2 2 5 5 4 2" xfId="29547" xr:uid="{00000000-0005-0000-0000-000006030000}"/>
    <cellStyle name="Calculation 2 2 2 5 5 4 3" xfId="40392" xr:uid="{00000000-0005-0000-0000-000007030000}"/>
    <cellStyle name="Calculation 2 2 2 5 5 4 4" xfId="18806" xr:uid="{00000000-0005-0000-0000-000008030000}"/>
    <cellStyle name="Calculation 2 2 2 5 5 5" xfId="21371" xr:uid="{00000000-0005-0000-0000-000009030000}"/>
    <cellStyle name="Calculation 2 2 2 5 5 6" xfId="32216" xr:uid="{00000000-0005-0000-0000-00000A030000}"/>
    <cellStyle name="Calculation 2 2 2 5 5 7" xfId="12952" xr:uid="{00000000-0005-0000-0000-00000B030000}"/>
    <cellStyle name="Calculation 2 2 2 5 6" xfId="2781" xr:uid="{00000000-0005-0000-0000-00000C030000}"/>
    <cellStyle name="Calculation 2 2 2 5 6 2" xfId="5633" xr:uid="{00000000-0005-0000-0000-00000D030000}"/>
    <cellStyle name="Calculation 2 2 2 5 6 2 2" xfId="24605" xr:uid="{00000000-0005-0000-0000-00000E030000}"/>
    <cellStyle name="Calculation 2 2 2 5 6 2 3" xfId="35450" xr:uid="{00000000-0005-0000-0000-00000F030000}"/>
    <cellStyle name="Calculation 2 2 2 5 6 2 4" xfId="15267" xr:uid="{00000000-0005-0000-0000-000010030000}"/>
    <cellStyle name="Calculation 2 2 2 5 6 3" xfId="8304" xr:uid="{00000000-0005-0000-0000-000011030000}"/>
    <cellStyle name="Calculation 2 2 2 5 6 3 2" xfId="27276" xr:uid="{00000000-0005-0000-0000-000012030000}"/>
    <cellStyle name="Calculation 2 2 2 5 6 3 3" xfId="38121" xr:uid="{00000000-0005-0000-0000-000013030000}"/>
    <cellStyle name="Calculation 2 2 2 5 6 3 4" xfId="17180" xr:uid="{00000000-0005-0000-0000-000014030000}"/>
    <cellStyle name="Calculation 2 2 2 5 6 4" xfId="10963" xr:uid="{00000000-0005-0000-0000-000015030000}"/>
    <cellStyle name="Calculation 2 2 2 5 6 4 2" xfId="29935" xr:uid="{00000000-0005-0000-0000-000016030000}"/>
    <cellStyle name="Calculation 2 2 2 5 6 4 3" xfId="40780" xr:uid="{00000000-0005-0000-0000-000017030000}"/>
    <cellStyle name="Calculation 2 2 2 5 6 4 4" xfId="19084" xr:uid="{00000000-0005-0000-0000-000018030000}"/>
    <cellStyle name="Calculation 2 2 2 5 6 5" xfId="21759" xr:uid="{00000000-0005-0000-0000-000019030000}"/>
    <cellStyle name="Calculation 2 2 2 5 6 6" xfId="32604" xr:uid="{00000000-0005-0000-0000-00001A030000}"/>
    <cellStyle name="Calculation 2 2 2 5 6 7" xfId="13230" xr:uid="{00000000-0005-0000-0000-00001B030000}"/>
    <cellStyle name="Calculation 2 2 2 5 7" xfId="3472" xr:uid="{00000000-0005-0000-0000-00001C030000}"/>
    <cellStyle name="Calculation 2 2 2 5 7 2" xfId="22444" xr:uid="{00000000-0005-0000-0000-00001D030000}"/>
    <cellStyle name="Calculation 2 2 2 5 7 3" xfId="33289" xr:uid="{00000000-0005-0000-0000-00001E030000}"/>
    <cellStyle name="Calculation 2 2 2 5 7 4" xfId="13712" xr:uid="{00000000-0005-0000-0000-00001F030000}"/>
    <cellStyle name="Calculation 2 2 2 5 8" xfId="6148" xr:uid="{00000000-0005-0000-0000-000020030000}"/>
    <cellStyle name="Calculation 2 2 2 5 8 2" xfId="25120" xr:uid="{00000000-0005-0000-0000-000021030000}"/>
    <cellStyle name="Calculation 2 2 2 5 8 3" xfId="35965" xr:uid="{00000000-0005-0000-0000-000022030000}"/>
    <cellStyle name="Calculation 2 2 2 5 8 4" xfId="15629" xr:uid="{00000000-0005-0000-0000-000023030000}"/>
    <cellStyle name="Calculation 2 2 2 5 9" xfId="8807" xr:uid="{00000000-0005-0000-0000-000024030000}"/>
    <cellStyle name="Calculation 2 2 2 5 9 2" xfId="27779" xr:uid="{00000000-0005-0000-0000-000025030000}"/>
    <cellStyle name="Calculation 2 2 2 5 9 3" xfId="38624" xr:uid="{00000000-0005-0000-0000-000026030000}"/>
    <cellStyle name="Calculation 2 2 2 5 9 4" xfId="17533" xr:uid="{00000000-0005-0000-0000-000027030000}"/>
    <cellStyle name="Calculation 2 2 2 6" xfId="1055" xr:uid="{00000000-0005-0000-0000-000028030000}"/>
    <cellStyle name="Calculation 2 2 2 6 2" xfId="3908" xr:uid="{00000000-0005-0000-0000-000029030000}"/>
    <cellStyle name="Calculation 2 2 2 6 2 2" xfId="22880" xr:uid="{00000000-0005-0000-0000-00002A030000}"/>
    <cellStyle name="Calculation 2 2 2 6 2 3" xfId="33725" xr:uid="{00000000-0005-0000-0000-00002B030000}"/>
    <cellStyle name="Calculation 2 2 2 6 2 4" xfId="14021" xr:uid="{00000000-0005-0000-0000-00002C030000}"/>
    <cellStyle name="Calculation 2 2 2 6 3" xfId="6582" xr:uid="{00000000-0005-0000-0000-00002D030000}"/>
    <cellStyle name="Calculation 2 2 2 6 3 2" xfId="25554" xr:uid="{00000000-0005-0000-0000-00002E030000}"/>
    <cellStyle name="Calculation 2 2 2 6 3 3" xfId="36399" xr:uid="{00000000-0005-0000-0000-00002F030000}"/>
    <cellStyle name="Calculation 2 2 2 6 3 4" xfId="15937" xr:uid="{00000000-0005-0000-0000-000030030000}"/>
    <cellStyle name="Calculation 2 2 2 6 4" xfId="9241" xr:uid="{00000000-0005-0000-0000-000031030000}"/>
    <cellStyle name="Calculation 2 2 2 6 4 2" xfId="28213" xr:uid="{00000000-0005-0000-0000-000032030000}"/>
    <cellStyle name="Calculation 2 2 2 6 4 3" xfId="39058" xr:uid="{00000000-0005-0000-0000-000033030000}"/>
    <cellStyle name="Calculation 2 2 2 6 4 4" xfId="17841" xr:uid="{00000000-0005-0000-0000-000034030000}"/>
    <cellStyle name="Calculation 2 2 2 6 5" xfId="20037" xr:uid="{00000000-0005-0000-0000-000035030000}"/>
    <cellStyle name="Calculation 2 2 2 6 6" xfId="30882" xr:uid="{00000000-0005-0000-0000-000036030000}"/>
    <cellStyle name="Calculation 2 2 2 6 7" xfId="11987" xr:uid="{00000000-0005-0000-0000-000037030000}"/>
    <cellStyle name="Calculation 2 2 2 7" xfId="921" xr:uid="{00000000-0005-0000-0000-000038030000}"/>
    <cellStyle name="Calculation 2 2 2 7 2" xfId="3776" xr:uid="{00000000-0005-0000-0000-000039030000}"/>
    <cellStyle name="Calculation 2 2 2 7 2 2" xfId="22748" xr:uid="{00000000-0005-0000-0000-00003A030000}"/>
    <cellStyle name="Calculation 2 2 2 7 2 3" xfId="33593" xr:uid="{00000000-0005-0000-0000-00003B030000}"/>
    <cellStyle name="Calculation 2 2 2 7 2 4" xfId="13922" xr:uid="{00000000-0005-0000-0000-00003C030000}"/>
    <cellStyle name="Calculation 2 2 2 7 3" xfId="6451" xr:uid="{00000000-0005-0000-0000-00003D030000}"/>
    <cellStyle name="Calculation 2 2 2 7 3 2" xfId="25423" xr:uid="{00000000-0005-0000-0000-00003E030000}"/>
    <cellStyle name="Calculation 2 2 2 7 3 3" xfId="36268" xr:uid="{00000000-0005-0000-0000-00003F030000}"/>
    <cellStyle name="Calculation 2 2 2 7 3 4" xfId="15838" xr:uid="{00000000-0005-0000-0000-000040030000}"/>
    <cellStyle name="Calculation 2 2 2 7 4" xfId="9110" xr:uid="{00000000-0005-0000-0000-000041030000}"/>
    <cellStyle name="Calculation 2 2 2 7 4 2" xfId="28082" xr:uid="{00000000-0005-0000-0000-000042030000}"/>
    <cellStyle name="Calculation 2 2 2 7 4 3" xfId="38927" xr:uid="{00000000-0005-0000-0000-000043030000}"/>
    <cellStyle name="Calculation 2 2 2 7 4 4" xfId="17742" xr:uid="{00000000-0005-0000-0000-000044030000}"/>
    <cellStyle name="Calculation 2 2 2 7 5" xfId="19906" xr:uid="{00000000-0005-0000-0000-000045030000}"/>
    <cellStyle name="Calculation 2 2 2 7 6" xfId="30751" xr:uid="{00000000-0005-0000-0000-000046030000}"/>
    <cellStyle name="Calculation 2 2 2 7 7" xfId="11888" xr:uid="{00000000-0005-0000-0000-000047030000}"/>
    <cellStyle name="Calculation 2 2 2 8" xfId="1028" xr:uid="{00000000-0005-0000-0000-000048030000}"/>
    <cellStyle name="Calculation 2 2 2 8 2" xfId="3881" xr:uid="{00000000-0005-0000-0000-000049030000}"/>
    <cellStyle name="Calculation 2 2 2 8 2 2" xfId="22853" xr:uid="{00000000-0005-0000-0000-00004A030000}"/>
    <cellStyle name="Calculation 2 2 2 8 2 3" xfId="33698" xr:uid="{00000000-0005-0000-0000-00004B030000}"/>
    <cellStyle name="Calculation 2 2 2 8 2 4" xfId="14001" xr:uid="{00000000-0005-0000-0000-00004C030000}"/>
    <cellStyle name="Calculation 2 2 2 8 3" xfId="6555" xr:uid="{00000000-0005-0000-0000-00004D030000}"/>
    <cellStyle name="Calculation 2 2 2 8 3 2" xfId="25527" xr:uid="{00000000-0005-0000-0000-00004E030000}"/>
    <cellStyle name="Calculation 2 2 2 8 3 3" xfId="36372" xr:uid="{00000000-0005-0000-0000-00004F030000}"/>
    <cellStyle name="Calculation 2 2 2 8 3 4" xfId="15917" xr:uid="{00000000-0005-0000-0000-000050030000}"/>
    <cellStyle name="Calculation 2 2 2 8 4" xfId="9214" xr:uid="{00000000-0005-0000-0000-000051030000}"/>
    <cellStyle name="Calculation 2 2 2 8 4 2" xfId="28186" xr:uid="{00000000-0005-0000-0000-000052030000}"/>
    <cellStyle name="Calculation 2 2 2 8 4 3" xfId="39031" xr:uid="{00000000-0005-0000-0000-000053030000}"/>
    <cellStyle name="Calculation 2 2 2 8 4 4" xfId="17821" xr:uid="{00000000-0005-0000-0000-000054030000}"/>
    <cellStyle name="Calculation 2 2 2 8 5" xfId="20010" xr:uid="{00000000-0005-0000-0000-000055030000}"/>
    <cellStyle name="Calculation 2 2 2 8 6" xfId="30855" xr:uid="{00000000-0005-0000-0000-000056030000}"/>
    <cellStyle name="Calculation 2 2 2 8 7" xfId="11967" xr:uid="{00000000-0005-0000-0000-000057030000}"/>
    <cellStyle name="Calculation 2 2 2 9" xfId="955" xr:uid="{00000000-0005-0000-0000-000058030000}"/>
    <cellStyle name="Calculation 2 2 2 9 2" xfId="3808" xr:uid="{00000000-0005-0000-0000-000059030000}"/>
    <cellStyle name="Calculation 2 2 2 9 2 2" xfId="22780" xr:uid="{00000000-0005-0000-0000-00005A030000}"/>
    <cellStyle name="Calculation 2 2 2 9 2 3" xfId="33625" xr:uid="{00000000-0005-0000-0000-00005B030000}"/>
    <cellStyle name="Calculation 2 2 2 9 2 4" xfId="13951" xr:uid="{00000000-0005-0000-0000-00005C030000}"/>
    <cellStyle name="Calculation 2 2 2 9 3" xfId="6483" xr:uid="{00000000-0005-0000-0000-00005D030000}"/>
    <cellStyle name="Calculation 2 2 2 9 3 2" xfId="25455" xr:uid="{00000000-0005-0000-0000-00005E030000}"/>
    <cellStyle name="Calculation 2 2 2 9 3 3" xfId="36300" xr:uid="{00000000-0005-0000-0000-00005F030000}"/>
    <cellStyle name="Calculation 2 2 2 9 3 4" xfId="15867" xr:uid="{00000000-0005-0000-0000-000060030000}"/>
    <cellStyle name="Calculation 2 2 2 9 4" xfId="9142" xr:uid="{00000000-0005-0000-0000-000061030000}"/>
    <cellStyle name="Calculation 2 2 2 9 4 2" xfId="28114" xr:uid="{00000000-0005-0000-0000-000062030000}"/>
    <cellStyle name="Calculation 2 2 2 9 4 3" xfId="38959" xr:uid="{00000000-0005-0000-0000-000063030000}"/>
    <cellStyle name="Calculation 2 2 2 9 4 4" xfId="17771" xr:uid="{00000000-0005-0000-0000-000064030000}"/>
    <cellStyle name="Calculation 2 2 2 9 5" xfId="19938" xr:uid="{00000000-0005-0000-0000-000065030000}"/>
    <cellStyle name="Calculation 2 2 2 9 6" xfId="30783" xr:uid="{00000000-0005-0000-0000-000066030000}"/>
    <cellStyle name="Calculation 2 2 2 9 7" xfId="11917" xr:uid="{00000000-0005-0000-0000-000067030000}"/>
    <cellStyle name="Calculation 2 2 3" xfId="537" xr:uid="{00000000-0005-0000-0000-000068030000}"/>
    <cellStyle name="Calculation 2 2 3 10" xfId="19547" xr:uid="{00000000-0005-0000-0000-000069030000}"/>
    <cellStyle name="Calculation 2 2 3 11" xfId="30392" xr:uid="{00000000-0005-0000-0000-00006A030000}"/>
    <cellStyle name="Calculation 2 2 3 12" xfId="11611" xr:uid="{00000000-0005-0000-0000-00006B030000}"/>
    <cellStyle name="Calculation 2 2 3 2" xfId="1143" xr:uid="{00000000-0005-0000-0000-00006C030000}"/>
    <cellStyle name="Calculation 2 2 3 2 2" xfId="3996" xr:uid="{00000000-0005-0000-0000-00006D030000}"/>
    <cellStyle name="Calculation 2 2 3 2 2 2" xfId="22968" xr:uid="{00000000-0005-0000-0000-00006E030000}"/>
    <cellStyle name="Calculation 2 2 3 2 2 3" xfId="33813" xr:uid="{00000000-0005-0000-0000-00006F030000}"/>
    <cellStyle name="Calculation 2 2 3 2 2 4" xfId="14088" xr:uid="{00000000-0005-0000-0000-000070030000}"/>
    <cellStyle name="Calculation 2 2 3 2 3" xfId="6669" xr:uid="{00000000-0005-0000-0000-000071030000}"/>
    <cellStyle name="Calculation 2 2 3 2 3 2" xfId="25641" xr:uid="{00000000-0005-0000-0000-000072030000}"/>
    <cellStyle name="Calculation 2 2 3 2 3 3" xfId="36486" xr:uid="{00000000-0005-0000-0000-000073030000}"/>
    <cellStyle name="Calculation 2 2 3 2 3 4" xfId="16003" xr:uid="{00000000-0005-0000-0000-000074030000}"/>
    <cellStyle name="Calculation 2 2 3 2 4" xfId="9328" xr:uid="{00000000-0005-0000-0000-000075030000}"/>
    <cellStyle name="Calculation 2 2 3 2 4 2" xfId="28300" xr:uid="{00000000-0005-0000-0000-000076030000}"/>
    <cellStyle name="Calculation 2 2 3 2 4 3" xfId="39145" xr:uid="{00000000-0005-0000-0000-000077030000}"/>
    <cellStyle name="Calculation 2 2 3 2 4 4" xfId="17907" xr:uid="{00000000-0005-0000-0000-000078030000}"/>
    <cellStyle name="Calculation 2 2 3 2 5" xfId="20124" xr:uid="{00000000-0005-0000-0000-000079030000}"/>
    <cellStyle name="Calculation 2 2 3 2 6" xfId="30969" xr:uid="{00000000-0005-0000-0000-00007A030000}"/>
    <cellStyle name="Calculation 2 2 3 2 7" xfId="12053" xr:uid="{00000000-0005-0000-0000-00007B030000}"/>
    <cellStyle name="Calculation 2 2 3 3" xfId="1540" xr:uid="{00000000-0005-0000-0000-00007C030000}"/>
    <cellStyle name="Calculation 2 2 3 3 2" xfId="4393" xr:uid="{00000000-0005-0000-0000-00007D030000}"/>
    <cellStyle name="Calculation 2 2 3 3 2 2" xfId="23365" xr:uid="{00000000-0005-0000-0000-00007E030000}"/>
    <cellStyle name="Calculation 2 2 3 3 2 3" xfId="34210" xr:uid="{00000000-0005-0000-0000-00007F030000}"/>
    <cellStyle name="Calculation 2 2 3 3 2 4" xfId="14374" xr:uid="{00000000-0005-0000-0000-000080030000}"/>
    <cellStyle name="Calculation 2 2 3 3 3" xfId="7065" xr:uid="{00000000-0005-0000-0000-000081030000}"/>
    <cellStyle name="Calculation 2 2 3 3 3 2" xfId="26037" xr:uid="{00000000-0005-0000-0000-000082030000}"/>
    <cellStyle name="Calculation 2 2 3 3 3 3" xfId="36882" xr:uid="{00000000-0005-0000-0000-000083030000}"/>
    <cellStyle name="Calculation 2 2 3 3 3 4" xfId="16288" xr:uid="{00000000-0005-0000-0000-000084030000}"/>
    <cellStyle name="Calculation 2 2 3 3 4" xfId="9724" xr:uid="{00000000-0005-0000-0000-000085030000}"/>
    <cellStyle name="Calculation 2 2 3 3 4 2" xfId="28696" xr:uid="{00000000-0005-0000-0000-000086030000}"/>
    <cellStyle name="Calculation 2 2 3 3 4 3" xfId="39541" xr:uid="{00000000-0005-0000-0000-000087030000}"/>
    <cellStyle name="Calculation 2 2 3 3 4 4" xfId="18192" xr:uid="{00000000-0005-0000-0000-000088030000}"/>
    <cellStyle name="Calculation 2 2 3 3 5" xfId="20520" xr:uid="{00000000-0005-0000-0000-000089030000}"/>
    <cellStyle name="Calculation 2 2 3 3 6" xfId="31365" xr:uid="{00000000-0005-0000-0000-00008A030000}"/>
    <cellStyle name="Calculation 2 2 3 3 7" xfId="12338" xr:uid="{00000000-0005-0000-0000-00008B030000}"/>
    <cellStyle name="Calculation 2 2 3 4" xfId="1944" xr:uid="{00000000-0005-0000-0000-00008C030000}"/>
    <cellStyle name="Calculation 2 2 3 4 2" xfId="4797" xr:uid="{00000000-0005-0000-0000-00008D030000}"/>
    <cellStyle name="Calculation 2 2 3 4 2 2" xfId="23769" xr:uid="{00000000-0005-0000-0000-00008E030000}"/>
    <cellStyle name="Calculation 2 2 3 4 2 3" xfId="34614" xr:uid="{00000000-0005-0000-0000-00008F030000}"/>
    <cellStyle name="Calculation 2 2 3 4 2 4" xfId="14662" xr:uid="{00000000-0005-0000-0000-000090030000}"/>
    <cellStyle name="Calculation 2 2 3 4 3" xfId="7469" xr:uid="{00000000-0005-0000-0000-000091030000}"/>
    <cellStyle name="Calculation 2 2 3 4 3 2" xfId="26441" xr:uid="{00000000-0005-0000-0000-000092030000}"/>
    <cellStyle name="Calculation 2 2 3 4 3 3" xfId="37286" xr:uid="{00000000-0005-0000-0000-000093030000}"/>
    <cellStyle name="Calculation 2 2 3 4 3 4" xfId="16576" xr:uid="{00000000-0005-0000-0000-000094030000}"/>
    <cellStyle name="Calculation 2 2 3 4 4" xfId="10128" xr:uid="{00000000-0005-0000-0000-000095030000}"/>
    <cellStyle name="Calculation 2 2 3 4 4 2" xfId="29100" xr:uid="{00000000-0005-0000-0000-000096030000}"/>
    <cellStyle name="Calculation 2 2 3 4 4 3" xfId="39945" xr:uid="{00000000-0005-0000-0000-000097030000}"/>
    <cellStyle name="Calculation 2 2 3 4 4 4" xfId="18480" xr:uid="{00000000-0005-0000-0000-000098030000}"/>
    <cellStyle name="Calculation 2 2 3 4 5" xfId="20924" xr:uid="{00000000-0005-0000-0000-000099030000}"/>
    <cellStyle name="Calculation 2 2 3 4 6" xfId="31769" xr:uid="{00000000-0005-0000-0000-00009A030000}"/>
    <cellStyle name="Calculation 2 2 3 4 7" xfId="12626" xr:uid="{00000000-0005-0000-0000-00009B030000}"/>
    <cellStyle name="Calculation 2 2 3 5" xfId="2336" xr:uid="{00000000-0005-0000-0000-00009C030000}"/>
    <cellStyle name="Calculation 2 2 3 5 2" xfId="5189" xr:uid="{00000000-0005-0000-0000-00009D030000}"/>
    <cellStyle name="Calculation 2 2 3 5 2 2" xfId="24161" xr:uid="{00000000-0005-0000-0000-00009E030000}"/>
    <cellStyle name="Calculation 2 2 3 5 2 3" xfId="35006" xr:uid="{00000000-0005-0000-0000-00009F030000}"/>
    <cellStyle name="Calculation 2 2 3 5 2 4" xfId="14943" xr:uid="{00000000-0005-0000-0000-0000A0030000}"/>
    <cellStyle name="Calculation 2 2 3 5 3" xfId="7860" xr:uid="{00000000-0005-0000-0000-0000A1030000}"/>
    <cellStyle name="Calculation 2 2 3 5 3 2" xfId="26832" xr:uid="{00000000-0005-0000-0000-0000A2030000}"/>
    <cellStyle name="Calculation 2 2 3 5 3 3" xfId="37677" xr:uid="{00000000-0005-0000-0000-0000A3030000}"/>
    <cellStyle name="Calculation 2 2 3 5 3 4" xfId="16856" xr:uid="{00000000-0005-0000-0000-0000A4030000}"/>
    <cellStyle name="Calculation 2 2 3 5 4" xfId="10519" xr:uid="{00000000-0005-0000-0000-0000A5030000}"/>
    <cellStyle name="Calculation 2 2 3 5 4 2" xfId="29491" xr:uid="{00000000-0005-0000-0000-0000A6030000}"/>
    <cellStyle name="Calculation 2 2 3 5 4 3" xfId="40336" xr:uid="{00000000-0005-0000-0000-0000A7030000}"/>
    <cellStyle name="Calculation 2 2 3 5 4 4" xfId="18760" xr:uid="{00000000-0005-0000-0000-0000A8030000}"/>
    <cellStyle name="Calculation 2 2 3 5 5" xfId="21315" xr:uid="{00000000-0005-0000-0000-0000A9030000}"/>
    <cellStyle name="Calculation 2 2 3 5 6" xfId="32160" xr:uid="{00000000-0005-0000-0000-0000AA030000}"/>
    <cellStyle name="Calculation 2 2 3 5 7" xfId="12906" xr:uid="{00000000-0005-0000-0000-0000AB030000}"/>
    <cellStyle name="Calculation 2 2 3 6" xfId="2725" xr:uid="{00000000-0005-0000-0000-0000AC030000}"/>
    <cellStyle name="Calculation 2 2 3 6 2" xfId="5577" xr:uid="{00000000-0005-0000-0000-0000AD030000}"/>
    <cellStyle name="Calculation 2 2 3 6 2 2" xfId="24549" xr:uid="{00000000-0005-0000-0000-0000AE030000}"/>
    <cellStyle name="Calculation 2 2 3 6 2 3" xfId="35394" xr:uid="{00000000-0005-0000-0000-0000AF030000}"/>
    <cellStyle name="Calculation 2 2 3 6 2 4" xfId="15221" xr:uid="{00000000-0005-0000-0000-0000B0030000}"/>
    <cellStyle name="Calculation 2 2 3 6 3" xfId="8248" xr:uid="{00000000-0005-0000-0000-0000B1030000}"/>
    <cellStyle name="Calculation 2 2 3 6 3 2" xfId="27220" xr:uid="{00000000-0005-0000-0000-0000B2030000}"/>
    <cellStyle name="Calculation 2 2 3 6 3 3" xfId="38065" xr:uid="{00000000-0005-0000-0000-0000B3030000}"/>
    <cellStyle name="Calculation 2 2 3 6 3 4" xfId="17134" xr:uid="{00000000-0005-0000-0000-0000B4030000}"/>
    <cellStyle name="Calculation 2 2 3 6 4" xfId="10907" xr:uid="{00000000-0005-0000-0000-0000B5030000}"/>
    <cellStyle name="Calculation 2 2 3 6 4 2" xfId="29879" xr:uid="{00000000-0005-0000-0000-0000B6030000}"/>
    <cellStyle name="Calculation 2 2 3 6 4 3" xfId="40724" xr:uid="{00000000-0005-0000-0000-0000B7030000}"/>
    <cellStyle name="Calculation 2 2 3 6 4 4" xfId="19038" xr:uid="{00000000-0005-0000-0000-0000B8030000}"/>
    <cellStyle name="Calculation 2 2 3 6 5" xfId="21703" xr:uid="{00000000-0005-0000-0000-0000B9030000}"/>
    <cellStyle name="Calculation 2 2 3 6 6" xfId="32548" xr:uid="{00000000-0005-0000-0000-0000BA030000}"/>
    <cellStyle name="Calculation 2 2 3 6 7" xfId="13184" xr:uid="{00000000-0005-0000-0000-0000BB030000}"/>
    <cellStyle name="Calculation 2 2 3 7" xfId="3416" xr:uid="{00000000-0005-0000-0000-0000BC030000}"/>
    <cellStyle name="Calculation 2 2 3 7 2" xfId="22388" xr:uid="{00000000-0005-0000-0000-0000BD030000}"/>
    <cellStyle name="Calculation 2 2 3 7 3" xfId="33233" xr:uid="{00000000-0005-0000-0000-0000BE030000}"/>
    <cellStyle name="Calculation 2 2 3 7 4" xfId="13666" xr:uid="{00000000-0005-0000-0000-0000BF030000}"/>
    <cellStyle name="Calculation 2 2 3 8" xfId="6092" xr:uid="{00000000-0005-0000-0000-0000C0030000}"/>
    <cellStyle name="Calculation 2 2 3 8 2" xfId="25064" xr:uid="{00000000-0005-0000-0000-0000C1030000}"/>
    <cellStyle name="Calculation 2 2 3 8 3" xfId="35909" xr:uid="{00000000-0005-0000-0000-0000C2030000}"/>
    <cellStyle name="Calculation 2 2 3 8 4" xfId="15583" xr:uid="{00000000-0005-0000-0000-0000C3030000}"/>
    <cellStyle name="Calculation 2 2 3 9" xfId="8751" xr:uid="{00000000-0005-0000-0000-0000C4030000}"/>
    <cellStyle name="Calculation 2 2 3 9 2" xfId="27723" xr:uid="{00000000-0005-0000-0000-0000C5030000}"/>
    <cellStyle name="Calculation 2 2 3 9 3" xfId="38568" xr:uid="{00000000-0005-0000-0000-0000C6030000}"/>
    <cellStyle name="Calculation 2 2 3 9 4" xfId="17487" xr:uid="{00000000-0005-0000-0000-0000C7030000}"/>
    <cellStyle name="Calculation 2 2 4" xfId="11429" xr:uid="{00000000-0005-0000-0000-0000C8030000}"/>
    <cellStyle name="Calculation 2 3" xfId="59" xr:uid="{00000000-0005-0000-0000-0000C9030000}"/>
    <cellStyle name="Calculation 2 3 2" xfId="350" xr:uid="{00000000-0005-0000-0000-0000CA030000}"/>
    <cellStyle name="Calculation 2 3 2 10" xfId="1014" xr:uid="{00000000-0005-0000-0000-0000CB030000}"/>
    <cellStyle name="Calculation 2 3 2 10 2" xfId="3867" xr:uid="{00000000-0005-0000-0000-0000CC030000}"/>
    <cellStyle name="Calculation 2 3 2 10 2 2" xfId="22839" xr:uid="{00000000-0005-0000-0000-0000CD030000}"/>
    <cellStyle name="Calculation 2 3 2 10 2 3" xfId="33684" xr:uid="{00000000-0005-0000-0000-0000CE030000}"/>
    <cellStyle name="Calculation 2 3 2 10 2 4" xfId="13991" xr:uid="{00000000-0005-0000-0000-0000CF030000}"/>
    <cellStyle name="Calculation 2 3 2 10 3" xfId="6541" xr:uid="{00000000-0005-0000-0000-0000D0030000}"/>
    <cellStyle name="Calculation 2 3 2 10 3 2" xfId="25513" xr:uid="{00000000-0005-0000-0000-0000D1030000}"/>
    <cellStyle name="Calculation 2 3 2 10 3 3" xfId="36358" xr:uid="{00000000-0005-0000-0000-0000D2030000}"/>
    <cellStyle name="Calculation 2 3 2 10 3 4" xfId="15907" xr:uid="{00000000-0005-0000-0000-0000D3030000}"/>
    <cellStyle name="Calculation 2 3 2 10 4" xfId="9200" xr:uid="{00000000-0005-0000-0000-0000D4030000}"/>
    <cellStyle name="Calculation 2 3 2 10 4 2" xfId="28172" xr:uid="{00000000-0005-0000-0000-0000D5030000}"/>
    <cellStyle name="Calculation 2 3 2 10 4 3" xfId="39017" xr:uid="{00000000-0005-0000-0000-0000D6030000}"/>
    <cellStyle name="Calculation 2 3 2 10 4 4" xfId="17811" xr:uid="{00000000-0005-0000-0000-0000D7030000}"/>
    <cellStyle name="Calculation 2 3 2 10 5" xfId="19996" xr:uid="{00000000-0005-0000-0000-0000D8030000}"/>
    <cellStyle name="Calculation 2 3 2 10 6" xfId="30841" xr:uid="{00000000-0005-0000-0000-0000D9030000}"/>
    <cellStyle name="Calculation 2 3 2 10 7" xfId="11957" xr:uid="{00000000-0005-0000-0000-0000DA030000}"/>
    <cellStyle name="Calculation 2 3 2 11" xfId="964" xr:uid="{00000000-0005-0000-0000-0000DB030000}"/>
    <cellStyle name="Calculation 2 3 2 11 2" xfId="3817" xr:uid="{00000000-0005-0000-0000-0000DC030000}"/>
    <cellStyle name="Calculation 2 3 2 11 2 2" xfId="22789" xr:uid="{00000000-0005-0000-0000-0000DD030000}"/>
    <cellStyle name="Calculation 2 3 2 11 2 3" xfId="33634" xr:uid="{00000000-0005-0000-0000-0000DE030000}"/>
    <cellStyle name="Calculation 2 3 2 11 2 4" xfId="13958" xr:uid="{00000000-0005-0000-0000-0000DF030000}"/>
    <cellStyle name="Calculation 2 3 2 11 3" xfId="6492" xr:uid="{00000000-0005-0000-0000-0000E0030000}"/>
    <cellStyle name="Calculation 2 3 2 11 3 2" xfId="25464" xr:uid="{00000000-0005-0000-0000-0000E1030000}"/>
    <cellStyle name="Calculation 2 3 2 11 3 3" xfId="36309" xr:uid="{00000000-0005-0000-0000-0000E2030000}"/>
    <cellStyle name="Calculation 2 3 2 11 3 4" xfId="15874" xr:uid="{00000000-0005-0000-0000-0000E3030000}"/>
    <cellStyle name="Calculation 2 3 2 11 4" xfId="9151" xr:uid="{00000000-0005-0000-0000-0000E4030000}"/>
    <cellStyle name="Calculation 2 3 2 11 4 2" xfId="28123" xr:uid="{00000000-0005-0000-0000-0000E5030000}"/>
    <cellStyle name="Calculation 2 3 2 11 4 3" xfId="38968" xr:uid="{00000000-0005-0000-0000-0000E6030000}"/>
    <cellStyle name="Calculation 2 3 2 11 4 4" xfId="17778" xr:uid="{00000000-0005-0000-0000-0000E7030000}"/>
    <cellStyle name="Calculation 2 3 2 11 5" xfId="19947" xr:uid="{00000000-0005-0000-0000-0000E8030000}"/>
    <cellStyle name="Calculation 2 3 2 11 6" xfId="30792" xr:uid="{00000000-0005-0000-0000-0000E9030000}"/>
    <cellStyle name="Calculation 2 3 2 11 7" xfId="11924" xr:uid="{00000000-0005-0000-0000-0000EA030000}"/>
    <cellStyle name="Calculation 2 3 2 12" xfId="2029" xr:uid="{00000000-0005-0000-0000-0000EB030000}"/>
    <cellStyle name="Calculation 2 3 2 12 2" xfId="4882" xr:uid="{00000000-0005-0000-0000-0000EC030000}"/>
    <cellStyle name="Calculation 2 3 2 12 2 2" xfId="23854" xr:uid="{00000000-0005-0000-0000-0000ED030000}"/>
    <cellStyle name="Calculation 2 3 2 12 2 3" xfId="34699" xr:uid="{00000000-0005-0000-0000-0000EE030000}"/>
    <cellStyle name="Calculation 2 3 2 12 2 4" xfId="14728" xr:uid="{00000000-0005-0000-0000-0000EF030000}"/>
    <cellStyle name="Calculation 2 3 2 12 3" xfId="7554" xr:uid="{00000000-0005-0000-0000-0000F0030000}"/>
    <cellStyle name="Calculation 2 3 2 12 3 2" xfId="26526" xr:uid="{00000000-0005-0000-0000-0000F1030000}"/>
    <cellStyle name="Calculation 2 3 2 12 3 3" xfId="37371" xr:uid="{00000000-0005-0000-0000-0000F2030000}"/>
    <cellStyle name="Calculation 2 3 2 12 3 4" xfId="16642" xr:uid="{00000000-0005-0000-0000-0000F3030000}"/>
    <cellStyle name="Calculation 2 3 2 12 4" xfId="10213" xr:uid="{00000000-0005-0000-0000-0000F4030000}"/>
    <cellStyle name="Calculation 2 3 2 12 4 2" xfId="29185" xr:uid="{00000000-0005-0000-0000-0000F5030000}"/>
    <cellStyle name="Calculation 2 3 2 12 4 3" xfId="40030" xr:uid="{00000000-0005-0000-0000-0000F6030000}"/>
    <cellStyle name="Calculation 2 3 2 12 4 4" xfId="18546" xr:uid="{00000000-0005-0000-0000-0000F7030000}"/>
    <cellStyle name="Calculation 2 3 2 12 5" xfId="21009" xr:uid="{00000000-0005-0000-0000-0000F8030000}"/>
    <cellStyle name="Calculation 2 3 2 12 6" xfId="31854" xr:uid="{00000000-0005-0000-0000-0000F9030000}"/>
    <cellStyle name="Calculation 2 3 2 12 7" xfId="12692" xr:uid="{00000000-0005-0000-0000-0000FA030000}"/>
    <cellStyle name="Calculation 2 3 2 13" xfId="2421" xr:uid="{00000000-0005-0000-0000-0000FB030000}"/>
    <cellStyle name="Calculation 2 3 2 13 2" xfId="5274" xr:uid="{00000000-0005-0000-0000-0000FC030000}"/>
    <cellStyle name="Calculation 2 3 2 13 2 2" xfId="24246" xr:uid="{00000000-0005-0000-0000-0000FD030000}"/>
    <cellStyle name="Calculation 2 3 2 13 2 3" xfId="35091" xr:uid="{00000000-0005-0000-0000-0000FE030000}"/>
    <cellStyle name="Calculation 2 3 2 13 2 4" xfId="15009" xr:uid="{00000000-0005-0000-0000-0000FF030000}"/>
    <cellStyle name="Calculation 2 3 2 13 3" xfId="7945" xr:uid="{00000000-0005-0000-0000-000000040000}"/>
    <cellStyle name="Calculation 2 3 2 13 3 2" xfId="26917" xr:uid="{00000000-0005-0000-0000-000001040000}"/>
    <cellStyle name="Calculation 2 3 2 13 3 3" xfId="37762" xr:uid="{00000000-0005-0000-0000-000002040000}"/>
    <cellStyle name="Calculation 2 3 2 13 3 4" xfId="16922" xr:uid="{00000000-0005-0000-0000-000003040000}"/>
    <cellStyle name="Calculation 2 3 2 13 4" xfId="10604" xr:uid="{00000000-0005-0000-0000-000004040000}"/>
    <cellStyle name="Calculation 2 3 2 13 4 2" xfId="29576" xr:uid="{00000000-0005-0000-0000-000005040000}"/>
    <cellStyle name="Calculation 2 3 2 13 4 3" xfId="40421" xr:uid="{00000000-0005-0000-0000-000006040000}"/>
    <cellStyle name="Calculation 2 3 2 13 4 4" xfId="18826" xr:uid="{00000000-0005-0000-0000-000007040000}"/>
    <cellStyle name="Calculation 2 3 2 13 5" xfId="21400" xr:uid="{00000000-0005-0000-0000-000008040000}"/>
    <cellStyle name="Calculation 2 3 2 13 6" xfId="32245" xr:uid="{00000000-0005-0000-0000-000009040000}"/>
    <cellStyle name="Calculation 2 3 2 13 7" xfId="12972" xr:uid="{00000000-0005-0000-0000-00000A040000}"/>
    <cellStyle name="Calculation 2 3 2 14" xfId="3235" xr:uid="{00000000-0005-0000-0000-00000B040000}"/>
    <cellStyle name="Calculation 2 3 2 14 2" xfId="22212" xr:uid="{00000000-0005-0000-0000-00000C040000}"/>
    <cellStyle name="Calculation 2 3 2 14 3" xfId="33057" xr:uid="{00000000-0005-0000-0000-00000D040000}"/>
    <cellStyle name="Calculation 2 3 2 14 4" xfId="13540" xr:uid="{00000000-0005-0000-0000-00000E040000}"/>
    <cellStyle name="Calculation 2 3 2 15" xfId="3232" xr:uid="{00000000-0005-0000-0000-00000F040000}"/>
    <cellStyle name="Calculation 2 3 2 15 2" xfId="22209" xr:uid="{00000000-0005-0000-0000-000010040000}"/>
    <cellStyle name="Calculation 2 3 2 15 3" xfId="33054" xr:uid="{00000000-0005-0000-0000-000011040000}"/>
    <cellStyle name="Calculation 2 3 2 15 4" xfId="13537" xr:uid="{00000000-0005-0000-0000-000012040000}"/>
    <cellStyle name="Calculation 2 3 2 16" xfId="3300" xr:uid="{00000000-0005-0000-0000-000013040000}"/>
    <cellStyle name="Calculation 2 3 2 16 2" xfId="22274" xr:uid="{00000000-0005-0000-0000-000014040000}"/>
    <cellStyle name="Calculation 2 3 2 16 3" xfId="33119" xr:uid="{00000000-0005-0000-0000-000015040000}"/>
    <cellStyle name="Calculation 2 3 2 16 4" xfId="13587" xr:uid="{00000000-0005-0000-0000-000016040000}"/>
    <cellStyle name="Calculation 2 3 2 17" xfId="19447" xr:uid="{00000000-0005-0000-0000-000017040000}"/>
    <cellStyle name="Calculation 2 3 2 18" xfId="19407" xr:uid="{00000000-0005-0000-0000-000018040000}"/>
    <cellStyle name="Calculation 2 3 2 19" xfId="11506" xr:uid="{00000000-0005-0000-0000-000019040000}"/>
    <cellStyle name="Calculation 2 3 2 2" xfId="658" xr:uid="{00000000-0005-0000-0000-00001A040000}"/>
    <cellStyle name="Calculation 2 3 2 2 10" xfId="19643" xr:uid="{00000000-0005-0000-0000-00001B040000}"/>
    <cellStyle name="Calculation 2 3 2 2 11" xfId="30488" xr:uid="{00000000-0005-0000-0000-00001C040000}"/>
    <cellStyle name="Calculation 2 3 2 2 12" xfId="11710" xr:uid="{00000000-0005-0000-0000-00001D040000}"/>
    <cellStyle name="Calculation 2 3 2 2 2" xfId="1245" xr:uid="{00000000-0005-0000-0000-00001E040000}"/>
    <cellStyle name="Calculation 2 3 2 2 2 2" xfId="4098" xr:uid="{00000000-0005-0000-0000-00001F040000}"/>
    <cellStyle name="Calculation 2 3 2 2 2 2 2" xfId="23070" xr:uid="{00000000-0005-0000-0000-000020040000}"/>
    <cellStyle name="Calculation 2 3 2 2 2 2 3" xfId="33915" xr:uid="{00000000-0005-0000-0000-000021040000}"/>
    <cellStyle name="Calculation 2 3 2 2 2 2 4" xfId="14171" xr:uid="{00000000-0005-0000-0000-000022040000}"/>
    <cellStyle name="Calculation 2 3 2 2 2 3" xfId="6771" xr:uid="{00000000-0005-0000-0000-000023040000}"/>
    <cellStyle name="Calculation 2 3 2 2 2 3 2" xfId="25743" xr:uid="{00000000-0005-0000-0000-000024040000}"/>
    <cellStyle name="Calculation 2 3 2 2 2 3 3" xfId="36588" xr:uid="{00000000-0005-0000-0000-000025040000}"/>
    <cellStyle name="Calculation 2 3 2 2 2 3 4" xfId="16086" xr:uid="{00000000-0005-0000-0000-000026040000}"/>
    <cellStyle name="Calculation 2 3 2 2 2 4" xfId="9430" xr:uid="{00000000-0005-0000-0000-000027040000}"/>
    <cellStyle name="Calculation 2 3 2 2 2 4 2" xfId="28402" xr:uid="{00000000-0005-0000-0000-000028040000}"/>
    <cellStyle name="Calculation 2 3 2 2 2 4 3" xfId="39247" xr:uid="{00000000-0005-0000-0000-000029040000}"/>
    <cellStyle name="Calculation 2 3 2 2 2 4 4" xfId="17990" xr:uid="{00000000-0005-0000-0000-00002A040000}"/>
    <cellStyle name="Calculation 2 3 2 2 2 5" xfId="20226" xr:uid="{00000000-0005-0000-0000-00002B040000}"/>
    <cellStyle name="Calculation 2 3 2 2 2 6" xfId="31071" xr:uid="{00000000-0005-0000-0000-00002C040000}"/>
    <cellStyle name="Calculation 2 3 2 2 2 7" xfId="12136" xr:uid="{00000000-0005-0000-0000-00002D040000}"/>
    <cellStyle name="Calculation 2 3 2 2 3" xfId="1644" xr:uid="{00000000-0005-0000-0000-00002E040000}"/>
    <cellStyle name="Calculation 2 3 2 2 3 2" xfId="4497" xr:uid="{00000000-0005-0000-0000-00002F040000}"/>
    <cellStyle name="Calculation 2 3 2 2 3 2 2" xfId="23469" xr:uid="{00000000-0005-0000-0000-000030040000}"/>
    <cellStyle name="Calculation 2 3 2 2 3 2 3" xfId="34314" xr:uid="{00000000-0005-0000-0000-000031040000}"/>
    <cellStyle name="Calculation 2 3 2 2 3 2 4" xfId="14458" xr:uid="{00000000-0005-0000-0000-000032040000}"/>
    <cellStyle name="Calculation 2 3 2 2 3 3" xfId="7169" xr:uid="{00000000-0005-0000-0000-000033040000}"/>
    <cellStyle name="Calculation 2 3 2 2 3 3 2" xfId="26141" xr:uid="{00000000-0005-0000-0000-000034040000}"/>
    <cellStyle name="Calculation 2 3 2 2 3 3 3" xfId="36986" xr:uid="{00000000-0005-0000-0000-000035040000}"/>
    <cellStyle name="Calculation 2 3 2 2 3 3 4" xfId="16372" xr:uid="{00000000-0005-0000-0000-000036040000}"/>
    <cellStyle name="Calculation 2 3 2 2 3 4" xfId="9828" xr:uid="{00000000-0005-0000-0000-000037040000}"/>
    <cellStyle name="Calculation 2 3 2 2 3 4 2" xfId="28800" xr:uid="{00000000-0005-0000-0000-000038040000}"/>
    <cellStyle name="Calculation 2 3 2 2 3 4 3" xfId="39645" xr:uid="{00000000-0005-0000-0000-000039040000}"/>
    <cellStyle name="Calculation 2 3 2 2 3 4 4" xfId="18276" xr:uid="{00000000-0005-0000-0000-00003A040000}"/>
    <cellStyle name="Calculation 2 3 2 2 3 5" xfId="20624" xr:uid="{00000000-0005-0000-0000-00003B040000}"/>
    <cellStyle name="Calculation 2 3 2 2 3 6" xfId="31469" xr:uid="{00000000-0005-0000-0000-00003C040000}"/>
    <cellStyle name="Calculation 2 3 2 2 3 7" xfId="12422" xr:uid="{00000000-0005-0000-0000-00003D040000}"/>
    <cellStyle name="Calculation 2 3 2 2 4" xfId="2048" xr:uid="{00000000-0005-0000-0000-00003E040000}"/>
    <cellStyle name="Calculation 2 3 2 2 4 2" xfId="4901" xr:uid="{00000000-0005-0000-0000-00003F040000}"/>
    <cellStyle name="Calculation 2 3 2 2 4 2 2" xfId="23873" xr:uid="{00000000-0005-0000-0000-000040040000}"/>
    <cellStyle name="Calculation 2 3 2 2 4 2 3" xfId="34718" xr:uid="{00000000-0005-0000-0000-000041040000}"/>
    <cellStyle name="Calculation 2 3 2 2 4 2 4" xfId="14745" xr:uid="{00000000-0005-0000-0000-000042040000}"/>
    <cellStyle name="Calculation 2 3 2 2 4 3" xfId="7572" xr:uid="{00000000-0005-0000-0000-000043040000}"/>
    <cellStyle name="Calculation 2 3 2 2 4 3 2" xfId="26544" xr:uid="{00000000-0005-0000-0000-000044040000}"/>
    <cellStyle name="Calculation 2 3 2 2 4 3 3" xfId="37389" xr:uid="{00000000-0005-0000-0000-000045040000}"/>
    <cellStyle name="Calculation 2 3 2 2 4 3 4" xfId="16658" xr:uid="{00000000-0005-0000-0000-000046040000}"/>
    <cellStyle name="Calculation 2 3 2 2 4 4" xfId="10231" xr:uid="{00000000-0005-0000-0000-000047040000}"/>
    <cellStyle name="Calculation 2 3 2 2 4 4 2" xfId="29203" xr:uid="{00000000-0005-0000-0000-000048040000}"/>
    <cellStyle name="Calculation 2 3 2 2 4 4 3" xfId="40048" xr:uid="{00000000-0005-0000-0000-000049040000}"/>
    <cellStyle name="Calculation 2 3 2 2 4 4 4" xfId="18562" xr:uid="{00000000-0005-0000-0000-00004A040000}"/>
    <cellStyle name="Calculation 2 3 2 2 4 5" xfId="21027" xr:uid="{00000000-0005-0000-0000-00004B040000}"/>
    <cellStyle name="Calculation 2 3 2 2 4 6" xfId="31872" xr:uid="{00000000-0005-0000-0000-00004C040000}"/>
    <cellStyle name="Calculation 2 3 2 2 4 7" xfId="12708" xr:uid="{00000000-0005-0000-0000-00004D040000}"/>
    <cellStyle name="Calculation 2 3 2 2 5" xfId="2438" xr:uid="{00000000-0005-0000-0000-00004E040000}"/>
    <cellStyle name="Calculation 2 3 2 2 5 2" xfId="5290" xr:uid="{00000000-0005-0000-0000-00004F040000}"/>
    <cellStyle name="Calculation 2 3 2 2 5 2 2" xfId="24262" xr:uid="{00000000-0005-0000-0000-000050040000}"/>
    <cellStyle name="Calculation 2 3 2 2 5 2 3" xfId="35107" xr:uid="{00000000-0005-0000-0000-000051040000}"/>
    <cellStyle name="Calculation 2 3 2 2 5 2 4" xfId="15024" xr:uid="{00000000-0005-0000-0000-000052040000}"/>
    <cellStyle name="Calculation 2 3 2 2 5 3" xfId="7961" xr:uid="{00000000-0005-0000-0000-000053040000}"/>
    <cellStyle name="Calculation 2 3 2 2 5 3 2" xfId="26933" xr:uid="{00000000-0005-0000-0000-000054040000}"/>
    <cellStyle name="Calculation 2 3 2 2 5 3 3" xfId="37778" xr:uid="{00000000-0005-0000-0000-000055040000}"/>
    <cellStyle name="Calculation 2 3 2 2 5 3 4" xfId="16937" xr:uid="{00000000-0005-0000-0000-000056040000}"/>
    <cellStyle name="Calculation 2 3 2 2 5 4" xfId="10620" xr:uid="{00000000-0005-0000-0000-000057040000}"/>
    <cellStyle name="Calculation 2 3 2 2 5 4 2" xfId="29592" xr:uid="{00000000-0005-0000-0000-000058040000}"/>
    <cellStyle name="Calculation 2 3 2 2 5 4 3" xfId="40437" xr:uid="{00000000-0005-0000-0000-000059040000}"/>
    <cellStyle name="Calculation 2 3 2 2 5 4 4" xfId="18841" xr:uid="{00000000-0005-0000-0000-00005A040000}"/>
    <cellStyle name="Calculation 2 3 2 2 5 5" xfId="21416" xr:uid="{00000000-0005-0000-0000-00005B040000}"/>
    <cellStyle name="Calculation 2 3 2 2 5 6" xfId="32261" xr:uid="{00000000-0005-0000-0000-00005C040000}"/>
    <cellStyle name="Calculation 2 3 2 2 5 7" xfId="12987" xr:uid="{00000000-0005-0000-0000-00005D040000}"/>
    <cellStyle name="Calculation 2 3 2 2 6" xfId="2824" xr:uid="{00000000-0005-0000-0000-00005E040000}"/>
    <cellStyle name="Calculation 2 3 2 2 6 2" xfId="5675" xr:uid="{00000000-0005-0000-0000-00005F040000}"/>
    <cellStyle name="Calculation 2 3 2 2 6 2 2" xfId="24647" xr:uid="{00000000-0005-0000-0000-000060040000}"/>
    <cellStyle name="Calculation 2 3 2 2 6 2 3" xfId="35492" xr:uid="{00000000-0005-0000-0000-000061040000}"/>
    <cellStyle name="Calculation 2 3 2 2 6 2 4" xfId="15300" xr:uid="{00000000-0005-0000-0000-000062040000}"/>
    <cellStyle name="Calculation 2 3 2 2 6 3" xfId="8346" xr:uid="{00000000-0005-0000-0000-000063040000}"/>
    <cellStyle name="Calculation 2 3 2 2 6 3 2" xfId="27318" xr:uid="{00000000-0005-0000-0000-000064040000}"/>
    <cellStyle name="Calculation 2 3 2 2 6 3 3" xfId="38163" xr:uid="{00000000-0005-0000-0000-000065040000}"/>
    <cellStyle name="Calculation 2 3 2 2 6 3 4" xfId="17213" xr:uid="{00000000-0005-0000-0000-000066040000}"/>
    <cellStyle name="Calculation 2 3 2 2 6 4" xfId="11005" xr:uid="{00000000-0005-0000-0000-000067040000}"/>
    <cellStyle name="Calculation 2 3 2 2 6 4 2" xfId="29977" xr:uid="{00000000-0005-0000-0000-000068040000}"/>
    <cellStyle name="Calculation 2 3 2 2 6 4 3" xfId="40822" xr:uid="{00000000-0005-0000-0000-000069040000}"/>
    <cellStyle name="Calculation 2 3 2 2 6 4 4" xfId="19117" xr:uid="{00000000-0005-0000-0000-00006A040000}"/>
    <cellStyle name="Calculation 2 3 2 2 6 5" xfId="21801" xr:uid="{00000000-0005-0000-0000-00006B040000}"/>
    <cellStyle name="Calculation 2 3 2 2 6 6" xfId="32646" xr:uid="{00000000-0005-0000-0000-00006C040000}"/>
    <cellStyle name="Calculation 2 3 2 2 6 7" xfId="13263" xr:uid="{00000000-0005-0000-0000-00006D040000}"/>
    <cellStyle name="Calculation 2 3 2 2 7" xfId="3513" xr:uid="{00000000-0005-0000-0000-00006E040000}"/>
    <cellStyle name="Calculation 2 3 2 2 7 2" xfId="22485" xr:uid="{00000000-0005-0000-0000-00006F040000}"/>
    <cellStyle name="Calculation 2 3 2 2 7 3" xfId="33330" xr:uid="{00000000-0005-0000-0000-000070040000}"/>
    <cellStyle name="Calculation 2 3 2 2 7 4" xfId="13744" xr:uid="{00000000-0005-0000-0000-000071040000}"/>
    <cellStyle name="Calculation 2 3 2 2 8" xfId="6188" xr:uid="{00000000-0005-0000-0000-000072040000}"/>
    <cellStyle name="Calculation 2 3 2 2 8 2" xfId="25160" xr:uid="{00000000-0005-0000-0000-000073040000}"/>
    <cellStyle name="Calculation 2 3 2 2 8 3" xfId="36005" xr:uid="{00000000-0005-0000-0000-000074040000}"/>
    <cellStyle name="Calculation 2 3 2 2 8 4" xfId="15660" xr:uid="{00000000-0005-0000-0000-000075040000}"/>
    <cellStyle name="Calculation 2 3 2 2 9" xfId="8847" xr:uid="{00000000-0005-0000-0000-000076040000}"/>
    <cellStyle name="Calculation 2 3 2 2 9 2" xfId="27819" xr:uid="{00000000-0005-0000-0000-000077040000}"/>
    <cellStyle name="Calculation 2 3 2 2 9 3" xfId="38664" xr:uid="{00000000-0005-0000-0000-000078040000}"/>
    <cellStyle name="Calculation 2 3 2 2 9 4" xfId="17564" xr:uid="{00000000-0005-0000-0000-000079040000}"/>
    <cellStyle name="Calculation 2 3 2 3" xfId="636" xr:uid="{00000000-0005-0000-0000-00007A040000}"/>
    <cellStyle name="Calculation 2 3 2 3 10" xfId="19632" xr:uid="{00000000-0005-0000-0000-00007B040000}"/>
    <cellStyle name="Calculation 2 3 2 3 11" xfId="30477" xr:uid="{00000000-0005-0000-0000-00007C040000}"/>
    <cellStyle name="Calculation 2 3 2 3 12" xfId="11688" xr:uid="{00000000-0005-0000-0000-00007D040000}"/>
    <cellStyle name="Calculation 2 3 2 3 2" xfId="1231" xr:uid="{00000000-0005-0000-0000-00007E040000}"/>
    <cellStyle name="Calculation 2 3 2 3 2 2" xfId="4084" xr:uid="{00000000-0005-0000-0000-00007F040000}"/>
    <cellStyle name="Calculation 2 3 2 3 2 2 2" xfId="23056" xr:uid="{00000000-0005-0000-0000-000080040000}"/>
    <cellStyle name="Calculation 2 3 2 3 2 2 3" xfId="33901" xr:uid="{00000000-0005-0000-0000-000081040000}"/>
    <cellStyle name="Calculation 2 3 2 3 2 2 4" xfId="14157" xr:uid="{00000000-0005-0000-0000-000082040000}"/>
    <cellStyle name="Calculation 2 3 2 3 2 3" xfId="6757" xr:uid="{00000000-0005-0000-0000-000083040000}"/>
    <cellStyle name="Calculation 2 3 2 3 2 3 2" xfId="25729" xr:uid="{00000000-0005-0000-0000-000084040000}"/>
    <cellStyle name="Calculation 2 3 2 3 2 3 3" xfId="36574" xr:uid="{00000000-0005-0000-0000-000085040000}"/>
    <cellStyle name="Calculation 2 3 2 3 2 3 4" xfId="16072" xr:uid="{00000000-0005-0000-0000-000086040000}"/>
    <cellStyle name="Calculation 2 3 2 3 2 4" xfId="9416" xr:uid="{00000000-0005-0000-0000-000087040000}"/>
    <cellStyle name="Calculation 2 3 2 3 2 4 2" xfId="28388" xr:uid="{00000000-0005-0000-0000-000088040000}"/>
    <cellStyle name="Calculation 2 3 2 3 2 4 3" xfId="39233" xr:uid="{00000000-0005-0000-0000-000089040000}"/>
    <cellStyle name="Calculation 2 3 2 3 2 4 4" xfId="17976" xr:uid="{00000000-0005-0000-0000-00008A040000}"/>
    <cellStyle name="Calculation 2 3 2 3 2 5" xfId="20212" xr:uid="{00000000-0005-0000-0000-00008B040000}"/>
    <cellStyle name="Calculation 2 3 2 3 2 6" xfId="31057" xr:uid="{00000000-0005-0000-0000-00008C040000}"/>
    <cellStyle name="Calculation 2 3 2 3 2 7" xfId="12122" xr:uid="{00000000-0005-0000-0000-00008D040000}"/>
    <cellStyle name="Calculation 2 3 2 3 3" xfId="1630" xr:uid="{00000000-0005-0000-0000-00008E040000}"/>
    <cellStyle name="Calculation 2 3 2 3 3 2" xfId="4483" xr:uid="{00000000-0005-0000-0000-00008F040000}"/>
    <cellStyle name="Calculation 2 3 2 3 3 2 2" xfId="23455" xr:uid="{00000000-0005-0000-0000-000090040000}"/>
    <cellStyle name="Calculation 2 3 2 3 3 2 3" xfId="34300" xr:uid="{00000000-0005-0000-0000-000091040000}"/>
    <cellStyle name="Calculation 2 3 2 3 3 2 4" xfId="14445" xr:uid="{00000000-0005-0000-0000-000092040000}"/>
    <cellStyle name="Calculation 2 3 2 3 3 3" xfId="7155" xr:uid="{00000000-0005-0000-0000-000093040000}"/>
    <cellStyle name="Calculation 2 3 2 3 3 3 2" xfId="26127" xr:uid="{00000000-0005-0000-0000-000094040000}"/>
    <cellStyle name="Calculation 2 3 2 3 3 3 3" xfId="36972" xr:uid="{00000000-0005-0000-0000-000095040000}"/>
    <cellStyle name="Calculation 2 3 2 3 3 3 4" xfId="16359" xr:uid="{00000000-0005-0000-0000-000096040000}"/>
    <cellStyle name="Calculation 2 3 2 3 3 4" xfId="9814" xr:uid="{00000000-0005-0000-0000-000097040000}"/>
    <cellStyle name="Calculation 2 3 2 3 3 4 2" xfId="28786" xr:uid="{00000000-0005-0000-0000-000098040000}"/>
    <cellStyle name="Calculation 2 3 2 3 3 4 3" xfId="39631" xr:uid="{00000000-0005-0000-0000-000099040000}"/>
    <cellStyle name="Calculation 2 3 2 3 3 4 4" xfId="18263" xr:uid="{00000000-0005-0000-0000-00009A040000}"/>
    <cellStyle name="Calculation 2 3 2 3 3 5" xfId="20610" xr:uid="{00000000-0005-0000-0000-00009B040000}"/>
    <cellStyle name="Calculation 2 3 2 3 3 6" xfId="31455" xr:uid="{00000000-0005-0000-0000-00009C040000}"/>
    <cellStyle name="Calculation 2 3 2 3 3 7" xfId="12409" xr:uid="{00000000-0005-0000-0000-00009D040000}"/>
    <cellStyle name="Calculation 2 3 2 3 4" xfId="2034" xr:uid="{00000000-0005-0000-0000-00009E040000}"/>
    <cellStyle name="Calculation 2 3 2 3 4 2" xfId="4887" xr:uid="{00000000-0005-0000-0000-00009F040000}"/>
    <cellStyle name="Calculation 2 3 2 3 4 2 2" xfId="23859" xr:uid="{00000000-0005-0000-0000-0000A0040000}"/>
    <cellStyle name="Calculation 2 3 2 3 4 2 3" xfId="34704" xr:uid="{00000000-0005-0000-0000-0000A1040000}"/>
    <cellStyle name="Calculation 2 3 2 3 4 2 4" xfId="14732" xr:uid="{00000000-0005-0000-0000-0000A2040000}"/>
    <cellStyle name="Calculation 2 3 2 3 4 3" xfId="7559" xr:uid="{00000000-0005-0000-0000-0000A3040000}"/>
    <cellStyle name="Calculation 2 3 2 3 4 3 2" xfId="26531" xr:uid="{00000000-0005-0000-0000-0000A4040000}"/>
    <cellStyle name="Calculation 2 3 2 3 4 3 3" xfId="37376" xr:uid="{00000000-0005-0000-0000-0000A5040000}"/>
    <cellStyle name="Calculation 2 3 2 3 4 3 4" xfId="16646" xr:uid="{00000000-0005-0000-0000-0000A6040000}"/>
    <cellStyle name="Calculation 2 3 2 3 4 4" xfId="10218" xr:uid="{00000000-0005-0000-0000-0000A7040000}"/>
    <cellStyle name="Calculation 2 3 2 3 4 4 2" xfId="29190" xr:uid="{00000000-0005-0000-0000-0000A8040000}"/>
    <cellStyle name="Calculation 2 3 2 3 4 4 3" xfId="40035" xr:uid="{00000000-0005-0000-0000-0000A9040000}"/>
    <cellStyle name="Calculation 2 3 2 3 4 4 4" xfId="18550" xr:uid="{00000000-0005-0000-0000-0000AA040000}"/>
    <cellStyle name="Calculation 2 3 2 3 4 5" xfId="21014" xr:uid="{00000000-0005-0000-0000-0000AB040000}"/>
    <cellStyle name="Calculation 2 3 2 3 4 6" xfId="31859" xr:uid="{00000000-0005-0000-0000-0000AC040000}"/>
    <cellStyle name="Calculation 2 3 2 3 4 7" xfId="12696" xr:uid="{00000000-0005-0000-0000-0000AD040000}"/>
    <cellStyle name="Calculation 2 3 2 3 5" xfId="2425" xr:uid="{00000000-0005-0000-0000-0000AE040000}"/>
    <cellStyle name="Calculation 2 3 2 3 5 2" xfId="5278" xr:uid="{00000000-0005-0000-0000-0000AF040000}"/>
    <cellStyle name="Calculation 2 3 2 3 5 2 2" xfId="24250" xr:uid="{00000000-0005-0000-0000-0000B0040000}"/>
    <cellStyle name="Calculation 2 3 2 3 5 2 3" xfId="35095" xr:uid="{00000000-0005-0000-0000-0000B1040000}"/>
    <cellStyle name="Calculation 2 3 2 3 5 2 4" xfId="15012" xr:uid="{00000000-0005-0000-0000-0000B2040000}"/>
    <cellStyle name="Calculation 2 3 2 3 5 3" xfId="7949" xr:uid="{00000000-0005-0000-0000-0000B3040000}"/>
    <cellStyle name="Calculation 2 3 2 3 5 3 2" xfId="26921" xr:uid="{00000000-0005-0000-0000-0000B4040000}"/>
    <cellStyle name="Calculation 2 3 2 3 5 3 3" xfId="37766" xr:uid="{00000000-0005-0000-0000-0000B5040000}"/>
    <cellStyle name="Calculation 2 3 2 3 5 3 4" xfId="16925" xr:uid="{00000000-0005-0000-0000-0000B6040000}"/>
    <cellStyle name="Calculation 2 3 2 3 5 4" xfId="10608" xr:uid="{00000000-0005-0000-0000-0000B7040000}"/>
    <cellStyle name="Calculation 2 3 2 3 5 4 2" xfId="29580" xr:uid="{00000000-0005-0000-0000-0000B8040000}"/>
    <cellStyle name="Calculation 2 3 2 3 5 4 3" xfId="40425" xr:uid="{00000000-0005-0000-0000-0000B9040000}"/>
    <cellStyle name="Calculation 2 3 2 3 5 4 4" xfId="18829" xr:uid="{00000000-0005-0000-0000-0000BA040000}"/>
    <cellStyle name="Calculation 2 3 2 3 5 5" xfId="21404" xr:uid="{00000000-0005-0000-0000-0000BB040000}"/>
    <cellStyle name="Calculation 2 3 2 3 5 6" xfId="32249" xr:uid="{00000000-0005-0000-0000-0000BC040000}"/>
    <cellStyle name="Calculation 2 3 2 3 5 7" xfId="12975" xr:uid="{00000000-0005-0000-0000-0000BD040000}"/>
    <cellStyle name="Calculation 2 3 2 3 6" xfId="2812" xr:uid="{00000000-0005-0000-0000-0000BE040000}"/>
    <cellStyle name="Calculation 2 3 2 3 6 2" xfId="5664" xr:uid="{00000000-0005-0000-0000-0000BF040000}"/>
    <cellStyle name="Calculation 2 3 2 3 6 2 2" xfId="24636" xr:uid="{00000000-0005-0000-0000-0000C0040000}"/>
    <cellStyle name="Calculation 2 3 2 3 6 2 3" xfId="35481" xr:uid="{00000000-0005-0000-0000-0000C1040000}"/>
    <cellStyle name="Calculation 2 3 2 3 6 2 4" xfId="15289" xr:uid="{00000000-0005-0000-0000-0000C2040000}"/>
    <cellStyle name="Calculation 2 3 2 3 6 3" xfId="8335" xr:uid="{00000000-0005-0000-0000-0000C3040000}"/>
    <cellStyle name="Calculation 2 3 2 3 6 3 2" xfId="27307" xr:uid="{00000000-0005-0000-0000-0000C4040000}"/>
    <cellStyle name="Calculation 2 3 2 3 6 3 3" xfId="38152" xr:uid="{00000000-0005-0000-0000-0000C5040000}"/>
    <cellStyle name="Calculation 2 3 2 3 6 3 4" xfId="17202" xr:uid="{00000000-0005-0000-0000-0000C6040000}"/>
    <cellStyle name="Calculation 2 3 2 3 6 4" xfId="10994" xr:uid="{00000000-0005-0000-0000-0000C7040000}"/>
    <cellStyle name="Calculation 2 3 2 3 6 4 2" xfId="29966" xr:uid="{00000000-0005-0000-0000-0000C8040000}"/>
    <cellStyle name="Calculation 2 3 2 3 6 4 3" xfId="40811" xr:uid="{00000000-0005-0000-0000-0000C9040000}"/>
    <cellStyle name="Calculation 2 3 2 3 6 4 4" xfId="19106" xr:uid="{00000000-0005-0000-0000-0000CA040000}"/>
    <cellStyle name="Calculation 2 3 2 3 6 5" xfId="21790" xr:uid="{00000000-0005-0000-0000-0000CB040000}"/>
    <cellStyle name="Calculation 2 3 2 3 6 6" xfId="32635" xr:uid="{00000000-0005-0000-0000-0000CC040000}"/>
    <cellStyle name="Calculation 2 3 2 3 6 7" xfId="13252" xr:uid="{00000000-0005-0000-0000-0000CD040000}"/>
    <cellStyle name="Calculation 2 3 2 3 7" xfId="3502" xr:uid="{00000000-0005-0000-0000-0000CE040000}"/>
    <cellStyle name="Calculation 2 3 2 3 7 2" xfId="22474" xr:uid="{00000000-0005-0000-0000-0000CF040000}"/>
    <cellStyle name="Calculation 2 3 2 3 7 3" xfId="33319" xr:uid="{00000000-0005-0000-0000-0000D0040000}"/>
    <cellStyle name="Calculation 2 3 2 3 7 4" xfId="13733" xr:uid="{00000000-0005-0000-0000-0000D1040000}"/>
    <cellStyle name="Calculation 2 3 2 3 8" xfId="6177" xr:uid="{00000000-0005-0000-0000-0000D2040000}"/>
    <cellStyle name="Calculation 2 3 2 3 8 2" xfId="25149" xr:uid="{00000000-0005-0000-0000-0000D3040000}"/>
    <cellStyle name="Calculation 2 3 2 3 8 3" xfId="35994" xr:uid="{00000000-0005-0000-0000-0000D4040000}"/>
    <cellStyle name="Calculation 2 3 2 3 8 4" xfId="15649" xr:uid="{00000000-0005-0000-0000-0000D5040000}"/>
    <cellStyle name="Calculation 2 3 2 3 9" xfId="8836" xr:uid="{00000000-0005-0000-0000-0000D6040000}"/>
    <cellStyle name="Calculation 2 3 2 3 9 2" xfId="27808" xr:uid="{00000000-0005-0000-0000-0000D7040000}"/>
    <cellStyle name="Calculation 2 3 2 3 9 3" xfId="38653" xr:uid="{00000000-0005-0000-0000-0000D8040000}"/>
    <cellStyle name="Calculation 2 3 2 3 9 4" xfId="17553" xr:uid="{00000000-0005-0000-0000-0000D9040000}"/>
    <cellStyle name="Calculation 2 3 2 4" xfId="608" xr:uid="{00000000-0005-0000-0000-0000DA040000}"/>
    <cellStyle name="Calculation 2 3 2 4 10" xfId="19615" xr:uid="{00000000-0005-0000-0000-0000DB040000}"/>
    <cellStyle name="Calculation 2 3 2 4 11" xfId="30460" xr:uid="{00000000-0005-0000-0000-0000DC040000}"/>
    <cellStyle name="Calculation 2 3 2 4 12" xfId="11670" xr:uid="{00000000-0005-0000-0000-0000DD040000}"/>
    <cellStyle name="Calculation 2 3 2 4 2" xfId="1212" xr:uid="{00000000-0005-0000-0000-0000DE040000}"/>
    <cellStyle name="Calculation 2 3 2 4 2 2" xfId="4065" xr:uid="{00000000-0005-0000-0000-0000DF040000}"/>
    <cellStyle name="Calculation 2 3 2 4 2 2 2" xfId="23037" xr:uid="{00000000-0005-0000-0000-0000E0040000}"/>
    <cellStyle name="Calculation 2 3 2 4 2 2 3" xfId="33882" xr:uid="{00000000-0005-0000-0000-0000E1040000}"/>
    <cellStyle name="Calculation 2 3 2 4 2 2 4" xfId="14145" xr:uid="{00000000-0005-0000-0000-0000E2040000}"/>
    <cellStyle name="Calculation 2 3 2 4 2 3" xfId="6738" xr:uid="{00000000-0005-0000-0000-0000E3040000}"/>
    <cellStyle name="Calculation 2 3 2 4 2 3 2" xfId="25710" xr:uid="{00000000-0005-0000-0000-0000E4040000}"/>
    <cellStyle name="Calculation 2 3 2 4 2 3 3" xfId="36555" xr:uid="{00000000-0005-0000-0000-0000E5040000}"/>
    <cellStyle name="Calculation 2 3 2 4 2 3 4" xfId="16060" xr:uid="{00000000-0005-0000-0000-0000E6040000}"/>
    <cellStyle name="Calculation 2 3 2 4 2 4" xfId="9397" xr:uid="{00000000-0005-0000-0000-0000E7040000}"/>
    <cellStyle name="Calculation 2 3 2 4 2 4 2" xfId="28369" xr:uid="{00000000-0005-0000-0000-0000E8040000}"/>
    <cellStyle name="Calculation 2 3 2 4 2 4 3" xfId="39214" xr:uid="{00000000-0005-0000-0000-0000E9040000}"/>
    <cellStyle name="Calculation 2 3 2 4 2 4 4" xfId="17964" xr:uid="{00000000-0005-0000-0000-0000EA040000}"/>
    <cellStyle name="Calculation 2 3 2 4 2 5" xfId="20193" xr:uid="{00000000-0005-0000-0000-0000EB040000}"/>
    <cellStyle name="Calculation 2 3 2 4 2 6" xfId="31038" xr:uid="{00000000-0005-0000-0000-0000EC040000}"/>
    <cellStyle name="Calculation 2 3 2 4 2 7" xfId="12110" xr:uid="{00000000-0005-0000-0000-0000ED040000}"/>
    <cellStyle name="Calculation 2 3 2 4 3" xfId="1610" xr:uid="{00000000-0005-0000-0000-0000EE040000}"/>
    <cellStyle name="Calculation 2 3 2 4 3 2" xfId="4463" xr:uid="{00000000-0005-0000-0000-0000EF040000}"/>
    <cellStyle name="Calculation 2 3 2 4 3 2 2" xfId="23435" xr:uid="{00000000-0005-0000-0000-0000F0040000}"/>
    <cellStyle name="Calculation 2 3 2 4 3 2 3" xfId="34280" xr:uid="{00000000-0005-0000-0000-0000F1040000}"/>
    <cellStyle name="Calculation 2 3 2 4 3 2 4" xfId="14432" xr:uid="{00000000-0005-0000-0000-0000F2040000}"/>
    <cellStyle name="Calculation 2 3 2 4 3 3" xfId="7135" xr:uid="{00000000-0005-0000-0000-0000F3040000}"/>
    <cellStyle name="Calculation 2 3 2 4 3 3 2" xfId="26107" xr:uid="{00000000-0005-0000-0000-0000F4040000}"/>
    <cellStyle name="Calculation 2 3 2 4 3 3 3" xfId="36952" xr:uid="{00000000-0005-0000-0000-0000F5040000}"/>
    <cellStyle name="Calculation 2 3 2 4 3 3 4" xfId="16346" xr:uid="{00000000-0005-0000-0000-0000F6040000}"/>
    <cellStyle name="Calculation 2 3 2 4 3 4" xfId="9794" xr:uid="{00000000-0005-0000-0000-0000F7040000}"/>
    <cellStyle name="Calculation 2 3 2 4 3 4 2" xfId="28766" xr:uid="{00000000-0005-0000-0000-0000F8040000}"/>
    <cellStyle name="Calculation 2 3 2 4 3 4 3" xfId="39611" xr:uid="{00000000-0005-0000-0000-0000F9040000}"/>
    <cellStyle name="Calculation 2 3 2 4 3 4 4" xfId="18250" xr:uid="{00000000-0005-0000-0000-0000FA040000}"/>
    <cellStyle name="Calculation 2 3 2 4 3 5" xfId="20590" xr:uid="{00000000-0005-0000-0000-0000FB040000}"/>
    <cellStyle name="Calculation 2 3 2 4 3 6" xfId="31435" xr:uid="{00000000-0005-0000-0000-0000FC040000}"/>
    <cellStyle name="Calculation 2 3 2 4 3 7" xfId="12396" xr:uid="{00000000-0005-0000-0000-0000FD040000}"/>
    <cellStyle name="Calculation 2 3 2 4 4" xfId="2012" xr:uid="{00000000-0005-0000-0000-0000FE040000}"/>
    <cellStyle name="Calculation 2 3 2 4 4 2" xfId="4865" xr:uid="{00000000-0005-0000-0000-0000FF040000}"/>
    <cellStyle name="Calculation 2 3 2 4 4 2 2" xfId="23837" xr:uid="{00000000-0005-0000-0000-000000050000}"/>
    <cellStyle name="Calculation 2 3 2 4 4 2 3" xfId="34682" xr:uid="{00000000-0005-0000-0000-000001050000}"/>
    <cellStyle name="Calculation 2 3 2 4 4 2 4" xfId="14718" xr:uid="{00000000-0005-0000-0000-000002050000}"/>
    <cellStyle name="Calculation 2 3 2 4 4 3" xfId="7537" xr:uid="{00000000-0005-0000-0000-000003050000}"/>
    <cellStyle name="Calculation 2 3 2 4 4 3 2" xfId="26509" xr:uid="{00000000-0005-0000-0000-000004050000}"/>
    <cellStyle name="Calculation 2 3 2 4 4 3 3" xfId="37354" xr:uid="{00000000-0005-0000-0000-000005050000}"/>
    <cellStyle name="Calculation 2 3 2 4 4 3 4" xfId="16632" xr:uid="{00000000-0005-0000-0000-000006050000}"/>
    <cellStyle name="Calculation 2 3 2 4 4 4" xfId="10196" xr:uid="{00000000-0005-0000-0000-000007050000}"/>
    <cellStyle name="Calculation 2 3 2 4 4 4 2" xfId="29168" xr:uid="{00000000-0005-0000-0000-000008050000}"/>
    <cellStyle name="Calculation 2 3 2 4 4 4 3" xfId="40013" xr:uid="{00000000-0005-0000-0000-000009050000}"/>
    <cellStyle name="Calculation 2 3 2 4 4 4 4" xfId="18536" xr:uid="{00000000-0005-0000-0000-00000A050000}"/>
    <cellStyle name="Calculation 2 3 2 4 4 5" xfId="20992" xr:uid="{00000000-0005-0000-0000-00000B050000}"/>
    <cellStyle name="Calculation 2 3 2 4 4 6" xfId="31837" xr:uid="{00000000-0005-0000-0000-00000C050000}"/>
    <cellStyle name="Calculation 2 3 2 4 4 7" xfId="12682" xr:uid="{00000000-0005-0000-0000-00000D050000}"/>
    <cellStyle name="Calculation 2 3 2 4 5" xfId="2404" xr:uid="{00000000-0005-0000-0000-00000E050000}"/>
    <cellStyle name="Calculation 2 3 2 4 5 2" xfId="5257" xr:uid="{00000000-0005-0000-0000-00000F050000}"/>
    <cellStyle name="Calculation 2 3 2 4 5 2 2" xfId="24229" xr:uid="{00000000-0005-0000-0000-000010050000}"/>
    <cellStyle name="Calculation 2 3 2 4 5 2 3" xfId="35074" xr:uid="{00000000-0005-0000-0000-000011050000}"/>
    <cellStyle name="Calculation 2 3 2 4 5 2 4" xfId="14999" xr:uid="{00000000-0005-0000-0000-000012050000}"/>
    <cellStyle name="Calculation 2 3 2 4 5 3" xfId="7928" xr:uid="{00000000-0005-0000-0000-000013050000}"/>
    <cellStyle name="Calculation 2 3 2 4 5 3 2" xfId="26900" xr:uid="{00000000-0005-0000-0000-000014050000}"/>
    <cellStyle name="Calculation 2 3 2 4 5 3 3" xfId="37745" xr:uid="{00000000-0005-0000-0000-000015050000}"/>
    <cellStyle name="Calculation 2 3 2 4 5 3 4" xfId="16912" xr:uid="{00000000-0005-0000-0000-000016050000}"/>
    <cellStyle name="Calculation 2 3 2 4 5 4" xfId="10587" xr:uid="{00000000-0005-0000-0000-000017050000}"/>
    <cellStyle name="Calculation 2 3 2 4 5 4 2" xfId="29559" xr:uid="{00000000-0005-0000-0000-000018050000}"/>
    <cellStyle name="Calculation 2 3 2 4 5 4 3" xfId="40404" xr:uid="{00000000-0005-0000-0000-000019050000}"/>
    <cellStyle name="Calculation 2 3 2 4 5 4 4" xfId="18816" xr:uid="{00000000-0005-0000-0000-00001A050000}"/>
    <cellStyle name="Calculation 2 3 2 4 5 5" xfId="21383" xr:uid="{00000000-0005-0000-0000-00001B050000}"/>
    <cellStyle name="Calculation 2 3 2 4 5 6" xfId="32228" xr:uid="{00000000-0005-0000-0000-00001C050000}"/>
    <cellStyle name="Calculation 2 3 2 4 5 7" xfId="12962" xr:uid="{00000000-0005-0000-0000-00001D050000}"/>
    <cellStyle name="Calculation 2 3 2 4 6" xfId="2793" xr:uid="{00000000-0005-0000-0000-00001E050000}"/>
    <cellStyle name="Calculation 2 3 2 4 6 2" xfId="5645" xr:uid="{00000000-0005-0000-0000-00001F050000}"/>
    <cellStyle name="Calculation 2 3 2 4 6 2 2" xfId="24617" xr:uid="{00000000-0005-0000-0000-000020050000}"/>
    <cellStyle name="Calculation 2 3 2 4 6 2 3" xfId="35462" xr:uid="{00000000-0005-0000-0000-000021050000}"/>
    <cellStyle name="Calculation 2 3 2 4 6 2 4" xfId="15277" xr:uid="{00000000-0005-0000-0000-000022050000}"/>
    <cellStyle name="Calculation 2 3 2 4 6 3" xfId="8316" xr:uid="{00000000-0005-0000-0000-000023050000}"/>
    <cellStyle name="Calculation 2 3 2 4 6 3 2" xfId="27288" xr:uid="{00000000-0005-0000-0000-000024050000}"/>
    <cellStyle name="Calculation 2 3 2 4 6 3 3" xfId="38133" xr:uid="{00000000-0005-0000-0000-000025050000}"/>
    <cellStyle name="Calculation 2 3 2 4 6 3 4" xfId="17190" xr:uid="{00000000-0005-0000-0000-000026050000}"/>
    <cellStyle name="Calculation 2 3 2 4 6 4" xfId="10975" xr:uid="{00000000-0005-0000-0000-000027050000}"/>
    <cellStyle name="Calculation 2 3 2 4 6 4 2" xfId="29947" xr:uid="{00000000-0005-0000-0000-000028050000}"/>
    <cellStyle name="Calculation 2 3 2 4 6 4 3" xfId="40792" xr:uid="{00000000-0005-0000-0000-000029050000}"/>
    <cellStyle name="Calculation 2 3 2 4 6 4 4" xfId="19094" xr:uid="{00000000-0005-0000-0000-00002A050000}"/>
    <cellStyle name="Calculation 2 3 2 4 6 5" xfId="21771" xr:uid="{00000000-0005-0000-0000-00002B050000}"/>
    <cellStyle name="Calculation 2 3 2 4 6 6" xfId="32616" xr:uid="{00000000-0005-0000-0000-00002C050000}"/>
    <cellStyle name="Calculation 2 3 2 4 6 7" xfId="13240" xr:uid="{00000000-0005-0000-0000-00002D050000}"/>
    <cellStyle name="Calculation 2 3 2 4 7" xfId="3484" xr:uid="{00000000-0005-0000-0000-00002E050000}"/>
    <cellStyle name="Calculation 2 3 2 4 7 2" xfId="22456" xr:uid="{00000000-0005-0000-0000-00002F050000}"/>
    <cellStyle name="Calculation 2 3 2 4 7 3" xfId="33301" xr:uid="{00000000-0005-0000-0000-000030050000}"/>
    <cellStyle name="Calculation 2 3 2 4 7 4" xfId="13722" xr:uid="{00000000-0005-0000-0000-000031050000}"/>
    <cellStyle name="Calculation 2 3 2 4 8" xfId="6160" xr:uid="{00000000-0005-0000-0000-000032050000}"/>
    <cellStyle name="Calculation 2 3 2 4 8 2" xfId="25132" xr:uid="{00000000-0005-0000-0000-000033050000}"/>
    <cellStyle name="Calculation 2 3 2 4 8 3" xfId="35977" xr:uid="{00000000-0005-0000-0000-000034050000}"/>
    <cellStyle name="Calculation 2 3 2 4 8 4" xfId="15639" xr:uid="{00000000-0005-0000-0000-000035050000}"/>
    <cellStyle name="Calculation 2 3 2 4 9" xfId="8819" xr:uid="{00000000-0005-0000-0000-000036050000}"/>
    <cellStyle name="Calculation 2 3 2 4 9 2" xfId="27791" xr:uid="{00000000-0005-0000-0000-000037050000}"/>
    <cellStyle name="Calculation 2 3 2 4 9 3" xfId="38636" xr:uid="{00000000-0005-0000-0000-000038050000}"/>
    <cellStyle name="Calculation 2 3 2 4 9 4" xfId="17543" xr:uid="{00000000-0005-0000-0000-000039050000}"/>
    <cellStyle name="Calculation 2 3 2 5" xfId="604" xr:uid="{00000000-0005-0000-0000-00003A050000}"/>
    <cellStyle name="Calculation 2 3 2 5 10" xfId="19611" xr:uid="{00000000-0005-0000-0000-00003B050000}"/>
    <cellStyle name="Calculation 2 3 2 5 11" xfId="30456" xr:uid="{00000000-0005-0000-0000-00003C050000}"/>
    <cellStyle name="Calculation 2 3 2 5 12" xfId="11666" xr:uid="{00000000-0005-0000-0000-00003D050000}"/>
    <cellStyle name="Calculation 2 3 2 5 2" xfId="1208" xr:uid="{00000000-0005-0000-0000-00003E050000}"/>
    <cellStyle name="Calculation 2 3 2 5 2 2" xfId="4061" xr:uid="{00000000-0005-0000-0000-00003F050000}"/>
    <cellStyle name="Calculation 2 3 2 5 2 2 2" xfId="23033" xr:uid="{00000000-0005-0000-0000-000040050000}"/>
    <cellStyle name="Calculation 2 3 2 5 2 2 3" xfId="33878" xr:uid="{00000000-0005-0000-0000-000041050000}"/>
    <cellStyle name="Calculation 2 3 2 5 2 2 4" xfId="14141" xr:uid="{00000000-0005-0000-0000-000042050000}"/>
    <cellStyle name="Calculation 2 3 2 5 2 3" xfId="6734" xr:uid="{00000000-0005-0000-0000-000043050000}"/>
    <cellStyle name="Calculation 2 3 2 5 2 3 2" xfId="25706" xr:uid="{00000000-0005-0000-0000-000044050000}"/>
    <cellStyle name="Calculation 2 3 2 5 2 3 3" xfId="36551" xr:uid="{00000000-0005-0000-0000-000045050000}"/>
    <cellStyle name="Calculation 2 3 2 5 2 3 4" xfId="16056" xr:uid="{00000000-0005-0000-0000-000046050000}"/>
    <cellStyle name="Calculation 2 3 2 5 2 4" xfId="9393" xr:uid="{00000000-0005-0000-0000-000047050000}"/>
    <cellStyle name="Calculation 2 3 2 5 2 4 2" xfId="28365" xr:uid="{00000000-0005-0000-0000-000048050000}"/>
    <cellStyle name="Calculation 2 3 2 5 2 4 3" xfId="39210" xr:uid="{00000000-0005-0000-0000-000049050000}"/>
    <cellStyle name="Calculation 2 3 2 5 2 4 4" xfId="17960" xr:uid="{00000000-0005-0000-0000-00004A050000}"/>
    <cellStyle name="Calculation 2 3 2 5 2 5" xfId="20189" xr:uid="{00000000-0005-0000-0000-00004B050000}"/>
    <cellStyle name="Calculation 2 3 2 5 2 6" xfId="31034" xr:uid="{00000000-0005-0000-0000-00004C050000}"/>
    <cellStyle name="Calculation 2 3 2 5 2 7" xfId="12106" xr:uid="{00000000-0005-0000-0000-00004D050000}"/>
    <cellStyle name="Calculation 2 3 2 5 3" xfId="1606" xr:uid="{00000000-0005-0000-0000-00004E050000}"/>
    <cellStyle name="Calculation 2 3 2 5 3 2" xfId="4459" xr:uid="{00000000-0005-0000-0000-00004F050000}"/>
    <cellStyle name="Calculation 2 3 2 5 3 2 2" xfId="23431" xr:uid="{00000000-0005-0000-0000-000050050000}"/>
    <cellStyle name="Calculation 2 3 2 5 3 2 3" xfId="34276" xr:uid="{00000000-0005-0000-0000-000051050000}"/>
    <cellStyle name="Calculation 2 3 2 5 3 2 4" xfId="14428" xr:uid="{00000000-0005-0000-0000-000052050000}"/>
    <cellStyle name="Calculation 2 3 2 5 3 3" xfId="7131" xr:uid="{00000000-0005-0000-0000-000053050000}"/>
    <cellStyle name="Calculation 2 3 2 5 3 3 2" xfId="26103" xr:uid="{00000000-0005-0000-0000-000054050000}"/>
    <cellStyle name="Calculation 2 3 2 5 3 3 3" xfId="36948" xr:uid="{00000000-0005-0000-0000-000055050000}"/>
    <cellStyle name="Calculation 2 3 2 5 3 3 4" xfId="16342" xr:uid="{00000000-0005-0000-0000-000056050000}"/>
    <cellStyle name="Calculation 2 3 2 5 3 4" xfId="9790" xr:uid="{00000000-0005-0000-0000-000057050000}"/>
    <cellStyle name="Calculation 2 3 2 5 3 4 2" xfId="28762" xr:uid="{00000000-0005-0000-0000-000058050000}"/>
    <cellStyle name="Calculation 2 3 2 5 3 4 3" xfId="39607" xr:uid="{00000000-0005-0000-0000-000059050000}"/>
    <cellStyle name="Calculation 2 3 2 5 3 4 4" xfId="18246" xr:uid="{00000000-0005-0000-0000-00005A050000}"/>
    <cellStyle name="Calculation 2 3 2 5 3 5" xfId="20586" xr:uid="{00000000-0005-0000-0000-00005B050000}"/>
    <cellStyle name="Calculation 2 3 2 5 3 6" xfId="31431" xr:uid="{00000000-0005-0000-0000-00005C050000}"/>
    <cellStyle name="Calculation 2 3 2 5 3 7" xfId="12392" xr:uid="{00000000-0005-0000-0000-00005D050000}"/>
    <cellStyle name="Calculation 2 3 2 5 4" xfId="2008" xr:uid="{00000000-0005-0000-0000-00005E050000}"/>
    <cellStyle name="Calculation 2 3 2 5 4 2" xfId="4861" xr:uid="{00000000-0005-0000-0000-00005F050000}"/>
    <cellStyle name="Calculation 2 3 2 5 4 2 2" xfId="23833" xr:uid="{00000000-0005-0000-0000-000060050000}"/>
    <cellStyle name="Calculation 2 3 2 5 4 2 3" xfId="34678" xr:uid="{00000000-0005-0000-0000-000061050000}"/>
    <cellStyle name="Calculation 2 3 2 5 4 2 4" xfId="14714" xr:uid="{00000000-0005-0000-0000-000062050000}"/>
    <cellStyle name="Calculation 2 3 2 5 4 3" xfId="7533" xr:uid="{00000000-0005-0000-0000-000063050000}"/>
    <cellStyle name="Calculation 2 3 2 5 4 3 2" xfId="26505" xr:uid="{00000000-0005-0000-0000-000064050000}"/>
    <cellStyle name="Calculation 2 3 2 5 4 3 3" xfId="37350" xr:uid="{00000000-0005-0000-0000-000065050000}"/>
    <cellStyle name="Calculation 2 3 2 5 4 3 4" xfId="16628" xr:uid="{00000000-0005-0000-0000-000066050000}"/>
    <cellStyle name="Calculation 2 3 2 5 4 4" xfId="10192" xr:uid="{00000000-0005-0000-0000-000067050000}"/>
    <cellStyle name="Calculation 2 3 2 5 4 4 2" xfId="29164" xr:uid="{00000000-0005-0000-0000-000068050000}"/>
    <cellStyle name="Calculation 2 3 2 5 4 4 3" xfId="40009" xr:uid="{00000000-0005-0000-0000-000069050000}"/>
    <cellStyle name="Calculation 2 3 2 5 4 4 4" xfId="18532" xr:uid="{00000000-0005-0000-0000-00006A050000}"/>
    <cellStyle name="Calculation 2 3 2 5 4 5" xfId="20988" xr:uid="{00000000-0005-0000-0000-00006B050000}"/>
    <cellStyle name="Calculation 2 3 2 5 4 6" xfId="31833" xr:uid="{00000000-0005-0000-0000-00006C050000}"/>
    <cellStyle name="Calculation 2 3 2 5 4 7" xfId="12678" xr:uid="{00000000-0005-0000-0000-00006D050000}"/>
    <cellStyle name="Calculation 2 3 2 5 5" xfId="2400" xr:uid="{00000000-0005-0000-0000-00006E050000}"/>
    <cellStyle name="Calculation 2 3 2 5 5 2" xfId="5253" xr:uid="{00000000-0005-0000-0000-00006F050000}"/>
    <cellStyle name="Calculation 2 3 2 5 5 2 2" xfId="24225" xr:uid="{00000000-0005-0000-0000-000070050000}"/>
    <cellStyle name="Calculation 2 3 2 5 5 2 3" xfId="35070" xr:uid="{00000000-0005-0000-0000-000071050000}"/>
    <cellStyle name="Calculation 2 3 2 5 5 2 4" xfId="14995" xr:uid="{00000000-0005-0000-0000-000072050000}"/>
    <cellStyle name="Calculation 2 3 2 5 5 3" xfId="7924" xr:uid="{00000000-0005-0000-0000-000073050000}"/>
    <cellStyle name="Calculation 2 3 2 5 5 3 2" xfId="26896" xr:uid="{00000000-0005-0000-0000-000074050000}"/>
    <cellStyle name="Calculation 2 3 2 5 5 3 3" xfId="37741" xr:uid="{00000000-0005-0000-0000-000075050000}"/>
    <cellStyle name="Calculation 2 3 2 5 5 3 4" xfId="16908" xr:uid="{00000000-0005-0000-0000-000076050000}"/>
    <cellStyle name="Calculation 2 3 2 5 5 4" xfId="10583" xr:uid="{00000000-0005-0000-0000-000077050000}"/>
    <cellStyle name="Calculation 2 3 2 5 5 4 2" xfId="29555" xr:uid="{00000000-0005-0000-0000-000078050000}"/>
    <cellStyle name="Calculation 2 3 2 5 5 4 3" xfId="40400" xr:uid="{00000000-0005-0000-0000-000079050000}"/>
    <cellStyle name="Calculation 2 3 2 5 5 4 4" xfId="18812" xr:uid="{00000000-0005-0000-0000-00007A050000}"/>
    <cellStyle name="Calculation 2 3 2 5 5 5" xfId="21379" xr:uid="{00000000-0005-0000-0000-00007B050000}"/>
    <cellStyle name="Calculation 2 3 2 5 5 6" xfId="32224" xr:uid="{00000000-0005-0000-0000-00007C050000}"/>
    <cellStyle name="Calculation 2 3 2 5 5 7" xfId="12958" xr:uid="{00000000-0005-0000-0000-00007D050000}"/>
    <cellStyle name="Calculation 2 3 2 5 6" xfId="2789" xr:uid="{00000000-0005-0000-0000-00007E050000}"/>
    <cellStyle name="Calculation 2 3 2 5 6 2" xfId="5641" xr:uid="{00000000-0005-0000-0000-00007F050000}"/>
    <cellStyle name="Calculation 2 3 2 5 6 2 2" xfId="24613" xr:uid="{00000000-0005-0000-0000-000080050000}"/>
    <cellStyle name="Calculation 2 3 2 5 6 2 3" xfId="35458" xr:uid="{00000000-0005-0000-0000-000081050000}"/>
    <cellStyle name="Calculation 2 3 2 5 6 2 4" xfId="15273" xr:uid="{00000000-0005-0000-0000-000082050000}"/>
    <cellStyle name="Calculation 2 3 2 5 6 3" xfId="8312" xr:uid="{00000000-0005-0000-0000-000083050000}"/>
    <cellStyle name="Calculation 2 3 2 5 6 3 2" xfId="27284" xr:uid="{00000000-0005-0000-0000-000084050000}"/>
    <cellStyle name="Calculation 2 3 2 5 6 3 3" xfId="38129" xr:uid="{00000000-0005-0000-0000-000085050000}"/>
    <cellStyle name="Calculation 2 3 2 5 6 3 4" xfId="17186" xr:uid="{00000000-0005-0000-0000-000086050000}"/>
    <cellStyle name="Calculation 2 3 2 5 6 4" xfId="10971" xr:uid="{00000000-0005-0000-0000-000087050000}"/>
    <cellStyle name="Calculation 2 3 2 5 6 4 2" xfId="29943" xr:uid="{00000000-0005-0000-0000-000088050000}"/>
    <cellStyle name="Calculation 2 3 2 5 6 4 3" xfId="40788" xr:uid="{00000000-0005-0000-0000-000089050000}"/>
    <cellStyle name="Calculation 2 3 2 5 6 4 4" xfId="19090" xr:uid="{00000000-0005-0000-0000-00008A050000}"/>
    <cellStyle name="Calculation 2 3 2 5 6 5" xfId="21767" xr:uid="{00000000-0005-0000-0000-00008B050000}"/>
    <cellStyle name="Calculation 2 3 2 5 6 6" xfId="32612" xr:uid="{00000000-0005-0000-0000-00008C050000}"/>
    <cellStyle name="Calculation 2 3 2 5 6 7" xfId="13236" xr:uid="{00000000-0005-0000-0000-00008D050000}"/>
    <cellStyle name="Calculation 2 3 2 5 7" xfId="3480" xr:uid="{00000000-0005-0000-0000-00008E050000}"/>
    <cellStyle name="Calculation 2 3 2 5 7 2" xfId="22452" xr:uid="{00000000-0005-0000-0000-00008F050000}"/>
    <cellStyle name="Calculation 2 3 2 5 7 3" xfId="33297" xr:uid="{00000000-0005-0000-0000-000090050000}"/>
    <cellStyle name="Calculation 2 3 2 5 7 4" xfId="13718" xr:uid="{00000000-0005-0000-0000-000091050000}"/>
    <cellStyle name="Calculation 2 3 2 5 8" xfId="6156" xr:uid="{00000000-0005-0000-0000-000092050000}"/>
    <cellStyle name="Calculation 2 3 2 5 8 2" xfId="25128" xr:uid="{00000000-0005-0000-0000-000093050000}"/>
    <cellStyle name="Calculation 2 3 2 5 8 3" xfId="35973" xr:uid="{00000000-0005-0000-0000-000094050000}"/>
    <cellStyle name="Calculation 2 3 2 5 8 4" xfId="15635" xr:uid="{00000000-0005-0000-0000-000095050000}"/>
    <cellStyle name="Calculation 2 3 2 5 9" xfId="8815" xr:uid="{00000000-0005-0000-0000-000096050000}"/>
    <cellStyle name="Calculation 2 3 2 5 9 2" xfId="27787" xr:uid="{00000000-0005-0000-0000-000097050000}"/>
    <cellStyle name="Calculation 2 3 2 5 9 3" xfId="38632" xr:uid="{00000000-0005-0000-0000-000098050000}"/>
    <cellStyle name="Calculation 2 3 2 5 9 4" xfId="17539" xr:uid="{00000000-0005-0000-0000-000099050000}"/>
    <cellStyle name="Calculation 2 3 2 6" xfId="1056" xr:uid="{00000000-0005-0000-0000-00009A050000}"/>
    <cellStyle name="Calculation 2 3 2 6 2" xfId="3909" xr:uid="{00000000-0005-0000-0000-00009B050000}"/>
    <cellStyle name="Calculation 2 3 2 6 2 2" xfId="22881" xr:uid="{00000000-0005-0000-0000-00009C050000}"/>
    <cellStyle name="Calculation 2 3 2 6 2 3" xfId="33726" xr:uid="{00000000-0005-0000-0000-00009D050000}"/>
    <cellStyle name="Calculation 2 3 2 6 2 4" xfId="14022" xr:uid="{00000000-0005-0000-0000-00009E050000}"/>
    <cellStyle name="Calculation 2 3 2 6 3" xfId="6583" xr:uid="{00000000-0005-0000-0000-00009F050000}"/>
    <cellStyle name="Calculation 2 3 2 6 3 2" xfId="25555" xr:uid="{00000000-0005-0000-0000-0000A0050000}"/>
    <cellStyle name="Calculation 2 3 2 6 3 3" xfId="36400" xr:uid="{00000000-0005-0000-0000-0000A1050000}"/>
    <cellStyle name="Calculation 2 3 2 6 3 4" xfId="15938" xr:uid="{00000000-0005-0000-0000-0000A2050000}"/>
    <cellStyle name="Calculation 2 3 2 6 4" xfId="9242" xr:uid="{00000000-0005-0000-0000-0000A3050000}"/>
    <cellStyle name="Calculation 2 3 2 6 4 2" xfId="28214" xr:uid="{00000000-0005-0000-0000-0000A4050000}"/>
    <cellStyle name="Calculation 2 3 2 6 4 3" xfId="39059" xr:uid="{00000000-0005-0000-0000-0000A5050000}"/>
    <cellStyle name="Calculation 2 3 2 6 4 4" xfId="17842" xr:uid="{00000000-0005-0000-0000-0000A6050000}"/>
    <cellStyle name="Calculation 2 3 2 6 5" xfId="20038" xr:uid="{00000000-0005-0000-0000-0000A7050000}"/>
    <cellStyle name="Calculation 2 3 2 6 6" xfId="30883" xr:uid="{00000000-0005-0000-0000-0000A8050000}"/>
    <cellStyle name="Calculation 2 3 2 6 7" xfId="11988" xr:uid="{00000000-0005-0000-0000-0000A9050000}"/>
    <cellStyle name="Calculation 2 3 2 7" xfId="1005" xr:uid="{00000000-0005-0000-0000-0000AA050000}"/>
    <cellStyle name="Calculation 2 3 2 7 2" xfId="3858" xr:uid="{00000000-0005-0000-0000-0000AB050000}"/>
    <cellStyle name="Calculation 2 3 2 7 2 2" xfId="22830" xr:uid="{00000000-0005-0000-0000-0000AC050000}"/>
    <cellStyle name="Calculation 2 3 2 7 2 3" xfId="33675" xr:uid="{00000000-0005-0000-0000-0000AD050000}"/>
    <cellStyle name="Calculation 2 3 2 7 2 4" xfId="13986" xr:uid="{00000000-0005-0000-0000-0000AE050000}"/>
    <cellStyle name="Calculation 2 3 2 7 3" xfId="6532" xr:uid="{00000000-0005-0000-0000-0000AF050000}"/>
    <cellStyle name="Calculation 2 3 2 7 3 2" xfId="25504" xr:uid="{00000000-0005-0000-0000-0000B0050000}"/>
    <cellStyle name="Calculation 2 3 2 7 3 3" xfId="36349" xr:uid="{00000000-0005-0000-0000-0000B1050000}"/>
    <cellStyle name="Calculation 2 3 2 7 3 4" xfId="15902" xr:uid="{00000000-0005-0000-0000-0000B2050000}"/>
    <cellStyle name="Calculation 2 3 2 7 4" xfId="9191" xr:uid="{00000000-0005-0000-0000-0000B3050000}"/>
    <cellStyle name="Calculation 2 3 2 7 4 2" xfId="28163" xr:uid="{00000000-0005-0000-0000-0000B4050000}"/>
    <cellStyle name="Calculation 2 3 2 7 4 3" xfId="39008" xr:uid="{00000000-0005-0000-0000-0000B5050000}"/>
    <cellStyle name="Calculation 2 3 2 7 4 4" xfId="17806" xr:uid="{00000000-0005-0000-0000-0000B6050000}"/>
    <cellStyle name="Calculation 2 3 2 7 5" xfId="19987" xr:uid="{00000000-0005-0000-0000-0000B7050000}"/>
    <cellStyle name="Calculation 2 3 2 7 6" xfId="30832" xr:uid="{00000000-0005-0000-0000-0000B8050000}"/>
    <cellStyle name="Calculation 2 3 2 7 7" xfId="11952" xr:uid="{00000000-0005-0000-0000-0000B9050000}"/>
    <cellStyle name="Calculation 2 3 2 8" xfId="971" xr:uid="{00000000-0005-0000-0000-0000BA050000}"/>
    <cellStyle name="Calculation 2 3 2 8 2" xfId="3824" xr:uid="{00000000-0005-0000-0000-0000BB050000}"/>
    <cellStyle name="Calculation 2 3 2 8 2 2" xfId="22796" xr:uid="{00000000-0005-0000-0000-0000BC050000}"/>
    <cellStyle name="Calculation 2 3 2 8 2 3" xfId="33641" xr:uid="{00000000-0005-0000-0000-0000BD050000}"/>
    <cellStyle name="Calculation 2 3 2 8 2 4" xfId="13962" xr:uid="{00000000-0005-0000-0000-0000BE050000}"/>
    <cellStyle name="Calculation 2 3 2 8 3" xfId="6499" xr:uid="{00000000-0005-0000-0000-0000BF050000}"/>
    <cellStyle name="Calculation 2 3 2 8 3 2" xfId="25471" xr:uid="{00000000-0005-0000-0000-0000C0050000}"/>
    <cellStyle name="Calculation 2 3 2 8 3 3" xfId="36316" xr:uid="{00000000-0005-0000-0000-0000C1050000}"/>
    <cellStyle name="Calculation 2 3 2 8 3 4" xfId="15878" xr:uid="{00000000-0005-0000-0000-0000C2050000}"/>
    <cellStyle name="Calculation 2 3 2 8 4" xfId="9158" xr:uid="{00000000-0005-0000-0000-0000C3050000}"/>
    <cellStyle name="Calculation 2 3 2 8 4 2" xfId="28130" xr:uid="{00000000-0005-0000-0000-0000C4050000}"/>
    <cellStyle name="Calculation 2 3 2 8 4 3" xfId="38975" xr:uid="{00000000-0005-0000-0000-0000C5050000}"/>
    <cellStyle name="Calculation 2 3 2 8 4 4" xfId="17782" xr:uid="{00000000-0005-0000-0000-0000C6050000}"/>
    <cellStyle name="Calculation 2 3 2 8 5" xfId="19954" xr:uid="{00000000-0005-0000-0000-0000C7050000}"/>
    <cellStyle name="Calculation 2 3 2 8 6" xfId="30799" xr:uid="{00000000-0005-0000-0000-0000C8050000}"/>
    <cellStyle name="Calculation 2 3 2 8 7" xfId="11928" xr:uid="{00000000-0005-0000-0000-0000C9050000}"/>
    <cellStyle name="Calculation 2 3 2 9" xfId="954" xr:uid="{00000000-0005-0000-0000-0000CA050000}"/>
    <cellStyle name="Calculation 2 3 2 9 2" xfId="3807" xr:uid="{00000000-0005-0000-0000-0000CB050000}"/>
    <cellStyle name="Calculation 2 3 2 9 2 2" xfId="22779" xr:uid="{00000000-0005-0000-0000-0000CC050000}"/>
    <cellStyle name="Calculation 2 3 2 9 2 3" xfId="33624" xr:uid="{00000000-0005-0000-0000-0000CD050000}"/>
    <cellStyle name="Calculation 2 3 2 9 2 4" xfId="13950" xr:uid="{00000000-0005-0000-0000-0000CE050000}"/>
    <cellStyle name="Calculation 2 3 2 9 3" xfId="6482" xr:uid="{00000000-0005-0000-0000-0000CF050000}"/>
    <cellStyle name="Calculation 2 3 2 9 3 2" xfId="25454" xr:uid="{00000000-0005-0000-0000-0000D0050000}"/>
    <cellStyle name="Calculation 2 3 2 9 3 3" xfId="36299" xr:uid="{00000000-0005-0000-0000-0000D1050000}"/>
    <cellStyle name="Calculation 2 3 2 9 3 4" xfId="15866" xr:uid="{00000000-0005-0000-0000-0000D2050000}"/>
    <cellStyle name="Calculation 2 3 2 9 4" xfId="9141" xr:uid="{00000000-0005-0000-0000-0000D3050000}"/>
    <cellStyle name="Calculation 2 3 2 9 4 2" xfId="28113" xr:uid="{00000000-0005-0000-0000-0000D4050000}"/>
    <cellStyle name="Calculation 2 3 2 9 4 3" xfId="38958" xr:uid="{00000000-0005-0000-0000-0000D5050000}"/>
    <cellStyle name="Calculation 2 3 2 9 4 4" xfId="17770" xr:uid="{00000000-0005-0000-0000-0000D6050000}"/>
    <cellStyle name="Calculation 2 3 2 9 5" xfId="19937" xr:uid="{00000000-0005-0000-0000-0000D7050000}"/>
    <cellStyle name="Calculation 2 3 2 9 6" xfId="30782" xr:uid="{00000000-0005-0000-0000-0000D8050000}"/>
    <cellStyle name="Calculation 2 3 2 9 7" xfId="11916" xr:uid="{00000000-0005-0000-0000-0000D9050000}"/>
    <cellStyle name="Calculation 2 3 3" xfId="538" xr:uid="{00000000-0005-0000-0000-0000DA050000}"/>
    <cellStyle name="Calculation 2 3 3 10" xfId="19548" xr:uid="{00000000-0005-0000-0000-0000DB050000}"/>
    <cellStyle name="Calculation 2 3 3 11" xfId="30393" xr:uid="{00000000-0005-0000-0000-0000DC050000}"/>
    <cellStyle name="Calculation 2 3 3 12" xfId="11612" xr:uid="{00000000-0005-0000-0000-0000DD050000}"/>
    <cellStyle name="Calculation 2 3 3 2" xfId="1144" xr:uid="{00000000-0005-0000-0000-0000DE050000}"/>
    <cellStyle name="Calculation 2 3 3 2 2" xfId="3997" xr:uid="{00000000-0005-0000-0000-0000DF050000}"/>
    <cellStyle name="Calculation 2 3 3 2 2 2" xfId="22969" xr:uid="{00000000-0005-0000-0000-0000E0050000}"/>
    <cellStyle name="Calculation 2 3 3 2 2 3" xfId="33814" xr:uid="{00000000-0005-0000-0000-0000E1050000}"/>
    <cellStyle name="Calculation 2 3 3 2 2 4" xfId="14089" xr:uid="{00000000-0005-0000-0000-0000E2050000}"/>
    <cellStyle name="Calculation 2 3 3 2 3" xfId="6670" xr:uid="{00000000-0005-0000-0000-0000E3050000}"/>
    <cellStyle name="Calculation 2 3 3 2 3 2" xfId="25642" xr:uid="{00000000-0005-0000-0000-0000E4050000}"/>
    <cellStyle name="Calculation 2 3 3 2 3 3" xfId="36487" xr:uid="{00000000-0005-0000-0000-0000E5050000}"/>
    <cellStyle name="Calculation 2 3 3 2 3 4" xfId="16004" xr:uid="{00000000-0005-0000-0000-0000E6050000}"/>
    <cellStyle name="Calculation 2 3 3 2 4" xfId="9329" xr:uid="{00000000-0005-0000-0000-0000E7050000}"/>
    <cellStyle name="Calculation 2 3 3 2 4 2" xfId="28301" xr:uid="{00000000-0005-0000-0000-0000E8050000}"/>
    <cellStyle name="Calculation 2 3 3 2 4 3" xfId="39146" xr:uid="{00000000-0005-0000-0000-0000E9050000}"/>
    <cellStyle name="Calculation 2 3 3 2 4 4" xfId="17908" xr:uid="{00000000-0005-0000-0000-0000EA050000}"/>
    <cellStyle name="Calculation 2 3 3 2 5" xfId="20125" xr:uid="{00000000-0005-0000-0000-0000EB050000}"/>
    <cellStyle name="Calculation 2 3 3 2 6" xfId="30970" xr:uid="{00000000-0005-0000-0000-0000EC050000}"/>
    <cellStyle name="Calculation 2 3 3 2 7" xfId="12054" xr:uid="{00000000-0005-0000-0000-0000ED050000}"/>
    <cellStyle name="Calculation 2 3 3 3" xfId="1541" xr:uid="{00000000-0005-0000-0000-0000EE050000}"/>
    <cellStyle name="Calculation 2 3 3 3 2" xfId="4394" xr:uid="{00000000-0005-0000-0000-0000EF050000}"/>
    <cellStyle name="Calculation 2 3 3 3 2 2" xfId="23366" xr:uid="{00000000-0005-0000-0000-0000F0050000}"/>
    <cellStyle name="Calculation 2 3 3 3 2 3" xfId="34211" xr:uid="{00000000-0005-0000-0000-0000F1050000}"/>
    <cellStyle name="Calculation 2 3 3 3 2 4" xfId="14375" xr:uid="{00000000-0005-0000-0000-0000F2050000}"/>
    <cellStyle name="Calculation 2 3 3 3 3" xfId="7066" xr:uid="{00000000-0005-0000-0000-0000F3050000}"/>
    <cellStyle name="Calculation 2 3 3 3 3 2" xfId="26038" xr:uid="{00000000-0005-0000-0000-0000F4050000}"/>
    <cellStyle name="Calculation 2 3 3 3 3 3" xfId="36883" xr:uid="{00000000-0005-0000-0000-0000F5050000}"/>
    <cellStyle name="Calculation 2 3 3 3 3 4" xfId="16289" xr:uid="{00000000-0005-0000-0000-0000F6050000}"/>
    <cellStyle name="Calculation 2 3 3 3 4" xfId="9725" xr:uid="{00000000-0005-0000-0000-0000F7050000}"/>
    <cellStyle name="Calculation 2 3 3 3 4 2" xfId="28697" xr:uid="{00000000-0005-0000-0000-0000F8050000}"/>
    <cellStyle name="Calculation 2 3 3 3 4 3" xfId="39542" xr:uid="{00000000-0005-0000-0000-0000F9050000}"/>
    <cellStyle name="Calculation 2 3 3 3 4 4" xfId="18193" xr:uid="{00000000-0005-0000-0000-0000FA050000}"/>
    <cellStyle name="Calculation 2 3 3 3 5" xfId="20521" xr:uid="{00000000-0005-0000-0000-0000FB050000}"/>
    <cellStyle name="Calculation 2 3 3 3 6" xfId="31366" xr:uid="{00000000-0005-0000-0000-0000FC050000}"/>
    <cellStyle name="Calculation 2 3 3 3 7" xfId="12339" xr:uid="{00000000-0005-0000-0000-0000FD050000}"/>
    <cellStyle name="Calculation 2 3 3 4" xfId="1945" xr:uid="{00000000-0005-0000-0000-0000FE050000}"/>
    <cellStyle name="Calculation 2 3 3 4 2" xfId="4798" xr:uid="{00000000-0005-0000-0000-0000FF050000}"/>
    <cellStyle name="Calculation 2 3 3 4 2 2" xfId="23770" xr:uid="{00000000-0005-0000-0000-000000060000}"/>
    <cellStyle name="Calculation 2 3 3 4 2 3" xfId="34615" xr:uid="{00000000-0005-0000-0000-000001060000}"/>
    <cellStyle name="Calculation 2 3 3 4 2 4" xfId="14663" xr:uid="{00000000-0005-0000-0000-000002060000}"/>
    <cellStyle name="Calculation 2 3 3 4 3" xfId="7470" xr:uid="{00000000-0005-0000-0000-000003060000}"/>
    <cellStyle name="Calculation 2 3 3 4 3 2" xfId="26442" xr:uid="{00000000-0005-0000-0000-000004060000}"/>
    <cellStyle name="Calculation 2 3 3 4 3 3" xfId="37287" xr:uid="{00000000-0005-0000-0000-000005060000}"/>
    <cellStyle name="Calculation 2 3 3 4 3 4" xfId="16577" xr:uid="{00000000-0005-0000-0000-000006060000}"/>
    <cellStyle name="Calculation 2 3 3 4 4" xfId="10129" xr:uid="{00000000-0005-0000-0000-000007060000}"/>
    <cellStyle name="Calculation 2 3 3 4 4 2" xfId="29101" xr:uid="{00000000-0005-0000-0000-000008060000}"/>
    <cellStyle name="Calculation 2 3 3 4 4 3" xfId="39946" xr:uid="{00000000-0005-0000-0000-000009060000}"/>
    <cellStyle name="Calculation 2 3 3 4 4 4" xfId="18481" xr:uid="{00000000-0005-0000-0000-00000A060000}"/>
    <cellStyle name="Calculation 2 3 3 4 5" xfId="20925" xr:uid="{00000000-0005-0000-0000-00000B060000}"/>
    <cellStyle name="Calculation 2 3 3 4 6" xfId="31770" xr:uid="{00000000-0005-0000-0000-00000C060000}"/>
    <cellStyle name="Calculation 2 3 3 4 7" xfId="12627" xr:uid="{00000000-0005-0000-0000-00000D060000}"/>
    <cellStyle name="Calculation 2 3 3 5" xfId="2337" xr:uid="{00000000-0005-0000-0000-00000E060000}"/>
    <cellStyle name="Calculation 2 3 3 5 2" xfId="5190" xr:uid="{00000000-0005-0000-0000-00000F060000}"/>
    <cellStyle name="Calculation 2 3 3 5 2 2" xfId="24162" xr:uid="{00000000-0005-0000-0000-000010060000}"/>
    <cellStyle name="Calculation 2 3 3 5 2 3" xfId="35007" xr:uid="{00000000-0005-0000-0000-000011060000}"/>
    <cellStyle name="Calculation 2 3 3 5 2 4" xfId="14944" xr:uid="{00000000-0005-0000-0000-000012060000}"/>
    <cellStyle name="Calculation 2 3 3 5 3" xfId="7861" xr:uid="{00000000-0005-0000-0000-000013060000}"/>
    <cellStyle name="Calculation 2 3 3 5 3 2" xfId="26833" xr:uid="{00000000-0005-0000-0000-000014060000}"/>
    <cellStyle name="Calculation 2 3 3 5 3 3" xfId="37678" xr:uid="{00000000-0005-0000-0000-000015060000}"/>
    <cellStyle name="Calculation 2 3 3 5 3 4" xfId="16857" xr:uid="{00000000-0005-0000-0000-000016060000}"/>
    <cellStyle name="Calculation 2 3 3 5 4" xfId="10520" xr:uid="{00000000-0005-0000-0000-000017060000}"/>
    <cellStyle name="Calculation 2 3 3 5 4 2" xfId="29492" xr:uid="{00000000-0005-0000-0000-000018060000}"/>
    <cellStyle name="Calculation 2 3 3 5 4 3" xfId="40337" xr:uid="{00000000-0005-0000-0000-000019060000}"/>
    <cellStyle name="Calculation 2 3 3 5 4 4" xfId="18761" xr:uid="{00000000-0005-0000-0000-00001A060000}"/>
    <cellStyle name="Calculation 2 3 3 5 5" xfId="21316" xr:uid="{00000000-0005-0000-0000-00001B060000}"/>
    <cellStyle name="Calculation 2 3 3 5 6" xfId="32161" xr:uid="{00000000-0005-0000-0000-00001C060000}"/>
    <cellStyle name="Calculation 2 3 3 5 7" xfId="12907" xr:uid="{00000000-0005-0000-0000-00001D060000}"/>
    <cellStyle name="Calculation 2 3 3 6" xfId="2726" xr:uid="{00000000-0005-0000-0000-00001E060000}"/>
    <cellStyle name="Calculation 2 3 3 6 2" xfId="5578" xr:uid="{00000000-0005-0000-0000-00001F060000}"/>
    <cellStyle name="Calculation 2 3 3 6 2 2" xfId="24550" xr:uid="{00000000-0005-0000-0000-000020060000}"/>
    <cellStyle name="Calculation 2 3 3 6 2 3" xfId="35395" xr:uid="{00000000-0005-0000-0000-000021060000}"/>
    <cellStyle name="Calculation 2 3 3 6 2 4" xfId="15222" xr:uid="{00000000-0005-0000-0000-000022060000}"/>
    <cellStyle name="Calculation 2 3 3 6 3" xfId="8249" xr:uid="{00000000-0005-0000-0000-000023060000}"/>
    <cellStyle name="Calculation 2 3 3 6 3 2" xfId="27221" xr:uid="{00000000-0005-0000-0000-000024060000}"/>
    <cellStyle name="Calculation 2 3 3 6 3 3" xfId="38066" xr:uid="{00000000-0005-0000-0000-000025060000}"/>
    <cellStyle name="Calculation 2 3 3 6 3 4" xfId="17135" xr:uid="{00000000-0005-0000-0000-000026060000}"/>
    <cellStyle name="Calculation 2 3 3 6 4" xfId="10908" xr:uid="{00000000-0005-0000-0000-000027060000}"/>
    <cellStyle name="Calculation 2 3 3 6 4 2" xfId="29880" xr:uid="{00000000-0005-0000-0000-000028060000}"/>
    <cellStyle name="Calculation 2 3 3 6 4 3" xfId="40725" xr:uid="{00000000-0005-0000-0000-000029060000}"/>
    <cellStyle name="Calculation 2 3 3 6 4 4" xfId="19039" xr:uid="{00000000-0005-0000-0000-00002A060000}"/>
    <cellStyle name="Calculation 2 3 3 6 5" xfId="21704" xr:uid="{00000000-0005-0000-0000-00002B060000}"/>
    <cellStyle name="Calculation 2 3 3 6 6" xfId="32549" xr:uid="{00000000-0005-0000-0000-00002C060000}"/>
    <cellStyle name="Calculation 2 3 3 6 7" xfId="13185" xr:uid="{00000000-0005-0000-0000-00002D060000}"/>
    <cellStyle name="Calculation 2 3 3 7" xfId="3417" xr:uid="{00000000-0005-0000-0000-00002E060000}"/>
    <cellStyle name="Calculation 2 3 3 7 2" xfId="22389" xr:uid="{00000000-0005-0000-0000-00002F060000}"/>
    <cellStyle name="Calculation 2 3 3 7 3" xfId="33234" xr:uid="{00000000-0005-0000-0000-000030060000}"/>
    <cellStyle name="Calculation 2 3 3 7 4" xfId="13667" xr:uid="{00000000-0005-0000-0000-000031060000}"/>
    <cellStyle name="Calculation 2 3 3 8" xfId="6093" xr:uid="{00000000-0005-0000-0000-000032060000}"/>
    <cellStyle name="Calculation 2 3 3 8 2" xfId="25065" xr:uid="{00000000-0005-0000-0000-000033060000}"/>
    <cellStyle name="Calculation 2 3 3 8 3" xfId="35910" xr:uid="{00000000-0005-0000-0000-000034060000}"/>
    <cellStyle name="Calculation 2 3 3 8 4" xfId="15584" xr:uid="{00000000-0005-0000-0000-000035060000}"/>
    <cellStyle name="Calculation 2 3 3 9" xfId="8752" xr:uid="{00000000-0005-0000-0000-000036060000}"/>
    <cellStyle name="Calculation 2 3 3 9 2" xfId="27724" xr:uid="{00000000-0005-0000-0000-000037060000}"/>
    <cellStyle name="Calculation 2 3 3 9 3" xfId="38569" xr:uid="{00000000-0005-0000-0000-000038060000}"/>
    <cellStyle name="Calculation 2 3 3 9 4" xfId="17488" xr:uid="{00000000-0005-0000-0000-000039060000}"/>
    <cellStyle name="Calculation 2 3 4" xfId="11430" xr:uid="{00000000-0005-0000-0000-00003A060000}"/>
    <cellStyle name="Calculation 2 4" xfId="60" xr:uid="{00000000-0005-0000-0000-00003B060000}"/>
    <cellStyle name="Calculation 2 4 2" xfId="351" xr:uid="{00000000-0005-0000-0000-00003C060000}"/>
    <cellStyle name="Calculation 2 4 2 10" xfId="1108" xr:uid="{00000000-0005-0000-0000-00003D060000}"/>
    <cellStyle name="Calculation 2 4 2 10 2" xfId="3961" xr:uid="{00000000-0005-0000-0000-00003E060000}"/>
    <cellStyle name="Calculation 2 4 2 10 2 2" xfId="22933" xr:uid="{00000000-0005-0000-0000-00003F060000}"/>
    <cellStyle name="Calculation 2 4 2 10 2 3" xfId="33778" xr:uid="{00000000-0005-0000-0000-000040060000}"/>
    <cellStyle name="Calculation 2 4 2 10 2 4" xfId="14064" xr:uid="{00000000-0005-0000-0000-000041060000}"/>
    <cellStyle name="Calculation 2 4 2 10 3" xfId="6635" xr:uid="{00000000-0005-0000-0000-000042060000}"/>
    <cellStyle name="Calculation 2 4 2 10 3 2" xfId="25607" xr:uid="{00000000-0005-0000-0000-000043060000}"/>
    <cellStyle name="Calculation 2 4 2 10 3 3" xfId="36452" xr:uid="{00000000-0005-0000-0000-000044060000}"/>
    <cellStyle name="Calculation 2 4 2 10 3 4" xfId="15980" xr:uid="{00000000-0005-0000-0000-000045060000}"/>
    <cellStyle name="Calculation 2 4 2 10 4" xfId="9294" xr:uid="{00000000-0005-0000-0000-000046060000}"/>
    <cellStyle name="Calculation 2 4 2 10 4 2" xfId="28266" xr:uid="{00000000-0005-0000-0000-000047060000}"/>
    <cellStyle name="Calculation 2 4 2 10 4 3" xfId="39111" xr:uid="{00000000-0005-0000-0000-000048060000}"/>
    <cellStyle name="Calculation 2 4 2 10 4 4" xfId="17884" xr:uid="{00000000-0005-0000-0000-000049060000}"/>
    <cellStyle name="Calculation 2 4 2 10 5" xfId="20090" xr:uid="{00000000-0005-0000-0000-00004A060000}"/>
    <cellStyle name="Calculation 2 4 2 10 6" xfId="30935" xr:uid="{00000000-0005-0000-0000-00004B060000}"/>
    <cellStyle name="Calculation 2 4 2 10 7" xfId="12030" xr:uid="{00000000-0005-0000-0000-00004C060000}"/>
    <cellStyle name="Calculation 2 4 2 11" xfId="1019" xr:uid="{00000000-0005-0000-0000-00004D060000}"/>
    <cellStyle name="Calculation 2 4 2 11 2" xfId="3872" xr:uid="{00000000-0005-0000-0000-00004E060000}"/>
    <cellStyle name="Calculation 2 4 2 11 2 2" xfId="22844" xr:uid="{00000000-0005-0000-0000-00004F060000}"/>
    <cellStyle name="Calculation 2 4 2 11 2 3" xfId="33689" xr:uid="{00000000-0005-0000-0000-000050060000}"/>
    <cellStyle name="Calculation 2 4 2 11 2 4" xfId="13995" xr:uid="{00000000-0005-0000-0000-000051060000}"/>
    <cellStyle name="Calculation 2 4 2 11 3" xfId="6546" xr:uid="{00000000-0005-0000-0000-000052060000}"/>
    <cellStyle name="Calculation 2 4 2 11 3 2" xfId="25518" xr:uid="{00000000-0005-0000-0000-000053060000}"/>
    <cellStyle name="Calculation 2 4 2 11 3 3" xfId="36363" xr:uid="{00000000-0005-0000-0000-000054060000}"/>
    <cellStyle name="Calculation 2 4 2 11 3 4" xfId="15911" xr:uid="{00000000-0005-0000-0000-000055060000}"/>
    <cellStyle name="Calculation 2 4 2 11 4" xfId="9205" xr:uid="{00000000-0005-0000-0000-000056060000}"/>
    <cellStyle name="Calculation 2 4 2 11 4 2" xfId="28177" xr:uid="{00000000-0005-0000-0000-000057060000}"/>
    <cellStyle name="Calculation 2 4 2 11 4 3" xfId="39022" xr:uid="{00000000-0005-0000-0000-000058060000}"/>
    <cellStyle name="Calculation 2 4 2 11 4 4" xfId="17815" xr:uid="{00000000-0005-0000-0000-000059060000}"/>
    <cellStyle name="Calculation 2 4 2 11 5" xfId="20001" xr:uid="{00000000-0005-0000-0000-00005A060000}"/>
    <cellStyle name="Calculation 2 4 2 11 6" xfId="30846" xr:uid="{00000000-0005-0000-0000-00005B060000}"/>
    <cellStyle name="Calculation 2 4 2 11 7" xfId="11961" xr:uid="{00000000-0005-0000-0000-00005C060000}"/>
    <cellStyle name="Calculation 2 4 2 12" xfId="944" xr:uid="{00000000-0005-0000-0000-00005D060000}"/>
    <cellStyle name="Calculation 2 4 2 12 2" xfId="3797" xr:uid="{00000000-0005-0000-0000-00005E060000}"/>
    <cellStyle name="Calculation 2 4 2 12 2 2" xfId="22769" xr:uid="{00000000-0005-0000-0000-00005F060000}"/>
    <cellStyle name="Calculation 2 4 2 12 2 3" xfId="33614" xr:uid="{00000000-0005-0000-0000-000060060000}"/>
    <cellStyle name="Calculation 2 4 2 12 2 4" xfId="13942" xr:uid="{00000000-0005-0000-0000-000061060000}"/>
    <cellStyle name="Calculation 2 4 2 12 3" xfId="6472" xr:uid="{00000000-0005-0000-0000-000062060000}"/>
    <cellStyle name="Calculation 2 4 2 12 3 2" xfId="25444" xr:uid="{00000000-0005-0000-0000-000063060000}"/>
    <cellStyle name="Calculation 2 4 2 12 3 3" xfId="36289" xr:uid="{00000000-0005-0000-0000-000064060000}"/>
    <cellStyle name="Calculation 2 4 2 12 3 4" xfId="15858" xr:uid="{00000000-0005-0000-0000-000065060000}"/>
    <cellStyle name="Calculation 2 4 2 12 4" xfId="9131" xr:uid="{00000000-0005-0000-0000-000066060000}"/>
    <cellStyle name="Calculation 2 4 2 12 4 2" xfId="28103" xr:uid="{00000000-0005-0000-0000-000067060000}"/>
    <cellStyle name="Calculation 2 4 2 12 4 3" xfId="38948" xr:uid="{00000000-0005-0000-0000-000068060000}"/>
    <cellStyle name="Calculation 2 4 2 12 4 4" xfId="17762" xr:uid="{00000000-0005-0000-0000-000069060000}"/>
    <cellStyle name="Calculation 2 4 2 12 5" xfId="19927" xr:uid="{00000000-0005-0000-0000-00006A060000}"/>
    <cellStyle name="Calculation 2 4 2 12 6" xfId="30772" xr:uid="{00000000-0005-0000-0000-00006B060000}"/>
    <cellStyle name="Calculation 2 4 2 12 7" xfId="11908" xr:uid="{00000000-0005-0000-0000-00006C060000}"/>
    <cellStyle name="Calculation 2 4 2 13" xfId="961" xr:uid="{00000000-0005-0000-0000-00006D060000}"/>
    <cellStyle name="Calculation 2 4 2 13 2" xfId="3814" xr:uid="{00000000-0005-0000-0000-00006E060000}"/>
    <cellStyle name="Calculation 2 4 2 13 2 2" xfId="22786" xr:uid="{00000000-0005-0000-0000-00006F060000}"/>
    <cellStyle name="Calculation 2 4 2 13 2 3" xfId="33631" xr:uid="{00000000-0005-0000-0000-000070060000}"/>
    <cellStyle name="Calculation 2 4 2 13 2 4" xfId="13955" xr:uid="{00000000-0005-0000-0000-000071060000}"/>
    <cellStyle name="Calculation 2 4 2 13 3" xfId="6489" xr:uid="{00000000-0005-0000-0000-000072060000}"/>
    <cellStyle name="Calculation 2 4 2 13 3 2" xfId="25461" xr:uid="{00000000-0005-0000-0000-000073060000}"/>
    <cellStyle name="Calculation 2 4 2 13 3 3" xfId="36306" xr:uid="{00000000-0005-0000-0000-000074060000}"/>
    <cellStyle name="Calculation 2 4 2 13 3 4" xfId="15871" xr:uid="{00000000-0005-0000-0000-000075060000}"/>
    <cellStyle name="Calculation 2 4 2 13 4" xfId="9148" xr:uid="{00000000-0005-0000-0000-000076060000}"/>
    <cellStyle name="Calculation 2 4 2 13 4 2" xfId="28120" xr:uid="{00000000-0005-0000-0000-000077060000}"/>
    <cellStyle name="Calculation 2 4 2 13 4 3" xfId="38965" xr:uid="{00000000-0005-0000-0000-000078060000}"/>
    <cellStyle name="Calculation 2 4 2 13 4 4" xfId="17775" xr:uid="{00000000-0005-0000-0000-000079060000}"/>
    <cellStyle name="Calculation 2 4 2 13 5" xfId="19944" xr:uid="{00000000-0005-0000-0000-00007A060000}"/>
    <cellStyle name="Calculation 2 4 2 13 6" xfId="30789" xr:uid="{00000000-0005-0000-0000-00007B060000}"/>
    <cellStyle name="Calculation 2 4 2 13 7" xfId="11921" xr:uid="{00000000-0005-0000-0000-00007C060000}"/>
    <cellStyle name="Calculation 2 4 2 14" xfId="499" xr:uid="{00000000-0005-0000-0000-00007D060000}"/>
    <cellStyle name="Calculation 2 4 2 14 2" xfId="19532" xr:uid="{00000000-0005-0000-0000-00007E060000}"/>
    <cellStyle name="Calculation 2 4 2 14 3" xfId="30377" xr:uid="{00000000-0005-0000-0000-00007F060000}"/>
    <cellStyle name="Calculation 2 4 2 14 4" xfId="11578" xr:uid="{00000000-0005-0000-0000-000080060000}"/>
    <cellStyle name="Calculation 2 4 2 15" xfId="3303" xr:uid="{00000000-0005-0000-0000-000081060000}"/>
    <cellStyle name="Calculation 2 4 2 15 2" xfId="22277" xr:uid="{00000000-0005-0000-0000-000082060000}"/>
    <cellStyle name="Calculation 2 4 2 15 3" xfId="33122" xr:uid="{00000000-0005-0000-0000-000083060000}"/>
    <cellStyle name="Calculation 2 4 2 15 4" xfId="13589" xr:uid="{00000000-0005-0000-0000-000084060000}"/>
    <cellStyle name="Calculation 2 4 2 16" xfId="3259" xr:uid="{00000000-0005-0000-0000-000085060000}"/>
    <cellStyle name="Calculation 2 4 2 16 2" xfId="22234" xr:uid="{00000000-0005-0000-0000-000086060000}"/>
    <cellStyle name="Calculation 2 4 2 16 3" xfId="33079" xr:uid="{00000000-0005-0000-0000-000087060000}"/>
    <cellStyle name="Calculation 2 4 2 16 4" xfId="13560" xr:uid="{00000000-0005-0000-0000-000088060000}"/>
    <cellStyle name="Calculation 2 4 2 17" xfId="19448" xr:uid="{00000000-0005-0000-0000-000089060000}"/>
    <cellStyle name="Calculation 2 4 2 18" xfId="19406" xr:uid="{00000000-0005-0000-0000-00008A060000}"/>
    <cellStyle name="Calculation 2 4 2 19" xfId="11507" xr:uid="{00000000-0005-0000-0000-00008B060000}"/>
    <cellStyle name="Calculation 2 4 2 2" xfId="659" xr:uid="{00000000-0005-0000-0000-00008C060000}"/>
    <cellStyle name="Calculation 2 4 2 2 10" xfId="19644" xr:uid="{00000000-0005-0000-0000-00008D060000}"/>
    <cellStyle name="Calculation 2 4 2 2 11" xfId="30489" xr:uid="{00000000-0005-0000-0000-00008E060000}"/>
    <cellStyle name="Calculation 2 4 2 2 12" xfId="11711" xr:uid="{00000000-0005-0000-0000-00008F060000}"/>
    <cellStyle name="Calculation 2 4 2 2 2" xfId="1246" xr:uid="{00000000-0005-0000-0000-000090060000}"/>
    <cellStyle name="Calculation 2 4 2 2 2 2" xfId="4099" xr:uid="{00000000-0005-0000-0000-000091060000}"/>
    <cellStyle name="Calculation 2 4 2 2 2 2 2" xfId="23071" xr:uid="{00000000-0005-0000-0000-000092060000}"/>
    <cellStyle name="Calculation 2 4 2 2 2 2 3" xfId="33916" xr:uid="{00000000-0005-0000-0000-000093060000}"/>
    <cellStyle name="Calculation 2 4 2 2 2 2 4" xfId="14172" xr:uid="{00000000-0005-0000-0000-000094060000}"/>
    <cellStyle name="Calculation 2 4 2 2 2 3" xfId="6772" xr:uid="{00000000-0005-0000-0000-000095060000}"/>
    <cellStyle name="Calculation 2 4 2 2 2 3 2" xfId="25744" xr:uid="{00000000-0005-0000-0000-000096060000}"/>
    <cellStyle name="Calculation 2 4 2 2 2 3 3" xfId="36589" xr:uid="{00000000-0005-0000-0000-000097060000}"/>
    <cellStyle name="Calculation 2 4 2 2 2 3 4" xfId="16087" xr:uid="{00000000-0005-0000-0000-000098060000}"/>
    <cellStyle name="Calculation 2 4 2 2 2 4" xfId="9431" xr:uid="{00000000-0005-0000-0000-000099060000}"/>
    <cellStyle name="Calculation 2 4 2 2 2 4 2" xfId="28403" xr:uid="{00000000-0005-0000-0000-00009A060000}"/>
    <cellStyle name="Calculation 2 4 2 2 2 4 3" xfId="39248" xr:uid="{00000000-0005-0000-0000-00009B060000}"/>
    <cellStyle name="Calculation 2 4 2 2 2 4 4" xfId="17991" xr:uid="{00000000-0005-0000-0000-00009C060000}"/>
    <cellStyle name="Calculation 2 4 2 2 2 5" xfId="20227" xr:uid="{00000000-0005-0000-0000-00009D060000}"/>
    <cellStyle name="Calculation 2 4 2 2 2 6" xfId="31072" xr:uid="{00000000-0005-0000-0000-00009E060000}"/>
    <cellStyle name="Calculation 2 4 2 2 2 7" xfId="12137" xr:uid="{00000000-0005-0000-0000-00009F060000}"/>
    <cellStyle name="Calculation 2 4 2 2 3" xfId="1645" xr:uid="{00000000-0005-0000-0000-0000A0060000}"/>
    <cellStyle name="Calculation 2 4 2 2 3 2" xfId="4498" xr:uid="{00000000-0005-0000-0000-0000A1060000}"/>
    <cellStyle name="Calculation 2 4 2 2 3 2 2" xfId="23470" xr:uid="{00000000-0005-0000-0000-0000A2060000}"/>
    <cellStyle name="Calculation 2 4 2 2 3 2 3" xfId="34315" xr:uid="{00000000-0005-0000-0000-0000A3060000}"/>
    <cellStyle name="Calculation 2 4 2 2 3 2 4" xfId="14459" xr:uid="{00000000-0005-0000-0000-0000A4060000}"/>
    <cellStyle name="Calculation 2 4 2 2 3 3" xfId="7170" xr:uid="{00000000-0005-0000-0000-0000A5060000}"/>
    <cellStyle name="Calculation 2 4 2 2 3 3 2" xfId="26142" xr:uid="{00000000-0005-0000-0000-0000A6060000}"/>
    <cellStyle name="Calculation 2 4 2 2 3 3 3" xfId="36987" xr:uid="{00000000-0005-0000-0000-0000A7060000}"/>
    <cellStyle name="Calculation 2 4 2 2 3 3 4" xfId="16373" xr:uid="{00000000-0005-0000-0000-0000A8060000}"/>
    <cellStyle name="Calculation 2 4 2 2 3 4" xfId="9829" xr:uid="{00000000-0005-0000-0000-0000A9060000}"/>
    <cellStyle name="Calculation 2 4 2 2 3 4 2" xfId="28801" xr:uid="{00000000-0005-0000-0000-0000AA060000}"/>
    <cellStyle name="Calculation 2 4 2 2 3 4 3" xfId="39646" xr:uid="{00000000-0005-0000-0000-0000AB060000}"/>
    <cellStyle name="Calculation 2 4 2 2 3 4 4" xfId="18277" xr:uid="{00000000-0005-0000-0000-0000AC060000}"/>
    <cellStyle name="Calculation 2 4 2 2 3 5" xfId="20625" xr:uid="{00000000-0005-0000-0000-0000AD060000}"/>
    <cellStyle name="Calculation 2 4 2 2 3 6" xfId="31470" xr:uid="{00000000-0005-0000-0000-0000AE060000}"/>
    <cellStyle name="Calculation 2 4 2 2 3 7" xfId="12423" xr:uid="{00000000-0005-0000-0000-0000AF060000}"/>
    <cellStyle name="Calculation 2 4 2 2 4" xfId="2049" xr:uid="{00000000-0005-0000-0000-0000B0060000}"/>
    <cellStyle name="Calculation 2 4 2 2 4 2" xfId="4902" xr:uid="{00000000-0005-0000-0000-0000B1060000}"/>
    <cellStyle name="Calculation 2 4 2 2 4 2 2" xfId="23874" xr:uid="{00000000-0005-0000-0000-0000B2060000}"/>
    <cellStyle name="Calculation 2 4 2 2 4 2 3" xfId="34719" xr:uid="{00000000-0005-0000-0000-0000B3060000}"/>
    <cellStyle name="Calculation 2 4 2 2 4 2 4" xfId="14746" xr:uid="{00000000-0005-0000-0000-0000B4060000}"/>
    <cellStyle name="Calculation 2 4 2 2 4 3" xfId="7573" xr:uid="{00000000-0005-0000-0000-0000B5060000}"/>
    <cellStyle name="Calculation 2 4 2 2 4 3 2" xfId="26545" xr:uid="{00000000-0005-0000-0000-0000B6060000}"/>
    <cellStyle name="Calculation 2 4 2 2 4 3 3" xfId="37390" xr:uid="{00000000-0005-0000-0000-0000B7060000}"/>
    <cellStyle name="Calculation 2 4 2 2 4 3 4" xfId="16659" xr:uid="{00000000-0005-0000-0000-0000B8060000}"/>
    <cellStyle name="Calculation 2 4 2 2 4 4" xfId="10232" xr:uid="{00000000-0005-0000-0000-0000B9060000}"/>
    <cellStyle name="Calculation 2 4 2 2 4 4 2" xfId="29204" xr:uid="{00000000-0005-0000-0000-0000BA060000}"/>
    <cellStyle name="Calculation 2 4 2 2 4 4 3" xfId="40049" xr:uid="{00000000-0005-0000-0000-0000BB060000}"/>
    <cellStyle name="Calculation 2 4 2 2 4 4 4" xfId="18563" xr:uid="{00000000-0005-0000-0000-0000BC060000}"/>
    <cellStyle name="Calculation 2 4 2 2 4 5" xfId="21028" xr:uid="{00000000-0005-0000-0000-0000BD060000}"/>
    <cellStyle name="Calculation 2 4 2 2 4 6" xfId="31873" xr:uid="{00000000-0005-0000-0000-0000BE060000}"/>
    <cellStyle name="Calculation 2 4 2 2 4 7" xfId="12709" xr:uid="{00000000-0005-0000-0000-0000BF060000}"/>
    <cellStyle name="Calculation 2 4 2 2 5" xfId="2439" xr:uid="{00000000-0005-0000-0000-0000C0060000}"/>
    <cellStyle name="Calculation 2 4 2 2 5 2" xfId="5291" xr:uid="{00000000-0005-0000-0000-0000C1060000}"/>
    <cellStyle name="Calculation 2 4 2 2 5 2 2" xfId="24263" xr:uid="{00000000-0005-0000-0000-0000C2060000}"/>
    <cellStyle name="Calculation 2 4 2 2 5 2 3" xfId="35108" xr:uid="{00000000-0005-0000-0000-0000C3060000}"/>
    <cellStyle name="Calculation 2 4 2 2 5 2 4" xfId="15025" xr:uid="{00000000-0005-0000-0000-0000C4060000}"/>
    <cellStyle name="Calculation 2 4 2 2 5 3" xfId="7962" xr:uid="{00000000-0005-0000-0000-0000C5060000}"/>
    <cellStyle name="Calculation 2 4 2 2 5 3 2" xfId="26934" xr:uid="{00000000-0005-0000-0000-0000C6060000}"/>
    <cellStyle name="Calculation 2 4 2 2 5 3 3" xfId="37779" xr:uid="{00000000-0005-0000-0000-0000C7060000}"/>
    <cellStyle name="Calculation 2 4 2 2 5 3 4" xfId="16938" xr:uid="{00000000-0005-0000-0000-0000C8060000}"/>
    <cellStyle name="Calculation 2 4 2 2 5 4" xfId="10621" xr:uid="{00000000-0005-0000-0000-0000C9060000}"/>
    <cellStyle name="Calculation 2 4 2 2 5 4 2" xfId="29593" xr:uid="{00000000-0005-0000-0000-0000CA060000}"/>
    <cellStyle name="Calculation 2 4 2 2 5 4 3" xfId="40438" xr:uid="{00000000-0005-0000-0000-0000CB060000}"/>
    <cellStyle name="Calculation 2 4 2 2 5 4 4" xfId="18842" xr:uid="{00000000-0005-0000-0000-0000CC060000}"/>
    <cellStyle name="Calculation 2 4 2 2 5 5" xfId="21417" xr:uid="{00000000-0005-0000-0000-0000CD060000}"/>
    <cellStyle name="Calculation 2 4 2 2 5 6" xfId="32262" xr:uid="{00000000-0005-0000-0000-0000CE060000}"/>
    <cellStyle name="Calculation 2 4 2 2 5 7" xfId="12988" xr:uid="{00000000-0005-0000-0000-0000CF060000}"/>
    <cellStyle name="Calculation 2 4 2 2 6" xfId="2825" xr:uid="{00000000-0005-0000-0000-0000D0060000}"/>
    <cellStyle name="Calculation 2 4 2 2 6 2" xfId="5676" xr:uid="{00000000-0005-0000-0000-0000D1060000}"/>
    <cellStyle name="Calculation 2 4 2 2 6 2 2" xfId="24648" xr:uid="{00000000-0005-0000-0000-0000D2060000}"/>
    <cellStyle name="Calculation 2 4 2 2 6 2 3" xfId="35493" xr:uid="{00000000-0005-0000-0000-0000D3060000}"/>
    <cellStyle name="Calculation 2 4 2 2 6 2 4" xfId="15301" xr:uid="{00000000-0005-0000-0000-0000D4060000}"/>
    <cellStyle name="Calculation 2 4 2 2 6 3" xfId="8347" xr:uid="{00000000-0005-0000-0000-0000D5060000}"/>
    <cellStyle name="Calculation 2 4 2 2 6 3 2" xfId="27319" xr:uid="{00000000-0005-0000-0000-0000D6060000}"/>
    <cellStyle name="Calculation 2 4 2 2 6 3 3" xfId="38164" xr:uid="{00000000-0005-0000-0000-0000D7060000}"/>
    <cellStyle name="Calculation 2 4 2 2 6 3 4" xfId="17214" xr:uid="{00000000-0005-0000-0000-0000D8060000}"/>
    <cellStyle name="Calculation 2 4 2 2 6 4" xfId="11006" xr:uid="{00000000-0005-0000-0000-0000D9060000}"/>
    <cellStyle name="Calculation 2 4 2 2 6 4 2" xfId="29978" xr:uid="{00000000-0005-0000-0000-0000DA060000}"/>
    <cellStyle name="Calculation 2 4 2 2 6 4 3" xfId="40823" xr:uid="{00000000-0005-0000-0000-0000DB060000}"/>
    <cellStyle name="Calculation 2 4 2 2 6 4 4" xfId="19118" xr:uid="{00000000-0005-0000-0000-0000DC060000}"/>
    <cellStyle name="Calculation 2 4 2 2 6 5" xfId="21802" xr:uid="{00000000-0005-0000-0000-0000DD060000}"/>
    <cellStyle name="Calculation 2 4 2 2 6 6" xfId="32647" xr:uid="{00000000-0005-0000-0000-0000DE060000}"/>
    <cellStyle name="Calculation 2 4 2 2 6 7" xfId="13264" xr:uid="{00000000-0005-0000-0000-0000DF060000}"/>
    <cellStyle name="Calculation 2 4 2 2 7" xfId="3514" xr:uid="{00000000-0005-0000-0000-0000E0060000}"/>
    <cellStyle name="Calculation 2 4 2 2 7 2" xfId="22486" xr:uid="{00000000-0005-0000-0000-0000E1060000}"/>
    <cellStyle name="Calculation 2 4 2 2 7 3" xfId="33331" xr:uid="{00000000-0005-0000-0000-0000E2060000}"/>
    <cellStyle name="Calculation 2 4 2 2 7 4" xfId="13745" xr:uid="{00000000-0005-0000-0000-0000E3060000}"/>
    <cellStyle name="Calculation 2 4 2 2 8" xfId="6189" xr:uid="{00000000-0005-0000-0000-0000E4060000}"/>
    <cellStyle name="Calculation 2 4 2 2 8 2" xfId="25161" xr:uid="{00000000-0005-0000-0000-0000E5060000}"/>
    <cellStyle name="Calculation 2 4 2 2 8 3" xfId="36006" xr:uid="{00000000-0005-0000-0000-0000E6060000}"/>
    <cellStyle name="Calculation 2 4 2 2 8 4" xfId="15661" xr:uid="{00000000-0005-0000-0000-0000E7060000}"/>
    <cellStyle name="Calculation 2 4 2 2 9" xfId="8848" xr:uid="{00000000-0005-0000-0000-0000E8060000}"/>
    <cellStyle name="Calculation 2 4 2 2 9 2" xfId="27820" xr:uid="{00000000-0005-0000-0000-0000E9060000}"/>
    <cellStyle name="Calculation 2 4 2 2 9 3" xfId="38665" xr:uid="{00000000-0005-0000-0000-0000EA060000}"/>
    <cellStyle name="Calculation 2 4 2 2 9 4" xfId="17565" xr:uid="{00000000-0005-0000-0000-0000EB060000}"/>
    <cellStyle name="Calculation 2 4 2 3" xfId="603" xr:uid="{00000000-0005-0000-0000-0000EC060000}"/>
    <cellStyle name="Calculation 2 4 2 3 10" xfId="19610" xr:uid="{00000000-0005-0000-0000-0000ED060000}"/>
    <cellStyle name="Calculation 2 4 2 3 11" xfId="30455" xr:uid="{00000000-0005-0000-0000-0000EE060000}"/>
    <cellStyle name="Calculation 2 4 2 3 12" xfId="11665" xr:uid="{00000000-0005-0000-0000-0000EF060000}"/>
    <cellStyle name="Calculation 2 4 2 3 2" xfId="1207" xr:uid="{00000000-0005-0000-0000-0000F0060000}"/>
    <cellStyle name="Calculation 2 4 2 3 2 2" xfId="4060" xr:uid="{00000000-0005-0000-0000-0000F1060000}"/>
    <cellStyle name="Calculation 2 4 2 3 2 2 2" xfId="23032" xr:uid="{00000000-0005-0000-0000-0000F2060000}"/>
    <cellStyle name="Calculation 2 4 2 3 2 2 3" xfId="33877" xr:uid="{00000000-0005-0000-0000-0000F3060000}"/>
    <cellStyle name="Calculation 2 4 2 3 2 2 4" xfId="14140" xr:uid="{00000000-0005-0000-0000-0000F4060000}"/>
    <cellStyle name="Calculation 2 4 2 3 2 3" xfId="6733" xr:uid="{00000000-0005-0000-0000-0000F5060000}"/>
    <cellStyle name="Calculation 2 4 2 3 2 3 2" xfId="25705" xr:uid="{00000000-0005-0000-0000-0000F6060000}"/>
    <cellStyle name="Calculation 2 4 2 3 2 3 3" xfId="36550" xr:uid="{00000000-0005-0000-0000-0000F7060000}"/>
    <cellStyle name="Calculation 2 4 2 3 2 3 4" xfId="16055" xr:uid="{00000000-0005-0000-0000-0000F8060000}"/>
    <cellStyle name="Calculation 2 4 2 3 2 4" xfId="9392" xr:uid="{00000000-0005-0000-0000-0000F9060000}"/>
    <cellStyle name="Calculation 2 4 2 3 2 4 2" xfId="28364" xr:uid="{00000000-0005-0000-0000-0000FA060000}"/>
    <cellStyle name="Calculation 2 4 2 3 2 4 3" xfId="39209" xr:uid="{00000000-0005-0000-0000-0000FB060000}"/>
    <cellStyle name="Calculation 2 4 2 3 2 4 4" xfId="17959" xr:uid="{00000000-0005-0000-0000-0000FC060000}"/>
    <cellStyle name="Calculation 2 4 2 3 2 5" xfId="20188" xr:uid="{00000000-0005-0000-0000-0000FD060000}"/>
    <cellStyle name="Calculation 2 4 2 3 2 6" xfId="31033" xr:uid="{00000000-0005-0000-0000-0000FE060000}"/>
    <cellStyle name="Calculation 2 4 2 3 2 7" xfId="12105" xr:uid="{00000000-0005-0000-0000-0000FF060000}"/>
    <cellStyle name="Calculation 2 4 2 3 3" xfId="1605" xr:uid="{00000000-0005-0000-0000-000000070000}"/>
    <cellStyle name="Calculation 2 4 2 3 3 2" xfId="4458" xr:uid="{00000000-0005-0000-0000-000001070000}"/>
    <cellStyle name="Calculation 2 4 2 3 3 2 2" xfId="23430" xr:uid="{00000000-0005-0000-0000-000002070000}"/>
    <cellStyle name="Calculation 2 4 2 3 3 2 3" xfId="34275" xr:uid="{00000000-0005-0000-0000-000003070000}"/>
    <cellStyle name="Calculation 2 4 2 3 3 2 4" xfId="14427" xr:uid="{00000000-0005-0000-0000-000004070000}"/>
    <cellStyle name="Calculation 2 4 2 3 3 3" xfId="7130" xr:uid="{00000000-0005-0000-0000-000005070000}"/>
    <cellStyle name="Calculation 2 4 2 3 3 3 2" xfId="26102" xr:uid="{00000000-0005-0000-0000-000006070000}"/>
    <cellStyle name="Calculation 2 4 2 3 3 3 3" xfId="36947" xr:uid="{00000000-0005-0000-0000-000007070000}"/>
    <cellStyle name="Calculation 2 4 2 3 3 3 4" xfId="16341" xr:uid="{00000000-0005-0000-0000-000008070000}"/>
    <cellStyle name="Calculation 2 4 2 3 3 4" xfId="9789" xr:uid="{00000000-0005-0000-0000-000009070000}"/>
    <cellStyle name="Calculation 2 4 2 3 3 4 2" xfId="28761" xr:uid="{00000000-0005-0000-0000-00000A070000}"/>
    <cellStyle name="Calculation 2 4 2 3 3 4 3" xfId="39606" xr:uid="{00000000-0005-0000-0000-00000B070000}"/>
    <cellStyle name="Calculation 2 4 2 3 3 4 4" xfId="18245" xr:uid="{00000000-0005-0000-0000-00000C070000}"/>
    <cellStyle name="Calculation 2 4 2 3 3 5" xfId="20585" xr:uid="{00000000-0005-0000-0000-00000D070000}"/>
    <cellStyle name="Calculation 2 4 2 3 3 6" xfId="31430" xr:uid="{00000000-0005-0000-0000-00000E070000}"/>
    <cellStyle name="Calculation 2 4 2 3 3 7" xfId="12391" xr:uid="{00000000-0005-0000-0000-00000F070000}"/>
    <cellStyle name="Calculation 2 4 2 3 4" xfId="2007" xr:uid="{00000000-0005-0000-0000-000010070000}"/>
    <cellStyle name="Calculation 2 4 2 3 4 2" xfId="4860" xr:uid="{00000000-0005-0000-0000-000011070000}"/>
    <cellStyle name="Calculation 2 4 2 3 4 2 2" xfId="23832" xr:uid="{00000000-0005-0000-0000-000012070000}"/>
    <cellStyle name="Calculation 2 4 2 3 4 2 3" xfId="34677" xr:uid="{00000000-0005-0000-0000-000013070000}"/>
    <cellStyle name="Calculation 2 4 2 3 4 2 4" xfId="14713" xr:uid="{00000000-0005-0000-0000-000014070000}"/>
    <cellStyle name="Calculation 2 4 2 3 4 3" xfId="7532" xr:uid="{00000000-0005-0000-0000-000015070000}"/>
    <cellStyle name="Calculation 2 4 2 3 4 3 2" xfId="26504" xr:uid="{00000000-0005-0000-0000-000016070000}"/>
    <cellStyle name="Calculation 2 4 2 3 4 3 3" xfId="37349" xr:uid="{00000000-0005-0000-0000-000017070000}"/>
    <cellStyle name="Calculation 2 4 2 3 4 3 4" xfId="16627" xr:uid="{00000000-0005-0000-0000-000018070000}"/>
    <cellStyle name="Calculation 2 4 2 3 4 4" xfId="10191" xr:uid="{00000000-0005-0000-0000-000019070000}"/>
    <cellStyle name="Calculation 2 4 2 3 4 4 2" xfId="29163" xr:uid="{00000000-0005-0000-0000-00001A070000}"/>
    <cellStyle name="Calculation 2 4 2 3 4 4 3" xfId="40008" xr:uid="{00000000-0005-0000-0000-00001B070000}"/>
    <cellStyle name="Calculation 2 4 2 3 4 4 4" xfId="18531" xr:uid="{00000000-0005-0000-0000-00001C070000}"/>
    <cellStyle name="Calculation 2 4 2 3 4 5" xfId="20987" xr:uid="{00000000-0005-0000-0000-00001D070000}"/>
    <cellStyle name="Calculation 2 4 2 3 4 6" xfId="31832" xr:uid="{00000000-0005-0000-0000-00001E070000}"/>
    <cellStyle name="Calculation 2 4 2 3 4 7" xfId="12677" xr:uid="{00000000-0005-0000-0000-00001F070000}"/>
    <cellStyle name="Calculation 2 4 2 3 5" xfId="2399" xr:uid="{00000000-0005-0000-0000-000020070000}"/>
    <cellStyle name="Calculation 2 4 2 3 5 2" xfId="5252" xr:uid="{00000000-0005-0000-0000-000021070000}"/>
    <cellStyle name="Calculation 2 4 2 3 5 2 2" xfId="24224" xr:uid="{00000000-0005-0000-0000-000022070000}"/>
    <cellStyle name="Calculation 2 4 2 3 5 2 3" xfId="35069" xr:uid="{00000000-0005-0000-0000-000023070000}"/>
    <cellStyle name="Calculation 2 4 2 3 5 2 4" xfId="14994" xr:uid="{00000000-0005-0000-0000-000024070000}"/>
    <cellStyle name="Calculation 2 4 2 3 5 3" xfId="7923" xr:uid="{00000000-0005-0000-0000-000025070000}"/>
    <cellStyle name="Calculation 2 4 2 3 5 3 2" xfId="26895" xr:uid="{00000000-0005-0000-0000-000026070000}"/>
    <cellStyle name="Calculation 2 4 2 3 5 3 3" xfId="37740" xr:uid="{00000000-0005-0000-0000-000027070000}"/>
    <cellStyle name="Calculation 2 4 2 3 5 3 4" xfId="16907" xr:uid="{00000000-0005-0000-0000-000028070000}"/>
    <cellStyle name="Calculation 2 4 2 3 5 4" xfId="10582" xr:uid="{00000000-0005-0000-0000-000029070000}"/>
    <cellStyle name="Calculation 2 4 2 3 5 4 2" xfId="29554" xr:uid="{00000000-0005-0000-0000-00002A070000}"/>
    <cellStyle name="Calculation 2 4 2 3 5 4 3" xfId="40399" xr:uid="{00000000-0005-0000-0000-00002B070000}"/>
    <cellStyle name="Calculation 2 4 2 3 5 4 4" xfId="18811" xr:uid="{00000000-0005-0000-0000-00002C070000}"/>
    <cellStyle name="Calculation 2 4 2 3 5 5" xfId="21378" xr:uid="{00000000-0005-0000-0000-00002D070000}"/>
    <cellStyle name="Calculation 2 4 2 3 5 6" xfId="32223" xr:uid="{00000000-0005-0000-0000-00002E070000}"/>
    <cellStyle name="Calculation 2 4 2 3 5 7" xfId="12957" xr:uid="{00000000-0005-0000-0000-00002F070000}"/>
    <cellStyle name="Calculation 2 4 2 3 6" xfId="2788" xr:uid="{00000000-0005-0000-0000-000030070000}"/>
    <cellStyle name="Calculation 2 4 2 3 6 2" xfId="5640" xr:uid="{00000000-0005-0000-0000-000031070000}"/>
    <cellStyle name="Calculation 2 4 2 3 6 2 2" xfId="24612" xr:uid="{00000000-0005-0000-0000-000032070000}"/>
    <cellStyle name="Calculation 2 4 2 3 6 2 3" xfId="35457" xr:uid="{00000000-0005-0000-0000-000033070000}"/>
    <cellStyle name="Calculation 2 4 2 3 6 2 4" xfId="15272" xr:uid="{00000000-0005-0000-0000-000034070000}"/>
    <cellStyle name="Calculation 2 4 2 3 6 3" xfId="8311" xr:uid="{00000000-0005-0000-0000-000035070000}"/>
    <cellStyle name="Calculation 2 4 2 3 6 3 2" xfId="27283" xr:uid="{00000000-0005-0000-0000-000036070000}"/>
    <cellStyle name="Calculation 2 4 2 3 6 3 3" xfId="38128" xr:uid="{00000000-0005-0000-0000-000037070000}"/>
    <cellStyle name="Calculation 2 4 2 3 6 3 4" xfId="17185" xr:uid="{00000000-0005-0000-0000-000038070000}"/>
    <cellStyle name="Calculation 2 4 2 3 6 4" xfId="10970" xr:uid="{00000000-0005-0000-0000-000039070000}"/>
    <cellStyle name="Calculation 2 4 2 3 6 4 2" xfId="29942" xr:uid="{00000000-0005-0000-0000-00003A070000}"/>
    <cellStyle name="Calculation 2 4 2 3 6 4 3" xfId="40787" xr:uid="{00000000-0005-0000-0000-00003B070000}"/>
    <cellStyle name="Calculation 2 4 2 3 6 4 4" xfId="19089" xr:uid="{00000000-0005-0000-0000-00003C070000}"/>
    <cellStyle name="Calculation 2 4 2 3 6 5" xfId="21766" xr:uid="{00000000-0005-0000-0000-00003D070000}"/>
    <cellStyle name="Calculation 2 4 2 3 6 6" xfId="32611" xr:uid="{00000000-0005-0000-0000-00003E070000}"/>
    <cellStyle name="Calculation 2 4 2 3 6 7" xfId="13235" xr:uid="{00000000-0005-0000-0000-00003F070000}"/>
    <cellStyle name="Calculation 2 4 2 3 7" xfId="3479" xr:uid="{00000000-0005-0000-0000-000040070000}"/>
    <cellStyle name="Calculation 2 4 2 3 7 2" xfId="22451" xr:uid="{00000000-0005-0000-0000-000041070000}"/>
    <cellStyle name="Calculation 2 4 2 3 7 3" xfId="33296" xr:uid="{00000000-0005-0000-0000-000042070000}"/>
    <cellStyle name="Calculation 2 4 2 3 7 4" xfId="13717" xr:uid="{00000000-0005-0000-0000-000043070000}"/>
    <cellStyle name="Calculation 2 4 2 3 8" xfId="6155" xr:uid="{00000000-0005-0000-0000-000044070000}"/>
    <cellStyle name="Calculation 2 4 2 3 8 2" xfId="25127" xr:uid="{00000000-0005-0000-0000-000045070000}"/>
    <cellStyle name="Calculation 2 4 2 3 8 3" xfId="35972" xr:uid="{00000000-0005-0000-0000-000046070000}"/>
    <cellStyle name="Calculation 2 4 2 3 8 4" xfId="15634" xr:uid="{00000000-0005-0000-0000-000047070000}"/>
    <cellStyle name="Calculation 2 4 2 3 9" xfId="8814" xr:uid="{00000000-0005-0000-0000-000048070000}"/>
    <cellStyle name="Calculation 2 4 2 3 9 2" xfId="27786" xr:uid="{00000000-0005-0000-0000-000049070000}"/>
    <cellStyle name="Calculation 2 4 2 3 9 3" xfId="38631" xr:uid="{00000000-0005-0000-0000-00004A070000}"/>
    <cellStyle name="Calculation 2 4 2 3 9 4" xfId="17538" xr:uid="{00000000-0005-0000-0000-00004B070000}"/>
    <cellStyle name="Calculation 2 4 2 4" xfId="633" xr:uid="{00000000-0005-0000-0000-00004C070000}"/>
    <cellStyle name="Calculation 2 4 2 4 10" xfId="19631" xr:uid="{00000000-0005-0000-0000-00004D070000}"/>
    <cellStyle name="Calculation 2 4 2 4 11" xfId="30476" xr:uid="{00000000-0005-0000-0000-00004E070000}"/>
    <cellStyle name="Calculation 2 4 2 4 12" xfId="11687" xr:uid="{00000000-0005-0000-0000-00004F070000}"/>
    <cellStyle name="Calculation 2 4 2 4 2" xfId="1230" xr:uid="{00000000-0005-0000-0000-000050070000}"/>
    <cellStyle name="Calculation 2 4 2 4 2 2" xfId="4083" xr:uid="{00000000-0005-0000-0000-000051070000}"/>
    <cellStyle name="Calculation 2 4 2 4 2 2 2" xfId="23055" xr:uid="{00000000-0005-0000-0000-000052070000}"/>
    <cellStyle name="Calculation 2 4 2 4 2 2 3" xfId="33900" xr:uid="{00000000-0005-0000-0000-000053070000}"/>
    <cellStyle name="Calculation 2 4 2 4 2 2 4" xfId="14156" xr:uid="{00000000-0005-0000-0000-000054070000}"/>
    <cellStyle name="Calculation 2 4 2 4 2 3" xfId="6756" xr:uid="{00000000-0005-0000-0000-000055070000}"/>
    <cellStyle name="Calculation 2 4 2 4 2 3 2" xfId="25728" xr:uid="{00000000-0005-0000-0000-000056070000}"/>
    <cellStyle name="Calculation 2 4 2 4 2 3 3" xfId="36573" xr:uid="{00000000-0005-0000-0000-000057070000}"/>
    <cellStyle name="Calculation 2 4 2 4 2 3 4" xfId="16071" xr:uid="{00000000-0005-0000-0000-000058070000}"/>
    <cellStyle name="Calculation 2 4 2 4 2 4" xfId="9415" xr:uid="{00000000-0005-0000-0000-000059070000}"/>
    <cellStyle name="Calculation 2 4 2 4 2 4 2" xfId="28387" xr:uid="{00000000-0005-0000-0000-00005A070000}"/>
    <cellStyle name="Calculation 2 4 2 4 2 4 3" xfId="39232" xr:uid="{00000000-0005-0000-0000-00005B070000}"/>
    <cellStyle name="Calculation 2 4 2 4 2 4 4" xfId="17975" xr:uid="{00000000-0005-0000-0000-00005C070000}"/>
    <cellStyle name="Calculation 2 4 2 4 2 5" xfId="20211" xr:uid="{00000000-0005-0000-0000-00005D070000}"/>
    <cellStyle name="Calculation 2 4 2 4 2 6" xfId="31056" xr:uid="{00000000-0005-0000-0000-00005E070000}"/>
    <cellStyle name="Calculation 2 4 2 4 2 7" xfId="12121" xr:uid="{00000000-0005-0000-0000-00005F070000}"/>
    <cellStyle name="Calculation 2 4 2 4 3" xfId="1628" xr:uid="{00000000-0005-0000-0000-000060070000}"/>
    <cellStyle name="Calculation 2 4 2 4 3 2" xfId="4481" xr:uid="{00000000-0005-0000-0000-000061070000}"/>
    <cellStyle name="Calculation 2 4 2 4 3 2 2" xfId="23453" xr:uid="{00000000-0005-0000-0000-000062070000}"/>
    <cellStyle name="Calculation 2 4 2 4 3 2 3" xfId="34298" xr:uid="{00000000-0005-0000-0000-000063070000}"/>
    <cellStyle name="Calculation 2 4 2 4 3 2 4" xfId="14443" xr:uid="{00000000-0005-0000-0000-000064070000}"/>
    <cellStyle name="Calculation 2 4 2 4 3 3" xfId="7153" xr:uid="{00000000-0005-0000-0000-000065070000}"/>
    <cellStyle name="Calculation 2 4 2 4 3 3 2" xfId="26125" xr:uid="{00000000-0005-0000-0000-000066070000}"/>
    <cellStyle name="Calculation 2 4 2 4 3 3 3" xfId="36970" xr:uid="{00000000-0005-0000-0000-000067070000}"/>
    <cellStyle name="Calculation 2 4 2 4 3 3 4" xfId="16357" xr:uid="{00000000-0005-0000-0000-000068070000}"/>
    <cellStyle name="Calculation 2 4 2 4 3 4" xfId="9812" xr:uid="{00000000-0005-0000-0000-000069070000}"/>
    <cellStyle name="Calculation 2 4 2 4 3 4 2" xfId="28784" xr:uid="{00000000-0005-0000-0000-00006A070000}"/>
    <cellStyle name="Calculation 2 4 2 4 3 4 3" xfId="39629" xr:uid="{00000000-0005-0000-0000-00006B070000}"/>
    <cellStyle name="Calculation 2 4 2 4 3 4 4" xfId="18261" xr:uid="{00000000-0005-0000-0000-00006C070000}"/>
    <cellStyle name="Calculation 2 4 2 4 3 5" xfId="20608" xr:uid="{00000000-0005-0000-0000-00006D070000}"/>
    <cellStyle name="Calculation 2 4 2 4 3 6" xfId="31453" xr:uid="{00000000-0005-0000-0000-00006E070000}"/>
    <cellStyle name="Calculation 2 4 2 4 3 7" xfId="12407" xr:uid="{00000000-0005-0000-0000-00006F070000}"/>
    <cellStyle name="Calculation 2 4 2 4 4" xfId="2032" xr:uid="{00000000-0005-0000-0000-000070070000}"/>
    <cellStyle name="Calculation 2 4 2 4 4 2" xfId="4885" xr:uid="{00000000-0005-0000-0000-000071070000}"/>
    <cellStyle name="Calculation 2 4 2 4 4 2 2" xfId="23857" xr:uid="{00000000-0005-0000-0000-000072070000}"/>
    <cellStyle name="Calculation 2 4 2 4 4 2 3" xfId="34702" xr:uid="{00000000-0005-0000-0000-000073070000}"/>
    <cellStyle name="Calculation 2 4 2 4 4 2 4" xfId="14730" xr:uid="{00000000-0005-0000-0000-000074070000}"/>
    <cellStyle name="Calculation 2 4 2 4 4 3" xfId="7557" xr:uid="{00000000-0005-0000-0000-000075070000}"/>
    <cellStyle name="Calculation 2 4 2 4 4 3 2" xfId="26529" xr:uid="{00000000-0005-0000-0000-000076070000}"/>
    <cellStyle name="Calculation 2 4 2 4 4 3 3" xfId="37374" xr:uid="{00000000-0005-0000-0000-000077070000}"/>
    <cellStyle name="Calculation 2 4 2 4 4 3 4" xfId="16644" xr:uid="{00000000-0005-0000-0000-000078070000}"/>
    <cellStyle name="Calculation 2 4 2 4 4 4" xfId="10216" xr:uid="{00000000-0005-0000-0000-000079070000}"/>
    <cellStyle name="Calculation 2 4 2 4 4 4 2" xfId="29188" xr:uid="{00000000-0005-0000-0000-00007A070000}"/>
    <cellStyle name="Calculation 2 4 2 4 4 4 3" xfId="40033" xr:uid="{00000000-0005-0000-0000-00007B070000}"/>
    <cellStyle name="Calculation 2 4 2 4 4 4 4" xfId="18548" xr:uid="{00000000-0005-0000-0000-00007C070000}"/>
    <cellStyle name="Calculation 2 4 2 4 4 5" xfId="21012" xr:uid="{00000000-0005-0000-0000-00007D070000}"/>
    <cellStyle name="Calculation 2 4 2 4 4 6" xfId="31857" xr:uid="{00000000-0005-0000-0000-00007E070000}"/>
    <cellStyle name="Calculation 2 4 2 4 4 7" xfId="12694" xr:uid="{00000000-0005-0000-0000-00007F070000}"/>
    <cellStyle name="Calculation 2 4 2 4 5" xfId="2423" xr:uid="{00000000-0005-0000-0000-000080070000}"/>
    <cellStyle name="Calculation 2 4 2 4 5 2" xfId="5276" xr:uid="{00000000-0005-0000-0000-000081070000}"/>
    <cellStyle name="Calculation 2 4 2 4 5 2 2" xfId="24248" xr:uid="{00000000-0005-0000-0000-000082070000}"/>
    <cellStyle name="Calculation 2 4 2 4 5 2 3" xfId="35093" xr:uid="{00000000-0005-0000-0000-000083070000}"/>
    <cellStyle name="Calculation 2 4 2 4 5 2 4" xfId="15010" xr:uid="{00000000-0005-0000-0000-000084070000}"/>
    <cellStyle name="Calculation 2 4 2 4 5 3" xfId="7947" xr:uid="{00000000-0005-0000-0000-000085070000}"/>
    <cellStyle name="Calculation 2 4 2 4 5 3 2" xfId="26919" xr:uid="{00000000-0005-0000-0000-000086070000}"/>
    <cellStyle name="Calculation 2 4 2 4 5 3 3" xfId="37764" xr:uid="{00000000-0005-0000-0000-000087070000}"/>
    <cellStyle name="Calculation 2 4 2 4 5 3 4" xfId="16923" xr:uid="{00000000-0005-0000-0000-000088070000}"/>
    <cellStyle name="Calculation 2 4 2 4 5 4" xfId="10606" xr:uid="{00000000-0005-0000-0000-000089070000}"/>
    <cellStyle name="Calculation 2 4 2 4 5 4 2" xfId="29578" xr:uid="{00000000-0005-0000-0000-00008A070000}"/>
    <cellStyle name="Calculation 2 4 2 4 5 4 3" xfId="40423" xr:uid="{00000000-0005-0000-0000-00008B070000}"/>
    <cellStyle name="Calculation 2 4 2 4 5 4 4" xfId="18827" xr:uid="{00000000-0005-0000-0000-00008C070000}"/>
    <cellStyle name="Calculation 2 4 2 4 5 5" xfId="21402" xr:uid="{00000000-0005-0000-0000-00008D070000}"/>
    <cellStyle name="Calculation 2 4 2 4 5 6" xfId="32247" xr:uid="{00000000-0005-0000-0000-00008E070000}"/>
    <cellStyle name="Calculation 2 4 2 4 5 7" xfId="12973" xr:uid="{00000000-0005-0000-0000-00008F070000}"/>
    <cellStyle name="Calculation 2 4 2 4 6" xfId="2811" xr:uid="{00000000-0005-0000-0000-000090070000}"/>
    <cellStyle name="Calculation 2 4 2 4 6 2" xfId="5663" xr:uid="{00000000-0005-0000-0000-000091070000}"/>
    <cellStyle name="Calculation 2 4 2 4 6 2 2" xfId="24635" xr:uid="{00000000-0005-0000-0000-000092070000}"/>
    <cellStyle name="Calculation 2 4 2 4 6 2 3" xfId="35480" xr:uid="{00000000-0005-0000-0000-000093070000}"/>
    <cellStyle name="Calculation 2 4 2 4 6 2 4" xfId="15288" xr:uid="{00000000-0005-0000-0000-000094070000}"/>
    <cellStyle name="Calculation 2 4 2 4 6 3" xfId="8334" xr:uid="{00000000-0005-0000-0000-000095070000}"/>
    <cellStyle name="Calculation 2 4 2 4 6 3 2" xfId="27306" xr:uid="{00000000-0005-0000-0000-000096070000}"/>
    <cellStyle name="Calculation 2 4 2 4 6 3 3" xfId="38151" xr:uid="{00000000-0005-0000-0000-000097070000}"/>
    <cellStyle name="Calculation 2 4 2 4 6 3 4" xfId="17201" xr:uid="{00000000-0005-0000-0000-000098070000}"/>
    <cellStyle name="Calculation 2 4 2 4 6 4" xfId="10993" xr:uid="{00000000-0005-0000-0000-000099070000}"/>
    <cellStyle name="Calculation 2 4 2 4 6 4 2" xfId="29965" xr:uid="{00000000-0005-0000-0000-00009A070000}"/>
    <cellStyle name="Calculation 2 4 2 4 6 4 3" xfId="40810" xr:uid="{00000000-0005-0000-0000-00009B070000}"/>
    <cellStyle name="Calculation 2 4 2 4 6 4 4" xfId="19105" xr:uid="{00000000-0005-0000-0000-00009C070000}"/>
    <cellStyle name="Calculation 2 4 2 4 6 5" xfId="21789" xr:uid="{00000000-0005-0000-0000-00009D070000}"/>
    <cellStyle name="Calculation 2 4 2 4 6 6" xfId="32634" xr:uid="{00000000-0005-0000-0000-00009E070000}"/>
    <cellStyle name="Calculation 2 4 2 4 6 7" xfId="13251" xr:uid="{00000000-0005-0000-0000-00009F070000}"/>
    <cellStyle name="Calculation 2 4 2 4 7" xfId="3501" xr:uid="{00000000-0005-0000-0000-0000A0070000}"/>
    <cellStyle name="Calculation 2 4 2 4 7 2" xfId="22473" xr:uid="{00000000-0005-0000-0000-0000A1070000}"/>
    <cellStyle name="Calculation 2 4 2 4 7 3" xfId="33318" xr:uid="{00000000-0005-0000-0000-0000A2070000}"/>
    <cellStyle name="Calculation 2 4 2 4 7 4" xfId="13732" xr:uid="{00000000-0005-0000-0000-0000A3070000}"/>
    <cellStyle name="Calculation 2 4 2 4 8" xfId="6176" xr:uid="{00000000-0005-0000-0000-0000A4070000}"/>
    <cellStyle name="Calculation 2 4 2 4 8 2" xfId="25148" xr:uid="{00000000-0005-0000-0000-0000A5070000}"/>
    <cellStyle name="Calculation 2 4 2 4 8 3" xfId="35993" xr:uid="{00000000-0005-0000-0000-0000A6070000}"/>
    <cellStyle name="Calculation 2 4 2 4 8 4" xfId="15648" xr:uid="{00000000-0005-0000-0000-0000A7070000}"/>
    <cellStyle name="Calculation 2 4 2 4 9" xfId="8835" xr:uid="{00000000-0005-0000-0000-0000A8070000}"/>
    <cellStyle name="Calculation 2 4 2 4 9 2" xfId="27807" xr:uid="{00000000-0005-0000-0000-0000A9070000}"/>
    <cellStyle name="Calculation 2 4 2 4 9 3" xfId="38652" xr:uid="{00000000-0005-0000-0000-0000AA070000}"/>
    <cellStyle name="Calculation 2 4 2 4 9 4" xfId="17552" xr:uid="{00000000-0005-0000-0000-0000AB070000}"/>
    <cellStyle name="Calculation 2 4 2 5" xfId="770" xr:uid="{00000000-0005-0000-0000-0000AC070000}"/>
    <cellStyle name="Calculation 2 4 2 5 10" xfId="19755" xr:uid="{00000000-0005-0000-0000-0000AD070000}"/>
    <cellStyle name="Calculation 2 4 2 5 11" xfId="30600" xr:uid="{00000000-0005-0000-0000-0000AE070000}"/>
    <cellStyle name="Calculation 2 4 2 5 12" xfId="11789" xr:uid="{00000000-0005-0000-0000-0000AF070000}"/>
    <cellStyle name="Calculation 2 4 2 5 2" xfId="1357" xr:uid="{00000000-0005-0000-0000-0000B0070000}"/>
    <cellStyle name="Calculation 2 4 2 5 2 2" xfId="4210" xr:uid="{00000000-0005-0000-0000-0000B1070000}"/>
    <cellStyle name="Calculation 2 4 2 5 2 2 2" xfId="23182" xr:uid="{00000000-0005-0000-0000-0000B2070000}"/>
    <cellStyle name="Calculation 2 4 2 5 2 2 3" xfId="34027" xr:uid="{00000000-0005-0000-0000-0000B3070000}"/>
    <cellStyle name="Calculation 2 4 2 5 2 2 4" xfId="14250" xr:uid="{00000000-0005-0000-0000-0000B4070000}"/>
    <cellStyle name="Calculation 2 4 2 5 2 3" xfId="6883" xr:uid="{00000000-0005-0000-0000-0000B5070000}"/>
    <cellStyle name="Calculation 2 4 2 5 2 3 2" xfId="25855" xr:uid="{00000000-0005-0000-0000-0000B6070000}"/>
    <cellStyle name="Calculation 2 4 2 5 2 3 3" xfId="36700" xr:uid="{00000000-0005-0000-0000-0000B7070000}"/>
    <cellStyle name="Calculation 2 4 2 5 2 3 4" xfId="16165" xr:uid="{00000000-0005-0000-0000-0000B8070000}"/>
    <cellStyle name="Calculation 2 4 2 5 2 4" xfId="9542" xr:uid="{00000000-0005-0000-0000-0000B9070000}"/>
    <cellStyle name="Calculation 2 4 2 5 2 4 2" xfId="28514" xr:uid="{00000000-0005-0000-0000-0000BA070000}"/>
    <cellStyle name="Calculation 2 4 2 5 2 4 3" xfId="39359" xr:uid="{00000000-0005-0000-0000-0000BB070000}"/>
    <cellStyle name="Calculation 2 4 2 5 2 4 4" xfId="18069" xr:uid="{00000000-0005-0000-0000-0000BC070000}"/>
    <cellStyle name="Calculation 2 4 2 5 2 5" xfId="20338" xr:uid="{00000000-0005-0000-0000-0000BD070000}"/>
    <cellStyle name="Calculation 2 4 2 5 2 6" xfId="31183" xr:uid="{00000000-0005-0000-0000-0000BE070000}"/>
    <cellStyle name="Calculation 2 4 2 5 2 7" xfId="12215" xr:uid="{00000000-0005-0000-0000-0000BF070000}"/>
    <cellStyle name="Calculation 2 4 2 5 3" xfId="1756" xr:uid="{00000000-0005-0000-0000-0000C0070000}"/>
    <cellStyle name="Calculation 2 4 2 5 3 2" xfId="4609" xr:uid="{00000000-0005-0000-0000-0000C1070000}"/>
    <cellStyle name="Calculation 2 4 2 5 3 2 2" xfId="23581" xr:uid="{00000000-0005-0000-0000-0000C2070000}"/>
    <cellStyle name="Calculation 2 4 2 5 3 2 3" xfId="34426" xr:uid="{00000000-0005-0000-0000-0000C3070000}"/>
    <cellStyle name="Calculation 2 4 2 5 3 2 4" xfId="14537" xr:uid="{00000000-0005-0000-0000-0000C4070000}"/>
    <cellStyle name="Calculation 2 4 2 5 3 3" xfId="7281" xr:uid="{00000000-0005-0000-0000-0000C5070000}"/>
    <cellStyle name="Calculation 2 4 2 5 3 3 2" xfId="26253" xr:uid="{00000000-0005-0000-0000-0000C6070000}"/>
    <cellStyle name="Calculation 2 4 2 5 3 3 3" xfId="37098" xr:uid="{00000000-0005-0000-0000-0000C7070000}"/>
    <cellStyle name="Calculation 2 4 2 5 3 3 4" xfId="16451" xr:uid="{00000000-0005-0000-0000-0000C8070000}"/>
    <cellStyle name="Calculation 2 4 2 5 3 4" xfId="9940" xr:uid="{00000000-0005-0000-0000-0000C9070000}"/>
    <cellStyle name="Calculation 2 4 2 5 3 4 2" xfId="28912" xr:uid="{00000000-0005-0000-0000-0000CA070000}"/>
    <cellStyle name="Calculation 2 4 2 5 3 4 3" xfId="39757" xr:uid="{00000000-0005-0000-0000-0000CB070000}"/>
    <cellStyle name="Calculation 2 4 2 5 3 4 4" xfId="18355" xr:uid="{00000000-0005-0000-0000-0000CC070000}"/>
    <cellStyle name="Calculation 2 4 2 5 3 5" xfId="20736" xr:uid="{00000000-0005-0000-0000-0000CD070000}"/>
    <cellStyle name="Calculation 2 4 2 5 3 6" xfId="31581" xr:uid="{00000000-0005-0000-0000-0000CE070000}"/>
    <cellStyle name="Calculation 2 4 2 5 3 7" xfId="12501" xr:uid="{00000000-0005-0000-0000-0000CF070000}"/>
    <cellStyle name="Calculation 2 4 2 5 4" xfId="2160" xr:uid="{00000000-0005-0000-0000-0000D0070000}"/>
    <cellStyle name="Calculation 2 4 2 5 4 2" xfId="5013" xr:uid="{00000000-0005-0000-0000-0000D1070000}"/>
    <cellStyle name="Calculation 2 4 2 5 4 2 2" xfId="23985" xr:uid="{00000000-0005-0000-0000-0000D2070000}"/>
    <cellStyle name="Calculation 2 4 2 5 4 2 3" xfId="34830" xr:uid="{00000000-0005-0000-0000-0000D3070000}"/>
    <cellStyle name="Calculation 2 4 2 5 4 2 4" xfId="14824" xr:uid="{00000000-0005-0000-0000-0000D4070000}"/>
    <cellStyle name="Calculation 2 4 2 5 4 3" xfId="7684" xr:uid="{00000000-0005-0000-0000-0000D5070000}"/>
    <cellStyle name="Calculation 2 4 2 5 4 3 2" xfId="26656" xr:uid="{00000000-0005-0000-0000-0000D6070000}"/>
    <cellStyle name="Calculation 2 4 2 5 4 3 3" xfId="37501" xr:uid="{00000000-0005-0000-0000-0000D7070000}"/>
    <cellStyle name="Calculation 2 4 2 5 4 3 4" xfId="16737" xr:uid="{00000000-0005-0000-0000-0000D8070000}"/>
    <cellStyle name="Calculation 2 4 2 5 4 4" xfId="10343" xr:uid="{00000000-0005-0000-0000-0000D9070000}"/>
    <cellStyle name="Calculation 2 4 2 5 4 4 2" xfId="29315" xr:uid="{00000000-0005-0000-0000-0000DA070000}"/>
    <cellStyle name="Calculation 2 4 2 5 4 4 3" xfId="40160" xr:uid="{00000000-0005-0000-0000-0000DB070000}"/>
    <cellStyle name="Calculation 2 4 2 5 4 4 4" xfId="18641" xr:uid="{00000000-0005-0000-0000-0000DC070000}"/>
    <cellStyle name="Calculation 2 4 2 5 4 5" xfId="21139" xr:uid="{00000000-0005-0000-0000-0000DD070000}"/>
    <cellStyle name="Calculation 2 4 2 5 4 6" xfId="31984" xr:uid="{00000000-0005-0000-0000-0000DE070000}"/>
    <cellStyle name="Calculation 2 4 2 5 4 7" xfId="12787" xr:uid="{00000000-0005-0000-0000-0000DF070000}"/>
    <cellStyle name="Calculation 2 4 2 5 5" xfId="2550" xr:uid="{00000000-0005-0000-0000-0000E0070000}"/>
    <cellStyle name="Calculation 2 4 2 5 5 2" xfId="5402" xr:uid="{00000000-0005-0000-0000-0000E1070000}"/>
    <cellStyle name="Calculation 2 4 2 5 5 2 2" xfId="24374" xr:uid="{00000000-0005-0000-0000-0000E2070000}"/>
    <cellStyle name="Calculation 2 4 2 5 5 2 3" xfId="35219" xr:uid="{00000000-0005-0000-0000-0000E3070000}"/>
    <cellStyle name="Calculation 2 4 2 5 5 2 4" xfId="15103" xr:uid="{00000000-0005-0000-0000-0000E4070000}"/>
    <cellStyle name="Calculation 2 4 2 5 5 3" xfId="8073" xr:uid="{00000000-0005-0000-0000-0000E5070000}"/>
    <cellStyle name="Calculation 2 4 2 5 5 3 2" xfId="27045" xr:uid="{00000000-0005-0000-0000-0000E6070000}"/>
    <cellStyle name="Calculation 2 4 2 5 5 3 3" xfId="37890" xr:uid="{00000000-0005-0000-0000-0000E7070000}"/>
    <cellStyle name="Calculation 2 4 2 5 5 3 4" xfId="17016" xr:uid="{00000000-0005-0000-0000-0000E8070000}"/>
    <cellStyle name="Calculation 2 4 2 5 5 4" xfId="10732" xr:uid="{00000000-0005-0000-0000-0000E9070000}"/>
    <cellStyle name="Calculation 2 4 2 5 5 4 2" xfId="29704" xr:uid="{00000000-0005-0000-0000-0000EA070000}"/>
    <cellStyle name="Calculation 2 4 2 5 5 4 3" xfId="40549" xr:uid="{00000000-0005-0000-0000-0000EB070000}"/>
    <cellStyle name="Calculation 2 4 2 5 5 4 4" xfId="18920" xr:uid="{00000000-0005-0000-0000-0000EC070000}"/>
    <cellStyle name="Calculation 2 4 2 5 5 5" xfId="21528" xr:uid="{00000000-0005-0000-0000-0000ED070000}"/>
    <cellStyle name="Calculation 2 4 2 5 5 6" xfId="32373" xr:uid="{00000000-0005-0000-0000-0000EE070000}"/>
    <cellStyle name="Calculation 2 4 2 5 5 7" xfId="13066" xr:uid="{00000000-0005-0000-0000-0000EF070000}"/>
    <cellStyle name="Calculation 2 4 2 5 6" xfId="2936" xr:uid="{00000000-0005-0000-0000-0000F0070000}"/>
    <cellStyle name="Calculation 2 4 2 5 6 2" xfId="5787" xr:uid="{00000000-0005-0000-0000-0000F1070000}"/>
    <cellStyle name="Calculation 2 4 2 5 6 2 2" xfId="24759" xr:uid="{00000000-0005-0000-0000-0000F2070000}"/>
    <cellStyle name="Calculation 2 4 2 5 6 2 3" xfId="35604" xr:uid="{00000000-0005-0000-0000-0000F3070000}"/>
    <cellStyle name="Calculation 2 4 2 5 6 2 4" xfId="15379" xr:uid="{00000000-0005-0000-0000-0000F4070000}"/>
    <cellStyle name="Calculation 2 4 2 5 6 3" xfId="8458" xr:uid="{00000000-0005-0000-0000-0000F5070000}"/>
    <cellStyle name="Calculation 2 4 2 5 6 3 2" xfId="27430" xr:uid="{00000000-0005-0000-0000-0000F6070000}"/>
    <cellStyle name="Calculation 2 4 2 5 6 3 3" xfId="38275" xr:uid="{00000000-0005-0000-0000-0000F7070000}"/>
    <cellStyle name="Calculation 2 4 2 5 6 3 4" xfId="17292" xr:uid="{00000000-0005-0000-0000-0000F8070000}"/>
    <cellStyle name="Calculation 2 4 2 5 6 4" xfId="11117" xr:uid="{00000000-0005-0000-0000-0000F9070000}"/>
    <cellStyle name="Calculation 2 4 2 5 6 4 2" xfId="30089" xr:uid="{00000000-0005-0000-0000-0000FA070000}"/>
    <cellStyle name="Calculation 2 4 2 5 6 4 3" xfId="40934" xr:uid="{00000000-0005-0000-0000-0000FB070000}"/>
    <cellStyle name="Calculation 2 4 2 5 6 4 4" xfId="19196" xr:uid="{00000000-0005-0000-0000-0000FC070000}"/>
    <cellStyle name="Calculation 2 4 2 5 6 5" xfId="21913" xr:uid="{00000000-0005-0000-0000-0000FD070000}"/>
    <cellStyle name="Calculation 2 4 2 5 6 6" xfId="32758" xr:uid="{00000000-0005-0000-0000-0000FE070000}"/>
    <cellStyle name="Calculation 2 4 2 5 6 7" xfId="13342" xr:uid="{00000000-0005-0000-0000-0000FF070000}"/>
    <cellStyle name="Calculation 2 4 2 5 7" xfId="3625" xr:uid="{00000000-0005-0000-0000-000000080000}"/>
    <cellStyle name="Calculation 2 4 2 5 7 2" xfId="22597" xr:uid="{00000000-0005-0000-0000-000001080000}"/>
    <cellStyle name="Calculation 2 4 2 5 7 3" xfId="33442" xr:uid="{00000000-0005-0000-0000-000002080000}"/>
    <cellStyle name="Calculation 2 4 2 5 7 4" xfId="13823" xr:uid="{00000000-0005-0000-0000-000003080000}"/>
    <cellStyle name="Calculation 2 4 2 5 8" xfId="6300" xr:uid="{00000000-0005-0000-0000-000004080000}"/>
    <cellStyle name="Calculation 2 4 2 5 8 2" xfId="25272" xr:uid="{00000000-0005-0000-0000-000005080000}"/>
    <cellStyle name="Calculation 2 4 2 5 8 3" xfId="36117" xr:uid="{00000000-0005-0000-0000-000006080000}"/>
    <cellStyle name="Calculation 2 4 2 5 8 4" xfId="15739" xr:uid="{00000000-0005-0000-0000-000007080000}"/>
    <cellStyle name="Calculation 2 4 2 5 9" xfId="8959" xr:uid="{00000000-0005-0000-0000-000008080000}"/>
    <cellStyle name="Calculation 2 4 2 5 9 2" xfId="27931" xr:uid="{00000000-0005-0000-0000-000009080000}"/>
    <cellStyle name="Calculation 2 4 2 5 9 3" xfId="38776" xr:uid="{00000000-0005-0000-0000-00000A080000}"/>
    <cellStyle name="Calculation 2 4 2 5 9 4" xfId="17643" xr:uid="{00000000-0005-0000-0000-00000B080000}"/>
    <cellStyle name="Calculation 2 4 2 6" xfId="1057" xr:uid="{00000000-0005-0000-0000-00000C080000}"/>
    <cellStyle name="Calculation 2 4 2 6 2" xfId="3910" xr:uid="{00000000-0005-0000-0000-00000D080000}"/>
    <cellStyle name="Calculation 2 4 2 6 2 2" xfId="22882" xr:uid="{00000000-0005-0000-0000-00000E080000}"/>
    <cellStyle name="Calculation 2 4 2 6 2 3" xfId="33727" xr:uid="{00000000-0005-0000-0000-00000F080000}"/>
    <cellStyle name="Calculation 2 4 2 6 2 4" xfId="14023" xr:uid="{00000000-0005-0000-0000-000010080000}"/>
    <cellStyle name="Calculation 2 4 2 6 3" xfId="6584" xr:uid="{00000000-0005-0000-0000-000011080000}"/>
    <cellStyle name="Calculation 2 4 2 6 3 2" xfId="25556" xr:uid="{00000000-0005-0000-0000-000012080000}"/>
    <cellStyle name="Calculation 2 4 2 6 3 3" xfId="36401" xr:uid="{00000000-0005-0000-0000-000013080000}"/>
    <cellStyle name="Calculation 2 4 2 6 3 4" xfId="15939" xr:uid="{00000000-0005-0000-0000-000014080000}"/>
    <cellStyle name="Calculation 2 4 2 6 4" xfId="9243" xr:uid="{00000000-0005-0000-0000-000015080000}"/>
    <cellStyle name="Calculation 2 4 2 6 4 2" xfId="28215" xr:uid="{00000000-0005-0000-0000-000016080000}"/>
    <cellStyle name="Calculation 2 4 2 6 4 3" xfId="39060" xr:uid="{00000000-0005-0000-0000-000017080000}"/>
    <cellStyle name="Calculation 2 4 2 6 4 4" xfId="17843" xr:uid="{00000000-0005-0000-0000-000018080000}"/>
    <cellStyle name="Calculation 2 4 2 6 5" xfId="20039" xr:uid="{00000000-0005-0000-0000-000019080000}"/>
    <cellStyle name="Calculation 2 4 2 6 6" xfId="30884" xr:uid="{00000000-0005-0000-0000-00001A080000}"/>
    <cellStyle name="Calculation 2 4 2 6 7" xfId="11989" xr:uid="{00000000-0005-0000-0000-00001B080000}"/>
    <cellStyle name="Calculation 2 4 2 7" xfId="1004" xr:uid="{00000000-0005-0000-0000-00001C080000}"/>
    <cellStyle name="Calculation 2 4 2 7 2" xfId="3857" xr:uid="{00000000-0005-0000-0000-00001D080000}"/>
    <cellStyle name="Calculation 2 4 2 7 2 2" xfId="22829" xr:uid="{00000000-0005-0000-0000-00001E080000}"/>
    <cellStyle name="Calculation 2 4 2 7 2 3" xfId="33674" xr:uid="{00000000-0005-0000-0000-00001F080000}"/>
    <cellStyle name="Calculation 2 4 2 7 2 4" xfId="13985" xr:uid="{00000000-0005-0000-0000-000020080000}"/>
    <cellStyle name="Calculation 2 4 2 7 3" xfId="6531" xr:uid="{00000000-0005-0000-0000-000021080000}"/>
    <cellStyle name="Calculation 2 4 2 7 3 2" xfId="25503" xr:uid="{00000000-0005-0000-0000-000022080000}"/>
    <cellStyle name="Calculation 2 4 2 7 3 3" xfId="36348" xr:uid="{00000000-0005-0000-0000-000023080000}"/>
    <cellStyle name="Calculation 2 4 2 7 3 4" xfId="15901" xr:uid="{00000000-0005-0000-0000-000024080000}"/>
    <cellStyle name="Calculation 2 4 2 7 4" xfId="9190" xr:uid="{00000000-0005-0000-0000-000025080000}"/>
    <cellStyle name="Calculation 2 4 2 7 4 2" xfId="28162" xr:uid="{00000000-0005-0000-0000-000026080000}"/>
    <cellStyle name="Calculation 2 4 2 7 4 3" xfId="39007" xr:uid="{00000000-0005-0000-0000-000027080000}"/>
    <cellStyle name="Calculation 2 4 2 7 4 4" xfId="17805" xr:uid="{00000000-0005-0000-0000-000028080000}"/>
    <cellStyle name="Calculation 2 4 2 7 5" xfId="19986" xr:uid="{00000000-0005-0000-0000-000029080000}"/>
    <cellStyle name="Calculation 2 4 2 7 6" xfId="30831" xr:uid="{00000000-0005-0000-0000-00002A080000}"/>
    <cellStyle name="Calculation 2 4 2 7 7" xfId="11951" xr:uid="{00000000-0005-0000-0000-00002B080000}"/>
    <cellStyle name="Calculation 2 4 2 8" xfId="972" xr:uid="{00000000-0005-0000-0000-00002C080000}"/>
    <cellStyle name="Calculation 2 4 2 8 2" xfId="3825" xr:uid="{00000000-0005-0000-0000-00002D080000}"/>
    <cellStyle name="Calculation 2 4 2 8 2 2" xfId="22797" xr:uid="{00000000-0005-0000-0000-00002E080000}"/>
    <cellStyle name="Calculation 2 4 2 8 2 3" xfId="33642" xr:uid="{00000000-0005-0000-0000-00002F080000}"/>
    <cellStyle name="Calculation 2 4 2 8 2 4" xfId="13963" xr:uid="{00000000-0005-0000-0000-000030080000}"/>
    <cellStyle name="Calculation 2 4 2 8 3" xfId="6500" xr:uid="{00000000-0005-0000-0000-000031080000}"/>
    <cellStyle name="Calculation 2 4 2 8 3 2" xfId="25472" xr:uid="{00000000-0005-0000-0000-000032080000}"/>
    <cellStyle name="Calculation 2 4 2 8 3 3" xfId="36317" xr:uid="{00000000-0005-0000-0000-000033080000}"/>
    <cellStyle name="Calculation 2 4 2 8 3 4" xfId="15879" xr:uid="{00000000-0005-0000-0000-000034080000}"/>
    <cellStyle name="Calculation 2 4 2 8 4" xfId="9159" xr:uid="{00000000-0005-0000-0000-000035080000}"/>
    <cellStyle name="Calculation 2 4 2 8 4 2" xfId="28131" xr:uid="{00000000-0005-0000-0000-000036080000}"/>
    <cellStyle name="Calculation 2 4 2 8 4 3" xfId="38976" xr:uid="{00000000-0005-0000-0000-000037080000}"/>
    <cellStyle name="Calculation 2 4 2 8 4 4" xfId="17783" xr:uid="{00000000-0005-0000-0000-000038080000}"/>
    <cellStyle name="Calculation 2 4 2 8 5" xfId="19955" xr:uid="{00000000-0005-0000-0000-000039080000}"/>
    <cellStyle name="Calculation 2 4 2 8 6" xfId="30800" xr:uid="{00000000-0005-0000-0000-00003A080000}"/>
    <cellStyle name="Calculation 2 4 2 8 7" xfId="11929" xr:uid="{00000000-0005-0000-0000-00003B080000}"/>
    <cellStyle name="Calculation 2 4 2 9" xfId="939" xr:uid="{00000000-0005-0000-0000-00003C080000}"/>
    <cellStyle name="Calculation 2 4 2 9 2" xfId="3793" xr:uid="{00000000-0005-0000-0000-00003D080000}"/>
    <cellStyle name="Calculation 2 4 2 9 2 2" xfId="22765" xr:uid="{00000000-0005-0000-0000-00003E080000}"/>
    <cellStyle name="Calculation 2 4 2 9 2 3" xfId="33610" xr:uid="{00000000-0005-0000-0000-00003F080000}"/>
    <cellStyle name="Calculation 2 4 2 9 2 4" xfId="13938" xr:uid="{00000000-0005-0000-0000-000040080000}"/>
    <cellStyle name="Calculation 2 4 2 9 3" xfId="6468" xr:uid="{00000000-0005-0000-0000-000041080000}"/>
    <cellStyle name="Calculation 2 4 2 9 3 2" xfId="25440" xr:uid="{00000000-0005-0000-0000-000042080000}"/>
    <cellStyle name="Calculation 2 4 2 9 3 3" xfId="36285" xr:uid="{00000000-0005-0000-0000-000043080000}"/>
    <cellStyle name="Calculation 2 4 2 9 3 4" xfId="15854" xr:uid="{00000000-0005-0000-0000-000044080000}"/>
    <cellStyle name="Calculation 2 4 2 9 4" xfId="9127" xr:uid="{00000000-0005-0000-0000-000045080000}"/>
    <cellStyle name="Calculation 2 4 2 9 4 2" xfId="28099" xr:uid="{00000000-0005-0000-0000-000046080000}"/>
    <cellStyle name="Calculation 2 4 2 9 4 3" xfId="38944" xr:uid="{00000000-0005-0000-0000-000047080000}"/>
    <cellStyle name="Calculation 2 4 2 9 4 4" xfId="17758" xr:uid="{00000000-0005-0000-0000-000048080000}"/>
    <cellStyle name="Calculation 2 4 2 9 5" xfId="19923" xr:uid="{00000000-0005-0000-0000-000049080000}"/>
    <cellStyle name="Calculation 2 4 2 9 6" xfId="30768" xr:uid="{00000000-0005-0000-0000-00004A080000}"/>
    <cellStyle name="Calculation 2 4 2 9 7" xfId="11904" xr:uid="{00000000-0005-0000-0000-00004B080000}"/>
    <cellStyle name="Calculation 2 4 3" xfId="539" xr:uid="{00000000-0005-0000-0000-00004C080000}"/>
    <cellStyle name="Calculation 2 4 3 10" xfId="19549" xr:uid="{00000000-0005-0000-0000-00004D080000}"/>
    <cellStyle name="Calculation 2 4 3 11" xfId="30394" xr:uid="{00000000-0005-0000-0000-00004E080000}"/>
    <cellStyle name="Calculation 2 4 3 12" xfId="11613" xr:uid="{00000000-0005-0000-0000-00004F080000}"/>
    <cellStyle name="Calculation 2 4 3 2" xfId="1145" xr:uid="{00000000-0005-0000-0000-000050080000}"/>
    <cellStyle name="Calculation 2 4 3 2 2" xfId="3998" xr:uid="{00000000-0005-0000-0000-000051080000}"/>
    <cellStyle name="Calculation 2 4 3 2 2 2" xfId="22970" xr:uid="{00000000-0005-0000-0000-000052080000}"/>
    <cellStyle name="Calculation 2 4 3 2 2 3" xfId="33815" xr:uid="{00000000-0005-0000-0000-000053080000}"/>
    <cellStyle name="Calculation 2 4 3 2 2 4" xfId="14090" xr:uid="{00000000-0005-0000-0000-000054080000}"/>
    <cellStyle name="Calculation 2 4 3 2 3" xfId="6671" xr:uid="{00000000-0005-0000-0000-000055080000}"/>
    <cellStyle name="Calculation 2 4 3 2 3 2" xfId="25643" xr:uid="{00000000-0005-0000-0000-000056080000}"/>
    <cellStyle name="Calculation 2 4 3 2 3 3" xfId="36488" xr:uid="{00000000-0005-0000-0000-000057080000}"/>
    <cellStyle name="Calculation 2 4 3 2 3 4" xfId="16005" xr:uid="{00000000-0005-0000-0000-000058080000}"/>
    <cellStyle name="Calculation 2 4 3 2 4" xfId="9330" xr:uid="{00000000-0005-0000-0000-000059080000}"/>
    <cellStyle name="Calculation 2 4 3 2 4 2" xfId="28302" xr:uid="{00000000-0005-0000-0000-00005A080000}"/>
    <cellStyle name="Calculation 2 4 3 2 4 3" xfId="39147" xr:uid="{00000000-0005-0000-0000-00005B080000}"/>
    <cellStyle name="Calculation 2 4 3 2 4 4" xfId="17909" xr:uid="{00000000-0005-0000-0000-00005C080000}"/>
    <cellStyle name="Calculation 2 4 3 2 5" xfId="20126" xr:uid="{00000000-0005-0000-0000-00005D080000}"/>
    <cellStyle name="Calculation 2 4 3 2 6" xfId="30971" xr:uid="{00000000-0005-0000-0000-00005E080000}"/>
    <cellStyle name="Calculation 2 4 3 2 7" xfId="12055" xr:uid="{00000000-0005-0000-0000-00005F080000}"/>
    <cellStyle name="Calculation 2 4 3 3" xfId="1542" xr:uid="{00000000-0005-0000-0000-000060080000}"/>
    <cellStyle name="Calculation 2 4 3 3 2" xfId="4395" xr:uid="{00000000-0005-0000-0000-000061080000}"/>
    <cellStyle name="Calculation 2 4 3 3 2 2" xfId="23367" xr:uid="{00000000-0005-0000-0000-000062080000}"/>
    <cellStyle name="Calculation 2 4 3 3 2 3" xfId="34212" xr:uid="{00000000-0005-0000-0000-000063080000}"/>
    <cellStyle name="Calculation 2 4 3 3 2 4" xfId="14376" xr:uid="{00000000-0005-0000-0000-000064080000}"/>
    <cellStyle name="Calculation 2 4 3 3 3" xfId="7067" xr:uid="{00000000-0005-0000-0000-000065080000}"/>
    <cellStyle name="Calculation 2 4 3 3 3 2" xfId="26039" xr:uid="{00000000-0005-0000-0000-000066080000}"/>
    <cellStyle name="Calculation 2 4 3 3 3 3" xfId="36884" xr:uid="{00000000-0005-0000-0000-000067080000}"/>
    <cellStyle name="Calculation 2 4 3 3 3 4" xfId="16290" xr:uid="{00000000-0005-0000-0000-000068080000}"/>
    <cellStyle name="Calculation 2 4 3 3 4" xfId="9726" xr:uid="{00000000-0005-0000-0000-000069080000}"/>
    <cellStyle name="Calculation 2 4 3 3 4 2" xfId="28698" xr:uid="{00000000-0005-0000-0000-00006A080000}"/>
    <cellStyle name="Calculation 2 4 3 3 4 3" xfId="39543" xr:uid="{00000000-0005-0000-0000-00006B080000}"/>
    <cellStyle name="Calculation 2 4 3 3 4 4" xfId="18194" xr:uid="{00000000-0005-0000-0000-00006C080000}"/>
    <cellStyle name="Calculation 2 4 3 3 5" xfId="20522" xr:uid="{00000000-0005-0000-0000-00006D080000}"/>
    <cellStyle name="Calculation 2 4 3 3 6" xfId="31367" xr:uid="{00000000-0005-0000-0000-00006E080000}"/>
    <cellStyle name="Calculation 2 4 3 3 7" xfId="12340" xr:uid="{00000000-0005-0000-0000-00006F080000}"/>
    <cellStyle name="Calculation 2 4 3 4" xfId="1946" xr:uid="{00000000-0005-0000-0000-000070080000}"/>
    <cellStyle name="Calculation 2 4 3 4 2" xfId="4799" xr:uid="{00000000-0005-0000-0000-000071080000}"/>
    <cellStyle name="Calculation 2 4 3 4 2 2" xfId="23771" xr:uid="{00000000-0005-0000-0000-000072080000}"/>
    <cellStyle name="Calculation 2 4 3 4 2 3" xfId="34616" xr:uid="{00000000-0005-0000-0000-000073080000}"/>
    <cellStyle name="Calculation 2 4 3 4 2 4" xfId="14664" xr:uid="{00000000-0005-0000-0000-000074080000}"/>
    <cellStyle name="Calculation 2 4 3 4 3" xfId="7471" xr:uid="{00000000-0005-0000-0000-000075080000}"/>
    <cellStyle name="Calculation 2 4 3 4 3 2" xfId="26443" xr:uid="{00000000-0005-0000-0000-000076080000}"/>
    <cellStyle name="Calculation 2 4 3 4 3 3" xfId="37288" xr:uid="{00000000-0005-0000-0000-000077080000}"/>
    <cellStyle name="Calculation 2 4 3 4 3 4" xfId="16578" xr:uid="{00000000-0005-0000-0000-000078080000}"/>
    <cellStyle name="Calculation 2 4 3 4 4" xfId="10130" xr:uid="{00000000-0005-0000-0000-000079080000}"/>
    <cellStyle name="Calculation 2 4 3 4 4 2" xfId="29102" xr:uid="{00000000-0005-0000-0000-00007A080000}"/>
    <cellStyle name="Calculation 2 4 3 4 4 3" xfId="39947" xr:uid="{00000000-0005-0000-0000-00007B080000}"/>
    <cellStyle name="Calculation 2 4 3 4 4 4" xfId="18482" xr:uid="{00000000-0005-0000-0000-00007C080000}"/>
    <cellStyle name="Calculation 2 4 3 4 5" xfId="20926" xr:uid="{00000000-0005-0000-0000-00007D080000}"/>
    <cellStyle name="Calculation 2 4 3 4 6" xfId="31771" xr:uid="{00000000-0005-0000-0000-00007E080000}"/>
    <cellStyle name="Calculation 2 4 3 4 7" xfId="12628" xr:uid="{00000000-0005-0000-0000-00007F080000}"/>
    <cellStyle name="Calculation 2 4 3 5" xfId="2338" xr:uid="{00000000-0005-0000-0000-000080080000}"/>
    <cellStyle name="Calculation 2 4 3 5 2" xfId="5191" xr:uid="{00000000-0005-0000-0000-000081080000}"/>
    <cellStyle name="Calculation 2 4 3 5 2 2" xfId="24163" xr:uid="{00000000-0005-0000-0000-000082080000}"/>
    <cellStyle name="Calculation 2 4 3 5 2 3" xfId="35008" xr:uid="{00000000-0005-0000-0000-000083080000}"/>
    <cellStyle name="Calculation 2 4 3 5 2 4" xfId="14945" xr:uid="{00000000-0005-0000-0000-000084080000}"/>
    <cellStyle name="Calculation 2 4 3 5 3" xfId="7862" xr:uid="{00000000-0005-0000-0000-000085080000}"/>
    <cellStyle name="Calculation 2 4 3 5 3 2" xfId="26834" xr:uid="{00000000-0005-0000-0000-000086080000}"/>
    <cellStyle name="Calculation 2 4 3 5 3 3" xfId="37679" xr:uid="{00000000-0005-0000-0000-000087080000}"/>
    <cellStyle name="Calculation 2 4 3 5 3 4" xfId="16858" xr:uid="{00000000-0005-0000-0000-000088080000}"/>
    <cellStyle name="Calculation 2 4 3 5 4" xfId="10521" xr:uid="{00000000-0005-0000-0000-000089080000}"/>
    <cellStyle name="Calculation 2 4 3 5 4 2" xfId="29493" xr:uid="{00000000-0005-0000-0000-00008A080000}"/>
    <cellStyle name="Calculation 2 4 3 5 4 3" xfId="40338" xr:uid="{00000000-0005-0000-0000-00008B080000}"/>
    <cellStyle name="Calculation 2 4 3 5 4 4" xfId="18762" xr:uid="{00000000-0005-0000-0000-00008C080000}"/>
    <cellStyle name="Calculation 2 4 3 5 5" xfId="21317" xr:uid="{00000000-0005-0000-0000-00008D080000}"/>
    <cellStyle name="Calculation 2 4 3 5 6" xfId="32162" xr:uid="{00000000-0005-0000-0000-00008E080000}"/>
    <cellStyle name="Calculation 2 4 3 5 7" xfId="12908" xr:uid="{00000000-0005-0000-0000-00008F080000}"/>
    <cellStyle name="Calculation 2 4 3 6" xfId="2727" xr:uid="{00000000-0005-0000-0000-000090080000}"/>
    <cellStyle name="Calculation 2 4 3 6 2" xfId="5579" xr:uid="{00000000-0005-0000-0000-000091080000}"/>
    <cellStyle name="Calculation 2 4 3 6 2 2" xfId="24551" xr:uid="{00000000-0005-0000-0000-000092080000}"/>
    <cellStyle name="Calculation 2 4 3 6 2 3" xfId="35396" xr:uid="{00000000-0005-0000-0000-000093080000}"/>
    <cellStyle name="Calculation 2 4 3 6 2 4" xfId="15223" xr:uid="{00000000-0005-0000-0000-000094080000}"/>
    <cellStyle name="Calculation 2 4 3 6 3" xfId="8250" xr:uid="{00000000-0005-0000-0000-000095080000}"/>
    <cellStyle name="Calculation 2 4 3 6 3 2" xfId="27222" xr:uid="{00000000-0005-0000-0000-000096080000}"/>
    <cellStyle name="Calculation 2 4 3 6 3 3" xfId="38067" xr:uid="{00000000-0005-0000-0000-000097080000}"/>
    <cellStyle name="Calculation 2 4 3 6 3 4" xfId="17136" xr:uid="{00000000-0005-0000-0000-000098080000}"/>
    <cellStyle name="Calculation 2 4 3 6 4" xfId="10909" xr:uid="{00000000-0005-0000-0000-000099080000}"/>
    <cellStyle name="Calculation 2 4 3 6 4 2" xfId="29881" xr:uid="{00000000-0005-0000-0000-00009A080000}"/>
    <cellStyle name="Calculation 2 4 3 6 4 3" xfId="40726" xr:uid="{00000000-0005-0000-0000-00009B080000}"/>
    <cellStyle name="Calculation 2 4 3 6 4 4" xfId="19040" xr:uid="{00000000-0005-0000-0000-00009C080000}"/>
    <cellStyle name="Calculation 2 4 3 6 5" xfId="21705" xr:uid="{00000000-0005-0000-0000-00009D080000}"/>
    <cellStyle name="Calculation 2 4 3 6 6" xfId="32550" xr:uid="{00000000-0005-0000-0000-00009E080000}"/>
    <cellStyle name="Calculation 2 4 3 6 7" xfId="13186" xr:uid="{00000000-0005-0000-0000-00009F080000}"/>
    <cellStyle name="Calculation 2 4 3 7" xfId="3418" xr:uid="{00000000-0005-0000-0000-0000A0080000}"/>
    <cellStyle name="Calculation 2 4 3 7 2" xfId="22390" xr:uid="{00000000-0005-0000-0000-0000A1080000}"/>
    <cellStyle name="Calculation 2 4 3 7 3" xfId="33235" xr:uid="{00000000-0005-0000-0000-0000A2080000}"/>
    <cellStyle name="Calculation 2 4 3 7 4" xfId="13668" xr:uid="{00000000-0005-0000-0000-0000A3080000}"/>
    <cellStyle name="Calculation 2 4 3 8" xfId="6094" xr:uid="{00000000-0005-0000-0000-0000A4080000}"/>
    <cellStyle name="Calculation 2 4 3 8 2" xfId="25066" xr:uid="{00000000-0005-0000-0000-0000A5080000}"/>
    <cellStyle name="Calculation 2 4 3 8 3" xfId="35911" xr:uid="{00000000-0005-0000-0000-0000A6080000}"/>
    <cellStyle name="Calculation 2 4 3 8 4" xfId="15585" xr:uid="{00000000-0005-0000-0000-0000A7080000}"/>
    <cellStyle name="Calculation 2 4 3 9" xfId="8753" xr:uid="{00000000-0005-0000-0000-0000A8080000}"/>
    <cellStyle name="Calculation 2 4 3 9 2" xfId="27725" xr:uid="{00000000-0005-0000-0000-0000A9080000}"/>
    <cellStyle name="Calculation 2 4 3 9 3" xfId="38570" xr:uid="{00000000-0005-0000-0000-0000AA080000}"/>
    <cellStyle name="Calculation 2 4 3 9 4" xfId="17489" xr:uid="{00000000-0005-0000-0000-0000AB080000}"/>
    <cellStyle name="Calculation 2 4 4" xfId="11431" xr:uid="{00000000-0005-0000-0000-0000AC080000}"/>
    <cellStyle name="Calculation 2 5" xfId="61" xr:uid="{00000000-0005-0000-0000-0000AD080000}"/>
    <cellStyle name="Calculation 2 5 2" xfId="352" xr:uid="{00000000-0005-0000-0000-0000AE080000}"/>
    <cellStyle name="Calculation 2 5 2 10" xfId="1038" xr:uid="{00000000-0005-0000-0000-0000AF080000}"/>
    <cellStyle name="Calculation 2 5 2 10 2" xfId="3891" xr:uid="{00000000-0005-0000-0000-0000B0080000}"/>
    <cellStyle name="Calculation 2 5 2 10 2 2" xfId="22863" xr:uid="{00000000-0005-0000-0000-0000B1080000}"/>
    <cellStyle name="Calculation 2 5 2 10 2 3" xfId="33708" xr:uid="{00000000-0005-0000-0000-0000B2080000}"/>
    <cellStyle name="Calculation 2 5 2 10 2 4" xfId="14008" xr:uid="{00000000-0005-0000-0000-0000B3080000}"/>
    <cellStyle name="Calculation 2 5 2 10 3" xfId="6565" xr:uid="{00000000-0005-0000-0000-0000B4080000}"/>
    <cellStyle name="Calculation 2 5 2 10 3 2" xfId="25537" xr:uid="{00000000-0005-0000-0000-0000B5080000}"/>
    <cellStyle name="Calculation 2 5 2 10 3 3" xfId="36382" xr:uid="{00000000-0005-0000-0000-0000B6080000}"/>
    <cellStyle name="Calculation 2 5 2 10 3 4" xfId="15924" xr:uid="{00000000-0005-0000-0000-0000B7080000}"/>
    <cellStyle name="Calculation 2 5 2 10 4" xfId="9224" xr:uid="{00000000-0005-0000-0000-0000B8080000}"/>
    <cellStyle name="Calculation 2 5 2 10 4 2" xfId="28196" xr:uid="{00000000-0005-0000-0000-0000B9080000}"/>
    <cellStyle name="Calculation 2 5 2 10 4 3" xfId="39041" xr:uid="{00000000-0005-0000-0000-0000BA080000}"/>
    <cellStyle name="Calculation 2 5 2 10 4 4" xfId="17828" xr:uid="{00000000-0005-0000-0000-0000BB080000}"/>
    <cellStyle name="Calculation 2 5 2 10 5" xfId="20020" xr:uid="{00000000-0005-0000-0000-0000BC080000}"/>
    <cellStyle name="Calculation 2 5 2 10 6" xfId="30865" xr:uid="{00000000-0005-0000-0000-0000BD080000}"/>
    <cellStyle name="Calculation 2 5 2 10 7" xfId="11974" xr:uid="{00000000-0005-0000-0000-0000BE080000}"/>
    <cellStyle name="Calculation 2 5 2 11" xfId="916" xr:uid="{00000000-0005-0000-0000-0000BF080000}"/>
    <cellStyle name="Calculation 2 5 2 11 2" xfId="3771" xr:uid="{00000000-0005-0000-0000-0000C0080000}"/>
    <cellStyle name="Calculation 2 5 2 11 2 2" xfId="22743" xr:uid="{00000000-0005-0000-0000-0000C1080000}"/>
    <cellStyle name="Calculation 2 5 2 11 2 3" xfId="33588" xr:uid="{00000000-0005-0000-0000-0000C2080000}"/>
    <cellStyle name="Calculation 2 5 2 11 2 4" xfId="13917" xr:uid="{00000000-0005-0000-0000-0000C3080000}"/>
    <cellStyle name="Calculation 2 5 2 11 3" xfId="6446" xr:uid="{00000000-0005-0000-0000-0000C4080000}"/>
    <cellStyle name="Calculation 2 5 2 11 3 2" xfId="25418" xr:uid="{00000000-0005-0000-0000-0000C5080000}"/>
    <cellStyle name="Calculation 2 5 2 11 3 3" xfId="36263" xr:uid="{00000000-0005-0000-0000-0000C6080000}"/>
    <cellStyle name="Calculation 2 5 2 11 3 4" xfId="15833" xr:uid="{00000000-0005-0000-0000-0000C7080000}"/>
    <cellStyle name="Calculation 2 5 2 11 4" xfId="9105" xr:uid="{00000000-0005-0000-0000-0000C8080000}"/>
    <cellStyle name="Calculation 2 5 2 11 4 2" xfId="28077" xr:uid="{00000000-0005-0000-0000-0000C9080000}"/>
    <cellStyle name="Calculation 2 5 2 11 4 3" xfId="38922" xr:uid="{00000000-0005-0000-0000-0000CA080000}"/>
    <cellStyle name="Calculation 2 5 2 11 4 4" xfId="17737" xr:uid="{00000000-0005-0000-0000-0000CB080000}"/>
    <cellStyle name="Calculation 2 5 2 11 5" xfId="19901" xr:uid="{00000000-0005-0000-0000-0000CC080000}"/>
    <cellStyle name="Calculation 2 5 2 11 6" xfId="30746" xr:uid="{00000000-0005-0000-0000-0000CD080000}"/>
    <cellStyle name="Calculation 2 5 2 11 7" xfId="11883" xr:uid="{00000000-0005-0000-0000-0000CE080000}"/>
    <cellStyle name="Calculation 2 5 2 12" xfId="2810" xr:uid="{00000000-0005-0000-0000-0000CF080000}"/>
    <cellStyle name="Calculation 2 5 2 12 2" xfId="5662" xr:uid="{00000000-0005-0000-0000-0000D0080000}"/>
    <cellStyle name="Calculation 2 5 2 12 2 2" xfId="24634" xr:uid="{00000000-0005-0000-0000-0000D1080000}"/>
    <cellStyle name="Calculation 2 5 2 12 2 3" xfId="35479" xr:uid="{00000000-0005-0000-0000-0000D2080000}"/>
    <cellStyle name="Calculation 2 5 2 12 2 4" xfId="15287" xr:uid="{00000000-0005-0000-0000-0000D3080000}"/>
    <cellStyle name="Calculation 2 5 2 12 3" xfId="8333" xr:uid="{00000000-0005-0000-0000-0000D4080000}"/>
    <cellStyle name="Calculation 2 5 2 12 3 2" xfId="27305" xr:uid="{00000000-0005-0000-0000-0000D5080000}"/>
    <cellStyle name="Calculation 2 5 2 12 3 3" xfId="38150" xr:uid="{00000000-0005-0000-0000-0000D6080000}"/>
    <cellStyle name="Calculation 2 5 2 12 3 4" xfId="17200" xr:uid="{00000000-0005-0000-0000-0000D7080000}"/>
    <cellStyle name="Calculation 2 5 2 12 4" xfId="10992" xr:uid="{00000000-0005-0000-0000-0000D8080000}"/>
    <cellStyle name="Calculation 2 5 2 12 4 2" xfId="29964" xr:uid="{00000000-0005-0000-0000-0000D9080000}"/>
    <cellStyle name="Calculation 2 5 2 12 4 3" xfId="40809" xr:uid="{00000000-0005-0000-0000-0000DA080000}"/>
    <cellStyle name="Calculation 2 5 2 12 4 4" xfId="19104" xr:uid="{00000000-0005-0000-0000-0000DB080000}"/>
    <cellStyle name="Calculation 2 5 2 12 5" xfId="21788" xr:uid="{00000000-0005-0000-0000-0000DC080000}"/>
    <cellStyle name="Calculation 2 5 2 12 6" xfId="32633" xr:uid="{00000000-0005-0000-0000-0000DD080000}"/>
    <cellStyle name="Calculation 2 5 2 12 7" xfId="13250" xr:uid="{00000000-0005-0000-0000-0000DE080000}"/>
    <cellStyle name="Calculation 2 5 2 13" xfId="965" xr:uid="{00000000-0005-0000-0000-0000DF080000}"/>
    <cellStyle name="Calculation 2 5 2 13 2" xfId="3818" xr:uid="{00000000-0005-0000-0000-0000E0080000}"/>
    <cellStyle name="Calculation 2 5 2 13 2 2" xfId="22790" xr:uid="{00000000-0005-0000-0000-0000E1080000}"/>
    <cellStyle name="Calculation 2 5 2 13 2 3" xfId="33635" xr:uid="{00000000-0005-0000-0000-0000E2080000}"/>
    <cellStyle name="Calculation 2 5 2 13 2 4" xfId="13959" xr:uid="{00000000-0005-0000-0000-0000E3080000}"/>
    <cellStyle name="Calculation 2 5 2 13 3" xfId="6493" xr:uid="{00000000-0005-0000-0000-0000E4080000}"/>
    <cellStyle name="Calculation 2 5 2 13 3 2" xfId="25465" xr:uid="{00000000-0005-0000-0000-0000E5080000}"/>
    <cellStyle name="Calculation 2 5 2 13 3 3" xfId="36310" xr:uid="{00000000-0005-0000-0000-0000E6080000}"/>
    <cellStyle name="Calculation 2 5 2 13 3 4" xfId="15875" xr:uid="{00000000-0005-0000-0000-0000E7080000}"/>
    <cellStyle name="Calculation 2 5 2 13 4" xfId="9152" xr:uid="{00000000-0005-0000-0000-0000E8080000}"/>
    <cellStyle name="Calculation 2 5 2 13 4 2" xfId="28124" xr:uid="{00000000-0005-0000-0000-0000E9080000}"/>
    <cellStyle name="Calculation 2 5 2 13 4 3" xfId="38969" xr:uid="{00000000-0005-0000-0000-0000EA080000}"/>
    <cellStyle name="Calculation 2 5 2 13 4 4" xfId="17779" xr:uid="{00000000-0005-0000-0000-0000EB080000}"/>
    <cellStyle name="Calculation 2 5 2 13 5" xfId="19948" xr:uid="{00000000-0005-0000-0000-0000EC080000}"/>
    <cellStyle name="Calculation 2 5 2 13 6" xfId="30793" xr:uid="{00000000-0005-0000-0000-0000ED080000}"/>
    <cellStyle name="Calculation 2 5 2 13 7" xfId="11925" xr:uid="{00000000-0005-0000-0000-0000EE080000}"/>
    <cellStyle name="Calculation 2 5 2 14" xfId="3225" xr:uid="{00000000-0005-0000-0000-0000EF080000}"/>
    <cellStyle name="Calculation 2 5 2 14 2" xfId="22202" xr:uid="{00000000-0005-0000-0000-0000F0080000}"/>
    <cellStyle name="Calculation 2 5 2 14 3" xfId="33047" xr:uid="{00000000-0005-0000-0000-0000F1080000}"/>
    <cellStyle name="Calculation 2 5 2 14 4" xfId="13533" xr:uid="{00000000-0005-0000-0000-0000F2080000}"/>
    <cellStyle name="Calculation 2 5 2 15" xfId="3261" xr:uid="{00000000-0005-0000-0000-0000F3080000}"/>
    <cellStyle name="Calculation 2 5 2 15 2" xfId="22236" xr:uid="{00000000-0005-0000-0000-0000F4080000}"/>
    <cellStyle name="Calculation 2 5 2 15 3" xfId="33081" xr:uid="{00000000-0005-0000-0000-0000F5080000}"/>
    <cellStyle name="Calculation 2 5 2 15 4" xfId="13562" xr:uid="{00000000-0005-0000-0000-0000F6080000}"/>
    <cellStyle name="Calculation 2 5 2 16" xfId="6079" xr:uid="{00000000-0005-0000-0000-0000F7080000}"/>
    <cellStyle name="Calculation 2 5 2 16 2" xfId="25051" xr:uid="{00000000-0005-0000-0000-0000F8080000}"/>
    <cellStyle name="Calculation 2 5 2 16 3" xfId="35896" xr:uid="{00000000-0005-0000-0000-0000F9080000}"/>
    <cellStyle name="Calculation 2 5 2 16 4" xfId="15571" xr:uid="{00000000-0005-0000-0000-0000FA080000}"/>
    <cellStyle name="Calculation 2 5 2 17" xfId="19449" xr:uid="{00000000-0005-0000-0000-0000FB080000}"/>
    <cellStyle name="Calculation 2 5 2 18" xfId="19523" xr:uid="{00000000-0005-0000-0000-0000FC080000}"/>
    <cellStyle name="Calculation 2 5 2 19" xfId="11508" xr:uid="{00000000-0005-0000-0000-0000FD080000}"/>
    <cellStyle name="Calculation 2 5 2 2" xfId="660" xr:uid="{00000000-0005-0000-0000-0000FE080000}"/>
    <cellStyle name="Calculation 2 5 2 2 10" xfId="19645" xr:uid="{00000000-0005-0000-0000-0000FF080000}"/>
    <cellStyle name="Calculation 2 5 2 2 11" xfId="30490" xr:uid="{00000000-0005-0000-0000-000000090000}"/>
    <cellStyle name="Calculation 2 5 2 2 12" xfId="11712" xr:uid="{00000000-0005-0000-0000-000001090000}"/>
    <cellStyle name="Calculation 2 5 2 2 2" xfId="1247" xr:uid="{00000000-0005-0000-0000-000002090000}"/>
    <cellStyle name="Calculation 2 5 2 2 2 2" xfId="4100" xr:uid="{00000000-0005-0000-0000-000003090000}"/>
    <cellStyle name="Calculation 2 5 2 2 2 2 2" xfId="23072" xr:uid="{00000000-0005-0000-0000-000004090000}"/>
    <cellStyle name="Calculation 2 5 2 2 2 2 3" xfId="33917" xr:uid="{00000000-0005-0000-0000-000005090000}"/>
    <cellStyle name="Calculation 2 5 2 2 2 2 4" xfId="14173" xr:uid="{00000000-0005-0000-0000-000006090000}"/>
    <cellStyle name="Calculation 2 5 2 2 2 3" xfId="6773" xr:uid="{00000000-0005-0000-0000-000007090000}"/>
    <cellStyle name="Calculation 2 5 2 2 2 3 2" xfId="25745" xr:uid="{00000000-0005-0000-0000-000008090000}"/>
    <cellStyle name="Calculation 2 5 2 2 2 3 3" xfId="36590" xr:uid="{00000000-0005-0000-0000-000009090000}"/>
    <cellStyle name="Calculation 2 5 2 2 2 3 4" xfId="16088" xr:uid="{00000000-0005-0000-0000-00000A090000}"/>
    <cellStyle name="Calculation 2 5 2 2 2 4" xfId="9432" xr:uid="{00000000-0005-0000-0000-00000B090000}"/>
    <cellStyle name="Calculation 2 5 2 2 2 4 2" xfId="28404" xr:uid="{00000000-0005-0000-0000-00000C090000}"/>
    <cellStyle name="Calculation 2 5 2 2 2 4 3" xfId="39249" xr:uid="{00000000-0005-0000-0000-00000D090000}"/>
    <cellStyle name="Calculation 2 5 2 2 2 4 4" xfId="17992" xr:uid="{00000000-0005-0000-0000-00000E090000}"/>
    <cellStyle name="Calculation 2 5 2 2 2 5" xfId="20228" xr:uid="{00000000-0005-0000-0000-00000F090000}"/>
    <cellStyle name="Calculation 2 5 2 2 2 6" xfId="31073" xr:uid="{00000000-0005-0000-0000-000010090000}"/>
    <cellStyle name="Calculation 2 5 2 2 2 7" xfId="12138" xr:uid="{00000000-0005-0000-0000-000011090000}"/>
    <cellStyle name="Calculation 2 5 2 2 3" xfId="1646" xr:uid="{00000000-0005-0000-0000-000012090000}"/>
    <cellStyle name="Calculation 2 5 2 2 3 2" xfId="4499" xr:uid="{00000000-0005-0000-0000-000013090000}"/>
    <cellStyle name="Calculation 2 5 2 2 3 2 2" xfId="23471" xr:uid="{00000000-0005-0000-0000-000014090000}"/>
    <cellStyle name="Calculation 2 5 2 2 3 2 3" xfId="34316" xr:uid="{00000000-0005-0000-0000-000015090000}"/>
    <cellStyle name="Calculation 2 5 2 2 3 2 4" xfId="14460" xr:uid="{00000000-0005-0000-0000-000016090000}"/>
    <cellStyle name="Calculation 2 5 2 2 3 3" xfId="7171" xr:uid="{00000000-0005-0000-0000-000017090000}"/>
    <cellStyle name="Calculation 2 5 2 2 3 3 2" xfId="26143" xr:uid="{00000000-0005-0000-0000-000018090000}"/>
    <cellStyle name="Calculation 2 5 2 2 3 3 3" xfId="36988" xr:uid="{00000000-0005-0000-0000-000019090000}"/>
    <cellStyle name="Calculation 2 5 2 2 3 3 4" xfId="16374" xr:uid="{00000000-0005-0000-0000-00001A090000}"/>
    <cellStyle name="Calculation 2 5 2 2 3 4" xfId="9830" xr:uid="{00000000-0005-0000-0000-00001B090000}"/>
    <cellStyle name="Calculation 2 5 2 2 3 4 2" xfId="28802" xr:uid="{00000000-0005-0000-0000-00001C090000}"/>
    <cellStyle name="Calculation 2 5 2 2 3 4 3" xfId="39647" xr:uid="{00000000-0005-0000-0000-00001D090000}"/>
    <cellStyle name="Calculation 2 5 2 2 3 4 4" xfId="18278" xr:uid="{00000000-0005-0000-0000-00001E090000}"/>
    <cellStyle name="Calculation 2 5 2 2 3 5" xfId="20626" xr:uid="{00000000-0005-0000-0000-00001F090000}"/>
    <cellStyle name="Calculation 2 5 2 2 3 6" xfId="31471" xr:uid="{00000000-0005-0000-0000-000020090000}"/>
    <cellStyle name="Calculation 2 5 2 2 3 7" xfId="12424" xr:uid="{00000000-0005-0000-0000-000021090000}"/>
    <cellStyle name="Calculation 2 5 2 2 4" xfId="2050" xr:uid="{00000000-0005-0000-0000-000022090000}"/>
    <cellStyle name="Calculation 2 5 2 2 4 2" xfId="4903" xr:uid="{00000000-0005-0000-0000-000023090000}"/>
    <cellStyle name="Calculation 2 5 2 2 4 2 2" xfId="23875" xr:uid="{00000000-0005-0000-0000-000024090000}"/>
    <cellStyle name="Calculation 2 5 2 2 4 2 3" xfId="34720" xr:uid="{00000000-0005-0000-0000-000025090000}"/>
    <cellStyle name="Calculation 2 5 2 2 4 2 4" xfId="14747" xr:uid="{00000000-0005-0000-0000-000026090000}"/>
    <cellStyle name="Calculation 2 5 2 2 4 3" xfId="7574" xr:uid="{00000000-0005-0000-0000-000027090000}"/>
    <cellStyle name="Calculation 2 5 2 2 4 3 2" xfId="26546" xr:uid="{00000000-0005-0000-0000-000028090000}"/>
    <cellStyle name="Calculation 2 5 2 2 4 3 3" xfId="37391" xr:uid="{00000000-0005-0000-0000-000029090000}"/>
    <cellStyle name="Calculation 2 5 2 2 4 3 4" xfId="16660" xr:uid="{00000000-0005-0000-0000-00002A090000}"/>
    <cellStyle name="Calculation 2 5 2 2 4 4" xfId="10233" xr:uid="{00000000-0005-0000-0000-00002B090000}"/>
    <cellStyle name="Calculation 2 5 2 2 4 4 2" xfId="29205" xr:uid="{00000000-0005-0000-0000-00002C090000}"/>
    <cellStyle name="Calculation 2 5 2 2 4 4 3" xfId="40050" xr:uid="{00000000-0005-0000-0000-00002D090000}"/>
    <cellStyle name="Calculation 2 5 2 2 4 4 4" xfId="18564" xr:uid="{00000000-0005-0000-0000-00002E090000}"/>
    <cellStyle name="Calculation 2 5 2 2 4 5" xfId="21029" xr:uid="{00000000-0005-0000-0000-00002F090000}"/>
    <cellStyle name="Calculation 2 5 2 2 4 6" xfId="31874" xr:uid="{00000000-0005-0000-0000-000030090000}"/>
    <cellStyle name="Calculation 2 5 2 2 4 7" xfId="12710" xr:uid="{00000000-0005-0000-0000-000031090000}"/>
    <cellStyle name="Calculation 2 5 2 2 5" xfId="2440" xr:uid="{00000000-0005-0000-0000-000032090000}"/>
    <cellStyle name="Calculation 2 5 2 2 5 2" xfId="5292" xr:uid="{00000000-0005-0000-0000-000033090000}"/>
    <cellStyle name="Calculation 2 5 2 2 5 2 2" xfId="24264" xr:uid="{00000000-0005-0000-0000-000034090000}"/>
    <cellStyle name="Calculation 2 5 2 2 5 2 3" xfId="35109" xr:uid="{00000000-0005-0000-0000-000035090000}"/>
    <cellStyle name="Calculation 2 5 2 2 5 2 4" xfId="15026" xr:uid="{00000000-0005-0000-0000-000036090000}"/>
    <cellStyle name="Calculation 2 5 2 2 5 3" xfId="7963" xr:uid="{00000000-0005-0000-0000-000037090000}"/>
    <cellStyle name="Calculation 2 5 2 2 5 3 2" xfId="26935" xr:uid="{00000000-0005-0000-0000-000038090000}"/>
    <cellStyle name="Calculation 2 5 2 2 5 3 3" xfId="37780" xr:uid="{00000000-0005-0000-0000-000039090000}"/>
    <cellStyle name="Calculation 2 5 2 2 5 3 4" xfId="16939" xr:uid="{00000000-0005-0000-0000-00003A090000}"/>
    <cellStyle name="Calculation 2 5 2 2 5 4" xfId="10622" xr:uid="{00000000-0005-0000-0000-00003B090000}"/>
    <cellStyle name="Calculation 2 5 2 2 5 4 2" xfId="29594" xr:uid="{00000000-0005-0000-0000-00003C090000}"/>
    <cellStyle name="Calculation 2 5 2 2 5 4 3" xfId="40439" xr:uid="{00000000-0005-0000-0000-00003D090000}"/>
    <cellStyle name="Calculation 2 5 2 2 5 4 4" xfId="18843" xr:uid="{00000000-0005-0000-0000-00003E090000}"/>
    <cellStyle name="Calculation 2 5 2 2 5 5" xfId="21418" xr:uid="{00000000-0005-0000-0000-00003F090000}"/>
    <cellStyle name="Calculation 2 5 2 2 5 6" xfId="32263" xr:uid="{00000000-0005-0000-0000-000040090000}"/>
    <cellStyle name="Calculation 2 5 2 2 5 7" xfId="12989" xr:uid="{00000000-0005-0000-0000-000041090000}"/>
    <cellStyle name="Calculation 2 5 2 2 6" xfId="2826" xr:uid="{00000000-0005-0000-0000-000042090000}"/>
    <cellStyle name="Calculation 2 5 2 2 6 2" xfId="5677" xr:uid="{00000000-0005-0000-0000-000043090000}"/>
    <cellStyle name="Calculation 2 5 2 2 6 2 2" xfId="24649" xr:uid="{00000000-0005-0000-0000-000044090000}"/>
    <cellStyle name="Calculation 2 5 2 2 6 2 3" xfId="35494" xr:uid="{00000000-0005-0000-0000-000045090000}"/>
    <cellStyle name="Calculation 2 5 2 2 6 2 4" xfId="15302" xr:uid="{00000000-0005-0000-0000-000046090000}"/>
    <cellStyle name="Calculation 2 5 2 2 6 3" xfId="8348" xr:uid="{00000000-0005-0000-0000-000047090000}"/>
    <cellStyle name="Calculation 2 5 2 2 6 3 2" xfId="27320" xr:uid="{00000000-0005-0000-0000-000048090000}"/>
    <cellStyle name="Calculation 2 5 2 2 6 3 3" xfId="38165" xr:uid="{00000000-0005-0000-0000-000049090000}"/>
    <cellStyle name="Calculation 2 5 2 2 6 3 4" xfId="17215" xr:uid="{00000000-0005-0000-0000-00004A090000}"/>
    <cellStyle name="Calculation 2 5 2 2 6 4" xfId="11007" xr:uid="{00000000-0005-0000-0000-00004B090000}"/>
    <cellStyle name="Calculation 2 5 2 2 6 4 2" xfId="29979" xr:uid="{00000000-0005-0000-0000-00004C090000}"/>
    <cellStyle name="Calculation 2 5 2 2 6 4 3" xfId="40824" xr:uid="{00000000-0005-0000-0000-00004D090000}"/>
    <cellStyle name="Calculation 2 5 2 2 6 4 4" xfId="19119" xr:uid="{00000000-0005-0000-0000-00004E090000}"/>
    <cellStyle name="Calculation 2 5 2 2 6 5" xfId="21803" xr:uid="{00000000-0005-0000-0000-00004F090000}"/>
    <cellStyle name="Calculation 2 5 2 2 6 6" xfId="32648" xr:uid="{00000000-0005-0000-0000-000050090000}"/>
    <cellStyle name="Calculation 2 5 2 2 6 7" xfId="13265" xr:uid="{00000000-0005-0000-0000-000051090000}"/>
    <cellStyle name="Calculation 2 5 2 2 7" xfId="3515" xr:uid="{00000000-0005-0000-0000-000052090000}"/>
    <cellStyle name="Calculation 2 5 2 2 7 2" xfId="22487" xr:uid="{00000000-0005-0000-0000-000053090000}"/>
    <cellStyle name="Calculation 2 5 2 2 7 3" xfId="33332" xr:uid="{00000000-0005-0000-0000-000054090000}"/>
    <cellStyle name="Calculation 2 5 2 2 7 4" xfId="13746" xr:uid="{00000000-0005-0000-0000-000055090000}"/>
    <cellStyle name="Calculation 2 5 2 2 8" xfId="6190" xr:uid="{00000000-0005-0000-0000-000056090000}"/>
    <cellStyle name="Calculation 2 5 2 2 8 2" xfId="25162" xr:uid="{00000000-0005-0000-0000-000057090000}"/>
    <cellStyle name="Calculation 2 5 2 2 8 3" xfId="36007" xr:uid="{00000000-0005-0000-0000-000058090000}"/>
    <cellStyle name="Calculation 2 5 2 2 8 4" xfId="15662" xr:uid="{00000000-0005-0000-0000-000059090000}"/>
    <cellStyle name="Calculation 2 5 2 2 9" xfId="8849" xr:uid="{00000000-0005-0000-0000-00005A090000}"/>
    <cellStyle name="Calculation 2 5 2 2 9 2" xfId="27821" xr:uid="{00000000-0005-0000-0000-00005B090000}"/>
    <cellStyle name="Calculation 2 5 2 2 9 3" xfId="38666" xr:uid="{00000000-0005-0000-0000-00005C090000}"/>
    <cellStyle name="Calculation 2 5 2 2 9 4" xfId="17566" xr:uid="{00000000-0005-0000-0000-00005D090000}"/>
    <cellStyle name="Calculation 2 5 2 3" xfId="548" xr:uid="{00000000-0005-0000-0000-00005E090000}"/>
    <cellStyle name="Calculation 2 5 2 3 10" xfId="19558" xr:uid="{00000000-0005-0000-0000-00005F090000}"/>
    <cellStyle name="Calculation 2 5 2 3 11" xfId="30403" xr:uid="{00000000-0005-0000-0000-000060090000}"/>
    <cellStyle name="Calculation 2 5 2 3 12" xfId="11622" xr:uid="{00000000-0005-0000-0000-000061090000}"/>
    <cellStyle name="Calculation 2 5 2 3 2" xfId="1154" xr:uid="{00000000-0005-0000-0000-000062090000}"/>
    <cellStyle name="Calculation 2 5 2 3 2 2" xfId="4007" xr:uid="{00000000-0005-0000-0000-000063090000}"/>
    <cellStyle name="Calculation 2 5 2 3 2 2 2" xfId="22979" xr:uid="{00000000-0005-0000-0000-000064090000}"/>
    <cellStyle name="Calculation 2 5 2 3 2 2 3" xfId="33824" xr:uid="{00000000-0005-0000-0000-000065090000}"/>
    <cellStyle name="Calculation 2 5 2 3 2 2 4" xfId="14099" xr:uid="{00000000-0005-0000-0000-000066090000}"/>
    <cellStyle name="Calculation 2 5 2 3 2 3" xfId="6680" xr:uid="{00000000-0005-0000-0000-000067090000}"/>
    <cellStyle name="Calculation 2 5 2 3 2 3 2" xfId="25652" xr:uid="{00000000-0005-0000-0000-000068090000}"/>
    <cellStyle name="Calculation 2 5 2 3 2 3 3" xfId="36497" xr:uid="{00000000-0005-0000-0000-000069090000}"/>
    <cellStyle name="Calculation 2 5 2 3 2 3 4" xfId="16014" xr:uid="{00000000-0005-0000-0000-00006A090000}"/>
    <cellStyle name="Calculation 2 5 2 3 2 4" xfId="9339" xr:uid="{00000000-0005-0000-0000-00006B090000}"/>
    <cellStyle name="Calculation 2 5 2 3 2 4 2" xfId="28311" xr:uid="{00000000-0005-0000-0000-00006C090000}"/>
    <cellStyle name="Calculation 2 5 2 3 2 4 3" xfId="39156" xr:uid="{00000000-0005-0000-0000-00006D090000}"/>
    <cellStyle name="Calculation 2 5 2 3 2 4 4" xfId="17918" xr:uid="{00000000-0005-0000-0000-00006E090000}"/>
    <cellStyle name="Calculation 2 5 2 3 2 5" xfId="20135" xr:uid="{00000000-0005-0000-0000-00006F090000}"/>
    <cellStyle name="Calculation 2 5 2 3 2 6" xfId="30980" xr:uid="{00000000-0005-0000-0000-000070090000}"/>
    <cellStyle name="Calculation 2 5 2 3 2 7" xfId="12064" xr:uid="{00000000-0005-0000-0000-000071090000}"/>
    <cellStyle name="Calculation 2 5 2 3 3" xfId="1551" xr:uid="{00000000-0005-0000-0000-000072090000}"/>
    <cellStyle name="Calculation 2 5 2 3 3 2" xfId="4404" xr:uid="{00000000-0005-0000-0000-000073090000}"/>
    <cellStyle name="Calculation 2 5 2 3 3 2 2" xfId="23376" xr:uid="{00000000-0005-0000-0000-000074090000}"/>
    <cellStyle name="Calculation 2 5 2 3 3 2 3" xfId="34221" xr:uid="{00000000-0005-0000-0000-000075090000}"/>
    <cellStyle name="Calculation 2 5 2 3 3 2 4" xfId="14385" xr:uid="{00000000-0005-0000-0000-000076090000}"/>
    <cellStyle name="Calculation 2 5 2 3 3 3" xfId="7076" xr:uid="{00000000-0005-0000-0000-000077090000}"/>
    <cellStyle name="Calculation 2 5 2 3 3 3 2" xfId="26048" xr:uid="{00000000-0005-0000-0000-000078090000}"/>
    <cellStyle name="Calculation 2 5 2 3 3 3 3" xfId="36893" xr:uid="{00000000-0005-0000-0000-000079090000}"/>
    <cellStyle name="Calculation 2 5 2 3 3 3 4" xfId="16299" xr:uid="{00000000-0005-0000-0000-00007A090000}"/>
    <cellStyle name="Calculation 2 5 2 3 3 4" xfId="9735" xr:uid="{00000000-0005-0000-0000-00007B090000}"/>
    <cellStyle name="Calculation 2 5 2 3 3 4 2" xfId="28707" xr:uid="{00000000-0005-0000-0000-00007C090000}"/>
    <cellStyle name="Calculation 2 5 2 3 3 4 3" xfId="39552" xr:uid="{00000000-0005-0000-0000-00007D090000}"/>
    <cellStyle name="Calculation 2 5 2 3 3 4 4" xfId="18203" xr:uid="{00000000-0005-0000-0000-00007E090000}"/>
    <cellStyle name="Calculation 2 5 2 3 3 5" xfId="20531" xr:uid="{00000000-0005-0000-0000-00007F090000}"/>
    <cellStyle name="Calculation 2 5 2 3 3 6" xfId="31376" xr:uid="{00000000-0005-0000-0000-000080090000}"/>
    <cellStyle name="Calculation 2 5 2 3 3 7" xfId="12349" xr:uid="{00000000-0005-0000-0000-000081090000}"/>
    <cellStyle name="Calculation 2 5 2 3 4" xfId="1955" xr:uid="{00000000-0005-0000-0000-000082090000}"/>
    <cellStyle name="Calculation 2 5 2 3 4 2" xfId="4808" xr:uid="{00000000-0005-0000-0000-000083090000}"/>
    <cellStyle name="Calculation 2 5 2 3 4 2 2" xfId="23780" xr:uid="{00000000-0005-0000-0000-000084090000}"/>
    <cellStyle name="Calculation 2 5 2 3 4 2 3" xfId="34625" xr:uid="{00000000-0005-0000-0000-000085090000}"/>
    <cellStyle name="Calculation 2 5 2 3 4 2 4" xfId="14673" xr:uid="{00000000-0005-0000-0000-000086090000}"/>
    <cellStyle name="Calculation 2 5 2 3 4 3" xfId="7480" xr:uid="{00000000-0005-0000-0000-000087090000}"/>
    <cellStyle name="Calculation 2 5 2 3 4 3 2" xfId="26452" xr:uid="{00000000-0005-0000-0000-000088090000}"/>
    <cellStyle name="Calculation 2 5 2 3 4 3 3" xfId="37297" xr:uid="{00000000-0005-0000-0000-000089090000}"/>
    <cellStyle name="Calculation 2 5 2 3 4 3 4" xfId="16587" xr:uid="{00000000-0005-0000-0000-00008A090000}"/>
    <cellStyle name="Calculation 2 5 2 3 4 4" xfId="10139" xr:uid="{00000000-0005-0000-0000-00008B090000}"/>
    <cellStyle name="Calculation 2 5 2 3 4 4 2" xfId="29111" xr:uid="{00000000-0005-0000-0000-00008C090000}"/>
    <cellStyle name="Calculation 2 5 2 3 4 4 3" xfId="39956" xr:uid="{00000000-0005-0000-0000-00008D090000}"/>
    <cellStyle name="Calculation 2 5 2 3 4 4 4" xfId="18491" xr:uid="{00000000-0005-0000-0000-00008E090000}"/>
    <cellStyle name="Calculation 2 5 2 3 4 5" xfId="20935" xr:uid="{00000000-0005-0000-0000-00008F090000}"/>
    <cellStyle name="Calculation 2 5 2 3 4 6" xfId="31780" xr:uid="{00000000-0005-0000-0000-000090090000}"/>
    <cellStyle name="Calculation 2 5 2 3 4 7" xfId="12637" xr:uid="{00000000-0005-0000-0000-000091090000}"/>
    <cellStyle name="Calculation 2 5 2 3 5" xfId="2347" xr:uid="{00000000-0005-0000-0000-000092090000}"/>
    <cellStyle name="Calculation 2 5 2 3 5 2" xfId="5200" xr:uid="{00000000-0005-0000-0000-000093090000}"/>
    <cellStyle name="Calculation 2 5 2 3 5 2 2" xfId="24172" xr:uid="{00000000-0005-0000-0000-000094090000}"/>
    <cellStyle name="Calculation 2 5 2 3 5 2 3" xfId="35017" xr:uid="{00000000-0005-0000-0000-000095090000}"/>
    <cellStyle name="Calculation 2 5 2 3 5 2 4" xfId="14954" xr:uid="{00000000-0005-0000-0000-000096090000}"/>
    <cellStyle name="Calculation 2 5 2 3 5 3" xfId="7871" xr:uid="{00000000-0005-0000-0000-000097090000}"/>
    <cellStyle name="Calculation 2 5 2 3 5 3 2" xfId="26843" xr:uid="{00000000-0005-0000-0000-000098090000}"/>
    <cellStyle name="Calculation 2 5 2 3 5 3 3" xfId="37688" xr:uid="{00000000-0005-0000-0000-000099090000}"/>
    <cellStyle name="Calculation 2 5 2 3 5 3 4" xfId="16867" xr:uid="{00000000-0005-0000-0000-00009A090000}"/>
    <cellStyle name="Calculation 2 5 2 3 5 4" xfId="10530" xr:uid="{00000000-0005-0000-0000-00009B090000}"/>
    <cellStyle name="Calculation 2 5 2 3 5 4 2" xfId="29502" xr:uid="{00000000-0005-0000-0000-00009C090000}"/>
    <cellStyle name="Calculation 2 5 2 3 5 4 3" xfId="40347" xr:uid="{00000000-0005-0000-0000-00009D090000}"/>
    <cellStyle name="Calculation 2 5 2 3 5 4 4" xfId="18771" xr:uid="{00000000-0005-0000-0000-00009E090000}"/>
    <cellStyle name="Calculation 2 5 2 3 5 5" xfId="21326" xr:uid="{00000000-0005-0000-0000-00009F090000}"/>
    <cellStyle name="Calculation 2 5 2 3 5 6" xfId="32171" xr:uid="{00000000-0005-0000-0000-0000A0090000}"/>
    <cellStyle name="Calculation 2 5 2 3 5 7" xfId="12917" xr:uid="{00000000-0005-0000-0000-0000A1090000}"/>
    <cellStyle name="Calculation 2 5 2 3 6" xfId="2736" xr:uid="{00000000-0005-0000-0000-0000A2090000}"/>
    <cellStyle name="Calculation 2 5 2 3 6 2" xfId="5588" xr:uid="{00000000-0005-0000-0000-0000A3090000}"/>
    <cellStyle name="Calculation 2 5 2 3 6 2 2" xfId="24560" xr:uid="{00000000-0005-0000-0000-0000A4090000}"/>
    <cellStyle name="Calculation 2 5 2 3 6 2 3" xfId="35405" xr:uid="{00000000-0005-0000-0000-0000A5090000}"/>
    <cellStyle name="Calculation 2 5 2 3 6 2 4" xfId="15232" xr:uid="{00000000-0005-0000-0000-0000A6090000}"/>
    <cellStyle name="Calculation 2 5 2 3 6 3" xfId="8259" xr:uid="{00000000-0005-0000-0000-0000A7090000}"/>
    <cellStyle name="Calculation 2 5 2 3 6 3 2" xfId="27231" xr:uid="{00000000-0005-0000-0000-0000A8090000}"/>
    <cellStyle name="Calculation 2 5 2 3 6 3 3" xfId="38076" xr:uid="{00000000-0005-0000-0000-0000A9090000}"/>
    <cellStyle name="Calculation 2 5 2 3 6 3 4" xfId="17145" xr:uid="{00000000-0005-0000-0000-0000AA090000}"/>
    <cellStyle name="Calculation 2 5 2 3 6 4" xfId="10918" xr:uid="{00000000-0005-0000-0000-0000AB090000}"/>
    <cellStyle name="Calculation 2 5 2 3 6 4 2" xfId="29890" xr:uid="{00000000-0005-0000-0000-0000AC090000}"/>
    <cellStyle name="Calculation 2 5 2 3 6 4 3" xfId="40735" xr:uid="{00000000-0005-0000-0000-0000AD090000}"/>
    <cellStyle name="Calculation 2 5 2 3 6 4 4" xfId="19049" xr:uid="{00000000-0005-0000-0000-0000AE090000}"/>
    <cellStyle name="Calculation 2 5 2 3 6 5" xfId="21714" xr:uid="{00000000-0005-0000-0000-0000AF090000}"/>
    <cellStyle name="Calculation 2 5 2 3 6 6" xfId="32559" xr:uid="{00000000-0005-0000-0000-0000B0090000}"/>
    <cellStyle name="Calculation 2 5 2 3 6 7" xfId="13195" xr:uid="{00000000-0005-0000-0000-0000B1090000}"/>
    <cellStyle name="Calculation 2 5 2 3 7" xfId="3427" xr:uid="{00000000-0005-0000-0000-0000B2090000}"/>
    <cellStyle name="Calculation 2 5 2 3 7 2" xfId="22399" xr:uid="{00000000-0005-0000-0000-0000B3090000}"/>
    <cellStyle name="Calculation 2 5 2 3 7 3" xfId="33244" xr:uid="{00000000-0005-0000-0000-0000B4090000}"/>
    <cellStyle name="Calculation 2 5 2 3 7 4" xfId="13677" xr:uid="{00000000-0005-0000-0000-0000B5090000}"/>
    <cellStyle name="Calculation 2 5 2 3 8" xfId="6103" xr:uid="{00000000-0005-0000-0000-0000B6090000}"/>
    <cellStyle name="Calculation 2 5 2 3 8 2" xfId="25075" xr:uid="{00000000-0005-0000-0000-0000B7090000}"/>
    <cellStyle name="Calculation 2 5 2 3 8 3" xfId="35920" xr:uid="{00000000-0005-0000-0000-0000B8090000}"/>
    <cellStyle name="Calculation 2 5 2 3 8 4" xfId="15594" xr:uid="{00000000-0005-0000-0000-0000B9090000}"/>
    <cellStyle name="Calculation 2 5 2 3 9" xfId="8762" xr:uid="{00000000-0005-0000-0000-0000BA090000}"/>
    <cellStyle name="Calculation 2 5 2 3 9 2" xfId="27734" xr:uid="{00000000-0005-0000-0000-0000BB090000}"/>
    <cellStyle name="Calculation 2 5 2 3 9 3" xfId="38579" xr:uid="{00000000-0005-0000-0000-0000BC090000}"/>
    <cellStyle name="Calculation 2 5 2 3 9 4" xfId="17498" xr:uid="{00000000-0005-0000-0000-0000BD090000}"/>
    <cellStyle name="Calculation 2 5 2 4" xfId="546" xr:uid="{00000000-0005-0000-0000-0000BE090000}"/>
    <cellStyle name="Calculation 2 5 2 4 10" xfId="19556" xr:uid="{00000000-0005-0000-0000-0000BF090000}"/>
    <cellStyle name="Calculation 2 5 2 4 11" xfId="30401" xr:uid="{00000000-0005-0000-0000-0000C0090000}"/>
    <cellStyle name="Calculation 2 5 2 4 12" xfId="11620" xr:uid="{00000000-0005-0000-0000-0000C1090000}"/>
    <cellStyle name="Calculation 2 5 2 4 2" xfId="1152" xr:uid="{00000000-0005-0000-0000-0000C2090000}"/>
    <cellStyle name="Calculation 2 5 2 4 2 2" xfId="4005" xr:uid="{00000000-0005-0000-0000-0000C3090000}"/>
    <cellStyle name="Calculation 2 5 2 4 2 2 2" xfId="22977" xr:uid="{00000000-0005-0000-0000-0000C4090000}"/>
    <cellStyle name="Calculation 2 5 2 4 2 2 3" xfId="33822" xr:uid="{00000000-0005-0000-0000-0000C5090000}"/>
    <cellStyle name="Calculation 2 5 2 4 2 2 4" xfId="14097" xr:uid="{00000000-0005-0000-0000-0000C6090000}"/>
    <cellStyle name="Calculation 2 5 2 4 2 3" xfId="6678" xr:uid="{00000000-0005-0000-0000-0000C7090000}"/>
    <cellStyle name="Calculation 2 5 2 4 2 3 2" xfId="25650" xr:uid="{00000000-0005-0000-0000-0000C8090000}"/>
    <cellStyle name="Calculation 2 5 2 4 2 3 3" xfId="36495" xr:uid="{00000000-0005-0000-0000-0000C9090000}"/>
    <cellStyle name="Calculation 2 5 2 4 2 3 4" xfId="16012" xr:uid="{00000000-0005-0000-0000-0000CA090000}"/>
    <cellStyle name="Calculation 2 5 2 4 2 4" xfId="9337" xr:uid="{00000000-0005-0000-0000-0000CB090000}"/>
    <cellStyle name="Calculation 2 5 2 4 2 4 2" xfId="28309" xr:uid="{00000000-0005-0000-0000-0000CC090000}"/>
    <cellStyle name="Calculation 2 5 2 4 2 4 3" xfId="39154" xr:uid="{00000000-0005-0000-0000-0000CD090000}"/>
    <cellStyle name="Calculation 2 5 2 4 2 4 4" xfId="17916" xr:uid="{00000000-0005-0000-0000-0000CE090000}"/>
    <cellStyle name="Calculation 2 5 2 4 2 5" xfId="20133" xr:uid="{00000000-0005-0000-0000-0000CF090000}"/>
    <cellStyle name="Calculation 2 5 2 4 2 6" xfId="30978" xr:uid="{00000000-0005-0000-0000-0000D0090000}"/>
    <cellStyle name="Calculation 2 5 2 4 2 7" xfId="12062" xr:uid="{00000000-0005-0000-0000-0000D1090000}"/>
    <cellStyle name="Calculation 2 5 2 4 3" xfId="1549" xr:uid="{00000000-0005-0000-0000-0000D2090000}"/>
    <cellStyle name="Calculation 2 5 2 4 3 2" xfId="4402" xr:uid="{00000000-0005-0000-0000-0000D3090000}"/>
    <cellStyle name="Calculation 2 5 2 4 3 2 2" xfId="23374" xr:uid="{00000000-0005-0000-0000-0000D4090000}"/>
    <cellStyle name="Calculation 2 5 2 4 3 2 3" xfId="34219" xr:uid="{00000000-0005-0000-0000-0000D5090000}"/>
    <cellStyle name="Calculation 2 5 2 4 3 2 4" xfId="14383" xr:uid="{00000000-0005-0000-0000-0000D6090000}"/>
    <cellStyle name="Calculation 2 5 2 4 3 3" xfId="7074" xr:uid="{00000000-0005-0000-0000-0000D7090000}"/>
    <cellStyle name="Calculation 2 5 2 4 3 3 2" xfId="26046" xr:uid="{00000000-0005-0000-0000-0000D8090000}"/>
    <cellStyle name="Calculation 2 5 2 4 3 3 3" xfId="36891" xr:uid="{00000000-0005-0000-0000-0000D9090000}"/>
    <cellStyle name="Calculation 2 5 2 4 3 3 4" xfId="16297" xr:uid="{00000000-0005-0000-0000-0000DA090000}"/>
    <cellStyle name="Calculation 2 5 2 4 3 4" xfId="9733" xr:uid="{00000000-0005-0000-0000-0000DB090000}"/>
    <cellStyle name="Calculation 2 5 2 4 3 4 2" xfId="28705" xr:uid="{00000000-0005-0000-0000-0000DC090000}"/>
    <cellStyle name="Calculation 2 5 2 4 3 4 3" xfId="39550" xr:uid="{00000000-0005-0000-0000-0000DD090000}"/>
    <cellStyle name="Calculation 2 5 2 4 3 4 4" xfId="18201" xr:uid="{00000000-0005-0000-0000-0000DE090000}"/>
    <cellStyle name="Calculation 2 5 2 4 3 5" xfId="20529" xr:uid="{00000000-0005-0000-0000-0000DF090000}"/>
    <cellStyle name="Calculation 2 5 2 4 3 6" xfId="31374" xr:uid="{00000000-0005-0000-0000-0000E0090000}"/>
    <cellStyle name="Calculation 2 5 2 4 3 7" xfId="12347" xr:uid="{00000000-0005-0000-0000-0000E1090000}"/>
    <cellStyle name="Calculation 2 5 2 4 4" xfId="1953" xr:uid="{00000000-0005-0000-0000-0000E2090000}"/>
    <cellStyle name="Calculation 2 5 2 4 4 2" xfId="4806" xr:uid="{00000000-0005-0000-0000-0000E3090000}"/>
    <cellStyle name="Calculation 2 5 2 4 4 2 2" xfId="23778" xr:uid="{00000000-0005-0000-0000-0000E4090000}"/>
    <cellStyle name="Calculation 2 5 2 4 4 2 3" xfId="34623" xr:uid="{00000000-0005-0000-0000-0000E5090000}"/>
    <cellStyle name="Calculation 2 5 2 4 4 2 4" xfId="14671" xr:uid="{00000000-0005-0000-0000-0000E6090000}"/>
    <cellStyle name="Calculation 2 5 2 4 4 3" xfId="7478" xr:uid="{00000000-0005-0000-0000-0000E7090000}"/>
    <cellStyle name="Calculation 2 5 2 4 4 3 2" xfId="26450" xr:uid="{00000000-0005-0000-0000-0000E8090000}"/>
    <cellStyle name="Calculation 2 5 2 4 4 3 3" xfId="37295" xr:uid="{00000000-0005-0000-0000-0000E9090000}"/>
    <cellStyle name="Calculation 2 5 2 4 4 3 4" xfId="16585" xr:uid="{00000000-0005-0000-0000-0000EA090000}"/>
    <cellStyle name="Calculation 2 5 2 4 4 4" xfId="10137" xr:uid="{00000000-0005-0000-0000-0000EB090000}"/>
    <cellStyle name="Calculation 2 5 2 4 4 4 2" xfId="29109" xr:uid="{00000000-0005-0000-0000-0000EC090000}"/>
    <cellStyle name="Calculation 2 5 2 4 4 4 3" xfId="39954" xr:uid="{00000000-0005-0000-0000-0000ED090000}"/>
    <cellStyle name="Calculation 2 5 2 4 4 4 4" xfId="18489" xr:uid="{00000000-0005-0000-0000-0000EE090000}"/>
    <cellStyle name="Calculation 2 5 2 4 4 5" xfId="20933" xr:uid="{00000000-0005-0000-0000-0000EF090000}"/>
    <cellStyle name="Calculation 2 5 2 4 4 6" xfId="31778" xr:uid="{00000000-0005-0000-0000-0000F0090000}"/>
    <cellStyle name="Calculation 2 5 2 4 4 7" xfId="12635" xr:uid="{00000000-0005-0000-0000-0000F1090000}"/>
    <cellStyle name="Calculation 2 5 2 4 5" xfId="2345" xr:uid="{00000000-0005-0000-0000-0000F2090000}"/>
    <cellStyle name="Calculation 2 5 2 4 5 2" xfId="5198" xr:uid="{00000000-0005-0000-0000-0000F3090000}"/>
    <cellStyle name="Calculation 2 5 2 4 5 2 2" xfId="24170" xr:uid="{00000000-0005-0000-0000-0000F4090000}"/>
    <cellStyle name="Calculation 2 5 2 4 5 2 3" xfId="35015" xr:uid="{00000000-0005-0000-0000-0000F5090000}"/>
    <cellStyle name="Calculation 2 5 2 4 5 2 4" xfId="14952" xr:uid="{00000000-0005-0000-0000-0000F6090000}"/>
    <cellStyle name="Calculation 2 5 2 4 5 3" xfId="7869" xr:uid="{00000000-0005-0000-0000-0000F7090000}"/>
    <cellStyle name="Calculation 2 5 2 4 5 3 2" xfId="26841" xr:uid="{00000000-0005-0000-0000-0000F8090000}"/>
    <cellStyle name="Calculation 2 5 2 4 5 3 3" xfId="37686" xr:uid="{00000000-0005-0000-0000-0000F9090000}"/>
    <cellStyle name="Calculation 2 5 2 4 5 3 4" xfId="16865" xr:uid="{00000000-0005-0000-0000-0000FA090000}"/>
    <cellStyle name="Calculation 2 5 2 4 5 4" xfId="10528" xr:uid="{00000000-0005-0000-0000-0000FB090000}"/>
    <cellStyle name="Calculation 2 5 2 4 5 4 2" xfId="29500" xr:uid="{00000000-0005-0000-0000-0000FC090000}"/>
    <cellStyle name="Calculation 2 5 2 4 5 4 3" xfId="40345" xr:uid="{00000000-0005-0000-0000-0000FD090000}"/>
    <cellStyle name="Calculation 2 5 2 4 5 4 4" xfId="18769" xr:uid="{00000000-0005-0000-0000-0000FE090000}"/>
    <cellStyle name="Calculation 2 5 2 4 5 5" xfId="21324" xr:uid="{00000000-0005-0000-0000-0000FF090000}"/>
    <cellStyle name="Calculation 2 5 2 4 5 6" xfId="32169" xr:uid="{00000000-0005-0000-0000-0000000A0000}"/>
    <cellStyle name="Calculation 2 5 2 4 5 7" xfId="12915" xr:uid="{00000000-0005-0000-0000-0000010A0000}"/>
    <cellStyle name="Calculation 2 5 2 4 6" xfId="2734" xr:uid="{00000000-0005-0000-0000-0000020A0000}"/>
    <cellStyle name="Calculation 2 5 2 4 6 2" xfId="5586" xr:uid="{00000000-0005-0000-0000-0000030A0000}"/>
    <cellStyle name="Calculation 2 5 2 4 6 2 2" xfId="24558" xr:uid="{00000000-0005-0000-0000-0000040A0000}"/>
    <cellStyle name="Calculation 2 5 2 4 6 2 3" xfId="35403" xr:uid="{00000000-0005-0000-0000-0000050A0000}"/>
    <cellStyle name="Calculation 2 5 2 4 6 2 4" xfId="15230" xr:uid="{00000000-0005-0000-0000-0000060A0000}"/>
    <cellStyle name="Calculation 2 5 2 4 6 3" xfId="8257" xr:uid="{00000000-0005-0000-0000-0000070A0000}"/>
    <cellStyle name="Calculation 2 5 2 4 6 3 2" xfId="27229" xr:uid="{00000000-0005-0000-0000-0000080A0000}"/>
    <cellStyle name="Calculation 2 5 2 4 6 3 3" xfId="38074" xr:uid="{00000000-0005-0000-0000-0000090A0000}"/>
    <cellStyle name="Calculation 2 5 2 4 6 3 4" xfId="17143" xr:uid="{00000000-0005-0000-0000-00000A0A0000}"/>
    <cellStyle name="Calculation 2 5 2 4 6 4" xfId="10916" xr:uid="{00000000-0005-0000-0000-00000B0A0000}"/>
    <cellStyle name="Calculation 2 5 2 4 6 4 2" xfId="29888" xr:uid="{00000000-0005-0000-0000-00000C0A0000}"/>
    <cellStyle name="Calculation 2 5 2 4 6 4 3" xfId="40733" xr:uid="{00000000-0005-0000-0000-00000D0A0000}"/>
    <cellStyle name="Calculation 2 5 2 4 6 4 4" xfId="19047" xr:uid="{00000000-0005-0000-0000-00000E0A0000}"/>
    <cellStyle name="Calculation 2 5 2 4 6 5" xfId="21712" xr:uid="{00000000-0005-0000-0000-00000F0A0000}"/>
    <cellStyle name="Calculation 2 5 2 4 6 6" xfId="32557" xr:uid="{00000000-0005-0000-0000-0000100A0000}"/>
    <cellStyle name="Calculation 2 5 2 4 6 7" xfId="13193" xr:uid="{00000000-0005-0000-0000-0000110A0000}"/>
    <cellStyle name="Calculation 2 5 2 4 7" xfId="3425" xr:uid="{00000000-0005-0000-0000-0000120A0000}"/>
    <cellStyle name="Calculation 2 5 2 4 7 2" xfId="22397" xr:uid="{00000000-0005-0000-0000-0000130A0000}"/>
    <cellStyle name="Calculation 2 5 2 4 7 3" xfId="33242" xr:uid="{00000000-0005-0000-0000-0000140A0000}"/>
    <cellStyle name="Calculation 2 5 2 4 7 4" xfId="13675" xr:uid="{00000000-0005-0000-0000-0000150A0000}"/>
    <cellStyle name="Calculation 2 5 2 4 8" xfId="6101" xr:uid="{00000000-0005-0000-0000-0000160A0000}"/>
    <cellStyle name="Calculation 2 5 2 4 8 2" xfId="25073" xr:uid="{00000000-0005-0000-0000-0000170A0000}"/>
    <cellStyle name="Calculation 2 5 2 4 8 3" xfId="35918" xr:uid="{00000000-0005-0000-0000-0000180A0000}"/>
    <cellStyle name="Calculation 2 5 2 4 8 4" xfId="15592" xr:uid="{00000000-0005-0000-0000-0000190A0000}"/>
    <cellStyle name="Calculation 2 5 2 4 9" xfId="8760" xr:uid="{00000000-0005-0000-0000-00001A0A0000}"/>
    <cellStyle name="Calculation 2 5 2 4 9 2" xfId="27732" xr:uid="{00000000-0005-0000-0000-00001B0A0000}"/>
    <cellStyle name="Calculation 2 5 2 4 9 3" xfId="38577" xr:uid="{00000000-0005-0000-0000-00001C0A0000}"/>
    <cellStyle name="Calculation 2 5 2 4 9 4" xfId="17496" xr:uid="{00000000-0005-0000-0000-00001D0A0000}"/>
    <cellStyle name="Calculation 2 5 2 5" xfId="531" xr:uid="{00000000-0005-0000-0000-00001E0A0000}"/>
    <cellStyle name="Calculation 2 5 2 5 10" xfId="19541" xr:uid="{00000000-0005-0000-0000-00001F0A0000}"/>
    <cellStyle name="Calculation 2 5 2 5 11" xfId="30386" xr:uid="{00000000-0005-0000-0000-0000200A0000}"/>
    <cellStyle name="Calculation 2 5 2 5 12" xfId="11605" xr:uid="{00000000-0005-0000-0000-0000210A0000}"/>
    <cellStyle name="Calculation 2 5 2 5 2" xfId="1137" xr:uid="{00000000-0005-0000-0000-0000220A0000}"/>
    <cellStyle name="Calculation 2 5 2 5 2 2" xfId="3990" xr:uid="{00000000-0005-0000-0000-0000230A0000}"/>
    <cellStyle name="Calculation 2 5 2 5 2 2 2" xfId="22962" xr:uid="{00000000-0005-0000-0000-0000240A0000}"/>
    <cellStyle name="Calculation 2 5 2 5 2 2 3" xfId="33807" xr:uid="{00000000-0005-0000-0000-0000250A0000}"/>
    <cellStyle name="Calculation 2 5 2 5 2 2 4" xfId="14082" xr:uid="{00000000-0005-0000-0000-0000260A0000}"/>
    <cellStyle name="Calculation 2 5 2 5 2 3" xfId="6663" xr:uid="{00000000-0005-0000-0000-0000270A0000}"/>
    <cellStyle name="Calculation 2 5 2 5 2 3 2" xfId="25635" xr:uid="{00000000-0005-0000-0000-0000280A0000}"/>
    <cellStyle name="Calculation 2 5 2 5 2 3 3" xfId="36480" xr:uid="{00000000-0005-0000-0000-0000290A0000}"/>
    <cellStyle name="Calculation 2 5 2 5 2 3 4" xfId="15997" xr:uid="{00000000-0005-0000-0000-00002A0A0000}"/>
    <cellStyle name="Calculation 2 5 2 5 2 4" xfId="9322" xr:uid="{00000000-0005-0000-0000-00002B0A0000}"/>
    <cellStyle name="Calculation 2 5 2 5 2 4 2" xfId="28294" xr:uid="{00000000-0005-0000-0000-00002C0A0000}"/>
    <cellStyle name="Calculation 2 5 2 5 2 4 3" xfId="39139" xr:uid="{00000000-0005-0000-0000-00002D0A0000}"/>
    <cellStyle name="Calculation 2 5 2 5 2 4 4" xfId="17901" xr:uid="{00000000-0005-0000-0000-00002E0A0000}"/>
    <cellStyle name="Calculation 2 5 2 5 2 5" xfId="20118" xr:uid="{00000000-0005-0000-0000-00002F0A0000}"/>
    <cellStyle name="Calculation 2 5 2 5 2 6" xfId="30963" xr:uid="{00000000-0005-0000-0000-0000300A0000}"/>
    <cellStyle name="Calculation 2 5 2 5 2 7" xfId="12047" xr:uid="{00000000-0005-0000-0000-0000310A0000}"/>
    <cellStyle name="Calculation 2 5 2 5 3" xfId="1534" xr:uid="{00000000-0005-0000-0000-0000320A0000}"/>
    <cellStyle name="Calculation 2 5 2 5 3 2" xfId="4387" xr:uid="{00000000-0005-0000-0000-0000330A0000}"/>
    <cellStyle name="Calculation 2 5 2 5 3 2 2" xfId="23359" xr:uid="{00000000-0005-0000-0000-0000340A0000}"/>
    <cellStyle name="Calculation 2 5 2 5 3 2 3" xfId="34204" xr:uid="{00000000-0005-0000-0000-0000350A0000}"/>
    <cellStyle name="Calculation 2 5 2 5 3 2 4" xfId="14368" xr:uid="{00000000-0005-0000-0000-0000360A0000}"/>
    <cellStyle name="Calculation 2 5 2 5 3 3" xfId="7059" xr:uid="{00000000-0005-0000-0000-0000370A0000}"/>
    <cellStyle name="Calculation 2 5 2 5 3 3 2" xfId="26031" xr:uid="{00000000-0005-0000-0000-0000380A0000}"/>
    <cellStyle name="Calculation 2 5 2 5 3 3 3" xfId="36876" xr:uid="{00000000-0005-0000-0000-0000390A0000}"/>
    <cellStyle name="Calculation 2 5 2 5 3 3 4" xfId="16282" xr:uid="{00000000-0005-0000-0000-00003A0A0000}"/>
    <cellStyle name="Calculation 2 5 2 5 3 4" xfId="9718" xr:uid="{00000000-0005-0000-0000-00003B0A0000}"/>
    <cellStyle name="Calculation 2 5 2 5 3 4 2" xfId="28690" xr:uid="{00000000-0005-0000-0000-00003C0A0000}"/>
    <cellStyle name="Calculation 2 5 2 5 3 4 3" xfId="39535" xr:uid="{00000000-0005-0000-0000-00003D0A0000}"/>
    <cellStyle name="Calculation 2 5 2 5 3 4 4" xfId="18186" xr:uid="{00000000-0005-0000-0000-00003E0A0000}"/>
    <cellStyle name="Calculation 2 5 2 5 3 5" xfId="20514" xr:uid="{00000000-0005-0000-0000-00003F0A0000}"/>
    <cellStyle name="Calculation 2 5 2 5 3 6" xfId="31359" xr:uid="{00000000-0005-0000-0000-0000400A0000}"/>
    <cellStyle name="Calculation 2 5 2 5 3 7" xfId="12332" xr:uid="{00000000-0005-0000-0000-0000410A0000}"/>
    <cellStyle name="Calculation 2 5 2 5 4" xfId="1938" xr:uid="{00000000-0005-0000-0000-0000420A0000}"/>
    <cellStyle name="Calculation 2 5 2 5 4 2" xfId="4791" xr:uid="{00000000-0005-0000-0000-0000430A0000}"/>
    <cellStyle name="Calculation 2 5 2 5 4 2 2" xfId="23763" xr:uid="{00000000-0005-0000-0000-0000440A0000}"/>
    <cellStyle name="Calculation 2 5 2 5 4 2 3" xfId="34608" xr:uid="{00000000-0005-0000-0000-0000450A0000}"/>
    <cellStyle name="Calculation 2 5 2 5 4 2 4" xfId="14656" xr:uid="{00000000-0005-0000-0000-0000460A0000}"/>
    <cellStyle name="Calculation 2 5 2 5 4 3" xfId="7463" xr:uid="{00000000-0005-0000-0000-0000470A0000}"/>
    <cellStyle name="Calculation 2 5 2 5 4 3 2" xfId="26435" xr:uid="{00000000-0005-0000-0000-0000480A0000}"/>
    <cellStyle name="Calculation 2 5 2 5 4 3 3" xfId="37280" xr:uid="{00000000-0005-0000-0000-0000490A0000}"/>
    <cellStyle name="Calculation 2 5 2 5 4 3 4" xfId="16570" xr:uid="{00000000-0005-0000-0000-00004A0A0000}"/>
    <cellStyle name="Calculation 2 5 2 5 4 4" xfId="10122" xr:uid="{00000000-0005-0000-0000-00004B0A0000}"/>
    <cellStyle name="Calculation 2 5 2 5 4 4 2" xfId="29094" xr:uid="{00000000-0005-0000-0000-00004C0A0000}"/>
    <cellStyle name="Calculation 2 5 2 5 4 4 3" xfId="39939" xr:uid="{00000000-0005-0000-0000-00004D0A0000}"/>
    <cellStyle name="Calculation 2 5 2 5 4 4 4" xfId="18474" xr:uid="{00000000-0005-0000-0000-00004E0A0000}"/>
    <cellStyle name="Calculation 2 5 2 5 4 5" xfId="20918" xr:uid="{00000000-0005-0000-0000-00004F0A0000}"/>
    <cellStyle name="Calculation 2 5 2 5 4 6" xfId="31763" xr:uid="{00000000-0005-0000-0000-0000500A0000}"/>
    <cellStyle name="Calculation 2 5 2 5 4 7" xfId="12620" xr:uid="{00000000-0005-0000-0000-0000510A0000}"/>
    <cellStyle name="Calculation 2 5 2 5 5" xfId="2330" xr:uid="{00000000-0005-0000-0000-0000520A0000}"/>
    <cellStyle name="Calculation 2 5 2 5 5 2" xfId="5183" xr:uid="{00000000-0005-0000-0000-0000530A0000}"/>
    <cellStyle name="Calculation 2 5 2 5 5 2 2" xfId="24155" xr:uid="{00000000-0005-0000-0000-0000540A0000}"/>
    <cellStyle name="Calculation 2 5 2 5 5 2 3" xfId="35000" xr:uid="{00000000-0005-0000-0000-0000550A0000}"/>
    <cellStyle name="Calculation 2 5 2 5 5 2 4" xfId="14937" xr:uid="{00000000-0005-0000-0000-0000560A0000}"/>
    <cellStyle name="Calculation 2 5 2 5 5 3" xfId="7854" xr:uid="{00000000-0005-0000-0000-0000570A0000}"/>
    <cellStyle name="Calculation 2 5 2 5 5 3 2" xfId="26826" xr:uid="{00000000-0005-0000-0000-0000580A0000}"/>
    <cellStyle name="Calculation 2 5 2 5 5 3 3" xfId="37671" xr:uid="{00000000-0005-0000-0000-0000590A0000}"/>
    <cellStyle name="Calculation 2 5 2 5 5 3 4" xfId="16850" xr:uid="{00000000-0005-0000-0000-00005A0A0000}"/>
    <cellStyle name="Calculation 2 5 2 5 5 4" xfId="10513" xr:uid="{00000000-0005-0000-0000-00005B0A0000}"/>
    <cellStyle name="Calculation 2 5 2 5 5 4 2" xfId="29485" xr:uid="{00000000-0005-0000-0000-00005C0A0000}"/>
    <cellStyle name="Calculation 2 5 2 5 5 4 3" xfId="40330" xr:uid="{00000000-0005-0000-0000-00005D0A0000}"/>
    <cellStyle name="Calculation 2 5 2 5 5 4 4" xfId="18754" xr:uid="{00000000-0005-0000-0000-00005E0A0000}"/>
    <cellStyle name="Calculation 2 5 2 5 5 5" xfId="21309" xr:uid="{00000000-0005-0000-0000-00005F0A0000}"/>
    <cellStyle name="Calculation 2 5 2 5 5 6" xfId="32154" xr:uid="{00000000-0005-0000-0000-0000600A0000}"/>
    <cellStyle name="Calculation 2 5 2 5 5 7" xfId="12900" xr:uid="{00000000-0005-0000-0000-0000610A0000}"/>
    <cellStyle name="Calculation 2 5 2 5 6" xfId="2719" xr:uid="{00000000-0005-0000-0000-0000620A0000}"/>
    <cellStyle name="Calculation 2 5 2 5 6 2" xfId="5571" xr:uid="{00000000-0005-0000-0000-0000630A0000}"/>
    <cellStyle name="Calculation 2 5 2 5 6 2 2" xfId="24543" xr:uid="{00000000-0005-0000-0000-0000640A0000}"/>
    <cellStyle name="Calculation 2 5 2 5 6 2 3" xfId="35388" xr:uid="{00000000-0005-0000-0000-0000650A0000}"/>
    <cellStyle name="Calculation 2 5 2 5 6 2 4" xfId="15215" xr:uid="{00000000-0005-0000-0000-0000660A0000}"/>
    <cellStyle name="Calculation 2 5 2 5 6 3" xfId="8242" xr:uid="{00000000-0005-0000-0000-0000670A0000}"/>
    <cellStyle name="Calculation 2 5 2 5 6 3 2" xfId="27214" xr:uid="{00000000-0005-0000-0000-0000680A0000}"/>
    <cellStyle name="Calculation 2 5 2 5 6 3 3" xfId="38059" xr:uid="{00000000-0005-0000-0000-0000690A0000}"/>
    <cellStyle name="Calculation 2 5 2 5 6 3 4" xfId="17128" xr:uid="{00000000-0005-0000-0000-00006A0A0000}"/>
    <cellStyle name="Calculation 2 5 2 5 6 4" xfId="10901" xr:uid="{00000000-0005-0000-0000-00006B0A0000}"/>
    <cellStyle name="Calculation 2 5 2 5 6 4 2" xfId="29873" xr:uid="{00000000-0005-0000-0000-00006C0A0000}"/>
    <cellStyle name="Calculation 2 5 2 5 6 4 3" xfId="40718" xr:uid="{00000000-0005-0000-0000-00006D0A0000}"/>
    <cellStyle name="Calculation 2 5 2 5 6 4 4" xfId="19032" xr:uid="{00000000-0005-0000-0000-00006E0A0000}"/>
    <cellStyle name="Calculation 2 5 2 5 6 5" xfId="21697" xr:uid="{00000000-0005-0000-0000-00006F0A0000}"/>
    <cellStyle name="Calculation 2 5 2 5 6 6" xfId="32542" xr:uid="{00000000-0005-0000-0000-0000700A0000}"/>
    <cellStyle name="Calculation 2 5 2 5 6 7" xfId="13178" xr:uid="{00000000-0005-0000-0000-0000710A0000}"/>
    <cellStyle name="Calculation 2 5 2 5 7" xfId="3410" xr:uid="{00000000-0005-0000-0000-0000720A0000}"/>
    <cellStyle name="Calculation 2 5 2 5 7 2" xfId="22382" xr:uid="{00000000-0005-0000-0000-0000730A0000}"/>
    <cellStyle name="Calculation 2 5 2 5 7 3" xfId="33227" xr:uid="{00000000-0005-0000-0000-0000740A0000}"/>
    <cellStyle name="Calculation 2 5 2 5 7 4" xfId="13660" xr:uid="{00000000-0005-0000-0000-0000750A0000}"/>
    <cellStyle name="Calculation 2 5 2 5 8" xfId="6086" xr:uid="{00000000-0005-0000-0000-0000760A0000}"/>
    <cellStyle name="Calculation 2 5 2 5 8 2" xfId="25058" xr:uid="{00000000-0005-0000-0000-0000770A0000}"/>
    <cellStyle name="Calculation 2 5 2 5 8 3" xfId="35903" xr:uid="{00000000-0005-0000-0000-0000780A0000}"/>
    <cellStyle name="Calculation 2 5 2 5 8 4" xfId="15577" xr:uid="{00000000-0005-0000-0000-0000790A0000}"/>
    <cellStyle name="Calculation 2 5 2 5 9" xfId="8745" xr:uid="{00000000-0005-0000-0000-00007A0A0000}"/>
    <cellStyle name="Calculation 2 5 2 5 9 2" xfId="27717" xr:uid="{00000000-0005-0000-0000-00007B0A0000}"/>
    <cellStyle name="Calculation 2 5 2 5 9 3" xfId="38562" xr:uid="{00000000-0005-0000-0000-00007C0A0000}"/>
    <cellStyle name="Calculation 2 5 2 5 9 4" xfId="17481" xr:uid="{00000000-0005-0000-0000-00007D0A0000}"/>
    <cellStyle name="Calculation 2 5 2 6" xfId="1058" xr:uid="{00000000-0005-0000-0000-00007E0A0000}"/>
    <cellStyle name="Calculation 2 5 2 6 2" xfId="3911" xr:uid="{00000000-0005-0000-0000-00007F0A0000}"/>
    <cellStyle name="Calculation 2 5 2 6 2 2" xfId="22883" xr:uid="{00000000-0005-0000-0000-0000800A0000}"/>
    <cellStyle name="Calculation 2 5 2 6 2 3" xfId="33728" xr:uid="{00000000-0005-0000-0000-0000810A0000}"/>
    <cellStyle name="Calculation 2 5 2 6 2 4" xfId="14024" xr:uid="{00000000-0005-0000-0000-0000820A0000}"/>
    <cellStyle name="Calculation 2 5 2 6 3" xfId="6585" xr:uid="{00000000-0005-0000-0000-0000830A0000}"/>
    <cellStyle name="Calculation 2 5 2 6 3 2" xfId="25557" xr:uid="{00000000-0005-0000-0000-0000840A0000}"/>
    <cellStyle name="Calculation 2 5 2 6 3 3" xfId="36402" xr:uid="{00000000-0005-0000-0000-0000850A0000}"/>
    <cellStyle name="Calculation 2 5 2 6 3 4" xfId="15940" xr:uid="{00000000-0005-0000-0000-0000860A0000}"/>
    <cellStyle name="Calculation 2 5 2 6 4" xfId="9244" xr:uid="{00000000-0005-0000-0000-0000870A0000}"/>
    <cellStyle name="Calculation 2 5 2 6 4 2" xfId="28216" xr:uid="{00000000-0005-0000-0000-0000880A0000}"/>
    <cellStyle name="Calculation 2 5 2 6 4 3" xfId="39061" xr:uid="{00000000-0005-0000-0000-0000890A0000}"/>
    <cellStyle name="Calculation 2 5 2 6 4 4" xfId="17844" xr:uid="{00000000-0005-0000-0000-00008A0A0000}"/>
    <cellStyle name="Calculation 2 5 2 6 5" xfId="20040" xr:uid="{00000000-0005-0000-0000-00008B0A0000}"/>
    <cellStyle name="Calculation 2 5 2 6 6" xfId="30885" xr:uid="{00000000-0005-0000-0000-00008C0A0000}"/>
    <cellStyle name="Calculation 2 5 2 6 7" xfId="11990" xr:uid="{00000000-0005-0000-0000-00008D0A0000}"/>
    <cellStyle name="Calculation 2 5 2 7" xfId="985" xr:uid="{00000000-0005-0000-0000-00008E0A0000}"/>
    <cellStyle name="Calculation 2 5 2 7 2" xfId="3838" xr:uid="{00000000-0005-0000-0000-00008F0A0000}"/>
    <cellStyle name="Calculation 2 5 2 7 2 2" xfId="22810" xr:uid="{00000000-0005-0000-0000-0000900A0000}"/>
    <cellStyle name="Calculation 2 5 2 7 2 3" xfId="33655" xr:uid="{00000000-0005-0000-0000-0000910A0000}"/>
    <cellStyle name="Calculation 2 5 2 7 2 4" xfId="13972" xr:uid="{00000000-0005-0000-0000-0000920A0000}"/>
    <cellStyle name="Calculation 2 5 2 7 3" xfId="6513" xr:uid="{00000000-0005-0000-0000-0000930A0000}"/>
    <cellStyle name="Calculation 2 5 2 7 3 2" xfId="25485" xr:uid="{00000000-0005-0000-0000-0000940A0000}"/>
    <cellStyle name="Calculation 2 5 2 7 3 3" xfId="36330" xr:uid="{00000000-0005-0000-0000-0000950A0000}"/>
    <cellStyle name="Calculation 2 5 2 7 3 4" xfId="15888" xr:uid="{00000000-0005-0000-0000-0000960A0000}"/>
    <cellStyle name="Calculation 2 5 2 7 4" xfId="9172" xr:uid="{00000000-0005-0000-0000-0000970A0000}"/>
    <cellStyle name="Calculation 2 5 2 7 4 2" xfId="28144" xr:uid="{00000000-0005-0000-0000-0000980A0000}"/>
    <cellStyle name="Calculation 2 5 2 7 4 3" xfId="38989" xr:uid="{00000000-0005-0000-0000-0000990A0000}"/>
    <cellStyle name="Calculation 2 5 2 7 4 4" xfId="17792" xr:uid="{00000000-0005-0000-0000-00009A0A0000}"/>
    <cellStyle name="Calculation 2 5 2 7 5" xfId="19968" xr:uid="{00000000-0005-0000-0000-00009B0A0000}"/>
    <cellStyle name="Calculation 2 5 2 7 6" xfId="30813" xr:uid="{00000000-0005-0000-0000-00009C0A0000}"/>
    <cellStyle name="Calculation 2 5 2 7 7" xfId="11938" xr:uid="{00000000-0005-0000-0000-00009D0A0000}"/>
    <cellStyle name="Calculation 2 5 2 8" xfId="1029" xr:uid="{00000000-0005-0000-0000-00009E0A0000}"/>
    <cellStyle name="Calculation 2 5 2 8 2" xfId="3882" xr:uid="{00000000-0005-0000-0000-00009F0A0000}"/>
    <cellStyle name="Calculation 2 5 2 8 2 2" xfId="22854" xr:uid="{00000000-0005-0000-0000-0000A00A0000}"/>
    <cellStyle name="Calculation 2 5 2 8 2 3" xfId="33699" xr:uid="{00000000-0005-0000-0000-0000A10A0000}"/>
    <cellStyle name="Calculation 2 5 2 8 2 4" xfId="14002" xr:uid="{00000000-0005-0000-0000-0000A20A0000}"/>
    <cellStyle name="Calculation 2 5 2 8 3" xfId="6556" xr:uid="{00000000-0005-0000-0000-0000A30A0000}"/>
    <cellStyle name="Calculation 2 5 2 8 3 2" xfId="25528" xr:uid="{00000000-0005-0000-0000-0000A40A0000}"/>
    <cellStyle name="Calculation 2 5 2 8 3 3" xfId="36373" xr:uid="{00000000-0005-0000-0000-0000A50A0000}"/>
    <cellStyle name="Calculation 2 5 2 8 3 4" xfId="15918" xr:uid="{00000000-0005-0000-0000-0000A60A0000}"/>
    <cellStyle name="Calculation 2 5 2 8 4" xfId="9215" xr:uid="{00000000-0005-0000-0000-0000A70A0000}"/>
    <cellStyle name="Calculation 2 5 2 8 4 2" xfId="28187" xr:uid="{00000000-0005-0000-0000-0000A80A0000}"/>
    <cellStyle name="Calculation 2 5 2 8 4 3" xfId="39032" xr:uid="{00000000-0005-0000-0000-0000A90A0000}"/>
    <cellStyle name="Calculation 2 5 2 8 4 4" xfId="17822" xr:uid="{00000000-0005-0000-0000-0000AA0A0000}"/>
    <cellStyle name="Calculation 2 5 2 8 5" xfId="20011" xr:uid="{00000000-0005-0000-0000-0000AB0A0000}"/>
    <cellStyle name="Calculation 2 5 2 8 6" xfId="30856" xr:uid="{00000000-0005-0000-0000-0000AC0A0000}"/>
    <cellStyle name="Calculation 2 5 2 8 7" xfId="11968" xr:uid="{00000000-0005-0000-0000-0000AD0A0000}"/>
    <cellStyle name="Calculation 2 5 2 9" xfId="938" xr:uid="{00000000-0005-0000-0000-0000AE0A0000}"/>
    <cellStyle name="Calculation 2 5 2 9 2" xfId="3792" xr:uid="{00000000-0005-0000-0000-0000AF0A0000}"/>
    <cellStyle name="Calculation 2 5 2 9 2 2" xfId="22764" xr:uid="{00000000-0005-0000-0000-0000B00A0000}"/>
    <cellStyle name="Calculation 2 5 2 9 2 3" xfId="33609" xr:uid="{00000000-0005-0000-0000-0000B10A0000}"/>
    <cellStyle name="Calculation 2 5 2 9 2 4" xfId="13937" xr:uid="{00000000-0005-0000-0000-0000B20A0000}"/>
    <cellStyle name="Calculation 2 5 2 9 3" xfId="6467" xr:uid="{00000000-0005-0000-0000-0000B30A0000}"/>
    <cellStyle name="Calculation 2 5 2 9 3 2" xfId="25439" xr:uid="{00000000-0005-0000-0000-0000B40A0000}"/>
    <cellStyle name="Calculation 2 5 2 9 3 3" xfId="36284" xr:uid="{00000000-0005-0000-0000-0000B50A0000}"/>
    <cellStyle name="Calculation 2 5 2 9 3 4" xfId="15853" xr:uid="{00000000-0005-0000-0000-0000B60A0000}"/>
    <cellStyle name="Calculation 2 5 2 9 4" xfId="9126" xr:uid="{00000000-0005-0000-0000-0000B70A0000}"/>
    <cellStyle name="Calculation 2 5 2 9 4 2" xfId="28098" xr:uid="{00000000-0005-0000-0000-0000B80A0000}"/>
    <cellStyle name="Calculation 2 5 2 9 4 3" xfId="38943" xr:uid="{00000000-0005-0000-0000-0000B90A0000}"/>
    <cellStyle name="Calculation 2 5 2 9 4 4" xfId="17757" xr:uid="{00000000-0005-0000-0000-0000BA0A0000}"/>
    <cellStyle name="Calculation 2 5 2 9 5" xfId="19922" xr:uid="{00000000-0005-0000-0000-0000BB0A0000}"/>
    <cellStyle name="Calculation 2 5 2 9 6" xfId="30767" xr:uid="{00000000-0005-0000-0000-0000BC0A0000}"/>
    <cellStyle name="Calculation 2 5 2 9 7" xfId="11903" xr:uid="{00000000-0005-0000-0000-0000BD0A0000}"/>
    <cellStyle name="Calculation 2 5 3" xfId="540" xr:uid="{00000000-0005-0000-0000-0000BE0A0000}"/>
    <cellStyle name="Calculation 2 5 3 10" xfId="19550" xr:uid="{00000000-0005-0000-0000-0000BF0A0000}"/>
    <cellStyle name="Calculation 2 5 3 11" xfId="30395" xr:uid="{00000000-0005-0000-0000-0000C00A0000}"/>
    <cellStyle name="Calculation 2 5 3 12" xfId="11614" xr:uid="{00000000-0005-0000-0000-0000C10A0000}"/>
    <cellStyle name="Calculation 2 5 3 2" xfId="1146" xr:uid="{00000000-0005-0000-0000-0000C20A0000}"/>
    <cellStyle name="Calculation 2 5 3 2 2" xfId="3999" xr:uid="{00000000-0005-0000-0000-0000C30A0000}"/>
    <cellStyle name="Calculation 2 5 3 2 2 2" xfId="22971" xr:uid="{00000000-0005-0000-0000-0000C40A0000}"/>
    <cellStyle name="Calculation 2 5 3 2 2 3" xfId="33816" xr:uid="{00000000-0005-0000-0000-0000C50A0000}"/>
    <cellStyle name="Calculation 2 5 3 2 2 4" xfId="14091" xr:uid="{00000000-0005-0000-0000-0000C60A0000}"/>
    <cellStyle name="Calculation 2 5 3 2 3" xfId="6672" xr:uid="{00000000-0005-0000-0000-0000C70A0000}"/>
    <cellStyle name="Calculation 2 5 3 2 3 2" xfId="25644" xr:uid="{00000000-0005-0000-0000-0000C80A0000}"/>
    <cellStyle name="Calculation 2 5 3 2 3 3" xfId="36489" xr:uid="{00000000-0005-0000-0000-0000C90A0000}"/>
    <cellStyle name="Calculation 2 5 3 2 3 4" xfId="16006" xr:uid="{00000000-0005-0000-0000-0000CA0A0000}"/>
    <cellStyle name="Calculation 2 5 3 2 4" xfId="9331" xr:uid="{00000000-0005-0000-0000-0000CB0A0000}"/>
    <cellStyle name="Calculation 2 5 3 2 4 2" xfId="28303" xr:uid="{00000000-0005-0000-0000-0000CC0A0000}"/>
    <cellStyle name="Calculation 2 5 3 2 4 3" xfId="39148" xr:uid="{00000000-0005-0000-0000-0000CD0A0000}"/>
    <cellStyle name="Calculation 2 5 3 2 4 4" xfId="17910" xr:uid="{00000000-0005-0000-0000-0000CE0A0000}"/>
    <cellStyle name="Calculation 2 5 3 2 5" xfId="20127" xr:uid="{00000000-0005-0000-0000-0000CF0A0000}"/>
    <cellStyle name="Calculation 2 5 3 2 6" xfId="30972" xr:uid="{00000000-0005-0000-0000-0000D00A0000}"/>
    <cellStyle name="Calculation 2 5 3 2 7" xfId="12056" xr:uid="{00000000-0005-0000-0000-0000D10A0000}"/>
    <cellStyle name="Calculation 2 5 3 3" xfId="1543" xr:uid="{00000000-0005-0000-0000-0000D20A0000}"/>
    <cellStyle name="Calculation 2 5 3 3 2" xfId="4396" xr:uid="{00000000-0005-0000-0000-0000D30A0000}"/>
    <cellStyle name="Calculation 2 5 3 3 2 2" xfId="23368" xr:uid="{00000000-0005-0000-0000-0000D40A0000}"/>
    <cellStyle name="Calculation 2 5 3 3 2 3" xfId="34213" xr:uid="{00000000-0005-0000-0000-0000D50A0000}"/>
    <cellStyle name="Calculation 2 5 3 3 2 4" xfId="14377" xr:uid="{00000000-0005-0000-0000-0000D60A0000}"/>
    <cellStyle name="Calculation 2 5 3 3 3" xfId="7068" xr:uid="{00000000-0005-0000-0000-0000D70A0000}"/>
    <cellStyle name="Calculation 2 5 3 3 3 2" xfId="26040" xr:uid="{00000000-0005-0000-0000-0000D80A0000}"/>
    <cellStyle name="Calculation 2 5 3 3 3 3" xfId="36885" xr:uid="{00000000-0005-0000-0000-0000D90A0000}"/>
    <cellStyle name="Calculation 2 5 3 3 3 4" xfId="16291" xr:uid="{00000000-0005-0000-0000-0000DA0A0000}"/>
    <cellStyle name="Calculation 2 5 3 3 4" xfId="9727" xr:uid="{00000000-0005-0000-0000-0000DB0A0000}"/>
    <cellStyle name="Calculation 2 5 3 3 4 2" xfId="28699" xr:uid="{00000000-0005-0000-0000-0000DC0A0000}"/>
    <cellStyle name="Calculation 2 5 3 3 4 3" xfId="39544" xr:uid="{00000000-0005-0000-0000-0000DD0A0000}"/>
    <cellStyle name="Calculation 2 5 3 3 4 4" xfId="18195" xr:uid="{00000000-0005-0000-0000-0000DE0A0000}"/>
    <cellStyle name="Calculation 2 5 3 3 5" xfId="20523" xr:uid="{00000000-0005-0000-0000-0000DF0A0000}"/>
    <cellStyle name="Calculation 2 5 3 3 6" xfId="31368" xr:uid="{00000000-0005-0000-0000-0000E00A0000}"/>
    <cellStyle name="Calculation 2 5 3 3 7" xfId="12341" xr:uid="{00000000-0005-0000-0000-0000E10A0000}"/>
    <cellStyle name="Calculation 2 5 3 4" xfId="1947" xr:uid="{00000000-0005-0000-0000-0000E20A0000}"/>
    <cellStyle name="Calculation 2 5 3 4 2" xfId="4800" xr:uid="{00000000-0005-0000-0000-0000E30A0000}"/>
    <cellStyle name="Calculation 2 5 3 4 2 2" xfId="23772" xr:uid="{00000000-0005-0000-0000-0000E40A0000}"/>
    <cellStyle name="Calculation 2 5 3 4 2 3" xfId="34617" xr:uid="{00000000-0005-0000-0000-0000E50A0000}"/>
    <cellStyle name="Calculation 2 5 3 4 2 4" xfId="14665" xr:uid="{00000000-0005-0000-0000-0000E60A0000}"/>
    <cellStyle name="Calculation 2 5 3 4 3" xfId="7472" xr:uid="{00000000-0005-0000-0000-0000E70A0000}"/>
    <cellStyle name="Calculation 2 5 3 4 3 2" xfId="26444" xr:uid="{00000000-0005-0000-0000-0000E80A0000}"/>
    <cellStyle name="Calculation 2 5 3 4 3 3" xfId="37289" xr:uid="{00000000-0005-0000-0000-0000E90A0000}"/>
    <cellStyle name="Calculation 2 5 3 4 3 4" xfId="16579" xr:uid="{00000000-0005-0000-0000-0000EA0A0000}"/>
    <cellStyle name="Calculation 2 5 3 4 4" xfId="10131" xr:uid="{00000000-0005-0000-0000-0000EB0A0000}"/>
    <cellStyle name="Calculation 2 5 3 4 4 2" xfId="29103" xr:uid="{00000000-0005-0000-0000-0000EC0A0000}"/>
    <cellStyle name="Calculation 2 5 3 4 4 3" xfId="39948" xr:uid="{00000000-0005-0000-0000-0000ED0A0000}"/>
    <cellStyle name="Calculation 2 5 3 4 4 4" xfId="18483" xr:uid="{00000000-0005-0000-0000-0000EE0A0000}"/>
    <cellStyle name="Calculation 2 5 3 4 5" xfId="20927" xr:uid="{00000000-0005-0000-0000-0000EF0A0000}"/>
    <cellStyle name="Calculation 2 5 3 4 6" xfId="31772" xr:uid="{00000000-0005-0000-0000-0000F00A0000}"/>
    <cellStyle name="Calculation 2 5 3 4 7" xfId="12629" xr:uid="{00000000-0005-0000-0000-0000F10A0000}"/>
    <cellStyle name="Calculation 2 5 3 5" xfId="2339" xr:uid="{00000000-0005-0000-0000-0000F20A0000}"/>
    <cellStyle name="Calculation 2 5 3 5 2" xfId="5192" xr:uid="{00000000-0005-0000-0000-0000F30A0000}"/>
    <cellStyle name="Calculation 2 5 3 5 2 2" xfId="24164" xr:uid="{00000000-0005-0000-0000-0000F40A0000}"/>
    <cellStyle name="Calculation 2 5 3 5 2 3" xfId="35009" xr:uid="{00000000-0005-0000-0000-0000F50A0000}"/>
    <cellStyle name="Calculation 2 5 3 5 2 4" xfId="14946" xr:uid="{00000000-0005-0000-0000-0000F60A0000}"/>
    <cellStyle name="Calculation 2 5 3 5 3" xfId="7863" xr:uid="{00000000-0005-0000-0000-0000F70A0000}"/>
    <cellStyle name="Calculation 2 5 3 5 3 2" xfId="26835" xr:uid="{00000000-0005-0000-0000-0000F80A0000}"/>
    <cellStyle name="Calculation 2 5 3 5 3 3" xfId="37680" xr:uid="{00000000-0005-0000-0000-0000F90A0000}"/>
    <cellStyle name="Calculation 2 5 3 5 3 4" xfId="16859" xr:uid="{00000000-0005-0000-0000-0000FA0A0000}"/>
    <cellStyle name="Calculation 2 5 3 5 4" xfId="10522" xr:uid="{00000000-0005-0000-0000-0000FB0A0000}"/>
    <cellStyle name="Calculation 2 5 3 5 4 2" xfId="29494" xr:uid="{00000000-0005-0000-0000-0000FC0A0000}"/>
    <cellStyle name="Calculation 2 5 3 5 4 3" xfId="40339" xr:uid="{00000000-0005-0000-0000-0000FD0A0000}"/>
    <cellStyle name="Calculation 2 5 3 5 4 4" xfId="18763" xr:uid="{00000000-0005-0000-0000-0000FE0A0000}"/>
    <cellStyle name="Calculation 2 5 3 5 5" xfId="21318" xr:uid="{00000000-0005-0000-0000-0000FF0A0000}"/>
    <cellStyle name="Calculation 2 5 3 5 6" xfId="32163" xr:uid="{00000000-0005-0000-0000-0000000B0000}"/>
    <cellStyle name="Calculation 2 5 3 5 7" xfId="12909" xr:uid="{00000000-0005-0000-0000-0000010B0000}"/>
    <cellStyle name="Calculation 2 5 3 6" xfId="2728" xr:uid="{00000000-0005-0000-0000-0000020B0000}"/>
    <cellStyle name="Calculation 2 5 3 6 2" xfId="5580" xr:uid="{00000000-0005-0000-0000-0000030B0000}"/>
    <cellStyle name="Calculation 2 5 3 6 2 2" xfId="24552" xr:uid="{00000000-0005-0000-0000-0000040B0000}"/>
    <cellStyle name="Calculation 2 5 3 6 2 3" xfId="35397" xr:uid="{00000000-0005-0000-0000-0000050B0000}"/>
    <cellStyle name="Calculation 2 5 3 6 2 4" xfId="15224" xr:uid="{00000000-0005-0000-0000-0000060B0000}"/>
    <cellStyle name="Calculation 2 5 3 6 3" xfId="8251" xr:uid="{00000000-0005-0000-0000-0000070B0000}"/>
    <cellStyle name="Calculation 2 5 3 6 3 2" xfId="27223" xr:uid="{00000000-0005-0000-0000-0000080B0000}"/>
    <cellStyle name="Calculation 2 5 3 6 3 3" xfId="38068" xr:uid="{00000000-0005-0000-0000-0000090B0000}"/>
    <cellStyle name="Calculation 2 5 3 6 3 4" xfId="17137" xr:uid="{00000000-0005-0000-0000-00000A0B0000}"/>
    <cellStyle name="Calculation 2 5 3 6 4" xfId="10910" xr:uid="{00000000-0005-0000-0000-00000B0B0000}"/>
    <cellStyle name="Calculation 2 5 3 6 4 2" xfId="29882" xr:uid="{00000000-0005-0000-0000-00000C0B0000}"/>
    <cellStyle name="Calculation 2 5 3 6 4 3" xfId="40727" xr:uid="{00000000-0005-0000-0000-00000D0B0000}"/>
    <cellStyle name="Calculation 2 5 3 6 4 4" xfId="19041" xr:uid="{00000000-0005-0000-0000-00000E0B0000}"/>
    <cellStyle name="Calculation 2 5 3 6 5" xfId="21706" xr:uid="{00000000-0005-0000-0000-00000F0B0000}"/>
    <cellStyle name="Calculation 2 5 3 6 6" xfId="32551" xr:uid="{00000000-0005-0000-0000-0000100B0000}"/>
    <cellStyle name="Calculation 2 5 3 6 7" xfId="13187" xr:uid="{00000000-0005-0000-0000-0000110B0000}"/>
    <cellStyle name="Calculation 2 5 3 7" xfId="3419" xr:uid="{00000000-0005-0000-0000-0000120B0000}"/>
    <cellStyle name="Calculation 2 5 3 7 2" xfId="22391" xr:uid="{00000000-0005-0000-0000-0000130B0000}"/>
    <cellStyle name="Calculation 2 5 3 7 3" xfId="33236" xr:uid="{00000000-0005-0000-0000-0000140B0000}"/>
    <cellStyle name="Calculation 2 5 3 7 4" xfId="13669" xr:uid="{00000000-0005-0000-0000-0000150B0000}"/>
    <cellStyle name="Calculation 2 5 3 8" xfId="6095" xr:uid="{00000000-0005-0000-0000-0000160B0000}"/>
    <cellStyle name="Calculation 2 5 3 8 2" xfId="25067" xr:uid="{00000000-0005-0000-0000-0000170B0000}"/>
    <cellStyle name="Calculation 2 5 3 8 3" xfId="35912" xr:uid="{00000000-0005-0000-0000-0000180B0000}"/>
    <cellStyle name="Calculation 2 5 3 8 4" xfId="15586" xr:uid="{00000000-0005-0000-0000-0000190B0000}"/>
    <cellStyle name="Calculation 2 5 3 9" xfId="8754" xr:uid="{00000000-0005-0000-0000-00001A0B0000}"/>
    <cellStyle name="Calculation 2 5 3 9 2" xfId="27726" xr:uid="{00000000-0005-0000-0000-00001B0B0000}"/>
    <cellStyle name="Calculation 2 5 3 9 3" xfId="38571" xr:uid="{00000000-0005-0000-0000-00001C0B0000}"/>
    <cellStyle name="Calculation 2 5 3 9 4" xfId="17490" xr:uid="{00000000-0005-0000-0000-00001D0B0000}"/>
    <cellStyle name="Calculation 2 5 4" xfId="11432" xr:uid="{00000000-0005-0000-0000-00001E0B0000}"/>
    <cellStyle name="Calculation 2 6" xfId="62" xr:uid="{00000000-0005-0000-0000-00001F0B0000}"/>
    <cellStyle name="Calculation 2 6 2" xfId="353" xr:uid="{00000000-0005-0000-0000-0000200B0000}"/>
    <cellStyle name="Calculation 2 6 2 10" xfId="925" xr:uid="{00000000-0005-0000-0000-0000210B0000}"/>
    <cellStyle name="Calculation 2 6 2 10 2" xfId="3780" xr:uid="{00000000-0005-0000-0000-0000220B0000}"/>
    <cellStyle name="Calculation 2 6 2 10 2 2" xfId="22752" xr:uid="{00000000-0005-0000-0000-0000230B0000}"/>
    <cellStyle name="Calculation 2 6 2 10 2 3" xfId="33597" xr:uid="{00000000-0005-0000-0000-0000240B0000}"/>
    <cellStyle name="Calculation 2 6 2 10 2 4" xfId="13926" xr:uid="{00000000-0005-0000-0000-0000250B0000}"/>
    <cellStyle name="Calculation 2 6 2 10 3" xfId="6455" xr:uid="{00000000-0005-0000-0000-0000260B0000}"/>
    <cellStyle name="Calculation 2 6 2 10 3 2" xfId="25427" xr:uid="{00000000-0005-0000-0000-0000270B0000}"/>
    <cellStyle name="Calculation 2 6 2 10 3 3" xfId="36272" xr:uid="{00000000-0005-0000-0000-0000280B0000}"/>
    <cellStyle name="Calculation 2 6 2 10 3 4" xfId="15842" xr:uid="{00000000-0005-0000-0000-0000290B0000}"/>
    <cellStyle name="Calculation 2 6 2 10 4" xfId="9114" xr:uid="{00000000-0005-0000-0000-00002A0B0000}"/>
    <cellStyle name="Calculation 2 6 2 10 4 2" xfId="28086" xr:uid="{00000000-0005-0000-0000-00002B0B0000}"/>
    <cellStyle name="Calculation 2 6 2 10 4 3" xfId="38931" xr:uid="{00000000-0005-0000-0000-00002C0B0000}"/>
    <cellStyle name="Calculation 2 6 2 10 4 4" xfId="17746" xr:uid="{00000000-0005-0000-0000-00002D0B0000}"/>
    <cellStyle name="Calculation 2 6 2 10 5" xfId="19910" xr:uid="{00000000-0005-0000-0000-00002E0B0000}"/>
    <cellStyle name="Calculation 2 6 2 10 6" xfId="30755" xr:uid="{00000000-0005-0000-0000-00002F0B0000}"/>
    <cellStyle name="Calculation 2 6 2 10 7" xfId="11892" xr:uid="{00000000-0005-0000-0000-0000300B0000}"/>
    <cellStyle name="Calculation 2 6 2 11" xfId="1936" xr:uid="{00000000-0005-0000-0000-0000310B0000}"/>
    <cellStyle name="Calculation 2 6 2 11 2" xfId="4789" xr:uid="{00000000-0005-0000-0000-0000320B0000}"/>
    <cellStyle name="Calculation 2 6 2 11 2 2" xfId="23761" xr:uid="{00000000-0005-0000-0000-0000330B0000}"/>
    <cellStyle name="Calculation 2 6 2 11 2 3" xfId="34606" xr:uid="{00000000-0005-0000-0000-0000340B0000}"/>
    <cellStyle name="Calculation 2 6 2 11 2 4" xfId="14654" xr:uid="{00000000-0005-0000-0000-0000350B0000}"/>
    <cellStyle name="Calculation 2 6 2 11 3" xfId="7461" xr:uid="{00000000-0005-0000-0000-0000360B0000}"/>
    <cellStyle name="Calculation 2 6 2 11 3 2" xfId="26433" xr:uid="{00000000-0005-0000-0000-0000370B0000}"/>
    <cellStyle name="Calculation 2 6 2 11 3 3" xfId="37278" xr:uid="{00000000-0005-0000-0000-0000380B0000}"/>
    <cellStyle name="Calculation 2 6 2 11 3 4" xfId="16568" xr:uid="{00000000-0005-0000-0000-0000390B0000}"/>
    <cellStyle name="Calculation 2 6 2 11 4" xfId="10120" xr:uid="{00000000-0005-0000-0000-00003A0B0000}"/>
    <cellStyle name="Calculation 2 6 2 11 4 2" xfId="29092" xr:uid="{00000000-0005-0000-0000-00003B0B0000}"/>
    <cellStyle name="Calculation 2 6 2 11 4 3" xfId="39937" xr:uid="{00000000-0005-0000-0000-00003C0B0000}"/>
    <cellStyle name="Calculation 2 6 2 11 4 4" xfId="18472" xr:uid="{00000000-0005-0000-0000-00003D0B0000}"/>
    <cellStyle name="Calculation 2 6 2 11 5" xfId="20916" xr:uid="{00000000-0005-0000-0000-00003E0B0000}"/>
    <cellStyle name="Calculation 2 6 2 11 6" xfId="31761" xr:uid="{00000000-0005-0000-0000-00003F0B0000}"/>
    <cellStyle name="Calculation 2 6 2 11 7" xfId="12618" xr:uid="{00000000-0005-0000-0000-0000400B0000}"/>
    <cellStyle name="Calculation 2 6 2 12" xfId="2030" xr:uid="{00000000-0005-0000-0000-0000410B0000}"/>
    <cellStyle name="Calculation 2 6 2 12 2" xfId="4883" xr:uid="{00000000-0005-0000-0000-0000420B0000}"/>
    <cellStyle name="Calculation 2 6 2 12 2 2" xfId="23855" xr:uid="{00000000-0005-0000-0000-0000430B0000}"/>
    <cellStyle name="Calculation 2 6 2 12 2 3" xfId="34700" xr:uid="{00000000-0005-0000-0000-0000440B0000}"/>
    <cellStyle name="Calculation 2 6 2 12 2 4" xfId="14729" xr:uid="{00000000-0005-0000-0000-0000450B0000}"/>
    <cellStyle name="Calculation 2 6 2 12 3" xfId="7555" xr:uid="{00000000-0005-0000-0000-0000460B0000}"/>
    <cellStyle name="Calculation 2 6 2 12 3 2" xfId="26527" xr:uid="{00000000-0005-0000-0000-0000470B0000}"/>
    <cellStyle name="Calculation 2 6 2 12 3 3" xfId="37372" xr:uid="{00000000-0005-0000-0000-0000480B0000}"/>
    <cellStyle name="Calculation 2 6 2 12 3 4" xfId="16643" xr:uid="{00000000-0005-0000-0000-0000490B0000}"/>
    <cellStyle name="Calculation 2 6 2 12 4" xfId="10214" xr:uid="{00000000-0005-0000-0000-00004A0B0000}"/>
    <cellStyle name="Calculation 2 6 2 12 4 2" xfId="29186" xr:uid="{00000000-0005-0000-0000-00004B0B0000}"/>
    <cellStyle name="Calculation 2 6 2 12 4 3" xfId="40031" xr:uid="{00000000-0005-0000-0000-00004C0B0000}"/>
    <cellStyle name="Calculation 2 6 2 12 4 4" xfId="18547" xr:uid="{00000000-0005-0000-0000-00004D0B0000}"/>
    <cellStyle name="Calculation 2 6 2 12 5" xfId="21010" xr:uid="{00000000-0005-0000-0000-00004E0B0000}"/>
    <cellStyle name="Calculation 2 6 2 12 6" xfId="31855" xr:uid="{00000000-0005-0000-0000-00004F0B0000}"/>
    <cellStyle name="Calculation 2 6 2 12 7" xfId="12693" xr:uid="{00000000-0005-0000-0000-0000500B0000}"/>
    <cellStyle name="Calculation 2 6 2 13" xfId="1011" xr:uid="{00000000-0005-0000-0000-0000510B0000}"/>
    <cellStyle name="Calculation 2 6 2 13 2" xfId="3864" xr:uid="{00000000-0005-0000-0000-0000520B0000}"/>
    <cellStyle name="Calculation 2 6 2 13 2 2" xfId="22836" xr:uid="{00000000-0005-0000-0000-0000530B0000}"/>
    <cellStyle name="Calculation 2 6 2 13 2 3" xfId="33681" xr:uid="{00000000-0005-0000-0000-0000540B0000}"/>
    <cellStyle name="Calculation 2 6 2 13 2 4" xfId="13988" xr:uid="{00000000-0005-0000-0000-0000550B0000}"/>
    <cellStyle name="Calculation 2 6 2 13 3" xfId="6538" xr:uid="{00000000-0005-0000-0000-0000560B0000}"/>
    <cellStyle name="Calculation 2 6 2 13 3 2" xfId="25510" xr:uid="{00000000-0005-0000-0000-0000570B0000}"/>
    <cellStyle name="Calculation 2 6 2 13 3 3" xfId="36355" xr:uid="{00000000-0005-0000-0000-0000580B0000}"/>
    <cellStyle name="Calculation 2 6 2 13 3 4" xfId="15904" xr:uid="{00000000-0005-0000-0000-0000590B0000}"/>
    <cellStyle name="Calculation 2 6 2 13 4" xfId="9197" xr:uid="{00000000-0005-0000-0000-00005A0B0000}"/>
    <cellStyle name="Calculation 2 6 2 13 4 2" xfId="28169" xr:uid="{00000000-0005-0000-0000-00005B0B0000}"/>
    <cellStyle name="Calculation 2 6 2 13 4 3" xfId="39014" xr:uid="{00000000-0005-0000-0000-00005C0B0000}"/>
    <cellStyle name="Calculation 2 6 2 13 4 4" xfId="17808" xr:uid="{00000000-0005-0000-0000-00005D0B0000}"/>
    <cellStyle name="Calculation 2 6 2 13 5" xfId="19993" xr:uid="{00000000-0005-0000-0000-00005E0B0000}"/>
    <cellStyle name="Calculation 2 6 2 13 6" xfId="30838" xr:uid="{00000000-0005-0000-0000-00005F0B0000}"/>
    <cellStyle name="Calculation 2 6 2 13 7" xfId="11954" xr:uid="{00000000-0005-0000-0000-0000600B0000}"/>
    <cellStyle name="Calculation 2 6 2 14" xfId="3269" xr:uid="{00000000-0005-0000-0000-0000610B0000}"/>
    <cellStyle name="Calculation 2 6 2 14 2" xfId="22243" xr:uid="{00000000-0005-0000-0000-0000620B0000}"/>
    <cellStyle name="Calculation 2 6 2 14 3" xfId="33088" xr:uid="{00000000-0005-0000-0000-0000630B0000}"/>
    <cellStyle name="Calculation 2 6 2 14 4" xfId="13567" xr:uid="{00000000-0005-0000-0000-0000640B0000}"/>
    <cellStyle name="Calculation 2 6 2 15" xfId="3222" xr:uid="{00000000-0005-0000-0000-0000650B0000}"/>
    <cellStyle name="Calculation 2 6 2 15 2" xfId="22199" xr:uid="{00000000-0005-0000-0000-0000660B0000}"/>
    <cellStyle name="Calculation 2 6 2 15 3" xfId="33044" xr:uid="{00000000-0005-0000-0000-0000670B0000}"/>
    <cellStyle name="Calculation 2 6 2 15 4" xfId="13530" xr:uid="{00000000-0005-0000-0000-0000680B0000}"/>
    <cellStyle name="Calculation 2 6 2 16" xfId="3258" xr:uid="{00000000-0005-0000-0000-0000690B0000}"/>
    <cellStyle name="Calculation 2 6 2 16 2" xfId="22233" xr:uid="{00000000-0005-0000-0000-00006A0B0000}"/>
    <cellStyle name="Calculation 2 6 2 16 3" xfId="33078" xr:uid="{00000000-0005-0000-0000-00006B0B0000}"/>
    <cellStyle name="Calculation 2 6 2 16 4" xfId="13559" xr:uid="{00000000-0005-0000-0000-00006C0B0000}"/>
    <cellStyle name="Calculation 2 6 2 17" xfId="19450" xr:uid="{00000000-0005-0000-0000-00006D0B0000}"/>
    <cellStyle name="Calculation 2 6 2 18" xfId="19440" xr:uid="{00000000-0005-0000-0000-00006E0B0000}"/>
    <cellStyle name="Calculation 2 6 2 19" xfId="11509" xr:uid="{00000000-0005-0000-0000-00006F0B0000}"/>
    <cellStyle name="Calculation 2 6 2 2" xfId="661" xr:uid="{00000000-0005-0000-0000-0000700B0000}"/>
    <cellStyle name="Calculation 2 6 2 2 10" xfId="19646" xr:uid="{00000000-0005-0000-0000-0000710B0000}"/>
    <cellStyle name="Calculation 2 6 2 2 11" xfId="30491" xr:uid="{00000000-0005-0000-0000-0000720B0000}"/>
    <cellStyle name="Calculation 2 6 2 2 12" xfId="11713" xr:uid="{00000000-0005-0000-0000-0000730B0000}"/>
    <cellStyle name="Calculation 2 6 2 2 2" xfId="1248" xr:uid="{00000000-0005-0000-0000-0000740B0000}"/>
    <cellStyle name="Calculation 2 6 2 2 2 2" xfId="4101" xr:uid="{00000000-0005-0000-0000-0000750B0000}"/>
    <cellStyle name="Calculation 2 6 2 2 2 2 2" xfId="23073" xr:uid="{00000000-0005-0000-0000-0000760B0000}"/>
    <cellStyle name="Calculation 2 6 2 2 2 2 3" xfId="33918" xr:uid="{00000000-0005-0000-0000-0000770B0000}"/>
    <cellStyle name="Calculation 2 6 2 2 2 2 4" xfId="14174" xr:uid="{00000000-0005-0000-0000-0000780B0000}"/>
    <cellStyle name="Calculation 2 6 2 2 2 3" xfId="6774" xr:uid="{00000000-0005-0000-0000-0000790B0000}"/>
    <cellStyle name="Calculation 2 6 2 2 2 3 2" xfId="25746" xr:uid="{00000000-0005-0000-0000-00007A0B0000}"/>
    <cellStyle name="Calculation 2 6 2 2 2 3 3" xfId="36591" xr:uid="{00000000-0005-0000-0000-00007B0B0000}"/>
    <cellStyle name="Calculation 2 6 2 2 2 3 4" xfId="16089" xr:uid="{00000000-0005-0000-0000-00007C0B0000}"/>
    <cellStyle name="Calculation 2 6 2 2 2 4" xfId="9433" xr:uid="{00000000-0005-0000-0000-00007D0B0000}"/>
    <cellStyle name="Calculation 2 6 2 2 2 4 2" xfId="28405" xr:uid="{00000000-0005-0000-0000-00007E0B0000}"/>
    <cellStyle name="Calculation 2 6 2 2 2 4 3" xfId="39250" xr:uid="{00000000-0005-0000-0000-00007F0B0000}"/>
    <cellStyle name="Calculation 2 6 2 2 2 4 4" xfId="17993" xr:uid="{00000000-0005-0000-0000-0000800B0000}"/>
    <cellStyle name="Calculation 2 6 2 2 2 5" xfId="20229" xr:uid="{00000000-0005-0000-0000-0000810B0000}"/>
    <cellStyle name="Calculation 2 6 2 2 2 6" xfId="31074" xr:uid="{00000000-0005-0000-0000-0000820B0000}"/>
    <cellStyle name="Calculation 2 6 2 2 2 7" xfId="12139" xr:uid="{00000000-0005-0000-0000-0000830B0000}"/>
    <cellStyle name="Calculation 2 6 2 2 3" xfId="1647" xr:uid="{00000000-0005-0000-0000-0000840B0000}"/>
    <cellStyle name="Calculation 2 6 2 2 3 2" xfId="4500" xr:uid="{00000000-0005-0000-0000-0000850B0000}"/>
    <cellStyle name="Calculation 2 6 2 2 3 2 2" xfId="23472" xr:uid="{00000000-0005-0000-0000-0000860B0000}"/>
    <cellStyle name="Calculation 2 6 2 2 3 2 3" xfId="34317" xr:uid="{00000000-0005-0000-0000-0000870B0000}"/>
    <cellStyle name="Calculation 2 6 2 2 3 2 4" xfId="14461" xr:uid="{00000000-0005-0000-0000-0000880B0000}"/>
    <cellStyle name="Calculation 2 6 2 2 3 3" xfId="7172" xr:uid="{00000000-0005-0000-0000-0000890B0000}"/>
    <cellStyle name="Calculation 2 6 2 2 3 3 2" xfId="26144" xr:uid="{00000000-0005-0000-0000-00008A0B0000}"/>
    <cellStyle name="Calculation 2 6 2 2 3 3 3" xfId="36989" xr:uid="{00000000-0005-0000-0000-00008B0B0000}"/>
    <cellStyle name="Calculation 2 6 2 2 3 3 4" xfId="16375" xr:uid="{00000000-0005-0000-0000-00008C0B0000}"/>
    <cellStyle name="Calculation 2 6 2 2 3 4" xfId="9831" xr:uid="{00000000-0005-0000-0000-00008D0B0000}"/>
    <cellStyle name="Calculation 2 6 2 2 3 4 2" xfId="28803" xr:uid="{00000000-0005-0000-0000-00008E0B0000}"/>
    <cellStyle name="Calculation 2 6 2 2 3 4 3" xfId="39648" xr:uid="{00000000-0005-0000-0000-00008F0B0000}"/>
    <cellStyle name="Calculation 2 6 2 2 3 4 4" xfId="18279" xr:uid="{00000000-0005-0000-0000-0000900B0000}"/>
    <cellStyle name="Calculation 2 6 2 2 3 5" xfId="20627" xr:uid="{00000000-0005-0000-0000-0000910B0000}"/>
    <cellStyle name="Calculation 2 6 2 2 3 6" xfId="31472" xr:uid="{00000000-0005-0000-0000-0000920B0000}"/>
    <cellStyle name="Calculation 2 6 2 2 3 7" xfId="12425" xr:uid="{00000000-0005-0000-0000-0000930B0000}"/>
    <cellStyle name="Calculation 2 6 2 2 4" xfId="2051" xr:uid="{00000000-0005-0000-0000-0000940B0000}"/>
    <cellStyle name="Calculation 2 6 2 2 4 2" xfId="4904" xr:uid="{00000000-0005-0000-0000-0000950B0000}"/>
    <cellStyle name="Calculation 2 6 2 2 4 2 2" xfId="23876" xr:uid="{00000000-0005-0000-0000-0000960B0000}"/>
    <cellStyle name="Calculation 2 6 2 2 4 2 3" xfId="34721" xr:uid="{00000000-0005-0000-0000-0000970B0000}"/>
    <cellStyle name="Calculation 2 6 2 2 4 2 4" xfId="14748" xr:uid="{00000000-0005-0000-0000-0000980B0000}"/>
    <cellStyle name="Calculation 2 6 2 2 4 3" xfId="7575" xr:uid="{00000000-0005-0000-0000-0000990B0000}"/>
    <cellStyle name="Calculation 2 6 2 2 4 3 2" xfId="26547" xr:uid="{00000000-0005-0000-0000-00009A0B0000}"/>
    <cellStyle name="Calculation 2 6 2 2 4 3 3" xfId="37392" xr:uid="{00000000-0005-0000-0000-00009B0B0000}"/>
    <cellStyle name="Calculation 2 6 2 2 4 3 4" xfId="16661" xr:uid="{00000000-0005-0000-0000-00009C0B0000}"/>
    <cellStyle name="Calculation 2 6 2 2 4 4" xfId="10234" xr:uid="{00000000-0005-0000-0000-00009D0B0000}"/>
    <cellStyle name="Calculation 2 6 2 2 4 4 2" xfId="29206" xr:uid="{00000000-0005-0000-0000-00009E0B0000}"/>
    <cellStyle name="Calculation 2 6 2 2 4 4 3" xfId="40051" xr:uid="{00000000-0005-0000-0000-00009F0B0000}"/>
    <cellStyle name="Calculation 2 6 2 2 4 4 4" xfId="18565" xr:uid="{00000000-0005-0000-0000-0000A00B0000}"/>
    <cellStyle name="Calculation 2 6 2 2 4 5" xfId="21030" xr:uid="{00000000-0005-0000-0000-0000A10B0000}"/>
    <cellStyle name="Calculation 2 6 2 2 4 6" xfId="31875" xr:uid="{00000000-0005-0000-0000-0000A20B0000}"/>
    <cellStyle name="Calculation 2 6 2 2 4 7" xfId="12711" xr:uid="{00000000-0005-0000-0000-0000A30B0000}"/>
    <cellStyle name="Calculation 2 6 2 2 5" xfId="2441" xr:uid="{00000000-0005-0000-0000-0000A40B0000}"/>
    <cellStyle name="Calculation 2 6 2 2 5 2" xfId="5293" xr:uid="{00000000-0005-0000-0000-0000A50B0000}"/>
    <cellStyle name="Calculation 2 6 2 2 5 2 2" xfId="24265" xr:uid="{00000000-0005-0000-0000-0000A60B0000}"/>
    <cellStyle name="Calculation 2 6 2 2 5 2 3" xfId="35110" xr:uid="{00000000-0005-0000-0000-0000A70B0000}"/>
    <cellStyle name="Calculation 2 6 2 2 5 2 4" xfId="15027" xr:uid="{00000000-0005-0000-0000-0000A80B0000}"/>
    <cellStyle name="Calculation 2 6 2 2 5 3" xfId="7964" xr:uid="{00000000-0005-0000-0000-0000A90B0000}"/>
    <cellStyle name="Calculation 2 6 2 2 5 3 2" xfId="26936" xr:uid="{00000000-0005-0000-0000-0000AA0B0000}"/>
    <cellStyle name="Calculation 2 6 2 2 5 3 3" xfId="37781" xr:uid="{00000000-0005-0000-0000-0000AB0B0000}"/>
    <cellStyle name="Calculation 2 6 2 2 5 3 4" xfId="16940" xr:uid="{00000000-0005-0000-0000-0000AC0B0000}"/>
    <cellStyle name="Calculation 2 6 2 2 5 4" xfId="10623" xr:uid="{00000000-0005-0000-0000-0000AD0B0000}"/>
    <cellStyle name="Calculation 2 6 2 2 5 4 2" xfId="29595" xr:uid="{00000000-0005-0000-0000-0000AE0B0000}"/>
    <cellStyle name="Calculation 2 6 2 2 5 4 3" xfId="40440" xr:uid="{00000000-0005-0000-0000-0000AF0B0000}"/>
    <cellStyle name="Calculation 2 6 2 2 5 4 4" xfId="18844" xr:uid="{00000000-0005-0000-0000-0000B00B0000}"/>
    <cellStyle name="Calculation 2 6 2 2 5 5" xfId="21419" xr:uid="{00000000-0005-0000-0000-0000B10B0000}"/>
    <cellStyle name="Calculation 2 6 2 2 5 6" xfId="32264" xr:uid="{00000000-0005-0000-0000-0000B20B0000}"/>
    <cellStyle name="Calculation 2 6 2 2 5 7" xfId="12990" xr:uid="{00000000-0005-0000-0000-0000B30B0000}"/>
    <cellStyle name="Calculation 2 6 2 2 6" xfId="2827" xr:uid="{00000000-0005-0000-0000-0000B40B0000}"/>
    <cellStyle name="Calculation 2 6 2 2 6 2" xfId="5678" xr:uid="{00000000-0005-0000-0000-0000B50B0000}"/>
    <cellStyle name="Calculation 2 6 2 2 6 2 2" xfId="24650" xr:uid="{00000000-0005-0000-0000-0000B60B0000}"/>
    <cellStyle name="Calculation 2 6 2 2 6 2 3" xfId="35495" xr:uid="{00000000-0005-0000-0000-0000B70B0000}"/>
    <cellStyle name="Calculation 2 6 2 2 6 2 4" xfId="15303" xr:uid="{00000000-0005-0000-0000-0000B80B0000}"/>
    <cellStyle name="Calculation 2 6 2 2 6 3" xfId="8349" xr:uid="{00000000-0005-0000-0000-0000B90B0000}"/>
    <cellStyle name="Calculation 2 6 2 2 6 3 2" xfId="27321" xr:uid="{00000000-0005-0000-0000-0000BA0B0000}"/>
    <cellStyle name="Calculation 2 6 2 2 6 3 3" xfId="38166" xr:uid="{00000000-0005-0000-0000-0000BB0B0000}"/>
    <cellStyle name="Calculation 2 6 2 2 6 3 4" xfId="17216" xr:uid="{00000000-0005-0000-0000-0000BC0B0000}"/>
    <cellStyle name="Calculation 2 6 2 2 6 4" xfId="11008" xr:uid="{00000000-0005-0000-0000-0000BD0B0000}"/>
    <cellStyle name="Calculation 2 6 2 2 6 4 2" xfId="29980" xr:uid="{00000000-0005-0000-0000-0000BE0B0000}"/>
    <cellStyle name="Calculation 2 6 2 2 6 4 3" xfId="40825" xr:uid="{00000000-0005-0000-0000-0000BF0B0000}"/>
    <cellStyle name="Calculation 2 6 2 2 6 4 4" xfId="19120" xr:uid="{00000000-0005-0000-0000-0000C00B0000}"/>
    <cellStyle name="Calculation 2 6 2 2 6 5" xfId="21804" xr:uid="{00000000-0005-0000-0000-0000C10B0000}"/>
    <cellStyle name="Calculation 2 6 2 2 6 6" xfId="32649" xr:uid="{00000000-0005-0000-0000-0000C20B0000}"/>
    <cellStyle name="Calculation 2 6 2 2 6 7" xfId="13266" xr:uid="{00000000-0005-0000-0000-0000C30B0000}"/>
    <cellStyle name="Calculation 2 6 2 2 7" xfId="3516" xr:uid="{00000000-0005-0000-0000-0000C40B0000}"/>
    <cellStyle name="Calculation 2 6 2 2 7 2" xfId="22488" xr:uid="{00000000-0005-0000-0000-0000C50B0000}"/>
    <cellStyle name="Calculation 2 6 2 2 7 3" xfId="33333" xr:uid="{00000000-0005-0000-0000-0000C60B0000}"/>
    <cellStyle name="Calculation 2 6 2 2 7 4" xfId="13747" xr:uid="{00000000-0005-0000-0000-0000C70B0000}"/>
    <cellStyle name="Calculation 2 6 2 2 8" xfId="6191" xr:uid="{00000000-0005-0000-0000-0000C80B0000}"/>
    <cellStyle name="Calculation 2 6 2 2 8 2" xfId="25163" xr:uid="{00000000-0005-0000-0000-0000C90B0000}"/>
    <cellStyle name="Calculation 2 6 2 2 8 3" xfId="36008" xr:uid="{00000000-0005-0000-0000-0000CA0B0000}"/>
    <cellStyle name="Calculation 2 6 2 2 8 4" xfId="15663" xr:uid="{00000000-0005-0000-0000-0000CB0B0000}"/>
    <cellStyle name="Calculation 2 6 2 2 9" xfId="8850" xr:uid="{00000000-0005-0000-0000-0000CC0B0000}"/>
    <cellStyle name="Calculation 2 6 2 2 9 2" xfId="27822" xr:uid="{00000000-0005-0000-0000-0000CD0B0000}"/>
    <cellStyle name="Calculation 2 6 2 2 9 3" xfId="38667" xr:uid="{00000000-0005-0000-0000-0000CE0B0000}"/>
    <cellStyle name="Calculation 2 6 2 2 9 4" xfId="17567" xr:uid="{00000000-0005-0000-0000-0000CF0B0000}"/>
    <cellStyle name="Calculation 2 6 2 3" xfId="606" xr:uid="{00000000-0005-0000-0000-0000D00B0000}"/>
    <cellStyle name="Calculation 2 6 2 3 10" xfId="19613" xr:uid="{00000000-0005-0000-0000-0000D10B0000}"/>
    <cellStyle name="Calculation 2 6 2 3 11" xfId="30458" xr:uid="{00000000-0005-0000-0000-0000D20B0000}"/>
    <cellStyle name="Calculation 2 6 2 3 12" xfId="11668" xr:uid="{00000000-0005-0000-0000-0000D30B0000}"/>
    <cellStyle name="Calculation 2 6 2 3 2" xfId="1210" xr:uid="{00000000-0005-0000-0000-0000D40B0000}"/>
    <cellStyle name="Calculation 2 6 2 3 2 2" xfId="4063" xr:uid="{00000000-0005-0000-0000-0000D50B0000}"/>
    <cellStyle name="Calculation 2 6 2 3 2 2 2" xfId="23035" xr:uid="{00000000-0005-0000-0000-0000D60B0000}"/>
    <cellStyle name="Calculation 2 6 2 3 2 2 3" xfId="33880" xr:uid="{00000000-0005-0000-0000-0000D70B0000}"/>
    <cellStyle name="Calculation 2 6 2 3 2 2 4" xfId="14143" xr:uid="{00000000-0005-0000-0000-0000D80B0000}"/>
    <cellStyle name="Calculation 2 6 2 3 2 3" xfId="6736" xr:uid="{00000000-0005-0000-0000-0000D90B0000}"/>
    <cellStyle name="Calculation 2 6 2 3 2 3 2" xfId="25708" xr:uid="{00000000-0005-0000-0000-0000DA0B0000}"/>
    <cellStyle name="Calculation 2 6 2 3 2 3 3" xfId="36553" xr:uid="{00000000-0005-0000-0000-0000DB0B0000}"/>
    <cellStyle name="Calculation 2 6 2 3 2 3 4" xfId="16058" xr:uid="{00000000-0005-0000-0000-0000DC0B0000}"/>
    <cellStyle name="Calculation 2 6 2 3 2 4" xfId="9395" xr:uid="{00000000-0005-0000-0000-0000DD0B0000}"/>
    <cellStyle name="Calculation 2 6 2 3 2 4 2" xfId="28367" xr:uid="{00000000-0005-0000-0000-0000DE0B0000}"/>
    <cellStyle name="Calculation 2 6 2 3 2 4 3" xfId="39212" xr:uid="{00000000-0005-0000-0000-0000DF0B0000}"/>
    <cellStyle name="Calculation 2 6 2 3 2 4 4" xfId="17962" xr:uid="{00000000-0005-0000-0000-0000E00B0000}"/>
    <cellStyle name="Calculation 2 6 2 3 2 5" xfId="20191" xr:uid="{00000000-0005-0000-0000-0000E10B0000}"/>
    <cellStyle name="Calculation 2 6 2 3 2 6" xfId="31036" xr:uid="{00000000-0005-0000-0000-0000E20B0000}"/>
    <cellStyle name="Calculation 2 6 2 3 2 7" xfId="12108" xr:uid="{00000000-0005-0000-0000-0000E30B0000}"/>
    <cellStyle name="Calculation 2 6 2 3 3" xfId="1608" xr:uid="{00000000-0005-0000-0000-0000E40B0000}"/>
    <cellStyle name="Calculation 2 6 2 3 3 2" xfId="4461" xr:uid="{00000000-0005-0000-0000-0000E50B0000}"/>
    <cellStyle name="Calculation 2 6 2 3 3 2 2" xfId="23433" xr:uid="{00000000-0005-0000-0000-0000E60B0000}"/>
    <cellStyle name="Calculation 2 6 2 3 3 2 3" xfId="34278" xr:uid="{00000000-0005-0000-0000-0000E70B0000}"/>
    <cellStyle name="Calculation 2 6 2 3 3 2 4" xfId="14430" xr:uid="{00000000-0005-0000-0000-0000E80B0000}"/>
    <cellStyle name="Calculation 2 6 2 3 3 3" xfId="7133" xr:uid="{00000000-0005-0000-0000-0000E90B0000}"/>
    <cellStyle name="Calculation 2 6 2 3 3 3 2" xfId="26105" xr:uid="{00000000-0005-0000-0000-0000EA0B0000}"/>
    <cellStyle name="Calculation 2 6 2 3 3 3 3" xfId="36950" xr:uid="{00000000-0005-0000-0000-0000EB0B0000}"/>
    <cellStyle name="Calculation 2 6 2 3 3 3 4" xfId="16344" xr:uid="{00000000-0005-0000-0000-0000EC0B0000}"/>
    <cellStyle name="Calculation 2 6 2 3 3 4" xfId="9792" xr:uid="{00000000-0005-0000-0000-0000ED0B0000}"/>
    <cellStyle name="Calculation 2 6 2 3 3 4 2" xfId="28764" xr:uid="{00000000-0005-0000-0000-0000EE0B0000}"/>
    <cellStyle name="Calculation 2 6 2 3 3 4 3" xfId="39609" xr:uid="{00000000-0005-0000-0000-0000EF0B0000}"/>
    <cellStyle name="Calculation 2 6 2 3 3 4 4" xfId="18248" xr:uid="{00000000-0005-0000-0000-0000F00B0000}"/>
    <cellStyle name="Calculation 2 6 2 3 3 5" xfId="20588" xr:uid="{00000000-0005-0000-0000-0000F10B0000}"/>
    <cellStyle name="Calculation 2 6 2 3 3 6" xfId="31433" xr:uid="{00000000-0005-0000-0000-0000F20B0000}"/>
    <cellStyle name="Calculation 2 6 2 3 3 7" xfId="12394" xr:uid="{00000000-0005-0000-0000-0000F30B0000}"/>
    <cellStyle name="Calculation 2 6 2 3 4" xfId="2010" xr:uid="{00000000-0005-0000-0000-0000F40B0000}"/>
    <cellStyle name="Calculation 2 6 2 3 4 2" xfId="4863" xr:uid="{00000000-0005-0000-0000-0000F50B0000}"/>
    <cellStyle name="Calculation 2 6 2 3 4 2 2" xfId="23835" xr:uid="{00000000-0005-0000-0000-0000F60B0000}"/>
    <cellStyle name="Calculation 2 6 2 3 4 2 3" xfId="34680" xr:uid="{00000000-0005-0000-0000-0000F70B0000}"/>
    <cellStyle name="Calculation 2 6 2 3 4 2 4" xfId="14716" xr:uid="{00000000-0005-0000-0000-0000F80B0000}"/>
    <cellStyle name="Calculation 2 6 2 3 4 3" xfId="7535" xr:uid="{00000000-0005-0000-0000-0000F90B0000}"/>
    <cellStyle name="Calculation 2 6 2 3 4 3 2" xfId="26507" xr:uid="{00000000-0005-0000-0000-0000FA0B0000}"/>
    <cellStyle name="Calculation 2 6 2 3 4 3 3" xfId="37352" xr:uid="{00000000-0005-0000-0000-0000FB0B0000}"/>
    <cellStyle name="Calculation 2 6 2 3 4 3 4" xfId="16630" xr:uid="{00000000-0005-0000-0000-0000FC0B0000}"/>
    <cellStyle name="Calculation 2 6 2 3 4 4" xfId="10194" xr:uid="{00000000-0005-0000-0000-0000FD0B0000}"/>
    <cellStyle name="Calculation 2 6 2 3 4 4 2" xfId="29166" xr:uid="{00000000-0005-0000-0000-0000FE0B0000}"/>
    <cellStyle name="Calculation 2 6 2 3 4 4 3" xfId="40011" xr:uid="{00000000-0005-0000-0000-0000FF0B0000}"/>
    <cellStyle name="Calculation 2 6 2 3 4 4 4" xfId="18534" xr:uid="{00000000-0005-0000-0000-0000000C0000}"/>
    <cellStyle name="Calculation 2 6 2 3 4 5" xfId="20990" xr:uid="{00000000-0005-0000-0000-0000010C0000}"/>
    <cellStyle name="Calculation 2 6 2 3 4 6" xfId="31835" xr:uid="{00000000-0005-0000-0000-0000020C0000}"/>
    <cellStyle name="Calculation 2 6 2 3 4 7" xfId="12680" xr:uid="{00000000-0005-0000-0000-0000030C0000}"/>
    <cellStyle name="Calculation 2 6 2 3 5" xfId="2402" xr:uid="{00000000-0005-0000-0000-0000040C0000}"/>
    <cellStyle name="Calculation 2 6 2 3 5 2" xfId="5255" xr:uid="{00000000-0005-0000-0000-0000050C0000}"/>
    <cellStyle name="Calculation 2 6 2 3 5 2 2" xfId="24227" xr:uid="{00000000-0005-0000-0000-0000060C0000}"/>
    <cellStyle name="Calculation 2 6 2 3 5 2 3" xfId="35072" xr:uid="{00000000-0005-0000-0000-0000070C0000}"/>
    <cellStyle name="Calculation 2 6 2 3 5 2 4" xfId="14997" xr:uid="{00000000-0005-0000-0000-0000080C0000}"/>
    <cellStyle name="Calculation 2 6 2 3 5 3" xfId="7926" xr:uid="{00000000-0005-0000-0000-0000090C0000}"/>
    <cellStyle name="Calculation 2 6 2 3 5 3 2" xfId="26898" xr:uid="{00000000-0005-0000-0000-00000A0C0000}"/>
    <cellStyle name="Calculation 2 6 2 3 5 3 3" xfId="37743" xr:uid="{00000000-0005-0000-0000-00000B0C0000}"/>
    <cellStyle name="Calculation 2 6 2 3 5 3 4" xfId="16910" xr:uid="{00000000-0005-0000-0000-00000C0C0000}"/>
    <cellStyle name="Calculation 2 6 2 3 5 4" xfId="10585" xr:uid="{00000000-0005-0000-0000-00000D0C0000}"/>
    <cellStyle name="Calculation 2 6 2 3 5 4 2" xfId="29557" xr:uid="{00000000-0005-0000-0000-00000E0C0000}"/>
    <cellStyle name="Calculation 2 6 2 3 5 4 3" xfId="40402" xr:uid="{00000000-0005-0000-0000-00000F0C0000}"/>
    <cellStyle name="Calculation 2 6 2 3 5 4 4" xfId="18814" xr:uid="{00000000-0005-0000-0000-0000100C0000}"/>
    <cellStyle name="Calculation 2 6 2 3 5 5" xfId="21381" xr:uid="{00000000-0005-0000-0000-0000110C0000}"/>
    <cellStyle name="Calculation 2 6 2 3 5 6" xfId="32226" xr:uid="{00000000-0005-0000-0000-0000120C0000}"/>
    <cellStyle name="Calculation 2 6 2 3 5 7" xfId="12960" xr:uid="{00000000-0005-0000-0000-0000130C0000}"/>
    <cellStyle name="Calculation 2 6 2 3 6" xfId="2791" xr:uid="{00000000-0005-0000-0000-0000140C0000}"/>
    <cellStyle name="Calculation 2 6 2 3 6 2" xfId="5643" xr:uid="{00000000-0005-0000-0000-0000150C0000}"/>
    <cellStyle name="Calculation 2 6 2 3 6 2 2" xfId="24615" xr:uid="{00000000-0005-0000-0000-0000160C0000}"/>
    <cellStyle name="Calculation 2 6 2 3 6 2 3" xfId="35460" xr:uid="{00000000-0005-0000-0000-0000170C0000}"/>
    <cellStyle name="Calculation 2 6 2 3 6 2 4" xfId="15275" xr:uid="{00000000-0005-0000-0000-0000180C0000}"/>
    <cellStyle name="Calculation 2 6 2 3 6 3" xfId="8314" xr:uid="{00000000-0005-0000-0000-0000190C0000}"/>
    <cellStyle name="Calculation 2 6 2 3 6 3 2" xfId="27286" xr:uid="{00000000-0005-0000-0000-00001A0C0000}"/>
    <cellStyle name="Calculation 2 6 2 3 6 3 3" xfId="38131" xr:uid="{00000000-0005-0000-0000-00001B0C0000}"/>
    <cellStyle name="Calculation 2 6 2 3 6 3 4" xfId="17188" xr:uid="{00000000-0005-0000-0000-00001C0C0000}"/>
    <cellStyle name="Calculation 2 6 2 3 6 4" xfId="10973" xr:uid="{00000000-0005-0000-0000-00001D0C0000}"/>
    <cellStyle name="Calculation 2 6 2 3 6 4 2" xfId="29945" xr:uid="{00000000-0005-0000-0000-00001E0C0000}"/>
    <cellStyle name="Calculation 2 6 2 3 6 4 3" xfId="40790" xr:uid="{00000000-0005-0000-0000-00001F0C0000}"/>
    <cellStyle name="Calculation 2 6 2 3 6 4 4" xfId="19092" xr:uid="{00000000-0005-0000-0000-0000200C0000}"/>
    <cellStyle name="Calculation 2 6 2 3 6 5" xfId="21769" xr:uid="{00000000-0005-0000-0000-0000210C0000}"/>
    <cellStyle name="Calculation 2 6 2 3 6 6" xfId="32614" xr:uid="{00000000-0005-0000-0000-0000220C0000}"/>
    <cellStyle name="Calculation 2 6 2 3 6 7" xfId="13238" xr:uid="{00000000-0005-0000-0000-0000230C0000}"/>
    <cellStyle name="Calculation 2 6 2 3 7" xfId="3482" xr:uid="{00000000-0005-0000-0000-0000240C0000}"/>
    <cellStyle name="Calculation 2 6 2 3 7 2" xfId="22454" xr:uid="{00000000-0005-0000-0000-0000250C0000}"/>
    <cellStyle name="Calculation 2 6 2 3 7 3" xfId="33299" xr:uid="{00000000-0005-0000-0000-0000260C0000}"/>
    <cellStyle name="Calculation 2 6 2 3 7 4" xfId="13720" xr:uid="{00000000-0005-0000-0000-0000270C0000}"/>
    <cellStyle name="Calculation 2 6 2 3 8" xfId="6158" xr:uid="{00000000-0005-0000-0000-0000280C0000}"/>
    <cellStyle name="Calculation 2 6 2 3 8 2" xfId="25130" xr:uid="{00000000-0005-0000-0000-0000290C0000}"/>
    <cellStyle name="Calculation 2 6 2 3 8 3" xfId="35975" xr:uid="{00000000-0005-0000-0000-00002A0C0000}"/>
    <cellStyle name="Calculation 2 6 2 3 8 4" xfId="15637" xr:uid="{00000000-0005-0000-0000-00002B0C0000}"/>
    <cellStyle name="Calculation 2 6 2 3 9" xfId="8817" xr:uid="{00000000-0005-0000-0000-00002C0C0000}"/>
    <cellStyle name="Calculation 2 6 2 3 9 2" xfId="27789" xr:uid="{00000000-0005-0000-0000-00002D0C0000}"/>
    <cellStyle name="Calculation 2 6 2 3 9 3" xfId="38634" xr:uid="{00000000-0005-0000-0000-00002E0C0000}"/>
    <cellStyle name="Calculation 2 6 2 3 9 4" xfId="17541" xr:uid="{00000000-0005-0000-0000-00002F0C0000}"/>
    <cellStyle name="Calculation 2 6 2 4" xfId="607" xr:uid="{00000000-0005-0000-0000-0000300C0000}"/>
    <cellStyle name="Calculation 2 6 2 4 10" xfId="19614" xr:uid="{00000000-0005-0000-0000-0000310C0000}"/>
    <cellStyle name="Calculation 2 6 2 4 11" xfId="30459" xr:uid="{00000000-0005-0000-0000-0000320C0000}"/>
    <cellStyle name="Calculation 2 6 2 4 12" xfId="11669" xr:uid="{00000000-0005-0000-0000-0000330C0000}"/>
    <cellStyle name="Calculation 2 6 2 4 2" xfId="1211" xr:uid="{00000000-0005-0000-0000-0000340C0000}"/>
    <cellStyle name="Calculation 2 6 2 4 2 2" xfId="4064" xr:uid="{00000000-0005-0000-0000-0000350C0000}"/>
    <cellStyle name="Calculation 2 6 2 4 2 2 2" xfId="23036" xr:uid="{00000000-0005-0000-0000-0000360C0000}"/>
    <cellStyle name="Calculation 2 6 2 4 2 2 3" xfId="33881" xr:uid="{00000000-0005-0000-0000-0000370C0000}"/>
    <cellStyle name="Calculation 2 6 2 4 2 2 4" xfId="14144" xr:uid="{00000000-0005-0000-0000-0000380C0000}"/>
    <cellStyle name="Calculation 2 6 2 4 2 3" xfId="6737" xr:uid="{00000000-0005-0000-0000-0000390C0000}"/>
    <cellStyle name="Calculation 2 6 2 4 2 3 2" xfId="25709" xr:uid="{00000000-0005-0000-0000-00003A0C0000}"/>
    <cellStyle name="Calculation 2 6 2 4 2 3 3" xfId="36554" xr:uid="{00000000-0005-0000-0000-00003B0C0000}"/>
    <cellStyle name="Calculation 2 6 2 4 2 3 4" xfId="16059" xr:uid="{00000000-0005-0000-0000-00003C0C0000}"/>
    <cellStyle name="Calculation 2 6 2 4 2 4" xfId="9396" xr:uid="{00000000-0005-0000-0000-00003D0C0000}"/>
    <cellStyle name="Calculation 2 6 2 4 2 4 2" xfId="28368" xr:uid="{00000000-0005-0000-0000-00003E0C0000}"/>
    <cellStyle name="Calculation 2 6 2 4 2 4 3" xfId="39213" xr:uid="{00000000-0005-0000-0000-00003F0C0000}"/>
    <cellStyle name="Calculation 2 6 2 4 2 4 4" xfId="17963" xr:uid="{00000000-0005-0000-0000-0000400C0000}"/>
    <cellStyle name="Calculation 2 6 2 4 2 5" xfId="20192" xr:uid="{00000000-0005-0000-0000-0000410C0000}"/>
    <cellStyle name="Calculation 2 6 2 4 2 6" xfId="31037" xr:uid="{00000000-0005-0000-0000-0000420C0000}"/>
    <cellStyle name="Calculation 2 6 2 4 2 7" xfId="12109" xr:uid="{00000000-0005-0000-0000-0000430C0000}"/>
    <cellStyle name="Calculation 2 6 2 4 3" xfId="1609" xr:uid="{00000000-0005-0000-0000-0000440C0000}"/>
    <cellStyle name="Calculation 2 6 2 4 3 2" xfId="4462" xr:uid="{00000000-0005-0000-0000-0000450C0000}"/>
    <cellStyle name="Calculation 2 6 2 4 3 2 2" xfId="23434" xr:uid="{00000000-0005-0000-0000-0000460C0000}"/>
    <cellStyle name="Calculation 2 6 2 4 3 2 3" xfId="34279" xr:uid="{00000000-0005-0000-0000-0000470C0000}"/>
    <cellStyle name="Calculation 2 6 2 4 3 2 4" xfId="14431" xr:uid="{00000000-0005-0000-0000-0000480C0000}"/>
    <cellStyle name="Calculation 2 6 2 4 3 3" xfId="7134" xr:uid="{00000000-0005-0000-0000-0000490C0000}"/>
    <cellStyle name="Calculation 2 6 2 4 3 3 2" xfId="26106" xr:uid="{00000000-0005-0000-0000-00004A0C0000}"/>
    <cellStyle name="Calculation 2 6 2 4 3 3 3" xfId="36951" xr:uid="{00000000-0005-0000-0000-00004B0C0000}"/>
    <cellStyle name="Calculation 2 6 2 4 3 3 4" xfId="16345" xr:uid="{00000000-0005-0000-0000-00004C0C0000}"/>
    <cellStyle name="Calculation 2 6 2 4 3 4" xfId="9793" xr:uid="{00000000-0005-0000-0000-00004D0C0000}"/>
    <cellStyle name="Calculation 2 6 2 4 3 4 2" xfId="28765" xr:uid="{00000000-0005-0000-0000-00004E0C0000}"/>
    <cellStyle name="Calculation 2 6 2 4 3 4 3" xfId="39610" xr:uid="{00000000-0005-0000-0000-00004F0C0000}"/>
    <cellStyle name="Calculation 2 6 2 4 3 4 4" xfId="18249" xr:uid="{00000000-0005-0000-0000-0000500C0000}"/>
    <cellStyle name="Calculation 2 6 2 4 3 5" xfId="20589" xr:uid="{00000000-0005-0000-0000-0000510C0000}"/>
    <cellStyle name="Calculation 2 6 2 4 3 6" xfId="31434" xr:uid="{00000000-0005-0000-0000-0000520C0000}"/>
    <cellStyle name="Calculation 2 6 2 4 3 7" xfId="12395" xr:uid="{00000000-0005-0000-0000-0000530C0000}"/>
    <cellStyle name="Calculation 2 6 2 4 4" xfId="2011" xr:uid="{00000000-0005-0000-0000-0000540C0000}"/>
    <cellStyle name="Calculation 2 6 2 4 4 2" xfId="4864" xr:uid="{00000000-0005-0000-0000-0000550C0000}"/>
    <cellStyle name="Calculation 2 6 2 4 4 2 2" xfId="23836" xr:uid="{00000000-0005-0000-0000-0000560C0000}"/>
    <cellStyle name="Calculation 2 6 2 4 4 2 3" xfId="34681" xr:uid="{00000000-0005-0000-0000-0000570C0000}"/>
    <cellStyle name="Calculation 2 6 2 4 4 2 4" xfId="14717" xr:uid="{00000000-0005-0000-0000-0000580C0000}"/>
    <cellStyle name="Calculation 2 6 2 4 4 3" xfId="7536" xr:uid="{00000000-0005-0000-0000-0000590C0000}"/>
    <cellStyle name="Calculation 2 6 2 4 4 3 2" xfId="26508" xr:uid="{00000000-0005-0000-0000-00005A0C0000}"/>
    <cellStyle name="Calculation 2 6 2 4 4 3 3" xfId="37353" xr:uid="{00000000-0005-0000-0000-00005B0C0000}"/>
    <cellStyle name="Calculation 2 6 2 4 4 3 4" xfId="16631" xr:uid="{00000000-0005-0000-0000-00005C0C0000}"/>
    <cellStyle name="Calculation 2 6 2 4 4 4" xfId="10195" xr:uid="{00000000-0005-0000-0000-00005D0C0000}"/>
    <cellStyle name="Calculation 2 6 2 4 4 4 2" xfId="29167" xr:uid="{00000000-0005-0000-0000-00005E0C0000}"/>
    <cellStyle name="Calculation 2 6 2 4 4 4 3" xfId="40012" xr:uid="{00000000-0005-0000-0000-00005F0C0000}"/>
    <cellStyle name="Calculation 2 6 2 4 4 4 4" xfId="18535" xr:uid="{00000000-0005-0000-0000-0000600C0000}"/>
    <cellStyle name="Calculation 2 6 2 4 4 5" xfId="20991" xr:uid="{00000000-0005-0000-0000-0000610C0000}"/>
    <cellStyle name="Calculation 2 6 2 4 4 6" xfId="31836" xr:uid="{00000000-0005-0000-0000-0000620C0000}"/>
    <cellStyle name="Calculation 2 6 2 4 4 7" xfId="12681" xr:uid="{00000000-0005-0000-0000-0000630C0000}"/>
    <cellStyle name="Calculation 2 6 2 4 5" xfId="2403" xr:uid="{00000000-0005-0000-0000-0000640C0000}"/>
    <cellStyle name="Calculation 2 6 2 4 5 2" xfId="5256" xr:uid="{00000000-0005-0000-0000-0000650C0000}"/>
    <cellStyle name="Calculation 2 6 2 4 5 2 2" xfId="24228" xr:uid="{00000000-0005-0000-0000-0000660C0000}"/>
    <cellStyle name="Calculation 2 6 2 4 5 2 3" xfId="35073" xr:uid="{00000000-0005-0000-0000-0000670C0000}"/>
    <cellStyle name="Calculation 2 6 2 4 5 2 4" xfId="14998" xr:uid="{00000000-0005-0000-0000-0000680C0000}"/>
    <cellStyle name="Calculation 2 6 2 4 5 3" xfId="7927" xr:uid="{00000000-0005-0000-0000-0000690C0000}"/>
    <cellStyle name="Calculation 2 6 2 4 5 3 2" xfId="26899" xr:uid="{00000000-0005-0000-0000-00006A0C0000}"/>
    <cellStyle name="Calculation 2 6 2 4 5 3 3" xfId="37744" xr:uid="{00000000-0005-0000-0000-00006B0C0000}"/>
    <cellStyle name="Calculation 2 6 2 4 5 3 4" xfId="16911" xr:uid="{00000000-0005-0000-0000-00006C0C0000}"/>
    <cellStyle name="Calculation 2 6 2 4 5 4" xfId="10586" xr:uid="{00000000-0005-0000-0000-00006D0C0000}"/>
    <cellStyle name="Calculation 2 6 2 4 5 4 2" xfId="29558" xr:uid="{00000000-0005-0000-0000-00006E0C0000}"/>
    <cellStyle name="Calculation 2 6 2 4 5 4 3" xfId="40403" xr:uid="{00000000-0005-0000-0000-00006F0C0000}"/>
    <cellStyle name="Calculation 2 6 2 4 5 4 4" xfId="18815" xr:uid="{00000000-0005-0000-0000-0000700C0000}"/>
    <cellStyle name="Calculation 2 6 2 4 5 5" xfId="21382" xr:uid="{00000000-0005-0000-0000-0000710C0000}"/>
    <cellStyle name="Calculation 2 6 2 4 5 6" xfId="32227" xr:uid="{00000000-0005-0000-0000-0000720C0000}"/>
    <cellStyle name="Calculation 2 6 2 4 5 7" xfId="12961" xr:uid="{00000000-0005-0000-0000-0000730C0000}"/>
    <cellStyle name="Calculation 2 6 2 4 6" xfId="2792" xr:uid="{00000000-0005-0000-0000-0000740C0000}"/>
    <cellStyle name="Calculation 2 6 2 4 6 2" xfId="5644" xr:uid="{00000000-0005-0000-0000-0000750C0000}"/>
    <cellStyle name="Calculation 2 6 2 4 6 2 2" xfId="24616" xr:uid="{00000000-0005-0000-0000-0000760C0000}"/>
    <cellStyle name="Calculation 2 6 2 4 6 2 3" xfId="35461" xr:uid="{00000000-0005-0000-0000-0000770C0000}"/>
    <cellStyle name="Calculation 2 6 2 4 6 2 4" xfId="15276" xr:uid="{00000000-0005-0000-0000-0000780C0000}"/>
    <cellStyle name="Calculation 2 6 2 4 6 3" xfId="8315" xr:uid="{00000000-0005-0000-0000-0000790C0000}"/>
    <cellStyle name="Calculation 2 6 2 4 6 3 2" xfId="27287" xr:uid="{00000000-0005-0000-0000-00007A0C0000}"/>
    <cellStyle name="Calculation 2 6 2 4 6 3 3" xfId="38132" xr:uid="{00000000-0005-0000-0000-00007B0C0000}"/>
    <cellStyle name="Calculation 2 6 2 4 6 3 4" xfId="17189" xr:uid="{00000000-0005-0000-0000-00007C0C0000}"/>
    <cellStyle name="Calculation 2 6 2 4 6 4" xfId="10974" xr:uid="{00000000-0005-0000-0000-00007D0C0000}"/>
    <cellStyle name="Calculation 2 6 2 4 6 4 2" xfId="29946" xr:uid="{00000000-0005-0000-0000-00007E0C0000}"/>
    <cellStyle name="Calculation 2 6 2 4 6 4 3" xfId="40791" xr:uid="{00000000-0005-0000-0000-00007F0C0000}"/>
    <cellStyle name="Calculation 2 6 2 4 6 4 4" xfId="19093" xr:uid="{00000000-0005-0000-0000-0000800C0000}"/>
    <cellStyle name="Calculation 2 6 2 4 6 5" xfId="21770" xr:uid="{00000000-0005-0000-0000-0000810C0000}"/>
    <cellStyle name="Calculation 2 6 2 4 6 6" xfId="32615" xr:uid="{00000000-0005-0000-0000-0000820C0000}"/>
    <cellStyle name="Calculation 2 6 2 4 6 7" xfId="13239" xr:uid="{00000000-0005-0000-0000-0000830C0000}"/>
    <cellStyle name="Calculation 2 6 2 4 7" xfId="3483" xr:uid="{00000000-0005-0000-0000-0000840C0000}"/>
    <cellStyle name="Calculation 2 6 2 4 7 2" xfId="22455" xr:uid="{00000000-0005-0000-0000-0000850C0000}"/>
    <cellStyle name="Calculation 2 6 2 4 7 3" xfId="33300" xr:uid="{00000000-0005-0000-0000-0000860C0000}"/>
    <cellStyle name="Calculation 2 6 2 4 7 4" xfId="13721" xr:uid="{00000000-0005-0000-0000-0000870C0000}"/>
    <cellStyle name="Calculation 2 6 2 4 8" xfId="6159" xr:uid="{00000000-0005-0000-0000-0000880C0000}"/>
    <cellStyle name="Calculation 2 6 2 4 8 2" xfId="25131" xr:uid="{00000000-0005-0000-0000-0000890C0000}"/>
    <cellStyle name="Calculation 2 6 2 4 8 3" xfId="35976" xr:uid="{00000000-0005-0000-0000-00008A0C0000}"/>
    <cellStyle name="Calculation 2 6 2 4 8 4" xfId="15638" xr:uid="{00000000-0005-0000-0000-00008B0C0000}"/>
    <cellStyle name="Calculation 2 6 2 4 9" xfId="8818" xr:uid="{00000000-0005-0000-0000-00008C0C0000}"/>
    <cellStyle name="Calculation 2 6 2 4 9 2" xfId="27790" xr:uid="{00000000-0005-0000-0000-00008D0C0000}"/>
    <cellStyle name="Calculation 2 6 2 4 9 3" xfId="38635" xr:uid="{00000000-0005-0000-0000-00008E0C0000}"/>
    <cellStyle name="Calculation 2 6 2 4 9 4" xfId="17542" xr:uid="{00000000-0005-0000-0000-00008F0C0000}"/>
    <cellStyle name="Calculation 2 6 2 5" xfId="532" xr:uid="{00000000-0005-0000-0000-0000900C0000}"/>
    <cellStyle name="Calculation 2 6 2 5 10" xfId="19542" xr:uid="{00000000-0005-0000-0000-0000910C0000}"/>
    <cellStyle name="Calculation 2 6 2 5 11" xfId="30387" xr:uid="{00000000-0005-0000-0000-0000920C0000}"/>
    <cellStyle name="Calculation 2 6 2 5 12" xfId="11606" xr:uid="{00000000-0005-0000-0000-0000930C0000}"/>
    <cellStyle name="Calculation 2 6 2 5 2" xfId="1138" xr:uid="{00000000-0005-0000-0000-0000940C0000}"/>
    <cellStyle name="Calculation 2 6 2 5 2 2" xfId="3991" xr:uid="{00000000-0005-0000-0000-0000950C0000}"/>
    <cellStyle name="Calculation 2 6 2 5 2 2 2" xfId="22963" xr:uid="{00000000-0005-0000-0000-0000960C0000}"/>
    <cellStyle name="Calculation 2 6 2 5 2 2 3" xfId="33808" xr:uid="{00000000-0005-0000-0000-0000970C0000}"/>
    <cellStyle name="Calculation 2 6 2 5 2 2 4" xfId="14083" xr:uid="{00000000-0005-0000-0000-0000980C0000}"/>
    <cellStyle name="Calculation 2 6 2 5 2 3" xfId="6664" xr:uid="{00000000-0005-0000-0000-0000990C0000}"/>
    <cellStyle name="Calculation 2 6 2 5 2 3 2" xfId="25636" xr:uid="{00000000-0005-0000-0000-00009A0C0000}"/>
    <cellStyle name="Calculation 2 6 2 5 2 3 3" xfId="36481" xr:uid="{00000000-0005-0000-0000-00009B0C0000}"/>
    <cellStyle name="Calculation 2 6 2 5 2 3 4" xfId="15998" xr:uid="{00000000-0005-0000-0000-00009C0C0000}"/>
    <cellStyle name="Calculation 2 6 2 5 2 4" xfId="9323" xr:uid="{00000000-0005-0000-0000-00009D0C0000}"/>
    <cellStyle name="Calculation 2 6 2 5 2 4 2" xfId="28295" xr:uid="{00000000-0005-0000-0000-00009E0C0000}"/>
    <cellStyle name="Calculation 2 6 2 5 2 4 3" xfId="39140" xr:uid="{00000000-0005-0000-0000-00009F0C0000}"/>
    <cellStyle name="Calculation 2 6 2 5 2 4 4" xfId="17902" xr:uid="{00000000-0005-0000-0000-0000A00C0000}"/>
    <cellStyle name="Calculation 2 6 2 5 2 5" xfId="20119" xr:uid="{00000000-0005-0000-0000-0000A10C0000}"/>
    <cellStyle name="Calculation 2 6 2 5 2 6" xfId="30964" xr:uid="{00000000-0005-0000-0000-0000A20C0000}"/>
    <cellStyle name="Calculation 2 6 2 5 2 7" xfId="12048" xr:uid="{00000000-0005-0000-0000-0000A30C0000}"/>
    <cellStyle name="Calculation 2 6 2 5 3" xfId="1535" xr:uid="{00000000-0005-0000-0000-0000A40C0000}"/>
    <cellStyle name="Calculation 2 6 2 5 3 2" xfId="4388" xr:uid="{00000000-0005-0000-0000-0000A50C0000}"/>
    <cellStyle name="Calculation 2 6 2 5 3 2 2" xfId="23360" xr:uid="{00000000-0005-0000-0000-0000A60C0000}"/>
    <cellStyle name="Calculation 2 6 2 5 3 2 3" xfId="34205" xr:uid="{00000000-0005-0000-0000-0000A70C0000}"/>
    <cellStyle name="Calculation 2 6 2 5 3 2 4" xfId="14369" xr:uid="{00000000-0005-0000-0000-0000A80C0000}"/>
    <cellStyle name="Calculation 2 6 2 5 3 3" xfId="7060" xr:uid="{00000000-0005-0000-0000-0000A90C0000}"/>
    <cellStyle name="Calculation 2 6 2 5 3 3 2" xfId="26032" xr:uid="{00000000-0005-0000-0000-0000AA0C0000}"/>
    <cellStyle name="Calculation 2 6 2 5 3 3 3" xfId="36877" xr:uid="{00000000-0005-0000-0000-0000AB0C0000}"/>
    <cellStyle name="Calculation 2 6 2 5 3 3 4" xfId="16283" xr:uid="{00000000-0005-0000-0000-0000AC0C0000}"/>
    <cellStyle name="Calculation 2 6 2 5 3 4" xfId="9719" xr:uid="{00000000-0005-0000-0000-0000AD0C0000}"/>
    <cellStyle name="Calculation 2 6 2 5 3 4 2" xfId="28691" xr:uid="{00000000-0005-0000-0000-0000AE0C0000}"/>
    <cellStyle name="Calculation 2 6 2 5 3 4 3" xfId="39536" xr:uid="{00000000-0005-0000-0000-0000AF0C0000}"/>
    <cellStyle name="Calculation 2 6 2 5 3 4 4" xfId="18187" xr:uid="{00000000-0005-0000-0000-0000B00C0000}"/>
    <cellStyle name="Calculation 2 6 2 5 3 5" xfId="20515" xr:uid="{00000000-0005-0000-0000-0000B10C0000}"/>
    <cellStyle name="Calculation 2 6 2 5 3 6" xfId="31360" xr:uid="{00000000-0005-0000-0000-0000B20C0000}"/>
    <cellStyle name="Calculation 2 6 2 5 3 7" xfId="12333" xr:uid="{00000000-0005-0000-0000-0000B30C0000}"/>
    <cellStyle name="Calculation 2 6 2 5 4" xfId="1939" xr:uid="{00000000-0005-0000-0000-0000B40C0000}"/>
    <cellStyle name="Calculation 2 6 2 5 4 2" xfId="4792" xr:uid="{00000000-0005-0000-0000-0000B50C0000}"/>
    <cellStyle name="Calculation 2 6 2 5 4 2 2" xfId="23764" xr:uid="{00000000-0005-0000-0000-0000B60C0000}"/>
    <cellStyle name="Calculation 2 6 2 5 4 2 3" xfId="34609" xr:uid="{00000000-0005-0000-0000-0000B70C0000}"/>
    <cellStyle name="Calculation 2 6 2 5 4 2 4" xfId="14657" xr:uid="{00000000-0005-0000-0000-0000B80C0000}"/>
    <cellStyle name="Calculation 2 6 2 5 4 3" xfId="7464" xr:uid="{00000000-0005-0000-0000-0000B90C0000}"/>
    <cellStyle name="Calculation 2 6 2 5 4 3 2" xfId="26436" xr:uid="{00000000-0005-0000-0000-0000BA0C0000}"/>
    <cellStyle name="Calculation 2 6 2 5 4 3 3" xfId="37281" xr:uid="{00000000-0005-0000-0000-0000BB0C0000}"/>
    <cellStyle name="Calculation 2 6 2 5 4 3 4" xfId="16571" xr:uid="{00000000-0005-0000-0000-0000BC0C0000}"/>
    <cellStyle name="Calculation 2 6 2 5 4 4" xfId="10123" xr:uid="{00000000-0005-0000-0000-0000BD0C0000}"/>
    <cellStyle name="Calculation 2 6 2 5 4 4 2" xfId="29095" xr:uid="{00000000-0005-0000-0000-0000BE0C0000}"/>
    <cellStyle name="Calculation 2 6 2 5 4 4 3" xfId="39940" xr:uid="{00000000-0005-0000-0000-0000BF0C0000}"/>
    <cellStyle name="Calculation 2 6 2 5 4 4 4" xfId="18475" xr:uid="{00000000-0005-0000-0000-0000C00C0000}"/>
    <cellStyle name="Calculation 2 6 2 5 4 5" xfId="20919" xr:uid="{00000000-0005-0000-0000-0000C10C0000}"/>
    <cellStyle name="Calculation 2 6 2 5 4 6" xfId="31764" xr:uid="{00000000-0005-0000-0000-0000C20C0000}"/>
    <cellStyle name="Calculation 2 6 2 5 4 7" xfId="12621" xr:uid="{00000000-0005-0000-0000-0000C30C0000}"/>
    <cellStyle name="Calculation 2 6 2 5 5" xfId="2331" xr:uid="{00000000-0005-0000-0000-0000C40C0000}"/>
    <cellStyle name="Calculation 2 6 2 5 5 2" xfId="5184" xr:uid="{00000000-0005-0000-0000-0000C50C0000}"/>
    <cellStyle name="Calculation 2 6 2 5 5 2 2" xfId="24156" xr:uid="{00000000-0005-0000-0000-0000C60C0000}"/>
    <cellStyle name="Calculation 2 6 2 5 5 2 3" xfId="35001" xr:uid="{00000000-0005-0000-0000-0000C70C0000}"/>
    <cellStyle name="Calculation 2 6 2 5 5 2 4" xfId="14938" xr:uid="{00000000-0005-0000-0000-0000C80C0000}"/>
    <cellStyle name="Calculation 2 6 2 5 5 3" xfId="7855" xr:uid="{00000000-0005-0000-0000-0000C90C0000}"/>
    <cellStyle name="Calculation 2 6 2 5 5 3 2" xfId="26827" xr:uid="{00000000-0005-0000-0000-0000CA0C0000}"/>
    <cellStyle name="Calculation 2 6 2 5 5 3 3" xfId="37672" xr:uid="{00000000-0005-0000-0000-0000CB0C0000}"/>
    <cellStyle name="Calculation 2 6 2 5 5 3 4" xfId="16851" xr:uid="{00000000-0005-0000-0000-0000CC0C0000}"/>
    <cellStyle name="Calculation 2 6 2 5 5 4" xfId="10514" xr:uid="{00000000-0005-0000-0000-0000CD0C0000}"/>
    <cellStyle name="Calculation 2 6 2 5 5 4 2" xfId="29486" xr:uid="{00000000-0005-0000-0000-0000CE0C0000}"/>
    <cellStyle name="Calculation 2 6 2 5 5 4 3" xfId="40331" xr:uid="{00000000-0005-0000-0000-0000CF0C0000}"/>
    <cellStyle name="Calculation 2 6 2 5 5 4 4" xfId="18755" xr:uid="{00000000-0005-0000-0000-0000D00C0000}"/>
    <cellStyle name="Calculation 2 6 2 5 5 5" xfId="21310" xr:uid="{00000000-0005-0000-0000-0000D10C0000}"/>
    <cellStyle name="Calculation 2 6 2 5 5 6" xfId="32155" xr:uid="{00000000-0005-0000-0000-0000D20C0000}"/>
    <cellStyle name="Calculation 2 6 2 5 5 7" xfId="12901" xr:uid="{00000000-0005-0000-0000-0000D30C0000}"/>
    <cellStyle name="Calculation 2 6 2 5 6" xfId="2720" xr:uid="{00000000-0005-0000-0000-0000D40C0000}"/>
    <cellStyle name="Calculation 2 6 2 5 6 2" xfId="5572" xr:uid="{00000000-0005-0000-0000-0000D50C0000}"/>
    <cellStyle name="Calculation 2 6 2 5 6 2 2" xfId="24544" xr:uid="{00000000-0005-0000-0000-0000D60C0000}"/>
    <cellStyle name="Calculation 2 6 2 5 6 2 3" xfId="35389" xr:uid="{00000000-0005-0000-0000-0000D70C0000}"/>
    <cellStyle name="Calculation 2 6 2 5 6 2 4" xfId="15216" xr:uid="{00000000-0005-0000-0000-0000D80C0000}"/>
    <cellStyle name="Calculation 2 6 2 5 6 3" xfId="8243" xr:uid="{00000000-0005-0000-0000-0000D90C0000}"/>
    <cellStyle name="Calculation 2 6 2 5 6 3 2" xfId="27215" xr:uid="{00000000-0005-0000-0000-0000DA0C0000}"/>
    <cellStyle name="Calculation 2 6 2 5 6 3 3" xfId="38060" xr:uid="{00000000-0005-0000-0000-0000DB0C0000}"/>
    <cellStyle name="Calculation 2 6 2 5 6 3 4" xfId="17129" xr:uid="{00000000-0005-0000-0000-0000DC0C0000}"/>
    <cellStyle name="Calculation 2 6 2 5 6 4" xfId="10902" xr:uid="{00000000-0005-0000-0000-0000DD0C0000}"/>
    <cellStyle name="Calculation 2 6 2 5 6 4 2" xfId="29874" xr:uid="{00000000-0005-0000-0000-0000DE0C0000}"/>
    <cellStyle name="Calculation 2 6 2 5 6 4 3" xfId="40719" xr:uid="{00000000-0005-0000-0000-0000DF0C0000}"/>
    <cellStyle name="Calculation 2 6 2 5 6 4 4" xfId="19033" xr:uid="{00000000-0005-0000-0000-0000E00C0000}"/>
    <cellStyle name="Calculation 2 6 2 5 6 5" xfId="21698" xr:uid="{00000000-0005-0000-0000-0000E10C0000}"/>
    <cellStyle name="Calculation 2 6 2 5 6 6" xfId="32543" xr:uid="{00000000-0005-0000-0000-0000E20C0000}"/>
    <cellStyle name="Calculation 2 6 2 5 6 7" xfId="13179" xr:uid="{00000000-0005-0000-0000-0000E30C0000}"/>
    <cellStyle name="Calculation 2 6 2 5 7" xfId="3411" xr:uid="{00000000-0005-0000-0000-0000E40C0000}"/>
    <cellStyle name="Calculation 2 6 2 5 7 2" xfId="22383" xr:uid="{00000000-0005-0000-0000-0000E50C0000}"/>
    <cellStyle name="Calculation 2 6 2 5 7 3" xfId="33228" xr:uid="{00000000-0005-0000-0000-0000E60C0000}"/>
    <cellStyle name="Calculation 2 6 2 5 7 4" xfId="13661" xr:uid="{00000000-0005-0000-0000-0000E70C0000}"/>
    <cellStyle name="Calculation 2 6 2 5 8" xfId="6087" xr:uid="{00000000-0005-0000-0000-0000E80C0000}"/>
    <cellStyle name="Calculation 2 6 2 5 8 2" xfId="25059" xr:uid="{00000000-0005-0000-0000-0000E90C0000}"/>
    <cellStyle name="Calculation 2 6 2 5 8 3" xfId="35904" xr:uid="{00000000-0005-0000-0000-0000EA0C0000}"/>
    <cellStyle name="Calculation 2 6 2 5 8 4" xfId="15578" xr:uid="{00000000-0005-0000-0000-0000EB0C0000}"/>
    <cellStyle name="Calculation 2 6 2 5 9" xfId="8746" xr:uid="{00000000-0005-0000-0000-0000EC0C0000}"/>
    <cellStyle name="Calculation 2 6 2 5 9 2" xfId="27718" xr:uid="{00000000-0005-0000-0000-0000ED0C0000}"/>
    <cellStyle name="Calculation 2 6 2 5 9 3" xfId="38563" xr:uid="{00000000-0005-0000-0000-0000EE0C0000}"/>
    <cellStyle name="Calculation 2 6 2 5 9 4" xfId="17482" xr:uid="{00000000-0005-0000-0000-0000EF0C0000}"/>
    <cellStyle name="Calculation 2 6 2 6" xfId="1059" xr:uid="{00000000-0005-0000-0000-0000F00C0000}"/>
    <cellStyle name="Calculation 2 6 2 6 2" xfId="3912" xr:uid="{00000000-0005-0000-0000-0000F10C0000}"/>
    <cellStyle name="Calculation 2 6 2 6 2 2" xfId="22884" xr:uid="{00000000-0005-0000-0000-0000F20C0000}"/>
    <cellStyle name="Calculation 2 6 2 6 2 3" xfId="33729" xr:uid="{00000000-0005-0000-0000-0000F30C0000}"/>
    <cellStyle name="Calculation 2 6 2 6 2 4" xfId="14025" xr:uid="{00000000-0005-0000-0000-0000F40C0000}"/>
    <cellStyle name="Calculation 2 6 2 6 3" xfId="6586" xr:uid="{00000000-0005-0000-0000-0000F50C0000}"/>
    <cellStyle name="Calculation 2 6 2 6 3 2" xfId="25558" xr:uid="{00000000-0005-0000-0000-0000F60C0000}"/>
    <cellStyle name="Calculation 2 6 2 6 3 3" xfId="36403" xr:uid="{00000000-0005-0000-0000-0000F70C0000}"/>
    <cellStyle name="Calculation 2 6 2 6 3 4" xfId="15941" xr:uid="{00000000-0005-0000-0000-0000F80C0000}"/>
    <cellStyle name="Calculation 2 6 2 6 4" xfId="9245" xr:uid="{00000000-0005-0000-0000-0000F90C0000}"/>
    <cellStyle name="Calculation 2 6 2 6 4 2" xfId="28217" xr:uid="{00000000-0005-0000-0000-0000FA0C0000}"/>
    <cellStyle name="Calculation 2 6 2 6 4 3" xfId="39062" xr:uid="{00000000-0005-0000-0000-0000FB0C0000}"/>
    <cellStyle name="Calculation 2 6 2 6 4 4" xfId="17845" xr:uid="{00000000-0005-0000-0000-0000FC0C0000}"/>
    <cellStyle name="Calculation 2 6 2 6 5" xfId="20041" xr:uid="{00000000-0005-0000-0000-0000FD0C0000}"/>
    <cellStyle name="Calculation 2 6 2 6 6" xfId="30886" xr:uid="{00000000-0005-0000-0000-0000FE0C0000}"/>
    <cellStyle name="Calculation 2 6 2 6 7" xfId="11991" xr:uid="{00000000-0005-0000-0000-0000FF0C0000}"/>
    <cellStyle name="Calculation 2 6 2 7" xfId="920" xr:uid="{00000000-0005-0000-0000-0000000D0000}"/>
    <cellStyle name="Calculation 2 6 2 7 2" xfId="3775" xr:uid="{00000000-0005-0000-0000-0000010D0000}"/>
    <cellStyle name="Calculation 2 6 2 7 2 2" xfId="22747" xr:uid="{00000000-0005-0000-0000-0000020D0000}"/>
    <cellStyle name="Calculation 2 6 2 7 2 3" xfId="33592" xr:uid="{00000000-0005-0000-0000-0000030D0000}"/>
    <cellStyle name="Calculation 2 6 2 7 2 4" xfId="13921" xr:uid="{00000000-0005-0000-0000-0000040D0000}"/>
    <cellStyle name="Calculation 2 6 2 7 3" xfId="6450" xr:uid="{00000000-0005-0000-0000-0000050D0000}"/>
    <cellStyle name="Calculation 2 6 2 7 3 2" xfId="25422" xr:uid="{00000000-0005-0000-0000-0000060D0000}"/>
    <cellStyle name="Calculation 2 6 2 7 3 3" xfId="36267" xr:uid="{00000000-0005-0000-0000-0000070D0000}"/>
    <cellStyle name="Calculation 2 6 2 7 3 4" xfId="15837" xr:uid="{00000000-0005-0000-0000-0000080D0000}"/>
    <cellStyle name="Calculation 2 6 2 7 4" xfId="9109" xr:uid="{00000000-0005-0000-0000-0000090D0000}"/>
    <cellStyle name="Calculation 2 6 2 7 4 2" xfId="28081" xr:uid="{00000000-0005-0000-0000-00000A0D0000}"/>
    <cellStyle name="Calculation 2 6 2 7 4 3" xfId="38926" xr:uid="{00000000-0005-0000-0000-00000B0D0000}"/>
    <cellStyle name="Calculation 2 6 2 7 4 4" xfId="17741" xr:uid="{00000000-0005-0000-0000-00000C0D0000}"/>
    <cellStyle name="Calculation 2 6 2 7 5" xfId="19905" xr:uid="{00000000-0005-0000-0000-00000D0D0000}"/>
    <cellStyle name="Calculation 2 6 2 7 6" xfId="30750" xr:uid="{00000000-0005-0000-0000-00000E0D0000}"/>
    <cellStyle name="Calculation 2 6 2 7 7" xfId="11887" xr:uid="{00000000-0005-0000-0000-00000F0D0000}"/>
    <cellStyle name="Calculation 2 6 2 8" xfId="1030" xr:uid="{00000000-0005-0000-0000-0000100D0000}"/>
    <cellStyle name="Calculation 2 6 2 8 2" xfId="3883" xr:uid="{00000000-0005-0000-0000-0000110D0000}"/>
    <cellStyle name="Calculation 2 6 2 8 2 2" xfId="22855" xr:uid="{00000000-0005-0000-0000-0000120D0000}"/>
    <cellStyle name="Calculation 2 6 2 8 2 3" xfId="33700" xr:uid="{00000000-0005-0000-0000-0000130D0000}"/>
    <cellStyle name="Calculation 2 6 2 8 2 4" xfId="14003" xr:uid="{00000000-0005-0000-0000-0000140D0000}"/>
    <cellStyle name="Calculation 2 6 2 8 3" xfId="6557" xr:uid="{00000000-0005-0000-0000-0000150D0000}"/>
    <cellStyle name="Calculation 2 6 2 8 3 2" xfId="25529" xr:uid="{00000000-0005-0000-0000-0000160D0000}"/>
    <cellStyle name="Calculation 2 6 2 8 3 3" xfId="36374" xr:uid="{00000000-0005-0000-0000-0000170D0000}"/>
    <cellStyle name="Calculation 2 6 2 8 3 4" xfId="15919" xr:uid="{00000000-0005-0000-0000-0000180D0000}"/>
    <cellStyle name="Calculation 2 6 2 8 4" xfId="9216" xr:uid="{00000000-0005-0000-0000-0000190D0000}"/>
    <cellStyle name="Calculation 2 6 2 8 4 2" xfId="28188" xr:uid="{00000000-0005-0000-0000-00001A0D0000}"/>
    <cellStyle name="Calculation 2 6 2 8 4 3" xfId="39033" xr:uid="{00000000-0005-0000-0000-00001B0D0000}"/>
    <cellStyle name="Calculation 2 6 2 8 4 4" xfId="17823" xr:uid="{00000000-0005-0000-0000-00001C0D0000}"/>
    <cellStyle name="Calculation 2 6 2 8 5" xfId="20012" xr:uid="{00000000-0005-0000-0000-00001D0D0000}"/>
    <cellStyle name="Calculation 2 6 2 8 6" xfId="30857" xr:uid="{00000000-0005-0000-0000-00001E0D0000}"/>
    <cellStyle name="Calculation 2 6 2 8 7" xfId="11969" xr:uid="{00000000-0005-0000-0000-00001F0D0000}"/>
    <cellStyle name="Calculation 2 6 2 9" xfId="1514" xr:uid="{00000000-0005-0000-0000-0000200D0000}"/>
    <cellStyle name="Calculation 2 6 2 9 2" xfId="4367" xr:uid="{00000000-0005-0000-0000-0000210D0000}"/>
    <cellStyle name="Calculation 2 6 2 9 2 2" xfId="23339" xr:uid="{00000000-0005-0000-0000-0000220D0000}"/>
    <cellStyle name="Calculation 2 6 2 9 2 3" xfId="34184" xr:uid="{00000000-0005-0000-0000-0000230D0000}"/>
    <cellStyle name="Calculation 2 6 2 9 2 4" xfId="14356" xr:uid="{00000000-0005-0000-0000-0000240D0000}"/>
    <cellStyle name="Calculation 2 6 2 9 3" xfId="7040" xr:uid="{00000000-0005-0000-0000-0000250D0000}"/>
    <cellStyle name="Calculation 2 6 2 9 3 2" xfId="26012" xr:uid="{00000000-0005-0000-0000-0000260D0000}"/>
    <cellStyle name="Calculation 2 6 2 9 3 3" xfId="36857" xr:uid="{00000000-0005-0000-0000-0000270D0000}"/>
    <cellStyle name="Calculation 2 6 2 9 3 4" xfId="16271" xr:uid="{00000000-0005-0000-0000-0000280D0000}"/>
    <cellStyle name="Calculation 2 6 2 9 4" xfId="9699" xr:uid="{00000000-0005-0000-0000-0000290D0000}"/>
    <cellStyle name="Calculation 2 6 2 9 4 2" xfId="28671" xr:uid="{00000000-0005-0000-0000-00002A0D0000}"/>
    <cellStyle name="Calculation 2 6 2 9 4 3" xfId="39516" xr:uid="{00000000-0005-0000-0000-00002B0D0000}"/>
    <cellStyle name="Calculation 2 6 2 9 4 4" xfId="18175" xr:uid="{00000000-0005-0000-0000-00002C0D0000}"/>
    <cellStyle name="Calculation 2 6 2 9 5" xfId="20495" xr:uid="{00000000-0005-0000-0000-00002D0D0000}"/>
    <cellStyle name="Calculation 2 6 2 9 6" xfId="31340" xr:uid="{00000000-0005-0000-0000-00002E0D0000}"/>
    <cellStyle name="Calculation 2 6 2 9 7" xfId="12321" xr:uid="{00000000-0005-0000-0000-00002F0D0000}"/>
    <cellStyle name="Calculation 2 6 3" xfId="541" xr:uid="{00000000-0005-0000-0000-0000300D0000}"/>
    <cellStyle name="Calculation 2 6 3 10" xfId="19551" xr:uid="{00000000-0005-0000-0000-0000310D0000}"/>
    <cellStyle name="Calculation 2 6 3 11" xfId="30396" xr:uid="{00000000-0005-0000-0000-0000320D0000}"/>
    <cellStyle name="Calculation 2 6 3 12" xfId="11615" xr:uid="{00000000-0005-0000-0000-0000330D0000}"/>
    <cellStyle name="Calculation 2 6 3 2" xfId="1147" xr:uid="{00000000-0005-0000-0000-0000340D0000}"/>
    <cellStyle name="Calculation 2 6 3 2 2" xfId="4000" xr:uid="{00000000-0005-0000-0000-0000350D0000}"/>
    <cellStyle name="Calculation 2 6 3 2 2 2" xfId="22972" xr:uid="{00000000-0005-0000-0000-0000360D0000}"/>
    <cellStyle name="Calculation 2 6 3 2 2 3" xfId="33817" xr:uid="{00000000-0005-0000-0000-0000370D0000}"/>
    <cellStyle name="Calculation 2 6 3 2 2 4" xfId="14092" xr:uid="{00000000-0005-0000-0000-0000380D0000}"/>
    <cellStyle name="Calculation 2 6 3 2 3" xfId="6673" xr:uid="{00000000-0005-0000-0000-0000390D0000}"/>
    <cellStyle name="Calculation 2 6 3 2 3 2" xfId="25645" xr:uid="{00000000-0005-0000-0000-00003A0D0000}"/>
    <cellStyle name="Calculation 2 6 3 2 3 3" xfId="36490" xr:uid="{00000000-0005-0000-0000-00003B0D0000}"/>
    <cellStyle name="Calculation 2 6 3 2 3 4" xfId="16007" xr:uid="{00000000-0005-0000-0000-00003C0D0000}"/>
    <cellStyle name="Calculation 2 6 3 2 4" xfId="9332" xr:uid="{00000000-0005-0000-0000-00003D0D0000}"/>
    <cellStyle name="Calculation 2 6 3 2 4 2" xfId="28304" xr:uid="{00000000-0005-0000-0000-00003E0D0000}"/>
    <cellStyle name="Calculation 2 6 3 2 4 3" xfId="39149" xr:uid="{00000000-0005-0000-0000-00003F0D0000}"/>
    <cellStyle name="Calculation 2 6 3 2 4 4" xfId="17911" xr:uid="{00000000-0005-0000-0000-0000400D0000}"/>
    <cellStyle name="Calculation 2 6 3 2 5" xfId="20128" xr:uid="{00000000-0005-0000-0000-0000410D0000}"/>
    <cellStyle name="Calculation 2 6 3 2 6" xfId="30973" xr:uid="{00000000-0005-0000-0000-0000420D0000}"/>
    <cellStyle name="Calculation 2 6 3 2 7" xfId="12057" xr:uid="{00000000-0005-0000-0000-0000430D0000}"/>
    <cellStyle name="Calculation 2 6 3 3" xfId="1544" xr:uid="{00000000-0005-0000-0000-0000440D0000}"/>
    <cellStyle name="Calculation 2 6 3 3 2" xfId="4397" xr:uid="{00000000-0005-0000-0000-0000450D0000}"/>
    <cellStyle name="Calculation 2 6 3 3 2 2" xfId="23369" xr:uid="{00000000-0005-0000-0000-0000460D0000}"/>
    <cellStyle name="Calculation 2 6 3 3 2 3" xfId="34214" xr:uid="{00000000-0005-0000-0000-0000470D0000}"/>
    <cellStyle name="Calculation 2 6 3 3 2 4" xfId="14378" xr:uid="{00000000-0005-0000-0000-0000480D0000}"/>
    <cellStyle name="Calculation 2 6 3 3 3" xfId="7069" xr:uid="{00000000-0005-0000-0000-0000490D0000}"/>
    <cellStyle name="Calculation 2 6 3 3 3 2" xfId="26041" xr:uid="{00000000-0005-0000-0000-00004A0D0000}"/>
    <cellStyle name="Calculation 2 6 3 3 3 3" xfId="36886" xr:uid="{00000000-0005-0000-0000-00004B0D0000}"/>
    <cellStyle name="Calculation 2 6 3 3 3 4" xfId="16292" xr:uid="{00000000-0005-0000-0000-00004C0D0000}"/>
    <cellStyle name="Calculation 2 6 3 3 4" xfId="9728" xr:uid="{00000000-0005-0000-0000-00004D0D0000}"/>
    <cellStyle name="Calculation 2 6 3 3 4 2" xfId="28700" xr:uid="{00000000-0005-0000-0000-00004E0D0000}"/>
    <cellStyle name="Calculation 2 6 3 3 4 3" xfId="39545" xr:uid="{00000000-0005-0000-0000-00004F0D0000}"/>
    <cellStyle name="Calculation 2 6 3 3 4 4" xfId="18196" xr:uid="{00000000-0005-0000-0000-0000500D0000}"/>
    <cellStyle name="Calculation 2 6 3 3 5" xfId="20524" xr:uid="{00000000-0005-0000-0000-0000510D0000}"/>
    <cellStyle name="Calculation 2 6 3 3 6" xfId="31369" xr:uid="{00000000-0005-0000-0000-0000520D0000}"/>
    <cellStyle name="Calculation 2 6 3 3 7" xfId="12342" xr:uid="{00000000-0005-0000-0000-0000530D0000}"/>
    <cellStyle name="Calculation 2 6 3 4" xfId="1948" xr:uid="{00000000-0005-0000-0000-0000540D0000}"/>
    <cellStyle name="Calculation 2 6 3 4 2" xfId="4801" xr:uid="{00000000-0005-0000-0000-0000550D0000}"/>
    <cellStyle name="Calculation 2 6 3 4 2 2" xfId="23773" xr:uid="{00000000-0005-0000-0000-0000560D0000}"/>
    <cellStyle name="Calculation 2 6 3 4 2 3" xfId="34618" xr:uid="{00000000-0005-0000-0000-0000570D0000}"/>
    <cellStyle name="Calculation 2 6 3 4 2 4" xfId="14666" xr:uid="{00000000-0005-0000-0000-0000580D0000}"/>
    <cellStyle name="Calculation 2 6 3 4 3" xfId="7473" xr:uid="{00000000-0005-0000-0000-0000590D0000}"/>
    <cellStyle name="Calculation 2 6 3 4 3 2" xfId="26445" xr:uid="{00000000-0005-0000-0000-00005A0D0000}"/>
    <cellStyle name="Calculation 2 6 3 4 3 3" xfId="37290" xr:uid="{00000000-0005-0000-0000-00005B0D0000}"/>
    <cellStyle name="Calculation 2 6 3 4 3 4" xfId="16580" xr:uid="{00000000-0005-0000-0000-00005C0D0000}"/>
    <cellStyle name="Calculation 2 6 3 4 4" xfId="10132" xr:uid="{00000000-0005-0000-0000-00005D0D0000}"/>
    <cellStyle name="Calculation 2 6 3 4 4 2" xfId="29104" xr:uid="{00000000-0005-0000-0000-00005E0D0000}"/>
    <cellStyle name="Calculation 2 6 3 4 4 3" xfId="39949" xr:uid="{00000000-0005-0000-0000-00005F0D0000}"/>
    <cellStyle name="Calculation 2 6 3 4 4 4" xfId="18484" xr:uid="{00000000-0005-0000-0000-0000600D0000}"/>
    <cellStyle name="Calculation 2 6 3 4 5" xfId="20928" xr:uid="{00000000-0005-0000-0000-0000610D0000}"/>
    <cellStyle name="Calculation 2 6 3 4 6" xfId="31773" xr:uid="{00000000-0005-0000-0000-0000620D0000}"/>
    <cellStyle name="Calculation 2 6 3 4 7" xfId="12630" xr:uid="{00000000-0005-0000-0000-0000630D0000}"/>
    <cellStyle name="Calculation 2 6 3 5" xfId="2340" xr:uid="{00000000-0005-0000-0000-0000640D0000}"/>
    <cellStyle name="Calculation 2 6 3 5 2" xfId="5193" xr:uid="{00000000-0005-0000-0000-0000650D0000}"/>
    <cellStyle name="Calculation 2 6 3 5 2 2" xfId="24165" xr:uid="{00000000-0005-0000-0000-0000660D0000}"/>
    <cellStyle name="Calculation 2 6 3 5 2 3" xfId="35010" xr:uid="{00000000-0005-0000-0000-0000670D0000}"/>
    <cellStyle name="Calculation 2 6 3 5 2 4" xfId="14947" xr:uid="{00000000-0005-0000-0000-0000680D0000}"/>
    <cellStyle name="Calculation 2 6 3 5 3" xfId="7864" xr:uid="{00000000-0005-0000-0000-0000690D0000}"/>
    <cellStyle name="Calculation 2 6 3 5 3 2" xfId="26836" xr:uid="{00000000-0005-0000-0000-00006A0D0000}"/>
    <cellStyle name="Calculation 2 6 3 5 3 3" xfId="37681" xr:uid="{00000000-0005-0000-0000-00006B0D0000}"/>
    <cellStyle name="Calculation 2 6 3 5 3 4" xfId="16860" xr:uid="{00000000-0005-0000-0000-00006C0D0000}"/>
    <cellStyle name="Calculation 2 6 3 5 4" xfId="10523" xr:uid="{00000000-0005-0000-0000-00006D0D0000}"/>
    <cellStyle name="Calculation 2 6 3 5 4 2" xfId="29495" xr:uid="{00000000-0005-0000-0000-00006E0D0000}"/>
    <cellStyle name="Calculation 2 6 3 5 4 3" xfId="40340" xr:uid="{00000000-0005-0000-0000-00006F0D0000}"/>
    <cellStyle name="Calculation 2 6 3 5 4 4" xfId="18764" xr:uid="{00000000-0005-0000-0000-0000700D0000}"/>
    <cellStyle name="Calculation 2 6 3 5 5" xfId="21319" xr:uid="{00000000-0005-0000-0000-0000710D0000}"/>
    <cellStyle name="Calculation 2 6 3 5 6" xfId="32164" xr:uid="{00000000-0005-0000-0000-0000720D0000}"/>
    <cellStyle name="Calculation 2 6 3 5 7" xfId="12910" xr:uid="{00000000-0005-0000-0000-0000730D0000}"/>
    <cellStyle name="Calculation 2 6 3 6" xfId="2729" xr:uid="{00000000-0005-0000-0000-0000740D0000}"/>
    <cellStyle name="Calculation 2 6 3 6 2" xfId="5581" xr:uid="{00000000-0005-0000-0000-0000750D0000}"/>
    <cellStyle name="Calculation 2 6 3 6 2 2" xfId="24553" xr:uid="{00000000-0005-0000-0000-0000760D0000}"/>
    <cellStyle name="Calculation 2 6 3 6 2 3" xfId="35398" xr:uid="{00000000-0005-0000-0000-0000770D0000}"/>
    <cellStyle name="Calculation 2 6 3 6 2 4" xfId="15225" xr:uid="{00000000-0005-0000-0000-0000780D0000}"/>
    <cellStyle name="Calculation 2 6 3 6 3" xfId="8252" xr:uid="{00000000-0005-0000-0000-0000790D0000}"/>
    <cellStyle name="Calculation 2 6 3 6 3 2" xfId="27224" xr:uid="{00000000-0005-0000-0000-00007A0D0000}"/>
    <cellStyle name="Calculation 2 6 3 6 3 3" xfId="38069" xr:uid="{00000000-0005-0000-0000-00007B0D0000}"/>
    <cellStyle name="Calculation 2 6 3 6 3 4" xfId="17138" xr:uid="{00000000-0005-0000-0000-00007C0D0000}"/>
    <cellStyle name="Calculation 2 6 3 6 4" xfId="10911" xr:uid="{00000000-0005-0000-0000-00007D0D0000}"/>
    <cellStyle name="Calculation 2 6 3 6 4 2" xfId="29883" xr:uid="{00000000-0005-0000-0000-00007E0D0000}"/>
    <cellStyle name="Calculation 2 6 3 6 4 3" xfId="40728" xr:uid="{00000000-0005-0000-0000-00007F0D0000}"/>
    <cellStyle name="Calculation 2 6 3 6 4 4" xfId="19042" xr:uid="{00000000-0005-0000-0000-0000800D0000}"/>
    <cellStyle name="Calculation 2 6 3 6 5" xfId="21707" xr:uid="{00000000-0005-0000-0000-0000810D0000}"/>
    <cellStyle name="Calculation 2 6 3 6 6" xfId="32552" xr:uid="{00000000-0005-0000-0000-0000820D0000}"/>
    <cellStyle name="Calculation 2 6 3 6 7" xfId="13188" xr:uid="{00000000-0005-0000-0000-0000830D0000}"/>
    <cellStyle name="Calculation 2 6 3 7" xfId="3420" xr:uid="{00000000-0005-0000-0000-0000840D0000}"/>
    <cellStyle name="Calculation 2 6 3 7 2" xfId="22392" xr:uid="{00000000-0005-0000-0000-0000850D0000}"/>
    <cellStyle name="Calculation 2 6 3 7 3" xfId="33237" xr:uid="{00000000-0005-0000-0000-0000860D0000}"/>
    <cellStyle name="Calculation 2 6 3 7 4" xfId="13670" xr:uid="{00000000-0005-0000-0000-0000870D0000}"/>
    <cellStyle name="Calculation 2 6 3 8" xfId="6096" xr:uid="{00000000-0005-0000-0000-0000880D0000}"/>
    <cellStyle name="Calculation 2 6 3 8 2" xfId="25068" xr:uid="{00000000-0005-0000-0000-0000890D0000}"/>
    <cellStyle name="Calculation 2 6 3 8 3" xfId="35913" xr:uid="{00000000-0005-0000-0000-00008A0D0000}"/>
    <cellStyle name="Calculation 2 6 3 8 4" xfId="15587" xr:uid="{00000000-0005-0000-0000-00008B0D0000}"/>
    <cellStyle name="Calculation 2 6 3 9" xfId="8755" xr:uid="{00000000-0005-0000-0000-00008C0D0000}"/>
    <cellStyle name="Calculation 2 6 3 9 2" xfId="27727" xr:uid="{00000000-0005-0000-0000-00008D0D0000}"/>
    <cellStyle name="Calculation 2 6 3 9 3" xfId="38572" xr:uid="{00000000-0005-0000-0000-00008E0D0000}"/>
    <cellStyle name="Calculation 2 6 3 9 4" xfId="17491" xr:uid="{00000000-0005-0000-0000-00008F0D0000}"/>
    <cellStyle name="Calculation 2 6 4" xfId="11433" xr:uid="{00000000-0005-0000-0000-0000900D0000}"/>
    <cellStyle name="Calculation 2 7" xfId="63" xr:uid="{00000000-0005-0000-0000-0000910D0000}"/>
    <cellStyle name="Calculation 2 7 2" xfId="354" xr:uid="{00000000-0005-0000-0000-0000920D0000}"/>
    <cellStyle name="Calculation 2 7 2 10" xfId="1015" xr:uid="{00000000-0005-0000-0000-0000930D0000}"/>
    <cellStyle name="Calculation 2 7 2 10 2" xfId="3868" xr:uid="{00000000-0005-0000-0000-0000940D0000}"/>
    <cellStyle name="Calculation 2 7 2 10 2 2" xfId="22840" xr:uid="{00000000-0005-0000-0000-0000950D0000}"/>
    <cellStyle name="Calculation 2 7 2 10 2 3" xfId="33685" xr:uid="{00000000-0005-0000-0000-0000960D0000}"/>
    <cellStyle name="Calculation 2 7 2 10 2 4" xfId="13992" xr:uid="{00000000-0005-0000-0000-0000970D0000}"/>
    <cellStyle name="Calculation 2 7 2 10 3" xfId="6542" xr:uid="{00000000-0005-0000-0000-0000980D0000}"/>
    <cellStyle name="Calculation 2 7 2 10 3 2" xfId="25514" xr:uid="{00000000-0005-0000-0000-0000990D0000}"/>
    <cellStyle name="Calculation 2 7 2 10 3 3" xfId="36359" xr:uid="{00000000-0005-0000-0000-00009A0D0000}"/>
    <cellStyle name="Calculation 2 7 2 10 3 4" xfId="15908" xr:uid="{00000000-0005-0000-0000-00009B0D0000}"/>
    <cellStyle name="Calculation 2 7 2 10 4" xfId="9201" xr:uid="{00000000-0005-0000-0000-00009C0D0000}"/>
    <cellStyle name="Calculation 2 7 2 10 4 2" xfId="28173" xr:uid="{00000000-0005-0000-0000-00009D0D0000}"/>
    <cellStyle name="Calculation 2 7 2 10 4 3" xfId="39018" xr:uid="{00000000-0005-0000-0000-00009E0D0000}"/>
    <cellStyle name="Calculation 2 7 2 10 4 4" xfId="17812" xr:uid="{00000000-0005-0000-0000-00009F0D0000}"/>
    <cellStyle name="Calculation 2 7 2 10 5" xfId="19997" xr:uid="{00000000-0005-0000-0000-0000A00D0000}"/>
    <cellStyle name="Calculation 2 7 2 10 6" xfId="30842" xr:uid="{00000000-0005-0000-0000-0000A10D0000}"/>
    <cellStyle name="Calculation 2 7 2 10 7" xfId="11958" xr:uid="{00000000-0005-0000-0000-0000A20D0000}"/>
    <cellStyle name="Calculation 2 7 2 11" xfId="963" xr:uid="{00000000-0005-0000-0000-0000A30D0000}"/>
    <cellStyle name="Calculation 2 7 2 11 2" xfId="3816" xr:uid="{00000000-0005-0000-0000-0000A40D0000}"/>
    <cellStyle name="Calculation 2 7 2 11 2 2" xfId="22788" xr:uid="{00000000-0005-0000-0000-0000A50D0000}"/>
    <cellStyle name="Calculation 2 7 2 11 2 3" xfId="33633" xr:uid="{00000000-0005-0000-0000-0000A60D0000}"/>
    <cellStyle name="Calculation 2 7 2 11 2 4" xfId="13957" xr:uid="{00000000-0005-0000-0000-0000A70D0000}"/>
    <cellStyle name="Calculation 2 7 2 11 3" xfId="6491" xr:uid="{00000000-0005-0000-0000-0000A80D0000}"/>
    <cellStyle name="Calculation 2 7 2 11 3 2" xfId="25463" xr:uid="{00000000-0005-0000-0000-0000A90D0000}"/>
    <cellStyle name="Calculation 2 7 2 11 3 3" xfId="36308" xr:uid="{00000000-0005-0000-0000-0000AA0D0000}"/>
    <cellStyle name="Calculation 2 7 2 11 3 4" xfId="15873" xr:uid="{00000000-0005-0000-0000-0000AB0D0000}"/>
    <cellStyle name="Calculation 2 7 2 11 4" xfId="9150" xr:uid="{00000000-0005-0000-0000-0000AC0D0000}"/>
    <cellStyle name="Calculation 2 7 2 11 4 2" xfId="28122" xr:uid="{00000000-0005-0000-0000-0000AD0D0000}"/>
    <cellStyle name="Calculation 2 7 2 11 4 3" xfId="38967" xr:uid="{00000000-0005-0000-0000-0000AE0D0000}"/>
    <cellStyle name="Calculation 2 7 2 11 4 4" xfId="17777" xr:uid="{00000000-0005-0000-0000-0000AF0D0000}"/>
    <cellStyle name="Calculation 2 7 2 11 5" xfId="19946" xr:uid="{00000000-0005-0000-0000-0000B00D0000}"/>
    <cellStyle name="Calculation 2 7 2 11 6" xfId="30791" xr:uid="{00000000-0005-0000-0000-0000B10D0000}"/>
    <cellStyle name="Calculation 2 7 2 11 7" xfId="11923" xr:uid="{00000000-0005-0000-0000-0000B20D0000}"/>
    <cellStyle name="Calculation 2 7 2 12" xfId="2433" xr:uid="{00000000-0005-0000-0000-0000B30D0000}"/>
    <cellStyle name="Calculation 2 7 2 12 2" xfId="5285" xr:uid="{00000000-0005-0000-0000-0000B40D0000}"/>
    <cellStyle name="Calculation 2 7 2 12 2 2" xfId="24257" xr:uid="{00000000-0005-0000-0000-0000B50D0000}"/>
    <cellStyle name="Calculation 2 7 2 12 2 3" xfId="35102" xr:uid="{00000000-0005-0000-0000-0000B60D0000}"/>
    <cellStyle name="Calculation 2 7 2 12 2 4" xfId="15019" xr:uid="{00000000-0005-0000-0000-0000B70D0000}"/>
    <cellStyle name="Calculation 2 7 2 12 3" xfId="7956" xr:uid="{00000000-0005-0000-0000-0000B80D0000}"/>
    <cellStyle name="Calculation 2 7 2 12 3 2" xfId="26928" xr:uid="{00000000-0005-0000-0000-0000B90D0000}"/>
    <cellStyle name="Calculation 2 7 2 12 3 3" xfId="37773" xr:uid="{00000000-0005-0000-0000-0000BA0D0000}"/>
    <cellStyle name="Calculation 2 7 2 12 3 4" xfId="16932" xr:uid="{00000000-0005-0000-0000-0000BB0D0000}"/>
    <cellStyle name="Calculation 2 7 2 12 4" xfId="10615" xr:uid="{00000000-0005-0000-0000-0000BC0D0000}"/>
    <cellStyle name="Calculation 2 7 2 12 4 2" xfId="29587" xr:uid="{00000000-0005-0000-0000-0000BD0D0000}"/>
    <cellStyle name="Calculation 2 7 2 12 4 3" xfId="40432" xr:uid="{00000000-0005-0000-0000-0000BE0D0000}"/>
    <cellStyle name="Calculation 2 7 2 12 4 4" xfId="18836" xr:uid="{00000000-0005-0000-0000-0000BF0D0000}"/>
    <cellStyle name="Calculation 2 7 2 12 5" xfId="21411" xr:uid="{00000000-0005-0000-0000-0000C00D0000}"/>
    <cellStyle name="Calculation 2 7 2 12 6" xfId="32256" xr:uid="{00000000-0005-0000-0000-0000C10D0000}"/>
    <cellStyle name="Calculation 2 7 2 12 7" xfId="12982" xr:uid="{00000000-0005-0000-0000-0000C20D0000}"/>
    <cellStyle name="Calculation 2 7 2 13" xfId="946" xr:uid="{00000000-0005-0000-0000-0000C30D0000}"/>
    <cellStyle name="Calculation 2 7 2 13 2" xfId="3799" xr:uid="{00000000-0005-0000-0000-0000C40D0000}"/>
    <cellStyle name="Calculation 2 7 2 13 2 2" xfId="22771" xr:uid="{00000000-0005-0000-0000-0000C50D0000}"/>
    <cellStyle name="Calculation 2 7 2 13 2 3" xfId="33616" xr:uid="{00000000-0005-0000-0000-0000C60D0000}"/>
    <cellStyle name="Calculation 2 7 2 13 2 4" xfId="13944" xr:uid="{00000000-0005-0000-0000-0000C70D0000}"/>
    <cellStyle name="Calculation 2 7 2 13 3" xfId="6474" xr:uid="{00000000-0005-0000-0000-0000C80D0000}"/>
    <cellStyle name="Calculation 2 7 2 13 3 2" xfId="25446" xr:uid="{00000000-0005-0000-0000-0000C90D0000}"/>
    <cellStyle name="Calculation 2 7 2 13 3 3" xfId="36291" xr:uid="{00000000-0005-0000-0000-0000CA0D0000}"/>
    <cellStyle name="Calculation 2 7 2 13 3 4" xfId="15860" xr:uid="{00000000-0005-0000-0000-0000CB0D0000}"/>
    <cellStyle name="Calculation 2 7 2 13 4" xfId="9133" xr:uid="{00000000-0005-0000-0000-0000CC0D0000}"/>
    <cellStyle name="Calculation 2 7 2 13 4 2" xfId="28105" xr:uid="{00000000-0005-0000-0000-0000CD0D0000}"/>
    <cellStyle name="Calculation 2 7 2 13 4 3" xfId="38950" xr:uid="{00000000-0005-0000-0000-0000CE0D0000}"/>
    <cellStyle name="Calculation 2 7 2 13 4 4" xfId="17764" xr:uid="{00000000-0005-0000-0000-0000CF0D0000}"/>
    <cellStyle name="Calculation 2 7 2 13 5" xfId="19929" xr:uid="{00000000-0005-0000-0000-0000D00D0000}"/>
    <cellStyle name="Calculation 2 7 2 13 6" xfId="30774" xr:uid="{00000000-0005-0000-0000-0000D10D0000}"/>
    <cellStyle name="Calculation 2 7 2 13 7" xfId="11910" xr:uid="{00000000-0005-0000-0000-0000D20D0000}"/>
    <cellStyle name="Calculation 2 7 2 14" xfId="3275" xr:uid="{00000000-0005-0000-0000-0000D30D0000}"/>
    <cellStyle name="Calculation 2 7 2 14 2" xfId="22249" xr:uid="{00000000-0005-0000-0000-0000D40D0000}"/>
    <cellStyle name="Calculation 2 7 2 14 3" xfId="33094" xr:uid="{00000000-0005-0000-0000-0000D50D0000}"/>
    <cellStyle name="Calculation 2 7 2 14 4" xfId="13572" xr:uid="{00000000-0005-0000-0000-0000D60D0000}"/>
    <cellStyle name="Calculation 2 7 2 15" xfId="3234" xr:uid="{00000000-0005-0000-0000-0000D70D0000}"/>
    <cellStyle name="Calculation 2 7 2 15 2" xfId="22211" xr:uid="{00000000-0005-0000-0000-0000D80D0000}"/>
    <cellStyle name="Calculation 2 7 2 15 3" xfId="33056" xr:uid="{00000000-0005-0000-0000-0000D90D0000}"/>
    <cellStyle name="Calculation 2 7 2 15 4" xfId="13539" xr:uid="{00000000-0005-0000-0000-0000DA0D0000}"/>
    <cellStyle name="Calculation 2 7 2 16" xfId="3299" xr:uid="{00000000-0005-0000-0000-0000DB0D0000}"/>
    <cellStyle name="Calculation 2 7 2 16 2" xfId="22273" xr:uid="{00000000-0005-0000-0000-0000DC0D0000}"/>
    <cellStyle name="Calculation 2 7 2 16 3" xfId="33118" xr:uid="{00000000-0005-0000-0000-0000DD0D0000}"/>
    <cellStyle name="Calculation 2 7 2 16 4" xfId="13586" xr:uid="{00000000-0005-0000-0000-0000DE0D0000}"/>
    <cellStyle name="Calculation 2 7 2 17" xfId="19451" xr:uid="{00000000-0005-0000-0000-0000DF0D0000}"/>
    <cellStyle name="Calculation 2 7 2 18" xfId="19439" xr:uid="{00000000-0005-0000-0000-0000E00D0000}"/>
    <cellStyle name="Calculation 2 7 2 19" xfId="11510" xr:uid="{00000000-0005-0000-0000-0000E10D0000}"/>
    <cellStyle name="Calculation 2 7 2 2" xfId="662" xr:uid="{00000000-0005-0000-0000-0000E20D0000}"/>
    <cellStyle name="Calculation 2 7 2 2 10" xfId="19647" xr:uid="{00000000-0005-0000-0000-0000E30D0000}"/>
    <cellStyle name="Calculation 2 7 2 2 11" xfId="30492" xr:uid="{00000000-0005-0000-0000-0000E40D0000}"/>
    <cellStyle name="Calculation 2 7 2 2 12" xfId="11714" xr:uid="{00000000-0005-0000-0000-0000E50D0000}"/>
    <cellStyle name="Calculation 2 7 2 2 2" xfId="1249" xr:uid="{00000000-0005-0000-0000-0000E60D0000}"/>
    <cellStyle name="Calculation 2 7 2 2 2 2" xfId="4102" xr:uid="{00000000-0005-0000-0000-0000E70D0000}"/>
    <cellStyle name="Calculation 2 7 2 2 2 2 2" xfId="23074" xr:uid="{00000000-0005-0000-0000-0000E80D0000}"/>
    <cellStyle name="Calculation 2 7 2 2 2 2 3" xfId="33919" xr:uid="{00000000-0005-0000-0000-0000E90D0000}"/>
    <cellStyle name="Calculation 2 7 2 2 2 2 4" xfId="14175" xr:uid="{00000000-0005-0000-0000-0000EA0D0000}"/>
    <cellStyle name="Calculation 2 7 2 2 2 3" xfId="6775" xr:uid="{00000000-0005-0000-0000-0000EB0D0000}"/>
    <cellStyle name="Calculation 2 7 2 2 2 3 2" xfId="25747" xr:uid="{00000000-0005-0000-0000-0000EC0D0000}"/>
    <cellStyle name="Calculation 2 7 2 2 2 3 3" xfId="36592" xr:uid="{00000000-0005-0000-0000-0000ED0D0000}"/>
    <cellStyle name="Calculation 2 7 2 2 2 3 4" xfId="16090" xr:uid="{00000000-0005-0000-0000-0000EE0D0000}"/>
    <cellStyle name="Calculation 2 7 2 2 2 4" xfId="9434" xr:uid="{00000000-0005-0000-0000-0000EF0D0000}"/>
    <cellStyle name="Calculation 2 7 2 2 2 4 2" xfId="28406" xr:uid="{00000000-0005-0000-0000-0000F00D0000}"/>
    <cellStyle name="Calculation 2 7 2 2 2 4 3" xfId="39251" xr:uid="{00000000-0005-0000-0000-0000F10D0000}"/>
    <cellStyle name="Calculation 2 7 2 2 2 4 4" xfId="17994" xr:uid="{00000000-0005-0000-0000-0000F20D0000}"/>
    <cellStyle name="Calculation 2 7 2 2 2 5" xfId="20230" xr:uid="{00000000-0005-0000-0000-0000F30D0000}"/>
    <cellStyle name="Calculation 2 7 2 2 2 6" xfId="31075" xr:uid="{00000000-0005-0000-0000-0000F40D0000}"/>
    <cellStyle name="Calculation 2 7 2 2 2 7" xfId="12140" xr:uid="{00000000-0005-0000-0000-0000F50D0000}"/>
    <cellStyle name="Calculation 2 7 2 2 3" xfId="1648" xr:uid="{00000000-0005-0000-0000-0000F60D0000}"/>
    <cellStyle name="Calculation 2 7 2 2 3 2" xfId="4501" xr:uid="{00000000-0005-0000-0000-0000F70D0000}"/>
    <cellStyle name="Calculation 2 7 2 2 3 2 2" xfId="23473" xr:uid="{00000000-0005-0000-0000-0000F80D0000}"/>
    <cellStyle name="Calculation 2 7 2 2 3 2 3" xfId="34318" xr:uid="{00000000-0005-0000-0000-0000F90D0000}"/>
    <cellStyle name="Calculation 2 7 2 2 3 2 4" xfId="14462" xr:uid="{00000000-0005-0000-0000-0000FA0D0000}"/>
    <cellStyle name="Calculation 2 7 2 2 3 3" xfId="7173" xr:uid="{00000000-0005-0000-0000-0000FB0D0000}"/>
    <cellStyle name="Calculation 2 7 2 2 3 3 2" xfId="26145" xr:uid="{00000000-0005-0000-0000-0000FC0D0000}"/>
    <cellStyle name="Calculation 2 7 2 2 3 3 3" xfId="36990" xr:uid="{00000000-0005-0000-0000-0000FD0D0000}"/>
    <cellStyle name="Calculation 2 7 2 2 3 3 4" xfId="16376" xr:uid="{00000000-0005-0000-0000-0000FE0D0000}"/>
    <cellStyle name="Calculation 2 7 2 2 3 4" xfId="9832" xr:uid="{00000000-0005-0000-0000-0000FF0D0000}"/>
    <cellStyle name="Calculation 2 7 2 2 3 4 2" xfId="28804" xr:uid="{00000000-0005-0000-0000-0000000E0000}"/>
    <cellStyle name="Calculation 2 7 2 2 3 4 3" xfId="39649" xr:uid="{00000000-0005-0000-0000-0000010E0000}"/>
    <cellStyle name="Calculation 2 7 2 2 3 4 4" xfId="18280" xr:uid="{00000000-0005-0000-0000-0000020E0000}"/>
    <cellStyle name="Calculation 2 7 2 2 3 5" xfId="20628" xr:uid="{00000000-0005-0000-0000-0000030E0000}"/>
    <cellStyle name="Calculation 2 7 2 2 3 6" xfId="31473" xr:uid="{00000000-0005-0000-0000-0000040E0000}"/>
    <cellStyle name="Calculation 2 7 2 2 3 7" xfId="12426" xr:uid="{00000000-0005-0000-0000-0000050E0000}"/>
    <cellStyle name="Calculation 2 7 2 2 4" xfId="2052" xr:uid="{00000000-0005-0000-0000-0000060E0000}"/>
    <cellStyle name="Calculation 2 7 2 2 4 2" xfId="4905" xr:uid="{00000000-0005-0000-0000-0000070E0000}"/>
    <cellStyle name="Calculation 2 7 2 2 4 2 2" xfId="23877" xr:uid="{00000000-0005-0000-0000-0000080E0000}"/>
    <cellStyle name="Calculation 2 7 2 2 4 2 3" xfId="34722" xr:uid="{00000000-0005-0000-0000-0000090E0000}"/>
    <cellStyle name="Calculation 2 7 2 2 4 2 4" xfId="14749" xr:uid="{00000000-0005-0000-0000-00000A0E0000}"/>
    <cellStyle name="Calculation 2 7 2 2 4 3" xfId="7576" xr:uid="{00000000-0005-0000-0000-00000B0E0000}"/>
    <cellStyle name="Calculation 2 7 2 2 4 3 2" xfId="26548" xr:uid="{00000000-0005-0000-0000-00000C0E0000}"/>
    <cellStyle name="Calculation 2 7 2 2 4 3 3" xfId="37393" xr:uid="{00000000-0005-0000-0000-00000D0E0000}"/>
    <cellStyle name="Calculation 2 7 2 2 4 3 4" xfId="16662" xr:uid="{00000000-0005-0000-0000-00000E0E0000}"/>
    <cellStyle name="Calculation 2 7 2 2 4 4" xfId="10235" xr:uid="{00000000-0005-0000-0000-00000F0E0000}"/>
    <cellStyle name="Calculation 2 7 2 2 4 4 2" xfId="29207" xr:uid="{00000000-0005-0000-0000-0000100E0000}"/>
    <cellStyle name="Calculation 2 7 2 2 4 4 3" xfId="40052" xr:uid="{00000000-0005-0000-0000-0000110E0000}"/>
    <cellStyle name="Calculation 2 7 2 2 4 4 4" xfId="18566" xr:uid="{00000000-0005-0000-0000-0000120E0000}"/>
    <cellStyle name="Calculation 2 7 2 2 4 5" xfId="21031" xr:uid="{00000000-0005-0000-0000-0000130E0000}"/>
    <cellStyle name="Calculation 2 7 2 2 4 6" xfId="31876" xr:uid="{00000000-0005-0000-0000-0000140E0000}"/>
    <cellStyle name="Calculation 2 7 2 2 4 7" xfId="12712" xr:uid="{00000000-0005-0000-0000-0000150E0000}"/>
    <cellStyle name="Calculation 2 7 2 2 5" xfId="2442" xr:uid="{00000000-0005-0000-0000-0000160E0000}"/>
    <cellStyle name="Calculation 2 7 2 2 5 2" xfId="5294" xr:uid="{00000000-0005-0000-0000-0000170E0000}"/>
    <cellStyle name="Calculation 2 7 2 2 5 2 2" xfId="24266" xr:uid="{00000000-0005-0000-0000-0000180E0000}"/>
    <cellStyle name="Calculation 2 7 2 2 5 2 3" xfId="35111" xr:uid="{00000000-0005-0000-0000-0000190E0000}"/>
    <cellStyle name="Calculation 2 7 2 2 5 2 4" xfId="15028" xr:uid="{00000000-0005-0000-0000-00001A0E0000}"/>
    <cellStyle name="Calculation 2 7 2 2 5 3" xfId="7965" xr:uid="{00000000-0005-0000-0000-00001B0E0000}"/>
    <cellStyle name="Calculation 2 7 2 2 5 3 2" xfId="26937" xr:uid="{00000000-0005-0000-0000-00001C0E0000}"/>
    <cellStyle name="Calculation 2 7 2 2 5 3 3" xfId="37782" xr:uid="{00000000-0005-0000-0000-00001D0E0000}"/>
    <cellStyle name="Calculation 2 7 2 2 5 3 4" xfId="16941" xr:uid="{00000000-0005-0000-0000-00001E0E0000}"/>
    <cellStyle name="Calculation 2 7 2 2 5 4" xfId="10624" xr:uid="{00000000-0005-0000-0000-00001F0E0000}"/>
    <cellStyle name="Calculation 2 7 2 2 5 4 2" xfId="29596" xr:uid="{00000000-0005-0000-0000-0000200E0000}"/>
    <cellStyle name="Calculation 2 7 2 2 5 4 3" xfId="40441" xr:uid="{00000000-0005-0000-0000-0000210E0000}"/>
    <cellStyle name="Calculation 2 7 2 2 5 4 4" xfId="18845" xr:uid="{00000000-0005-0000-0000-0000220E0000}"/>
    <cellStyle name="Calculation 2 7 2 2 5 5" xfId="21420" xr:uid="{00000000-0005-0000-0000-0000230E0000}"/>
    <cellStyle name="Calculation 2 7 2 2 5 6" xfId="32265" xr:uid="{00000000-0005-0000-0000-0000240E0000}"/>
    <cellStyle name="Calculation 2 7 2 2 5 7" xfId="12991" xr:uid="{00000000-0005-0000-0000-0000250E0000}"/>
    <cellStyle name="Calculation 2 7 2 2 6" xfId="2828" xr:uid="{00000000-0005-0000-0000-0000260E0000}"/>
    <cellStyle name="Calculation 2 7 2 2 6 2" xfId="5679" xr:uid="{00000000-0005-0000-0000-0000270E0000}"/>
    <cellStyle name="Calculation 2 7 2 2 6 2 2" xfId="24651" xr:uid="{00000000-0005-0000-0000-0000280E0000}"/>
    <cellStyle name="Calculation 2 7 2 2 6 2 3" xfId="35496" xr:uid="{00000000-0005-0000-0000-0000290E0000}"/>
    <cellStyle name="Calculation 2 7 2 2 6 2 4" xfId="15304" xr:uid="{00000000-0005-0000-0000-00002A0E0000}"/>
    <cellStyle name="Calculation 2 7 2 2 6 3" xfId="8350" xr:uid="{00000000-0005-0000-0000-00002B0E0000}"/>
    <cellStyle name="Calculation 2 7 2 2 6 3 2" xfId="27322" xr:uid="{00000000-0005-0000-0000-00002C0E0000}"/>
    <cellStyle name="Calculation 2 7 2 2 6 3 3" xfId="38167" xr:uid="{00000000-0005-0000-0000-00002D0E0000}"/>
    <cellStyle name="Calculation 2 7 2 2 6 3 4" xfId="17217" xr:uid="{00000000-0005-0000-0000-00002E0E0000}"/>
    <cellStyle name="Calculation 2 7 2 2 6 4" xfId="11009" xr:uid="{00000000-0005-0000-0000-00002F0E0000}"/>
    <cellStyle name="Calculation 2 7 2 2 6 4 2" xfId="29981" xr:uid="{00000000-0005-0000-0000-0000300E0000}"/>
    <cellStyle name="Calculation 2 7 2 2 6 4 3" xfId="40826" xr:uid="{00000000-0005-0000-0000-0000310E0000}"/>
    <cellStyle name="Calculation 2 7 2 2 6 4 4" xfId="19121" xr:uid="{00000000-0005-0000-0000-0000320E0000}"/>
    <cellStyle name="Calculation 2 7 2 2 6 5" xfId="21805" xr:uid="{00000000-0005-0000-0000-0000330E0000}"/>
    <cellStyle name="Calculation 2 7 2 2 6 6" xfId="32650" xr:uid="{00000000-0005-0000-0000-0000340E0000}"/>
    <cellStyle name="Calculation 2 7 2 2 6 7" xfId="13267" xr:uid="{00000000-0005-0000-0000-0000350E0000}"/>
    <cellStyle name="Calculation 2 7 2 2 7" xfId="3517" xr:uid="{00000000-0005-0000-0000-0000360E0000}"/>
    <cellStyle name="Calculation 2 7 2 2 7 2" xfId="22489" xr:uid="{00000000-0005-0000-0000-0000370E0000}"/>
    <cellStyle name="Calculation 2 7 2 2 7 3" xfId="33334" xr:uid="{00000000-0005-0000-0000-0000380E0000}"/>
    <cellStyle name="Calculation 2 7 2 2 7 4" xfId="13748" xr:uid="{00000000-0005-0000-0000-0000390E0000}"/>
    <cellStyle name="Calculation 2 7 2 2 8" xfId="6192" xr:uid="{00000000-0005-0000-0000-00003A0E0000}"/>
    <cellStyle name="Calculation 2 7 2 2 8 2" xfId="25164" xr:uid="{00000000-0005-0000-0000-00003B0E0000}"/>
    <cellStyle name="Calculation 2 7 2 2 8 3" xfId="36009" xr:uid="{00000000-0005-0000-0000-00003C0E0000}"/>
    <cellStyle name="Calculation 2 7 2 2 8 4" xfId="15664" xr:uid="{00000000-0005-0000-0000-00003D0E0000}"/>
    <cellStyle name="Calculation 2 7 2 2 9" xfId="8851" xr:uid="{00000000-0005-0000-0000-00003E0E0000}"/>
    <cellStyle name="Calculation 2 7 2 2 9 2" xfId="27823" xr:uid="{00000000-0005-0000-0000-00003F0E0000}"/>
    <cellStyle name="Calculation 2 7 2 2 9 3" xfId="38668" xr:uid="{00000000-0005-0000-0000-0000400E0000}"/>
    <cellStyle name="Calculation 2 7 2 2 9 4" xfId="17568" xr:uid="{00000000-0005-0000-0000-0000410E0000}"/>
    <cellStyle name="Calculation 2 7 2 3" xfId="640" xr:uid="{00000000-0005-0000-0000-0000420E0000}"/>
    <cellStyle name="Calculation 2 7 2 3 10" xfId="19636" xr:uid="{00000000-0005-0000-0000-0000430E0000}"/>
    <cellStyle name="Calculation 2 7 2 3 11" xfId="30481" xr:uid="{00000000-0005-0000-0000-0000440E0000}"/>
    <cellStyle name="Calculation 2 7 2 3 12" xfId="11692" xr:uid="{00000000-0005-0000-0000-0000450E0000}"/>
    <cellStyle name="Calculation 2 7 2 3 2" xfId="1235" xr:uid="{00000000-0005-0000-0000-0000460E0000}"/>
    <cellStyle name="Calculation 2 7 2 3 2 2" xfId="4088" xr:uid="{00000000-0005-0000-0000-0000470E0000}"/>
    <cellStyle name="Calculation 2 7 2 3 2 2 2" xfId="23060" xr:uid="{00000000-0005-0000-0000-0000480E0000}"/>
    <cellStyle name="Calculation 2 7 2 3 2 2 3" xfId="33905" xr:uid="{00000000-0005-0000-0000-0000490E0000}"/>
    <cellStyle name="Calculation 2 7 2 3 2 2 4" xfId="14161" xr:uid="{00000000-0005-0000-0000-00004A0E0000}"/>
    <cellStyle name="Calculation 2 7 2 3 2 3" xfId="6761" xr:uid="{00000000-0005-0000-0000-00004B0E0000}"/>
    <cellStyle name="Calculation 2 7 2 3 2 3 2" xfId="25733" xr:uid="{00000000-0005-0000-0000-00004C0E0000}"/>
    <cellStyle name="Calculation 2 7 2 3 2 3 3" xfId="36578" xr:uid="{00000000-0005-0000-0000-00004D0E0000}"/>
    <cellStyle name="Calculation 2 7 2 3 2 3 4" xfId="16076" xr:uid="{00000000-0005-0000-0000-00004E0E0000}"/>
    <cellStyle name="Calculation 2 7 2 3 2 4" xfId="9420" xr:uid="{00000000-0005-0000-0000-00004F0E0000}"/>
    <cellStyle name="Calculation 2 7 2 3 2 4 2" xfId="28392" xr:uid="{00000000-0005-0000-0000-0000500E0000}"/>
    <cellStyle name="Calculation 2 7 2 3 2 4 3" xfId="39237" xr:uid="{00000000-0005-0000-0000-0000510E0000}"/>
    <cellStyle name="Calculation 2 7 2 3 2 4 4" xfId="17980" xr:uid="{00000000-0005-0000-0000-0000520E0000}"/>
    <cellStyle name="Calculation 2 7 2 3 2 5" xfId="20216" xr:uid="{00000000-0005-0000-0000-0000530E0000}"/>
    <cellStyle name="Calculation 2 7 2 3 2 6" xfId="31061" xr:uid="{00000000-0005-0000-0000-0000540E0000}"/>
    <cellStyle name="Calculation 2 7 2 3 2 7" xfId="12126" xr:uid="{00000000-0005-0000-0000-0000550E0000}"/>
    <cellStyle name="Calculation 2 7 2 3 3" xfId="1634" xr:uid="{00000000-0005-0000-0000-0000560E0000}"/>
    <cellStyle name="Calculation 2 7 2 3 3 2" xfId="4487" xr:uid="{00000000-0005-0000-0000-0000570E0000}"/>
    <cellStyle name="Calculation 2 7 2 3 3 2 2" xfId="23459" xr:uid="{00000000-0005-0000-0000-0000580E0000}"/>
    <cellStyle name="Calculation 2 7 2 3 3 2 3" xfId="34304" xr:uid="{00000000-0005-0000-0000-0000590E0000}"/>
    <cellStyle name="Calculation 2 7 2 3 3 2 4" xfId="14449" xr:uid="{00000000-0005-0000-0000-00005A0E0000}"/>
    <cellStyle name="Calculation 2 7 2 3 3 3" xfId="7159" xr:uid="{00000000-0005-0000-0000-00005B0E0000}"/>
    <cellStyle name="Calculation 2 7 2 3 3 3 2" xfId="26131" xr:uid="{00000000-0005-0000-0000-00005C0E0000}"/>
    <cellStyle name="Calculation 2 7 2 3 3 3 3" xfId="36976" xr:uid="{00000000-0005-0000-0000-00005D0E0000}"/>
    <cellStyle name="Calculation 2 7 2 3 3 3 4" xfId="16363" xr:uid="{00000000-0005-0000-0000-00005E0E0000}"/>
    <cellStyle name="Calculation 2 7 2 3 3 4" xfId="9818" xr:uid="{00000000-0005-0000-0000-00005F0E0000}"/>
    <cellStyle name="Calculation 2 7 2 3 3 4 2" xfId="28790" xr:uid="{00000000-0005-0000-0000-0000600E0000}"/>
    <cellStyle name="Calculation 2 7 2 3 3 4 3" xfId="39635" xr:uid="{00000000-0005-0000-0000-0000610E0000}"/>
    <cellStyle name="Calculation 2 7 2 3 3 4 4" xfId="18267" xr:uid="{00000000-0005-0000-0000-0000620E0000}"/>
    <cellStyle name="Calculation 2 7 2 3 3 5" xfId="20614" xr:uid="{00000000-0005-0000-0000-0000630E0000}"/>
    <cellStyle name="Calculation 2 7 2 3 3 6" xfId="31459" xr:uid="{00000000-0005-0000-0000-0000640E0000}"/>
    <cellStyle name="Calculation 2 7 2 3 3 7" xfId="12413" xr:uid="{00000000-0005-0000-0000-0000650E0000}"/>
    <cellStyle name="Calculation 2 7 2 3 4" xfId="2038" xr:uid="{00000000-0005-0000-0000-0000660E0000}"/>
    <cellStyle name="Calculation 2 7 2 3 4 2" xfId="4891" xr:uid="{00000000-0005-0000-0000-0000670E0000}"/>
    <cellStyle name="Calculation 2 7 2 3 4 2 2" xfId="23863" xr:uid="{00000000-0005-0000-0000-0000680E0000}"/>
    <cellStyle name="Calculation 2 7 2 3 4 2 3" xfId="34708" xr:uid="{00000000-0005-0000-0000-0000690E0000}"/>
    <cellStyle name="Calculation 2 7 2 3 4 2 4" xfId="14736" xr:uid="{00000000-0005-0000-0000-00006A0E0000}"/>
    <cellStyle name="Calculation 2 7 2 3 4 3" xfId="7563" xr:uid="{00000000-0005-0000-0000-00006B0E0000}"/>
    <cellStyle name="Calculation 2 7 2 3 4 3 2" xfId="26535" xr:uid="{00000000-0005-0000-0000-00006C0E0000}"/>
    <cellStyle name="Calculation 2 7 2 3 4 3 3" xfId="37380" xr:uid="{00000000-0005-0000-0000-00006D0E0000}"/>
    <cellStyle name="Calculation 2 7 2 3 4 3 4" xfId="16650" xr:uid="{00000000-0005-0000-0000-00006E0E0000}"/>
    <cellStyle name="Calculation 2 7 2 3 4 4" xfId="10222" xr:uid="{00000000-0005-0000-0000-00006F0E0000}"/>
    <cellStyle name="Calculation 2 7 2 3 4 4 2" xfId="29194" xr:uid="{00000000-0005-0000-0000-0000700E0000}"/>
    <cellStyle name="Calculation 2 7 2 3 4 4 3" xfId="40039" xr:uid="{00000000-0005-0000-0000-0000710E0000}"/>
    <cellStyle name="Calculation 2 7 2 3 4 4 4" xfId="18554" xr:uid="{00000000-0005-0000-0000-0000720E0000}"/>
    <cellStyle name="Calculation 2 7 2 3 4 5" xfId="21018" xr:uid="{00000000-0005-0000-0000-0000730E0000}"/>
    <cellStyle name="Calculation 2 7 2 3 4 6" xfId="31863" xr:uid="{00000000-0005-0000-0000-0000740E0000}"/>
    <cellStyle name="Calculation 2 7 2 3 4 7" xfId="12700" xr:uid="{00000000-0005-0000-0000-0000750E0000}"/>
    <cellStyle name="Calculation 2 7 2 3 5" xfId="2429" xr:uid="{00000000-0005-0000-0000-0000760E0000}"/>
    <cellStyle name="Calculation 2 7 2 3 5 2" xfId="5282" xr:uid="{00000000-0005-0000-0000-0000770E0000}"/>
    <cellStyle name="Calculation 2 7 2 3 5 2 2" xfId="24254" xr:uid="{00000000-0005-0000-0000-0000780E0000}"/>
    <cellStyle name="Calculation 2 7 2 3 5 2 3" xfId="35099" xr:uid="{00000000-0005-0000-0000-0000790E0000}"/>
    <cellStyle name="Calculation 2 7 2 3 5 2 4" xfId="15016" xr:uid="{00000000-0005-0000-0000-00007A0E0000}"/>
    <cellStyle name="Calculation 2 7 2 3 5 3" xfId="7953" xr:uid="{00000000-0005-0000-0000-00007B0E0000}"/>
    <cellStyle name="Calculation 2 7 2 3 5 3 2" xfId="26925" xr:uid="{00000000-0005-0000-0000-00007C0E0000}"/>
    <cellStyle name="Calculation 2 7 2 3 5 3 3" xfId="37770" xr:uid="{00000000-0005-0000-0000-00007D0E0000}"/>
    <cellStyle name="Calculation 2 7 2 3 5 3 4" xfId="16929" xr:uid="{00000000-0005-0000-0000-00007E0E0000}"/>
    <cellStyle name="Calculation 2 7 2 3 5 4" xfId="10612" xr:uid="{00000000-0005-0000-0000-00007F0E0000}"/>
    <cellStyle name="Calculation 2 7 2 3 5 4 2" xfId="29584" xr:uid="{00000000-0005-0000-0000-0000800E0000}"/>
    <cellStyle name="Calculation 2 7 2 3 5 4 3" xfId="40429" xr:uid="{00000000-0005-0000-0000-0000810E0000}"/>
    <cellStyle name="Calculation 2 7 2 3 5 4 4" xfId="18833" xr:uid="{00000000-0005-0000-0000-0000820E0000}"/>
    <cellStyle name="Calculation 2 7 2 3 5 5" xfId="21408" xr:uid="{00000000-0005-0000-0000-0000830E0000}"/>
    <cellStyle name="Calculation 2 7 2 3 5 6" xfId="32253" xr:uid="{00000000-0005-0000-0000-0000840E0000}"/>
    <cellStyle name="Calculation 2 7 2 3 5 7" xfId="12979" xr:uid="{00000000-0005-0000-0000-0000850E0000}"/>
    <cellStyle name="Calculation 2 7 2 3 6" xfId="2816" xr:uid="{00000000-0005-0000-0000-0000860E0000}"/>
    <cellStyle name="Calculation 2 7 2 3 6 2" xfId="5668" xr:uid="{00000000-0005-0000-0000-0000870E0000}"/>
    <cellStyle name="Calculation 2 7 2 3 6 2 2" xfId="24640" xr:uid="{00000000-0005-0000-0000-0000880E0000}"/>
    <cellStyle name="Calculation 2 7 2 3 6 2 3" xfId="35485" xr:uid="{00000000-0005-0000-0000-0000890E0000}"/>
    <cellStyle name="Calculation 2 7 2 3 6 2 4" xfId="15293" xr:uid="{00000000-0005-0000-0000-00008A0E0000}"/>
    <cellStyle name="Calculation 2 7 2 3 6 3" xfId="8339" xr:uid="{00000000-0005-0000-0000-00008B0E0000}"/>
    <cellStyle name="Calculation 2 7 2 3 6 3 2" xfId="27311" xr:uid="{00000000-0005-0000-0000-00008C0E0000}"/>
    <cellStyle name="Calculation 2 7 2 3 6 3 3" xfId="38156" xr:uid="{00000000-0005-0000-0000-00008D0E0000}"/>
    <cellStyle name="Calculation 2 7 2 3 6 3 4" xfId="17206" xr:uid="{00000000-0005-0000-0000-00008E0E0000}"/>
    <cellStyle name="Calculation 2 7 2 3 6 4" xfId="10998" xr:uid="{00000000-0005-0000-0000-00008F0E0000}"/>
    <cellStyle name="Calculation 2 7 2 3 6 4 2" xfId="29970" xr:uid="{00000000-0005-0000-0000-0000900E0000}"/>
    <cellStyle name="Calculation 2 7 2 3 6 4 3" xfId="40815" xr:uid="{00000000-0005-0000-0000-0000910E0000}"/>
    <cellStyle name="Calculation 2 7 2 3 6 4 4" xfId="19110" xr:uid="{00000000-0005-0000-0000-0000920E0000}"/>
    <cellStyle name="Calculation 2 7 2 3 6 5" xfId="21794" xr:uid="{00000000-0005-0000-0000-0000930E0000}"/>
    <cellStyle name="Calculation 2 7 2 3 6 6" xfId="32639" xr:uid="{00000000-0005-0000-0000-0000940E0000}"/>
    <cellStyle name="Calculation 2 7 2 3 6 7" xfId="13256" xr:uid="{00000000-0005-0000-0000-0000950E0000}"/>
    <cellStyle name="Calculation 2 7 2 3 7" xfId="3506" xr:uid="{00000000-0005-0000-0000-0000960E0000}"/>
    <cellStyle name="Calculation 2 7 2 3 7 2" xfId="22478" xr:uid="{00000000-0005-0000-0000-0000970E0000}"/>
    <cellStyle name="Calculation 2 7 2 3 7 3" xfId="33323" xr:uid="{00000000-0005-0000-0000-0000980E0000}"/>
    <cellStyle name="Calculation 2 7 2 3 7 4" xfId="13737" xr:uid="{00000000-0005-0000-0000-0000990E0000}"/>
    <cellStyle name="Calculation 2 7 2 3 8" xfId="6181" xr:uid="{00000000-0005-0000-0000-00009A0E0000}"/>
    <cellStyle name="Calculation 2 7 2 3 8 2" xfId="25153" xr:uid="{00000000-0005-0000-0000-00009B0E0000}"/>
    <cellStyle name="Calculation 2 7 2 3 8 3" xfId="35998" xr:uid="{00000000-0005-0000-0000-00009C0E0000}"/>
    <cellStyle name="Calculation 2 7 2 3 8 4" xfId="15653" xr:uid="{00000000-0005-0000-0000-00009D0E0000}"/>
    <cellStyle name="Calculation 2 7 2 3 9" xfId="8840" xr:uid="{00000000-0005-0000-0000-00009E0E0000}"/>
    <cellStyle name="Calculation 2 7 2 3 9 2" xfId="27812" xr:uid="{00000000-0005-0000-0000-00009F0E0000}"/>
    <cellStyle name="Calculation 2 7 2 3 9 3" xfId="38657" xr:uid="{00000000-0005-0000-0000-0000A00E0000}"/>
    <cellStyle name="Calculation 2 7 2 3 9 4" xfId="17557" xr:uid="{00000000-0005-0000-0000-0000A10E0000}"/>
    <cellStyle name="Calculation 2 7 2 4" xfId="638" xr:uid="{00000000-0005-0000-0000-0000A20E0000}"/>
    <cellStyle name="Calculation 2 7 2 4 10" xfId="19634" xr:uid="{00000000-0005-0000-0000-0000A30E0000}"/>
    <cellStyle name="Calculation 2 7 2 4 11" xfId="30479" xr:uid="{00000000-0005-0000-0000-0000A40E0000}"/>
    <cellStyle name="Calculation 2 7 2 4 12" xfId="11690" xr:uid="{00000000-0005-0000-0000-0000A50E0000}"/>
    <cellStyle name="Calculation 2 7 2 4 2" xfId="1233" xr:uid="{00000000-0005-0000-0000-0000A60E0000}"/>
    <cellStyle name="Calculation 2 7 2 4 2 2" xfId="4086" xr:uid="{00000000-0005-0000-0000-0000A70E0000}"/>
    <cellStyle name="Calculation 2 7 2 4 2 2 2" xfId="23058" xr:uid="{00000000-0005-0000-0000-0000A80E0000}"/>
    <cellStyle name="Calculation 2 7 2 4 2 2 3" xfId="33903" xr:uid="{00000000-0005-0000-0000-0000A90E0000}"/>
    <cellStyle name="Calculation 2 7 2 4 2 2 4" xfId="14159" xr:uid="{00000000-0005-0000-0000-0000AA0E0000}"/>
    <cellStyle name="Calculation 2 7 2 4 2 3" xfId="6759" xr:uid="{00000000-0005-0000-0000-0000AB0E0000}"/>
    <cellStyle name="Calculation 2 7 2 4 2 3 2" xfId="25731" xr:uid="{00000000-0005-0000-0000-0000AC0E0000}"/>
    <cellStyle name="Calculation 2 7 2 4 2 3 3" xfId="36576" xr:uid="{00000000-0005-0000-0000-0000AD0E0000}"/>
    <cellStyle name="Calculation 2 7 2 4 2 3 4" xfId="16074" xr:uid="{00000000-0005-0000-0000-0000AE0E0000}"/>
    <cellStyle name="Calculation 2 7 2 4 2 4" xfId="9418" xr:uid="{00000000-0005-0000-0000-0000AF0E0000}"/>
    <cellStyle name="Calculation 2 7 2 4 2 4 2" xfId="28390" xr:uid="{00000000-0005-0000-0000-0000B00E0000}"/>
    <cellStyle name="Calculation 2 7 2 4 2 4 3" xfId="39235" xr:uid="{00000000-0005-0000-0000-0000B10E0000}"/>
    <cellStyle name="Calculation 2 7 2 4 2 4 4" xfId="17978" xr:uid="{00000000-0005-0000-0000-0000B20E0000}"/>
    <cellStyle name="Calculation 2 7 2 4 2 5" xfId="20214" xr:uid="{00000000-0005-0000-0000-0000B30E0000}"/>
    <cellStyle name="Calculation 2 7 2 4 2 6" xfId="31059" xr:uid="{00000000-0005-0000-0000-0000B40E0000}"/>
    <cellStyle name="Calculation 2 7 2 4 2 7" xfId="12124" xr:uid="{00000000-0005-0000-0000-0000B50E0000}"/>
    <cellStyle name="Calculation 2 7 2 4 3" xfId="1632" xr:uid="{00000000-0005-0000-0000-0000B60E0000}"/>
    <cellStyle name="Calculation 2 7 2 4 3 2" xfId="4485" xr:uid="{00000000-0005-0000-0000-0000B70E0000}"/>
    <cellStyle name="Calculation 2 7 2 4 3 2 2" xfId="23457" xr:uid="{00000000-0005-0000-0000-0000B80E0000}"/>
    <cellStyle name="Calculation 2 7 2 4 3 2 3" xfId="34302" xr:uid="{00000000-0005-0000-0000-0000B90E0000}"/>
    <cellStyle name="Calculation 2 7 2 4 3 2 4" xfId="14447" xr:uid="{00000000-0005-0000-0000-0000BA0E0000}"/>
    <cellStyle name="Calculation 2 7 2 4 3 3" xfId="7157" xr:uid="{00000000-0005-0000-0000-0000BB0E0000}"/>
    <cellStyle name="Calculation 2 7 2 4 3 3 2" xfId="26129" xr:uid="{00000000-0005-0000-0000-0000BC0E0000}"/>
    <cellStyle name="Calculation 2 7 2 4 3 3 3" xfId="36974" xr:uid="{00000000-0005-0000-0000-0000BD0E0000}"/>
    <cellStyle name="Calculation 2 7 2 4 3 3 4" xfId="16361" xr:uid="{00000000-0005-0000-0000-0000BE0E0000}"/>
    <cellStyle name="Calculation 2 7 2 4 3 4" xfId="9816" xr:uid="{00000000-0005-0000-0000-0000BF0E0000}"/>
    <cellStyle name="Calculation 2 7 2 4 3 4 2" xfId="28788" xr:uid="{00000000-0005-0000-0000-0000C00E0000}"/>
    <cellStyle name="Calculation 2 7 2 4 3 4 3" xfId="39633" xr:uid="{00000000-0005-0000-0000-0000C10E0000}"/>
    <cellStyle name="Calculation 2 7 2 4 3 4 4" xfId="18265" xr:uid="{00000000-0005-0000-0000-0000C20E0000}"/>
    <cellStyle name="Calculation 2 7 2 4 3 5" xfId="20612" xr:uid="{00000000-0005-0000-0000-0000C30E0000}"/>
    <cellStyle name="Calculation 2 7 2 4 3 6" xfId="31457" xr:uid="{00000000-0005-0000-0000-0000C40E0000}"/>
    <cellStyle name="Calculation 2 7 2 4 3 7" xfId="12411" xr:uid="{00000000-0005-0000-0000-0000C50E0000}"/>
    <cellStyle name="Calculation 2 7 2 4 4" xfId="2036" xr:uid="{00000000-0005-0000-0000-0000C60E0000}"/>
    <cellStyle name="Calculation 2 7 2 4 4 2" xfId="4889" xr:uid="{00000000-0005-0000-0000-0000C70E0000}"/>
    <cellStyle name="Calculation 2 7 2 4 4 2 2" xfId="23861" xr:uid="{00000000-0005-0000-0000-0000C80E0000}"/>
    <cellStyle name="Calculation 2 7 2 4 4 2 3" xfId="34706" xr:uid="{00000000-0005-0000-0000-0000C90E0000}"/>
    <cellStyle name="Calculation 2 7 2 4 4 2 4" xfId="14734" xr:uid="{00000000-0005-0000-0000-0000CA0E0000}"/>
    <cellStyle name="Calculation 2 7 2 4 4 3" xfId="7561" xr:uid="{00000000-0005-0000-0000-0000CB0E0000}"/>
    <cellStyle name="Calculation 2 7 2 4 4 3 2" xfId="26533" xr:uid="{00000000-0005-0000-0000-0000CC0E0000}"/>
    <cellStyle name="Calculation 2 7 2 4 4 3 3" xfId="37378" xr:uid="{00000000-0005-0000-0000-0000CD0E0000}"/>
    <cellStyle name="Calculation 2 7 2 4 4 3 4" xfId="16648" xr:uid="{00000000-0005-0000-0000-0000CE0E0000}"/>
    <cellStyle name="Calculation 2 7 2 4 4 4" xfId="10220" xr:uid="{00000000-0005-0000-0000-0000CF0E0000}"/>
    <cellStyle name="Calculation 2 7 2 4 4 4 2" xfId="29192" xr:uid="{00000000-0005-0000-0000-0000D00E0000}"/>
    <cellStyle name="Calculation 2 7 2 4 4 4 3" xfId="40037" xr:uid="{00000000-0005-0000-0000-0000D10E0000}"/>
    <cellStyle name="Calculation 2 7 2 4 4 4 4" xfId="18552" xr:uid="{00000000-0005-0000-0000-0000D20E0000}"/>
    <cellStyle name="Calculation 2 7 2 4 4 5" xfId="21016" xr:uid="{00000000-0005-0000-0000-0000D30E0000}"/>
    <cellStyle name="Calculation 2 7 2 4 4 6" xfId="31861" xr:uid="{00000000-0005-0000-0000-0000D40E0000}"/>
    <cellStyle name="Calculation 2 7 2 4 4 7" xfId="12698" xr:uid="{00000000-0005-0000-0000-0000D50E0000}"/>
    <cellStyle name="Calculation 2 7 2 4 5" xfId="2427" xr:uid="{00000000-0005-0000-0000-0000D60E0000}"/>
    <cellStyle name="Calculation 2 7 2 4 5 2" xfId="5280" xr:uid="{00000000-0005-0000-0000-0000D70E0000}"/>
    <cellStyle name="Calculation 2 7 2 4 5 2 2" xfId="24252" xr:uid="{00000000-0005-0000-0000-0000D80E0000}"/>
    <cellStyle name="Calculation 2 7 2 4 5 2 3" xfId="35097" xr:uid="{00000000-0005-0000-0000-0000D90E0000}"/>
    <cellStyle name="Calculation 2 7 2 4 5 2 4" xfId="15014" xr:uid="{00000000-0005-0000-0000-0000DA0E0000}"/>
    <cellStyle name="Calculation 2 7 2 4 5 3" xfId="7951" xr:uid="{00000000-0005-0000-0000-0000DB0E0000}"/>
    <cellStyle name="Calculation 2 7 2 4 5 3 2" xfId="26923" xr:uid="{00000000-0005-0000-0000-0000DC0E0000}"/>
    <cellStyle name="Calculation 2 7 2 4 5 3 3" xfId="37768" xr:uid="{00000000-0005-0000-0000-0000DD0E0000}"/>
    <cellStyle name="Calculation 2 7 2 4 5 3 4" xfId="16927" xr:uid="{00000000-0005-0000-0000-0000DE0E0000}"/>
    <cellStyle name="Calculation 2 7 2 4 5 4" xfId="10610" xr:uid="{00000000-0005-0000-0000-0000DF0E0000}"/>
    <cellStyle name="Calculation 2 7 2 4 5 4 2" xfId="29582" xr:uid="{00000000-0005-0000-0000-0000E00E0000}"/>
    <cellStyle name="Calculation 2 7 2 4 5 4 3" xfId="40427" xr:uid="{00000000-0005-0000-0000-0000E10E0000}"/>
    <cellStyle name="Calculation 2 7 2 4 5 4 4" xfId="18831" xr:uid="{00000000-0005-0000-0000-0000E20E0000}"/>
    <cellStyle name="Calculation 2 7 2 4 5 5" xfId="21406" xr:uid="{00000000-0005-0000-0000-0000E30E0000}"/>
    <cellStyle name="Calculation 2 7 2 4 5 6" xfId="32251" xr:uid="{00000000-0005-0000-0000-0000E40E0000}"/>
    <cellStyle name="Calculation 2 7 2 4 5 7" xfId="12977" xr:uid="{00000000-0005-0000-0000-0000E50E0000}"/>
    <cellStyle name="Calculation 2 7 2 4 6" xfId="2814" xr:uid="{00000000-0005-0000-0000-0000E60E0000}"/>
    <cellStyle name="Calculation 2 7 2 4 6 2" xfId="5666" xr:uid="{00000000-0005-0000-0000-0000E70E0000}"/>
    <cellStyle name="Calculation 2 7 2 4 6 2 2" xfId="24638" xr:uid="{00000000-0005-0000-0000-0000E80E0000}"/>
    <cellStyle name="Calculation 2 7 2 4 6 2 3" xfId="35483" xr:uid="{00000000-0005-0000-0000-0000E90E0000}"/>
    <cellStyle name="Calculation 2 7 2 4 6 2 4" xfId="15291" xr:uid="{00000000-0005-0000-0000-0000EA0E0000}"/>
    <cellStyle name="Calculation 2 7 2 4 6 3" xfId="8337" xr:uid="{00000000-0005-0000-0000-0000EB0E0000}"/>
    <cellStyle name="Calculation 2 7 2 4 6 3 2" xfId="27309" xr:uid="{00000000-0005-0000-0000-0000EC0E0000}"/>
    <cellStyle name="Calculation 2 7 2 4 6 3 3" xfId="38154" xr:uid="{00000000-0005-0000-0000-0000ED0E0000}"/>
    <cellStyle name="Calculation 2 7 2 4 6 3 4" xfId="17204" xr:uid="{00000000-0005-0000-0000-0000EE0E0000}"/>
    <cellStyle name="Calculation 2 7 2 4 6 4" xfId="10996" xr:uid="{00000000-0005-0000-0000-0000EF0E0000}"/>
    <cellStyle name="Calculation 2 7 2 4 6 4 2" xfId="29968" xr:uid="{00000000-0005-0000-0000-0000F00E0000}"/>
    <cellStyle name="Calculation 2 7 2 4 6 4 3" xfId="40813" xr:uid="{00000000-0005-0000-0000-0000F10E0000}"/>
    <cellStyle name="Calculation 2 7 2 4 6 4 4" xfId="19108" xr:uid="{00000000-0005-0000-0000-0000F20E0000}"/>
    <cellStyle name="Calculation 2 7 2 4 6 5" xfId="21792" xr:uid="{00000000-0005-0000-0000-0000F30E0000}"/>
    <cellStyle name="Calculation 2 7 2 4 6 6" xfId="32637" xr:uid="{00000000-0005-0000-0000-0000F40E0000}"/>
    <cellStyle name="Calculation 2 7 2 4 6 7" xfId="13254" xr:uid="{00000000-0005-0000-0000-0000F50E0000}"/>
    <cellStyle name="Calculation 2 7 2 4 7" xfId="3504" xr:uid="{00000000-0005-0000-0000-0000F60E0000}"/>
    <cellStyle name="Calculation 2 7 2 4 7 2" xfId="22476" xr:uid="{00000000-0005-0000-0000-0000F70E0000}"/>
    <cellStyle name="Calculation 2 7 2 4 7 3" xfId="33321" xr:uid="{00000000-0005-0000-0000-0000F80E0000}"/>
    <cellStyle name="Calculation 2 7 2 4 7 4" xfId="13735" xr:uid="{00000000-0005-0000-0000-0000F90E0000}"/>
    <cellStyle name="Calculation 2 7 2 4 8" xfId="6179" xr:uid="{00000000-0005-0000-0000-0000FA0E0000}"/>
    <cellStyle name="Calculation 2 7 2 4 8 2" xfId="25151" xr:uid="{00000000-0005-0000-0000-0000FB0E0000}"/>
    <cellStyle name="Calculation 2 7 2 4 8 3" xfId="35996" xr:uid="{00000000-0005-0000-0000-0000FC0E0000}"/>
    <cellStyle name="Calculation 2 7 2 4 8 4" xfId="15651" xr:uid="{00000000-0005-0000-0000-0000FD0E0000}"/>
    <cellStyle name="Calculation 2 7 2 4 9" xfId="8838" xr:uid="{00000000-0005-0000-0000-0000FE0E0000}"/>
    <cellStyle name="Calculation 2 7 2 4 9 2" xfId="27810" xr:uid="{00000000-0005-0000-0000-0000FF0E0000}"/>
    <cellStyle name="Calculation 2 7 2 4 9 3" xfId="38655" xr:uid="{00000000-0005-0000-0000-0000000F0000}"/>
    <cellStyle name="Calculation 2 7 2 4 9 4" xfId="17555" xr:uid="{00000000-0005-0000-0000-0000010F0000}"/>
    <cellStyle name="Calculation 2 7 2 5" xfId="609" xr:uid="{00000000-0005-0000-0000-0000020F0000}"/>
    <cellStyle name="Calculation 2 7 2 5 10" xfId="19616" xr:uid="{00000000-0005-0000-0000-0000030F0000}"/>
    <cellStyle name="Calculation 2 7 2 5 11" xfId="30461" xr:uid="{00000000-0005-0000-0000-0000040F0000}"/>
    <cellStyle name="Calculation 2 7 2 5 12" xfId="11671" xr:uid="{00000000-0005-0000-0000-0000050F0000}"/>
    <cellStyle name="Calculation 2 7 2 5 2" xfId="1213" xr:uid="{00000000-0005-0000-0000-0000060F0000}"/>
    <cellStyle name="Calculation 2 7 2 5 2 2" xfId="4066" xr:uid="{00000000-0005-0000-0000-0000070F0000}"/>
    <cellStyle name="Calculation 2 7 2 5 2 2 2" xfId="23038" xr:uid="{00000000-0005-0000-0000-0000080F0000}"/>
    <cellStyle name="Calculation 2 7 2 5 2 2 3" xfId="33883" xr:uid="{00000000-0005-0000-0000-0000090F0000}"/>
    <cellStyle name="Calculation 2 7 2 5 2 2 4" xfId="14146" xr:uid="{00000000-0005-0000-0000-00000A0F0000}"/>
    <cellStyle name="Calculation 2 7 2 5 2 3" xfId="6739" xr:uid="{00000000-0005-0000-0000-00000B0F0000}"/>
    <cellStyle name="Calculation 2 7 2 5 2 3 2" xfId="25711" xr:uid="{00000000-0005-0000-0000-00000C0F0000}"/>
    <cellStyle name="Calculation 2 7 2 5 2 3 3" xfId="36556" xr:uid="{00000000-0005-0000-0000-00000D0F0000}"/>
    <cellStyle name="Calculation 2 7 2 5 2 3 4" xfId="16061" xr:uid="{00000000-0005-0000-0000-00000E0F0000}"/>
    <cellStyle name="Calculation 2 7 2 5 2 4" xfId="9398" xr:uid="{00000000-0005-0000-0000-00000F0F0000}"/>
    <cellStyle name="Calculation 2 7 2 5 2 4 2" xfId="28370" xr:uid="{00000000-0005-0000-0000-0000100F0000}"/>
    <cellStyle name="Calculation 2 7 2 5 2 4 3" xfId="39215" xr:uid="{00000000-0005-0000-0000-0000110F0000}"/>
    <cellStyle name="Calculation 2 7 2 5 2 4 4" xfId="17965" xr:uid="{00000000-0005-0000-0000-0000120F0000}"/>
    <cellStyle name="Calculation 2 7 2 5 2 5" xfId="20194" xr:uid="{00000000-0005-0000-0000-0000130F0000}"/>
    <cellStyle name="Calculation 2 7 2 5 2 6" xfId="31039" xr:uid="{00000000-0005-0000-0000-0000140F0000}"/>
    <cellStyle name="Calculation 2 7 2 5 2 7" xfId="12111" xr:uid="{00000000-0005-0000-0000-0000150F0000}"/>
    <cellStyle name="Calculation 2 7 2 5 3" xfId="1611" xr:uid="{00000000-0005-0000-0000-0000160F0000}"/>
    <cellStyle name="Calculation 2 7 2 5 3 2" xfId="4464" xr:uid="{00000000-0005-0000-0000-0000170F0000}"/>
    <cellStyle name="Calculation 2 7 2 5 3 2 2" xfId="23436" xr:uid="{00000000-0005-0000-0000-0000180F0000}"/>
    <cellStyle name="Calculation 2 7 2 5 3 2 3" xfId="34281" xr:uid="{00000000-0005-0000-0000-0000190F0000}"/>
    <cellStyle name="Calculation 2 7 2 5 3 2 4" xfId="14433" xr:uid="{00000000-0005-0000-0000-00001A0F0000}"/>
    <cellStyle name="Calculation 2 7 2 5 3 3" xfId="7136" xr:uid="{00000000-0005-0000-0000-00001B0F0000}"/>
    <cellStyle name="Calculation 2 7 2 5 3 3 2" xfId="26108" xr:uid="{00000000-0005-0000-0000-00001C0F0000}"/>
    <cellStyle name="Calculation 2 7 2 5 3 3 3" xfId="36953" xr:uid="{00000000-0005-0000-0000-00001D0F0000}"/>
    <cellStyle name="Calculation 2 7 2 5 3 3 4" xfId="16347" xr:uid="{00000000-0005-0000-0000-00001E0F0000}"/>
    <cellStyle name="Calculation 2 7 2 5 3 4" xfId="9795" xr:uid="{00000000-0005-0000-0000-00001F0F0000}"/>
    <cellStyle name="Calculation 2 7 2 5 3 4 2" xfId="28767" xr:uid="{00000000-0005-0000-0000-0000200F0000}"/>
    <cellStyle name="Calculation 2 7 2 5 3 4 3" xfId="39612" xr:uid="{00000000-0005-0000-0000-0000210F0000}"/>
    <cellStyle name="Calculation 2 7 2 5 3 4 4" xfId="18251" xr:uid="{00000000-0005-0000-0000-0000220F0000}"/>
    <cellStyle name="Calculation 2 7 2 5 3 5" xfId="20591" xr:uid="{00000000-0005-0000-0000-0000230F0000}"/>
    <cellStyle name="Calculation 2 7 2 5 3 6" xfId="31436" xr:uid="{00000000-0005-0000-0000-0000240F0000}"/>
    <cellStyle name="Calculation 2 7 2 5 3 7" xfId="12397" xr:uid="{00000000-0005-0000-0000-0000250F0000}"/>
    <cellStyle name="Calculation 2 7 2 5 4" xfId="2013" xr:uid="{00000000-0005-0000-0000-0000260F0000}"/>
    <cellStyle name="Calculation 2 7 2 5 4 2" xfId="4866" xr:uid="{00000000-0005-0000-0000-0000270F0000}"/>
    <cellStyle name="Calculation 2 7 2 5 4 2 2" xfId="23838" xr:uid="{00000000-0005-0000-0000-0000280F0000}"/>
    <cellStyle name="Calculation 2 7 2 5 4 2 3" xfId="34683" xr:uid="{00000000-0005-0000-0000-0000290F0000}"/>
    <cellStyle name="Calculation 2 7 2 5 4 2 4" xfId="14719" xr:uid="{00000000-0005-0000-0000-00002A0F0000}"/>
    <cellStyle name="Calculation 2 7 2 5 4 3" xfId="7538" xr:uid="{00000000-0005-0000-0000-00002B0F0000}"/>
    <cellStyle name="Calculation 2 7 2 5 4 3 2" xfId="26510" xr:uid="{00000000-0005-0000-0000-00002C0F0000}"/>
    <cellStyle name="Calculation 2 7 2 5 4 3 3" xfId="37355" xr:uid="{00000000-0005-0000-0000-00002D0F0000}"/>
    <cellStyle name="Calculation 2 7 2 5 4 3 4" xfId="16633" xr:uid="{00000000-0005-0000-0000-00002E0F0000}"/>
    <cellStyle name="Calculation 2 7 2 5 4 4" xfId="10197" xr:uid="{00000000-0005-0000-0000-00002F0F0000}"/>
    <cellStyle name="Calculation 2 7 2 5 4 4 2" xfId="29169" xr:uid="{00000000-0005-0000-0000-0000300F0000}"/>
    <cellStyle name="Calculation 2 7 2 5 4 4 3" xfId="40014" xr:uid="{00000000-0005-0000-0000-0000310F0000}"/>
    <cellStyle name="Calculation 2 7 2 5 4 4 4" xfId="18537" xr:uid="{00000000-0005-0000-0000-0000320F0000}"/>
    <cellStyle name="Calculation 2 7 2 5 4 5" xfId="20993" xr:uid="{00000000-0005-0000-0000-0000330F0000}"/>
    <cellStyle name="Calculation 2 7 2 5 4 6" xfId="31838" xr:uid="{00000000-0005-0000-0000-0000340F0000}"/>
    <cellStyle name="Calculation 2 7 2 5 4 7" xfId="12683" xr:uid="{00000000-0005-0000-0000-0000350F0000}"/>
    <cellStyle name="Calculation 2 7 2 5 5" xfId="2405" xr:uid="{00000000-0005-0000-0000-0000360F0000}"/>
    <cellStyle name="Calculation 2 7 2 5 5 2" xfId="5258" xr:uid="{00000000-0005-0000-0000-0000370F0000}"/>
    <cellStyle name="Calculation 2 7 2 5 5 2 2" xfId="24230" xr:uid="{00000000-0005-0000-0000-0000380F0000}"/>
    <cellStyle name="Calculation 2 7 2 5 5 2 3" xfId="35075" xr:uid="{00000000-0005-0000-0000-0000390F0000}"/>
    <cellStyle name="Calculation 2 7 2 5 5 2 4" xfId="15000" xr:uid="{00000000-0005-0000-0000-00003A0F0000}"/>
    <cellStyle name="Calculation 2 7 2 5 5 3" xfId="7929" xr:uid="{00000000-0005-0000-0000-00003B0F0000}"/>
    <cellStyle name="Calculation 2 7 2 5 5 3 2" xfId="26901" xr:uid="{00000000-0005-0000-0000-00003C0F0000}"/>
    <cellStyle name="Calculation 2 7 2 5 5 3 3" xfId="37746" xr:uid="{00000000-0005-0000-0000-00003D0F0000}"/>
    <cellStyle name="Calculation 2 7 2 5 5 3 4" xfId="16913" xr:uid="{00000000-0005-0000-0000-00003E0F0000}"/>
    <cellStyle name="Calculation 2 7 2 5 5 4" xfId="10588" xr:uid="{00000000-0005-0000-0000-00003F0F0000}"/>
    <cellStyle name="Calculation 2 7 2 5 5 4 2" xfId="29560" xr:uid="{00000000-0005-0000-0000-0000400F0000}"/>
    <cellStyle name="Calculation 2 7 2 5 5 4 3" xfId="40405" xr:uid="{00000000-0005-0000-0000-0000410F0000}"/>
    <cellStyle name="Calculation 2 7 2 5 5 4 4" xfId="18817" xr:uid="{00000000-0005-0000-0000-0000420F0000}"/>
    <cellStyle name="Calculation 2 7 2 5 5 5" xfId="21384" xr:uid="{00000000-0005-0000-0000-0000430F0000}"/>
    <cellStyle name="Calculation 2 7 2 5 5 6" xfId="32229" xr:uid="{00000000-0005-0000-0000-0000440F0000}"/>
    <cellStyle name="Calculation 2 7 2 5 5 7" xfId="12963" xr:uid="{00000000-0005-0000-0000-0000450F0000}"/>
    <cellStyle name="Calculation 2 7 2 5 6" xfId="2794" xr:uid="{00000000-0005-0000-0000-0000460F0000}"/>
    <cellStyle name="Calculation 2 7 2 5 6 2" xfId="5646" xr:uid="{00000000-0005-0000-0000-0000470F0000}"/>
    <cellStyle name="Calculation 2 7 2 5 6 2 2" xfId="24618" xr:uid="{00000000-0005-0000-0000-0000480F0000}"/>
    <cellStyle name="Calculation 2 7 2 5 6 2 3" xfId="35463" xr:uid="{00000000-0005-0000-0000-0000490F0000}"/>
    <cellStyle name="Calculation 2 7 2 5 6 2 4" xfId="15278" xr:uid="{00000000-0005-0000-0000-00004A0F0000}"/>
    <cellStyle name="Calculation 2 7 2 5 6 3" xfId="8317" xr:uid="{00000000-0005-0000-0000-00004B0F0000}"/>
    <cellStyle name="Calculation 2 7 2 5 6 3 2" xfId="27289" xr:uid="{00000000-0005-0000-0000-00004C0F0000}"/>
    <cellStyle name="Calculation 2 7 2 5 6 3 3" xfId="38134" xr:uid="{00000000-0005-0000-0000-00004D0F0000}"/>
    <cellStyle name="Calculation 2 7 2 5 6 3 4" xfId="17191" xr:uid="{00000000-0005-0000-0000-00004E0F0000}"/>
    <cellStyle name="Calculation 2 7 2 5 6 4" xfId="10976" xr:uid="{00000000-0005-0000-0000-00004F0F0000}"/>
    <cellStyle name="Calculation 2 7 2 5 6 4 2" xfId="29948" xr:uid="{00000000-0005-0000-0000-0000500F0000}"/>
    <cellStyle name="Calculation 2 7 2 5 6 4 3" xfId="40793" xr:uid="{00000000-0005-0000-0000-0000510F0000}"/>
    <cellStyle name="Calculation 2 7 2 5 6 4 4" xfId="19095" xr:uid="{00000000-0005-0000-0000-0000520F0000}"/>
    <cellStyle name="Calculation 2 7 2 5 6 5" xfId="21772" xr:uid="{00000000-0005-0000-0000-0000530F0000}"/>
    <cellStyle name="Calculation 2 7 2 5 6 6" xfId="32617" xr:uid="{00000000-0005-0000-0000-0000540F0000}"/>
    <cellStyle name="Calculation 2 7 2 5 6 7" xfId="13241" xr:uid="{00000000-0005-0000-0000-0000550F0000}"/>
    <cellStyle name="Calculation 2 7 2 5 7" xfId="3485" xr:uid="{00000000-0005-0000-0000-0000560F0000}"/>
    <cellStyle name="Calculation 2 7 2 5 7 2" xfId="22457" xr:uid="{00000000-0005-0000-0000-0000570F0000}"/>
    <cellStyle name="Calculation 2 7 2 5 7 3" xfId="33302" xr:uid="{00000000-0005-0000-0000-0000580F0000}"/>
    <cellStyle name="Calculation 2 7 2 5 7 4" xfId="13723" xr:uid="{00000000-0005-0000-0000-0000590F0000}"/>
    <cellStyle name="Calculation 2 7 2 5 8" xfId="6161" xr:uid="{00000000-0005-0000-0000-00005A0F0000}"/>
    <cellStyle name="Calculation 2 7 2 5 8 2" xfId="25133" xr:uid="{00000000-0005-0000-0000-00005B0F0000}"/>
    <cellStyle name="Calculation 2 7 2 5 8 3" xfId="35978" xr:uid="{00000000-0005-0000-0000-00005C0F0000}"/>
    <cellStyle name="Calculation 2 7 2 5 8 4" xfId="15640" xr:uid="{00000000-0005-0000-0000-00005D0F0000}"/>
    <cellStyle name="Calculation 2 7 2 5 9" xfId="8820" xr:uid="{00000000-0005-0000-0000-00005E0F0000}"/>
    <cellStyle name="Calculation 2 7 2 5 9 2" xfId="27792" xr:uid="{00000000-0005-0000-0000-00005F0F0000}"/>
    <cellStyle name="Calculation 2 7 2 5 9 3" xfId="38637" xr:uid="{00000000-0005-0000-0000-0000600F0000}"/>
    <cellStyle name="Calculation 2 7 2 5 9 4" xfId="17544" xr:uid="{00000000-0005-0000-0000-0000610F0000}"/>
    <cellStyle name="Calculation 2 7 2 6" xfId="1060" xr:uid="{00000000-0005-0000-0000-0000620F0000}"/>
    <cellStyle name="Calculation 2 7 2 6 2" xfId="3913" xr:uid="{00000000-0005-0000-0000-0000630F0000}"/>
    <cellStyle name="Calculation 2 7 2 6 2 2" xfId="22885" xr:uid="{00000000-0005-0000-0000-0000640F0000}"/>
    <cellStyle name="Calculation 2 7 2 6 2 3" xfId="33730" xr:uid="{00000000-0005-0000-0000-0000650F0000}"/>
    <cellStyle name="Calculation 2 7 2 6 2 4" xfId="14026" xr:uid="{00000000-0005-0000-0000-0000660F0000}"/>
    <cellStyle name="Calculation 2 7 2 6 3" xfId="6587" xr:uid="{00000000-0005-0000-0000-0000670F0000}"/>
    <cellStyle name="Calculation 2 7 2 6 3 2" xfId="25559" xr:uid="{00000000-0005-0000-0000-0000680F0000}"/>
    <cellStyle name="Calculation 2 7 2 6 3 3" xfId="36404" xr:uid="{00000000-0005-0000-0000-0000690F0000}"/>
    <cellStyle name="Calculation 2 7 2 6 3 4" xfId="15942" xr:uid="{00000000-0005-0000-0000-00006A0F0000}"/>
    <cellStyle name="Calculation 2 7 2 6 4" xfId="9246" xr:uid="{00000000-0005-0000-0000-00006B0F0000}"/>
    <cellStyle name="Calculation 2 7 2 6 4 2" xfId="28218" xr:uid="{00000000-0005-0000-0000-00006C0F0000}"/>
    <cellStyle name="Calculation 2 7 2 6 4 3" xfId="39063" xr:uid="{00000000-0005-0000-0000-00006D0F0000}"/>
    <cellStyle name="Calculation 2 7 2 6 4 4" xfId="17846" xr:uid="{00000000-0005-0000-0000-00006E0F0000}"/>
    <cellStyle name="Calculation 2 7 2 6 5" xfId="20042" xr:uid="{00000000-0005-0000-0000-00006F0F0000}"/>
    <cellStyle name="Calculation 2 7 2 6 6" xfId="30887" xr:uid="{00000000-0005-0000-0000-0000700F0000}"/>
    <cellStyle name="Calculation 2 7 2 6 7" xfId="11992" xr:uid="{00000000-0005-0000-0000-0000710F0000}"/>
    <cellStyle name="Calculation 2 7 2 7" xfId="919" xr:uid="{00000000-0005-0000-0000-0000720F0000}"/>
    <cellStyle name="Calculation 2 7 2 7 2" xfId="3774" xr:uid="{00000000-0005-0000-0000-0000730F0000}"/>
    <cellStyle name="Calculation 2 7 2 7 2 2" xfId="22746" xr:uid="{00000000-0005-0000-0000-0000740F0000}"/>
    <cellStyle name="Calculation 2 7 2 7 2 3" xfId="33591" xr:uid="{00000000-0005-0000-0000-0000750F0000}"/>
    <cellStyle name="Calculation 2 7 2 7 2 4" xfId="13920" xr:uid="{00000000-0005-0000-0000-0000760F0000}"/>
    <cellStyle name="Calculation 2 7 2 7 3" xfId="6449" xr:uid="{00000000-0005-0000-0000-0000770F0000}"/>
    <cellStyle name="Calculation 2 7 2 7 3 2" xfId="25421" xr:uid="{00000000-0005-0000-0000-0000780F0000}"/>
    <cellStyle name="Calculation 2 7 2 7 3 3" xfId="36266" xr:uid="{00000000-0005-0000-0000-0000790F0000}"/>
    <cellStyle name="Calculation 2 7 2 7 3 4" xfId="15836" xr:uid="{00000000-0005-0000-0000-00007A0F0000}"/>
    <cellStyle name="Calculation 2 7 2 7 4" xfId="9108" xr:uid="{00000000-0005-0000-0000-00007B0F0000}"/>
    <cellStyle name="Calculation 2 7 2 7 4 2" xfId="28080" xr:uid="{00000000-0005-0000-0000-00007C0F0000}"/>
    <cellStyle name="Calculation 2 7 2 7 4 3" xfId="38925" xr:uid="{00000000-0005-0000-0000-00007D0F0000}"/>
    <cellStyle name="Calculation 2 7 2 7 4 4" xfId="17740" xr:uid="{00000000-0005-0000-0000-00007E0F0000}"/>
    <cellStyle name="Calculation 2 7 2 7 5" xfId="19904" xr:uid="{00000000-0005-0000-0000-00007F0F0000}"/>
    <cellStyle name="Calculation 2 7 2 7 6" xfId="30749" xr:uid="{00000000-0005-0000-0000-0000800F0000}"/>
    <cellStyle name="Calculation 2 7 2 7 7" xfId="11886" xr:uid="{00000000-0005-0000-0000-0000810F0000}"/>
    <cellStyle name="Calculation 2 7 2 8" xfId="948" xr:uid="{00000000-0005-0000-0000-0000820F0000}"/>
    <cellStyle name="Calculation 2 7 2 8 2" xfId="3801" xr:uid="{00000000-0005-0000-0000-0000830F0000}"/>
    <cellStyle name="Calculation 2 7 2 8 2 2" xfId="22773" xr:uid="{00000000-0005-0000-0000-0000840F0000}"/>
    <cellStyle name="Calculation 2 7 2 8 2 3" xfId="33618" xr:uid="{00000000-0005-0000-0000-0000850F0000}"/>
    <cellStyle name="Calculation 2 7 2 8 2 4" xfId="13946" xr:uid="{00000000-0005-0000-0000-0000860F0000}"/>
    <cellStyle name="Calculation 2 7 2 8 3" xfId="6476" xr:uid="{00000000-0005-0000-0000-0000870F0000}"/>
    <cellStyle name="Calculation 2 7 2 8 3 2" xfId="25448" xr:uid="{00000000-0005-0000-0000-0000880F0000}"/>
    <cellStyle name="Calculation 2 7 2 8 3 3" xfId="36293" xr:uid="{00000000-0005-0000-0000-0000890F0000}"/>
    <cellStyle name="Calculation 2 7 2 8 3 4" xfId="15862" xr:uid="{00000000-0005-0000-0000-00008A0F0000}"/>
    <cellStyle name="Calculation 2 7 2 8 4" xfId="9135" xr:uid="{00000000-0005-0000-0000-00008B0F0000}"/>
    <cellStyle name="Calculation 2 7 2 8 4 2" xfId="28107" xr:uid="{00000000-0005-0000-0000-00008C0F0000}"/>
    <cellStyle name="Calculation 2 7 2 8 4 3" xfId="38952" xr:uid="{00000000-0005-0000-0000-00008D0F0000}"/>
    <cellStyle name="Calculation 2 7 2 8 4 4" xfId="17766" xr:uid="{00000000-0005-0000-0000-00008E0F0000}"/>
    <cellStyle name="Calculation 2 7 2 8 5" xfId="19931" xr:uid="{00000000-0005-0000-0000-00008F0F0000}"/>
    <cellStyle name="Calculation 2 7 2 8 6" xfId="30776" xr:uid="{00000000-0005-0000-0000-0000900F0000}"/>
    <cellStyle name="Calculation 2 7 2 8 7" xfId="11912" xr:uid="{00000000-0005-0000-0000-0000910F0000}"/>
    <cellStyle name="Calculation 2 7 2 9" xfId="1237" xr:uid="{00000000-0005-0000-0000-0000920F0000}"/>
    <cellStyle name="Calculation 2 7 2 9 2" xfId="4090" xr:uid="{00000000-0005-0000-0000-0000930F0000}"/>
    <cellStyle name="Calculation 2 7 2 9 2 2" xfId="23062" xr:uid="{00000000-0005-0000-0000-0000940F0000}"/>
    <cellStyle name="Calculation 2 7 2 9 2 3" xfId="33907" xr:uid="{00000000-0005-0000-0000-0000950F0000}"/>
    <cellStyle name="Calculation 2 7 2 9 2 4" xfId="14163" xr:uid="{00000000-0005-0000-0000-0000960F0000}"/>
    <cellStyle name="Calculation 2 7 2 9 3" xfId="6763" xr:uid="{00000000-0005-0000-0000-0000970F0000}"/>
    <cellStyle name="Calculation 2 7 2 9 3 2" xfId="25735" xr:uid="{00000000-0005-0000-0000-0000980F0000}"/>
    <cellStyle name="Calculation 2 7 2 9 3 3" xfId="36580" xr:uid="{00000000-0005-0000-0000-0000990F0000}"/>
    <cellStyle name="Calculation 2 7 2 9 3 4" xfId="16078" xr:uid="{00000000-0005-0000-0000-00009A0F0000}"/>
    <cellStyle name="Calculation 2 7 2 9 4" xfId="9422" xr:uid="{00000000-0005-0000-0000-00009B0F0000}"/>
    <cellStyle name="Calculation 2 7 2 9 4 2" xfId="28394" xr:uid="{00000000-0005-0000-0000-00009C0F0000}"/>
    <cellStyle name="Calculation 2 7 2 9 4 3" xfId="39239" xr:uid="{00000000-0005-0000-0000-00009D0F0000}"/>
    <cellStyle name="Calculation 2 7 2 9 4 4" xfId="17982" xr:uid="{00000000-0005-0000-0000-00009E0F0000}"/>
    <cellStyle name="Calculation 2 7 2 9 5" xfId="20218" xr:uid="{00000000-0005-0000-0000-00009F0F0000}"/>
    <cellStyle name="Calculation 2 7 2 9 6" xfId="31063" xr:uid="{00000000-0005-0000-0000-0000A00F0000}"/>
    <cellStyle name="Calculation 2 7 2 9 7" xfId="12128" xr:uid="{00000000-0005-0000-0000-0000A10F0000}"/>
    <cellStyle name="Calculation 2 7 3" xfId="542" xr:uid="{00000000-0005-0000-0000-0000A20F0000}"/>
    <cellStyle name="Calculation 2 7 3 10" xfId="19552" xr:uid="{00000000-0005-0000-0000-0000A30F0000}"/>
    <cellStyle name="Calculation 2 7 3 11" xfId="30397" xr:uid="{00000000-0005-0000-0000-0000A40F0000}"/>
    <cellStyle name="Calculation 2 7 3 12" xfId="11616" xr:uid="{00000000-0005-0000-0000-0000A50F0000}"/>
    <cellStyle name="Calculation 2 7 3 2" xfId="1148" xr:uid="{00000000-0005-0000-0000-0000A60F0000}"/>
    <cellStyle name="Calculation 2 7 3 2 2" xfId="4001" xr:uid="{00000000-0005-0000-0000-0000A70F0000}"/>
    <cellStyle name="Calculation 2 7 3 2 2 2" xfId="22973" xr:uid="{00000000-0005-0000-0000-0000A80F0000}"/>
    <cellStyle name="Calculation 2 7 3 2 2 3" xfId="33818" xr:uid="{00000000-0005-0000-0000-0000A90F0000}"/>
    <cellStyle name="Calculation 2 7 3 2 2 4" xfId="14093" xr:uid="{00000000-0005-0000-0000-0000AA0F0000}"/>
    <cellStyle name="Calculation 2 7 3 2 3" xfId="6674" xr:uid="{00000000-0005-0000-0000-0000AB0F0000}"/>
    <cellStyle name="Calculation 2 7 3 2 3 2" xfId="25646" xr:uid="{00000000-0005-0000-0000-0000AC0F0000}"/>
    <cellStyle name="Calculation 2 7 3 2 3 3" xfId="36491" xr:uid="{00000000-0005-0000-0000-0000AD0F0000}"/>
    <cellStyle name="Calculation 2 7 3 2 3 4" xfId="16008" xr:uid="{00000000-0005-0000-0000-0000AE0F0000}"/>
    <cellStyle name="Calculation 2 7 3 2 4" xfId="9333" xr:uid="{00000000-0005-0000-0000-0000AF0F0000}"/>
    <cellStyle name="Calculation 2 7 3 2 4 2" xfId="28305" xr:uid="{00000000-0005-0000-0000-0000B00F0000}"/>
    <cellStyle name="Calculation 2 7 3 2 4 3" xfId="39150" xr:uid="{00000000-0005-0000-0000-0000B10F0000}"/>
    <cellStyle name="Calculation 2 7 3 2 4 4" xfId="17912" xr:uid="{00000000-0005-0000-0000-0000B20F0000}"/>
    <cellStyle name="Calculation 2 7 3 2 5" xfId="20129" xr:uid="{00000000-0005-0000-0000-0000B30F0000}"/>
    <cellStyle name="Calculation 2 7 3 2 6" xfId="30974" xr:uid="{00000000-0005-0000-0000-0000B40F0000}"/>
    <cellStyle name="Calculation 2 7 3 2 7" xfId="12058" xr:uid="{00000000-0005-0000-0000-0000B50F0000}"/>
    <cellStyle name="Calculation 2 7 3 3" xfId="1545" xr:uid="{00000000-0005-0000-0000-0000B60F0000}"/>
    <cellStyle name="Calculation 2 7 3 3 2" xfId="4398" xr:uid="{00000000-0005-0000-0000-0000B70F0000}"/>
    <cellStyle name="Calculation 2 7 3 3 2 2" xfId="23370" xr:uid="{00000000-0005-0000-0000-0000B80F0000}"/>
    <cellStyle name="Calculation 2 7 3 3 2 3" xfId="34215" xr:uid="{00000000-0005-0000-0000-0000B90F0000}"/>
    <cellStyle name="Calculation 2 7 3 3 2 4" xfId="14379" xr:uid="{00000000-0005-0000-0000-0000BA0F0000}"/>
    <cellStyle name="Calculation 2 7 3 3 3" xfId="7070" xr:uid="{00000000-0005-0000-0000-0000BB0F0000}"/>
    <cellStyle name="Calculation 2 7 3 3 3 2" xfId="26042" xr:uid="{00000000-0005-0000-0000-0000BC0F0000}"/>
    <cellStyle name="Calculation 2 7 3 3 3 3" xfId="36887" xr:uid="{00000000-0005-0000-0000-0000BD0F0000}"/>
    <cellStyle name="Calculation 2 7 3 3 3 4" xfId="16293" xr:uid="{00000000-0005-0000-0000-0000BE0F0000}"/>
    <cellStyle name="Calculation 2 7 3 3 4" xfId="9729" xr:uid="{00000000-0005-0000-0000-0000BF0F0000}"/>
    <cellStyle name="Calculation 2 7 3 3 4 2" xfId="28701" xr:uid="{00000000-0005-0000-0000-0000C00F0000}"/>
    <cellStyle name="Calculation 2 7 3 3 4 3" xfId="39546" xr:uid="{00000000-0005-0000-0000-0000C10F0000}"/>
    <cellStyle name="Calculation 2 7 3 3 4 4" xfId="18197" xr:uid="{00000000-0005-0000-0000-0000C20F0000}"/>
    <cellStyle name="Calculation 2 7 3 3 5" xfId="20525" xr:uid="{00000000-0005-0000-0000-0000C30F0000}"/>
    <cellStyle name="Calculation 2 7 3 3 6" xfId="31370" xr:uid="{00000000-0005-0000-0000-0000C40F0000}"/>
    <cellStyle name="Calculation 2 7 3 3 7" xfId="12343" xr:uid="{00000000-0005-0000-0000-0000C50F0000}"/>
    <cellStyle name="Calculation 2 7 3 4" xfId="1949" xr:uid="{00000000-0005-0000-0000-0000C60F0000}"/>
    <cellStyle name="Calculation 2 7 3 4 2" xfId="4802" xr:uid="{00000000-0005-0000-0000-0000C70F0000}"/>
    <cellStyle name="Calculation 2 7 3 4 2 2" xfId="23774" xr:uid="{00000000-0005-0000-0000-0000C80F0000}"/>
    <cellStyle name="Calculation 2 7 3 4 2 3" xfId="34619" xr:uid="{00000000-0005-0000-0000-0000C90F0000}"/>
    <cellStyle name="Calculation 2 7 3 4 2 4" xfId="14667" xr:uid="{00000000-0005-0000-0000-0000CA0F0000}"/>
    <cellStyle name="Calculation 2 7 3 4 3" xfId="7474" xr:uid="{00000000-0005-0000-0000-0000CB0F0000}"/>
    <cellStyle name="Calculation 2 7 3 4 3 2" xfId="26446" xr:uid="{00000000-0005-0000-0000-0000CC0F0000}"/>
    <cellStyle name="Calculation 2 7 3 4 3 3" xfId="37291" xr:uid="{00000000-0005-0000-0000-0000CD0F0000}"/>
    <cellStyle name="Calculation 2 7 3 4 3 4" xfId="16581" xr:uid="{00000000-0005-0000-0000-0000CE0F0000}"/>
    <cellStyle name="Calculation 2 7 3 4 4" xfId="10133" xr:uid="{00000000-0005-0000-0000-0000CF0F0000}"/>
    <cellStyle name="Calculation 2 7 3 4 4 2" xfId="29105" xr:uid="{00000000-0005-0000-0000-0000D00F0000}"/>
    <cellStyle name="Calculation 2 7 3 4 4 3" xfId="39950" xr:uid="{00000000-0005-0000-0000-0000D10F0000}"/>
    <cellStyle name="Calculation 2 7 3 4 4 4" xfId="18485" xr:uid="{00000000-0005-0000-0000-0000D20F0000}"/>
    <cellStyle name="Calculation 2 7 3 4 5" xfId="20929" xr:uid="{00000000-0005-0000-0000-0000D30F0000}"/>
    <cellStyle name="Calculation 2 7 3 4 6" xfId="31774" xr:uid="{00000000-0005-0000-0000-0000D40F0000}"/>
    <cellStyle name="Calculation 2 7 3 4 7" xfId="12631" xr:uid="{00000000-0005-0000-0000-0000D50F0000}"/>
    <cellStyle name="Calculation 2 7 3 5" xfId="2341" xr:uid="{00000000-0005-0000-0000-0000D60F0000}"/>
    <cellStyle name="Calculation 2 7 3 5 2" xfId="5194" xr:uid="{00000000-0005-0000-0000-0000D70F0000}"/>
    <cellStyle name="Calculation 2 7 3 5 2 2" xfId="24166" xr:uid="{00000000-0005-0000-0000-0000D80F0000}"/>
    <cellStyle name="Calculation 2 7 3 5 2 3" xfId="35011" xr:uid="{00000000-0005-0000-0000-0000D90F0000}"/>
    <cellStyle name="Calculation 2 7 3 5 2 4" xfId="14948" xr:uid="{00000000-0005-0000-0000-0000DA0F0000}"/>
    <cellStyle name="Calculation 2 7 3 5 3" xfId="7865" xr:uid="{00000000-0005-0000-0000-0000DB0F0000}"/>
    <cellStyle name="Calculation 2 7 3 5 3 2" xfId="26837" xr:uid="{00000000-0005-0000-0000-0000DC0F0000}"/>
    <cellStyle name="Calculation 2 7 3 5 3 3" xfId="37682" xr:uid="{00000000-0005-0000-0000-0000DD0F0000}"/>
    <cellStyle name="Calculation 2 7 3 5 3 4" xfId="16861" xr:uid="{00000000-0005-0000-0000-0000DE0F0000}"/>
    <cellStyle name="Calculation 2 7 3 5 4" xfId="10524" xr:uid="{00000000-0005-0000-0000-0000DF0F0000}"/>
    <cellStyle name="Calculation 2 7 3 5 4 2" xfId="29496" xr:uid="{00000000-0005-0000-0000-0000E00F0000}"/>
    <cellStyle name="Calculation 2 7 3 5 4 3" xfId="40341" xr:uid="{00000000-0005-0000-0000-0000E10F0000}"/>
    <cellStyle name="Calculation 2 7 3 5 4 4" xfId="18765" xr:uid="{00000000-0005-0000-0000-0000E20F0000}"/>
    <cellStyle name="Calculation 2 7 3 5 5" xfId="21320" xr:uid="{00000000-0005-0000-0000-0000E30F0000}"/>
    <cellStyle name="Calculation 2 7 3 5 6" xfId="32165" xr:uid="{00000000-0005-0000-0000-0000E40F0000}"/>
    <cellStyle name="Calculation 2 7 3 5 7" xfId="12911" xr:uid="{00000000-0005-0000-0000-0000E50F0000}"/>
    <cellStyle name="Calculation 2 7 3 6" xfId="2730" xr:uid="{00000000-0005-0000-0000-0000E60F0000}"/>
    <cellStyle name="Calculation 2 7 3 6 2" xfId="5582" xr:uid="{00000000-0005-0000-0000-0000E70F0000}"/>
    <cellStyle name="Calculation 2 7 3 6 2 2" xfId="24554" xr:uid="{00000000-0005-0000-0000-0000E80F0000}"/>
    <cellStyle name="Calculation 2 7 3 6 2 3" xfId="35399" xr:uid="{00000000-0005-0000-0000-0000E90F0000}"/>
    <cellStyle name="Calculation 2 7 3 6 2 4" xfId="15226" xr:uid="{00000000-0005-0000-0000-0000EA0F0000}"/>
    <cellStyle name="Calculation 2 7 3 6 3" xfId="8253" xr:uid="{00000000-0005-0000-0000-0000EB0F0000}"/>
    <cellStyle name="Calculation 2 7 3 6 3 2" xfId="27225" xr:uid="{00000000-0005-0000-0000-0000EC0F0000}"/>
    <cellStyle name="Calculation 2 7 3 6 3 3" xfId="38070" xr:uid="{00000000-0005-0000-0000-0000ED0F0000}"/>
    <cellStyle name="Calculation 2 7 3 6 3 4" xfId="17139" xr:uid="{00000000-0005-0000-0000-0000EE0F0000}"/>
    <cellStyle name="Calculation 2 7 3 6 4" xfId="10912" xr:uid="{00000000-0005-0000-0000-0000EF0F0000}"/>
    <cellStyle name="Calculation 2 7 3 6 4 2" xfId="29884" xr:uid="{00000000-0005-0000-0000-0000F00F0000}"/>
    <cellStyle name="Calculation 2 7 3 6 4 3" xfId="40729" xr:uid="{00000000-0005-0000-0000-0000F10F0000}"/>
    <cellStyle name="Calculation 2 7 3 6 4 4" xfId="19043" xr:uid="{00000000-0005-0000-0000-0000F20F0000}"/>
    <cellStyle name="Calculation 2 7 3 6 5" xfId="21708" xr:uid="{00000000-0005-0000-0000-0000F30F0000}"/>
    <cellStyle name="Calculation 2 7 3 6 6" xfId="32553" xr:uid="{00000000-0005-0000-0000-0000F40F0000}"/>
    <cellStyle name="Calculation 2 7 3 6 7" xfId="13189" xr:uid="{00000000-0005-0000-0000-0000F50F0000}"/>
    <cellStyle name="Calculation 2 7 3 7" xfId="3421" xr:uid="{00000000-0005-0000-0000-0000F60F0000}"/>
    <cellStyle name="Calculation 2 7 3 7 2" xfId="22393" xr:uid="{00000000-0005-0000-0000-0000F70F0000}"/>
    <cellStyle name="Calculation 2 7 3 7 3" xfId="33238" xr:uid="{00000000-0005-0000-0000-0000F80F0000}"/>
    <cellStyle name="Calculation 2 7 3 7 4" xfId="13671" xr:uid="{00000000-0005-0000-0000-0000F90F0000}"/>
    <cellStyle name="Calculation 2 7 3 8" xfId="6097" xr:uid="{00000000-0005-0000-0000-0000FA0F0000}"/>
    <cellStyle name="Calculation 2 7 3 8 2" xfId="25069" xr:uid="{00000000-0005-0000-0000-0000FB0F0000}"/>
    <cellStyle name="Calculation 2 7 3 8 3" xfId="35914" xr:uid="{00000000-0005-0000-0000-0000FC0F0000}"/>
    <cellStyle name="Calculation 2 7 3 8 4" xfId="15588" xr:uid="{00000000-0005-0000-0000-0000FD0F0000}"/>
    <cellStyle name="Calculation 2 7 3 9" xfId="8756" xr:uid="{00000000-0005-0000-0000-0000FE0F0000}"/>
    <cellStyle name="Calculation 2 7 3 9 2" xfId="27728" xr:uid="{00000000-0005-0000-0000-0000FF0F0000}"/>
    <cellStyle name="Calculation 2 7 3 9 3" xfId="38573" xr:uid="{00000000-0005-0000-0000-000000100000}"/>
    <cellStyle name="Calculation 2 7 3 9 4" xfId="17492" xr:uid="{00000000-0005-0000-0000-000001100000}"/>
    <cellStyle name="Calculation 2 7 4" xfId="11434" xr:uid="{00000000-0005-0000-0000-000002100000}"/>
    <cellStyle name="Calculation 2 8" xfId="64" xr:uid="{00000000-0005-0000-0000-000003100000}"/>
    <cellStyle name="Calculation 2 8 2" xfId="355" xr:uid="{00000000-0005-0000-0000-000004100000}"/>
    <cellStyle name="Calculation 2 8 2 10" xfId="993" xr:uid="{00000000-0005-0000-0000-000005100000}"/>
    <cellStyle name="Calculation 2 8 2 10 2" xfId="3846" xr:uid="{00000000-0005-0000-0000-000006100000}"/>
    <cellStyle name="Calculation 2 8 2 10 2 2" xfId="22818" xr:uid="{00000000-0005-0000-0000-000007100000}"/>
    <cellStyle name="Calculation 2 8 2 10 2 3" xfId="33663" xr:uid="{00000000-0005-0000-0000-000008100000}"/>
    <cellStyle name="Calculation 2 8 2 10 2 4" xfId="13978" xr:uid="{00000000-0005-0000-0000-000009100000}"/>
    <cellStyle name="Calculation 2 8 2 10 3" xfId="6521" xr:uid="{00000000-0005-0000-0000-00000A100000}"/>
    <cellStyle name="Calculation 2 8 2 10 3 2" xfId="25493" xr:uid="{00000000-0005-0000-0000-00000B100000}"/>
    <cellStyle name="Calculation 2 8 2 10 3 3" xfId="36338" xr:uid="{00000000-0005-0000-0000-00000C100000}"/>
    <cellStyle name="Calculation 2 8 2 10 3 4" xfId="15894" xr:uid="{00000000-0005-0000-0000-00000D100000}"/>
    <cellStyle name="Calculation 2 8 2 10 4" xfId="9180" xr:uid="{00000000-0005-0000-0000-00000E100000}"/>
    <cellStyle name="Calculation 2 8 2 10 4 2" xfId="28152" xr:uid="{00000000-0005-0000-0000-00000F100000}"/>
    <cellStyle name="Calculation 2 8 2 10 4 3" xfId="38997" xr:uid="{00000000-0005-0000-0000-000010100000}"/>
    <cellStyle name="Calculation 2 8 2 10 4 4" xfId="17798" xr:uid="{00000000-0005-0000-0000-000011100000}"/>
    <cellStyle name="Calculation 2 8 2 10 5" xfId="19976" xr:uid="{00000000-0005-0000-0000-000012100000}"/>
    <cellStyle name="Calculation 2 8 2 10 6" xfId="30821" xr:uid="{00000000-0005-0000-0000-000013100000}"/>
    <cellStyle name="Calculation 2 8 2 10 7" xfId="11944" xr:uid="{00000000-0005-0000-0000-000014100000}"/>
    <cellStyle name="Calculation 2 8 2 11" xfId="958" xr:uid="{00000000-0005-0000-0000-000015100000}"/>
    <cellStyle name="Calculation 2 8 2 11 2" xfId="3811" xr:uid="{00000000-0005-0000-0000-000016100000}"/>
    <cellStyle name="Calculation 2 8 2 11 2 2" xfId="22783" xr:uid="{00000000-0005-0000-0000-000017100000}"/>
    <cellStyle name="Calculation 2 8 2 11 2 3" xfId="33628" xr:uid="{00000000-0005-0000-0000-000018100000}"/>
    <cellStyle name="Calculation 2 8 2 11 2 4" xfId="13953" xr:uid="{00000000-0005-0000-0000-000019100000}"/>
    <cellStyle name="Calculation 2 8 2 11 3" xfId="6486" xr:uid="{00000000-0005-0000-0000-00001A100000}"/>
    <cellStyle name="Calculation 2 8 2 11 3 2" xfId="25458" xr:uid="{00000000-0005-0000-0000-00001B100000}"/>
    <cellStyle name="Calculation 2 8 2 11 3 3" xfId="36303" xr:uid="{00000000-0005-0000-0000-00001C100000}"/>
    <cellStyle name="Calculation 2 8 2 11 3 4" xfId="15869" xr:uid="{00000000-0005-0000-0000-00001D100000}"/>
    <cellStyle name="Calculation 2 8 2 11 4" xfId="9145" xr:uid="{00000000-0005-0000-0000-00001E100000}"/>
    <cellStyle name="Calculation 2 8 2 11 4 2" xfId="28117" xr:uid="{00000000-0005-0000-0000-00001F100000}"/>
    <cellStyle name="Calculation 2 8 2 11 4 3" xfId="38962" xr:uid="{00000000-0005-0000-0000-000020100000}"/>
    <cellStyle name="Calculation 2 8 2 11 4 4" xfId="17773" xr:uid="{00000000-0005-0000-0000-000021100000}"/>
    <cellStyle name="Calculation 2 8 2 11 5" xfId="19941" xr:uid="{00000000-0005-0000-0000-000022100000}"/>
    <cellStyle name="Calculation 2 8 2 11 6" xfId="30786" xr:uid="{00000000-0005-0000-0000-000023100000}"/>
    <cellStyle name="Calculation 2 8 2 11 7" xfId="11919" xr:uid="{00000000-0005-0000-0000-000024100000}"/>
    <cellStyle name="Calculation 2 8 2 12" xfId="986" xr:uid="{00000000-0005-0000-0000-000025100000}"/>
    <cellStyle name="Calculation 2 8 2 12 2" xfId="3839" xr:uid="{00000000-0005-0000-0000-000026100000}"/>
    <cellStyle name="Calculation 2 8 2 12 2 2" xfId="22811" xr:uid="{00000000-0005-0000-0000-000027100000}"/>
    <cellStyle name="Calculation 2 8 2 12 2 3" xfId="33656" xr:uid="{00000000-0005-0000-0000-000028100000}"/>
    <cellStyle name="Calculation 2 8 2 12 2 4" xfId="13973" xr:uid="{00000000-0005-0000-0000-000029100000}"/>
    <cellStyle name="Calculation 2 8 2 12 3" xfId="6514" xr:uid="{00000000-0005-0000-0000-00002A100000}"/>
    <cellStyle name="Calculation 2 8 2 12 3 2" xfId="25486" xr:uid="{00000000-0005-0000-0000-00002B100000}"/>
    <cellStyle name="Calculation 2 8 2 12 3 3" xfId="36331" xr:uid="{00000000-0005-0000-0000-00002C100000}"/>
    <cellStyle name="Calculation 2 8 2 12 3 4" xfId="15889" xr:uid="{00000000-0005-0000-0000-00002D100000}"/>
    <cellStyle name="Calculation 2 8 2 12 4" xfId="9173" xr:uid="{00000000-0005-0000-0000-00002E100000}"/>
    <cellStyle name="Calculation 2 8 2 12 4 2" xfId="28145" xr:uid="{00000000-0005-0000-0000-00002F100000}"/>
    <cellStyle name="Calculation 2 8 2 12 4 3" xfId="38990" xr:uid="{00000000-0005-0000-0000-000030100000}"/>
    <cellStyle name="Calculation 2 8 2 12 4 4" xfId="17793" xr:uid="{00000000-0005-0000-0000-000031100000}"/>
    <cellStyle name="Calculation 2 8 2 12 5" xfId="19969" xr:uid="{00000000-0005-0000-0000-000032100000}"/>
    <cellStyle name="Calculation 2 8 2 12 6" xfId="30814" xr:uid="{00000000-0005-0000-0000-000033100000}"/>
    <cellStyle name="Calculation 2 8 2 12 7" xfId="11939" xr:uid="{00000000-0005-0000-0000-000034100000}"/>
    <cellStyle name="Calculation 2 8 2 13" xfId="962" xr:uid="{00000000-0005-0000-0000-000035100000}"/>
    <cellStyle name="Calculation 2 8 2 13 2" xfId="3815" xr:uid="{00000000-0005-0000-0000-000036100000}"/>
    <cellStyle name="Calculation 2 8 2 13 2 2" xfId="22787" xr:uid="{00000000-0005-0000-0000-000037100000}"/>
    <cellStyle name="Calculation 2 8 2 13 2 3" xfId="33632" xr:uid="{00000000-0005-0000-0000-000038100000}"/>
    <cellStyle name="Calculation 2 8 2 13 2 4" xfId="13956" xr:uid="{00000000-0005-0000-0000-000039100000}"/>
    <cellStyle name="Calculation 2 8 2 13 3" xfId="6490" xr:uid="{00000000-0005-0000-0000-00003A100000}"/>
    <cellStyle name="Calculation 2 8 2 13 3 2" xfId="25462" xr:uid="{00000000-0005-0000-0000-00003B100000}"/>
    <cellStyle name="Calculation 2 8 2 13 3 3" xfId="36307" xr:uid="{00000000-0005-0000-0000-00003C100000}"/>
    <cellStyle name="Calculation 2 8 2 13 3 4" xfId="15872" xr:uid="{00000000-0005-0000-0000-00003D100000}"/>
    <cellStyle name="Calculation 2 8 2 13 4" xfId="9149" xr:uid="{00000000-0005-0000-0000-00003E100000}"/>
    <cellStyle name="Calculation 2 8 2 13 4 2" xfId="28121" xr:uid="{00000000-0005-0000-0000-00003F100000}"/>
    <cellStyle name="Calculation 2 8 2 13 4 3" xfId="38966" xr:uid="{00000000-0005-0000-0000-000040100000}"/>
    <cellStyle name="Calculation 2 8 2 13 4 4" xfId="17776" xr:uid="{00000000-0005-0000-0000-000041100000}"/>
    <cellStyle name="Calculation 2 8 2 13 5" xfId="19945" xr:uid="{00000000-0005-0000-0000-000042100000}"/>
    <cellStyle name="Calculation 2 8 2 13 6" xfId="30790" xr:uid="{00000000-0005-0000-0000-000043100000}"/>
    <cellStyle name="Calculation 2 8 2 13 7" xfId="11922" xr:uid="{00000000-0005-0000-0000-000044100000}"/>
    <cellStyle name="Calculation 2 8 2 14" xfId="517" xr:uid="{00000000-0005-0000-0000-000045100000}"/>
    <cellStyle name="Calculation 2 8 2 14 2" xfId="19538" xr:uid="{00000000-0005-0000-0000-000046100000}"/>
    <cellStyle name="Calculation 2 8 2 14 3" xfId="30383" xr:uid="{00000000-0005-0000-0000-000047100000}"/>
    <cellStyle name="Calculation 2 8 2 14 4" xfId="11592" xr:uid="{00000000-0005-0000-0000-000048100000}"/>
    <cellStyle name="Calculation 2 8 2 15" xfId="3398" xr:uid="{00000000-0005-0000-0000-000049100000}"/>
    <cellStyle name="Calculation 2 8 2 15 2" xfId="22370" xr:uid="{00000000-0005-0000-0000-00004A100000}"/>
    <cellStyle name="Calculation 2 8 2 15 3" xfId="33215" xr:uid="{00000000-0005-0000-0000-00004B100000}"/>
    <cellStyle name="Calculation 2 8 2 15 4" xfId="13651" xr:uid="{00000000-0005-0000-0000-00004C100000}"/>
    <cellStyle name="Calculation 2 8 2 16" xfId="3289" xr:uid="{00000000-0005-0000-0000-00004D100000}"/>
    <cellStyle name="Calculation 2 8 2 16 2" xfId="22263" xr:uid="{00000000-0005-0000-0000-00004E100000}"/>
    <cellStyle name="Calculation 2 8 2 16 3" xfId="33108" xr:uid="{00000000-0005-0000-0000-00004F100000}"/>
    <cellStyle name="Calculation 2 8 2 16 4" xfId="13580" xr:uid="{00000000-0005-0000-0000-000050100000}"/>
    <cellStyle name="Calculation 2 8 2 17" xfId="19452" xr:uid="{00000000-0005-0000-0000-000051100000}"/>
    <cellStyle name="Calculation 2 8 2 18" xfId="19419" xr:uid="{00000000-0005-0000-0000-000052100000}"/>
    <cellStyle name="Calculation 2 8 2 19" xfId="11511" xr:uid="{00000000-0005-0000-0000-000053100000}"/>
    <cellStyle name="Calculation 2 8 2 2" xfId="663" xr:uid="{00000000-0005-0000-0000-000054100000}"/>
    <cellStyle name="Calculation 2 8 2 2 10" xfId="19648" xr:uid="{00000000-0005-0000-0000-000055100000}"/>
    <cellStyle name="Calculation 2 8 2 2 11" xfId="30493" xr:uid="{00000000-0005-0000-0000-000056100000}"/>
    <cellStyle name="Calculation 2 8 2 2 12" xfId="11715" xr:uid="{00000000-0005-0000-0000-000057100000}"/>
    <cellStyle name="Calculation 2 8 2 2 2" xfId="1250" xr:uid="{00000000-0005-0000-0000-000058100000}"/>
    <cellStyle name="Calculation 2 8 2 2 2 2" xfId="4103" xr:uid="{00000000-0005-0000-0000-000059100000}"/>
    <cellStyle name="Calculation 2 8 2 2 2 2 2" xfId="23075" xr:uid="{00000000-0005-0000-0000-00005A100000}"/>
    <cellStyle name="Calculation 2 8 2 2 2 2 3" xfId="33920" xr:uid="{00000000-0005-0000-0000-00005B100000}"/>
    <cellStyle name="Calculation 2 8 2 2 2 2 4" xfId="14176" xr:uid="{00000000-0005-0000-0000-00005C100000}"/>
    <cellStyle name="Calculation 2 8 2 2 2 3" xfId="6776" xr:uid="{00000000-0005-0000-0000-00005D100000}"/>
    <cellStyle name="Calculation 2 8 2 2 2 3 2" xfId="25748" xr:uid="{00000000-0005-0000-0000-00005E100000}"/>
    <cellStyle name="Calculation 2 8 2 2 2 3 3" xfId="36593" xr:uid="{00000000-0005-0000-0000-00005F100000}"/>
    <cellStyle name="Calculation 2 8 2 2 2 3 4" xfId="16091" xr:uid="{00000000-0005-0000-0000-000060100000}"/>
    <cellStyle name="Calculation 2 8 2 2 2 4" xfId="9435" xr:uid="{00000000-0005-0000-0000-000061100000}"/>
    <cellStyle name="Calculation 2 8 2 2 2 4 2" xfId="28407" xr:uid="{00000000-0005-0000-0000-000062100000}"/>
    <cellStyle name="Calculation 2 8 2 2 2 4 3" xfId="39252" xr:uid="{00000000-0005-0000-0000-000063100000}"/>
    <cellStyle name="Calculation 2 8 2 2 2 4 4" xfId="17995" xr:uid="{00000000-0005-0000-0000-000064100000}"/>
    <cellStyle name="Calculation 2 8 2 2 2 5" xfId="20231" xr:uid="{00000000-0005-0000-0000-000065100000}"/>
    <cellStyle name="Calculation 2 8 2 2 2 6" xfId="31076" xr:uid="{00000000-0005-0000-0000-000066100000}"/>
    <cellStyle name="Calculation 2 8 2 2 2 7" xfId="12141" xr:uid="{00000000-0005-0000-0000-000067100000}"/>
    <cellStyle name="Calculation 2 8 2 2 3" xfId="1649" xr:uid="{00000000-0005-0000-0000-000068100000}"/>
    <cellStyle name="Calculation 2 8 2 2 3 2" xfId="4502" xr:uid="{00000000-0005-0000-0000-000069100000}"/>
    <cellStyle name="Calculation 2 8 2 2 3 2 2" xfId="23474" xr:uid="{00000000-0005-0000-0000-00006A100000}"/>
    <cellStyle name="Calculation 2 8 2 2 3 2 3" xfId="34319" xr:uid="{00000000-0005-0000-0000-00006B100000}"/>
    <cellStyle name="Calculation 2 8 2 2 3 2 4" xfId="14463" xr:uid="{00000000-0005-0000-0000-00006C100000}"/>
    <cellStyle name="Calculation 2 8 2 2 3 3" xfId="7174" xr:uid="{00000000-0005-0000-0000-00006D100000}"/>
    <cellStyle name="Calculation 2 8 2 2 3 3 2" xfId="26146" xr:uid="{00000000-0005-0000-0000-00006E100000}"/>
    <cellStyle name="Calculation 2 8 2 2 3 3 3" xfId="36991" xr:uid="{00000000-0005-0000-0000-00006F100000}"/>
    <cellStyle name="Calculation 2 8 2 2 3 3 4" xfId="16377" xr:uid="{00000000-0005-0000-0000-000070100000}"/>
    <cellStyle name="Calculation 2 8 2 2 3 4" xfId="9833" xr:uid="{00000000-0005-0000-0000-000071100000}"/>
    <cellStyle name="Calculation 2 8 2 2 3 4 2" xfId="28805" xr:uid="{00000000-0005-0000-0000-000072100000}"/>
    <cellStyle name="Calculation 2 8 2 2 3 4 3" xfId="39650" xr:uid="{00000000-0005-0000-0000-000073100000}"/>
    <cellStyle name="Calculation 2 8 2 2 3 4 4" xfId="18281" xr:uid="{00000000-0005-0000-0000-000074100000}"/>
    <cellStyle name="Calculation 2 8 2 2 3 5" xfId="20629" xr:uid="{00000000-0005-0000-0000-000075100000}"/>
    <cellStyle name="Calculation 2 8 2 2 3 6" xfId="31474" xr:uid="{00000000-0005-0000-0000-000076100000}"/>
    <cellStyle name="Calculation 2 8 2 2 3 7" xfId="12427" xr:uid="{00000000-0005-0000-0000-000077100000}"/>
    <cellStyle name="Calculation 2 8 2 2 4" xfId="2053" xr:uid="{00000000-0005-0000-0000-000078100000}"/>
    <cellStyle name="Calculation 2 8 2 2 4 2" xfId="4906" xr:uid="{00000000-0005-0000-0000-000079100000}"/>
    <cellStyle name="Calculation 2 8 2 2 4 2 2" xfId="23878" xr:uid="{00000000-0005-0000-0000-00007A100000}"/>
    <cellStyle name="Calculation 2 8 2 2 4 2 3" xfId="34723" xr:uid="{00000000-0005-0000-0000-00007B100000}"/>
    <cellStyle name="Calculation 2 8 2 2 4 2 4" xfId="14750" xr:uid="{00000000-0005-0000-0000-00007C100000}"/>
    <cellStyle name="Calculation 2 8 2 2 4 3" xfId="7577" xr:uid="{00000000-0005-0000-0000-00007D100000}"/>
    <cellStyle name="Calculation 2 8 2 2 4 3 2" xfId="26549" xr:uid="{00000000-0005-0000-0000-00007E100000}"/>
    <cellStyle name="Calculation 2 8 2 2 4 3 3" xfId="37394" xr:uid="{00000000-0005-0000-0000-00007F100000}"/>
    <cellStyle name="Calculation 2 8 2 2 4 3 4" xfId="16663" xr:uid="{00000000-0005-0000-0000-000080100000}"/>
    <cellStyle name="Calculation 2 8 2 2 4 4" xfId="10236" xr:uid="{00000000-0005-0000-0000-000081100000}"/>
    <cellStyle name="Calculation 2 8 2 2 4 4 2" xfId="29208" xr:uid="{00000000-0005-0000-0000-000082100000}"/>
    <cellStyle name="Calculation 2 8 2 2 4 4 3" xfId="40053" xr:uid="{00000000-0005-0000-0000-000083100000}"/>
    <cellStyle name="Calculation 2 8 2 2 4 4 4" xfId="18567" xr:uid="{00000000-0005-0000-0000-000084100000}"/>
    <cellStyle name="Calculation 2 8 2 2 4 5" xfId="21032" xr:uid="{00000000-0005-0000-0000-000085100000}"/>
    <cellStyle name="Calculation 2 8 2 2 4 6" xfId="31877" xr:uid="{00000000-0005-0000-0000-000086100000}"/>
    <cellStyle name="Calculation 2 8 2 2 4 7" xfId="12713" xr:uid="{00000000-0005-0000-0000-000087100000}"/>
    <cellStyle name="Calculation 2 8 2 2 5" xfId="2443" xr:uid="{00000000-0005-0000-0000-000088100000}"/>
    <cellStyle name="Calculation 2 8 2 2 5 2" xfId="5295" xr:uid="{00000000-0005-0000-0000-000089100000}"/>
    <cellStyle name="Calculation 2 8 2 2 5 2 2" xfId="24267" xr:uid="{00000000-0005-0000-0000-00008A100000}"/>
    <cellStyle name="Calculation 2 8 2 2 5 2 3" xfId="35112" xr:uid="{00000000-0005-0000-0000-00008B100000}"/>
    <cellStyle name="Calculation 2 8 2 2 5 2 4" xfId="15029" xr:uid="{00000000-0005-0000-0000-00008C100000}"/>
    <cellStyle name="Calculation 2 8 2 2 5 3" xfId="7966" xr:uid="{00000000-0005-0000-0000-00008D100000}"/>
    <cellStyle name="Calculation 2 8 2 2 5 3 2" xfId="26938" xr:uid="{00000000-0005-0000-0000-00008E100000}"/>
    <cellStyle name="Calculation 2 8 2 2 5 3 3" xfId="37783" xr:uid="{00000000-0005-0000-0000-00008F100000}"/>
    <cellStyle name="Calculation 2 8 2 2 5 3 4" xfId="16942" xr:uid="{00000000-0005-0000-0000-000090100000}"/>
    <cellStyle name="Calculation 2 8 2 2 5 4" xfId="10625" xr:uid="{00000000-0005-0000-0000-000091100000}"/>
    <cellStyle name="Calculation 2 8 2 2 5 4 2" xfId="29597" xr:uid="{00000000-0005-0000-0000-000092100000}"/>
    <cellStyle name="Calculation 2 8 2 2 5 4 3" xfId="40442" xr:uid="{00000000-0005-0000-0000-000093100000}"/>
    <cellStyle name="Calculation 2 8 2 2 5 4 4" xfId="18846" xr:uid="{00000000-0005-0000-0000-000094100000}"/>
    <cellStyle name="Calculation 2 8 2 2 5 5" xfId="21421" xr:uid="{00000000-0005-0000-0000-000095100000}"/>
    <cellStyle name="Calculation 2 8 2 2 5 6" xfId="32266" xr:uid="{00000000-0005-0000-0000-000096100000}"/>
    <cellStyle name="Calculation 2 8 2 2 5 7" xfId="12992" xr:uid="{00000000-0005-0000-0000-000097100000}"/>
    <cellStyle name="Calculation 2 8 2 2 6" xfId="2829" xr:uid="{00000000-0005-0000-0000-000098100000}"/>
    <cellStyle name="Calculation 2 8 2 2 6 2" xfId="5680" xr:uid="{00000000-0005-0000-0000-000099100000}"/>
    <cellStyle name="Calculation 2 8 2 2 6 2 2" xfId="24652" xr:uid="{00000000-0005-0000-0000-00009A100000}"/>
    <cellStyle name="Calculation 2 8 2 2 6 2 3" xfId="35497" xr:uid="{00000000-0005-0000-0000-00009B100000}"/>
    <cellStyle name="Calculation 2 8 2 2 6 2 4" xfId="15305" xr:uid="{00000000-0005-0000-0000-00009C100000}"/>
    <cellStyle name="Calculation 2 8 2 2 6 3" xfId="8351" xr:uid="{00000000-0005-0000-0000-00009D100000}"/>
    <cellStyle name="Calculation 2 8 2 2 6 3 2" xfId="27323" xr:uid="{00000000-0005-0000-0000-00009E100000}"/>
    <cellStyle name="Calculation 2 8 2 2 6 3 3" xfId="38168" xr:uid="{00000000-0005-0000-0000-00009F100000}"/>
    <cellStyle name="Calculation 2 8 2 2 6 3 4" xfId="17218" xr:uid="{00000000-0005-0000-0000-0000A0100000}"/>
    <cellStyle name="Calculation 2 8 2 2 6 4" xfId="11010" xr:uid="{00000000-0005-0000-0000-0000A1100000}"/>
    <cellStyle name="Calculation 2 8 2 2 6 4 2" xfId="29982" xr:uid="{00000000-0005-0000-0000-0000A2100000}"/>
    <cellStyle name="Calculation 2 8 2 2 6 4 3" xfId="40827" xr:uid="{00000000-0005-0000-0000-0000A3100000}"/>
    <cellStyle name="Calculation 2 8 2 2 6 4 4" xfId="19122" xr:uid="{00000000-0005-0000-0000-0000A4100000}"/>
    <cellStyle name="Calculation 2 8 2 2 6 5" xfId="21806" xr:uid="{00000000-0005-0000-0000-0000A5100000}"/>
    <cellStyle name="Calculation 2 8 2 2 6 6" xfId="32651" xr:uid="{00000000-0005-0000-0000-0000A6100000}"/>
    <cellStyle name="Calculation 2 8 2 2 6 7" xfId="13268" xr:uid="{00000000-0005-0000-0000-0000A7100000}"/>
    <cellStyle name="Calculation 2 8 2 2 7" xfId="3518" xr:uid="{00000000-0005-0000-0000-0000A8100000}"/>
    <cellStyle name="Calculation 2 8 2 2 7 2" xfId="22490" xr:uid="{00000000-0005-0000-0000-0000A9100000}"/>
    <cellStyle name="Calculation 2 8 2 2 7 3" xfId="33335" xr:uid="{00000000-0005-0000-0000-0000AA100000}"/>
    <cellStyle name="Calculation 2 8 2 2 7 4" xfId="13749" xr:uid="{00000000-0005-0000-0000-0000AB100000}"/>
    <cellStyle name="Calculation 2 8 2 2 8" xfId="6193" xr:uid="{00000000-0005-0000-0000-0000AC100000}"/>
    <cellStyle name="Calculation 2 8 2 2 8 2" xfId="25165" xr:uid="{00000000-0005-0000-0000-0000AD100000}"/>
    <cellStyle name="Calculation 2 8 2 2 8 3" xfId="36010" xr:uid="{00000000-0005-0000-0000-0000AE100000}"/>
    <cellStyle name="Calculation 2 8 2 2 8 4" xfId="15665" xr:uid="{00000000-0005-0000-0000-0000AF100000}"/>
    <cellStyle name="Calculation 2 8 2 2 9" xfId="8852" xr:uid="{00000000-0005-0000-0000-0000B0100000}"/>
    <cellStyle name="Calculation 2 8 2 2 9 2" xfId="27824" xr:uid="{00000000-0005-0000-0000-0000B1100000}"/>
    <cellStyle name="Calculation 2 8 2 2 9 3" xfId="38669" xr:uid="{00000000-0005-0000-0000-0000B2100000}"/>
    <cellStyle name="Calculation 2 8 2 2 9 4" xfId="17569" xr:uid="{00000000-0005-0000-0000-0000B3100000}"/>
    <cellStyle name="Calculation 2 8 2 3" xfId="644" xr:uid="{00000000-0005-0000-0000-0000B4100000}"/>
    <cellStyle name="Calculation 2 8 2 3 10" xfId="19637" xr:uid="{00000000-0005-0000-0000-0000B5100000}"/>
    <cellStyle name="Calculation 2 8 2 3 11" xfId="30482" xr:uid="{00000000-0005-0000-0000-0000B6100000}"/>
    <cellStyle name="Calculation 2 8 2 3 12" xfId="11696" xr:uid="{00000000-0005-0000-0000-0000B7100000}"/>
    <cellStyle name="Calculation 2 8 2 3 2" xfId="1238" xr:uid="{00000000-0005-0000-0000-0000B8100000}"/>
    <cellStyle name="Calculation 2 8 2 3 2 2" xfId="4091" xr:uid="{00000000-0005-0000-0000-0000B9100000}"/>
    <cellStyle name="Calculation 2 8 2 3 2 2 2" xfId="23063" xr:uid="{00000000-0005-0000-0000-0000BA100000}"/>
    <cellStyle name="Calculation 2 8 2 3 2 2 3" xfId="33908" xr:uid="{00000000-0005-0000-0000-0000BB100000}"/>
    <cellStyle name="Calculation 2 8 2 3 2 2 4" xfId="14164" xr:uid="{00000000-0005-0000-0000-0000BC100000}"/>
    <cellStyle name="Calculation 2 8 2 3 2 3" xfId="6764" xr:uid="{00000000-0005-0000-0000-0000BD100000}"/>
    <cellStyle name="Calculation 2 8 2 3 2 3 2" xfId="25736" xr:uid="{00000000-0005-0000-0000-0000BE100000}"/>
    <cellStyle name="Calculation 2 8 2 3 2 3 3" xfId="36581" xr:uid="{00000000-0005-0000-0000-0000BF100000}"/>
    <cellStyle name="Calculation 2 8 2 3 2 3 4" xfId="16079" xr:uid="{00000000-0005-0000-0000-0000C0100000}"/>
    <cellStyle name="Calculation 2 8 2 3 2 4" xfId="9423" xr:uid="{00000000-0005-0000-0000-0000C1100000}"/>
    <cellStyle name="Calculation 2 8 2 3 2 4 2" xfId="28395" xr:uid="{00000000-0005-0000-0000-0000C2100000}"/>
    <cellStyle name="Calculation 2 8 2 3 2 4 3" xfId="39240" xr:uid="{00000000-0005-0000-0000-0000C3100000}"/>
    <cellStyle name="Calculation 2 8 2 3 2 4 4" xfId="17983" xr:uid="{00000000-0005-0000-0000-0000C4100000}"/>
    <cellStyle name="Calculation 2 8 2 3 2 5" xfId="20219" xr:uid="{00000000-0005-0000-0000-0000C5100000}"/>
    <cellStyle name="Calculation 2 8 2 3 2 6" xfId="31064" xr:uid="{00000000-0005-0000-0000-0000C6100000}"/>
    <cellStyle name="Calculation 2 8 2 3 2 7" xfId="12129" xr:uid="{00000000-0005-0000-0000-0000C7100000}"/>
    <cellStyle name="Calculation 2 8 2 3 3" xfId="1635" xr:uid="{00000000-0005-0000-0000-0000C8100000}"/>
    <cellStyle name="Calculation 2 8 2 3 3 2" xfId="4488" xr:uid="{00000000-0005-0000-0000-0000C9100000}"/>
    <cellStyle name="Calculation 2 8 2 3 3 2 2" xfId="23460" xr:uid="{00000000-0005-0000-0000-0000CA100000}"/>
    <cellStyle name="Calculation 2 8 2 3 3 2 3" xfId="34305" xr:uid="{00000000-0005-0000-0000-0000CB100000}"/>
    <cellStyle name="Calculation 2 8 2 3 3 2 4" xfId="14450" xr:uid="{00000000-0005-0000-0000-0000CC100000}"/>
    <cellStyle name="Calculation 2 8 2 3 3 3" xfId="7160" xr:uid="{00000000-0005-0000-0000-0000CD100000}"/>
    <cellStyle name="Calculation 2 8 2 3 3 3 2" xfId="26132" xr:uid="{00000000-0005-0000-0000-0000CE100000}"/>
    <cellStyle name="Calculation 2 8 2 3 3 3 3" xfId="36977" xr:uid="{00000000-0005-0000-0000-0000CF100000}"/>
    <cellStyle name="Calculation 2 8 2 3 3 3 4" xfId="16364" xr:uid="{00000000-0005-0000-0000-0000D0100000}"/>
    <cellStyle name="Calculation 2 8 2 3 3 4" xfId="9819" xr:uid="{00000000-0005-0000-0000-0000D1100000}"/>
    <cellStyle name="Calculation 2 8 2 3 3 4 2" xfId="28791" xr:uid="{00000000-0005-0000-0000-0000D2100000}"/>
    <cellStyle name="Calculation 2 8 2 3 3 4 3" xfId="39636" xr:uid="{00000000-0005-0000-0000-0000D3100000}"/>
    <cellStyle name="Calculation 2 8 2 3 3 4 4" xfId="18268" xr:uid="{00000000-0005-0000-0000-0000D4100000}"/>
    <cellStyle name="Calculation 2 8 2 3 3 5" xfId="20615" xr:uid="{00000000-0005-0000-0000-0000D5100000}"/>
    <cellStyle name="Calculation 2 8 2 3 3 6" xfId="31460" xr:uid="{00000000-0005-0000-0000-0000D6100000}"/>
    <cellStyle name="Calculation 2 8 2 3 3 7" xfId="12414" xr:uid="{00000000-0005-0000-0000-0000D7100000}"/>
    <cellStyle name="Calculation 2 8 2 3 4" xfId="2040" xr:uid="{00000000-0005-0000-0000-0000D8100000}"/>
    <cellStyle name="Calculation 2 8 2 3 4 2" xfId="4893" xr:uid="{00000000-0005-0000-0000-0000D9100000}"/>
    <cellStyle name="Calculation 2 8 2 3 4 2 2" xfId="23865" xr:uid="{00000000-0005-0000-0000-0000DA100000}"/>
    <cellStyle name="Calculation 2 8 2 3 4 2 3" xfId="34710" xr:uid="{00000000-0005-0000-0000-0000DB100000}"/>
    <cellStyle name="Calculation 2 8 2 3 4 2 4" xfId="14738" xr:uid="{00000000-0005-0000-0000-0000DC100000}"/>
    <cellStyle name="Calculation 2 8 2 3 4 3" xfId="7564" xr:uid="{00000000-0005-0000-0000-0000DD100000}"/>
    <cellStyle name="Calculation 2 8 2 3 4 3 2" xfId="26536" xr:uid="{00000000-0005-0000-0000-0000DE100000}"/>
    <cellStyle name="Calculation 2 8 2 3 4 3 3" xfId="37381" xr:uid="{00000000-0005-0000-0000-0000DF100000}"/>
    <cellStyle name="Calculation 2 8 2 3 4 3 4" xfId="16651" xr:uid="{00000000-0005-0000-0000-0000E0100000}"/>
    <cellStyle name="Calculation 2 8 2 3 4 4" xfId="10223" xr:uid="{00000000-0005-0000-0000-0000E1100000}"/>
    <cellStyle name="Calculation 2 8 2 3 4 4 2" xfId="29195" xr:uid="{00000000-0005-0000-0000-0000E2100000}"/>
    <cellStyle name="Calculation 2 8 2 3 4 4 3" xfId="40040" xr:uid="{00000000-0005-0000-0000-0000E3100000}"/>
    <cellStyle name="Calculation 2 8 2 3 4 4 4" xfId="18555" xr:uid="{00000000-0005-0000-0000-0000E4100000}"/>
    <cellStyle name="Calculation 2 8 2 3 4 5" xfId="21019" xr:uid="{00000000-0005-0000-0000-0000E5100000}"/>
    <cellStyle name="Calculation 2 8 2 3 4 6" xfId="31864" xr:uid="{00000000-0005-0000-0000-0000E6100000}"/>
    <cellStyle name="Calculation 2 8 2 3 4 7" xfId="12701" xr:uid="{00000000-0005-0000-0000-0000E7100000}"/>
    <cellStyle name="Calculation 2 8 2 3 5" xfId="2431" xr:uid="{00000000-0005-0000-0000-0000E8100000}"/>
    <cellStyle name="Calculation 2 8 2 3 5 2" xfId="5283" xr:uid="{00000000-0005-0000-0000-0000E9100000}"/>
    <cellStyle name="Calculation 2 8 2 3 5 2 2" xfId="24255" xr:uid="{00000000-0005-0000-0000-0000EA100000}"/>
    <cellStyle name="Calculation 2 8 2 3 5 2 3" xfId="35100" xr:uid="{00000000-0005-0000-0000-0000EB100000}"/>
    <cellStyle name="Calculation 2 8 2 3 5 2 4" xfId="15017" xr:uid="{00000000-0005-0000-0000-0000EC100000}"/>
    <cellStyle name="Calculation 2 8 2 3 5 3" xfId="7954" xr:uid="{00000000-0005-0000-0000-0000ED100000}"/>
    <cellStyle name="Calculation 2 8 2 3 5 3 2" xfId="26926" xr:uid="{00000000-0005-0000-0000-0000EE100000}"/>
    <cellStyle name="Calculation 2 8 2 3 5 3 3" xfId="37771" xr:uid="{00000000-0005-0000-0000-0000EF100000}"/>
    <cellStyle name="Calculation 2 8 2 3 5 3 4" xfId="16930" xr:uid="{00000000-0005-0000-0000-0000F0100000}"/>
    <cellStyle name="Calculation 2 8 2 3 5 4" xfId="10613" xr:uid="{00000000-0005-0000-0000-0000F1100000}"/>
    <cellStyle name="Calculation 2 8 2 3 5 4 2" xfId="29585" xr:uid="{00000000-0005-0000-0000-0000F2100000}"/>
    <cellStyle name="Calculation 2 8 2 3 5 4 3" xfId="40430" xr:uid="{00000000-0005-0000-0000-0000F3100000}"/>
    <cellStyle name="Calculation 2 8 2 3 5 4 4" xfId="18834" xr:uid="{00000000-0005-0000-0000-0000F4100000}"/>
    <cellStyle name="Calculation 2 8 2 3 5 5" xfId="21409" xr:uid="{00000000-0005-0000-0000-0000F5100000}"/>
    <cellStyle name="Calculation 2 8 2 3 5 6" xfId="32254" xr:uid="{00000000-0005-0000-0000-0000F6100000}"/>
    <cellStyle name="Calculation 2 8 2 3 5 7" xfId="12980" xr:uid="{00000000-0005-0000-0000-0000F7100000}"/>
    <cellStyle name="Calculation 2 8 2 3 6" xfId="2818" xr:uid="{00000000-0005-0000-0000-0000F8100000}"/>
    <cellStyle name="Calculation 2 8 2 3 6 2" xfId="5669" xr:uid="{00000000-0005-0000-0000-0000F9100000}"/>
    <cellStyle name="Calculation 2 8 2 3 6 2 2" xfId="24641" xr:uid="{00000000-0005-0000-0000-0000FA100000}"/>
    <cellStyle name="Calculation 2 8 2 3 6 2 3" xfId="35486" xr:uid="{00000000-0005-0000-0000-0000FB100000}"/>
    <cellStyle name="Calculation 2 8 2 3 6 2 4" xfId="15294" xr:uid="{00000000-0005-0000-0000-0000FC100000}"/>
    <cellStyle name="Calculation 2 8 2 3 6 3" xfId="8340" xr:uid="{00000000-0005-0000-0000-0000FD100000}"/>
    <cellStyle name="Calculation 2 8 2 3 6 3 2" xfId="27312" xr:uid="{00000000-0005-0000-0000-0000FE100000}"/>
    <cellStyle name="Calculation 2 8 2 3 6 3 3" xfId="38157" xr:uid="{00000000-0005-0000-0000-0000FF100000}"/>
    <cellStyle name="Calculation 2 8 2 3 6 3 4" xfId="17207" xr:uid="{00000000-0005-0000-0000-000000110000}"/>
    <cellStyle name="Calculation 2 8 2 3 6 4" xfId="10999" xr:uid="{00000000-0005-0000-0000-000001110000}"/>
    <cellStyle name="Calculation 2 8 2 3 6 4 2" xfId="29971" xr:uid="{00000000-0005-0000-0000-000002110000}"/>
    <cellStyle name="Calculation 2 8 2 3 6 4 3" xfId="40816" xr:uid="{00000000-0005-0000-0000-000003110000}"/>
    <cellStyle name="Calculation 2 8 2 3 6 4 4" xfId="19111" xr:uid="{00000000-0005-0000-0000-000004110000}"/>
    <cellStyle name="Calculation 2 8 2 3 6 5" xfId="21795" xr:uid="{00000000-0005-0000-0000-000005110000}"/>
    <cellStyle name="Calculation 2 8 2 3 6 6" xfId="32640" xr:uid="{00000000-0005-0000-0000-000006110000}"/>
    <cellStyle name="Calculation 2 8 2 3 6 7" xfId="13257" xr:uid="{00000000-0005-0000-0000-000007110000}"/>
    <cellStyle name="Calculation 2 8 2 3 7" xfId="3507" xr:uid="{00000000-0005-0000-0000-000008110000}"/>
    <cellStyle name="Calculation 2 8 2 3 7 2" xfId="22479" xr:uid="{00000000-0005-0000-0000-000009110000}"/>
    <cellStyle name="Calculation 2 8 2 3 7 3" xfId="33324" xr:uid="{00000000-0005-0000-0000-00000A110000}"/>
    <cellStyle name="Calculation 2 8 2 3 7 4" xfId="13738" xr:uid="{00000000-0005-0000-0000-00000B110000}"/>
    <cellStyle name="Calculation 2 8 2 3 8" xfId="6182" xr:uid="{00000000-0005-0000-0000-00000C110000}"/>
    <cellStyle name="Calculation 2 8 2 3 8 2" xfId="25154" xr:uid="{00000000-0005-0000-0000-00000D110000}"/>
    <cellStyle name="Calculation 2 8 2 3 8 3" xfId="35999" xr:uid="{00000000-0005-0000-0000-00000E110000}"/>
    <cellStyle name="Calculation 2 8 2 3 8 4" xfId="15654" xr:uid="{00000000-0005-0000-0000-00000F110000}"/>
    <cellStyle name="Calculation 2 8 2 3 9" xfId="8841" xr:uid="{00000000-0005-0000-0000-000010110000}"/>
    <cellStyle name="Calculation 2 8 2 3 9 2" xfId="27813" xr:uid="{00000000-0005-0000-0000-000011110000}"/>
    <cellStyle name="Calculation 2 8 2 3 9 3" xfId="38658" xr:uid="{00000000-0005-0000-0000-000012110000}"/>
    <cellStyle name="Calculation 2 8 2 3 9 4" xfId="17558" xr:uid="{00000000-0005-0000-0000-000013110000}"/>
    <cellStyle name="Calculation 2 8 2 4" xfId="599" xr:uid="{00000000-0005-0000-0000-000014110000}"/>
    <cellStyle name="Calculation 2 8 2 4 10" xfId="19606" xr:uid="{00000000-0005-0000-0000-000015110000}"/>
    <cellStyle name="Calculation 2 8 2 4 11" xfId="30451" xr:uid="{00000000-0005-0000-0000-000016110000}"/>
    <cellStyle name="Calculation 2 8 2 4 12" xfId="11661" xr:uid="{00000000-0005-0000-0000-000017110000}"/>
    <cellStyle name="Calculation 2 8 2 4 2" xfId="1203" xr:uid="{00000000-0005-0000-0000-000018110000}"/>
    <cellStyle name="Calculation 2 8 2 4 2 2" xfId="4056" xr:uid="{00000000-0005-0000-0000-000019110000}"/>
    <cellStyle name="Calculation 2 8 2 4 2 2 2" xfId="23028" xr:uid="{00000000-0005-0000-0000-00001A110000}"/>
    <cellStyle name="Calculation 2 8 2 4 2 2 3" xfId="33873" xr:uid="{00000000-0005-0000-0000-00001B110000}"/>
    <cellStyle name="Calculation 2 8 2 4 2 2 4" xfId="14136" xr:uid="{00000000-0005-0000-0000-00001C110000}"/>
    <cellStyle name="Calculation 2 8 2 4 2 3" xfId="6729" xr:uid="{00000000-0005-0000-0000-00001D110000}"/>
    <cellStyle name="Calculation 2 8 2 4 2 3 2" xfId="25701" xr:uid="{00000000-0005-0000-0000-00001E110000}"/>
    <cellStyle name="Calculation 2 8 2 4 2 3 3" xfId="36546" xr:uid="{00000000-0005-0000-0000-00001F110000}"/>
    <cellStyle name="Calculation 2 8 2 4 2 3 4" xfId="16051" xr:uid="{00000000-0005-0000-0000-000020110000}"/>
    <cellStyle name="Calculation 2 8 2 4 2 4" xfId="9388" xr:uid="{00000000-0005-0000-0000-000021110000}"/>
    <cellStyle name="Calculation 2 8 2 4 2 4 2" xfId="28360" xr:uid="{00000000-0005-0000-0000-000022110000}"/>
    <cellStyle name="Calculation 2 8 2 4 2 4 3" xfId="39205" xr:uid="{00000000-0005-0000-0000-000023110000}"/>
    <cellStyle name="Calculation 2 8 2 4 2 4 4" xfId="17955" xr:uid="{00000000-0005-0000-0000-000024110000}"/>
    <cellStyle name="Calculation 2 8 2 4 2 5" xfId="20184" xr:uid="{00000000-0005-0000-0000-000025110000}"/>
    <cellStyle name="Calculation 2 8 2 4 2 6" xfId="31029" xr:uid="{00000000-0005-0000-0000-000026110000}"/>
    <cellStyle name="Calculation 2 8 2 4 2 7" xfId="12101" xr:uid="{00000000-0005-0000-0000-000027110000}"/>
    <cellStyle name="Calculation 2 8 2 4 3" xfId="1601" xr:uid="{00000000-0005-0000-0000-000028110000}"/>
    <cellStyle name="Calculation 2 8 2 4 3 2" xfId="4454" xr:uid="{00000000-0005-0000-0000-000029110000}"/>
    <cellStyle name="Calculation 2 8 2 4 3 2 2" xfId="23426" xr:uid="{00000000-0005-0000-0000-00002A110000}"/>
    <cellStyle name="Calculation 2 8 2 4 3 2 3" xfId="34271" xr:uid="{00000000-0005-0000-0000-00002B110000}"/>
    <cellStyle name="Calculation 2 8 2 4 3 2 4" xfId="14423" xr:uid="{00000000-0005-0000-0000-00002C110000}"/>
    <cellStyle name="Calculation 2 8 2 4 3 3" xfId="7126" xr:uid="{00000000-0005-0000-0000-00002D110000}"/>
    <cellStyle name="Calculation 2 8 2 4 3 3 2" xfId="26098" xr:uid="{00000000-0005-0000-0000-00002E110000}"/>
    <cellStyle name="Calculation 2 8 2 4 3 3 3" xfId="36943" xr:uid="{00000000-0005-0000-0000-00002F110000}"/>
    <cellStyle name="Calculation 2 8 2 4 3 3 4" xfId="16337" xr:uid="{00000000-0005-0000-0000-000030110000}"/>
    <cellStyle name="Calculation 2 8 2 4 3 4" xfId="9785" xr:uid="{00000000-0005-0000-0000-000031110000}"/>
    <cellStyle name="Calculation 2 8 2 4 3 4 2" xfId="28757" xr:uid="{00000000-0005-0000-0000-000032110000}"/>
    <cellStyle name="Calculation 2 8 2 4 3 4 3" xfId="39602" xr:uid="{00000000-0005-0000-0000-000033110000}"/>
    <cellStyle name="Calculation 2 8 2 4 3 4 4" xfId="18241" xr:uid="{00000000-0005-0000-0000-000034110000}"/>
    <cellStyle name="Calculation 2 8 2 4 3 5" xfId="20581" xr:uid="{00000000-0005-0000-0000-000035110000}"/>
    <cellStyle name="Calculation 2 8 2 4 3 6" xfId="31426" xr:uid="{00000000-0005-0000-0000-000036110000}"/>
    <cellStyle name="Calculation 2 8 2 4 3 7" xfId="12387" xr:uid="{00000000-0005-0000-0000-000037110000}"/>
    <cellStyle name="Calculation 2 8 2 4 4" xfId="2003" xr:uid="{00000000-0005-0000-0000-000038110000}"/>
    <cellStyle name="Calculation 2 8 2 4 4 2" xfId="4856" xr:uid="{00000000-0005-0000-0000-000039110000}"/>
    <cellStyle name="Calculation 2 8 2 4 4 2 2" xfId="23828" xr:uid="{00000000-0005-0000-0000-00003A110000}"/>
    <cellStyle name="Calculation 2 8 2 4 4 2 3" xfId="34673" xr:uid="{00000000-0005-0000-0000-00003B110000}"/>
    <cellStyle name="Calculation 2 8 2 4 4 2 4" xfId="14709" xr:uid="{00000000-0005-0000-0000-00003C110000}"/>
    <cellStyle name="Calculation 2 8 2 4 4 3" xfId="7528" xr:uid="{00000000-0005-0000-0000-00003D110000}"/>
    <cellStyle name="Calculation 2 8 2 4 4 3 2" xfId="26500" xr:uid="{00000000-0005-0000-0000-00003E110000}"/>
    <cellStyle name="Calculation 2 8 2 4 4 3 3" xfId="37345" xr:uid="{00000000-0005-0000-0000-00003F110000}"/>
    <cellStyle name="Calculation 2 8 2 4 4 3 4" xfId="16623" xr:uid="{00000000-0005-0000-0000-000040110000}"/>
    <cellStyle name="Calculation 2 8 2 4 4 4" xfId="10187" xr:uid="{00000000-0005-0000-0000-000041110000}"/>
    <cellStyle name="Calculation 2 8 2 4 4 4 2" xfId="29159" xr:uid="{00000000-0005-0000-0000-000042110000}"/>
    <cellStyle name="Calculation 2 8 2 4 4 4 3" xfId="40004" xr:uid="{00000000-0005-0000-0000-000043110000}"/>
    <cellStyle name="Calculation 2 8 2 4 4 4 4" xfId="18527" xr:uid="{00000000-0005-0000-0000-000044110000}"/>
    <cellStyle name="Calculation 2 8 2 4 4 5" xfId="20983" xr:uid="{00000000-0005-0000-0000-000045110000}"/>
    <cellStyle name="Calculation 2 8 2 4 4 6" xfId="31828" xr:uid="{00000000-0005-0000-0000-000046110000}"/>
    <cellStyle name="Calculation 2 8 2 4 4 7" xfId="12673" xr:uid="{00000000-0005-0000-0000-000047110000}"/>
    <cellStyle name="Calculation 2 8 2 4 5" xfId="2395" xr:uid="{00000000-0005-0000-0000-000048110000}"/>
    <cellStyle name="Calculation 2 8 2 4 5 2" xfId="5248" xr:uid="{00000000-0005-0000-0000-000049110000}"/>
    <cellStyle name="Calculation 2 8 2 4 5 2 2" xfId="24220" xr:uid="{00000000-0005-0000-0000-00004A110000}"/>
    <cellStyle name="Calculation 2 8 2 4 5 2 3" xfId="35065" xr:uid="{00000000-0005-0000-0000-00004B110000}"/>
    <cellStyle name="Calculation 2 8 2 4 5 2 4" xfId="14990" xr:uid="{00000000-0005-0000-0000-00004C110000}"/>
    <cellStyle name="Calculation 2 8 2 4 5 3" xfId="7919" xr:uid="{00000000-0005-0000-0000-00004D110000}"/>
    <cellStyle name="Calculation 2 8 2 4 5 3 2" xfId="26891" xr:uid="{00000000-0005-0000-0000-00004E110000}"/>
    <cellStyle name="Calculation 2 8 2 4 5 3 3" xfId="37736" xr:uid="{00000000-0005-0000-0000-00004F110000}"/>
    <cellStyle name="Calculation 2 8 2 4 5 3 4" xfId="16903" xr:uid="{00000000-0005-0000-0000-000050110000}"/>
    <cellStyle name="Calculation 2 8 2 4 5 4" xfId="10578" xr:uid="{00000000-0005-0000-0000-000051110000}"/>
    <cellStyle name="Calculation 2 8 2 4 5 4 2" xfId="29550" xr:uid="{00000000-0005-0000-0000-000052110000}"/>
    <cellStyle name="Calculation 2 8 2 4 5 4 3" xfId="40395" xr:uid="{00000000-0005-0000-0000-000053110000}"/>
    <cellStyle name="Calculation 2 8 2 4 5 4 4" xfId="18807" xr:uid="{00000000-0005-0000-0000-000054110000}"/>
    <cellStyle name="Calculation 2 8 2 4 5 5" xfId="21374" xr:uid="{00000000-0005-0000-0000-000055110000}"/>
    <cellStyle name="Calculation 2 8 2 4 5 6" xfId="32219" xr:uid="{00000000-0005-0000-0000-000056110000}"/>
    <cellStyle name="Calculation 2 8 2 4 5 7" xfId="12953" xr:uid="{00000000-0005-0000-0000-000057110000}"/>
    <cellStyle name="Calculation 2 8 2 4 6" xfId="2784" xr:uid="{00000000-0005-0000-0000-000058110000}"/>
    <cellStyle name="Calculation 2 8 2 4 6 2" xfId="5636" xr:uid="{00000000-0005-0000-0000-000059110000}"/>
    <cellStyle name="Calculation 2 8 2 4 6 2 2" xfId="24608" xr:uid="{00000000-0005-0000-0000-00005A110000}"/>
    <cellStyle name="Calculation 2 8 2 4 6 2 3" xfId="35453" xr:uid="{00000000-0005-0000-0000-00005B110000}"/>
    <cellStyle name="Calculation 2 8 2 4 6 2 4" xfId="15268" xr:uid="{00000000-0005-0000-0000-00005C110000}"/>
    <cellStyle name="Calculation 2 8 2 4 6 3" xfId="8307" xr:uid="{00000000-0005-0000-0000-00005D110000}"/>
    <cellStyle name="Calculation 2 8 2 4 6 3 2" xfId="27279" xr:uid="{00000000-0005-0000-0000-00005E110000}"/>
    <cellStyle name="Calculation 2 8 2 4 6 3 3" xfId="38124" xr:uid="{00000000-0005-0000-0000-00005F110000}"/>
    <cellStyle name="Calculation 2 8 2 4 6 3 4" xfId="17181" xr:uid="{00000000-0005-0000-0000-000060110000}"/>
    <cellStyle name="Calculation 2 8 2 4 6 4" xfId="10966" xr:uid="{00000000-0005-0000-0000-000061110000}"/>
    <cellStyle name="Calculation 2 8 2 4 6 4 2" xfId="29938" xr:uid="{00000000-0005-0000-0000-000062110000}"/>
    <cellStyle name="Calculation 2 8 2 4 6 4 3" xfId="40783" xr:uid="{00000000-0005-0000-0000-000063110000}"/>
    <cellStyle name="Calculation 2 8 2 4 6 4 4" xfId="19085" xr:uid="{00000000-0005-0000-0000-000064110000}"/>
    <cellStyle name="Calculation 2 8 2 4 6 5" xfId="21762" xr:uid="{00000000-0005-0000-0000-000065110000}"/>
    <cellStyle name="Calculation 2 8 2 4 6 6" xfId="32607" xr:uid="{00000000-0005-0000-0000-000066110000}"/>
    <cellStyle name="Calculation 2 8 2 4 6 7" xfId="13231" xr:uid="{00000000-0005-0000-0000-000067110000}"/>
    <cellStyle name="Calculation 2 8 2 4 7" xfId="3475" xr:uid="{00000000-0005-0000-0000-000068110000}"/>
    <cellStyle name="Calculation 2 8 2 4 7 2" xfId="22447" xr:uid="{00000000-0005-0000-0000-000069110000}"/>
    <cellStyle name="Calculation 2 8 2 4 7 3" xfId="33292" xr:uid="{00000000-0005-0000-0000-00006A110000}"/>
    <cellStyle name="Calculation 2 8 2 4 7 4" xfId="13713" xr:uid="{00000000-0005-0000-0000-00006B110000}"/>
    <cellStyle name="Calculation 2 8 2 4 8" xfId="6151" xr:uid="{00000000-0005-0000-0000-00006C110000}"/>
    <cellStyle name="Calculation 2 8 2 4 8 2" xfId="25123" xr:uid="{00000000-0005-0000-0000-00006D110000}"/>
    <cellStyle name="Calculation 2 8 2 4 8 3" xfId="35968" xr:uid="{00000000-0005-0000-0000-00006E110000}"/>
    <cellStyle name="Calculation 2 8 2 4 8 4" xfId="15630" xr:uid="{00000000-0005-0000-0000-00006F110000}"/>
    <cellStyle name="Calculation 2 8 2 4 9" xfId="8810" xr:uid="{00000000-0005-0000-0000-000070110000}"/>
    <cellStyle name="Calculation 2 8 2 4 9 2" xfId="27782" xr:uid="{00000000-0005-0000-0000-000071110000}"/>
    <cellStyle name="Calculation 2 8 2 4 9 3" xfId="38627" xr:uid="{00000000-0005-0000-0000-000072110000}"/>
    <cellStyle name="Calculation 2 8 2 4 9 4" xfId="17534" xr:uid="{00000000-0005-0000-0000-000073110000}"/>
    <cellStyle name="Calculation 2 8 2 5" xfId="592" xr:uid="{00000000-0005-0000-0000-000074110000}"/>
    <cellStyle name="Calculation 2 8 2 5 10" xfId="19602" xr:uid="{00000000-0005-0000-0000-000075110000}"/>
    <cellStyle name="Calculation 2 8 2 5 11" xfId="30447" xr:uid="{00000000-0005-0000-0000-000076110000}"/>
    <cellStyle name="Calculation 2 8 2 5 12" xfId="11656" xr:uid="{00000000-0005-0000-0000-000077110000}"/>
    <cellStyle name="Calculation 2 8 2 5 2" xfId="1198" xr:uid="{00000000-0005-0000-0000-000078110000}"/>
    <cellStyle name="Calculation 2 8 2 5 2 2" xfId="4051" xr:uid="{00000000-0005-0000-0000-000079110000}"/>
    <cellStyle name="Calculation 2 8 2 5 2 2 2" xfId="23023" xr:uid="{00000000-0005-0000-0000-00007A110000}"/>
    <cellStyle name="Calculation 2 8 2 5 2 2 3" xfId="33868" xr:uid="{00000000-0005-0000-0000-00007B110000}"/>
    <cellStyle name="Calculation 2 8 2 5 2 2 4" xfId="14133" xr:uid="{00000000-0005-0000-0000-00007C110000}"/>
    <cellStyle name="Calculation 2 8 2 5 2 3" xfId="6724" xr:uid="{00000000-0005-0000-0000-00007D110000}"/>
    <cellStyle name="Calculation 2 8 2 5 2 3 2" xfId="25696" xr:uid="{00000000-0005-0000-0000-00007E110000}"/>
    <cellStyle name="Calculation 2 8 2 5 2 3 3" xfId="36541" xr:uid="{00000000-0005-0000-0000-00007F110000}"/>
    <cellStyle name="Calculation 2 8 2 5 2 3 4" xfId="16048" xr:uid="{00000000-0005-0000-0000-000080110000}"/>
    <cellStyle name="Calculation 2 8 2 5 2 4" xfId="9383" xr:uid="{00000000-0005-0000-0000-000081110000}"/>
    <cellStyle name="Calculation 2 8 2 5 2 4 2" xfId="28355" xr:uid="{00000000-0005-0000-0000-000082110000}"/>
    <cellStyle name="Calculation 2 8 2 5 2 4 3" xfId="39200" xr:uid="{00000000-0005-0000-0000-000083110000}"/>
    <cellStyle name="Calculation 2 8 2 5 2 4 4" xfId="17952" xr:uid="{00000000-0005-0000-0000-000084110000}"/>
    <cellStyle name="Calculation 2 8 2 5 2 5" xfId="20179" xr:uid="{00000000-0005-0000-0000-000085110000}"/>
    <cellStyle name="Calculation 2 8 2 5 2 6" xfId="31024" xr:uid="{00000000-0005-0000-0000-000086110000}"/>
    <cellStyle name="Calculation 2 8 2 5 2 7" xfId="12098" xr:uid="{00000000-0005-0000-0000-000087110000}"/>
    <cellStyle name="Calculation 2 8 2 5 3" xfId="1595" xr:uid="{00000000-0005-0000-0000-000088110000}"/>
    <cellStyle name="Calculation 2 8 2 5 3 2" xfId="4448" xr:uid="{00000000-0005-0000-0000-000089110000}"/>
    <cellStyle name="Calculation 2 8 2 5 3 2 2" xfId="23420" xr:uid="{00000000-0005-0000-0000-00008A110000}"/>
    <cellStyle name="Calculation 2 8 2 5 3 2 3" xfId="34265" xr:uid="{00000000-0005-0000-0000-00008B110000}"/>
    <cellStyle name="Calculation 2 8 2 5 3 2 4" xfId="14419" xr:uid="{00000000-0005-0000-0000-00008C110000}"/>
    <cellStyle name="Calculation 2 8 2 5 3 3" xfId="7120" xr:uid="{00000000-0005-0000-0000-00008D110000}"/>
    <cellStyle name="Calculation 2 8 2 5 3 3 2" xfId="26092" xr:uid="{00000000-0005-0000-0000-00008E110000}"/>
    <cellStyle name="Calculation 2 8 2 5 3 3 3" xfId="36937" xr:uid="{00000000-0005-0000-0000-00008F110000}"/>
    <cellStyle name="Calculation 2 8 2 5 3 3 4" xfId="16333" xr:uid="{00000000-0005-0000-0000-000090110000}"/>
    <cellStyle name="Calculation 2 8 2 5 3 4" xfId="9779" xr:uid="{00000000-0005-0000-0000-000091110000}"/>
    <cellStyle name="Calculation 2 8 2 5 3 4 2" xfId="28751" xr:uid="{00000000-0005-0000-0000-000092110000}"/>
    <cellStyle name="Calculation 2 8 2 5 3 4 3" xfId="39596" xr:uid="{00000000-0005-0000-0000-000093110000}"/>
    <cellStyle name="Calculation 2 8 2 5 3 4 4" xfId="18237" xr:uid="{00000000-0005-0000-0000-000094110000}"/>
    <cellStyle name="Calculation 2 8 2 5 3 5" xfId="20575" xr:uid="{00000000-0005-0000-0000-000095110000}"/>
    <cellStyle name="Calculation 2 8 2 5 3 6" xfId="31420" xr:uid="{00000000-0005-0000-0000-000096110000}"/>
    <cellStyle name="Calculation 2 8 2 5 3 7" xfId="12383" xr:uid="{00000000-0005-0000-0000-000097110000}"/>
    <cellStyle name="Calculation 2 8 2 5 4" xfId="1999" xr:uid="{00000000-0005-0000-0000-000098110000}"/>
    <cellStyle name="Calculation 2 8 2 5 4 2" xfId="4852" xr:uid="{00000000-0005-0000-0000-000099110000}"/>
    <cellStyle name="Calculation 2 8 2 5 4 2 2" xfId="23824" xr:uid="{00000000-0005-0000-0000-00009A110000}"/>
    <cellStyle name="Calculation 2 8 2 5 4 2 3" xfId="34669" xr:uid="{00000000-0005-0000-0000-00009B110000}"/>
    <cellStyle name="Calculation 2 8 2 5 4 2 4" xfId="14707" xr:uid="{00000000-0005-0000-0000-00009C110000}"/>
    <cellStyle name="Calculation 2 8 2 5 4 3" xfId="7524" xr:uid="{00000000-0005-0000-0000-00009D110000}"/>
    <cellStyle name="Calculation 2 8 2 5 4 3 2" xfId="26496" xr:uid="{00000000-0005-0000-0000-00009E110000}"/>
    <cellStyle name="Calculation 2 8 2 5 4 3 3" xfId="37341" xr:uid="{00000000-0005-0000-0000-00009F110000}"/>
    <cellStyle name="Calculation 2 8 2 5 4 3 4" xfId="16621" xr:uid="{00000000-0005-0000-0000-0000A0110000}"/>
    <cellStyle name="Calculation 2 8 2 5 4 4" xfId="10183" xr:uid="{00000000-0005-0000-0000-0000A1110000}"/>
    <cellStyle name="Calculation 2 8 2 5 4 4 2" xfId="29155" xr:uid="{00000000-0005-0000-0000-0000A2110000}"/>
    <cellStyle name="Calculation 2 8 2 5 4 4 3" xfId="40000" xr:uid="{00000000-0005-0000-0000-0000A3110000}"/>
    <cellStyle name="Calculation 2 8 2 5 4 4 4" xfId="18525" xr:uid="{00000000-0005-0000-0000-0000A4110000}"/>
    <cellStyle name="Calculation 2 8 2 5 4 5" xfId="20979" xr:uid="{00000000-0005-0000-0000-0000A5110000}"/>
    <cellStyle name="Calculation 2 8 2 5 4 6" xfId="31824" xr:uid="{00000000-0005-0000-0000-0000A6110000}"/>
    <cellStyle name="Calculation 2 8 2 5 4 7" xfId="12671" xr:uid="{00000000-0005-0000-0000-0000A7110000}"/>
    <cellStyle name="Calculation 2 8 2 5 5" xfId="2391" xr:uid="{00000000-0005-0000-0000-0000A8110000}"/>
    <cellStyle name="Calculation 2 8 2 5 5 2" xfId="5244" xr:uid="{00000000-0005-0000-0000-0000A9110000}"/>
    <cellStyle name="Calculation 2 8 2 5 5 2 2" xfId="24216" xr:uid="{00000000-0005-0000-0000-0000AA110000}"/>
    <cellStyle name="Calculation 2 8 2 5 5 2 3" xfId="35061" xr:uid="{00000000-0005-0000-0000-0000AB110000}"/>
    <cellStyle name="Calculation 2 8 2 5 5 2 4" xfId="14988" xr:uid="{00000000-0005-0000-0000-0000AC110000}"/>
    <cellStyle name="Calculation 2 8 2 5 5 3" xfId="7915" xr:uid="{00000000-0005-0000-0000-0000AD110000}"/>
    <cellStyle name="Calculation 2 8 2 5 5 3 2" xfId="26887" xr:uid="{00000000-0005-0000-0000-0000AE110000}"/>
    <cellStyle name="Calculation 2 8 2 5 5 3 3" xfId="37732" xr:uid="{00000000-0005-0000-0000-0000AF110000}"/>
    <cellStyle name="Calculation 2 8 2 5 5 3 4" xfId="16901" xr:uid="{00000000-0005-0000-0000-0000B0110000}"/>
    <cellStyle name="Calculation 2 8 2 5 5 4" xfId="10574" xr:uid="{00000000-0005-0000-0000-0000B1110000}"/>
    <cellStyle name="Calculation 2 8 2 5 5 4 2" xfId="29546" xr:uid="{00000000-0005-0000-0000-0000B2110000}"/>
    <cellStyle name="Calculation 2 8 2 5 5 4 3" xfId="40391" xr:uid="{00000000-0005-0000-0000-0000B3110000}"/>
    <cellStyle name="Calculation 2 8 2 5 5 4 4" xfId="18805" xr:uid="{00000000-0005-0000-0000-0000B4110000}"/>
    <cellStyle name="Calculation 2 8 2 5 5 5" xfId="21370" xr:uid="{00000000-0005-0000-0000-0000B5110000}"/>
    <cellStyle name="Calculation 2 8 2 5 5 6" xfId="32215" xr:uid="{00000000-0005-0000-0000-0000B6110000}"/>
    <cellStyle name="Calculation 2 8 2 5 5 7" xfId="12951" xr:uid="{00000000-0005-0000-0000-0000B7110000}"/>
    <cellStyle name="Calculation 2 8 2 5 6" xfId="2780" xr:uid="{00000000-0005-0000-0000-0000B8110000}"/>
    <cellStyle name="Calculation 2 8 2 5 6 2" xfId="5632" xr:uid="{00000000-0005-0000-0000-0000B9110000}"/>
    <cellStyle name="Calculation 2 8 2 5 6 2 2" xfId="24604" xr:uid="{00000000-0005-0000-0000-0000BA110000}"/>
    <cellStyle name="Calculation 2 8 2 5 6 2 3" xfId="35449" xr:uid="{00000000-0005-0000-0000-0000BB110000}"/>
    <cellStyle name="Calculation 2 8 2 5 6 2 4" xfId="15266" xr:uid="{00000000-0005-0000-0000-0000BC110000}"/>
    <cellStyle name="Calculation 2 8 2 5 6 3" xfId="8303" xr:uid="{00000000-0005-0000-0000-0000BD110000}"/>
    <cellStyle name="Calculation 2 8 2 5 6 3 2" xfId="27275" xr:uid="{00000000-0005-0000-0000-0000BE110000}"/>
    <cellStyle name="Calculation 2 8 2 5 6 3 3" xfId="38120" xr:uid="{00000000-0005-0000-0000-0000BF110000}"/>
    <cellStyle name="Calculation 2 8 2 5 6 3 4" xfId="17179" xr:uid="{00000000-0005-0000-0000-0000C0110000}"/>
    <cellStyle name="Calculation 2 8 2 5 6 4" xfId="10962" xr:uid="{00000000-0005-0000-0000-0000C1110000}"/>
    <cellStyle name="Calculation 2 8 2 5 6 4 2" xfId="29934" xr:uid="{00000000-0005-0000-0000-0000C2110000}"/>
    <cellStyle name="Calculation 2 8 2 5 6 4 3" xfId="40779" xr:uid="{00000000-0005-0000-0000-0000C3110000}"/>
    <cellStyle name="Calculation 2 8 2 5 6 4 4" xfId="19083" xr:uid="{00000000-0005-0000-0000-0000C4110000}"/>
    <cellStyle name="Calculation 2 8 2 5 6 5" xfId="21758" xr:uid="{00000000-0005-0000-0000-0000C5110000}"/>
    <cellStyle name="Calculation 2 8 2 5 6 6" xfId="32603" xr:uid="{00000000-0005-0000-0000-0000C6110000}"/>
    <cellStyle name="Calculation 2 8 2 5 6 7" xfId="13229" xr:uid="{00000000-0005-0000-0000-0000C7110000}"/>
    <cellStyle name="Calculation 2 8 2 5 7" xfId="3471" xr:uid="{00000000-0005-0000-0000-0000C8110000}"/>
    <cellStyle name="Calculation 2 8 2 5 7 2" xfId="22443" xr:uid="{00000000-0005-0000-0000-0000C9110000}"/>
    <cellStyle name="Calculation 2 8 2 5 7 3" xfId="33288" xr:uid="{00000000-0005-0000-0000-0000CA110000}"/>
    <cellStyle name="Calculation 2 8 2 5 7 4" xfId="13711" xr:uid="{00000000-0005-0000-0000-0000CB110000}"/>
    <cellStyle name="Calculation 2 8 2 5 8" xfId="6147" xr:uid="{00000000-0005-0000-0000-0000CC110000}"/>
    <cellStyle name="Calculation 2 8 2 5 8 2" xfId="25119" xr:uid="{00000000-0005-0000-0000-0000CD110000}"/>
    <cellStyle name="Calculation 2 8 2 5 8 3" xfId="35964" xr:uid="{00000000-0005-0000-0000-0000CE110000}"/>
    <cellStyle name="Calculation 2 8 2 5 8 4" xfId="15628" xr:uid="{00000000-0005-0000-0000-0000CF110000}"/>
    <cellStyle name="Calculation 2 8 2 5 9" xfId="8806" xr:uid="{00000000-0005-0000-0000-0000D0110000}"/>
    <cellStyle name="Calculation 2 8 2 5 9 2" xfId="27778" xr:uid="{00000000-0005-0000-0000-0000D1110000}"/>
    <cellStyle name="Calculation 2 8 2 5 9 3" xfId="38623" xr:uid="{00000000-0005-0000-0000-0000D2110000}"/>
    <cellStyle name="Calculation 2 8 2 5 9 4" xfId="17532" xr:uid="{00000000-0005-0000-0000-0000D3110000}"/>
    <cellStyle name="Calculation 2 8 2 6" xfId="1061" xr:uid="{00000000-0005-0000-0000-0000D4110000}"/>
    <cellStyle name="Calculation 2 8 2 6 2" xfId="3914" xr:uid="{00000000-0005-0000-0000-0000D5110000}"/>
    <cellStyle name="Calculation 2 8 2 6 2 2" xfId="22886" xr:uid="{00000000-0005-0000-0000-0000D6110000}"/>
    <cellStyle name="Calculation 2 8 2 6 2 3" xfId="33731" xr:uid="{00000000-0005-0000-0000-0000D7110000}"/>
    <cellStyle name="Calculation 2 8 2 6 2 4" xfId="14027" xr:uid="{00000000-0005-0000-0000-0000D8110000}"/>
    <cellStyle name="Calculation 2 8 2 6 3" xfId="6588" xr:uid="{00000000-0005-0000-0000-0000D9110000}"/>
    <cellStyle name="Calculation 2 8 2 6 3 2" xfId="25560" xr:uid="{00000000-0005-0000-0000-0000DA110000}"/>
    <cellStyle name="Calculation 2 8 2 6 3 3" xfId="36405" xr:uid="{00000000-0005-0000-0000-0000DB110000}"/>
    <cellStyle name="Calculation 2 8 2 6 3 4" xfId="15943" xr:uid="{00000000-0005-0000-0000-0000DC110000}"/>
    <cellStyle name="Calculation 2 8 2 6 4" xfId="9247" xr:uid="{00000000-0005-0000-0000-0000DD110000}"/>
    <cellStyle name="Calculation 2 8 2 6 4 2" xfId="28219" xr:uid="{00000000-0005-0000-0000-0000DE110000}"/>
    <cellStyle name="Calculation 2 8 2 6 4 3" xfId="39064" xr:uid="{00000000-0005-0000-0000-0000DF110000}"/>
    <cellStyle name="Calculation 2 8 2 6 4 4" xfId="17847" xr:uid="{00000000-0005-0000-0000-0000E0110000}"/>
    <cellStyle name="Calculation 2 8 2 6 5" xfId="20043" xr:uid="{00000000-0005-0000-0000-0000E1110000}"/>
    <cellStyle name="Calculation 2 8 2 6 6" xfId="30888" xr:uid="{00000000-0005-0000-0000-0000E2110000}"/>
    <cellStyle name="Calculation 2 8 2 6 7" xfId="11993" xr:uid="{00000000-0005-0000-0000-0000E3110000}"/>
    <cellStyle name="Calculation 2 8 2 7" xfId="1003" xr:uid="{00000000-0005-0000-0000-0000E4110000}"/>
    <cellStyle name="Calculation 2 8 2 7 2" xfId="3856" xr:uid="{00000000-0005-0000-0000-0000E5110000}"/>
    <cellStyle name="Calculation 2 8 2 7 2 2" xfId="22828" xr:uid="{00000000-0005-0000-0000-0000E6110000}"/>
    <cellStyle name="Calculation 2 8 2 7 2 3" xfId="33673" xr:uid="{00000000-0005-0000-0000-0000E7110000}"/>
    <cellStyle name="Calculation 2 8 2 7 2 4" xfId="13984" xr:uid="{00000000-0005-0000-0000-0000E8110000}"/>
    <cellStyle name="Calculation 2 8 2 7 3" xfId="6530" xr:uid="{00000000-0005-0000-0000-0000E9110000}"/>
    <cellStyle name="Calculation 2 8 2 7 3 2" xfId="25502" xr:uid="{00000000-0005-0000-0000-0000EA110000}"/>
    <cellStyle name="Calculation 2 8 2 7 3 3" xfId="36347" xr:uid="{00000000-0005-0000-0000-0000EB110000}"/>
    <cellStyle name="Calculation 2 8 2 7 3 4" xfId="15900" xr:uid="{00000000-0005-0000-0000-0000EC110000}"/>
    <cellStyle name="Calculation 2 8 2 7 4" xfId="9189" xr:uid="{00000000-0005-0000-0000-0000ED110000}"/>
    <cellStyle name="Calculation 2 8 2 7 4 2" xfId="28161" xr:uid="{00000000-0005-0000-0000-0000EE110000}"/>
    <cellStyle name="Calculation 2 8 2 7 4 3" xfId="39006" xr:uid="{00000000-0005-0000-0000-0000EF110000}"/>
    <cellStyle name="Calculation 2 8 2 7 4 4" xfId="17804" xr:uid="{00000000-0005-0000-0000-0000F0110000}"/>
    <cellStyle name="Calculation 2 8 2 7 5" xfId="19985" xr:uid="{00000000-0005-0000-0000-0000F1110000}"/>
    <cellStyle name="Calculation 2 8 2 7 6" xfId="30830" xr:uid="{00000000-0005-0000-0000-0000F2110000}"/>
    <cellStyle name="Calculation 2 8 2 7 7" xfId="11950" xr:uid="{00000000-0005-0000-0000-0000F3110000}"/>
    <cellStyle name="Calculation 2 8 2 8" xfId="973" xr:uid="{00000000-0005-0000-0000-0000F4110000}"/>
    <cellStyle name="Calculation 2 8 2 8 2" xfId="3826" xr:uid="{00000000-0005-0000-0000-0000F5110000}"/>
    <cellStyle name="Calculation 2 8 2 8 2 2" xfId="22798" xr:uid="{00000000-0005-0000-0000-0000F6110000}"/>
    <cellStyle name="Calculation 2 8 2 8 2 3" xfId="33643" xr:uid="{00000000-0005-0000-0000-0000F7110000}"/>
    <cellStyle name="Calculation 2 8 2 8 2 4" xfId="13964" xr:uid="{00000000-0005-0000-0000-0000F8110000}"/>
    <cellStyle name="Calculation 2 8 2 8 3" xfId="6501" xr:uid="{00000000-0005-0000-0000-0000F9110000}"/>
    <cellStyle name="Calculation 2 8 2 8 3 2" xfId="25473" xr:uid="{00000000-0005-0000-0000-0000FA110000}"/>
    <cellStyle name="Calculation 2 8 2 8 3 3" xfId="36318" xr:uid="{00000000-0005-0000-0000-0000FB110000}"/>
    <cellStyle name="Calculation 2 8 2 8 3 4" xfId="15880" xr:uid="{00000000-0005-0000-0000-0000FC110000}"/>
    <cellStyle name="Calculation 2 8 2 8 4" xfId="9160" xr:uid="{00000000-0005-0000-0000-0000FD110000}"/>
    <cellStyle name="Calculation 2 8 2 8 4 2" xfId="28132" xr:uid="{00000000-0005-0000-0000-0000FE110000}"/>
    <cellStyle name="Calculation 2 8 2 8 4 3" xfId="38977" xr:uid="{00000000-0005-0000-0000-0000FF110000}"/>
    <cellStyle name="Calculation 2 8 2 8 4 4" xfId="17784" xr:uid="{00000000-0005-0000-0000-000000120000}"/>
    <cellStyle name="Calculation 2 8 2 8 5" xfId="19956" xr:uid="{00000000-0005-0000-0000-000001120000}"/>
    <cellStyle name="Calculation 2 8 2 8 6" xfId="30801" xr:uid="{00000000-0005-0000-0000-000002120000}"/>
    <cellStyle name="Calculation 2 8 2 8 7" xfId="11930" xr:uid="{00000000-0005-0000-0000-000003120000}"/>
    <cellStyle name="Calculation 2 8 2 9" xfId="1118" xr:uid="{00000000-0005-0000-0000-000004120000}"/>
    <cellStyle name="Calculation 2 8 2 9 2" xfId="3971" xr:uid="{00000000-0005-0000-0000-000005120000}"/>
    <cellStyle name="Calculation 2 8 2 9 2 2" xfId="22943" xr:uid="{00000000-0005-0000-0000-000006120000}"/>
    <cellStyle name="Calculation 2 8 2 9 2 3" xfId="33788" xr:uid="{00000000-0005-0000-0000-000007120000}"/>
    <cellStyle name="Calculation 2 8 2 9 2 4" xfId="14070" xr:uid="{00000000-0005-0000-0000-000008120000}"/>
    <cellStyle name="Calculation 2 8 2 9 3" xfId="6644" xr:uid="{00000000-0005-0000-0000-000009120000}"/>
    <cellStyle name="Calculation 2 8 2 9 3 2" xfId="25616" xr:uid="{00000000-0005-0000-0000-00000A120000}"/>
    <cellStyle name="Calculation 2 8 2 9 3 3" xfId="36461" xr:uid="{00000000-0005-0000-0000-00000B120000}"/>
    <cellStyle name="Calculation 2 8 2 9 3 4" xfId="15985" xr:uid="{00000000-0005-0000-0000-00000C120000}"/>
    <cellStyle name="Calculation 2 8 2 9 4" xfId="9303" xr:uid="{00000000-0005-0000-0000-00000D120000}"/>
    <cellStyle name="Calculation 2 8 2 9 4 2" xfId="28275" xr:uid="{00000000-0005-0000-0000-00000E120000}"/>
    <cellStyle name="Calculation 2 8 2 9 4 3" xfId="39120" xr:uid="{00000000-0005-0000-0000-00000F120000}"/>
    <cellStyle name="Calculation 2 8 2 9 4 4" xfId="17889" xr:uid="{00000000-0005-0000-0000-000010120000}"/>
    <cellStyle name="Calculation 2 8 2 9 5" xfId="20099" xr:uid="{00000000-0005-0000-0000-000011120000}"/>
    <cellStyle name="Calculation 2 8 2 9 6" xfId="30944" xr:uid="{00000000-0005-0000-0000-000012120000}"/>
    <cellStyle name="Calculation 2 8 2 9 7" xfId="12035" xr:uid="{00000000-0005-0000-0000-000013120000}"/>
    <cellStyle name="Calculation 2 8 3" xfId="543" xr:uid="{00000000-0005-0000-0000-000014120000}"/>
    <cellStyle name="Calculation 2 8 3 10" xfId="19553" xr:uid="{00000000-0005-0000-0000-000015120000}"/>
    <cellStyle name="Calculation 2 8 3 11" xfId="30398" xr:uid="{00000000-0005-0000-0000-000016120000}"/>
    <cellStyle name="Calculation 2 8 3 12" xfId="11617" xr:uid="{00000000-0005-0000-0000-000017120000}"/>
    <cellStyle name="Calculation 2 8 3 2" xfId="1149" xr:uid="{00000000-0005-0000-0000-000018120000}"/>
    <cellStyle name="Calculation 2 8 3 2 2" xfId="4002" xr:uid="{00000000-0005-0000-0000-000019120000}"/>
    <cellStyle name="Calculation 2 8 3 2 2 2" xfId="22974" xr:uid="{00000000-0005-0000-0000-00001A120000}"/>
    <cellStyle name="Calculation 2 8 3 2 2 3" xfId="33819" xr:uid="{00000000-0005-0000-0000-00001B120000}"/>
    <cellStyle name="Calculation 2 8 3 2 2 4" xfId="14094" xr:uid="{00000000-0005-0000-0000-00001C120000}"/>
    <cellStyle name="Calculation 2 8 3 2 3" xfId="6675" xr:uid="{00000000-0005-0000-0000-00001D120000}"/>
    <cellStyle name="Calculation 2 8 3 2 3 2" xfId="25647" xr:uid="{00000000-0005-0000-0000-00001E120000}"/>
    <cellStyle name="Calculation 2 8 3 2 3 3" xfId="36492" xr:uid="{00000000-0005-0000-0000-00001F120000}"/>
    <cellStyle name="Calculation 2 8 3 2 3 4" xfId="16009" xr:uid="{00000000-0005-0000-0000-000020120000}"/>
    <cellStyle name="Calculation 2 8 3 2 4" xfId="9334" xr:uid="{00000000-0005-0000-0000-000021120000}"/>
    <cellStyle name="Calculation 2 8 3 2 4 2" xfId="28306" xr:uid="{00000000-0005-0000-0000-000022120000}"/>
    <cellStyle name="Calculation 2 8 3 2 4 3" xfId="39151" xr:uid="{00000000-0005-0000-0000-000023120000}"/>
    <cellStyle name="Calculation 2 8 3 2 4 4" xfId="17913" xr:uid="{00000000-0005-0000-0000-000024120000}"/>
    <cellStyle name="Calculation 2 8 3 2 5" xfId="20130" xr:uid="{00000000-0005-0000-0000-000025120000}"/>
    <cellStyle name="Calculation 2 8 3 2 6" xfId="30975" xr:uid="{00000000-0005-0000-0000-000026120000}"/>
    <cellStyle name="Calculation 2 8 3 2 7" xfId="12059" xr:uid="{00000000-0005-0000-0000-000027120000}"/>
    <cellStyle name="Calculation 2 8 3 3" xfId="1546" xr:uid="{00000000-0005-0000-0000-000028120000}"/>
    <cellStyle name="Calculation 2 8 3 3 2" xfId="4399" xr:uid="{00000000-0005-0000-0000-000029120000}"/>
    <cellStyle name="Calculation 2 8 3 3 2 2" xfId="23371" xr:uid="{00000000-0005-0000-0000-00002A120000}"/>
    <cellStyle name="Calculation 2 8 3 3 2 3" xfId="34216" xr:uid="{00000000-0005-0000-0000-00002B120000}"/>
    <cellStyle name="Calculation 2 8 3 3 2 4" xfId="14380" xr:uid="{00000000-0005-0000-0000-00002C120000}"/>
    <cellStyle name="Calculation 2 8 3 3 3" xfId="7071" xr:uid="{00000000-0005-0000-0000-00002D120000}"/>
    <cellStyle name="Calculation 2 8 3 3 3 2" xfId="26043" xr:uid="{00000000-0005-0000-0000-00002E120000}"/>
    <cellStyle name="Calculation 2 8 3 3 3 3" xfId="36888" xr:uid="{00000000-0005-0000-0000-00002F120000}"/>
    <cellStyle name="Calculation 2 8 3 3 3 4" xfId="16294" xr:uid="{00000000-0005-0000-0000-000030120000}"/>
    <cellStyle name="Calculation 2 8 3 3 4" xfId="9730" xr:uid="{00000000-0005-0000-0000-000031120000}"/>
    <cellStyle name="Calculation 2 8 3 3 4 2" xfId="28702" xr:uid="{00000000-0005-0000-0000-000032120000}"/>
    <cellStyle name="Calculation 2 8 3 3 4 3" xfId="39547" xr:uid="{00000000-0005-0000-0000-000033120000}"/>
    <cellStyle name="Calculation 2 8 3 3 4 4" xfId="18198" xr:uid="{00000000-0005-0000-0000-000034120000}"/>
    <cellStyle name="Calculation 2 8 3 3 5" xfId="20526" xr:uid="{00000000-0005-0000-0000-000035120000}"/>
    <cellStyle name="Calculation 2 8 3 3 6" xfId="31371" xr:uid="{00000000-0005-0000-0000-000036120000}"/>
    <cellStyle name="Calculation 2 8 3 3 7" xfId="12344" xr:uid="{00000000-0005-0000-0000-000037120000}"/>
    <cellStyle name="Calculation 2 8 3 4" xfId="1950" xr:uid="{00000000-0005-0000-0000-000038120000}"/>
    <cellStyle name="Calculation 2 8 3 4 2" xfId="4803" xr:uid="{00000000-0005-0000-0000-000039120000}"/>
    <cellStyle name="Calculation 2 8 3 4 2 2" xfId="23775" xr:uid="{00000000-0005-0000-0000-00003A120000}"/>
    <cellStyle name="Calculation 2 8 3 4 2 3" xfId="34620" xr:uid="{00000000-0005-0000-0000-00003B120000}"/>
    <cellStyle name="Calculation 2 8 3 4 2 4" xfId="14668" xr:uid="{00000000-0005-0000-0000-00003C120000}"/>
    <cellStyle name="Calculation 2 8 3 4 3" xfId="7475" xr:uid="{00000000-0005-0000-0000-00003D120000}"/>
    <cellStyle name="Calculation 2 8 3 4 3 2" xfId="26447" xr:uid="{00000000-0005-0000-0000-00003E120000}"/>
    <cellStyle name="Calculation 2 8 3 4 3 3" xfId="37292" xr:uid="{00000000-0005-0000-0000-00003F120000}"/>
    <cellStyle name="Calculation 2 8 3 4 3 4" xfId="16582" xr:uid="{00000000-0005-0000-0000-000040120000}"/>
    <cellStyle name="Calculation 2 8 3 4 4" xfId="10134" xr:uid="{00000000-0005-0000-0000-000041120000}"/>
    <cellStyle name="Calculation 2 8 3 4 4 2" xfId="29106" xr:uid="{00000000-0005-0000-0000-000042120000}"/>
    <cellStyle name="Calculation 2 8 3 4 4 3" xfId="39951" xr:uid="{00000000-0005-0000-0000-000043120000}"/>
    <cellStyle name="Calculation 2 8 3 4 4 4" xfId="18486" xr:uid="{00000000-0005-0000-0000-000044120000}"/>
    <cellStyle name="Calculation 2 8 3 4 5" xfId="20930" xr:uid="{00000000-0005-0000-0000-000045120000}"/>
    <cellStyle name="Calculation 2 8 3 4 6" xfId="31775" xr:uid="{00000000-0005-0000-0000-000046120000}"/>
    <cellStyle name="Calculation 2 8 3 4 7" xfId="12632" xr:uid="{00000000-0005-0000-0000-000047120000}"/>
    <cellStyle name="Calculation 2 8 3 5" xfId="2342" xr:uid="{00000000-0005-0000-0000-000048120000}"/>
    <cellStyle name="Calculation 2 8 3 5 2" xfId="5195" xr:uid="{00000000-0005-0000-0000-000049120000}"/>
    <cellStyle name="Calculation 2 8 3 5 2 2" xfId="24167" xr:uid="{00000000-0005-0000-0000-00004A120000}"/>
    <cellStyle name="Calculation 2 8 3 5 2 3" xfId="35012" xr:uid="{00000000-0005-0000-0000-00004B120000}"/>
    <cellStyle name="Calculation 2 8 3 5 2 4" xfId="14949" xr:uid="{00000000-0005-0000-0000-00004C120000}"/>
    <cellStyle name="Calculation 2 8 3 5 3" xfId="7866" xr:uid="{00000000-0005-0000-0000-00004D120000}"/>
    <cellStyle name="Calculation 2 8 3 5 3 2" xfId="26838" xr:uid="{00000000-0005-0000-0000-00004E120000}"/>
    <cellStyle name="Calculation 2 8 3 5 3 3" xfId="37683" xr:uid="{00000000-0005-0000-0000-00004F120000}"/>
    <cellStyle name="Calculation 2 8 3 5 3 4" xfId="16862" xr:uid="{00000000-0005-0000-0000-000050120000}"/>
    <cellStyle name="Calculation 2 8 3 5 4" xfId="10525" xr:uid="{00000000-0005-0000-0000-000051120000}"/>
    <cellStyle name="Calculation 2 8 3 5 4 2" xfId="29497" xr:uid="{00000000-0005-0000-0000-000052120000}"/>
    <cellStyle name="Calculation 2 8 3 5 4 3" xfId="40342" xr:uid="{00000000-0005-0000-0000-000053120000}"/>
    <cellStyle name="Calculation 2 8 3 5 4 4" xfId="18766" xr:uid="{00000000-0005-0000-0000-000054120000}"/>
    <cellStyle name="Calculation 2 8 3 5 5" xfId="21321" xr:uid="{00000000-0005-0000-0000-000055120000}"/>
    <cellStyle name="Calculation 2 8 3 5 6" xfId="32166" xr:uid="{00000000-0005-0000-0000-000056120000}"/>
    <cellStyle name="Calculation 2 8 3 5 7" xfId="12912" xr:uid="{00000000-0005-0000-0000-000057120000}"/>
    <cellStyle name="Calculation 2 8 3 6" xfId="2731" xr:uid="{00000000-0005-0000-0000-000058120000}"/>
    <cellStyle name="Calculation 2 8 3 6 2" xfId="5583" xr:uid="{00000000-0005-0000-0000-000059120000}"/>
    <cellStyle name="Calculation 2 8 3 6 2 2" xfId="24555" xr:uid="{00000000-0005-0000-0000-00005A120000}"/>
    <cellStyle name="Calculation 2 8 3 6 2 3" xfId="35400" xr:uid="{00000000-0005-0000-0000-00005B120000}"/>
    <cellStyle name="Calculation 2 8 3 6 2 4" xfId="15227" xr:uid="{00000000-0005-0000-0000-00005C120000}"/>
    <cellStyle name="Calculation 2 8 3 6 3" xfId="8254" xr:uid="{00000000-0005-0000-0000-00005D120000}"/>
    <cellStyle name="Calculation 2 8 3 6 3 2" xfId="27226" xr:uid="{00000000-0005-0000-0000-00005E120000}"/>
    <cellStyle name="Calculation 2 8 3 6 3 3" xfId="38071" xr:uid="{00000000-0005-0000-0000-00005F120000}"/>
    <cellStyle name="Calculation 2 8 3 6 3 4" xfId="17140" xr:uid="{00000000-0005-0000-0000-000060120000}"/>
    <cellStyle name="Calculation 2 8 3 6 4" xfId="10913" xr:uid="{00000000-0005-0000-0000-000061120000}"/>
    <cellStyle name="Calculation 2 8 3 6 4 2" xfId="29885" xr:uid="{00000000-0005-0000-0000-000062120000}"/>
    <cellStyle name="Calculation 2 8 3 6 4 3" xfId="40730" xr:uid="{00000000-0005-0000-0000-000063120000}"/>
    <cellStyle name="Calculation 2 8 3 6 4 4" xfId="19044" xr:uid="{00000000-0005-0000-0000-000064120000}"/>
    <cellStyle name="Calculation 2 8 3 6 5" xfId="21709" xr:uid="{00000000-0005-0000-0000-000065120000}"/>
    <cellStyle name="Calculation 2 8 3 6 6" xfId="32554" xr:uid="{00000000-0005-0000-0000-000066120000}"/>
    <cellStyle name="Calculation 2 8 3 6 7" xfId="13190" xr:uid="{00000000-0005-0000-0000-000067120000}"/>
    <cellStyle name="Calculation 2 8 3 7" xfId="3422" xr:uid="{00000000-0005-0000-0000-000068120000}"/>
    <cellStyle name="Calculation 2 8 3 7 2" xfId="22394" xr:uid="{00000000-0005-0000-0000-000069120000}"/>
    <cellStyle name="Calculation 2 8 3 7 3" xfId="33239" xr:uid="{00000000-0005-0000-0000-00006A120000}"/>
    <cellStyle name="Calculation 2 8 3 7 4" xfId="13672" xr:uid="{00000000-0005-0000-0000-00006B120000}"/>
    <cellStyle name="Calculation 2 8 3 8" xfId="6098" xr:uid="{00000000-0005-0000-0000-00006C120000}"/>
    <cellStyle name="Calculation 2 8 3 8 2" xfId="25070" xr:uid="{00000000-0005-0000-0000-00006D120000}"/>
    <cellStyle name="Calculation 2 8 3 8 3" xfId="35915" xr:uid="{00000000-0005-0000-0000-00006E120000}"/>
    <cellStyle name="Calculation 2 8 3 8 4" xfId="15589" xr:uid="{00000000-0005-0000-0000-00006F120000}"/>
    <cellStyle name="Calculation 2 8 3 9" xfId="8757" xr:uid="{00000000-0005-0000-0000-000070120000}"/>
    <cellStyle name="Calculation 2 8 3 9 2" xfId="27729" xr:uid="{00000000-0005-0000-0000-000071120000}"/>
    <cellStyle name="Calculation 2 8 3 9 3" xfId="38574" xr:uid="{00000000-0005-0000-0000-000072120000}"/>
    <cellStyle name="Calculation 2 8 3 9 4" xfId="17493" xr:uid="{00000000-0005-0000-0000-000073120000}"/>
    <cellStyle name="Calculation 2 8 4" xfId="11435" xr:uid="{00000000-0005-0000-0000-000074120000}"/>
    <cellStyle name="Calculation 2 9" xfId="348" xr:uid="{00000000-0005-0000-0000-000075120000}"/>
    <cellStyle name="Calculation 2 9 10" xfId="1627" xr:uid="{00000000-0005-0000-0000-000076120000}"/>
    <cellStyle name="Calculation 2 9 10 2" xfId="4480" xr:uid="{00000000-0005-0000-0000-000077120000}"/>
    <cellStyle name="Calculation 2 9 10 2 2" xfId="23452" xr:uid="{00000000-0005-0000-0000-000078120000}"/>
    <cellStyle name="Calculation 2 9 10 2 3" xfId="34297" xr:uid="{00000000-0005-0000-0000-000079120000}"/>
    <cellStyle name="Calculation 2 9 10 2 4" xfId="14442" xr:uid="{00000000-0005-0000-0000-00007A120000}"/>
    <cellStyle name="Calculation 2 9 10 3" xfId="7152" xr:uid="{00000000-0005-0000-0000-00007B120000}"/>
    <cellStyle name="Calculation 2 9 10 3 2" xfId="26124" xr:uid="{00000000-0005-0000-0000-00007C120000}"/>
    <cellStyle name="Calculation 2 9 10 3 3" xfId="36969" xr:uid="{00000000-0005-0000-0000-00007D120000}"/>
    <cellStyle name="Calculation 2 9 10 3 4" xfId="16356" xr:uid="{00000000-0005-0000-0000-00007E120000}"/>
    <cellStyle name="Calculation 2 9 10 4" xfId="9811" xr:uid="{00000000-0005-0000-0000-00007F120000}"/>
    <cellStyle name="Calculation 2 9 10 4 2" xfId="28783" xr:uid="{00000000-0005-0000-0000-000080120000}"/>
    <cellStyle name="Calculation 2 9 10 4 3" xfId="39628" xr:uid="{00000000-0005-0000-0000-000081120000}"/>
    <cellStyle name="Calculation 2 9 10 4 4" xfId="18260" xr:uid="{00000000-0005-0000-0000-000082120000}"/>
    <cellStyle name="Calculation 2 9 10 5" xfId="20607" xr:uid="{00000000-0005-0000-0000-000083120000}"/>
    <cellStyle name="Calculation 2 9 10 6" xfId="31452" xr:uid="{00000000-0005-0000-0000-000084120000}"/>
    <cellStyle name="Calculation 2 9 10 7" xfId="12406" xr:uid="{00000000-0005-0000-0000-000085120000}"/>
    <cellStyle name="Calculation 2 9 11" xfId="1110" xr:uid="{00000000-0005-0000-0000-000086120000}"/>
    <cellStyle name="Calculation 2 9 11 2" xfId="3963" xr:uid="{00000000-0005-0000-0000-000087120000}"/>
    <cellStyle name="Calculation 2 9 11 2 2" xfId="22935" xr:uid="{00000000-0005-0000-0000-000088120000}"/>
    <cellStyle name="Calculation 2 9 11 2 3" xfId="33780" xr:uid="{00000000-0005-0000-0000-000089120000}"/>
    <cellStyle name="Calculation 2 9 11 2 4" xfId="14066" xr:uid="{00000000-0005-0000-0000-00008A120000}"/>
    <cellStyle name="Calculation 2 9 11 3" xfId="6637" xr:uid="{00000000-0005-0000-0000-00008B120000}"/>
    <cellStyle name="Calculation 2 9 11 3 2" xfId="25609" xr:uid="{00000000-0005-0000-0000-00008C120000}"/>
    <cellStyle name="Calculation 2 9 11 3 3" xfId="36454" xr:uid="{00000000-0005-0000-0000-00008D120000}"/>
    <cellStyle name="Calculation 2 9 11 3 4" xfId="15982" xr:uid="{00000000-0005-0000-0000-00008E120000}"/>
    <cellStyle name="Calculation 2 9 11 4" xfId="9296" xr:uid="{00000000-0005-0000-0000-00008F120000}"/>
    <cellStyle name="Calculation 2 9 11 4 2" xfId="28268" xr:uid="{00000000-0005-0000-0000-000090120000}"/>
    <cellStyle name="Calculation 2 9 11 4 3" xfId="39113" xr:uid="{00000000-0005-0000-0000-000091120000}"/>
    <cellStyle name="Calculation 2 9 11 4 4" xfId="17886" xr:uid="{00000000-0005-0000-0000-000092120000}"/>
    <cellStyle name="Calculation 2 9 11 5" xfId="20092" xr:uid="{00000000-0005-0000-0000-000093120000}"/>
    <cellStyle name="Calculation 2 9 11 6" xfId="30937" xr:uid="{00000000-0005-0000-0000-000094120000}"/>
    <cellStyle name="Calculation 2 9 11 7" xfId="12032" xr:uid="{00000000-0005-0000-0000-000095120000}"/>
    <cellStyle name="Calculation 2 9 12" xfId="1065" xr:uid="{00000000-0005-0000-0000-000096120000}"/>
    <cellStyle name="Calculation 2 9 12 2" xfId="3918" xr:uid="{00000000-0005-0000-0000-000097120000}"/>
    <cellStyle name="Calculation 2 9 12 2 2" xfId="22890" xr:uid="{00000000-0005-0000-0000-000098120000}"/>
    <cellStyle name="Calculation 2 9 12 2 3" xfId="33735" xr:uid="{00000000-0005-0000-0000-000099120000}"/>
    <cellStyle name="Calculation 2 9 12 2 4" xfId="14031" xr:uid="{00000000-0005-0000-0000-00009A120000}"/>
    <cellStyle name="Calculation 2 9 12 3" xfId="6592" xr:uid="{00000000-0005-0000-0000-00009B120000}"/>
    <cellStyle name="Calculation 2 9 12 3 2" xfId="25564" xr:uid="{00000000-0005-0000-0000-00009C120000}"/>
    <cellStyle name="Calculation 2 9 12 3 3" xfId="36409" xr:uid="{00000000-0005-0000-0000-00009D120000}"/>
    <cellStyle name="Calculation 2 9 12 3 4" xfId="15947" xr:uid="{00000000-0005-0000-0000-00009E120000}"/>
    <cellStyle name="Calculation 2 9 12 4" xfId="9251" xr:uid="{00000000-0005-0000-0000-00009F120000}"/>
    <cellStyle name="Calculation 2 9 12 4 2" xfId="28223" xr:uid="{00000000-0005-0000-0000-0000A0120000}"/>
    <cellStyle name="Calculation 2 9 12 4 3" xfId="39068" xr:uid="{00000000-0005-0000-0000-0000A1120000}"/>
    <cellStyle name="Calculation 2 9 12 4 4" xfId="17851" xr:uid="{00000000-0005-0000-0000-0000A2120000}"/>
    <cellStyle name="Calculation 2 9 12 5" xfId="20047" xr:uid="{00000000-0005-0000-0000-0000A3120000}"/>
    <cellStyle name="Calculation 2 9 12 6" xfId="30892" xr:uid="{00000000-0005-0000-0000-0000A4120000}"/>
    <cellStyle name="Calculation 2 9 12 7" xfId="11997" xr:uid="{00000000-0005-0000-0000-0000A5120000}"/>
    <cellStyle name="Calculation 2 9 13" xfId="966" xr:uid="{00000000-0005-0000-0000-0000A6120000}"/>
    <cellStyle name="Calculation 2 9 13 2" xfId="3819" xr:uid="{00000000-0005-0000-0000-0000A7120000}"/>
    <cellStyle name="Calculation 2 9 13 2 2" xfId="22791" xr:uid="{00000000-0005-0000-0000-0000A8120000}"/>
    <cellStyle name="Calculation 2 9 13 2 3" xfId="33636" xr:uid="{00000000-0005-0000-0000-0000A9120000}"/>
    <cellStyle name="Calculation 2 9 13 2 4" xfId="13960" xr:uid="{00000000-0005-0000-0000-0000AA120000}"/>
    <cellStyle name="Calculation 2 9 13 3" xfId="6494" xr:uid="{00000000-0005-0000-0000-0000AB120000}"/>
    <cellStyle name="Calculation 2 9 13 3 2" xfId="25466" xr:uid="{00000000-0005-0000-0000-0000AC120000}"/>
    <cellStyle name="Calculation 2 9 13 3 3" xfId="36311" xr:uid="{00000000-0005-0000-0000-0000AD120000}"/>
    <cellStyle name="Calculation 2 9 13 3 4" xfId="15876" xr:uid="{00000000-0005-0000-0000-0000AE120000}"/>
    <cellStyle name="Calculation 2 9 13 4" xfId="9153" xr:uid="{00000000-0005-0000-0000-0000AF120000}"/>
    <cellStyle name="Calculation 2 9 13 4 2" xfId="28125" xr:uid="{00000000-0005-0000-0000-0000B0120000}"/>
    <cellStyle name="Calculation 2 9 13 4 3" xfId="38970" xr:uid="{00000000-0005-0000-0000-0000B1120000}"/>
    <cellStyle name="Calculation 2 9 13 4 4" xfId="17780" xr:uid="{00000000-0005-0000-0000-0000B2120000}"/>
    <cellStyle name="Calculation 2 9 13 5" xfId="19949" xr:uid="{00000000-0005-0000-0000-0000B3120000}"/>
    <cellStyle name="Calculation 2 9 13 6" xfId="30794" xr:uid="{00000000-0005-0000-0000-0000B4120000}"/>
    <cellStyle name="Calculation 2 9 13 7" xfId="11926" xr:uid="{00000000-0005-0000-0000-0000B5120000}"/>
    <cellStyle name="Calculation 2 9 14" xfId="3236" xr:uid="{00000000-0005-0000-0000-0000B6120000}"/>
    <cellStyle name="Calculation 2 9 14 2" xfId="22213" xr:uid="{00000000-0005-0000-0000-0000B7120000}"/>
    <cellStyle name="Calculation 2 9 14 3" xfId="33058" xr:uid="{00000000-0005-0000-0000-0000B8120000}"/>
    <cellStyle name="Calculation 2 9 14 4" xfId="13541" xr:uid="{00000000-0005-0000-0000-0000B9120000}"/>
    <cellStyle name="Calculation 2 9 15" xfId="3220" xr:uid="{00000000-0005-0000-0000-0000BA120000}"/>
    <cellStyle name="Calculation 2 9 15 2" xfId="22197" xr:uid="{00000000-0005-0000-0000-0000BB120000}"/>
    <cellStyle name="Calculation 2 9 15 3" xfId="33042" xr:uid="{00000000-0005-0000-0000-0000BC120000}"/>
    <cellStyle name="Calculation 2 9 15 4" xfId="13528" xr:uid="{00000000-0005-0000-0000-0000BD120000}"/>
    <cellStyle name="Calculation 2 9 16" xfId="3233" xr:uid="{00000000-0005-0000-0000-0000BE120000}"/>
    <cellStyle name="Calculation 2 9 16 2" xfId="22210" xr:uid="{00000000-0005-0000-0000-0000BF120000}"/>
    <cellStyle name="Calculation 2 9 16 3" xfId="33055" xr:uid="{00000000-0005-0000-0000-0000C0120000}"/>
    <cellStyle name="Calculation 2 9 16 4" xfId="13538" xr:uid="{00000000-0005-0000-0000-0000C1120000}"/>
    <cellStyle name="Calculation 2 9 17" xfId="19445" xr:uid="{00000000-0005-0000-0000-0000C2120000}"/>
    <cellStyle name="Calculation 2 9 18" xfId="19441" xr:uid="{00000000-0005-0000-0000-0000C3120000}"/>
    <cellStyle name="Calculation 2 9 19" xfId="11504" xr:uid="{00000000-0005-0000-0000-0000C4120000}"/>
    <cellStyle name="Calculation 2 9 2" xfId="656" xr:uid="{00000000-0005-0000-0000-0000C5120000}"/>
    <cellStyle name="Calculation 2 9 2 10" xfId="19641" xr:uid="{00000000-0005-0000-0000-0000C6120000}"/>
    <cellStyle name="Calculation 2 9 2 11" xfId="30486" xr:uid="{00000000-0005-0000-0000-0000C7120000}"/>
    <cellStyle name="Calculation 2 9 2 12" xfId="11708" xr:uid="{00000000-0005-0000-0000-0000C8120000}"/>
    <cellStyle name="Calculation 2 9 2 2" xfId="1243" xr:uid="{00000000-0005-0000-0000-0000C9120000}"/>
    <cellStyle name="Calculation 2 9 2 2 2" xfId="4096" xr:uid="{00000000-0005-0000-0000-0000CA120000}"/>
    <cellStyle name="Calculation 2 9 2 2 2 2" xfId="23068" xr:uid="{00000000-0005-0000-0000-0000CB120000}"/>
    <cellStyle name="Calculation 2 9 2 2 2 3" xfId="33913" xr:uid="{00000000-0005-0000-0000-0000CC120000}"/>
    <cellStyle name="Calculation 2 9 2 2 2 4" xfId="14169" xr:uid="{00000000-0005-0000-0000-0000CD120000}"/>
    <cellStyle name="Calculation 2 9 2 2 3" xfId="6769" xr:uid="{00000000-0005-0000-0000-0000CE120000}"/>
    <cellStyle name="Calculation 2 9 2 2 3 2" xfId="25741" xr:uid="{00000000-0005-0000-0000-0000CF120000}"/>
    <cellStyle name="Calculation 2 9 2 2 3 3" xfId="36586" xr:uid="{00000000-0005-0000-0000-0000D0120000}"/>
    <cellStyle name="Calculation 2 9 2 2 3 4" xfId="16084" xr:uid="{00000000-0005-0000-0000-0000D1120000}"/>
    <cellStyle name="Calculation 2 9 2 2 4" xfId="9428" xr:uid="{00000000-0005-0000-0000-0000D2120000}"/>
    <cellStyle name="Calculation 2 9 2 2 4 2" xfId="28400" xr:uid="{00000000-0005-0000-0000-0000D3120000}"/>
    <cellStyle name="Calculation 2 9 2 2 4 3" xfId="39245" xr:uid="{00000000-0005-0000-0000-0000D4120000}"/>
    <cellStyle name="Calculation 2 9 2 2 4 4" xfId="17988" xr:uid="{00000000-0005-0000-0000-0000D5120000}"/>
    <cellStyle name="Calculation 2 9 2 2 5" xfId="20224" xr:uid="{00000000-0005-0000-0000-0000D6120000}"/>
    <cellStyle name="Calculation 2 9 2 2 6" xfId="31069" xr:uid="{00000000-0005-0000-0000-0000D7120000}"/>
    <cellStyle name="Calculation 2 9 2 2 7" xfId="12134" xr:uid="{00000000-0005-0000-0000-0000D8120000}"/>
    <cellStyle name="Calculation 2 9 2 3" xfId="1642" xr:uid="{00000000-0005-0000-0000-0000D9120000}"/>
    <cellStyle name="Calculation 2 9 2 3 2" xfId="4495" xr:uid="{00000000-0005-0000-0000-0000DA120000}"/>
    <cellStyle name="Calculation 2 9 2 3 2 2" xfId="23467" xr:uid="{00000000-0005-0000-0000-0000DB120000}"/>
    <cellStyle name="Calculation 2 9 2 3 2 3" xfId="34312" xr:uid="{00000000-0005-0000-0000-0000DC120000}"/>
    <cellStyle name="Calculation 2 9 2 3 2 4" xfId="14456" xr:uid="{00000000-0005-0000-0000-0000DD120000}"/>
    <cellStyle name="Calculation 2 9 2 3 3" xfId="7167" xr:uid="{00000000-0005-0000-0000-0000DE120000}"/>
    <cellStyle name="Calculation 2 9 2 3 3 2" xfId="26139" xr:uid="{00000000-0005-0000-0000-0000DF120000}"/>
    <cellStyle name="Calculation 2 9 2 3 3 3" xfId="36984" xr:uid="{00000000-0005-0000-0000-0000E0120000}"/>
    <cellStyle name="Calculation 2 9 2 3 3 4" xfId="16370" xr:uid="{00000000-0005-0000-0000-0000E1120000}"/>
    <cellStyle name="Calculation 2 9 2 3 4" xfId="9826" xr:uid="{00000000-0005-0000-0000-0000E2120000}"/>
    <cellStyle name="Calculation 2 9 2 3 4 2" xfId="28798" xr:uid="{00000000-0005-0000-0000-0000E3120000}"/>
    <cellStyle name="Calculation 2 9 2 3 4 3" xfId="39643" xr:uid="{00000000-0005-0000-0000-0000E4120000}"/>
    <cellStyle name="Calculation 2 9 2 3 4 4" xfId="18274" xr:uid="{00000000-0005-0000-0000-0000E5120000}"/>
    <cellStyle name="Calculation 2 9 2 3 5" xfId="20622" xr:uid="{00000000-0005-0000-0000-0000E6120000}"/>
    <cellStyle name="Calculation 2 9 2 3 6" xfId="31467" xr:uid="{00000000-0005-0000-0000-0000E7120000}"/>
    <cellStyle name="Calculation 2 9 2 3 7" xfId="12420" xr:uid="{00000000-0005-0000-0000-0000E8120000}"/>
    <cellStyle name="Calculation 2 9 2 4" xfId="2046" xr:uid="{00000000-0005-0000-0000-0000E9120000}"/>
    <cellStyle name="Calculation 2 9 2 4 2" xfId="4899" xr:uid="{00000000-0005-0000-0000-0000EA120000}"/>
    <cellStyle name="Calculation 2 9 2 4 2 2" xfId="23871" xr:uid="{00000000-0005-0000-0000-0000EB120000}"/>
    <cellStyle name="Calculation 2 9 2 4 2 3" xfId="34716" xr:uid="{00000000-0005-0000-0000-0000EC120000}"/>
    <cellStyle name="Calculation 2 9 2 4 2 4" xfId="14743" xr:uid="{00000000-0005-0000-0000-0000ED120000}"/>
    <cellStyle name="Calculation 2 9 2 4 3" xfId="7570" xr:uid="{00000000-0005-0000-0000-0000EE120000}"/>
    <cellStyle name="Calculation 2 9 2 4 3 2" xfId="26542" xr:uid="{00000000-0005-0000-0000-0000EF120000}"/>
    <cellStyle name="Calculation 2 9 2 4 3 3" xfId="37387" xr:uid="{00000000-0005-0000-0000-0000F0120000}"/>
    <cellStyle name="Calculation 2 9 2 4 3 4" xfId="16656" xr:uid="{00000000-0005-0000-0000-0000F1120000}"/>
    <cellStyle name="Calculation 2 9 2 4 4" xfId="10229" xr:uid="{00000000-0005-0000-0000-0000F2120000}"/>
    <cellStyle name="Calculation 2 9 2 4 4 2" xfId="29201" xr:uid="{00000000-0005-0000-0000-0000F3120000}"/>
    <cellStyle name="Calculation 2 9 2 4 4 3" xfId="40046" xr:uid="{00000000-0005-0000-0000-0000F4120000}"/>
    <cellStyle name="Calculation 2 9 2 4 4 4" xfId="18560" xr:uid="{00000000-0005-0000-0000-0000F5120000}"/>
    <cellStyle name="Calculation 2 9 2 4 5" xfId="21025" xr:uid="{00000000-0005-0000-0000-0000F6120000}"/>
    <cellStyle name="Calculation 2 9 2 4 6" xfId="31870" xr:uid="{00000000-0005-0000-0000-0000F7120000}"/>
    <cellStyle name="Calculation 2 9 2 4 7" xfId="12706" xr:uid="{00000000-0005-0000-0000-0000F8120000}"/>
    <cellStyle name="Calculation 2 9 2 5" xfId="2436" xr:uid="{00000000-0005-0000-0000-0000F9120000}"/>
    <cellStyle name="Calculation 2 9 2 5 2" xfId="5288" xr:uid="{00000000-0005-0000-0000-0000FA120000}"/>
    <cellStyle name="Calculation 2 9 2 5 2 2" xfId="24260" xr:uid="{00000000-0005-0000-0000-0000FB120000}"/>
    <cellStyle name="Calculation 2 9 2 5 2 3" xfId="35105" xr:uid="{00000000-0005-0000-0000-0000FC120000}"/>
    <cellStyle name="Calculation 2 9 2 5 2 4" xfId="15022" xr:uid="{00000000-0005-0000-0000-0000FD120000}"/>
    <cellStyle name="Calculation 2 9 2 5 3" xfId="7959" xr:uid="{00000000-0005-0000-0000-0000FE120000}"/>
    <cellStyle name="Calculation 2 9 2 5 3 2" xfId="26931" xr:uid="{00000000-0005-0000-0000-0000FF120000}"/>
    <cellStyle name="Calculation 2 9 2 5 3 3" xfId="37776" xr:uid="{00000000-0005-0000-0000-000000130000}"/>
    <cellStyle name="Calculation 2 9 2 5 3 4" xfId="16935" xr:uid="{00000000-0005-0000-0000-000001130000}"/>
    <cellStyle name="Calculation 2 9 2 5 4" xfId="10618" xr:uid="{00000000-0005-0000-0000-000002130000}"/>
    <cellStyle name="Calculation 2 9 2 5 4 2" xfId="29590" xr:uid="{00000000-0005-0000-0000-000003130000}"/>
    <cellStyle name="Calculation 2 9 2 5 4 3" xfId="40435" xr:uid="{00000000-0005-0000-0000-000004130000}"/>
    <cellStyle name="Calculation 2 9 2 5 4 4" xfId="18839" xr:uid="{00000000-0005-0000-0000-000005130000}"/>
    <cellStyle name="Calculation 2 9 2 5 5" xfId="21414" xr:uid="{00000000-0005-0000-0000-000006130000}"/>
    <cellStyle name="Calculation 2 9 2 5 6" xfId="32259" xr:uid="{00000000-0005-0000-0000-000007130000}"/>
    <cellStyle name="Calculation 2 9 2 5 7" xfId="12985" xr:uid="{00000000-0005-0000-0000-000008130000}"/>
    <cellStyle name="Calculation 2 9 2 6" xfId="2822" xr:uid="{00000000-0005-0000-0000-000009130000}"/>
    <cellStyle name="Calculation 2 9 2 6 2" xfId="5673" xr:uid="{00000000-0005-0000-0000-00000A130000}"/>
    <cellStyle name="Calculation 2 9 2 6 2 2" xfId="24645" xr:uid="{00000000-0005-0000-0000-00000B130000}"/>
    <cellStyle name="Calculation 2 9 2 6 2 3" xfId="35490" xr:uid="{00000000-0005-0000-0000-00000C130000}"/>
    <cellStyle name="Calculation 2 9 2 6 2 4" xfId="15298" xr:uid="{00000000-0005-0000-0000-00000D130000}"/>
    <cellStyle name="Calculation 2 9 2 6 3" xfId="8344" xr:uid="{00000000-0005-0000-0000-00000E130000}"/>
    <cellStyle name="Calculation 2 9 2 6 3 2" xfId="27316" xr:uid="{00000000-0005-0000-0000-00000F130000}"/>
    <cellStyle name="Calculation 2 9 2 6 3 3" xfId="38161" xr:uid="{00000000-0005-0000-0000-000010130000}"/>
    <cellStyle name="Calculation 2 9 2 6 3 4" xfId="17211" xr:uid="{00000000-0005-0000-0000-000011130000}"/>
    <cellStyle name="Calculation 2 9 2 6 4" xfId="11003" xr:uid="{00000000-0005-0000-0000-000012130000}"/>
    <cellStyle name="Calculation 2 9 2 6 4 2" xfId="29975" xr:uid="{00000000-0005-0000-0000-000013130000}"/>
    <cellStyle name="Calculation 2 9 2 6 4 3" xfId="40820" xr:uid="{00000000-0005-0000-0000-000014130000}"/>
    <cellStyle name="Calculation 2 9 2 6 4 4" xfId="19115" xr:uid="{00000000-0005-0000-0000-000015130000}"/>
    <cellStyle name="Calculation 2 9 2 6 5" xfId="21799" xr:uid="{00000000-0005-0000-0000-000016130000}"/>
    <cellStyle name="Calculation 2 9 2 6 6" xfId="32644" xr:uid="{00000000-0005-0000-0000-000017130000}"/>
    <cellStyle name="Calculation 2 9 2 6 7" xfId="13261" xr:uid="{00000000-0005-0000-0000-000018130000}"/>
    <cellStyle name="Calculation 2 9 2 7" xfId="3511" xr:uid="{00000000-0005-0000-0000-000019130000}"/>
    <cellStyle name="Calculation 2 9 2 7 2" xfId="22483" xr:uid="{00000000-0005-0000-0000-00001A130000}"/>
    <cellStyle name="Calculation 2 9 2 7 3" xfId="33328" xr:uid="{00000000-0005-0000-0000-00001B130000}"/>
    <cellStyle name="Calculation 2 9 2 7 4" xfId="13742" xr:uid="{00000000-0005-0000-0000-00001C130000}"/>
    <cellStyle name="Calculation 2 9 2 8" xfId="6186" xr:uid="{00000000-0005-0000-0000-00001D130000}"/>
    <cellStyle name="Calculation 2 9 2 8 2" xfId="25158" xr:uid="{00000000-0005-0000-0000-00001E130000}"/>
    <cellStyle name="Calculation 2 9 2 8 3" xfId="36003" xr:uid="{00000000-0005-0000-0000-00001F130000}"/>
    <cellStyle name="Calculation 2 9 2 8 4" xfId="15658" xr:uid="{00000000-0005-0000-0000-000020130000}"/>
    <cellStyle name="Calculation 2 9 2 9" xfId="8845" xr:uid="{00000000-0005-0000-0000-000021130000}"/>
    <cellStyle name="Calculation 2 9 2 9 2" xfId="27817" xr:uid="{00000000-0005-0000-0000-000022130000}"/>
    <cellStyle name="Calculation 2 9 2 9 3" xfId="38662" xr:uid="{00000000-0005-0000-0000-000023130000}"/>
    <cellStyle name="Calculation 2 9 2 9 4" xfId="17562" xr:uid="{00000000-0005-0000-0000-000024130000}"/>
    <cellStyle name="Calculation 2 9 3" xfId="605" xr:uid="{00000000-0005-0000-0000-000025130000}"/>
    <cellStyle name="Calculation 2 9 3 10" xfId="19612" xr:uid="{00000000-0005-0000-0000-000026130000}"/>
    <cellStyle name="Calculation 2 9 3 11" xfId="30457" xr:uid="{00000000-0005-0000-0000-000027130000}"/>
    <cellStyle name="Calculation 2 9 3 12" xfId="11667" xr:uid="{00000000-0005-0000-0000-000028130000}"/>
    <cellStyle name="Calculation 2 9 3 2" xfId="1209" xr:uid="{00000000-0005-0000-0000-000029130000}"/>
    <cellStyle name="Calculation 2 9 3 2 2" xfId="4062" xr:uid="{00000000-0005-0000-0000-00002A130000}"/>
    <cellStyle name="Calculation 2 9 3 2 2 2" xfId="23034" xr:uid="{00000000-0005-0000-0000-00002B130000}"/>
    <cellStyle name="Calculation 2 9 3 2 2 3" xfId="33879" xr:uid="{00000000-0005-0000-0000-00002C130000}"/>
    <cellStyle name="Calculation 2 9 3 2 2 4" xfId="14142" xr:uid="{00000000-0005-0000-0000-00002D130000}"/>
    <cellStyle name="Calculation 2 9 3 2 3" xfId="6735" xr:uid="{00000000-0005-0000-0000-00002E130000}"/>
    <cellStyle name="Calculation 2 9 3 2 3 2" xfId="25707" xr:uid="{00000000-0005-0000-0000-00002F130000}"/>
    <cellStyle name="Calculation 2 9 3 2 3 3" xfId="36552" xr:uid="{00000000-0005-0000-0000-000030130000}"/>
    <cellStyle name="Calculation 2 9 3 2 3 4" xfId="16057" xr:uid="{00000000-0005-0000-0000-000031130000}"/>
    <cellStyle name="Calculation 2 9 3 2 4" xfId="9394" xr:uid="{00000000-0005-0000-0000-000032130000}"/>
    <cellStyle name="Calculation 2 9 3 2 4 2" xfId="28366" xr:uid="{00000000-0005-0000-0000-000033130000}"/>
    <cellStyle name="Calculation 2 9 3 2 4 3" xfId="39211" xr:uid="{00000000-0005-0000-0000-000034130000}"/>
    <cellStyle name="Calculation 2 9 3 2 4 4" xfId="17961" xr:uid="{00000000-0005-0000-0000-000035130000}"/>
    <cellStyle name="Calculation 2 9 3 2 5" xfId="20190" xr:uid="{00000000-0005-0000-0000-000036130000}"/>
    <cellStyle name="Calculation 2 9 3 2 6" xfId="31035" xr:uid="{00000000-0005-0000-0000-000037130000}"/>
    <cellStyle name="Calculation 2 9 3 2 7" xfId="12107" xr:uid="{00000000-0005-0000-0000-000038130000}"/>
    <cellStyle name="Calculation 2 9 3 3" xfId="1607" xr:uid="{00000000-0005-0000-0000-000039130000}"/>
    <cellStyle name="Calculation 2 9 3 3 2" xfId="4460" xr:uid="{00000000-0005-0000-0000-00003A130000}"/>
    <cellStyle name="Calculation 2 9 3 3 2 2" xfId="23432" xr:uid="{00000000-0005-0000-0000-00003B130000}"/>
    <cellStyle name="Calculation 2 9 3 3 2 3" xfId="34277" xr:uid="{00000000-0005-0000-0000-00003C130000}"/>
    <cellStyle name="Calculation 2 9 3 3 2 4" xfId="14429" xr:uid="{00000000-0005-0000-0000-00003D130000}"/>
    <cellStyle name="Calculation 2 9 3 3 3" xfId="7132" xr:uid="{00000000-0005-0000-0000-00003E130000}"/>
    <cellStyle name="Calculation 2 9 3 3 3 2" xfId="26104" xr:uid="{00000000-0005-0000-0000-00003F130000}"/>
    <cellStyle name="Calculation 2 9 3 3 3 3" xfId="36949" xr:uid="{00000000-0005-0000-0000-000040130000}"/>
    <cellStyle name="Calculation 2 9 3 3 3 4" xfId="16343" xr:uid="{00000000-0005-0000-0000-000041130000}"/>
    <cellStyle name="Calculation 2 9 3 3 4" xfId="9791" xr:uid="{00000000-0005-0000-0000-000042130000}"/>
    <cellStyle name="Calculation 2 9 3 3 4 2" xfId="28763" xr:uid="{00000000-0005-0000-0000-000043130000}"/>
    <cellStyle name="Calculation 2 9 3 3 4 3" xfId="39608" xr:uid="{00000000-0005-0000-0000-000044130000}"/>
    <cellStyle name="Calculation 2 9 3 3 4 4" xfId="18247" xr:uid="{00000000-0005-0000-0000-000045130000}"/>
    <cellStyle name="Calculation 2 9 3 3 5" xfId="20587" xr:uid="{00000000-0005-0000-0000-000046130000}"/>
    <cellStyle name="Calculation 2 9 3 3 6" xfId="31432" xr:uid="{00000000-0005-0000-0000-000047130000}"/>
    <cellStyle name="Calculation 2 9 3 3 7" xfId="12393" xr:uid="{00000000-0005-0000-0000-000048130000}"/>
    <cellStyle name="Calculation 2 9 3 4" xfId="2009" xr:uid="{00000000-0005-0000-0000-000049130000}"/>
    <cellStyle name="Calculation 2 9 3 4 2" xfId="4862" xr:uid="{00000000-0005-0000-0000-00004A130000}"/>
    <cellStyle name="Calculation 2 9 3 4 2 2" xfId="23834" xr:uid="{00000000-0005-0000-0000-00004B130000}"/>
    <cellStyle name="Calculation 2 9 3 4 2 3" xfId="34679" xr:uid="{00000000-0005-0000-0000-00004C130000}"/>
    <cellStyle name="Calculation 2 9 3 4 2 4" xfId="14715" xr:uid="{00000000-0005-0000-0000-00004D130000}"/>
    <cellStyle name="Calculation 2 9 3 4 3" xfId="7534" xr:uid="{00000000-0005-0000-0000-00004E130000}"/>
    <cellStyle name="Calculation 2 9 3 4 3 2" xfId="26506" xr:uid="{00000000-0005-0000-0000-00004F130000}"/>
    <cellStyle name="Calculation 2 9 3 4 3 3" xfId="37351" xr:uid="{00000000-0005-0000-0000-000050130000}"/>
    <cellStyle name="Calculation 2 9 3 4 3 4" xfId="16629" xr:uid="{00000000-0005-0000-0000-000051130000}"/>
    <cellStyle name="Calculation 2 9 3 4 4" xfId="10193" xr:uid="{00000000-0005-0000-0000-000052130000}"/>
    <cellStyle name="Calculation 2 9 3 4 4 2" xfId="29165" xr:uid="{00000000-0005-0000-0000-000053130000}"/>
    <cellStyle name="Calculation 2 9 3 4 4 3" xfId="40010" xr:uid="{00000000-0005-0000-0000-000054130000}"/>
    <cellStyle name="Calculation 2 9 3 4 4 4" xfId="18533" xr:uid="{00000000-0005-0000-0000-000055130000}"/>
    <cellStyle name="Calculation 2 9 3 4 5" xfId="20989" xr:uid="{00000000-0005-0000-0000-000056130000}"/>
    <cellStyle name="Calculation 2 9 3 4 6" xfId="31834" xr:uid="{00000000-0005-0000-0000-000057130000}"/>
    <cellStyle name="Calculation 2 9 3 4 7" xfId="12679" xr:uid="{00000000-0005-0000-0000-000058130000}"/>
    <cellStyle name="Calculation 2 9 3 5" xfId="2401" xr:uid="{00000000-0005-0000-0000-000059130000}"/>
    <cellStyle name="Calculation 2 9 3 5 2" xfId="5254" xr:uid="{00000000-0005-0000-0000-00005A130000}"/>
    <cellStyle name="Calculation 2 9 3 5 2 2" xfId="24226" xr:uid="{00000000-0005-0000-0000-00005B130000}"/>
    <cellStyle name="Calculation 2 9 3 5 2 3" xfId="35071" xr:uid="{00000000-0005-0000-0000-00005C130000}"/>
    <cellStyle name="Calculation 2 9 3 5 2 4" xfId="14996" xr:uid="{00000000-0005-0000-0000-00005D130000}"/>
    <cellStyle name="Calculation 2 9 3 5 3" xfId="7925" xr:uid="{00000000-0005-0000-0000-00005E130000}"/>
    <cellStyle name="Calculation 2 9 3 5 3 2" xfId="26897" xr:uid="{00000000-0005-0000-0000-00005F130000}"/>
    <cellStyle name="Calculation 2 9 3 5 3 3" xfId="37742" xr:uid="{00000000-0005-0000-0000-000060130000}"/>
    <cellStyle name="Calculation 2 9 3 5 3 4" xfId="16909" xr:uid="{00000000-0005-0000-0000-000061130000}"/>
    <cellStyle name="Calculation 2 9 3 5 4" xfId="10584" xr:uid="{00000000-0005-0000-0000-000062130000}"/>
    <cellStyle name="Calculation 2 9 3 5 4 2" xfId="29556" xr:uid="{00000000-0005-0000-0000-000063130000}"/>
    <cellStyle name="Calculation 2 9 3 5 4 3" xfId="40401" xr:uid="{00000000-0005-0000-0000-000064130000}"/>
    <cellStyle name="Calculation 2 9 3 5 4 4" xfId="18813" xr:uid="{00000000-0005-0000-0000-000065130000}"/>
    <cellStyle name="Calculation 2 9 3 5 5" xfId="21380" xr:uid="{00000000-0005-0000-0000-000066130000}"/>
    <cellStyle name="Calculation 2 9 3 5 6" xfId="32225" xr:uid="{00000000-0005-0000-0000-000067130000}"/>
    <cellStyle name="Calculation 2 9 3 5 7" xfId="12959" xr:uid="{00000000-0005-0000-0000-000068130000}"/>
    <cellStyle name="Calculation 2 9 3 6" xfId="2790" xr:uid="{00000000-0005-0000-0000-000069130000}"/>
    <cellStyle name="Calculation 2 9 3 6 2" xfId="5642" xr:uid="{00000000-0005-0000-0000-00006A130000}"/>
    <cellStyle name="Calculation 2 9 3 6 2 2" xfId="24614" xr:uid="{00000000-0005-0000-0000-00006B130000}"/>
    <cellStyle name="Calculation 2 9 3 6 2 3" xfId="35459" xr:uid="{00000000-0005-0000-0000-00006C130000}"/>
    <cellStyle name="Calculation 2 9 3 6 2 4" xfId="15274" xr:uid="{00000000-0005-0000-0000-00006D130000}"/>
    <cellStyle name="Calculation 2 9 3 6 3" xfId="8313" xr:uid="{00000000-0005-0000-0000-00006E130000}"/>
    <cellStyle name="Calculation 2 9 3 6 3 2" xfId="27285" xr:uid="{00000000-0005-0000-0000-00006F130000}"/>
    <cellStyle name="Calculation 2 9 3 6 3 3" xfId="38130" xr:uid="{00000000-0005-0000-0000-000070130000}"/>
    <cellStyle name="Calculation 2 9 3 6 3 4" xfId="17187" xr:uid="{00000000-0005-0000-0000-000071130000}"/>
    <cellStyle name="Calculation 2 9 3 6 4" xfId="10972" xr:uid="{00000000-0005-0000-0000-000072130000}"/>
    <cellStyle name="Calculation 2 9 3 6 4 2" xfId="29944" xr:uid="{00000000-0005-0000-0000-000073130000}"/>
    <cellStyle name="Calculation 2 9 3 6 4 3" xfId="40789" xr:uid="{00000000-0005-0000-0000-000074130000}"/>
    <cellStyle name="Calculation 2 9 3 6 4 4" xfId="19091" xr:uid="{00000000-0005-0000-0000-000075130000}"/>
    <cellStyle name="Calculation 2 9 3 6 5" xfId="21768" xr:uid="{00000000-0005-0000-0000-000076130000}"/>
    <cellStyle name="Calculation 2 9 3 6 6" xfId="32613" xr:uid="{00000000-0005-0000-0000-000077130000}"/>
    <cellStyle name="Calculation 2 9 3 6 7" xfId="13237" xr:uid="{00000000-0005-0000-0000-000078130000}"/>
    <cellStyle name="Calculation 2 9 3 7" xfId="3481" xr:uid="{00000000-0005-0000-0000-000079130000}"/>
    <cellStyle name="Calculation 2 9 3 7 2" xfId="22453" xr:uid="{00000000-0005-0000-0000-00007A130000}"/>
    <cellStyle name="Calculation 2 9 3 7 3" xfId="33298" xr:uid="{00000000-0005-0000-0000-00007B130000}"/>
    <cellStyle name="Calculation 2 9 3 7 4" xfId="13719" xr:uid="{00000000-0005-0000-0000-00007C130000}"/>
    <cellStyle name="Calculation 2 9 3 8" xfId="6157" xr:uid="{00000000-0005-0000-0000-00007D130000}"/>
    <cellStyle name="Calculation 2 9 3 8 2" xfId="25129" xr:uid="{00000000-0005-0000-0000-00007E130000}"/>
    <cellStyle name="Calculation 2 9 3 8 3" xfId="35974" xr:uid="{00000000-0005-0000-0000-00007F130000}"/>
    <cellStyle name="Calculation 2 9 3 8 4" xfId="15636" xr:uid="{00000000-0005-0000-0000-000080130000}"/>
    <cellStyle name="Calculation 2 9 3 9" xfId="8816" xr:uid="{00000000-0005-0000-0000-000081130000}"/>
    <cellStyle name="Calculation 2 9 3 9 2" xfId="27788" xr:uid="{00000000-0005-0000-0000-000082130000}"/>
    <cellStyle name="Calculation 2 9 3 9 3" xfId="38633" xr:uid="{00000000-0005-0000-0000-000083130000}"/>
    <cellStyle name="Calculation 2 9 3 9 4" xfId="17540" xr:uid="{00000000-0005-0000-0000-000084130000}"/>
    <cellStyle name="Calculation 2 9 4" xfId="533" xr:uid="{00000000-0005-0000-0000-000085130000}"/>
    <cellStyle name="Calculation 2 9 4 10" xfId="19543" xr:uid="{00000000-0005-0000-0000-000086130000}"/>
    <cellStyle name="Calculation 2 9 4 11" xfId="30388" xr:uid="{00000000-0005-0000-0000-000087130000}"/>
    <cellStyle name="Calculation 2 9 4 12" xfId="11607" xr:uid="{00000000-0005-0000-0000-000088130000}"/>
    <cellStyle name="Calculation 2 9 4 2" xfId="1139" xr:uid="{00000000-0005-0000-0000-000089130000}"/>
    <cellStyle name="Calculation 2 9 4 2 2" xfId="3992" xr:uid="{00000000-0005-0000-0000-00008A130000}"/>
    <cellStyle name="Calculation 2 9 4 2 2 2" xfId="22964" xr:uid="{00000000-0005-0000-0000-00008B130000}"/>
    <cellStyle name="Calculation 2 9 4 2 2 3" xfId="33809" xr:uid="{00000000-0005-0000-0000-00008C130000}"/>
    <cellStyle name="Calculation 2 9 4 2 2 4" xfId="14084" xr:uid="{00000000-0005-0000-0000-00008D130000}"/>
    <cellStyle name="Calculation 2 9 4 2 3" xfId="6665" xr:uid="{00000000-0005-0000-0000-00008E130000}"/>
    <cellStyle name="Calculation 2 9 4 2 3 2" xfId="25637" xr:uid="{00000000-0005-0000-0000-00008F130000}"/>
    <cellStyle name="Calculation 2 9 4 2 3 3" xfId="36482" xr:uid="{00000000-0005-0000-0000-000090130000}"/>
    <cellStyle name="Calculation 2 9 4 2 3 4" xfId="15999" xr:uid="{00000000-0005-0000-0000-000091130000}"/>
    <cellStyle name="Calculation 2 9 4 2 4" xfId="9324" xr:uid="{00000000-0005-0000-0000-000092130000}"/>
    <cellStyle name="Calculation 2 9 4 2 4 2" xfId="28296" xr:uid="{00000000-0005-0000-0000-000093130000}"/>
    <cellStyle name="Calculation 2 9 4 2 4 3" xfId="39141" xr:uid="{00000000-0005-0000-0000-000094130000}"/>
    <cellStyle name="Calculation 2 9 4 2 4 4" xfId="17903" xr:uid="{00000000-0005-0000-0000-000095130000}"/>
    <cellStyle name="Calculation 2 9 4 2 5" xfId="20120" xr:uid="{00000000-0005-0000-0000-000096130000}"/>
    <cellStyle name="Calculation 2 9 4 2 6" xfId="30965" xr:uid="{00000000-0005-0000-0000-000097130000}"/>
    <cellStyle name="Calculation 2 9 4 2 7" xfId="12049" xr:uid="{00000000-0005-0000-0000-000098130000}"/>
    <cellStyle name="Calculation 2 9 4 3" xfId="1536" xr:uid="{00000000-0005-0000-0000-000099130000}"/>
    <cellStyle name="Calculation 2 9 4 3 2" xfId="4389" xr:uid="{00000000-0005-0000-0000-00009A130000}"/>
    <cellStyle name="Calculation 2 9 4 3 2 2" xfId="23361" xr:uid="{00000000-0005-0000-0000-00009B130000}"/>
    <cellStyle name="Calculation 2 9 4 3 2 3" xfId="34206" xr:uid="{00000000-0005-0000-0000-00009C130000}"/>
    <cellStyle name="Calculation 2 9 4 3 2 4" xfId="14370" xr:uid="{00000000-0005-0000-0000-00009D130000}"/>
    <cellStyle name="Calculation 2 9 4 3 3" xfId="7061" xr:uid="{00000000-0005-0000-0000-00009E130000}"/>
    <cellStyle name="Calculation 2 9 4 3 3 2" xfId="26033" xr:uid="{00000000-0005-0000-0000-00009F130000}"/>
    <cellStyle name="Calculation 2 9 4 3 3 3" xfId="36878" xr:uid="{00000000-0005-0000-0000-0000A0130000}"/>
    <cellStyle name="Calculation 2 9 4 3 3 4" xfId="16284" xr:uid="{00000000-0005-0000-0000-0000A1130000}"/>
    <cellStyle name="Calculation 2 9 4 3 4" xfId="9720" xr:uid="{00000000-0005-0000-0000-0000A2130000}"/>
    <cellStyle name="Calculation 2 9 4 3 4 2" xfId="28692" xr:uid="{00000000-0005-0000-0000-0000A3130000}"/>
    <cellStyle name="Calculation 2 9 4 3 4 3" xfId="39537" xr:uid="{00000000-0005-0000-0000-0000A4130000}"/>
    <cellStyle name="Calculation 2 9 4 3 4 4" xfId="18188" xr:uid="{00000000-0005-0000-0000-0000A5130000}"/>
    <cellStyle name="Calculation 2 9 4 3 5" xfId="20516" xr:uid="{00000000-0005-0000-0000-0000A6130000}"/>
    <cellStyle name="Calculation 2 9 4 3 6" xfId="31361" xr:uid="{00000000-0005-0000-0000-0000A7130000}"/>
    <cellStyle name="Calculation 2 9 4 3 7" xfId="12334" xr:uid="{00000000-0005-0000-0000-0000A8130000}"/>
    <cellStyle name="Calculation 2 9 4 4" xfId="1940" xr:uid="{00000000-0005-0000-0000-0000A9130000}"/>
    <cellStyle name="Calculation 2 9 4 4 2" xfId="4793" xr:uid="{00000000-0005-0000-0000-0000AA130000}"/>
    <cellStyle name="Calculation 2 9 4 4 2 2" xfId="23765" xr:uid="{00000000-0005-0000-0000-0000AB130000}"/>
    <cellStyle name="Calculation 2 9 4 4 2 3" xfId="34610" xr:uid="{00000000-0005-0000-0000-0000AC130000}"/>
    <cellStyle name="Calculation 2 9 4 4 2 4" xfId="14658" xr:uid="{00000000-0005-0000-0000-0000AD130000}"/>
    <cellStyle name="Calculation 2 9 4 4 3" xfId="7465" xr:uid="{00000000-0005-0000-0000-0000AE130000}"/>
    <cellStyle name="Calculation 2 9 4 4 3 2" xfId="26437" xr:uid="{00000000-0005-0000-0000-0000AF130000}"/>
    <cellStyle name="Calculation 2 9 4 4 3 3" xfId="37282" xr:uid="{00000000-0005-0000-0000-0000B0130000}"/>
    <cellStyle name="Calculation 2 9 4 4 3 4" xfId="16572" xr:uid="{00000000-0005-0000-0000-0000B1130000}"/>
    <cellStyle name="Calculation 2 9 4 4 4" xfId="10124" xr:uid="{00000000-0005-0000-0000-0000B2130000}"/>
    <cellStyle name="Calculation 2 9 4 4 4 2" xfId="29096" xr:uid="{00000000-0005-0000-0000-0000B3130000}"/>
    <cellStyle name="Calculation 2 9 4 4 4 3" xfId="39941" xr:uid="{00000000-0005-0000-0000-0000B4130000}"/>
    <cellStyle name="Calculation 2 9 4 4 4 4" xfId="18476" xr:uid="{00000000-0005-0000-0000-0000B5130000}"/>
    <cellStyle name="Calculation 2 9 4 4 5" xfId="20920" xr:uid="{00000000-0005-0000-0000-0000B6130000}"/>
    <cellStyle name="Calculation 2 9 4 4 6" xfId="31765" xr:uid="{00000000-0005-0000-0000-0000B7130000}"/>
    <cellStyle name="Calculation 2 9 4 4 7" xfId="12622" xr:uid="{00000000-0005-0000-0000-0000B8130000}"/>
    <cellStyle name="Calculation 2 9 4 5" xfId="2332" xr:uid="{00000000-0005-0000-0000-0000B9130000}"/>
    <cellStyle name="Calculation 2 9 4 5 2" xfId="5185" xr:uid="{00000000-0005-0000-0000-0000BA130000}"/>
    <cellStyle name="Calculation 2 9 4 5 2 2" xfId="24157" xr:uid="{00000000-0005-0000-0000-0000BB130000}"/>
    <cellStyle name="Calculation 2 9 4 5 2 3" xfId="35002" xr:uid="{00000000-0005-0000-0000-0000BC130000}"/>
    <cellStyle name="Calculation 2 9 4 5 2 4" xfId="14939" xr:uid="{00000000-0005-0000-0000-0000BD130000}"/>
    <cellStyle name="Calculation 2 9 4 5 3" xfId="7856" xr:uid="{00000000-0005-0000-0000-0000BE130000}"/>
    <cellStyle name="Calculation 2 9 4 5 3 2" xfId="26828" xr:uid="{00000000-0005-0000-0000-0000BF130000}"/>
    <cellStyle name="Calculation 2 9 4 5 3 3" xfId="37673" xr:uid="{00000000-0005-0000-0000-0000C0130000}"/>
    <cellStyle name="Calculation 2 9 4 5 3 4" xfId="16852" xr:uid="{00000000-0005-0000-0000-0000C1130000}"/>
    <cellStyle name="Calculation 2 9 4 5 4" xfId="10515" xr:uid="{00000000-0005-0000-0000-0000C2130000}"/>
    <cellStyle name="Calculation 2 9 4 5 4 2" xfId="29487" xr:uid="{00000000-0005-0000-0000-0000C3130000}"/>
    <cellStyle name="Calculation 2 9 4 5 4 3" xfId="40332" xr:uid="{00000000-0005-0000-0000-0000C4130000}"/>
    <cellStyle name="Calculation 2 9 4 5 4 4" xfId="18756" xr:uid="{00000000-0005-0000-0000-0000C5130000}"/>
    <cellStyle name="Calculation 2 9 4 5 5" xfId="21311" xr:uid="{00000000-0005-0000-0000-0000C6130000}"/>
    <cellStyle name="Calculation 2 9 4 5 6" xfId="32156" xr:uid="{00000000-0005-0000-0000-0000C7130000}"/>
    <cellStyle name="Calculation 2 9 4 5 7" xfId="12902" xr:uid="{00000000-0005-0000-0000-0000C8130000}"/>
    <cellStyle name="Calculation 2 9 4 6" xfId="2721" xr:uid="{00000000-0005-0000-0000-0000C9130000}"/>
    <cellStyle name="Calculation 2 9 4 6 2" xfId="5573" xr:uid="{00000000-0005-0000-0000-0000CA130000}"/>
    <cellStyle name="Calculation 2 9 4 6 2 2" xfId="24545" xr:uid="{00000000-0005-0000-0000-0000CB130000}"/>
    <cellStyle name="Calculation 2 9 4 6 2 3" xfId="35390" xr:uid="{00000000-0005-0000-0000-0000CC130000}"/>
    <cellStyle name="Calculation 2 9 4 6 2 4" xfId="15217" xr:uid="{00000000-0005-0000-0000-0000CD130000}"/>
    <cellStyle name="Calculation 2 9 4 6 3" xfId="8244" xr:uid="{00000000-0005-0000-0000-0000CE130000}"/>
    <cellStyle name="Calculation 2 9 4 6 3 2" xfId="27216" xr:uid="{00000000-0005-0000-0000-0000CF130000}"/>
    <cellStyle name="Calculation 2 9 4 6 3 3" xfId="38061" xr:uid="{00000000-0005-0000-0000-0000D0130000}"/>
    <cellStyle name="Calculation 2 9 4 6 3 4" xfId="17130" xr:uid="{00000000-0005-0000-0000-0000D1130000}"/>
    <cellStyle name="Calculation 2 9 4 6 4" xfId="10903" xr:uid="{00000000-0005-0000-0000-0000D2130000}"/>
    <cellStyle name="Calculation 2 9 4 6 4 2" xfId="29875" xr:uid="{00000000-0005-0000-0000-0000D3130000}"/>
    <cellStyle name="Calculation 2 9 4 6 4 3" xfId="40720" xr:uid="{00000000-0005-0000-0000-0000D4130000}"/>
    <cellStyle name="Calculation 2 9 4 6 4 4" xfId="19034" xr:uid="{00000000-0005-0000-0000-0000D5130000}"/>
    <cellStyle name="Calculation 2 9 4 6 5" xfId="21699" xr:uid="{00000000-0005-0000-0000-0000D6130000}"/>
    <cellStyle name="Calculation 2 9 4 6 6" xfId="32544" xr:uid="{00000000-0005-0000-0000-0000D7130000}"/>
    <cellStyle name="Calculation 2 9 4 6 7" xfId="13180" xr:uid="{00000000-0005-0000-0000-0000D8130000}"/>
    <cellStyle name="Calculation 2 9 4 7" xfId="3412" xr:uid="{00000000-0005-0000-0000-0000D9130000}"/>
    <cellStyle name="Calculation 2 9 4 7 2" xfId="22384" xr:uid="{00000000-0005-0000-0000-0000DA130000}"/>
    <cellStyle name="Calculation 2 9 4 7 3" xfId="33229" xr:uid="{00000000-0005-0000-0000-0000DB130000}"/>
    <cellStyle name="Calculation 2 9 4 7 4" xfId="13662" xr:uid="{00000000-0005-0000-0000-0000DC130000}"/>
    <cellStyle name="Calculation 2 9 4 8" xfId="6088" xr:uid="{00000000-0005-0000-0000-0000DD130000}"/>
    <cellStyle name="Calculation 2 9 4 8 2" xfId="25060" xr:uid="{00000000-0005-0000-0000-0000DE130000}"/>
    <cellStyle name="Calculation 2 9 4 8 3" xfId="35905" xr:uid="{00000000-0005-0000-0000-0000DF130000}"/>
    <cellStyle name="Calculation 2 9 4 8 4" xfId="15579" xr:uid="{00000000-0005-0000-0000-0000E0130000}"/>
    <cellStyle name="Calculation 2 9 4 9" xfId="8747" xr:uid="{00000000-0005-0000-0000-0000E1130000}"/>
    <cellStyle name="Calculation 2 9 4 9 2" xfId="27719" xr:uid="{00000000-0005-0000-0000-0000E2130000}"/>
    <cellStyle name="Calculation 2 9 4 9 3" xfId="38564" xr:uid="{00000000-0005-0000-0000-0000E3130000}"/>
    <cellStyle name="Calculation 2 9 4 9 4" xfId="17483" xr:uid="{00000000-0005-0000-0000-0000E4130000}"/>
    <cellStyle name="Calculation 2 9 5" xfId="530" xr:uid="{00000000-0005-0000-0000-0000E5130000}"/>
    <cellStyle name="Calculation 2 9 5 10" xfId="19540" xr:uid="{00000000-0005-0000-0000-0000E6130000}"/>
    <cellStyle name="Calculation 2 9 5 11" xfId="30385" xr:uid="{00000000-0005-0000-0000-0000E7130000}"/>
    <cellStyle name="Calculation 2 9 5 12" xfId="11604" xr:uid="{00000000-0005-0000-0000-0000E8130000}"/>
    <cellStyle name="Calculation 2 9 5 2" xfId="1136" xr:uid="{00000000-0005-0000-0000-0000E9130000}"/>
    <cellStyle name="Calculation 2 9 5 2 2" xfId="3989" xr:uid="{00000000-0005-0000-0000-0000EA130000}"/>
    <cellStyle name="Calculation 2 9 5 2 2 2" xfId="22961" xr:uid="{00000000-0005-0000-0000-0000EB130000}"/>
    <cellStyle name="Calculation 2 9 5 2 2 3" xfId="33806" xr:uid="{00000000-0005-0000-0000-0000EC130000}"/>
    <cellStyle name="Calculation 2 9 5 2 2 4" xfId="14081" xr:uid="{00000000-0005-0000-0000-0000ED130000}"/>
    <cellStyle name="Calculation 2 9 5 2 3" xfId="6662" xr:uid="{00000000-0005-0000-0000-0000EE130000}"/>
    <cellStyle name="Calculation 2 9 5 2 3 2" xfId="25634" xr:uid="{00000000-0005-0000-0000-0000EF130000}"/>
    <cellStyle name="Calculation 2 9 5 2 3 3" xfId="36479" xr:uid="{00000000-0005-0000-0000-0000F0130000}"/>
    <cellStyle name="Calculation 2 9 5 2 3 4" xfId="15996" xr:uid="{00000000-0005-0000-0000-0000F1130000}"/>
    <cellStyle name="Calculation 2 9 5 2 4" xfId="9321" xr:uid="{00000000-0005-0000-0000-0000F2130000}"/>
    <cellStyle name="Calculation 2 9 5 2 4 2" xfId="28293" xr:uid="{00000000-0005-0000-0000-0000F3130000}"/>
    <cellStyle name="Calculation 2 9 5 2 4 3" xfId="39138" xr:uid="{00000000-0005-0000-0000-0000F4130000}"/>
    <cellStyle name="Calculation 2 9 5 2 4 4" xfId="17900" xr:uid="{00000000-0005-0000-0000-0000F5130000}"/>
    <cellStyle name="Calculation 2 9 5 2 5" xfId="20117" xr:uid="{00000000-0005-0000-0000-0000F6130000}"/>
    <cellStyle name="Calculation 2 9 5 2 6" xfId="30962" xr:uid="{00000000-0005-0000-0000-0000F7130000}"/>
    <cellStyle name="Calculation 2 9 5 2 7" xfId="12046" xr:uid="{00000000-0005-0000-0000-0000F8130000}"/>
    <cellStyle name="Calculation 2 9 5 3" xfId="1533" xr:uid="{00000000-0005-0000-0000-0000F9130000}"/>
    <cellStyle name="Calculation 2 9 5 3 2" xfId="4386" xr:uid="{00000000-0005-0000-0000-0000FA130000}"/>
    <cellStyle name="Calculation 2 9 5 3 2 2" xfId="23358" xr:uid="{00000000-0005-0000-0000-0000FB130000}"/>
    <cellStyle name="Calculation 2 9 5 3 2 3" xfId="34203" xr:uid="{00000000-0005-0000-0000-0000FC130000}"/>
    <cellStyle name="Calculation 2 9 5 3 2 4" xfId="14367" xr:uid="{00000000-0005-0000-0000-0000FD130000}"/>
    <cellStyle name="Calculation 2 9 5 3 3" xfId="7058" xr:uid="{00000000-0005-0000-0000-0000FE130000}"/>
    <cellStyle name="Calculation 2 9 5 3 3 2" xfId="26030" xr:uid="{00000000-0005-0000-0000-0000FF130000}"/>
    <cellStyle name="Calculation 2 9 5 3 3 3" xfId="36875" xr:uid="{00000000-0005-0000-0000-000000140000}"/>
    <cellStyle name="Calculation 2 9 5 3 3 4" xfId="16281" xr:uid="{00000000-0005-0000-0000-000001140000}"/>
    <cellStyle name="Calculation 2 9 5 3 4" xfId="9717" xr:uid="{00000000-0005-0000-0000-000002140000}"/>
    <cellStyle name="Calculation 2 9 5 3 4 2" xfId="28689" xr:uid="{00000000-0005-0000-0000-000003140000}"/>
    <cellStyle name="Calculation 2 9 5 3 4 3" xfId="39534" xr:uid="{00000000-0005-0000-0000-000004140000}"/>
    <cellStyle name="Calculation 2 9 5 3 4 4" xfId="18185" xr:uid="{00000000-0005-0000-0000-000005140000}"/>
    <cellStyle name="Calculation 2 9 5 3 5" xfId="20513" xr:uid="{00000000-0005-0000-0000-000006140000}"/>
    <cellStyle name="Calculation 2 9 5 3 6" xfId="31358" xr:uid="{00000000-0005-0000-0000-000007140000}"/>
    <cellStyle name="Calculation 2 9 5 3 7" xfId="12331" xr:uid="{00000000-0005-0000-0000-000008140000}"/>
    <cellStyle name="Calculation 2 9 5 4" xfId="1937" xr:uid="{00000000-0005-0000-0000-000009140000}"/>
    <cellStyle name="Calculation 2 9 5 4 2" xfId="4790" xr:uid="{00000000-0005-0000-0000-00000A140000}"/>
    <cellStyle name="Calculation 2 9 5 4 2 2" xfId="23762" xr:uid="{00000000-0005-0000-0000-00000B140000}"/>
    <cellStyle name="Calculation 2 9 5 4 2 3" xfId="34607" xr:uid="{00000000-0005-0000-0000-00000C140000}"/>
    <cellStyle name="Calculation 2 9 5 4 2 4" xfId="14655" xr:uid="{00000000-0005-0000-0000-00000D140000}"/>
    <cellStyle name="Calculation 2 9 5 4 3" xfId="7462" xr:uid="{00000000-0005-0000-0000-00000E140000}"/>
    <cellStyle name="Calculation 2 9 5 4 3 2" xfId="26434" xr:uid="{00000000-0005-0000-0000-00000F140000}"/>
    <cellStyle name="Calculation 2 9 5 4 3 3" xfId="37279" xr:uid="{00000000-0005-0000-0000-000010140000}"/>
    <cellStyle name="Calculation 2 9 5 4 3 4" xfId="16569" xr:uid="{00000000-0005-0000-0000-000011140000}"/>
    <cellStyle name="Calculation 2 9 5 4 4" xfId="10121" xr:uid="{00000000-0005-0000-0000-000012140000}"/>
    <cellStyle name="Calculation 2 9 5 4 4 2" xfId="29093" xr:uid="{00000000-0005-0000-0000-000013140000}"/>
    <cellStyle name="Calculation 2 9 5 4 4 3" xfId="39938" xr:uid="{00000000-0005-0000-0000-000014140000}"/>
    <cellStyle name="Calculation 2 9 5 4 4 4" xfId="18473" xr:uid="{00000000-0005-0000-0000-000015140000}"/>
    <cellStyle name="Calculation 2 9 5 4 5" xfId="20917" xr:uid="{00000000-0005-0000-0000-000016140000}"/>
    <cellStyle name="Calculation 2 9 5 4 6" xfId="31762" xr:uid="{00000000-0005-0000-0000-000017140000}"/>
    <cellStyle name="Calculation 2 9 5 4 7" xfId="12619" xr:uid="{00000000-0005-0000-0000-000018140000}"/>
    <cellStyle name="Calculation 2 9 5 5" xfId="2329" xr:uid="{00000000-0005-0000-0000-000019140000}"/>
    <cellStyle name="Calculation 2 9 5 5 2" xfId="5182" xr:uid="{00000000-0005-0000-0000-00001A140000}"/>
    <cellStyle name="Calculation 2 9 5 5 2 2" xfId="24154" xr:uid="{00000000-0005-0000-0000-00001B140000}"/>
    <cellStyle name="Calculation 2 9 5 5 2 3" xfId="34999" xr:uid="{00000000-0005-0000-0000-00001C140000}"/>
    <cellStyle name="Calculation 2 9 5 5 2 4" xfId="14936" xr:uid="{00000000-0005-0000-0000-00001D140000}"/>
    <cellStyle name="Calculation 2 9 5 5 3" xfId="7853" xr:uid="{00000000-0005-0000-0000-00001E140000}"/>
    <cellStyle name="Calculation 2 9 5 5 3 2" xfId="26825" xr:uid="{00000000-0005-0000-0000-00001F140000}"/>
    <cellStyle name="Calculation 2 9 5 5 3 3" xfId="37670" xr:uid="{00000000-0005-0000-0000-000020140000}"/>
    <cellStyle name="Calculation 2 9 5 5 3 4" xfId="16849" xr:uid="{00000000-0005-0000-0000-000021140000}"/>
    <cellStyle name="Calculation 2 9 5 5 4" xfId="10512" xr:uid="{00000000-0005-0000-0000-000022140000}"/>
    <cellStyle name="Calculation 2 9 5 5 4 2" xfId="29484" xr:uid="{00000000-0005-0000-0000-000023140000}"/>
    <cellStyle name="Calculation 2 9 5 5 4 3" xfId="40329" xr:uid="{00000000-0005-0000-0000-000024140000}"/>
    <cellStyle name="Calculation 2 9 5 5 4 4" xfId="18753" xr:uid="{00000000-0005-0000-0000-000025140000}"/>
    <cellStyle name="Calculation 2 9 5 5 5" xfId="21308" xr:uid="{00000000-0005-0000-0000-000026140000}"/>
    <cellStyle name="Calculation 2 9 5 5 6" xfId="32153" xr:uid="{00000000-0005-0000-0000-000027140000}"/>
    <cellStyle name="Calculation 2 9 5 5 7" xfId="12899" xr:uid="{00000000-0005-0000-0000-000028140000}"/>
    <cellStyle name="Calculation 2 9 5 6" xfId="2718" xr:uid="{00000000-0005-0000-0000-000029140000}"/>
    <cellStyle name="Calculation 2 9 5 6 2" xfId="5570" xr:uid="{00000000-0005-0000-0000-00002A140000}"/>
    <cellStyle name="Calculation 2 9 5 6 2 2" xfId="24542" xr:uid="{00000000-0005-0000-0000-00002B140000}"/>
    <cellStyle name="Calculation 2 9 5 6 2 3" xfId="35387" xr:uid="{00000000-0005-0000-0000-00002C140000}"/>
    <cellStyle name="Calculation 2 9 5 6 2 4" xfId="15214" xr:uid="{00000000-0005-0000-0000-00002D140000}"/>
    <cellStyle name="Calculation 2 9 5 6 3" xfId="8241" xr:uid="{00000000-0005-0000-0000-00002E140000}"/>
    <cellStyle name="Calculation 2 9 5 6 3 2" xfId="27213" xr:uid="{00000000-0005-0000-0000-00002F140000}"/>
    <cellStyle name="Calculation 2 9 5 6 3 3" xfId="38058" xr:uid="{00000000-0005-0000-0000-000030140000}"/>
    <cellStyle name="Calculation 2 9 5 6 3 4" xfId="17127" xr:uid="{00000000-0005-0000-0000-000031140000}"/>
    <cellStyle name="Calculation 2 9 5 6 4" xfId="10900" xr:uid="{00000000-0005-0000-0000-000032140000}"/>
    <cellStyle name="Calculation 2 9 5 6 4 2" xfId="29872" xr:uid="{00000000-0005-0000-0000-000033140000}"/>
    <cellStyle name="Calculation 2 9 5 6 4 3" xfId="40717" xr:uid="{00000000-0005-0000-0000-000034140000}"/>
    <cellStyle name="Calculation 2 9 5 6 4 4" xfId="19031" xr:uid="{00000000-0005-0000-0000-000035140000}"/>
    <cellStyle name="Calculation 2 9 5 6 5" xfId="21696" xr:uid="{00000000-0005-0000-0000-000036140000}"/>
    <cellStyle name="Calculation 2 9 5 6 6" xfId="32541" xr:uid="{00000000-0005-0000-0000-000037140000}"/>
    <cellStyle name="Calculation 2 9 5 6 7" xfId="13177" xr:uid="{00000000-0005-0000-0000-000038140000}"/>
    <cellStyle name="Calculation 2 9 5 7" xfId="3409" xr:uid="{00000000-0005-0000-0000-000039140000}"/>
    <cellStyle name="Calculation 2 9 5 7 2" xfId="22381" xr:uid="{00000000-0005-0000-0000-00003A140000}"/>
    <cellStyle name="Calculation 2 9 5 7 3" xfId="33226" xr:uid="{00000000-0005-0000-0000-00003B140000}"/>
    <cellStyle name="Calculation 2 9 5 7 4" xfId="13659" xr:uid="{00000000-0005-0000-0000-00003C140000}"/>
    <cellStyle name="Calculation 2 9 5 8" xfId="6085" xr:uid="{00000000-0005-0000-0000-00003D140000}"/>
    <cellStyle name="Calculation 2 9 5 8 2" xfId="25057" xr:uid="{00000000-0005-0000-0000-00003E140000}"/>
    <cellStyle name="Calculation 2 9 5 8 3" xfId="35902" xr:uid="{00000000-0005-0000-0000-00003F140000}"/>
    <cellStyle name="Calculation 2 9 5 8 4" xfId="15576" xr:uid="{00000000-0005-0000-0000-000040140000}"/>
    <cellStyle name="Calculation 2 9 5 9" xfId="8744" xr:uid="{00000000-0005-0000-0000-000041140000}"/>
    <cellStyle name="Calculation 2 9 5 9 2" xfId="27716" xr:uid="{00000000-0005-0000-0000-000042140000}"/>
    <cellStyle name="Calculation 2 9 5 9 3" xfId="38561" xr:uid="{00000000-0005-0000-0000-000043140000}"/>
    <cellStyle name="Calculation 2 9 5 9 4" xfId="17480" xr:uid="{00000000-0005-0000-0000-000044140000}"/>
    <cellStyle name="Calculation 2 9 6" xfId="1054" xr:uid="{00000000-0005-0000-0000-000045140000}"/>
    <cellStyle name="Calculation 2 9 6 2" xfId="3907" xr:uid="{00000000-0005-0000-0000-000046140000}"/>
    <cellStyle name="Calculation 2 9 6 2 2" xfId="22879" xr:uid="{00000000-0005-0000-0000-000047140000}"/>
    <cellStyle name="Calculation 2 9 6 2 3" xfId="33724" xr:uid="{00000000-0005-0000-0000-000048140000}"/>
    <cellStyle name="Calculation 2 9 6 2 4" xfId="14020" xr:uid="{00000000-0005-0000-0000-000049140000}"/>
    <cellStyle name="Calculation 2 9 6 3" xfId="6581" xr:uid="{00000000-0005-0000-0000-00004A140000}"/>
    <cellStyle name="Calculation 2 9 6 3 2" xfId="25553" xr:uid="{00000000-0005-0000-0000-00004B140000}"/>
    <cellStyle name="Calculation 2 9 6 3 3" xfId="36398" xr:uid="{00000000-0005-0000-0000-00004C140000}"/>
    <cellStyle name="Calculation 2 9 6 3 4" xfId="15936" xr:uid="{00000000-0005-0000-0000-00004D140000}"/>
    <cellStyle name="Calculation 2 9 6 4" xfId="9240" xr:uid="{00000000-0005-0000-0000-00004E140000}"/>
    <cellStyle name="Calculation 2 9 6 4 2" xfId="28212" xr:uid="{00000000-0005-0000-0000-00004F140000}"/>
    <cellStyle name="Calculation 2 9 6 4 3" xfId="39057" xr:uid="{00000000-0005-0000-0000-000050140000}"/>
    <cellStyle name="Calculation 2 9 6 4 4" xfId="17840" xr:uid="{00000000-0005-0000-0000-000051140000}"/>
    <cellStyle name="Calculation 2 9 6 5" xfId="20036" xr:uid="{00000000-0005-0000-0000-000052140000}"/>
    <cellStyle name="Calculation 2 9 6 6" xfId="30881" xr:uid="{00000000-0005-0000-0000-000053140000}"/>
    <cellStyle name="Calculation 2 9 6 7" xfId="11986" xr:uid="{00000000-0005-0000-0000-000054140000}"/>
    <cellStyle name="Calculation 2 9 7" xfId="922" xr:uid="{00000000-0005-0000-0000-000055140000}"/>
    <cellStyle name="Calculation 2 9 7 2" xfId="3777" xr:uid="{00000000-0005-0000-0000-000056140000}"/>
    <cellStyle name="Calculation 2 9 7 2 2" xfId="22749" xr:uid="{00000000-0005-0000-0000-000057140000}"/>
    <cellStyle name="Calculation 2 9 7 2 3" xfId="33594" xr:uid="{00000000-0005-0000-0000-000058140000}"/>
    <cellStyle name="Calculation 2 9 7 2 4" xfId="13923" xr:uid="{00000000-0005-0000-0000-000059140000}"/>
    <cellStyle name="Calculation 2 9 7 3" xfId="6452" xr:uid="{00000000-0005-0000-0000-00005A140000}"/>
    <cellStyle name="Calculation 2 9 7 3 2" xfId="25424" xr:uid="{00000000-0005-0000-0000-00005B140000}"/>
    <cellStyle name="Calculation 2 9 7 3 3" xfId="36269" xr:uid="{00000000-0005-0000-0000-00005C140000}"/>
    <cellStyle name="Calculation 2 9 7 3 4" xfId="15839" xr:uid="{00000000-0005-0000-0000-00005D140000}"/>
    <cellStyle name="Calculation 2 9 7 4" xfId="9111" xr:uid="{00000000-0005-0000-0000-00005E140000}"/>
    <cellStyle name="Calculation 2 9 7 4 2" xfId="28083" xr:uid="{00000000-0005-0000-0000-00005F140000}"/>
    <cellStyle name="Calculation 2 9 7 4 3" xfId="38928" xr:uid="{00000000-0005-0000-0000-000060140000}"/>
    <cellStyle name="Calculation 2 9 7 4 4" xfId="17743" xr:uid="{00000000-0005-0000-0000-000061140000}"/>
    <cellStyle name="Calculation 2 9 7 5" xfId="19907" xr:uid="{00000000-0005-0000-0000-000062140000}"/>
    <cellStyle name="Calculation 2 9 7 6" xfId="30752" xr:uid="{00000000-0005-0000-0000-000063140000}"/>
    <cellStyle name="Calculation 2 9 7 7" xfId="11889" xr:uid="{00000000-0005-0000-0000-000064140000}"/>
    <cellStyle name="Calculation 2 9 8" xfId="1041" xr:uid="{00000000-0005-0000-0000-000065140000}"/>
    <cellStyle name="Calculation 2 9 8 2" xfId="3894" xr:uid="{00000000-0005-0000-0000-000066140000}"/>
    <cellStyle name="Calculation 2 9 8 2 2" xfId="22866" xr:uid="{00000000-0005-0000-0000-000067140000}"/>
    <cellStyle name="Calculation 2 9 8 2 3" xfId="33711" xr:uid="{00000000-0005-0000-0000-000068140000}"/>
    <cellStyle name="Calculation 2 9 8 2 4" xfId="14011" xr:uid="{00000000-0005-0000-0000-000069140000}"/>
    <cellStyle name="Calculation 2 9 8 3" xfId="6568" xr:uid="{00000000-0005-0000-0000-00006A140000}"/>
    <cellStyle name="Calculation 2 9 8 3 2" xfId="25540" xr:uid="{00000000-0005-0000-0000-00006B140000}"/>
    <cellStyle name="Calculation 2 9 8 3 3" xfId="36385" xr:uid="{00000000-0005-0000-0000-00006C140000}"/>
    <cellStyle name="Calculation 2 9 8 3 4" xfId="15927" xr:uid="{00000000-0005-0000-0000-00006D140000}"/>
    <cellStyle name="Calculation 2 9 8 4" xfId="9227" xr:uid="{00000000-0005-0000-0000-00006E140000}"/>
    <cellStyle name="Calculation 2 9 8 4 2" xfId="28199" xr:uid="{00000000-0005-0000-0000-00006F140000}"/>
    <cellStyle name="Calculation 2 9 8 4 3" xfId="39044" xr:uid="{00000000-0005-0000-0000-000070140000}"/>
    <cellStyle name="Calculation 2 9 8 4 4" xfId="17831" xr:uid="{00000000-0005-0000-0000-000071140000}"/>
    <cellStyle name="Calculation 2 9 8 5" xfId="20023" xr:uid="{00000000-0005-0000-0000-000072140000}"/>
    <cellStyle name="Calculation 2 9 8 6" xfId="30868" xr:uid="{00000000-0005-0000-0000-000073140000}"/>
    <cellStyle name="Calculation 2 9 8 7" xfId="11977" xr:uid="{00000000-0005-0000-0000-000074140000}"/>
    <cellStyle name="Calculation 2 9 9" xfId="940" xr:uid="{00000000-0005-0000-0000-000075140000}"/>
    <cellStyle name="Calculation 2 9 9 2" xfId="3794" xr:uid="{00000000-0005-0000-0000-000076140000}"/>
    <cellStyle name="Calculation 2 9 9 2 2" xfId="22766" xr:uid="{00000000-0005-0000-0000-000077140000}"/>
    <cellStyle name="Calculation 2 9 9 2 3" xfId="33611" xr:uid="{00000000-0005-0000-0000-000078140000}"/>
    <cellStyle name="Calculation 2 9 9 2 4" xfId="13939" xr:uid="{00000000-0005-0000-0000-000079140000}"/>
    <cellStyle name="Calculation 2 9 9 3" xfId="6469" xr:uid="{00000000-0005-0000-0000-00007A140000}"/>
    <cellStyle name="Calculation 2 9 9 3 2" xfId="25441" xr:uid="{00000000-0005-0000-0000-00007B140000}"/>
    <cellStyle name="Calculation 2 9 9 3 3" xfId="36286" xr:uid="{00000000-0005-0000-0000-00007C140000}"/>
    <cellStyle name="Calculation 2 9 9 3 4" xfId="15855" xr:uid="{00000000-0005-0000-0000-00007D140000}"/>
    <cellStyle name="Calculation 2 9 9 4" xfId="9128" xr:uid="{00000000-0005-0000-0000-00007E140000}"/>
    <cellStyle name="Calculation 2 9 9 4 2" xfId="28100" xr:uid="{00000000-0005-0000-0000-00007F140000}"/>
    <cellStyle name="Calculation 2 9 9 4 3" xfId="38945" xr:uid="{00000000-0005-0000-0000-000080140000}"/>
    <cellStyle name="Calculation 2 9 9 4 4" xfId="17759" xr:uid="{00000000-0005-0000-0000-000081140000}"/>
    <cellStyle name="Calculation 2 9 9 5" xfId="19924" xr:uid="{00000000-0005-0000-0000-000082140000}"/>
    <cellStyle name="Calculation 2 9 9 6" xfId="30769" xr:uid="{00000000-0005-0000-0000-000083140000}"/>
    <cellStyle name="Calculation 2 9 9 7" xfId="11905" xr:uid="{00000000-0005-0000-0000-000084140000}"/>
    <cellStyle name="Calculation 2_2012 AR ELEC BCR Eval Eval - 012913" xfId="65" xr:uid="{00000000-0005-0000-0000-000085140000}"/>
    <cellStyle name="Calculation 3" xfId="66" xr:uid="{00000000-0005-0000-0000-000086140000}"/>
    <cellStyle name="Calculation 3 2" xfId="356" xr:uid="{00000000-0005-0000-0000-000087140000}"/>
    <cellStyle name="Calculation 3 2 10" xfId="945" xr:uid="{00000000-0005-0000-0000-000088140000}"/>
    <cellStyle name="Calculation 3 2 10 2" xfId="3798" xr:uid="{00000000-0005-0000-0000-000089140000}"/>
    <cellStyle name="Calculation 3 2 10 2 2" xfId="22770" xr:uid="{00000000-0005-0000-0000-00008A140000}"/>
    <cellStyle name="Calculation 3 2 10 2 3" xfId="33615" xr:uid="{00000000-0005-0000-0000-00008B140000}"/>
    <cellStyle name="Calculation 3 2 10 2 4" xfId="13943" xr:uid="{00000000-0005-0000-0000-00008C140000}"/>
    <cellStyle name="Calculation 3 2 10 3" xfId="6473" xr:uid="{00000000-0005-0000-0000-00008D140000}"/>
    <cellStyle name="Calculation 3 2 10 3 2" xfId="25445" xr:uid="{00000000-0005-0000-0000-00008E140000}"/>
    <cellStyle name="Calculation 3 2 10 3 3" xfId="36290" xr:uid="{00000000-0005-0000-0000-00008F140000}"/>
    <cellStyle name="Calculation 3 2 10 3 4" xfId="15859" xr:uid="{00000000-0005-0000-0000-000090140000}"/>
    <cellStyle name="Calculation 3 2 10 4" xfId="9132" xr:uid="{00000000-0005-0000-0000-000091140000}"/>
    <cellStyle name="Calculation 3 2 10 4 2" xfId="28104" xr:uid="{00000000-0005-0000-0000-000092140000}"/>
    <cellStyle name="Calculation 3 2 10 4 3" xfId="38949" xr:uid="{00000000-0005-0000-0000-000093140000}"/>
    <cellStyle name="Calculation 3 2 10 4 4" xfId="17763" xr:uid="{00000000-0005-0000-0000-000094140000}"/>
    <cellStyle name="Calculation 3 2 10 5" xfId="19928" xr:uid="{00000000-0005-0000-0000-000095140000}"/>
    <cellStyle name="Calculation 3 2 10 6" xfId="30773" xr:uid="{00000000-0005-0000-0000-000096140000}"/>
    <cellStyle name="Calculation 3 2 10 7" xfId="11909" xr:uid="{00000000-0005-0000-0000-000097140000}"/>
    <cellStyle name="Calculation 3 2 11" xfId="1012" xr:uid="{00000000-0005-0000-0000-000098140000}"/>
    <cellStyle name="Calculation 3 2 11 2" xfId="3865" xr:uid="{00000000-0005-0000-0000-000099140000}"/>
    <cellStyle name="Calculation 3 2 11 2 2" xfId="22837" xr:uid="{00000000-0005-0000-0000-00009A140000}"/>
    <cellStyle name="Calculation 3 2 11 2 3" xfId="33682" xr:uid="{00000000-0005-0000-0000-00009B140000}"/>
    <cellStyle name="Calculation 3 2 11 2 4" xfId="13989" xr:uid="{00000000-0005-0000-0000-00009C140000}"/>
    <cellStyle name="Calculation 3 2 11 3" xfId="6539" xr:uid="{00000000-0005-0000-0000-00009D140000}"/>
    <cellStyle name="Calculation 3 2 11 3 2" xfId="25511" xr:uid="{00000000-0005-0000-0000-00009E140000}"/>
    <cellStyle name="Calculation 3 2 11 3 3" xfId="36356" xr:uid="{00000000-0005-0000-0000-00009F140000}"/>
    <cellStyle name="Calculation 3 2 11 3 4" xfId="15905" xr:uid="{00000000-0005-0000-0000-0000A0140000}"/>
    <cellStyle name="Calculation 3 2 11 4" xfId="9198" xr:uid="{00000000-0005-0000-0000-0000A1140000}"/>
    <cellStyle name="Calculation 3 2 11 4 2" xfId="28170" xr:uid="{00000000-0005-0000-0000-0000A2140000}"/>
    <cellStyle name="Calculation 3 2 11 4 3" xfId="39015" xr:uid="{00000000-0005-0000-0000-0000A3140000}"/>
    <cellStyle name="Calculation 3 2 11 4 4" xfId="17809" xr:uid="{00000000-0005-0000-0000-0000A4140000}"/>
    <cellStyle name="Calculation 3 2 11 5" xfId="19994" xr:uid="{00000000-0005-0000-0000-0000A5140000}"/>
    <cellStyle name="Calculation 3 2 11 6" xfId="30839" xr:uid="{00000000-0005-0000-0000-0000A6140000}"/>
    <cellStyle name="Calculation 3 2 11 7" xfId="11955" xr:uid="{00000000-0005-0000-0000-0000A7140000}"/>
    <cellStyle name="Calculation 3 2 12" xfId="990" xr:uid="{00000000-0005-0000-0000-0000A8140000}"/>
    <cellStyle name="Calculation 3 2 12 2" xfId="3843" xr:uid="{00000000-0005-0000-0000-0000A9140000}"/>
    <cellStyle name="Calculation 3 2 12 2 2" xfId="22815" xr:uid="{00000000-0005-0000-0000-0000AA140000}"/>
    <cellStyle name="Calculation 3 2 12 2 3" xfId="33660" xr:uid="{00000000-0005-0000-0000-0000AB140000}"/>
    <cellStyle name="Calculation 3 2 12 2 4" xfId="13976" xr:uid="{00000000-0005-0000-0000-0000AC140000}"/>
    <cellStyle name="Calculation 3 2 12 3" xfId="6518" xr:uid="{00000000-0005-0000-0000-0000AD140000}"/>
    <cellStyle name="Calculation 3 2 12 3 2" xfId="25490" xr:uid="{00000000-0005-0000-0000-0000AE140000}"/>
    <cellStyle name="Calculation 3 2 12 3 3" xfId="36335" xr:uid="{00000000-0005-0000-0000-0000AF140000}"/>
    <cellStyle name="Calculation 3 2 12 3 4" xfId="15892" xr:uid="{00000000-0005-0000-0000-0000B0140000}"/>
    <cellStyle name="Calculation 3 2 12 4" xfId="9177" xr:uid="{00000000-0005-0000-0000-0000B1140000}"/>
    <cellStyle name="Calculation 3 2 12 4 2" xfId="28149" xr:uid="{00000000-0005-0000-0000-0000B2140000}"/>
    <cellStyle name="Calculation 3 2 12 4 3" xfId="38994" xr:uid="{00000000-0005-0000-0000-0000B3140000}"/>
    <cellStyle name="Calculation 3 2 12 4 4" xfId="17796" xr:uid="{00000000-0005-0000-0000-0000B4140000}"/>
    <cellStyle name="Calculation 3 2 12 5" xfId="19973" xr:uid="{00000000-0005-0000-0000-0000B5140000}"/>
    <cellStyle name="Calculation 3 2 12 6" xfId="30818" xr:uid="{00000000-0005-0000-0000-0000B6140000}"/>
    <cellStyle name="Calculation 3 2 12 7" xfId="11942" xr:uid="{00000000-0005-0000-0000-0000B7140000}"/>
    <cellStyle name="Calculation 3 2 13" xfId="1013" xr:uid="{00000000-0005-0000-0000-0000B8140000}"/>
    <cellStyle name="Calculation 3 2 13 2" xfId="3866" xr:uid="{00000000-0005-0000-0000-0000B9140000}"/>
    <cellStyle name="Calculation 3 2 13 2 2" xfId="22838" xr:uid="{00000000-0005-0000-0000-0000BA140000}"/>
    <cellStyle name="Calculation 3 2 13 2 3" xfId="33683" xr:uid="{00000000-0005-0000-0000-0000BB140000}"/>
    <cellStyle name="Calculation 3 2 13 2 4" xfId="13990" xr:uid="{00000000-0005-0000-0000-0000BC140000}"/>
    <cellStyle name="Calculation 3 2 13 3" xfId="6540" xr:uid="{00000000-0005-0000-0000-0000BD140000}"/>
    <cellStyle name="Calculation 3 2 13 3 2" xfId="25512" xr:uid="{00000000-0005-0000-0000-0000BE140000}"/>
    <cellStyle name="Calculation 3 2 13 3 3" xfId="36357" xr:uid="{00000000-0005-0000-0000-0000BF140000}"/>
    <cellStyle name="Calculation 3 2 13 3 4" xfId="15906" xr:uid="{00000000-0005-0000-0000-0000C0140000}"/>
    <cellStyle name="Calculation 3 2 13 4" xfId="9199" xr:uid="{00000000-0005-0000-0000-0000C1140000}"/>
    <cellStyle name="Calculation 3 2 13 4 2" xfId="28171" xr:uid="{00000000-0005-0000-0000-0000C2140000}"/>
    <cellStyle name="Calculation 3 2 13 4 3" xfId="39016" xr:uid="{00000000-0005-0000-0000-0000C3140000}"/>
    <cellStyle name="Calculation 3 2 13 4 4" xfId="17810" xr:uid="{00000000-0005-0000-0000-0000C4140000}"/>
    <cellStyle name="Calculation 3 2 13 5" xfId="19995" xr:uid="{00000000-0005-0000-0000-0000C5140000}"/>
    <cellStyle name="Calculation 3 2 13 6" xfId="30840" xr:uid="{00000000-0005-0000-0000-0000C6140000}"/>
    <cellStyle name="Calculation 3 2 13 7" xfId="11956" xr:uid="{00000000-0005-0000-0000-0000C7140000}"/>
    <cellStyle name="Calculation 3 2 14" xfId="3270" xr:uid="{00000000-0005-0000-0000-0000C8140000}"/>
    <cellStyle name="Calculation 3 2 14 2" xfId="22244" xr:uid="{00000000-0005-0000-0000-0000C9140000}"/>
    <cellStyle name="Calculation 3 2 14 3" xfId="33089" xr:uid="{00000000-0005-0000-0000-0000CA140000}"/>
    <cellStyle name="Calculation 3 2 14 4" xfId="13568" xr:uid="{00000000-0005-0000-0000-0000CB140000}"/>
    <cellStyle name="Calculation 3 2 15" xfId="3282" xr:uid="{00000000-0005-0000-0000-0000CC140000}"/>
    <cellStyle name="Calculation 3 2 15 2" xfId="22256" xr:uid="{00000000-0005-0000-0000-0000CD140000}"/>
    <cellStyle name="Calculation 3 2 15 3" xfId="33101" xr:uid="{00000000-0005-0000-0000-0000CE140000}"/>
    <cellStyle name="Calculation 3 2 15 4" xfId="13575" xr:uid="{00000000-0005-0000-0000-0000CF140000}"/>
    <cellStyle name="Calculation 3 2 16" xfId="513" xr:uid="{00000000-0005-0000-0000-0000D0140000}"/>
    <cellStyle name="Calculation 3 2 16 2" xfId="19535" xr:uid="{00000000-0005-0000-0000-0000D1140000}"/>
    <cellStyle name="Calculation 3 2 16 3" xfId="30380" xr:uid="{00000000-0005-0000-0000-0000D2140000}"/>
    <cellStyle name="Calculation 3 2 16 4" xfId="11589" xr:uid="{00000000-0005-0000-0000-0000D3140000}"/>
    <cellStyle name="Calculation 3 2 17" xfId="19453" xr:uid="{00000000-0005-0000-0000-0000D4140000}"/>
    <cellStyle name="Calculation 3 2 18" xfId="19405" xr:uid="{00000000-0005-0000-0000-0000D5140000}"/>
    <cellStyle name="Calculation 3 2 19" xfId="11512" xr:uid="{00000000-0005-0000-0000-0000D6140000}"/>
    <cellStyle name="Calculation 3 2 2" xfId="664" xr:uid="{00000000-0005-0000-0000-0000D7140000}"/>
    <cellStyle name="Calculation 3 2 2 10" xfId="19649" xr:uid="{00000000-0005-0000-0000-0000D8140000}"/>
    <cellStyle name="Calculation 3 2 2 11" xfId="30494" xr:uid="{00000000-0005-0000-0000-0000D9140000}"/>
    <cellStyle name="Calculation 3 2 2 12" xfId="11716" xr:uid="{00000000-0005-0000-0000-0000DA140000}"/>
    <cellStyle name="Calculation 3 2 2 2" xfId="1251" xr:uid="{00000000-0005-0000-0000-0000DB140000}"/>
    <cellStyle name="Calculation 3 2 2 2 2" xfId="4104" xr:uid="{00000000-0005-0000-0000-0000DC140000}"/>
    <cellStyle name="Calculation 3 2 2 2 2 2" xfId="23076" xr:uid="{00000000-0005-0000-0000-0000DD140000}"/>
    <cellStyle name="Calculation 3 2 2 2 2 3" xfId="33921" xr:uid="{00000000-0005-0000-0000-0000DE140000}"/>
    <cellStyle name="Calculation 3 2 2 2 2 4" xfId="14177" xr:uid="{00000000-0005-0000-0000-0000DF140000}"/>
    <cellStyle name="Calculation 3 2 2 2 3" xfId="6777" xr:uid="{00000000-0005-0000-0000-0000E0140000}"/>
    <cellStyle name="Calculation 3 2 2 2 3 2" xfId="25749" xr:uid="{00000000-0005-0000-0000-0000E1140000}"/>
    <cellStyle name="Calculation 3 2 2 2 3 3" xfId="36594" xr:uid="{00000000-0005-0000-0000-0000E2140000}"/>
    <cellStyle name="Calculation 3 2 2 2 3 4" xfId="16092" xr:uid="{00000000-0005-0000-0000-0000E3140000}"/>
    <cellStyle name="Calculation 3 2 2 2 4" xfId="9436" xr:uid="{00000000-0005-0000-0000-0000E4140000}"/>
    <cellStyle name="Calculation 3 2 2 2 4 2" xfId="28408" xr:uid="{00000000-0005-0000-0000-0000E5140000}"/>
    <cellStyle name="Calculation 3 2 2 2 4 3" xfId="39253" xr:uid="{00000000-0005-0000-0000-0000E6140000}"/>
    <cellStyle name="Calculation 3 2 2 2 4 4" xfId="17996" xr:uid="{00000000-0005-0000-0000-0000E7140000}"/>
    <cellStyle name="Calculation 3 2 2 2 5" xfId="20232" xr:uid="{00000000-0005-0000-0000-0000E8140000}"/>
    <cellStyle name="Calculation 3 2 2 2 6" xfId="31077" xr:uid="{00000000-0005-0000-0000-0000E9140000}"/>
    <cellStyle name="Calculation 3 2 2 2 7" xfId="12142" xr:uid="{00000000-0005-0000-0000-0000EA140000}"/>
    <cellStyle name="Calculation 3 2 2 3" xfId="1650" xr:uid="{00000000-0005-0000-0000-0000EB140000}"/>
    <cellStyle name="Calculation 3 2 2 3 2" xfId="4503" xr:uid="{00000000-0005-0000-0000-0000EC140000}"/>
    <cellStyle name="Calculation 3 2 2 3 2 2" xfId="23475" xr:uid="{00000000-0005-0000-0000-0000ED140000}"/>
    <cellStyle name="Calculation 3 2 2 3 2 3" xfId="34320" xr:uid="{00000000-0005-0000-0000-0000EE140000}"/>
    <cellStyle name="Calculation 3 2 2 3 2 4" xfId="14464" xr:uid="{00000000-0005-0000-0000-0000EF140000}"/>
    <cellStyle name="Calculation 3 2 2 3 3" xfId="7175" xr:uid="{00000000-0005-0000-0000-0000F0140000}"/>
    <cellStyle name="Calculation 3 2 2 3 3 2" xfId="26147" xr:uid="{00000000-0005-0000-0000-0000F1140000}"/>
    <cellStyle name="Calculation 3 2 2 3 3 3" xfId="36992" xr:uid="{00000000-0005-0000-0000-0000F2140000}"/>
    <cellStyle name="Calculation 3 2 2 3 3 4" xfId="16378" xr:uid="{00000000-0005-0000-0000-0000F3140000}"/>
    <cellStyle name="Calculation 3 2 2 3 4" xfId="9834" xr:uid="{00000000-0005-0000-0000-0000F4140000}"/>
    <cellStyle name="Calculation 3 2 2 3 4 2" xfId="28806" xr:uid="{00000000-0005-0000-0000-0000F5140000}"/>
    <cellStyle name="Calculation 3 2 2 3 4 3" xfId="39651" xr:uid="{00000000-0005-0000-0000-0000F6140000}"/>
    <cellStyle name="Calculation 3 2 2 3 4 4" xfId="18282" xr:uid="{00000000-0005-0000-0000-0000F7140000}"/>
    <cellStyle name="Calculation 3 2 2 3 5" xfId="20630" xr:uid="{00000000-0005-0000-0000-0000F8140000}"/>
    <cellStyle name="Calculation 3 2 2 3 6" xfId="31475" xr:uid="{00000000-0005-0000-0000-0000F9140000}"/>
    <cellStyle name="Calculation 3 2 2 3 7" xfId="12428" xr:uid="{00000000-0005-0000-0000-0000FA140000}"/>
    <cellStyle name="Calculation 3 2 2 4" xfId="2054" xr:uid="{00000000-0005-0000-0000-0000FB140000}"/>
    <cellStyle name="Calculation 3 2 2 4 2" xfId="4907" xr:uid="{00000000-0005-0000-0000-0000FC140000}"/>
    <cellStyle name="Calculation 3 2 2 4 2 2" xfId="23879" xr:uid="{00000000-0005-0000-0000-0000FD140000}"/>
    <cellStyle name="Calculation 3 2 2 4 2 3" xfId="34724" xr:uid="{00000000-0005-0000-0000-0000FE140000}"/>
    <cellStyle name="Calculation 3 2 2 4 2 4" xfId="14751" xr:uid="{00000000-0005-0000-0000-0000FF140000}"/>
    <cellStyle name="Calculation 3 2 2 4 3" xfId="7578" xr:uid="{00000000-0005-0000-0000-000000150000}"/>
    <cellStyle name="Calculation 3 2 2 4 3 2" xfId="26550" xr:uid="{00000000-0005-0000-0000-000001150000}"/>
    <cellStyle name="Calculation 3 2 2 4 3 3" xfId="37395" xr:uid="{00000000-0005-0000-0000-000002150000}"/>
    <cellStyle name="Calculation 3 2 2 4 3 4" xfId="16664" xr:uid="{00000000-0005-0000-0000-000003150000}"/>
    <cellStyle name="Calculation 3 2 2 4 4" xfId="10237" xr:uid="{00000000-0005-0000-0000-000004150000}"/>
    <cellStyle name="Calculation 3 2 2 4 4 2" xfId="29209" xr:uid="{00000000-0005-0000-0000-000005150000}"/>
    <cellStyle name="Calculation 3 2 2 4 4 3" xfId="40054" xr:uid="{00000000-0005-0000-0000-000006150000}"/>
    <cellStyle name="Calculation 3 2 2 4 4 4" xfId="18568" xr:uid="{00000000-0005-0000-0000-000007150000}"/>
    <cellStyle name="Calculation 3 2 2 4 5" xfId="21033" xr:uid="{00000000-0005-0000-0000-000008150000}"/>
    <cellStyle name="Calculation 3 2 2 4 6" xfId="31878" xr:uid="{00000000-0005-0000-0000-000009150000}"/>
    <cellStyle name="Calculation 3 2 2 4 7" xfId="12714" xr:uid="{00000000-0005-0000-0000-00000A150000}"/>
    <cellStyle name="Calculation 3 2 2 5" xfId="2444" xr:uid="{00000000-0005-0000-0000-00000B150000}"/>
    <cellStyle name="Calculation 3 2 2 5 2" xfId="5296" xr:uid="{00000000-0005-0000-0000-00000C150000}"/>
    <cellStyle name="Calculation 3 2 2 5 2 2" xfId="24268" xr:uid="{00000000-0005-0000-0000-00000D150000}"/>
    <cellStyle name="Calculation 3 2 2 5 2 3" xfId="35113" xr:uid="{00000000-0005-0000-0000-00000E150000}"/>
    <cellStyle name="Calculation 3 2 2 5 2 4" xfId="15030" xr:uid="{00000000-0005-0000-0000-00000F150000}"/>
    <cellStyle name="Calculation 3 2 2 5 3" xfId="7967" xr:uid="{00000000-0005-0000-0000-000010150000}"/>
    <cellStyle name="Calculation 3 2 2 5 3 2" xfId="26939" xr:uid="{00000000-0005-0000-0000-000011150000}"/>
    <cellStyle name="Calculation 3 2 2 5 3 3" xfId="37784" xr:uid="{00000000-0005-0000-0000-000012150000}"/>
    <cellStyle name="Calculation 3 2 2 5 3 4" xfId="16943" xr:uid="{00000000-0005-0000-0000-000013150000}"/>
    <cellStyle name="Calculation 3 2 2 5 4" xfId="10626" xr:uid="{00000000-0005-0000-0000-000014150000}"/>
    <cellStyle name="Calculation 3 2 2 5 4 2" xfId="29598" xr:uid="{00000000-0005-0000-0000-000015150000}"/>
    <cellStyle name="Calculation 3 2 2 5 4 3" xfId="40443" xr:uid="{00000000-0005-0000-0000-000016150000}"/>
    <cellStyle name="Calculation 3 2 2 5 4 4" xfId="18847" xr:uid="{00000000-0005-0000-0000-000017150000}"/>
    <cellStyle name="Calculation 3 2 2 5 5" xfId="21422" xr:uid="{00000000-0005-0000-0000-000018150000}"/>
    <cellStyle name="Calculation 3 2 2 5 6" xfId="32267" xr:uid="{00000000-0005-0000-0000-000019150000}"/>
    <cellStyle name="Calculation 3 2 2 5 7" xfId="12993" xr:uid="{00000000-0005-0000-0000-00001A150000}"/>
    <cellStyle name="Calculation 3 2 2 6" xfId="2830" xr:uid="{00000000-0005-0000-0000-00001B150000}"/>
    <cellStyle name="Calculation 3 2 2 6 2" xfId="5681" xr:uid="{00000000-0005-0000-0000-00001C150000}"/>
    <cellStyle name="Calculation 3 2 2 6 2 2" xfId="24653" xr:uid="{00000000-0005-0000-0000-00001D150000}"/>
    <cellStyle name="Calculation 3 2 2 6 2 3" xfId="35498" xr:uid="{00000000-0005-0000-0000-00001E150000}"/>
    <cellStyle name="Calculation 3 2 2 6 2 4" xfId="15306" xr:uid="{00000000-0005-0000-0000-00001F150000}"/>
    <cellStyle name="Calculation 3 2 2 6 3" xfId="8352" xr:uid="{00000000-0005-0000-0000-000020150000}"/>
    <cellStyle name="Calculation 3 2 2 6 3 2" xfId="27324" xr:uid="{00000000-0005-0000-0000-000021150000}"/>
    <cellStyle name="Calculation 3 2 2 6 3 3" xfId="38169" xr:uid="{00000000-0005-0000-0000-000022150000}"/>
    <cellStyle name="Calculation 3 2 2 6 3 4" xfId="17219" xr:uid="{00000000-0005-0000-0000-000023150000}"/>
    <cellStyle name="Calculation 3 2 2 6 4" xfId="11011" xr:uid="{00000000-0005-0000-0000-000024150000}"/>
    <cellStyle name="Calculation 3 2 2 6 4 2" xfId="29983" xr:uid="{00000000-0005-0000-0000-000025150000}"/>
    <cellStyle name="Calculation 3 2 2 6 4 3" xfId="40828" xr:uid="{00000000-0005-0000-0000-000026150000}"/>
    <cellStyle name="Calculation 3 2 2 6 4 4" xfId="19123" xr:uid="{00000000-0005-0000-0000-000027150000}"/>
    <cellStyle name="Calculation 3 2 2 6 5" xfId="21807" xr:uid="{00000000-0005-0000-0000-000028150000}"/>
    <cellStyle name="Calculation 3 2 2 6 6" xfId="32652" xr:uid="{00000000-0005-0000-0000-000029150000}"/>
    <cellStyle name="Calculation 3 2 2 6 7" xfId="13269" xr:uid="{00000000-0005-0000-0000-00002A150000}"/>
    <cellStyle name="Calculation 3 2 2 7" xfId="3519" xr:uid="{00000000-0005-0000-0000-00002B150000}"/>
    <cellStyle name="Calculation 3 2 2 7 2" xfId="22491" xr:uid="{00000000-0005-0000-0000-00002C150000}"/>
    <cellStyle name="Calculation 3 2 2 7 3" xfId="33336" xr:uid="{00000000-0005-0000-0000-00002D150000}"/>
    <cellStyle name="Calculation 3 2 2 7 4" xfId="13750" xr:uid="{00000000-0005-0000-0000-00002E150000}"/>
    <cellStyle name="Calculation 3 2 2 8" xfId="6194" xr:uid="{00000000-0005-0000-0000-00002F150000}"/>
    <cellStyle name="Calculation 3 2 2 8 2" xfId="25166" xr:uid="{00000000-0005-0000-0000-000030150000}"/>
    <cellStyle name="Calculation 3 2 2 8 3" xfId="36011" xr:uid="{00000000-0005-0000-0000-000031150000}"/>
    <cellStyle name="Calculation 3 2 2 8 4" xfId="15666" xr:uid="{00000000-0005-0000-0000-000032150000}"/>
    <cellStyle name="Calculation 3 2 2 9" xfId="8853" xr:uid="{00000000-0005-0000-0000-000033150000}"/>
    <cellStyle name="Calculation 3 2 2 9 2" xfId="27825" xr:uid="{00000000-0005-0000-0000-000034150000}"/>
    <cellStyle name="Calculation 3 2 2 9 3" xfId="38670" xr:uid="{00000000-0005-0000-0000-000035150000}"/>
    <cellStyle name="Calculation 3 2 2 9 4" xfId="17570" xr:uid="{00000000-0005-0000-0000-000036150000}"/>
    <cellStyle name="Calculation 3 2 3" xfId="654" xr:uid="{00000000-0005-0000-0000-000037150000}"/>
    <cellStyle name="Calculation 3 2 3 10" xfId="19639" xr:uid="{00000000-0005-0000-0000-000038150000}"/>
    <cellStyle name="Calculation 3 2 3 11" xfId="30484" xr:uid="{00000000-0005-0000-0000-000039150000}"/>
    <cellStyle name="Calculation 3 2 3 12" xfId="11706" xr:uid="{00000000-0005-0000-0000-00003A150000}"/>
    <cellStyle name="Calculation 3 2 3 2" xfId="1241" xr:uid="{00000000-0005-0000-0000-00003B150000}"/>
    <cellStyle name="Calculation 3 2 3 2 2" xfId="4094" xr:uid="{00000000-0005-0000-0000-00003C150000}"/>
    <cellStyle name="Calculation 3 2 3 2 2 2" xfId="23066" xr:uid="{00000000-0005-0000-0000-00003D150000}"/>
    <cellStyle name="Calculation 3 2 3 2 2 3" xfId="33911" xr:uid="{00000000-0005-0000-0000-00003E150000}"/>
    <cellStyle name="Calculation 3 2 3 2 2 4" xfId="14167" xr:uid="{00000000-0005-0000-0000-00003F150000}"/>
    <cellStyle name="Calculation 3 2 3 2 3" xfId="6767" xr:uid="{00000000-0005-0000-0000-000040150000}"/>
    <cellStyle name="Calculation 3 2 3 2 3 2" xfId="25739" xr:uid="{00000000-0005-0000-0000-000041150000}"/>
    <cellStyle name="Calculation 3 2 3 2 3 3" xfId="36584" xr:uid="{00000000-0005-0000-0000-000042150000}"/>
    <cellStyle name="Calculation 3 2 3 2 3 4" xfId="16082" xr:uid="{00000000-0005-0000-0000-000043150000}"/>
    <cellStyle name="Calculation 3 2 3 2 4" xfId="9426" xr:uid="{00000000-0005-0000-0000-000044150000}"/>
    <cellStyle name="Calculation 3 2 3 2 4 2" xfId="28398" xr:uid="{00000000-0005-0000-0000-000045150000}"/>
    <cellStyle name="Calculation 3 2 3 2 4 3" xfId="39243" xr:uid="{00000000-0005-0000-0000-000046150000}"/>
    <cellStyle name="Calculation 3 2 3 2 4 4" xfId="17986" xr:uid="{00000000-0005-0000-0000-000047150000}"/>
    <cellStyle name="Calculation 3 2 3 2 5" xfId="20222" xr:uid="{00000000-0005-0000-0000-000048150000}"/>
    <cellStyle name="Calculation 3 2 3 2 6" xfId="31067" xr:uid="{00000000-0005-0000-0000-000049150000}"/>
    <cellStyle name="Calculation 3 2 3 2 7" xfId="12132" xr:uid="{00000000-0005-0000-0000-00004A150000}"/>
    <cellStyle name="Calculation 3 2 3 3" xfId="1640" xr:uid="{00000000-0005-0000-0000-00004B150000}"/>
    <cellStyle name="Calculation 3 2 3 3 2" xfId="4493" xr:uid="{00000000-0005-0000-0000-00004C150000}"/>
    <cellStyle name="Calculation 3 2 3 3 2 2" xfId="23465" xr:uid="{00000000-0005-0000-0000-00004D150000}"/>
    <cellStyle name="Calculation 3 2 3 3 2 3" xfId="34310" xr:uid="{00000000-0005-0000-0000-00004E150000}"/>
    <cellStyle name="Calculation 3 2 3 3 2 4" xfId="14454" xr:uid="{00000000-0005-0000-0000-00004F150000}"/>
    <cellStyle name="Calculation 3 2 3 3 3" xfId="7165" xr:uid="{00000000-0005-0000-0000-000050150000}"/>
    <cellStyle name="Calculation 3 2 3 3 3 2" xfId="26137" xr:uid="{00000000-0005-0000-0000-000051150000}"/>
    <cellStyle name="Calculation 3 2 3 3 3 3" xfId="36982" xr:uid="{00000000-0005-0000-0000-000052150000}"/>
    <cellStyle name="Calculation 3 2 3 3 3 4" xfId="16368" xr:uid="{00000000-0005-0000-0000-000053150000}"/>
    <cellStyle name="Calculation 3 2 3 3 4" xfId="9824" xr:uid="{00000000-0005-0000-0000-000054150000}"/>
    <cellStyle name="Calculation 3 2 3 3 4 2" xfId="28796" xr:uid="{00000000-0005-0000-0000-000055150000}"/>
    <cellStyle name="Calculation 3 2 3 3 4 3" xfId="39641" xr:uid="{00000000-0005-0000-0000-000056150000}"/>
    <cellStyle name="Calculation 3 2 3 3 4 4" xfId="18272" xr:uid="{00000000-0005-0000-0000-000057150000}"/>
    <cellStyle name="Calculation 3 2 3 3 5" xfId="20620" xr:uid="{00000000-0005-0000-0000-000058150000}"/>
    <cellStyle name="Calculation 3 2 3 3 6" xfId="31465" xr:uid="{00000000-0005-0000-0000-000059150000}"/>
    <cellStyle name="Calculation 3 2 3 3 7" xfId="12418" xr:uid="{00000000-0005-0000-0000-00005A150000}"/>
    <cellStyle name="Calculation 3 2 3 4" xfId="2044" xr:uid="{00000000-0005-0000-0000-00005B150000}"/>
    <cellStyle name="Calculation 3 2 3 4 2" xfId="4897" xr:uid="{00000000-0005-0000-0000-00005C150000}"/>
    <cellStyle name="Calculation 3 2 3 4 2 2" xfId="23869" xr:uid="{00000000-0005-0000-0000-00005D150000}"/>
    <cellStyle name="Calculation 3 2 3 4 2 3" xfId="34714" xr:uid="{00000000-0005-0000-0000-00005E150000}"/>
    <cellStyle name="Calculation 3 2 3 4 2 4" xfId="14741" xr:uid="{00000000-0005-0000-0000-00005F150000}"/>
    <cellStyle name="Calculation 3 2 3 4 3" xfId="7568" xr:uid="{00000000-0005-0000-0000-000060150000}"/>
    <cellStyle name="Calculation 3 2 3 4 3 2" xfId="26540" xr:uid="{00000000-0005-0000-0000-000061150000}"/>
    <cellStyle name="Calculation 3 2 3 4 3 3" xfId="37385" xr:uid="{00000000-0005-0000-0000-000062150000}"/>
    <cellStyle name="Calculation 3 2 3 4 3 4" xfId="16654" xr:uid="{00000000-0005-0000-0000-000063150000}"/>
    <cellStyle name="Calculation 3 2 3 4 4" xfId="10227" xr:uid="{00000000-0005-0000-0000-000064150000}"/>
    <cellStyle name="Calculation 3 2 3 4 4 2" xfId="29199" xr:uid="{00000000-0005-0000-0000-000065150000}"/>
    <cellStyle name="Calculation 3 2 3 4 4 3" xfId="40044" xr:uid="{00000000-0005-0000-0000-000066150000}"/>
    <cellStyle name="Calculation 3 2 3 4 4 4" xfId="18558" xr:uid="{00000000-0005-0000-0000-000067150000}"/>
    <cellStyle name="Calculation 3 2 3 4 5" xfId="21023" xr:uid="{00000000-0005-0000-0000-000068150000}"/>
    <cellStyle name="Calculation 3 2 3 4 6" xfId="31868" xr:uid="{00000000-0005-0000-0000-000069150000}"/>
    <cellStyle name="Calculation 3 2 3 4 7" xfId="12704" xr:uid="{00000000-0005-0000-0000-00006A150000}"/>
    <cellStyle name="Calculation 3 2 3 5" xfId="2434" xr:uid="{00000000-0005-0000-0000-00006B150000}"/>
    <cellStyle name="Calculation 3 2 3 5 2" xfId="5286" xr:uid="{00000000-0005-0000-0000-00006C150000}"/>
    <cellStyle name="Calculation 3 2 3 5 2 2" xfId="24258" xr:uid="{00000000-0005-0000-0000-00006D150000}"/>
    <cellStyle name="Calculation 3 2 3 5 2 3" xfId="35103" xr:uid="{00000000-0005-0000-0000-00006E150000}"/>
    <cellStyle name="Calculation 3 2 3 5 2 4" xfId="15020" xr:uid="{00000000-0005-0000-0000-00006F150000}"/>
    <cellStyle name="Calculation 3 2 3 5 3" xfId="7957" xr:uid="{00000000-0005-0000-0000-000070150000}"/>
    <cellStyle name="Calculation 3 2 3 5 3 2" xfId="26929" xr:uid="{00000000-0005-0000-0000-000071150000}"/>
    <cellStyle name="Calculation 3 2 3 5 3 3" xfId="37774" xr:uid="{00000000-0005-0000-0000-000072150000}"/>
    <cellStyle name="Calculation 3 2 3 5 3 4" xfId="16933" xr:uid="{00000000-0005-0000-0000-000073150000}"/>
    <cellStyle name="Calculation 3 2 3 5 4" xfId="10616" xr:uid="{00000000-0005-0000-0000-000074150000}"/>
    <cellStyle name="Calculation 3 2 3 5 4 2" xfId="29588" xr:uid="{00000000-0005-0000-0000-000075150000}"/>
    <cellStyle name="Calculation 3 2 3 5 4 3" xfId="40433" xr:uid="{00000000-0005-0000-0000-000076150000}"/>
    <cellStyle name="Calculation 3 2 3 5 4 4" xfId="18837" xr:uid="{00000000-0005-0000-0000-000077150000}"/>
    <cellStyle name="Calculation 3 2 3 5 5" xfId="21412" xr:uid="{00000000-0005-0000-0000-000078150000}"/>
    <cellStyle name="Calculation 3 2 3 5 6" xfId="32257" xr:uid="{00000000-0005-0000-0000-000079150000}"/>
    <cellStyle name="Calculation 3 2 3 5 7" xfId="12983" xr:uid="{00000000-0005-0000-0000-00007A150000}"/>
    <cellStyle name="Calculation 3 2 3 6" xfId="2820" xr:uid="{00000000-0005-0000-0000-00007B150000}"/>
    <cellStyle name="Calculation 3 2 3 6 2" xfId="5671" xr:uid="{00000000-0005-0000-0000-00007C150000}"/>
    <cellStyle name="Calculation 3 2 3 6 2 2" xfId="24643" xr:uid="{00000000-0005-0000-0000-00007D150000}"/>
    <cellStyle name="Calculation 3 2 3 6 2 3" xfId="35488" xr:uid="{00000000-0005-0000-0000-00007E150000}"/>
    <cellStyle name="Calculation 3 2 3 6 2 4" xfId="15296" xr:uid="{00000000-0005-0000-0000-00007F150000}"/>
    <cellStyle name="Calculation 3 2 3 6 3" xfId="8342" xr:uid="{00000000-0005-0000-0000-000080150000}"/>
    <cellStyle name="Calculation 3 2 3 6 3 2" xfId="27314" xr:uid="{00000000-0005-0000-0000-000081150000}"/>
    <cellStyle name="Calculation 3 2 3 6 3 3" xfId="38159" xr:uid="{00000000-0005-0000-0000-000082150000}"/>
    <cellStyle name="Calculation 3 2 3 6 3 4" xfId="17209" xr:uid="{00000000-0005-0000-0000-000083150000}"/>
    <cellStyle name="Calculation 3 2 3 6 4" xfId="11001" xr:uid="{00000000-0005-0000-0000-000084150000}"/>
    <cellStyle name="Calculation 3 2 3 6 4 2" xfId="29973" xr:uid="{00000000-0005-0000-0000-000085150000}"/>
    <cellStyle name="Calculation 3 2 3 6 4 3" xfId="40818" xr:uid="{00000000-0005-0000-0000-000086150000}"/>
    <cellStyle name="Calculation 3 2 3 6 4 4" xfId="19113" xr:uid="{00000000-0005-0000-0000-000087150000}"/>
    <cellStyle name="Calculation 3 2 3 6 5" xfId="21797" xr:uid="{00000000-0005-0000-0000-000088150000}"/>
    <cellStyle name="Calculation 3 2 3 6 6" xfId="32642" xr:uid="{00000000-0005-0000-0000-000089150000}"/>
    <cellStyle name="Calculation 3 2 3 6 7" xfId="13259" xr:uid="{00000000-0005-0000-0000-00008A150000}"/>
    <cellStyle name="Calculation 3 2 3 7" xfId="3509" xr:uid="{00000000-0005-0000-0000-00008B150000}"/>
    <cellStyle name="Calculation 3 2 3 7 2" xfId="22481" xr:uid="{00000000-0005-0000-0000-00008C150000}"/>
    <cellStyle name="Calculation 3 2 3 7 3" xfId="33326" xr:uid="{00000000-0005-0000-0000-00008D150000}"/>
    <cellStyle name="Calculation 3 2 3 7 4" xfId="13740" xr:uid="{00000000-0005-0000-0000-00008E150000}"/>
    <cellStyle name="Calculation 3 2 3 8" xfId="6184" xr:uid="{00000000-0005-0000-0000-00008F150000}"/>
    <cellStyle name="Calculation 3 2 3 8 2" xfId="25156" xr:uid="{00000000-0005-0000-0000-000090150000}"/>
    <cellStyle name="Calculation 3 2 3 8 3" xfId="36001" xr:uid="{00000000-0005-0000-0000-000091150000}"/>
    <cellStyle name="Calculation 3 2 3 8 4" xfId="15656" xr:uid="{00000000-0005-0000-0000-000092150000}"/>
    <cellStyle name="Calculation 3 2 3 9" xfId="8843" xr:uid="{00000000-0005-0000-0000-000093150000}"/>
    <cellStyle name="Calculation 3 2 3 9 2" xfId="27815" xr:uid="{00000000-0005-0000-0000-000094150000}"/>
    <cellStyle name="Calculation 3 2 3 9 3" xfId="38660" xr:uid="{00000000-0005-0000-0000-000095150000}"/>
    <cellStyle name="Calculation 3 2 3 9 4" xfId="17560" xr:uid="{00000000-0005-0000-0000-000096150000}"/>
    <cellStyle name="Calculation 3 2 4" xfId="637" xr:uid="{00000000-0005-0000-0000-000097150000}"/>
    <cellStyle name="Calculation 3 2 4 10" xfId="19633" xr:uid="{00000000-0005-0000-0000-000098150000}"/>
    <cellStyle name="Calculation 3 2 4 11" xfId="30478" xr:uid="{00000000-0005-0000-0000-000099150000}"/>
    <cellStyle name="Calculation 3 2 4 12" xfId="11689" xr:uid="{00000000-0005-0000-0000-00009A150000}"/>
    <cellStyle name="Calculation 3 2 4 2" xfId="1232" xr:uid="{00000000-0005-0000-0000-00009B150000}"/>
    <cellStyle name="Calculation 3 2 4 2 2" xfId="4085" xr:uid="{00000000-0005-0000-0000-00009C150000}"/>
    <cellStyle name="Calculation 3 2 4 2 2 2" xfId="23057" xr:uid="{00000000-0005-0000-0000-00009D150000}"/>
    <cellStyle name="Calculation 3 2 4 2 2 3" xfId="33902" xr:uid="{00000000-0005-0000-0000-00009E150000}"/>
    <cellStyle name="Calculation 3 2 4 2 2 4" xfId="14158" xr:uid="{00000000-0005-0000-0000-00009F150000}"/>
    <cellStyle name="Calculation 3 2 4 2 3" xfId="6758" xr:uid="{00000000-0005-0000-0000-0000A0150000}"/>
    <cellStyle name="Calculation 3 2 4 2 3 2" xfId="25730" xr:uid="{00000000-0005-0000-0000-0000A1150000}"/>
    <cellStyle name="Calculation 3 2 4 2 3 3" xfId="36575" xr:uid="{00000000-0005-0000-0000-0000A2150000}"/>
    <cellStyle name="Calculation 3 2 4 2 3 4" xfId="16073" xr:uid="{00000000-0005-0000-0000-0000A3150000}"/>
    <cellStyle name="Calculation 3 2 4 2 4" xfId="9417" xr:uid="{00000000-0005-0000-0000-0000A4150000}"/>
    <cellStyle name="Calculation 3 2 4 2 4 2" xfId="28389" xr:uid="{00000000-0005-0000-0000-0000A5150000}"/>
    <cellStyle name="Calculation 3 2 4 2 4 3" xfId="39234" xr:uid="{00000000-0005-0000-0000-0000A6150000}"/>
    <cellStyle name="Calculation 3 2 4 2 4 4" xfId="17977" xr:uid="{00000000-0005-0000-0000-0000A7150000}"/>
    <cellStyle name="Calculation 3 2 4 2 5" xfId="20213" xr:uid="{00000000-0005-0000-0000-0000A8150000}"/>
    <cellStyle name="Calculation 3 2 4 2 6" xfId="31058" xr:uid="{00000000-0005-0000-0000-0000A9150000}"/>
    <cellStyle name="Calculation 3 2 4 2 7" xfId="12123" xr:uid="{00000000-0005-0000-0000-0000AA150000}"/>
    <cellStyle name="Calculation 3 2 4 3" xfId="1631" xr:uid="{00000000-0005-0000-0000-0000AB150000}"/>
    <cellStyle name="Calculation 3 2 4 3 2" xfId="4484" xr:uid="{00000000-0005-0000-0000-0000AC150000}"/>
    <cellStyle name="Calculation 3 2 4 3 2 2" xfId="23456" xr:uid="{00000000-0005-0000-0000-0000AD150000}"/>
    <cellStyle name="Calculation 3 2 4 3 2 3" xfId="34301" xr:uid="{00000000-0005-0000-0000-0000AE150000}"/>
    <cellStyle name="Calculation 3 2 4 3 2 4" xfId="14446" xr:uid="{00000000-0005-0000-0000-0000AF150000}"/>
    <cellStyle name="Calculation 3 2 4 3 3" xfId="7156" xr:uid="{00000000-0005-0000-0000-0000B0150000}"/>
    <cellStyle name="Calculation 3 2 4 3 3 2" xfId="26128" xr:uid="{00000000-0005-0000-0000-0000B1150000}"/>
    <cellStyle name="Calculation 3 2 4 3 3 3" xfId="36973" xr:uid="{00000000-0005-0000-0000-0000B2150000}"/>
    <cellStyle name="Calculation 3 2 4 3 3 4" xfId="16360" xr:uid="{00000000-0005-0000-0000-0000B3150000}"/>
    <cellStyle name="Calculation 3 2 4 3 4" xfId="9815" xr:uid="{00000000-0005-0000-0000-0000B4150000}"/>
    <cellStyle name="Calculation 3 2 4 3 4 2" xfId="28787" xr:uid="{00000000-0005-0000-0000-0000B5150000}"/>
    <cellStyle name="Calculation 3 2 4 3 4 3" xfId="39632" xr:uid="{00000000-0005-0000-0000-0000B6150000}"/>
    <cellStyle name="Calculation 3 2 4 3 4 4" xfId="18264" xr:uid="{00000000-0005-0000-0000-0000B7150000}"/>
    <cellStyle name="Calculation 3 2 4 3 5" xfId="20611" xr:uid="{00000000-0005-0000-0000-0000B8150000}"/>
    <cellStyle name="Calculation 3 2 4 3 6" xfId="31456" xr:uid="{00000000-0005-0000-0000-0000B9150000}"/>
    <cellStyle name="Calculation 3 2 4 3 7" xfId="12410" xr:uid="{00000000-0005-0000-0000-0000BA150000}"/>
    <cellStyle name="Calculation 3 2 4 4" xfId="2035" xr:uid="{00000000-0005-0000-0000-0000BB150000}"/>
    <cellStyle name="Calculation 3 2 4 4 2" xfId="4888" xr:uid="{00000000-0005-0000-0000-0000BC150000}"/>
    <cellStyle name="Calculation 3 2 4 4 2 2" xfId="23860" xr:uid="{00000000-0005-0000-0000-0000BD150000}"/>
    <cellStyle name="Calculation 3 2 4 4 2 3" xfId="34705" xr:uid="{00000000-0005-0000-0000-0000BE150000}"/>
    <cellStyle name="Calculation 3 2 4 4 2 4" xfId="14733" xr:uid="{00000000-0005-0000-0000-0000BF150000}"/>
    <cellStyle name="Calculation 3 2 4 4 3" xfId="7560" xr:uid="{00000000-0005-0000-0000-0000C0150000}"/>
    <cellStyle name="Calculation 3 2 4 4 3 2" xfId="26532" xr:uid="{00000000-0005-0000-0000-0000C1150000}"/>
    <cellStyle name="Calculation 3 2 4 4 3 3" xfId="37377" xr:uid="{00000000-0005-0000-0000-0000C2150000}"/>
    <cellStyle name="Calculation 3 2 4 4 3 4" xfId="16647" xr:uid="{00000000-0005-0000-0000-0000C3150000}"/>
    <cellStyle name="Calculation 3 2 4 4 4" xfId="10219" xr:uid="{00000000-0005-0000-0000-0000C4150000}"/>
    <cellStyle name="Calculation 3 2 4 4 4 2" xfId="29191" xr:uid="{00000000-0005-0000-0000-0000C5150000}"/>
    <cellStyle name="Calculation 3 2 4 4 4 3" xfId="40036" xr:uid="{00000000-0005-0000-0000-0000C6150000}"/>
    <cellStyle name="Calculation 3 2 4 4 4 4" xfId="18551" xr:uid="{00000000-0005-0000-0000-0000C7150000}"/>
    <cellStyle name="Calculation 3 2 4 4 5" xfId="21015" xr:uid="{00000000-0005-0000-0000-0000C8150000}"/>
    <cellStyle name="Calculation 3 2 4 4 6" xfId="31860" xr:uid="{00000000-0005-0000-0000-0000C9150000}"/>
    <cellStyle name="Calculation 3 2 4 4 7" xfId="12697" xr:uid="{00000000-0005-0000-0000-0000CA150000}"/>
    <cellStyle name="Calculation 3 2 4 5" xfId="2426" xr:uid="{00000000-0005-0000-0000-0000CB150000}"/>
    <cellStyle name="Calculation 3 2 4 5 2" xfId="5279" xr:uid="{00000000-0005-0000-0000-0000CC150000}"/>
    <cellStyle name="Calculation 3 2 4 5 2 2" xfId="24251" xr:uid="{00000000-0005-0000-0000-0000CD150000}"/>
    <cellStyle name="Calculation 3 2 4 5 2 3" xfId="35096" xr:uid="{00000000-0005-0000-0000-0000CE150000}"/>
    <cellStyle name="Calculation 3 2 4 5 2 4" xfId="15013" xr:uid="{00000000-0005-0000-0000-0000CF150000}"/>
    <cellStyle name="Calculation 3 2 4 5 3" xfId="7950" xr:uid="{00000000-0005-0000-0000-0000D0150000}"/>
    <cellStyle name="Calculation 3 2 4 5 3 2" xfId="26922" xr:uid="{00000000-0005-0000-0000-0000D1150000}"/>
    <cellStyle name="Calculation 3 2 4 5 3 3" xfId="37767" xr:uid="{00000000-0005-0000-0000-0000D2150000}"/>
    <cellStyle name="Calculation 3 2 4 5 3 4" xfId="16926" xr:uid="{00000000-0005-0000-0000-0000D3150000}"/>
    <cellStyle name="Calculation 3 2 4 5 4" xfId="10609" xr:uid="{00000000-0005-0000-0000-0000D4150000}"/>
    <cellStyle name="Calculation 3 2 4 5 4 2" xfId="29581" xr:uid="{00000000-0005-0000-0000-0000D5150000}"/>
    <cellStyle name="Calculation 3 2 4 5 4 3" xfId="40426" xr:uid="{00000000-0005-0000-0000-0000D6150000}"/>
    <cellStyle name="Calculation 3 2 4 5 4 4" xfId="18830" xr:uid="{00000000-0005-0000-0000-0000D7150000}"/>
    <cellStyle name="Calculation 3 2 4 5 5" xfId="21405" xr:uid="{00000000-0005-0000-0000-0000D8150000}"/>
    <cellStyle name="Calculation 3 2 4 5 6" xfId="32250" xr:uid="{00000000-0005-0000-0000-0000D9150000}"/>
    <cellStyle name="Calculation 3 2 4 5 7" xfId="12976" xr:uid="{00000000-0005-0000-0000-0000DA150000}"/>
    <cellStyle name="Calculation 3 2 4 6" xfId="2813" xr:uid="{00000000-0005-0000-0000-0000DB150000}"/>
    <cellStyle name="Calculation 3 2 4 6 2" xfId="5665" xr:uid="{00000000-0005-0000-0000-0000DC150000}"/>
    <cellStyle name="Calculation 3 2 4 6 2 2" xfId="24637" xr:uid="{00000000-0005-0000-0000-0000DD150000}"/>
    <cellStyle name="Calculation 3 2 4 6 2 3" xfId="35482" xr:uid="{00000000-0005-0000-0000-0000DE150000}"/>
    <cellStyle name="Calculation 3 2 4 6 2 4" xfId="15290" xr:uid="{00000000-0005-0000-0000-0000DF150000}"/>
    <cellStyle name="Calculation 3 2 4 6 3" xfId="8336" xr:uid="{00000000-0005-0000-0000-0000E0150000}"/>
    <cellStyle name="Calculation 3 2 4 6 3 2" xfId="27308" xr:uid="{00000000-0005-0000-0000-0000E1150000}"/>
    <cellStyle name="Calculation 3 2 4 6 3 3" xfId="38153" xr:uid="{00000000-0005-0000-0000-0000E2150000}"/>
    <cellStyle name="Calculation 3 2 4 6 3 4" xfId="17203" xr:uid="{00000000-0005-0000-0000-0000E3150000}"/>
    <cellStyle name="Calculation 3 2 4 6 4" xfId="10995" xr:uid="{00000000-0005-0000-0000-0000E4150000}"/>
    <cellStyle name="Calculation 3 2 4 6 4 2" xfId="29967" xr:uid="{00000000-0005-0000-0000-0000E5150000}"/>
    <cellStyle name="Calculation 3 2 4 6 4 3" xfId="40812" xr:uid="{00000000-0005-0000-0000-0000E6150000}"/>
    <cellStyle name="Calculation 3 2 4 6 4 4" xfId="19107" xr:uid="{00000000-0005-0000-0000-0000E7150000}"/>
    <cellStyle name="Calculation 3 2 4 6 5" xfId="21791" xr:uid="{00000000-0005-0000-0000-0000E8150000}"/>
    <cellStyle name="Calculation 3 2 4 6 6" xfId="32636" xr:uid="{00000000-0005-0000-0000-0000E9150000}"/>
    <cellStyle name="Calculation 3 2 4 6 7" xfId="13253" xr:uid="{00000000-0005-0000-0000-0000EA150000}"/>
    <cellStyle name="Calculation 3 2 4 7" xfId="3503" xr:uid="{00000000-0005-0000-0000-0000EB150000}"/>
    <cellStyle name="Calculation 3 2 4 7 2" xfId="22475" xr:uid="{00000000-0005-0000-0000-0000EC150000}"/>
    <cellStyle name="Calculation 3 2 4 7 3" xfId="33320" xr:uid="{00000000-0005-0000-0000-0000ED150000}"/>
    <cellStyle name="Calculation 3 2 4 7 4" xfId="13734" xr:uid="{00000000-0005-0000-0000-0000EE150000}"/>
    <cellStyle name="Calculation 3 2 4 8" xfId="6178" xr:uid="{00000000-0005-0000-0000-0000EF150000}"/>
    <cellStyle name="Calculation 3 2 4 8 2" xfId="25150" xr:uid="{00000000-0005-0000-0000-0000F0150000}"/>
    <cellStyle name="Calculation 3 2 4 8 3" xfId="35995" xr:uid="{00000000-0005-0000-0000-0000F1150000}"/>
    <cellStyle name="Calculation 3 2 4 8 4" xfId="15650" xr:uid="{00000000-0005-0000-0000-0000F2150000}"/>
    <cellStyle name="Calculation 3 2 4 9" xfId="8837" xr:uid="{00000000-0005-0000-0000-0000F3150000}"/>
    <cellStyle name="Calculation 3 2 4 9 2" xfId="27809" xr:uid="{00000000-0005-0000-0000-0000F4150000}"/>
    <cellStyle name="Calculation 3 2 4 9 3" xfId="38654" xr:uid="{00000000-0005-0000-0000-0000F5150000}"/>
    <cellStyle name="Calculation 3 2 4 9 4" xfId="17554" xr:uid="{00000000-0005-0000-0000-0000F6150000}"/>
    <cellStyle name="Calculation 3 2 5" xfId="610" xr:uid="{00000000-0005-0000-0000-0000F7150000}"/>
    <cellStyle name="Calculation 3 2 5 10" xfId="19617" xr:uid="{00000000-0005-0000-0000-0000F8150000}"/>
    <cellStyle name="Calculation 3 2 5 11" xfId="30462" xr:uid="{00000000-0005-0000-0000-0000F9150000}"/>
    <cellStyle name="Calculation 3 2 5 12" xfId="11672" xr:uid="{00000000-0005-0000-0000-0000FA150000}"/>
    <cellStyle name="Calculation 3 2 5 2" xfId="1214" xr:uid="{00000000-0005-0000-0000-0000FB150000}"/>
    <cellStyle name="Calculation 3 2 5 2 2" xfId="4067" xr:uid="{00000000-0005-0000-0000-0000FC150000}"/>
    <cellStyle name="Calculation 3 2 5 2 2 2" xfId="23039" xr:uid="{00000000-0005-0000-0000-0000FD150000}"/>
    <cellStyle name="Calculation 3 2 5 2 2 3" xfId="33884" xr:uid="{00000000-0005-0000-0000-0000FE150000}"/>
    <cellStyle name="Calculation 3 2 5 2 2 4" xfId="14147" xr:uid="{00000000-0005-0000-0000-0000FF150000}"/>
    <cellStyle name="Calculation 3 2 5 2 3" xfId="6740" xr:uid="{00000000-0005-0000-0000-000000160000}"/>
    <cellStyle name="Calculation 3 2 5 2 3 2" xfId="25712" xr:uid="{00000000-0005-0000-0000-000001160000}"/>
    <cellStyle name="Calculation 3 2 5 2 3 3" xfId="36557" xr:uid="{00000000-0005-0000-0000-000002160000}"/>
    <cellStyle name="Calculation 3 2 5 2 3 4" xfId="16062" xr:uid="{00000000-0005-0000-0000-000003160000}"/>
    <cellStyle name="Calculation 3 2 5 2 4" xfId="9399" xr:uid="{00000000-0005-0000-0000-000004160000}"/>
    <cellStyle name="Calculation 3 2 5 2 4 2" xfId="28371" xr:uid="{00000000-0005-0000-0000-000005160000}"/>
    <cellStyle name="Calculation 3 2 5 2 4 3" xfId="39216" xr:uid="{00000000-0005-0000-0000-000006160000}"/>
    <cellStyle name="Calculation 3 2 5 2 4 4" xfId="17966" xr:uid="{00000000-0005-0000-0000-000007160000}"/>
    <cellStyle name="Calculation 3 2 5 2 5" xfId="20195" xr:uid="{00000000-0005-0000-0000-000008160000}"/>
    <cellStyle name="Calculation 3 2 5 2 6" xfId="31040" xr:uid="{00000000-0005-0000-0000-000009160000}"/>
    <cellStyle name="Calculation 3 2 5 2 7" xfId="12112" xr:uid="{00000000-0005-0000-0000-00000A160000}"/>
    <cellStyle name="Calculation 3 2 5 3" xfId="1612" xr:uid="{00000000-0005-0000-0000-00000B160000}"/>
    <cellStyle name="Calculation 3 2 5 3 2" xfId="4465" xr:uid="{00000000-0005-0000-0000-00000C160000}"/>
    <cellStyle name="Calculation 3 2 5 3 2 2" xfId="23437" xr:uid="{00000000-0005-0000-0000-00000D160000}"/>
    <cellStyle name="Calculation 3 2 5 3 2 3" xfId="34282" xr:uid="{00000000-0005-0000-0000-00000E160000}"/>
    <cellStyle name="Calculation 3 2 5 3 2 4" xfId="14434" xr:uid="{00000000-0005-0000-0000-00000F160000}"/>
    <cellStyle name="Calculation 3 2 5 3 3" xfId="7137" xr:uid="{00000000-0005-0000-0000-000010160000}"/>
    <cellStyle name="Calculation 3 2 5 3 3 2" xfId="26109" xr:uid="{00000000-0005-0000-0000-000011160000}"/>
    <cellStyle name="Calculation 3 2 5 3 3 3" xfId="36954" xr:uid="{00000000-0005-0000-0000-000012160000}"/>
    <cellStyle name="Calculation 3 2 5 3 3 4" xfId="16348" xr:uid="{00000000-0005-0000-0000-000013160000}"/>
    <cellStyle name="Calculation 3 2 5 3 4" xfId="9796" xr:uid="{00000000-0005-0000-0000-000014160000}"/>
    <cellStyle name="Calculation 3 2 5 3 4 2" xfId="28768" xr:uid="{00000000-0005-0000-0000-000015160000}"/>
    <cellStyle name="Calculation 3 2 5 3 4 3" xfId="39613" xr:uid="{00000000-0005-0000-0000-000016160000}"/>
    <cellStyle name="Calculation 3 2 5 3 4 4" xfId="18252" xr:uid="{00000000-0005-0000-0000-000017160000}"/>
    <cellStyle name="Calculation 3 2 5 3 5" xfId="20592" xr:uid="{00000000-0005-0000-0000-000018160000}"/>
    <cellStyle name="Calculation 3 2 5 3 6" xfId="31437" xr:uid="{00000000-0005-0000-0000-000019160000}"/>
    <cellStyle name="Calculation 3 2 5 3 7" xfId="12398" xr:uid="{00000000-0005-0000-0000-00001A160000}"/>
    <cellStyle name="Calculation 3 2 5 4" xfId="2014" xr:uid="{00000000-0005-0000-0000-00001B160000}"/>
    <cellStyle name="Calculation 3 2 5 4 2" xfId="4867" xr:uid="{00000000-0005-0000-0000-00001C160000}"/>
    <cellStyle name="Calculation 3 2 5 4 2 2" xfId="23839" xr:uid="{00000000-0005-0000-0000-00001D160000}"/>
    <cellStyle name="Calculation 3 2 5 4 2 3" xfId="34684" xr:uid="{00000000-0005-0000-0000-00001E160000}"/>
    <cellStyle name="Calculation 3 2 5 4 2 4" xfId="14720" xr:uid="{00000000-0005-0000-0000-00001F160000}"/>
    <cellStyle name="Calculation 3 2 5 4 3" xfId="7539" xr:uid="{00000000-0005-0000-0000-000020160000}"/>
    <cellStyle name="Calculation 3 2 5 4 3 2" xfId="26511" xr:uid="{00000000-0005-0000-0000-000021160000}"/>
    <cellStyle name="Calculation 3 2 5 4 3 3" xfId="37356" xr:uid="{00000000-0005-0000-0000-000022160000}"/>
    <cellStyle name="Calculation 3 2 5 4 3 4" xfId="16634" xr:uid="{00000000-0005-0000-0000-000023160000}"/>
    <cellStyle name="Calculation 3 2 5 4 4" xfId="10198" xr:uid="{00000000-0005-0000-0000-000024160000}"/>
    <cellStyle name="Calculation 3 2 5 4 4 2" xfId="29170" xr:uid="{00000000-0005-0000-0000-000025160000}"/>
    <cellStyle name="Calculation 3 2 5 4 4 3" xfId="40015" xr:uid="{00000000-0005-0000-0000-000026160000}"/>
    <cellStyle name="Calculation 3 2 5 4 4 4" xfId="18538" xr:uid="{00000000-0005-0000-0000-000027160000}"/>
    <cellStyle name="Calculation 3 2 5 4 5" xfId="20994" xr:uid="{00000000-0005-0000-0000-000028160000}"/>
    <cellStyle name="Calculation 3 2 5 4 6" xfId="31839" xr:uid="{00000000-0005-0000-0000-000029160000}"/>
    <cellStyle name="Calculation 3 2 5 4 7" xfId="12684" xr:uid="{00000000-0005-0000-0000-00002A160000}"/>
    <cellStyle name="Calculation 3 2 5 5" xfId="2406" xr:uid="{00000000-0005-0000-0000-00002B160000}"/>
    <cellStyle name="Calculation 3 2 5 5 2" xfId="5259" xr:uid="{00000000-0005-0000-0000-00002C160000}"/>
    <cellStyle name="Calculation 3 2 5 5 2 2" xfId="24231" xr:uid="{00000000-0005-0000-0000-00002D160000}"/>
    <cellStyle name="Calculation 3 2 5 5 2 3" xfId="35076" xr:uid="{00000000-0005-0000-0000-00002E160000}"/>
    <cellStyle name="Calculation 3 2 5 5 2 4" xfId="15001" xr:uid="{00000000-0005-0000-0000-00002F160000}"/>
    <cellStyle name="Calculation 3 2 5 5 3" xfId="7930" xr:uid="{00000000-0005-0000-0000-000030160000}"/>
    <cellStyle name="Calculation 3 2 5 5 3 2" xfId="26902" xr:uid="{00000000-0005-0000-0000-000031160000}"/>
    <cellStyle name="Calculation 3 2 5 5 3 3" xfId="37747" xr:uid="{00000000-0005-0000-0000-000032160000}"/>
    <cellStyle name="Calculation 3 2 5 5 3 4" xfId="16914" xr:uid="{00000000-0005-0000-0000-000033160000}"/>
    <cellStyle name="Calculation 3 2 5 5 4" xfId="10589" xr:uid="{00000000-0005-0000-0000-000034160000}"/>
    <cellStyle name="Calculation 3 2 5 5 4 2" xfId="29561" xr:uid="{00000000-0005-0000-0000-000035160000}"/>
    <cellStyle name="Calculation 3 2 5 5 4 3" xfId="40406" xr:uid="{00000000-0005-0000-0000-000036160000}"/>
    <cellStyle name="Calculation 3 2 5 5 4 4" xfId="18818" xr:uid="{00000000-0005-0000-0000-000037160000}"/>
    <cellStyle name="Calculation 3 2 5 5 5" xfId="21385" xr:uid="{00000000-0005-0000-0000-000038160000}"/>
    <cellStyle name="Calculation 3 2 5 5 6" xfId="32230" xr:uid="{00000000-0005-0000-0000-000039160000}"/>
    <cellStyle name="Calculation 3 2 5 5 7" xfId="12964" xr:uid="{00000000-0005-0000-0000-00003A160000}"/>
    <cellStyle name="Calculation 3 2 5 6" xfId="2795" xr:uid="{00000000-0005-0000-0000-00003B160000}"/>
    <cellStyle name="Calculation 3 2 5 6 2" xfId="5647" xr:uid="{00000000-0005-0000-0000-00003C160000}"/>
    <cellStyle name="Calculation 3 2 5 6 2 2" xfId="24619" xr:uid="{00000000-0005-0000-0000-00003D160000}"/>
    <cellStyle name="Calculation 3 2 5 6 2 3" xfId="35464" xr:uid="{00000000-0005-0000-0000-00003E160000}"/>
    <cellStyle name="Calculation 3 2 5 6 2 4" xfId="15279" xr:uid="{00000000-0005-0000-0000-00003F160000}"/>
    <cellStyle name="Calculation 3 2 5 6 3" xfId="8318" xr:uid="{00000000-0005-0000-0000-000040160000}"/>
    <cellStyle name="Calculation 3 2 5 6 3 2" xfId="27290" xr:uid="{00000000-0005-0000-0000-000041160000}"/>
    <cellStyle name="Calculation 3 2 5 6 3 3" xfId="38135" xr:uid="{00000000-0005-0000-0000-000042160000}"/>
    <cellStyle name="Calculation 3 2 5 6 3 4" xfId="17192" xr:uid="{00000000-0005-0000-0000-000043160000}"/>
    <cellStyle name="Calculation 3 2 5 6 4" xfId="10977" xr:uid="{00000000-0005-0000-0000-000044160000}"/>
    <cellStyle name="Calculation 3 2 5 6 4 2" xfId="29949" xr:uid="{00000000-0005-0000-0000-000045160000}"/>
    <cellStyle name="Calculation 3 2 5 6 4 3" xfId="40794" xr:uid="{00000000-0005-0000-0000-000046160000}"/>
    <cellStyle name="Calculation 3 2 5 6 4 4" xfId="19096" xr:uid="{00000000-0005-0000-0000-000047160000}"/>
    <cellStyle name="Calculation 3 2 5 6 5" xfId="21773" xr:uid="{00000000-0005-0000-0000-000048160000}"/>
    <cellStyle name="Calculation 3 2 5 6 6" xfId="32618" xr:uid="{00000000-0005-0000-0000-000049160000}"/>
    <cellStyle name="Calculation 3 2 5 6 7" xfId="13242" xr:uid="{00000000-0005-0000-0000-00004A160000}"/>
    <cellStyle name="Calculation 3 2 5 7" xfId="3486" xr:uid="{00000000-0005-0000-0000-00004B160000}"/>
    <cellStyle name="Calculation 3 2 5 7 2" xfId="22458" xr:uid="{00000000-0005-0000-0000-00004C160000}"/>
    <cellStyle name="Calculation 3 2 5 7 3" xfId="33303" xr:uid="{00000000-0005-0000-0000-00004D160000}"/>
    <cellStyle name="Calculation 3 2 5 7 4" xfId="13724" xr:uid="{00000000-0005-0000-0000-00004E160000}"/>
    <cellStyle name="Calculation 3 2 5 8" xfId="6162" xr:uid="{00000000-0005-0000-0000-00004F160000}"/>
    <cellStyle name="Calculation 3 2 5 8 2" xfId="25134" xr:uid="{00000000-0005-0000-0000-000050160000}"/>
    <cellStyle name="Calculation 3 2 5 8 3" xfId="35979" xr:uid="{00000000-0005-0000-0000-000051160000}"/>
    <cellStyle name="Calculation 3 2 5 8 4" xfId="15641" xr:uid="{00000000-0005-0000-0000-000052160000}"/>
    <cellStyle name="Calculation 3 2 5 9" xfId="8821" xr:uid="{00000000-0005-0000-0000-000053160000}"/>
    <cellStyle name="Calculation 3 2 5 9 2" xfId="27793" xr:uid="{00000000-0005-0000-0000-000054160000}"/>
    <cellStyle name="Calculation 3 2 5 9 3" xfId="38638" xr:uid="{00000000-0005-0000-0000-000055160000}"/>
    <cellStyle name="Calculation 3 2 5 9 4" xfId="17545" xr:uid="{00000000-0005-0000-0000-000056160000}"/>
    <cellStyle name="Calculation 3 2 6" xfId="1062" xr:uid="{00000000-0005-0000-0000-000057160000}"/>
    <cellStyle name="Calculation 3 2 6 2" xfId="3915" xr:uid="{00000000-0005-0000-0000-000058160000}"/>
    <cellStyle name="Calculation 3 2 6 2 2" xfId="22887" xr:uid="{00000000-0005-0000-0000-000059160000}"/>
    <cellStyle name="Calculation 3 2 6 2 3" xfId="33732" xr:uid="{00000000-0005-0000-0000-00005A160000}"/>
    <cellStyle name="Calculation 3 2 6 2 4" xfId="14028" xr:uid="{00000000-0005-0000-0000-00005B160000}"/>
    <cellStyle name="Calculation 3 2 6 3" xfId="6589" xr:uid="{00000000-0005-0000-0000-00005C160000}"/>
    <cellStyle name="Calculation 3 2 6 3 2" xfId="25561" xr:uid="{00000000-0005-0000-0000-00005D160000}"/>
    <cellStyle name="Calculation 3 2 6 3 3" xfId="36406" xr:uid="{00000000-0005-0000-0000-00005E160000}"/>
    <cellStyle name="Calculation 3 2 6 3 4" xfId="15944" xr:uid="{00000000-0005-0000-0000-00005F160000}"/>
    <cellStyle name="Calculation 3 2 6 4" xfId="9248" xr:uid="{00000000-0005-0000-0000-000060160000}"/>
    <cellStyle name="Calculation 3 2 6 4 2" xfId="28220" xr:uid="{00000000-0005-0000-0000-000061160000}"/>
    <cellStyle name="Calculation 3 2 6 4 3" xfId="39065" xr:uid="{00000000-0005-0000-0000-000062160000}"/>
    <cellStyle name="Calculation 3 2 6 4 4" xfId="17848" xr:uid="{00000000-0005-0000-0000-000063160000}"/>
    <cellStyle name="Calculation 3 2 6 5" xfId="20044" xr:uid="{00000000-0005-0000-0000-000064160000}"/>
    <cellStyle name="Calculation 3 2 6 6" xfId="30889" xr:uid="{00000000-0005-0000-0000-000065160000}"/>
    <cellStyle name="Calculation 3 2 6 7" xfId="11994" xr:uid="{00000000-0005-0000-0000-000066160000}"/>
    <cellStyle name="Calculation 3 2 7" xfId="918" xr:uid="{00000000-0005-0000-0000-000067160000}"/>
    <cellStyle name="Calculation 3 2 7 2" xfId="3773" xr:uid="{00000000-0005-0000-0000-000068160000}"/>
    <cellStyle name="Calculation 3 2 7 2 2" xfId="22745" xr:uid="{00000000-0005-0000-0000-000069160000}"/>
    <cellStyle name="Calculation 3 2 7 2 3" xfId="33590" xr:uid="{00000000-0005-0000-0000-00006A160000}"/>
    <cellStyle name="Calculation 3 2 7 2 4" xfId="13919" xr:uid="{00000000-0005-0000-0000-00006B160000}"/>
    <cellStyle name="Calculation 3 2 7 3" xfId="6448" xr:uid="{00000000-0005-0000-0000-00006C160000}"/>
    <cellStyle name="Calculation 3 2 7 3 2" xfId="25420" xr:uid="{00000000-0005-0000-0000-00006D160000}"/>
    <cellStyle name="Calculation 3 2 7 3 3" xfId="36265" xr:uid="{00000000-0005-0000-0000-00006E160000}"/>
    <cellStyle name="Calculation 3 2 7 3 4" xfId="15835" xr:uid="{00000000-0005-0000-0000-00006F160000}"/>
    <cellStyle name="Calculation 3 2 7 4" xfId="9107" xr:uid="{00000000-0005-0000-0000-000070160000}"/>
    <cellStyle name="Calculation 3 2 7 4 2" xfId="28079" xr:uid="{00000000-0005-0000-0000-000071160000}"/>
    <cellStyle name="Calculation 3 2 7 4 3" xfId="38924" xr:uid="{00000000-0005-0000-0000-000072160000}"/>
    <cellStyle name="Calculation 3 2 7 4 4" xfId="17739" xr:uid="{00000000-0005-0000-0000-000073160000}"/>
    <cellStyle name="Calculation 3 2 7 5" xfId="19903" xr:uid="{00000000-0005-0000-0000-000074160000}"/>
    <cellStyle name="Calculation 3 2 7 6" xfId="30748" xr:uid="{00000000-0005-0000-0000-000075160000}"/>
    <cellStyle name="Calculation 3 2 7 7" xfId="11885" xr:uid="{00000000-0005-0000-0000-000076160000}"/>
    <cellStyle name="Calculation 3 2 8" xfId="974" xr:uid="{00000000-0005-0000-0000-000077160000}"/>
    <cellStyle name="Calculation 3 2 8 2" xfId="3827" xr:uid="{00000000-0005-0000-0000-000078160000}"/>
    <cellStyle name="Calculation 3 2 8 2 2" xfId="22799" xr:uid="{00000000-0005-0000-0000-000079160000}"/>
    <cellStyle name="Calculation 3 2 8 2 3" xfId="33644" xr:uid="{00000000-0005-0000-0000-00007A160000}"/>
    <cellStyle name="Calculation 3 2 8 2 4" xfId="13965" xr:uid="{00000000-0005-0000-0000-00007B160000}"/>
    <cellStyle name="Calculation 3 2 8 3" xfId="6502" xr:uid="{00000000-0005-0000-0000-00007C160000}"/>
    <cellStyle name="Calculation 3 2 8 3 2" xfId="25474" xr:uid="{00000000-0005-0000-0000-00007D160000}"/>
    <cellStyle name="Calculation 3 2 8 3 3" xfId="36319" xr:uid="{00000000-0005-0000-0000-00007E160000}"/>
    <cellStyle name="Calculation 3 2 8 3 4" xfId="15881" xr:uid="{00000000-0005-0000-0000-00007F160000}"/>
    <cellStyle name="Calculation 3 2 8 4" xfId="9161" xr:uid="{00000000-0005-0000-0000-000080160000}"/>
    <cellStyle name="Calculation 3 2 8 4 2" xfId="28133" xr:uid="{00000000-0005-0000-0000-000081160000}"/>
    <cellStyle name="Calculation 3 2 8 4 3" xfId="38978" xr:uid="{00000000-0005-0000-0000-000082160000}"/>
    <cellStyle name="Calculation 3 2 8 4 4" xfId="17785" xr:uid="{00000000-0005-0000-0000-000083160000}"/>
    <cellStyle name="Calculation 3 2 8 5" xfId="19957" xr:uid="{00000000-0005-0000-0000-000084160000}"/>
    <cellStyle name="Calculation 3 2 8 6" xfId="30802" xr:uid="{00000000-0005-0000-0000-000085160000}"/>
    <cellStyle name="Calculation 3 2 8 7" xfId="11931" xr:uid="{00000000-0005-0000-0000-000086160000}"/>
    <cellStyle name="Calculation 3 2 9" xfId="937" xr:uid="{00000000-0005-0000-0000-000087160000}"/>
    <cellStyle name="Calculation 3 2 9 2" xfId="3791" xr:uid="{00000000-0005-0000-0000-000088160000}"/>
    <cellStyle name="Calculation 3 2 9 2 2" xfId="22763" xr:uid="{00000000-0005-0000-0000-000089160000}"/>
    <cellStyle name="Calculation 3 2 9 2 3" xfId="33608" xr:uid="{00000000-0005-0000-0000-00008A160000}"/>
    <cellStyle name="Calculation 3 2 9 2 4" xfId="13936" xr:uid="{00000000-0005-0000-0000-00008B160000}"/>
    <cellStyle name="Calculation 3 2 9 3" xfId="6466" xr:uid="{00000000-0005-0000-0000-00008C160000}"/>
    <cellStyle name="Calculation 3 2 9 3 2" xfId="25438" xr:uid="{00000000-0005-0000-0000-00008D160000}"/>
    <cellStyle name="Calculation 3 2 9 3 3" xfId="36283" xr:uid="{00000000-0005-0000-0000-00008E160000}"/>
    <cellStyle name="Calculation 3 2 9 3 4" xfId="15852" xr:uid="{00000000-0005-0000-0000-00008F160000}"/>
    <cellStyle name="Calculation 3 2 9 4" xfId="9125" xr:uid="{00000000-0005-0000-0000-000090160000}"/>
    <cellStyle name="Calculation 3 2 9 4 2" xfId="28097" xr:uid="{00000000-0005-0000-0000-000091160000}"/>
    <cellStyle name="Calculation 3 2 9 4 3" xfId="38942" xr:uid="{00000000-0005-0000-0000-000092160000}"/>
    <cellStyle name="Calculation 3 2 9 4 4" xfId="17756" xr:uid="{00000000-0005-0000-0000-000093160000}"/>
    <cellStyle name="Calculation 3 2 9 5" xfId="19921" xr:uid="{00000000-0005-0000-0000-000094160000}"/>
    <cellStyle name="Calculation 3 2 9 6" xfId="30766" xr:uid="{00000000-0005-0000-0000-000095160000}"/>
    <cellStyle name="Calculation 3 2 9 7" xfId="11902" xr:uid="{00000000-0005-0000-0000-000096160000}"/>
    <cellStyle name="Calculation 3 3" xfId="544" xr:uid="{00000000-0005-0000-0000-000097160000}"/>
    <cellStyle name="Calculation 3 3 10" xfId="19554" xr:uid="{00000000-0005-0000-0000-000098160000}"/>
    <cellStyle name="Calculation 3 3 11" xfId="30399" xr:uid="{00000000-0005-0000-0000-000099160000}"/>
    <cellStyle name="Calculation 3 3 12" xfId="11618" xr:uid="{00000000-0005-0000-0000-00009A160000}"/>
    <cellStyle name="Calculation 3 3 2" xfId="1150" xr:uid="{00000000-0005-0000-0000-00009B160000}"/>
    <cellStyle name="Calculation 3 3 2 2" xfId="4003" xr:uid="{00000000-0005-0000-0000-00009C160000}"/>
    <cellStyle name="Calculation 3 3 2 2 2" xfId="22975" xr:uid="{00000000-0005-0000-0000-00009D160000}"/>
    <cellStyle name="Calculation 3 3 2 2 3" xfId="33820" xr:uid="{00000000-0005-0000-0000-00009E160000}"/>
    <cellStyle name="Calculation 3 3 2 2 4" xfId="14095" xr:uid="{00000000-0005-0000-0000-00009F160000}"/>
    <cellStyle name="Calculation 3 3 2 3" xfId="6676" xr:uid="{00000000-0005-0000-0000-0000A0160000}"/>
    <cellStyle name="Calculation 3 3 2 3 2" xfId="25648" xr:uid="{00000000-0005-0000-0000-0000A1160000}"/>
    <cellStyle name="Calculation 3 3 2 3 3" xfId="36493" xr:uid="{00000000-0005-0000-0000-0000A2160000}"/>
    <cellStyle name="Calculation 3 3 2 3 4" xfId="16010" xr:uid="{00000000-0005-0000-0000-0000A3160000}"/>
    <cellStyle name="Calculation 3 3 2 4" xfId="9335" xr:uid="{00000000-0005-0000-0000-0000A4160000}"/>
    <cellStyle name="Calculation 3 3 2 4 2" xfId="28307" xr:uid="{00000000-0005-0000-0000-0000A5160000}"/>
    <cellStyle name="Calculation 3 3 2 4 3" xfId="39152" xr:uid="{00000000-0005-0000-0000-0000A6160000}"/>
    <cellStyle name="Calculation 3 3 2 4 4" xfId="17914" xr:uid="{00000000-0005-0000-0000-0000A7160000}"/>
    <cellStyle name="Calculation 3 3 2 5" xfId="20131" xr:uid="{00000000-0005-0000-0000-0000A8160000}"/>
    <cellStyle name="Calculation 3 3 2 6" xfId="30976" xr:uid="{00000000-0005-0000-0000-0000A9160000}"/>
    <cellStyle name="Calculation 3 3 2 7" xfId="12060" xr:uid="{00000000-0005-0000-0000-0000AA160000}"/>
    <cellStyle name="Calculation 3 3 3" xfId="1547" xr:uid="{00000000-0005-0000-0000-0000AB160000}"/>
    <cellStyle name="Calculation 3 3 3 2" xfId="4400" xr:uid="{00000000-0005-0000-0000-0000AC160000}"/>
    <cellStyle name="Calculation 3 3 3 2 2" xfId="23372" xr:uid="{00000000-0005-0000-0000-0000AD160000}"/>
    <cellStyle name="Calculation 3 3 3 2 3" xfId="34217" xr:uid="{00000000-0005-0000-0000-0000AE160000}"/>
    <cellStyle name="Calculation 3 3 3 2 4" xfId="14381" xr:uid="{00000000-0005-0000-0000-0000AF160000}"/>
    <cellStyle name="Calculation 3 3 3 3" xfId="7072" xr:uid="{00000000-0005-0000-0000-0000B0160000}"/>
    <cellStyle name="Calculation 3 3 3 3 2" xfId="26044" xr:uid="{00000000-0005-0000-0000-0000B1160000}"/>
    <cellStyle name="Calculation 3 3 3 3 3" xfId="36889" xr:uid="{00000000-0005-0000-0000-0000B2160000}"/>
    <cellStyle name="Calculation 3 3 3 3 4" xfId="16295" xr:uid="{00000000-0005-0000-0000-0000B3160000}"/>
    <cellStyle name="Calculation 3 3 3 4" xfId="9731" xr:uid="{00000000-0005-0000-0000-0000B4160000}"/>
    <cellStyle name="Calculation 3 3 3 4 2" xfId="28703" xr:uid="{00000000-0005-0000-0000-0000B5160000}"/>
    <cellStyle name="Calculation 3 3 3 4 3" xfId="39548" xr:uid="{00000000-0005-0000-0000-0000B6160000}"/>
    <cellStyle name="Calculation 3 3 3 4 4" xfId="18199" xr:uid="{00000000-0005-0000-0000-0000B7160000}"/>
    <cellStyle name="Calculation 3 3 3 5" xfId="20527" xr:uid="{00000000-0005-0000-0000-0000B8160000}"/>
    <cellStyle name="Calculation 3 3 3 6" xfId="31372" xr:uid="{00000000-0005-0000-0000-0000B9160000}"/>
    <cellStyle name="Calculation 3 3 3 7" xfId="12345" xr:uid="{00000000-0005-0000-0000-0000BA160000}"/>
    <cellStyle name="Calculation 3 3 4" xfId="1951" xr:uid="{00000000-0005-0000-0000-0000BB160000}"/>
    <cellStyle name="Calculation 3 3 4 2" xfId="4804" xr:uid="{00000000-0005-0000-0000-0000BC160000}"/>
    <cellStyle name="Calculation 3 3 4 2 2" xfId="23776" xr:uid="{00000000-0005-0000-0000-0000BD160000}"/>
    <cellStyle name="Calculation 3 3 4 2 3" xfId="34621" xr:uid="{00000000-0005-0000-0000-0000BE160000}"/>
    <cellStyle name="Calculation 3 3 4 2 4" xfId="14669" xr:uid="{00000000-0005-0000-0000-0000BF160000}"/>
    <cellStyle name="Calculation 3 3 4 3" xfId="7476" xr:uid="{00000000-0005-0000-0000-0000C0160000}"/>
    <cellStyle name="Calculation 3 3 4 3 2" xfId="26448" xr:uid="{00000000-0005-0000-0000-0000C1160000}"/>
    <cellStyle name="Calculation 3 3 4 3 3" xfId="37293" xr:uid="{00000000-0005-0000-0000-0000C2160000}"/>
    <cellStyle name="Calculation 3 3 4 3 4" xfId="16583" xr:uid="{00000000-0005-0000-0000-0000C3160000}"/>
    <cellStyle name="Calculation 3 3 4 4" xfId="10135" xr:uid="{00000000-0005-0000-0000-0000C4160000}"/>
    <cellStyle name="Calculation 3 3 4 4 2" xfId="29107" xr:uid="{00000000-0005-0000-0000-0000C5160000}"/>
    <cellStyle name="Calculation 3 3 4 4 3" xfId="39952" xr:uid="{00000000-0005-0000-0000-0000C6160000}"/>
    <cellStyle name="Calculation 3 3 4 4 4" xfId="18487" xr:uid="{00000000-0005-0000-0000-0000C7160000}"/>
    <cellStyle name="Calculation 3 3 4 5" xfId="20931" xr:uid="{00000000-0005-0000-0000-0000C8160000}"/>
    <cellStyle name="Calculation 3 3 4 6" xfId="31776" xr:uid="{00000000-0005-0000-0000-0000C9160000}"/>
    <cellStyle name="Calculation 3 3 4 7" xfId="12633" xr:uid="{00000000-0005-0000-0000-0000CA160000}"/>
    <cellStyle name="Calculation 3 3 5" xfId="2343" xr:uid="{00000000-0005-0000-0000-0000CB160000}"/>
    <cellStyle name="Calculation 3 3 5 2" xfId="5196" xr:uid="{00000000-0005-0000-0000-0000CC160000}"/>
    <cellStyle name="Calculation 3 3 5 2 2" xfId="24168" xr:uid="{00000000-0005-0000-0000-0000CD160000}"/>
    <cellStyle name="Calculation 3 3 5 2 3" xfId="35013" xr:uid="{00000000-0005-0000-0000-0000CE160000}"/>
    <cellStyle name="Calculation 3 3 5 2 4" xfId="14950" xr:uid="{00000000-0005-0000-0000-0000CF160000}"/>
    <cellStyle name="Calculation 3 3 5 3" xfId="7867" xr:uid="{00000000-0005-0000-0000-0000D0160000}"/>
    <cellStyle name="Calculation 3 3 5 3 2" xfId="26839" xr:uid="{00000000-0005-0000-0000-0000D1160000}"/>
    <cellStyle name="Calculation 3 3 5 3 3" xfId="37684" xr:uid="{00000000-0005-0000-0000-0000D2160000}"/>
    <cellStyle name="Calculation 3 3 5 3 4" xfId="16863" xr:uid="{00000000-0005-0000-0000-0000D3160000}"/>
    <cellStyle name="Calculation 3 3 5 4" xfId="10526" xr:uid="{00000000-0005-0000-0000-0000D4160000}"/>
    <cellStyle name="Calculation 3 3 5 4 2" xfId="29498" xr:uid="{00000000-0005-0000-0000-0000D5160000}"/>
    <cellStyle name="Calculation 3 3 5 4 3" xfId="40343" xr:uid="{00000000-0005-0000-0000-0000D6160000}"/>
    <cellStyle name="Calculation 3 3 5 4 4" xfId="18767" xr:uid="{00000000-0005-0000-0000-0000D7160000}"/>
    <cellStyle name="Calculation 3 3 5 5" xfId="21322" xr:uid="{00000000-0005-0000-0000-0000D8160000}"/>
    <cellStyle name="Calculation 3 3 5 6" xfId="32167" xr:uid="{00000000-0005-0000-0000-0000D9160000}"/>
    <cellStyle name="Calculation 3 3 5 7" xfId="12913" xr:uid="{00000000-0005-0000-0000-0000DA160000}"/>
    <cellStyle name="Calculation 3 3 6" xfId="2732" xr:uid="{00000000-0005-0000-0000-0000DB160000}"/>
    <cellStyle name="Calculation 3 3 6 2" xfId="5584" xr:uid="{00000000-0005-0000-0000-0000DC160000}"/>
    <cellStyle name="Calculation 3 3 6 2 2" xfId="24556" xr:uid="{00000000-0005-0000-0000-0000DD160000}"/>
    <cellStyle name="Calculation 3 3 6 2 3" xfId="35401" xr:uid="{00000000-0005-0000-0000-0000DE160000}"/>
    <cellStyle name="Calculation 3 3 6 2 4" xfId="15228" xr:uid="{00000000-0005-0000-0000-0000DF160000}"/>
    <cellStyle name="Calculation 3 3 6 3" xfId="8255" xr:uid="{00000000-0005-0000-0000-0000E0160000}"/>
    <cellStyle name="Calculation 3 3 6 3 2" xfId="27227" xr:uid="{00000000-0005-0000-0000-0000E1160000}"/>
    <cellStyle name="Calculation 3 3 6 3 3" xfId="38072" xr:uid="{00000000-0005-0000-0000-0000E2160000}"/>
    <cellStyle name="Calculation 3 3 6 3 4" xfId="17141" xr:uid="{00000000-0005-0000-0000-0000E3160000}"/>
    <cellStyle name="Calculation 3 3 6 4" xfId="10914" xr:uid="{00000000-0005-0000-0000-0000E4160000}"/>
    <cellStyle name="Calculation 3 3 6 4 2" xfId="29886" xr:uid="{00000000-0005-0000-0000-0000E5160000}"/>
    <cellStyle name="Calculation 3 3 6 4 3" xfId="40731" xr:uid="{00000000-0005-0000-0000-0000E6160000}"/>
    <cellStyle name="Calculation 3 3 6 4 4" xfId="19045" xr:uid="{00000000-0005-0000-0000-0000E7160000}"/>
    <cellStyle name="Calculation 3 3 6 5" xfId="21710" xr:uid="{00000000-0005-0000-0000-0000E8160000}"/>
    <cellStyle name="Calculation 3 3 6 6" xfId="32555" xr:uid="{00000000-0005-0000-0000-0000E9160000}"/>
    <cellStyle name="Calculation 3 3 6 7" xfId="13191" xr:uid="{00000000-0005-0000-0000-0000EA160000}"/>
    <cellStyle name="Calculation 3 3 7" xfId="3423" xr:uid="{00000000-0005-0000-0000-0000EB160000}"/>
    <cellStyle name="Calculation 3 3 7 2" xfId="22395" xr:uid="{00000000-0005-0000-0000-0000EC160000}"/>
    <cellStyle name="Calculation 3 3 7 3" xfId="33240" xr:uid="{00000000-0005-0000-0000-0000ED160000}"/>
    <cellStyle name="Calculation 3 3 7 4" xfId="13673" xr:uid="{00000000-0005-0000-0000-0000EE160000}"/>
    <cellStyle name="Calculation 3 3 8" xfId="6099" xr:uid="{00000000-0005-0000-0000-0000EF160000}"/>
    <cellStyle name="Calculation 3 3 8 2" xfId="25071" xr:uid="{00000000-0005-0000-0000-0000F0160000}"/>
    <cellStyle name="Calculation 3 3 8 3" xfId="35916" xr:uid="{00000000-0005-0000-0000-0000F1160000}"/>
    <cellStyle name="Calculation 3 3 8 4" xfId="15590" xr:uid="{00000000-0005-0000-0000-0000F2160000}"/>
    <cellStyle name="Calculation 3 3 9" xfId="8758" xr:uid="{00000000-0005-0000-0000-0000F3160000}"/>
    <cellStyle name="Calculation 3 3 9 2" xfId="27730" xr:uid="{00000000-0005-0000-0000-0000F4160000}"/>
    <cellStyle name="Calculation 3 3 9 3" xfId="38575" xr:uid="{00000000-0005-0000-0000-0000F5160000}"/>
    <cellStyle name="Calculation 3 3 9 4" xfId="17494" xr:uid="{00000000-0005-0000-0000-0000F6160000}"/>
    <cellStyle name="Calculation 3 4" xfId="11436" xr:uid="{00000000-0005-0000-0000-0000F7160000}"/>
    <cellStyle name="Calculation 4" xfId="67" xr:uid="{00000000-0005-0000-0000-0000F8160000}"/>
    <cellStyle name="Calculation 4 2" xfId="357" xr:uid="{00000000-0005-0000-0000-0000F9160000}"/>
    <cellStyle name="Calculation 4 2 10" xfId="1024" xr:uid="{00000000-0005-0000-0000-0000FA160000}"/>
    <cellStyle name="Calculation 4 2 10 2" xfId="3877" xr:uid="{00000000-0005-0000-0000-0000FB160000}"/>
    <cellStyle name="Calculation 4 2 10 2 2" xfId="22849" xr:uid="{00000000-0005-0000-0000-0000FC160000}"/>
    <cellStyle name="Calculation 4 2 10 2 3" xfId="33694" xr:uid="{00000000-0005-0000-0000-0000FD160000}"/>
    <cellStyle name="Calculation 4 2 10 2 4" xfId="13999" xr:uid="{00000000-0005-0000-0000-0000FE160000}"/>
    <cellStyle name="Calculation 4 2 10 3" xfId="6551" xr:uid="{00000000-0005-0000-0000-0000FF160000}"/>
    <cellStyle name="Calculation 4 2 10 3 2" xfId="25523" xr:uid="{00000000-0005-0000-0000-000000170000}"/>
    <cellStyle name="Calculation 4 2 10 3 3" xfId="36368" xr:uid="{00000000-0005-0000-0000-000001170000}"/>
    <cellStyle name="Calculation 4 2 10 3 4" xfId="15915" xr:uid="{00000000-0005-0000-0000-000002170000}"/>
    <cellStyle name="Calculation 4 2 10 4" xfId="9210" xr:uid="{00000000-0005-0000-0000-000003170000}"/>
    <cellStyle name="Calculation 4 2 10 4 2" xfId="28182" xr:uid="{00000000-0005-0000-0000-000004170000}"/>
    <cellStyle name="Calculation 4 2 10 4 3" xfId="39027" xr:uid="{00000000-0005-0000-0000-000005170000}"/>
    <cellStyle name="Calculation 4 2 10 4 4" xfId="17819" xr:uid="{00000000-0005-0000-0000-000006170000}"/>
    <cellStyle name="Calculation 4 2 10 5" xfId="20006" xr:uid="{00000000-0005-0000-0000-000007170000}"/>
    <cellStyle name="Calculation 4 2 10 6" xfId="30851" xr:uid="{00000000-0005-0000-0000-000008170000}"/>
    <cellStyle name="Calculation 4 2 10 7" xfId="11965" xr:uid="{00000000-0005-0000-0000-000009170000}"/>
    <cellStyle name="Calculation 4 2 11" xfId="1021" xr:uid="{00000000-0005-0000-0000-00000A170000}"/>
    <cellStyle name="Calculation 4 2 11 2" xfId="3874" xr:uid="{00000000-0005-0000-0000-00000B170000}"/>
    <cellStyle name="Calculation 4 2 11 2 2" xfId="22846" xr:uid="{00000000-0005-0000-0000-00000C170000}"/>
    <cellStyle name="Calculation 4 2 11 2 3" xfId="33691" xr:uid="{00000000-0005-0000-0000-00000D170000}"/>
    <cellStyle name="Calculation 4 2 11 2 4" xfId="13996" xr:uid="{00000000-0005-0000-0000-00000E170000}"/>
    <cellStyle name="Calculation 4 2 11 3" xfId="6548" xr:uid="{00000000-0005-0000-0000-00000F170000}"/>
    <cellStyle name="Calculation 4 2 11 3 2" xfId="25520" xr:uid="{00000000-0005-0000-0000-000010170000}"/>
    <cellStyle name="Calculation 4 2 11 3 3" xfId="36365" xr:uid="{00000000-0005-0000-0000-000011170000}"/>
    <cellStyle name="Calculation 4 2 11 3 4" xfId="15912" xr:uid="{00000000-0005-0000-0000-000012170000}"/>
    <cellStyle name="Calculation 4 2 11 4" xfId="9207" xr:uid="{00000000-0005-0000-0000-000013170000}"/>
    <cellStyle name="Calculation 4 2 11 4 2" xfId="28179" xr:uid="{00000000-0005-0000-0000-000014170000}"/>
    <cellStyle name="Calculation 4 2 11 4 3" xfId="39024" xr:uid="{00000000-0005-0000-0000-000015170000}"/>
    <cellStyle name="Calculation 4 2 11 4 4" xfId="17816" xr:uid="{00000000-0005-0000-0000-000016170000}"/>
    <cellStyle name="Calculation 4 2 11 5" xfId="20003" xr:uid="{00000000-0005-0000-0000-000017170000}"/>
    <cellStyle name="Calculation 4 2 11 6" xfId="30848" xr:uid="{00000000-0005-0000-0000-000018170000}"/>
    <cellStyle name="Calculation 4 2 11 7" xfId="11962" xr:uid="{00000000-0005-0000-0000-000019170000}"/>
    <cellStyle name="Calculation 4 2 12" xfId="959" xr:uid="{00000000-0005-0000-0000-00001A170000}"/>
    <cellStyle name="Calculation 4 2 12 2" xfId="3812" xr:uid="{00000000-0005-0000-0000-00001B170000}"/>
    <cellStyle name="Calculation 4 2 12 2 2" xfId="22784" xr:uid="{00000000-0005-0000-0000-00001C170000}"/>
    <cellStyle name="Calculation 4 2 12 2 3" xfId="33629" xr:uid="{00000000-0005-0000-0000-00001D170000}"/>
    <cellStyle name="Calculation 4 2 12 2 4" xfId="13954" xr:uid="{00000000-0005-0000-0000-00001E170000}"/>
    <cellStyle name="Calculation 4 2 12 3" xfId="6487" xr:uid="{00000000-0005-0000-0000-00001F170000}"/>
    <cellStyle name="Calculation 4 2 12 3 2" xfId="25459" xr:uid="{00000000-0005-0000-0000-000020170000}"/>
    <cellStyle name="Calculation 4 2 12 3 3" xfId="36304" xr:uid="{00000000-0005-0000-0000-000021170000}"/>
    <cellStyle name="Calculation 4 2 12 3 4" xfId="15870" xr:uid="{00000000-0005-0000-0000-000022170000}"/>
    <cellStyle name="Calculation 4 2 12 4" xfId="9146" xr:uid="{00000000-0005-0000-0000-000023170000}"/>
    <cellStyle name="Calculation 4 2 12 4 2" xfId="28118" xr:uid="{00000000-0005-0000-0000-000024170000}"/>
    <cellStyle name="Calculation 4 2 12 4 3" xfId="38963" xr:uid="{00000000-0005-0000-0000-000025170000}"/>
    <cellStyle name="Calculation 4 2 12 4 4" xfId="17774" xr:uid="{00000000-0005-0000-0000-000026170000}"/>
    <cellStyle name="Calculation 4 2 12 5" xfId="19942" xr:uid="{00000000-0005-0000-0000-000027170000}"/>
    <cellStyle name="Calculation 4 2 12 6" xfId="30787" xr:uid="{00000000-0005-0000-0000-000028170000}"/>
    <cellStyle name="Calculation 4 2 12 7" xfId="11920" xr:uid="{00000000-0005-0000-0000-000029170000}"/>
    <cellStyle name="Calculation 4 2 13" xfId="2043" xr:uid="{00000000-0005-0000-0000-00002A170000}"/>
    <cellStyle name="Calculation 4 2 13 2" xfId="4896" xr:uid="{00000000-0005-0000-0000-00002B170000}"/>
    <cellStyle name="Calculation 4 2 13 2 2" xfId="23868" xr:uid="{00000000-0005-0000-0000-00002C170000}"/>
    <cellStyle name="Calculation 4 2 13 2 3" xfId="34713" xr:uid="{00000000-0005-0000-0000-00002D170000}"/>
    <cellStyle name="Calculation 4 2 13 2 4" xfId="14740" xr:uid="{00000000-0005-0000-0000-00002E170000}"/>
    <cellStyle name="Calculation 4 2 13 3" xfId="7567" xr:uid="{00000000-0005-0000-0000-00002F170000}"/>
    <cellStyle name="Calculation 4 2 13 3 2" xfId="26539" xr:uid="{00000000-0005-0000-0000-000030170000}"/>
    <cellStyle name="Calculation 4 2 13 3 3" xfId="37384" xr:uid="{00000000-0005-0000-0000-000031170000}"/>
    <cellStyle name="Calculation 4 2 13 3 4" xfId="16653" xr:uid="{00000000-0005-0000-0000-000032170000}"/>
    <cellStyle name="Calculation 4 2 13 4" xfId="10226" xr:uid="{00000000-0005-0000-0000-000033170000}"/>
    <cellStyle name="Calculation 4 2 13 4 2" xfId="29198" xr:uid="{00000000-0005-0000-0000-000034170000}"/>
    <cellStyle name="Calculation 4 2 13 4 3" xfId="40043" xr:uid="{00000000-0005-0000-0000-000035170000}"/>
    <cellStyle name="Calculation 4 2 13 4 4" xfId="18557" xr:uid="{00000000-0005-0000-0000-000036170000}"/>
    <cellStyle name="Calculation 4 2 13 5" xfId="21022" xr:uid="{00000000-0005-0000-0000-000037170000}"/>
    <cellStyle name="Calculation 4 2 13 6" xfId="31867" xr:uid="{00000000-0005-0000-0000-000038170000}"/>
    <cellStyle name="Calculation 4 2 13 7" xfId="12703" xr:uid="{00000000-0005-0000-0000-000039170000}"/>
    <cellStyle name="Calculation 4 2 14" xfId="3217" xr:uid="{00000000-0005-0000-0000-00003A170000}"/>
    <cellStyle name="Calculation 4 2 14 2" xfId="22194" xr:uid="{00000000-0005-0000-0000-00003B170000}"/>
    <cellStyle name="Calculation 4 2 14 3" xfId="33039" xr:uid="{00000000-0005-0000-0000-00003C170000}"/>
    <cellStyle name="Calculation 4 2 14 4" xfId="13526" xr:uid="{00000000-0005-0000-0000-00003D170000}"/>
    <cellStyle name="Calculation 4 2 15" xfId="3260" xr:uid="{00000000-0005-0000-0000-00003E170000}"/>
    <cellStyle name="Calculation 4 2 15 2" xfId="22235" xr:uid="{00000000-0005-0000-0000-00003F170000}"/>
    <cellStyle name="Calculation 4 2 15 3" xfId="33080" xr:uid="{00000000-0005-0000-0000-000040170000}"/>
    <cellStyle name="Calculation 4 2 15 4" xfId="13561" xr:uid="{00000000-0005-0000-0000-000041170000}"/>
    <cellStyle name="Calculation 4 2 16" xfId="3247" xr:uid="{00000000-0005-0000-0000-000042170000}"/>
    <cellStyle name="Calculation 4 2 16 2" xfId="22223" xr:uid="{00000000-0005-0000-0000-000043170000}"/>
    <cellStyle name="Calculation 4 2 16 3" xfId="33068" xr:uid="{00000000-0005-0000-0000-000044170000}"/>
    <cellStyle name="Calculation 4 2 16 4" xfId="13549" xr:uid="{00000000-0005-0000-0000-000045170000}"/>
    <cellStyle name="Calculation 4 2 17" xfId="19454" xr:uid="{00000000-0005-0000-0000-000046170000}"/>
    <cellStyle name="Calculation 4 2 18" xfId="19404" xr:uid="{00000000-0005-0000-0000-000047170000}"/>
    <cellStyle name="Calculation 4 2 19" xfId="11513" xr:uid="{00000000-0005-0000-0000-000048170000}"/>
    <cellStyle name="Calculation 4 2 2" xfId="665" xr:uid="{00000000-0005-0000-0000-000049170000}"/>
    <cellStyle name="Calculation 4 2 2 10" xfId="19650" xr:uid="{00000000-0005-0000-0000-00004A170000}"/>
    <cellStyle name="Calculation 4 2 2 11" xfId="30495" xr:uid="{00000000-0005-0000-0000-00004B170000}"/>
    <cellStyle name="Calculation 4 2 2 12" xfId="11717" xr:uid="{00000000-0005-0000-0000-00004C170000}"/>
    <cellStyle name="Calculation 4 2 2 2" xfId="1252" xr:uid="{00000000-0005-0000-0000-00004D170000}"/>
    <cellStyle name="Calculation 4 2 2 2 2" xfId="4105" xr:uid="{00000000-0005-0000-0000-00004E170000}"/>
    <cellStyle name="Calculation 4 2 2 2 2 2" xfId="23077" xr:uid="{00000000-0005-0000-0000-00004F170000}"/>
    <cellStyle name="Calculation 4 2 2 2 2 3" xfId="33922" xr:uid="{00000000-0005-0000-0000-000050170000}"/>
    <cellStyle name="Calculation 4 2 2 2 2 4" xfId="14178" xr:uid="{00000000-0005-0000-0000-000051170000}"/>
    <cellStyle name="Calculation 4 2 2 2 3" xfId="6778" xr:uid="{00000000-0005-0000-0000-000052170000}"/>
    <cellStyle name="Calculation 4 2 2 2 3 2" xfId="25750" xr:uid="{00000000-0005-0000-0000-000053170000}"/>
    <cellStyle name="Calculation 4 2 2 2 3 3" xfId="36595" xr:uid="{00000000-0005-0000-0000-000054170000}"/>
    <cellStyle name="Calculation 4 2 2 2 3 4" xfId="16093" xr:uid="{00000000-0005-0000-0000-000055170000}"/>
    <cellStyle name="Calculation 4 2 2 2 4" xfId="9437" xr:uid="{00000000-0005-0000-0000-000056170000}"/>
    <cellStyle name="Calculation 4 2 2 2 4 2" xfId="28409" xr:uid="{00000000-0005-0000-0000-000057170000}"/>
    <cellStyle name="Calculation 4 2 2 2 4 3" xfId="39254" xr:uid="{00000000-0005-0000-0000-000058170000}"/>
    <cellStyle name="Calculation 4 2 2 2 4 4" xfId="17997" xr:uid="{00000000-0005-0000-0000-000059170000}"/>
    <cellStyle name="Calculation 4 2 2 2 5" xfId="20233" xr:uid="{00000000-0005-0000-0000-00005A170000}"/>
    <cellStyle name="Calculation 4 2 2 2 6" xfId="31078" xr:uid="{00000000-0005-0000-0000-00005B170000}"/>
    <cellStyle name="Calculation 4 2 2 2 7" xfId="12143" xr:uid="{00000000-0005-0000-0000-00005C170000}"/>
    <cellStyle name="Calculation 4 2 2 3" xfId="1651" xr:uid="{00000000-0005-0000-0000-00005D170000}"/>
    <cellStyle name="Calculation 4 2 2 3 2" xfId="4504" xr:uid="{00000000-0005-0000-0000-00005E170000}"/>
    <cellStyle name="Calculation 4 2 2 3 2 2" xfId="23476" xr:uid="{00000000-0005-0000-0000-00005F170000}"/>
    <cellStyle name="Calculation 4 2 2 3 2 3" xfId="34321" xr:uid="{00000000-0005-0000-0000-000060170000}"/>
    <cellStyle name="Calculation 4 2 2 3 2 4" xfId="14465" xr:uid="{00000000-0005-0000-0000-000061170000}"/>
    <cellStyle name="Calculation 4 2 2 3 3" xfId="7176" xr:uid="{00000000-0005-0000-0000-000062170000}"/>
    <cellStyle name="Calculation 4 2 2 3 3 2" xfId="26148" xr:uid="{00000000-0005-0000-0000-000063170000}"/>
    <cellStyle name="Calculation 4 2 2 3 3 3" xfId="36993" xr:uid="{00000000-0005-0000-0000-000064170000}"/>
    <cellStyle name="Calculation 4 2 2 3 3 4" xfId="16379" xr:uid="{00000000-0005-0000-0000-000065170000}"/>
    <cellStyle name="Calculation 4 2 2 3 4" xfId="9835" xr:uid="{00000000-0005-0000-0000-000066170000}"/>
    <cellStyle name="Calculation 4 2 2 3 4 2" xfId="28807" xr:uid="{00000000-0005-0000-0000-000067170000}"/>
    <cellStyle name="Calculation 4 2 2 3 4 3" xfId="39652" xr:uid="{00000000-0005-0000-0000-000068170000}"/>
    <cellStyle name="Calculation 4 2 2 3 4 4" xfId="18283" xr:uid="{00000000-0005-0000-0000-000069170000}"/>
    <cellStyle name="Calculation 4 2 2 3 5" xfId="20631" xr:uid="{00000000-0005-0000-0000-00006A170000}"/>
    <cellStyle name="Calculation 4 2 2 3 6" xfId="31476" xr:uid="{00000000-0005-0000-0000-00006B170000}"/>
    <cellStyle name="Calculation 4 2 2 3 7" xfId="12429" xr:uid="{00000000-0005-0000-0000-00006C170000}"/>
    <cellStyle name="Calculation 4 2 2 4" xfId="2055" xr:uid="{00000000-0005-0000-0000-00006D170000}"/>
    <cellStyle name="Calculation 4 2 2 4 2" xfId="4908" xr:uid="{00000000-0005-0000-0000-00006E170000}"/>
    <cellStyle name="Calculation 4 2 2 4 2 2" xfId="23880" xr:uid="{00000000-0005-0000-0000-00006F170000}"/>
    <cellStyle name="Calculation 4 2 2 4 2 3" xfId="34725" xr:uid="{00000000-0005-0000-0000-000070170000}"/>
    <cellStyle name="Calculation 4 2 2 4 2 4" xfId="14752" xr:uid="{00000000-0005-0000-0000-000071170000}"/>
    <cellStyle name="Calculation 4 2 2 4 3" xfId="7579" xr:uid="{00000000-0005-0000-0000-000072170000}"/>
    <cellStyle name="Calculation 4 2 2 4 3 2" xfId="26551" xr:uid="{00000000-0005-0000-0000-000073170000}"/>
    <cellStyle name="Calculation 4 2 2 4 3 3" xfId="37396" xr:uid="{00000000-0005-0000-0000-000074170000}"/>
    <cellStyle name="Calculation 4 2 2 4 3 4" xfId="16665" xr:uid="{00000000-0005-0000-0000-000075170000}"/>
    <cellStyle name="Calculation 4 2 2 4 4" xfId="10238" xr:uid="{00000000-0005-0000-0000-000076170000}"/>
    <cellStyle name="Calculation 4 2 2 4 4 2" xfId="29210" xr:uid="{00000000-0005-0000-0000-000077170000}"/>
    <cellStyle name="Calculation 4 2 2 4 4 3" xfId="40055" xr:uid="{00000000-0005-0000-0000-000078170000}"/>
    <cellStyle name="Calculation 4 2 2 4 4 4" xfId="18569" xr:uid="{00000000-0005-0000-0000-000079170000}"/>
    <cellStyle name="Calculation 4 2 2 4 5" xfId="21034" xr:uid="{00000000-0005-0000-0000-00007A170000}"/>
    <cellStyle name="Calculation 4 2 2 4 6" xfId="31879" xr:uid="{00000000-0005-0000-0000-00007B170000}"/>
    <cellStyle name="Calculation 4 2 2 4 7" xfId="12715" xr:uid="{00000000-0005-0000-0000-00007C170000}"/>
    <cellStyle name="Calculation 4 2 2 5" xfId="2445" xr:uid="{00000000-0005-0000-0000-00007D170000}"/>
    <cellStyle name="Calculation 4 2 2 5 2" xfId="5297" xr:uid="{00000000-0005-0000-0000-00007E170000}"/>
    <cellStyle name="Calculation 4 2 2 5 2 2" xfId="24269" xr:uid="{00000000-0005-0000-0000-00007F170000}"/>
    <cellStyle name="Calculation 4 2 2 5 2 3" xfId="35114" xr:uid="{00000000-0005-0000-0000-000080170000}"/>
    <cellStyle name="Calculation 4 2 2 5 2 4" xfId="15031" xr:uid="{00000000-0005-0000-0000-000081170000}"/>
    <cellStyle name="Calculation 4 2 2 5 3" xfId="7968" xr:uid="{00000000-0005-0000-0000-000082170000}"/>
    <cellStyle name="Calculation 4 2 2 5 3 2" xfId="26940" xr:uid="{00000000-0005-0000-0000-000083170000}"/>
    <cellStyle name="Calculation 4 2 2 5 3 3" xfId="37785" xr:uid="{00000000-0005-0000-0000-000084170000}"/>
    <cellStyle name="Calculation 4 2 2 5 3 4" xfId="16944" xr:uid="{00000000-0005-0000-0000-000085170000}"/>
    <cellStyle name="Calculation 4 2 2 5 4" xfId="10627" xr:uid="{00000000-0005-0000-0000-000086170000}"/>
    <cellStyle name="Calculation 4 2 2 5 4 2" xfId="29599" xr:uid="{00000000-0005-0000-0000-000087170000}"/>
    <cellStyle name="Calculation 4 2 2 5 4 3" xfId="40444" xr:uid="{00000000-0005-0000-0000-000088170000}"/>
    <cellStyle name="Calculation 4 2 2 5 4 4" xfId="18848" xr:uid="{00000000-0005-0000-0000-000089170000}"/>
    <cellStyle name="Calculation 4 2 2 5 5" xfId="21423" xr:uid="{00000000-0005-0000-0000-00008A170000}"/>
    <cellStyle name="Calculation 4 2 2 5 6" xfId="32268" xr:uid="{00000000-0005-0000-0000-00008B170000}"/>
    <cellStyle name="Calculation 4 2 2 5 7" xfId="12994" xr:uid="{00000000-0005-0000-0000-00008C170000}"/>
    <cellStyle name="Calculation 4 2 2 6" xfId="2831" xr:uid="{00000000-0005-0000-0000-00008D170000}"/>
    <cellStyle name="Calculation 4 2 2 6 2" xfId="5682" xr:uid="{00000000-0005-0000-0000-00008E170000}"/>
    <cellStyle name="Calculation 4 2 2 6 2 2" xfId="24654" xr:uid="{00000000-0005-0000-0000-00008F170000}"/>
    <cellStyle name="Calculation 4 2 2 6 2 3" xfId="35499" xr:uid="{00000000-0005-0000-0000-000090170000}"/>
    <cellStyle name="Calculation 4 2 2 6 2 4" xfId="15307" xr:uid="{00000000-0005-0000-0000-000091170000}"/>
    <cellStyle name="Calculation 4 2 2 6 3" xfId="8353" xr:uid="{00000000-0005-0000-0000-000092170000}"/>
    <cellStyle name="Calculation 4 2 2 6 3 2" xfId="27325" xr:uid="{00000000-0005-0000-0000-000093170000}"/>
    <cellStyle name="Calculation 4 2 2 6 3 3" xfId="38170" xr:uid="{00000000-0005-0000-0000-000094170000}"/>
    <cellStyle name="Calculation 4 2 2 6 3 4" xfId="17220" xr:uid="{00000000-0005-0000-0000-000095170000}"/>
    <cellStyle name="Calculation 4 2 2 6 4" xfId="11012" xr:uid="{00000000-0005-0000-0000-000096170000}"/>
    <cellStyle name="Calculation 4 2 2 6 4 2" xfId="29984" xr:uid="{00000000-0005-0000-0000-000097170000}"/>
    <cellStyle name="Calculation 4 2 2 6 4 3" xfId="40829" xr:uid="{00000000-0005-0000-0000-000098170000}"/>
    <cellStyle name="Calculation 4 2 2 6 4 4" xfId="19124" xr:uid="{00000000-0005-0000-0000-000099170000}"/>
    <cellStyle name="Calculation 4 2 2 6 5" xfId="21808" xr:uid="{00000000-0005-0000-0000-00009A170000}"/>
    <cellStyle name="Calculation 4 2 2 6 6" xfId="32653" xr:uid="{00000000-0005-0000-0000-00009B170000}"/>
    <cellStyle name="Calculation 4 2 2 6 7" xfId="13270" xr:uid="{00000000-0005-0000-0000-00009C170000}"/>
    <cellStyle name="Calculation 4 2 2 7" xfId="3520" xr:uid="{00000000-0005-0000-0000-00009D170000}"/>
    <cellStyle name="Calculation 4 2 2 7 2" xfId="22492" xr:uid="{00000000-0005-0000-0000-00009E170000}"/>
    <cellStyle name="Calculation 4 2 2 7 3" xfId="33337" xr:uid="{00000000-0005-0000-0000-00009F170000}"/>
    <cellStyle name="Calculation 4 2 2 7 4" xfId="13751" xr:uid="{00000000-0005-0000-0000-0000A0170000}"/>
    <cellStyle name="Calculation 4 2 2 8" xfId="6195" xr:uid="{00000000-0005-0000-0000-0000A1170000}"/>
    <cellStyle name="Calculation 4 2 2 8 2" xfId="25167" xr:uid="{00000000-0005-0000-0000-0000A2170000}"/>
    <cellStyle name="Calculation 4 2 2 8 3" xfId="36012" xr:uid="{00000000-0005-0000-0000-0000A3170000}"/>
    <cellStyle name="Calculation 4 2 2 8 4" xfId="15667" xr:uid="{00000000-0005-0000-0000-0000A4170000}"/>
    <cellStyle name="Calculation 4 2 2 9" xfId="8854" xr:uid="{00000000-0005-0000-0000-0000A5170000}"/>
    <cellStyle name="Calculation 4 2 2 9 2" xfId="27826" xr:uid="{00000000-0005-0000-0000-0000A6170000}"/>
    <cellStyle name="Calculation 4 2 2 9 3" xfId="38671" xr:uid="{00000000-0005-0000-0000-0000A7170000}"/>
    <cellStyle name="Calculation 4 2 2 9 4" xfId="17571" xr:uid="{00000000-0005-0000-0000-0000A8170000}"/>
    <cellStyle name="Calculation 4 2 3" xfId="645" xr:uid="{00000000-0005-0000-0000-0000A9170000}"/>
    <cellStyle name="Calculation 4 2 3 10" xfId="19638" xr:uid="{00000000-0005-0000-0000-0000AA170000}"/>
    <cellStyle name="Calculation 4 2 3 11" xfId="30483" xr:uid="{00000000-0005-0000-0000-0000AB170000}"/>
    <cellStyle name="Calculation 4 2 3 12" xfId="11697" xr:uid="{00000000-0005-0000-0000-0000AC170000}"/>
    <cellStyle name="Calculation 4 2 3 2" xfId="1239" xr:uid="{00000000-0005-0000-0000-0000AD170000}"/>
    <cellStyle name="Calculation 4 2 3 2 2" xfId="4092" xr:uid="{00000000-0005-0000-0000-0000AE170000}"/>
    <cellStyle name="Calculation 4 2 3 2 2 2" xfId="23064" xr:uid="{00000000-0005-0000-0000-0000AF170000}"/>
    <cellStyle name="Calculation 4 2 3 2 2 3" xfId="33909" xr:uid="{00000000-0005-0000-0000-0000B0170000}"/>
    <cellStyle name="Calculation 4 2 3 2 2 4" xfId="14165" xr:uid="{00000000-0005-0000-0000-0000B1170000}"/>
    <cellStyle name="Calculation 4 2 3 2 3" xfId="6765" xr:uid="{00000000-0005-0000-0000-0000B2170000}"/>
    <cellStyle name="Calculation 4 2 3 2 3 2" xfId="25737" xr:uid="{00000000-0005-0000-0000-0000B3170000}"/>
    <cellStyle name="Calculation 4 2 3 2 3 3" xfId="36582" xr:uid="{00000000-0005-0000-0000-0000B4170000}"/>
    <cellStyle name="Calculation 4 2 3 2 3 4" xfId="16080" xr:uid="{00000000-0005-0000-0000-0000B5170000}"/>
    <cellStyle name="Calculation 4 2 3 2 4" xfId="9424" xr:uid="{00000000-0005-0000-0000-0000B6170000}"/>
    <cellStyle name="Calculation 4 2 3 2 4 2" xfId="28396" xr:uid="{00000000-0005-0000-0000-0000B7170000}"/>
    <cellStyle name="Calculation 4 2 3 2 4 3" xfId="39241" xr:uid="{00000000-0005-0000-0000-0000B8170000}"/>
    <cellStyle name="Calculation 4 2 3 2 4 4" xfId="17984" xr:uid="{00000000-0005-0000-0000-0000B9170000}"/>
    <cellStyle name="Calculation 4 2 3 2 5" xfId="20220" xr:uid="{00000000-0005-0000-0000-0000BA170000}"/>
    <cellStyle name="Calculation 4 2 3 2 6" xfId="31065" xr:uid="{00000000-0005-0000-0000-0000BB170000}"/>
    <cellStyle name="Calculation 4 2 3 2 7" xfId="12130" xr:uid="{00000000-0005-0000-0000-0000BC170000}"/>
    <cellStyle name="Calculation 4 2 3 3" xfId="1636" xr:uid="{00000000-0005-0000-0000-0000BD170000}"/>
    <cellStyle name="Calculation 4 2 3 3 2" xfId="4489" xr:uid="{00000000-0005-0000-0000-0000BE170000}"/>
    <cellStyle name="Calculation 4 2 3 3 2 2" xfId="23461" xr:uid="{00000000-0005-0000-0000-0000BF170000}"/>
    <cellStyle name="Calculation 4 2 3 3 2 3" xfId="34306" xr:uid="{00000000-0005-0000-0000-0000C0170000}"/>
    <cellStyle name="Calculation 4 2 3 3 2 4" xfId="14451" xr:uid="{00000000-0005-0000-0000-0000C1170000}"/>
    <cellStyle name="Calculation 4 2 3 3 3" xfId="7161" xr:uid="{00000000-0005-0000-0000-0000C2170000}"/>
    <cellStyle name="Calculation 4 2 3 3 3 2" xfId="26133" xr:uid="{00000000-0005-0000-0000-0000C3170000}"/>
    <cellStyle name="Calculation 4 2 3 3 3 3" xfId="36978" xr:uid="{00000000-0005-0000-0000-0000C4170000}"/>
    <cellStyle name="Calculation 4 2 3 3 3 4" xfId="16365" xr:uid="{00000000-0005-0000-0000-0000C5170000}"/>
    <cellStyle name="Calculation 4 2 3 3 4" xfId="9820" xr:uid="{00000000-0005-0000-0000-0000C6170000}"/>
    <cellStyle name="Calculation 4 2 3 3 4 2" xfId="28792" xr:uid="{00000000-0005-0000-0000-0000C7170000}"/>
    <cellStyle name="Calculation 4 2 3 3 4 3" xfId="39637" xr:uid="{00000000-0005-0000-0000-0000C8170000}"/>
    <cellStyle name="Calculation 4 2 3 3 4 4" xfId="18269" xr:uid="{00000000-0005-0000-0000-0000C9170000}"/>
    <cellStyle name="Calculation 4 2 3 3 5" xfId="20616" xr:uid="{00000000-0005-0000-0000-0000CA170000}"/>
    <cellStyle name="Calculation 4 2 3 3 6" xfId="31461" xr:uid="{00000000-0005-0000-0000-0000CB170000}"/>
    <cellStyle name="Calculation 4 2 3 3 7" xfId="12415" xr:uid="{00000000-0005-0000-0000-0000CC170000}"/>
    <cellStyle name="Calculation 4 2 3 4" xfId="2041" xr:uid="{00000000-0005-0000-0000-0000CD170000}"/>
    <cellStyle name="Calculation 4 2 3 4 2" xfId="4894" xr:uid="{00000000-0005-0000-0000-0000CE170000}"/>
    <cellStyle name="Calculation 4 2 3 4 2 2" xfId="23866" xr:uid="{00000000-0005-0000-0000-0000CF170000}"/>
    <cellStyle name="Calculation 4 2 3 4 2 3" xfId="34711" xr:uid="{00000000-0005-0000-0000-0000D0170000}"/>
    <cellStyle name="Calculation 4 2 3 4 2 4" xfId="14739" xr:uid="{00000000-0005-0000-0000-0000D1170000}"/>
    <cellStyle name="Calculation 4 2 3 4 3" xfId="7565" xr:uid="{00000000-0005-0000-0000-0000D2170000}"/>
    <cellStyle name="Calculation 4 2 3 4 3 2" xfId="26537" xr:uid="{00000000-0005-0000-0000-0000D3170000}"/>
    <cellStyle name="Calculation 4 2 3 4 3 3" xfId="37382" xr:uid="{00000000-0005-0000-0000-0000D4170000}"/>
    <cellStyle name="Calculation 4 2 3 4 3 4" xfId="16652" xr:uid="{00000000-0005-0000-0000-0000D5170000}"/>
    <cellStyle name="Calculation 4 2 3 4 4" xfId="10224" xr:uid="{00000000-0005-0000-0000-0000D6170000}"/>
    <cellStyle name="Calculation 4 2 3 4 4 2" xfId="29196" xr:uid="{00000000-0005-0000-0000-0000D7170000}"/>
    <cellStyle name="Calculation 4 2 3 4 4 3" xfId="40041" xr:uid="{00000000-0005-0000-0000-0000D8170000}"/>
    <cellStyle name="Calculation 4 2 3 4 4 4" xfId="18556" xr:uid="{00000000-0005-0000-0000-0000D9170000}"/>
    <cellStyle name="Calculation 4 2 3 4 5" xfId="21020" xr:uid="{00000000-0005-0000-0000-0000DA170000}"/>
    <cellStyle name="Calculation 4 2 3 4 6" xfId="31865" xr:uid="{00000000-0005-0000-0000-0000DB170000}"/>
    <cellStyle name="Calculation 4 2 3 4 7" xfId="12702" xr:uid="{00000000-0005-0000-0000-0000DC170000}"/>
    <cellStyle name="Calculation 4 2 3 5" xfId="2432" xr:uid="{00000000-0005-0000-0000-0000DD170000}"/>
    <cellStyle name="Calculation 4 2 3 5 2" xfId="5284" xr:uid="{00000000-0005-0000-0000-0000DE170000}"/>
    <cellStyle name="Calculation 4 2 3 5 2 2" xfId="24256" xr:uid="{00000000-0005-0000-0000-0000DF170000}"/>
    <cellStyle name="Calculation 4 2 3 5 2 3" xfId="35101" xr:uid="{00000000-0005-0000-0000-0000E0170000}"/>
    <cellStyle name="Calculation 4 2 3 5 2 4" xfId="15018" xr:uid="{00000000-0005-0000-0000-0000E1170000}"/>
    <cellStyle name="Calculation 4 2 3 5 3" xfId="7955" xr:uid="{00000000-0005-0000-0000-0000E2170000}"/>
    <cellStyle name="Calculation 4 2 3 5 3 2" xfId="26927" xr:uid="{00000000-0005-0000-0000-0000E3170000}"/>
    <cellStyle name="Calculation 4 2 3 5 3 3" xfId="37772" xr:uid="{00000000-0005-0000-0000-0000E4170000}"/>
    <cellStyle name="Calculation 4 2 3 5 3 4" xfId="16931" xr:uid="{00000000-0005-0000-0000-0000E5170000}"/>
    <cellStyle name="Calculation 4 2 3 5 4" xfId="10614" xr:uid="{00000000-0005-0000-0000-0000E6170000}"/>
    <cellStyle name="Calculation 4 2 3 5 4 2" xfId="29586" xr:uid="{00000000-0005-0000-0000-0000E7170000}"/>
    <cellStyle name="Calculation 4 2 3 5 4 3" xfId="40431" xr:uid="{00000000-0005-0000-0000-0000E8170000}"/>
    <cellStyle name="Calculation 4 2 3 5 4 4" xfId="18835" xr:uid="{00000000-0005-0000-0000-0000E9170000}"/>
    <cellStyle name="Calculation 4 2 3 5 5" xfId="21410" xr:uid="{00000000-0005-0000-0000-0000EA170000}"/>
    <cellStyle name="Calculation 4 2 3 5 6" xfId="32255" xr:uid="{00000000-0005-0000-0000-0000EB170000}"/>
    <cellStyle name="Calculation 4 2 3 5 7" xfId="12981" xr:uid="{00000000-0005-0000-0000-0000EC170000}"/>
    <cellStyle name="Calculation 4 2 3 6" xfId="2819" xr:uid="{00000000-0005-0000-0000-0000ED170000}"/>
    <cellStyle name="Calculation 4 2 3 6 2" xfId="5670" xr:uid="{00000000-0005-0000-0000-0000EE170000}"/>
    <cellStyle name="Calculation 4 2 3 6 2 2" xfId="24642" xr:uid="{00000000-0005-0000-0000-0000EF170000}"/>
    <cellStyle name="Calculation 4 2 3 6 2 3" xfId="35487" xr:uid="{00000000-0005-0000-0000-0000F0170000}"/>
    <cellStyle name="Calculation 4 2 3 6 2 4" xfId="15295" xr:uid="{00000000-0005-0000-0000-0000F1170000}"/>
    <cellStyle name="Calculation 4 2 3 6 3" xfId="8341" xr:uid="{00000000-0005-0000-0000-0000F2170000}"/>
    <cellStyle name="Calculation 4 2 3 6 3 2" xfId="27313" xr:uid="{00000000-0005-0000-0000-0000F3170000}"/>
    <cellStyle name="Calculation 4 2 3 6 3 3" xfId="38158" xr:uid="{00000000-0005-0000-0000-0000F4170000}"/>
    <cellStyle name="Calculation 4 2 3 6 3 4" xfId="17208" xr:uid="{00000000-0005-0000-0000-0000F5170000}"/>
    <cellStyle name="Calculation 4 2 3 6 4" xfId="11000" xr:uid="{00000000-0005-0000-0000-0000F6170000}"/>
    <cellStyle name="Calculation 4 2 3 6 4 2" xfId="29972" xr:uid="{00000000-0005-0000-0000-0000F7170000}"/>
    <cellStyle name="Calculation 4 2 3 6 4 3" xfId="40817" xr:uid="{00000000-0005-0000-0000-0000F8170000}"/>
    <cellStyle name="Calculation 4 2 3 6 4 4" xfId="19112" xr:uid="{00000000-0005-0000-0000-0000F9170000}"/>
    <cellStyle name="Calculation 4 2 3 6 5" xfId="21796" xr:uid="{00000000-0005-0000-0000-0000FA170000}"/>
    <cellStyle name="Calculation 4 2 3 6 6" xfId="32641" xr:uid="{00000000-0005-0000-0000-0000FB170000}"/>
    <cellStyle name="Calculation 4 2 3 6 7" xfId="13258" xr:uid="{00000000-0005-0000-0000-0000FC170000}"/>
    <cellStyle name="Calculation 4 2 3 7" xfId="3508" xr:uid="{00000000-0005-0000-0000-0000FD170000}"/>
    <cellStyle name="Calculation 4 2 3 7 2" xfId="22480" xr:uid="{00000000-0005-0000-0000-0000FE170000}"/>
    <cellStyle name="Calculation 4 2 3 7 3" xfId="33325" xr:uid="{00000000-0005-0000-0000-0000FF170000}"/>
    <cellStyle name="Calculation 4 2 3 7 4" xfId="13739" xr:uid="{00000000-0005-0000-0000-000000180000}"/>
    <cellStyle name="Calculation 4 2 3 8" xfId="6183" xr:uid="{00000000-0005-0000-0000-000001180000}"/>
    <cellStyle name="Calculation 4 2 3 8 2" xfId="25155" xr:uid="{00000000-0005-0000-0000-000002180000}"/>
    <cellStyle name="Calculation 4 2 3 8 3" xfId="36000" xr:uid="{00000000-0005-0000-0000-000003180000}"/>
    <cellStyle name="Calculation 4 2 3 8 4" xfId="15655" xr:uid="{00000000-0005-0000-0000-000004180000}"/>
    <cellStyle name="Calculation 4 2 3 9" xfId="8842" xr:uid="{00000000-0005-0000-0000-000005180000}"/>
    <cellStyle name="Calculation 4 2 3 9 2" xfId="27814" xr:uid="{00000000-0005-0000-0000-000006180000}"/>
    <cellStyle name="Calculation 4 2 3 9 3" xfId="38659" xr:uid="{00000000-0005-0000-0000-000007180000}"/>
    <cellStyle name="Calculation 4 2 3 9 4" xfId="17559" xr:uid="{00000000-0005-0000-0000-000008180000}"/>
    <cellStyle name="Calculation 4 2 4" xfId="591" xr:uid="{00000000-0005-0000-0000-000009180000}"/>
    <cellStyle name="Calculation 4 2 4 10" xfId="19601" xr:uid="{00000000-0005-0000-0000-00000A180000}"/>
    <cellStyle name="Calculation 4 2 4 11" xfId="30446" xr:uid="{00000000-0005-0000-0000-00000B180000}"/>
    <cellStyle name="Calculation 4 2 4 12" xfId="11655" xr:uid="{00000000-0005-0000-0000-00000C180000}"/>
    <cellStyle name="Calculation 4 2 4 2" xfId="1197" xr:uid="{00000000-0005-0000-0000-00000D180000}"/>
    <cellStyle name="Calculation 4 2 4 2 2" xfId="4050" xr:uid="{00000000-0005-0000-0000-00000E180000}"/>
    <cellStyle name="Calculation 4 2 4 2 2 2" xfId="23022" xr:uid="{00000000-0005-0000-0000-00000F180000}"/>
    <cellStyle name="Calculation 4 2 4 2 2 3" xfId="33867" xr:uid="{00000000-0005-0000-0000-000010180000}"/>
    <cellStyle name="Calculation 4 2 4 2 2 4" xfId="14132" xr:uid="{00000000-0005-0000-0000-000011180000}"/>
    <cellStyle name="Calculation 4 2 4 2 3" xfId="6723" xr:uid="{00000000-0005-0000-0000-000012180000}"/>
    <cellStyle name="Calculation 4 2 4 2 3 2" xfId="25695" xr:uid="{00000000-0005-0000-0000-000013180000}"/>
    <cellStyle name="Calculation 4 2 4 2 3 3" xfId="36540" xr:uid="{00000000-0005-0000-0000-000014180000}"/>
    <cellStyle name="Calculation 4 2 4 2 3 4" xfId="16047" xr:uid="{00000000-0005-0000-0000-000015180000}"/>
    <cellStyle name="Calculation 4 2 4 2 4" xfId="9382" xr:uid="{00000000-0005-0000-0000-000016180000}"/>
    <cellStyle name="Calculation 4 2 4 2 4 2" xfId="28354" xr:uid="{00000000-0005-0000-0000-000017180000}"/>
    <cellStyle name="Calculation 4 2 4 2 4 3" xfId="39199" xr:uid="{00000000-0005-0000-0000-000018180000}"/>
    <cellStyle name="Calculation 4 2 4 2 4 4" xfId="17951" xr:uid="{00000000-0005-0000-0000-000019180000}"/>
    <cellStyle name="Calculation 4 2 4 2 5" xfId="20178" xr:uid="{00000000-0005-0000-0000-00001A180000}"/>
    <cellStyle name="Calculation 4 2 4 2 6" xfId="31023" xr:uid="{00000000-0005-0000-0000-00001B180000}"/>
    <cellStyle name="Calculation 4 2 4 2 7" xfId="12097" xr:uid="{00000000-0005-0000-0000-00001C180000}"/>
    <cellStyle name="Calculation 4 2 4 3" xfId="1594" xr:uid="{00000000-0005-0000-0000-00001D180000}"/>
    <cellStyle name="Calculation 4 2 4 3 2" xfId="4447" xr:uid="{00000000-0005-0000-0000-00001E180000}"/>
    <cellStyle name="Calculation 4 2 4 3 2 2" xfId="23419" xr:uid="{00000000-0005-0000-0000-00001F180000}"/>
    <cellStyle name="Calculation 4 2 4 3 2 3" xfId="34264" xr:uid="{00000000-0005-0000-0000-000020180000}"/>
    <cellStyle name="Calculation 4 2 4 3 2 4" xfId="14418" xr:uid="{00000000-0005-0000-0000-000021180000}"/>
    <cellStyle name="Calculation 4 2 4 3 3" xfId="7119" xr:uid="{00000000-0005-0000-0000-000022180000}"/>
    <cellStyle name="Calculation 4 2 4 3 3 2" xfId="26091" xr:uid="{00000000-0005-0000-0000-000023180000}"/>
    <cellStyle name="Calculation 4 2 4 3 3 3" xfId="36936" xr:uid="{00000000-0005-0000-0000-000024180000}"/>
    <cellStyle name="Calculation 4 2 4 3 3 4" xfId="16332" xr:uid="{00000000-0005-0000-0000-000025180000}"/>
    <cellStyle name="Calculation 4 2 4 3 4" xfId="9778" xr:uid="{00000000-0005-0000-0000-000026180000}"/>
    <cellStyle name="Calculation 4 2 4 3 4 2" xfId="28750" xr:uid="{00000000-0005-0000-0000-000027180000}"/>
    <cellStyle name="Calculation 4 2 4 3 4 3" xfId="39595" xr:uid="{00000000-0005-0000-0000-000028180000}"/>
    <cellStyle name="Calculation 4 2 4 3 4 4" xfId="18236" xr:uid="{00000000-0005-0000-0000-000029180000}"/>
    <cellStyle name="Calculation 4 2 4 3 5" xfId="20574" xr:uid="{00000000-0005-0000-0000-00002A180000}"/>
    <cellStyle name="Calculation 4 2 4 3 6" xfId="31419" xr:uid="{00000000-0005-0000-0000-00002B180000}"/>
    <cellStyle name="Calculation 4 2 4 3 7" xfId="12382" xr:uid="{00000000-0005-0000-0000-00002C180000}"/>
    <cellStyle name="Calculation 4 2 4 4" xfId="1998" xr:uid="{00000000-0005-0000-0000-00002D180000}"/>
    <cellStyle name="Calculation 4 2 4 4 2" xfId="4851" xr:uid="{00000000-0005-0000-0000-00002E180000}"/>
    <cellStyle name="Calculation 4 2 4 4 2 2" xfId="23823" xr:uid="{00000000-0005-0000-0000-00002F180000}"/>
    <cellStyle name="Calculation 4 2 4 4 2 3" xfId="34668" xr:uid="{00000000-0005-0000-0000-000030180000}"/>
    <cellStyle name="Calculation 4 2 4 4 2 4" xfId="14706" xr:uid="{00000000-0005-0000-0000-000031180000}"/>
    <cellStyle name="Calculation 4 2 4 4 3" xfId="7523" xr:uid="{00000000-0005-0000-0000-000032180000}"/>
    <cellStyle name="Calculation 4 2 4 4 3 2" xfId="26495" xr:uid="{00000000-0005-0000-0000-000033180000}"/>
    <cellStyle name="Calculation 4 2 4 4 3 3" xfId="37340" xr:uid="{00000000-0005-0000-0000-000034180000}"/>
    <cellStyle name="Calculation 4 2 4 4 3 4" xfId="16620" xr:uid="{00000000-0005-0000-0000-000035180000}"/>
    <cellStyle name="Calculation 4 2 4 4 4" xfId="10182" xr:uid="{00000000-0005-0000-0000-000036180000}"/>
    <cellStyle name="Calculation 4 2 4 4 4 2" xfId="29154" xr:uid="{00000000-0005-0000-0000-000037180000}"/>
    <cellStyle name="Calculation 4 2 4 4 4 3" xfId="39999" xr:uid="{00000000-0005-0000-0000-000038180000}"/>
    <cellStyle name="Calculation 4 2 4 4 4 4" xfId="18524" xr:uid="{00000000-0005-0000-0000-000039180000}"/>
    <cellStyle name="Calculation 4 2 4 4 5" xfId="20978" xr:uid="{00000000-0005-0000-0000-00003A180000}"/>
    <cellStyle name="Calculation 4 2 4 4 6" xfId="31823" xr:uid="{00000000-0005-0000-0000-00003B180000}"/>
    <cellStyle name="Calculation 4 2 4 4 7" xfId="12670" xr:uid="{00000000-0005-0000-0000-00003C180000}"/>
    <cellStyle name="Calculation 4 2 4 5" xfId="2390" xr:uid="{00000000-0005-0000-0000-00003D180000}"/>
    <cellStyle name="Calculation 4 2 4 5 2" xfId="5243" xr:uid="{00000000-0005-0000-0000-00003E180000}"/>
    <cellStyle name="Calculation 4 2 4 5 2 2" xfId="24215" xr:uid="{00000000-0005-0000-0000-00003F180000}"/>
    <cellStyle name="Calculation 4 2 4 5 2 3" xfId="35060" xr:uid="{00000000-0005-0000-0000-000040180000}"/>
    <cellStyle name="Calculation 4 2 4 5 2 4" xfId="14987" xr:uid="{00000000-0005-0000-0000-000041180000}"/>
    <cellStyle name="Calculation 4 2 4 5 3" xfId="7914" xr:uid="{00000000-0005-0000-0000-000042180000}"/>
    <cellStyle name="Calculation 4 2 4 5 3 2" xfId="26886" xr:uid="{00000000-0005-0000-0000-000043180000}"/>
    <cellStyle name="Calculation 4 2 4 5 3 3" xfId="37731" xr:uid="{00000000-0005-0000-0000-000044180000}"/>
    <cellStyle name="Calculation 4 2 4 5 3 4" xfId="16900" xr:uid="{00000000-0005-0000-0000-000045180000}"/>
    <cellStyle name="Calculation 4 2 4 5 4" xfId="10573" xr:uid="{00000000-0005-0000-0000-000046180000}"/>
    <cellStyle name="Calculation 4 2 4 5 4 2" xfId="29545" xr:uid="{00000000-0005-0000-0000-000047180000}"/>
    <cellStyle name="Calculation 4 2 4 5 4 3" xfId="40390" xr:uid="{00000000-0005-0000-0000-000048180000}"/>
    <cellStyle name="Calculation 4 2 4 5 4 4" xfId="18804" xr:uid="{00000000-0005-0000-0000-000049180000}"/>
    <cellStyle name="Calculation 4 2 4 5 5" xfId="21369" xr:uid="{00000000-0005-0000-0000-00004A180000}"/>
    <cellStyle name="Calculation 4 2 4 5 6" xfId="32214" xr:uid="{00000000-0005-0000-0000-00004B180000}"/>
    <cellStyle name="Calculation 4 2 4 5 7" xfId="12950" xr:uid="{00000000-0005-0000-0000-00004C180000}"/>
    <cellStyle name="Calculation 4 2 4 6" xfId="2779" xr:uid="{00000000-0005-0000-0000-00004D180000}"/>
    <cellStyle name="Calculation 4 2 4 6 2" xfId="5631" xr:uid="{00000000-0005-0000-0000-00004E180000}"/>
    <cellStyle name="Calculation 4 2 4 6 2 2" xfId="24603" xr:uid="{00000000-0005-0000-0000-00004F180000}"/>
    <cellStyle name="Calculation 4 2 4 6 2 3" xfId="35448" xr:uid="{00000000-0005-0000-0000-000050180000}"/>
    <cellStyle name="Calculation 4 2 4 6 2 4" xfId="15265" xr:uid="{00000000-0005-0000-0000-000051180000}"/>
    <cellStyle name="Calculation 4 2 4 6 3" xfId="8302" xr:uid="{00000000-0005-0000-0000-000052180000}"/>
    <cellStyle name="Calculation 4 2 4 6 3 2" xfId="27274" xr:uid="{00000000-0005-0000-0000-000053180000}"/>
    <cellStyle name="Calculation 4 2 4 6 3 3" xfId="38119" xr:uid="{00000000-0005-0000-0000-000054180000}"/>
    <cellStyle name="Calculation 4 2 4 6 3 4" xfId="17178" xr:uid="{00000000-0005-0000-0000-000055180000}"/>
    <cellStyle name="Calculation 4 2 4 6 4" xfId="10961" xr:uid="{00000000-0005-0000-0000-000056180000}"/>
    <cellStyle name="Calculation 4 2 4 6 4 2" xfId="29933" xr:uid="{00000000-0005-0000-0000-000057180000}"/>
    <cellStyle name="Calculation 4 2 4 6 4 3" xfId="40778" xr:uid="{00000000-0005-0000-0000-000058180000}"/>
    <cellStyle name="Calculation 4 2 4 6 4 4" xfId="19082" xr:uid="{00000000-0005-0000-0000-000059180000}"/>
    <cellStyle name="Calculation 4 2 4 6 5" xfId="21757" xr:uid="{00000000-0005-0000-0000-00005A180000}"/>
    <cellStyle name="Calculation 4 2 4 6 6" xfId="32602" xr:uid="{00000000-0005-0000-0000-00005B180000}"/>
    <cellStyle name="Calculation 4 2 4 6 7" xfId="13228" xr:uid="{00000000-0005-0000-0000-00005C180000}"/>
    <cellStyle name="Calculation 4 2 4 7" xfId="3470" xr:uid="{00000000-0005-0000-0000-00005D180000}"/>
    <cellStyle name="Calculation 4 2 4 7 2" xfId="22442" xr:uid="{00000000-0005-0000-0000-00005E180000}"/>
    <cellStyle name="Calculation 4 2 4 7 3" xfId="33287" xr:uid="{00000000-0005-0000-0000-00005F180000}"/>
    <cellStyle name="Calculation 4 2 4 7 4" xfId="13710" xr:uid="{00000000-0005-0000-0000-000060180000}"/>
    <cellStyle name="Calculation 4 2 4 8" xfId="6146" xr:uid="{00000000-0005-0000-0000-000061180000}"/>
    <cellStyle name="Calculation 4 2 4 8 2" xfId="25118" xr:uid="{00000000-0005-0000-0000-000062180000}"/>
    <cellStyle name="Calculation 4 2 4 8 3" xfId="35963" xr:uid="{00000000-0005-0000-0000-000063180000}"/>
    <cellStyle name="Calculation 4 2 4 8 4" xfId="15627" xr:uid="{00000000-0005-0000-0000-000064180000}"/>
    <cellStyle name="Calculation 4 2 4 9" xfId="8805" xr:uid="{00000000-0005-0000-0000-000065180000}"/>
    <cellStyle name="Calculation 4 2 4 9 2" xfId="27777" xr:uid="{00000000-0005-0000-0000-000066180000}"/>
    <cellStyle name="Calculation 4 2 4 9 3" xfId="38622" xr:uid="{00000000-0005-0000-0000-000067180000}"/>
    <cellStyle name="Calculation 4 2 4 9 4" xfId="17531" xr:uid="{00000000-0005-0000-0000-000068180000}"/>
    <cellStyle name="Calculation 4 2 5" xfId="711" xr:uid="{00000000-0005-0000-0000-000069180000}"/>
    <cellStyle name="Calculation 4 2 5 10" xfId="19696" xr:uid="{00000000-0005-0000-0000-00006A180000}"/>
    <cellStyle name="Calculation 4 2 5 11" xfId="30541" xr:uid="{00000000-0005-0000-0000-00006B180000}"/>
    <cellStyle name="Calculation 4 2 5 12" xfId="11750" xr:uid="{00000000-0005-0000-0000-00006C180000}"/>
    <cellStyle name="Calculation 4 2 5 2" xfId="1298" xr:uid="{00000000-0005-0000-0000-00006D180000}"/>
    <cellStyle name="Calculation 4 2 5 2 2" xfId="4151" xr:uid="{00000000-0005-0000-0000-00006E180000}"/>
    <cellStyle name="Calculation 4 2 5 2 2 2" xfId="23123" xr:uid="{00000000-0005-0000-0000-00006F180000}"/>
    <cellStyle name="Calculation 4 2 5 2 2 3" xfId="33968" xr:uid="{00000000-0005-0000-0000-000070180000}"/>
    <cellStyle name="Calculation 4 2 5 2 2 4" xfId="14211" xr:uid="{00000000-0005-0000-0000-000071180000}"/>
    <cellStyle name="Calculation 4 2 5 2 3" xfId="6824" xr:uid="{00000000-0005-0000-0000-000072180000}"/>
    <cellStyle name="Calculation 4 2 5 2 3 2" xfId="25796" xr:uid="{00000000-0005-0000-0000-000073180000}"/>
    <cellStyle name="Calculation 4 2 5 2 3 3" xfId="36641" xr:uid="{00000000-0005-0000-0000-000074180000}"/>
    <cellStyle name="Calculation 4 2 5 2 3 4" xfId="16126" xr:uid="{00000000-0005-0000-0000-000075180000}"/>
    <cellStyle name="Calculation 4 2 5 2 4" xfId="9483" xr:uid="{00000000-0005-0000-0000-000076180000}"/>
    <cellStyle name="Calculation 4 2 5 2 4 2" xfId="28455" xr:uid="{00000000-0005-0000-0000-000077180000}"/>
    <cellStyle name="Calculation 4 2 5 2 4 3" xfId="39300" xr:uid="{00000000-0005-0000-0000-000078180000}"/>
    <cellStyle name="Calculation 4 2 5 2 4 4" xfId="18030" xr:uid="{00000000-0005-0000-0000-000079180000}"/>
    <cellStyle name="Calculation 4 2 5 2 5" xfId="20279" xr:uid="{00000000-0005-0000-0000-00007A180000}"/>
    <cellStyle name="Calculation 4 2 5 2 6" xfId="31124" xr:uid="{00000000-0005-0000-0000-00007B180000}"/>
    <cellStyle name="Calculation 4 2 5 2 7" xfId="12176" xr:uid="{00000000-0005-0000-0000-00007C180000}"/>
    <cellStyle name="Calculation 4 2 5 3" xfId="1697" xr:uid="{00000000-0005-0000-0000-00007D180000}"/>
    <cellStyle name="Calculation 4 2 5 3 2" xfId="4550" xr:uid="{00000000-0005-0000-0000-00007E180000}"/>
    <cellStyle name="Calculation 4 2 5 3 2 2" xfId="23522" xr:uid="{00000000-0005-0000-0000-00007F180000}"/>
    <cellStyle name="Calculation 4 2 5 3 2 3" xfId="34367" xr:uid="{00000000-0005-0000-0000-000080180000}"/>
    <cellStyle name="Calculation 4 2 5 3 2 4" xfId="14498" xr:uid="{00000000-0005-0000-0000-000081180000}"/>
    <cellStyle name="Calculation 4 2 5 3 3" xfId="7222" xr:uid="{00000000-0005-0000-0000-000082180000}"/>
    <cellStyle name="Calculation 4 2 5 3 3 2" xfId="26194" xr:uid="{00000000-0005-0000-0000-000083180000}"/>
    <cellStyle name="Calculation 4 2 5 3 3 3" xfId="37039" xr:uid="{00000000-0005-0000-0000-000084180000}"/>
    <cellStyle name="Calculation 4 2 5 3 3 4" xfId="16412" xr:uid="{00000000-0005-0000-0000-000085180000}"/>
    <cellStyle name="Calculation 4 2 5 3 4" xfId="9881" xr:uid="{00000000-0005-0000-0000-000086180000}"/>
    <cellStyle name="Calculation 4 2 5 3 4 2" xfId="28853" xr:uid="{00000000-0005-0000-0000-000087180000}"/>
    <cellStyle name="Calculation 4 2 5 3 4 3" xfId="39698" xr:uid="{00000000-0005-0000-0000-000088180000}"/>
    <cellStyle name="Calculation 4 2 5 3 4 4" xfId="18316" xr:uid="{00000000-0005-0000-0000-000089180000}"/>
    <cellStyle name="Calculation 4 2 5 3 5" xfId="20677" xr:uid="{00000000-0005-0000-0000-00008A180000}"/>
    <cellStyle name="Calculation 4 2 5 3 6" xfId="31522" xr:uid="{00000000-0005-0000-0000-00008B180000}"/>
    <cellStyle name="Calculation 4 2 5 3 7" xfId="12462" xr:uid="{00000000-0005-0000-0000-00008C180000}"/>
    <cellStyle name="Calculation 4 2 5 4" xfId="2101" xr:uid="{00000000-0005-0000-0000-00008D180000}"/>
    <cellStyle name="Calculation 4 2 5 4 2" xfId="4954" xr:uid="{00000000-0005-0000-0000-00008E180000}"/>
    <cellStyle name="Calculation 4 2 5 4 2 2" xfId="23926" xr:uid="{00000000-0005-0000-0000-00008F180000}"/>
    <cellStyle name="Calculation 4 2 5 4 2 3" xfId="34771" xr:uid="{00000000-0005-0000-0000-000090180000}"/>
    <cellStyle name="Calculation 4 2 5 4 2 4" xfId="14785" xr:uid="{00000000-0005-0000-0000-000091180000}"/>
    <cellStyle name="Calculation 4 2 5 4 3" xfId="7625" xr:uid="{00000000-0005-0000-0000-000092180000}"/>
    <cellStyle name="Calculation 4 2 5 4 3 2" xfId="26597" xr:uid="{00000000-0005-0000-0000-000093180000}"/>
    <cellStyle name="Calculation 4 2 5 4 3 3" xfId="37442" xr:uid="{00000000-0005-0000-0000-000094180000}"/>
    <cellStyle name="Calculation 4 2 5 4 3 4" xfId="16698" xr:uid="{00000000-0005-0000-0000-000095180000}"/>
    <cellStyle name="Calculation 4 2 5 4 4" xfId="10284" xr:uid="{00000000-0005-0000-0000-000096180000}"/>
    <cellStyle name="Calculation 4 2 5 4 4 2" xfId="29256" xr:uid="{00000000-0005-0000-0000-000097180000}"/>
    <cellStyle name="Calculation 4 2 5 4 4 3" xfId="40101" xr:uid="{00000000-0005-0000-0000-000098180000}"/>
    <cellStyle name="Calculation 4 2 5 4 4 4" xfId="18602" xr:uid="{00000000-0005-0000-0000-000099180000}"/>
    <cellStyle name="Calculation 4 2 5 4 5" xfId="21080" xr:uid="{00000000-0005-0000-0000-00009A180000}"/>
    <cellStyle name="Calculation 4 2 5 4 6" xfId="31925" xr:uid="{00000000-0005-0000-0000-00009B180000}"/>
    <cellStyle name="Calculation 4 2 5 4 7" xfId="12748" xr:uid="{00000000-0005-0000-0000-00009C180000}"/>
    <cellStyle name="Calculation 4 2 5 5" xfId="2491" xr:uid="{00000000-0005-0000-0000-00009D180000}"/>
    <cellStyle name="Calculation 4 2 5 5 2" xfId="5343" xr:uid="{00000000-0005-0000-0000-00009E180000}"/>
    <cellStyle name="Calculation 4 2 5 5 2 2" xfId="24315" xr:uid="{00000000-0005-0000-0000-00009F180000}"/>
    <cellStyle name="Calculation 4 2 5 5 2 3" xfId="35160" xr:uid="{00000000-0005-0000-0000-0000A0180000}"/>
    <cellStyle name="Calculation 4 2 5 5 2 4" xfId="15064" xr:uid="{00000000-0005-0000-0000-0000A1180000}"/>
    <cellStyle name="Calculation 4 2 5 5 3" xfId="8014" xr:uid="{00000000-0005-0000-0000-0000A2180000}"/>
    <cellStyle name="Calculation 4 2 5 5 3 2" xfId="26986" xr:uid="{00000000-0005-0000-0000-0000A3180000}"/>
    <cellStyle name="Calculation 4 2 5 5 3 3" xfId="37831" xr:uid="{00000000-0005-0000-0000-0000A4180000}"/>
    <cellStyle name="Calculation 4 2 5 5 3 4" xfId="16977" xr:uid="{00000000-0005-0000-0000-0000A5180000}"/>
    <cellStyle name="Calculation 4 2 5 5 4" xfId="10673" xr:uid="{00000000-0005-0000-0000-0000A6180000}"/>
    <cellStyle name="Calculation 4 2 5 5 4 2" xfId="29645" xr:uid="{00000000-0005-0000-0000-0000A7180000}"/>
    <cellStyle name="Calculation 4 2 5 5 4 3" xfId="40490" xr:uid="{00000000-0005-0000-0000-0000A8180000}"/>
    <cellStyle name="Calculation 4 2 5 5 4 4" xfId="18881" xr:uid="{00000000-0005-0000-0000-0000A9180000}"/>
    <cellStyle name="Calculation 4 2 5 5 5" xfId="21469" xr:uid="{00000000-0005-0000-0000-0000AA180000}"/>
    <cellStyle name="Calculation 4 2 5 5 6" xfId="32314" xr:uid="{00000000-0005-0000-0000-0000AB180000}"/>
    <cellStyle name="Calculation 4 2 5 5 7" xfId="13027" xr:uid="{00000000-0005-0000-0000-0000AC180000}"/>
    <cellStyle name="Calculation 4 2 5 6" xfId="2877" xr:uid="{00000000-0005-0000-0000-0000AD180000}"/>
    <cellStyle name="Calculation 4 2 5 6 2" xfId="5728" xr:uid="{00000000-0005-0000-0000-0000AE180000}"/>
    <cellStyle name="Calculation 4 2 5 6 2 2" xfId="24700" xr:uid="{00000000-0005-0000-0000-0000AF180000}"/>
    <cellStyle name="Calculation 4 2 5 6 2 3" xfId="35545" xr:uid="{00000000-0005-0000-0000-0000B0180000}"/>
    <cellStyle name="Calculation 4 2 5 6 2 4" xfId="15340" xr:uid="{00000000-0005-0000-0000-0000B1180000}"/>
    <cellStyle name="Calculation 4 2 5 6 3" xfId="8399" xr:uid="{00000000-0005-0000-0000-0000B2180000}"/>
    <cellStyle name="Calculation 4 2 5 6 3 2" xfId="27371" xr:uid="{00000000-0005-0000-0000-0000B3180000}"/>
    <cellStyle name="Calculation 4 2 5 6 3 3" xfId="38216" xr:uid="{00000000-0005-0000-0000-0000B4180000}"/>
    <cellStyle name="Calculation 4 2 5 6 3 4" xfId="17253" xr:uid="{00000000-0005-0000-0000-0000B5180000}"/>
    <cellStyle name="Calculation 4 2 5 6 4" xfId="11058" xr:uid="{00000000-0005-0000-0000-0000B6180000}"/>
    <cellStyle name="Calculation 4 2 5 6 4 2" xfId="30030" xr:uid="{00000000-0005-0000-0000-0000B7180000}"/>
    <cellStyle name="Calculation 4 2 5 6 4 3" xfId="40875" xr:uid="{00000000-0005-0000-0000-0000B8180000}"/>
    <cellStyle name="Calculation 4 2 5 6 4 4" xfId="19157" xr:uid="{00000000-0005-0000-0000-0000B9180000}"/>
    <cellStyle name="Calculation 4 2 5 6 5" xfId="21854" xr:uid="{00000000-0005-0000-0000-0000BA180000}"/>
    <cellStyle name="Calculation 4 2 5 6 6" xfId="32699" xr:uid="{00000000-0005-0000-0000-0000BB180000}"/>
    <cellStyle name="Calculation 4 2 5 6 7" xfId="13303" xr:uid="{00000000-0005-0000-0000-0000BC180000}"/>
    <cellStyle name="Calculation 4 2 5 7" xfId="3566" xr:uid="{00000000-0005-0000-0000-0000BD180000}"/>
    <cellStyle name="Calculation 4 2 5 7 2" xfId="22538" xr:uid="{00000000-0005-0000-0000-0000BE180000}"/>
    <cellStyle name="Calculation 4 2 5 7 3" xfId="33383" xr:uid="{00000000-0005-0000-0000-0000BF180000}"/>
    <cellStyle name="Calculation 4 2 5 7 4" xfId="13784" xr:uid="{00000000-0005-0000-0000-0000C0180000}"/>
    <cellStyle name="Calculation 4 2 5 8" xfId="6241" xr:uid="{00000000-0005-0000-0000-0000C1180000}"/>
    <cellStyle name="Calculation 4 2 5 8 2" xfId="25213" xr:uid="{00000000-0005-0000-0000-0000C2180000}"/>
    <cellStyle name="Calculation 4 2 5 8 3" xfId="36058" xr:uid="{00000000-0005-0000-0000-0000C3180000}"/>
    <cellStyle name="Calculation 4 2 5 8 4" xfId="15700" xr:uid="{00000000-0005-0000-0000-0000C4180000}"/>
    <cellStyle name="Calculation 4 2 5 9" xfId="8900" xr:uid="{00000000-0005-0000-0000-0000C5180000}"/>
    <cellStyle name="Calculation 4 2 5 9 2" xfId="27872" xr:uid="{00000000-0005-0000-0000-0000C6180000}"/>
    <cellStyle name="Calculation 4 2 5 9 3" xfId="38717" xr:uid="{00000000-0005-0000-0000-0000C7180000}"/>
    <cellStyle name="Calculation 4 2 5 9 4" xfId="17604" xr:uid="{00000000-0005-0000-0000-0000C8180000}"/>
    <cellStyle name="Calculation 4 2 6" xfId="1063" xr:uid="{00000000-0005-0000-0000-0000C9180000}"/>
    <cellStyle name="Calculation 4 2 6 2" xfId="3916" xr:uid="{00000000-0005-0000-0000-0000CA180000}"/>
    <cellStyle name="Calculation 4 2 6 2 2" xfId="22888" xr:uid="{00000000-0005-0000-0000-0000CB180000}"/>
    <cellStyle name="Calculation 4 2 6 2 3" xfId="33733" xr:uid="{00000000-0005-0000-0000-0000CC180000}"/>
    <cellStyle name="Calculation 4 2 6 2 4" xfId="14029" xr:uid="{00000000-0005-0000-0000-0000CD180000}"/>
    <cellStyle name="Calculation 4 2 6 3" xfId="6590" xr:uid="{00000000-0005-0000-0000-0000CE180000}"/>
    <cellStyle name="Calculation 4 2 6 3 2" xfId="25562" xr:uid="{00000000-0005-0000-0000-0000CF180000}"/>
    <cellStyle name="Calculation 4 2 6 3 3" xfId="36407" xr:uid="{00000000-0005-0000-0000-0000D0180000}"/>
    <cellStyle name="Calculation 4 2 6 3 4" xfId="15945" xr:uid="{00000000-0005-0000-0000-0000D1180000}"/>
    <cellStyle name="Calculation 4 2 6 4" xfId="9249" xr:uid="{00000000-0005-0000-0000-0000D2180000}"/>
    <cellStyle name="Calculation 4 2 6 4 2" xfId="28221" xr:uid="{00000000-0005-0000-0000-0000D3180000}"/>
    <cellStyle name="Calculation 4 2 6 4 3" xfId="39066" xr:uid="{00000000-0005-0000-0000-0000D4180000}"/>
    <cellStyle name="Calculation 4 2 6 4 4" xfId="17849" xr:uid="{00000000-0005-0000-0000-0000D5180000}"/>
    <cellStyle name="Calculation 4 2 6 5" xfId="20045" xr:uid="{00000000-0005-0000-0000-0000D6180000}"/>
    <cellStyle name="Calculation 4 2 6 6" xfId="30890" xr:uid="{00000000-0005-0000-0000-0000D7180000}"/>
    <cellStyle name="Calculation 4 2 6 7" xfId="11995" xr:uid="{00000000-0005-0000-0000-0000D8180000}"/>
    <cellStyle name="Calculation 4 2 7" xfId="917" xr:uid="{00000000-0005-0000-0000-0000D9180000}"/>
    <cellStyle name="Calculation 4 2 7 2" xfId="3772" xr:uid="{00000000-0005-0000-0000-0000DA180000}"/>
    <cellStyle name="Calculation 4 2 7 2 2" xfId="22744" xr:uid="{00000000-0005-0000-0000-0000DB180000}"/>
    <cellStyle name="Calculation 4 2 7 2 3" xfId="33589" xr:uid="{00000000-0005-0000-0000-0000DC180000}"/>
    <cellStyle name="Calculation 4 2 7 2 4" xfId="13918" xr:uid="{00000000-0005-0000-0000-0000DD180000}"/>
    <cellStyle name="Calculation 4 2 7 3" xfId="6447" xr:uid="{00000000-0005-0000-0000-0000DE180000}"/>
    <cellStyle name="Calculation 4 2 7 3 2" xfId="25419" xr:uid="{00000000-0005-0000-0000-0000DF180000}"/>
    <cellStyle name="Calculation 4 2 7 3 3" xfId="36264" xr:uid="{00000000-0005-0000-0000-0000E0180000}"/>
    <cellStyle name="Calculation 4 2 7 3 4" xfId="15834" xr:uid="{00000000-0005-0000-0000-0000E1180000}"/>
    <cellStyle name="Calculation 4 2 7 4" xfId="9106" xr:uid="{00000000-0005-0000-0000-0000E2180000}"/>
    <cellStyle name="Calculation 4 2 7 4 2" xfId="28078" xr:uid="{00000000-0005-0000-0000-0000E3180000}"/>
    <cellStyle name="Calculation 4 2 7 4 3" xfId="38923" xr:uid="{00000000-0005-0000-0000-0000E4180000}"/>
    <cellStyle name="Calculation 4 2 7 4 4" xfId="17738" xr:uid="{00000000-0005-0000-0000-0000E5180000}"/>
    <cellStyle name="Calculation 4 2 7 5" xfId="19902" xr:uid="{00000000-0005-0000-0000-0000E6180000}"/>
    <cellStyle name="Calculation 4 2 7 6" xfId="30747" xr:uid="{00000000-0005-0000-0000-0000E7180000}"/>
    <cellStyle name="Calculation 4 2 7 7" xfId="11884" xr:uid="{00000000-0005-0000-0000-0000E8180000}"/>
    <cellStyle name="Calculation 4 2 8" xfId="1031" xr:uid="{00000000-0005-0000-0000-0000E9180000}"/>
    <cellStyle name="Calculation 4 2 8 2" xfId="3884" xr:uid="{00000000-0005-0000-0000-0000EA180000}"/>
    <cellStyle name="Calculation 4 2 8 2 2" xfId="22856" xr:uid="{00000000-0005-0000-0000-0000EB180000}"/>
    <cellStyle name="Calculation 4 2 8 2 3" xfId="33701" xr:uid="{00000000-0005-0000-0000-0000EC180000}"/>
    <cellStyle name="Calculation 4 2 8 2 4" xfId="14004" xr:uid="{00000000-0005-0000-0000-0000ED180000}"/>
    <cellStyle name="Calculation 4 2 8 3" xfId="6558" xr:uid="{00000000-0005-0000-0000-0000EE180000}"/>
    <cellStyle name="Calculation 4 2 8 3 2" xfId="25530" xr:uid="{00000000-0005-0000-0000-0000EF180000}"/>
    <cellStyle name="Calculation 4 2 8 3 3" xfId="36375" xr:uid="{00000000-0005-0000-0000-0000F0180000}"/>
    <cellStyle name="Calculation 4 2 8 3 4" xfId="15920" xr:uid="{00000000-0005-0000-0000-0000F1180000}"/>
    <cellStyle name="Calculation 4 2 8 4" xfId="9217" xr:uid="{00000000-0005-0000-0000-0000F2180000}"/>
    <cellStyle name="Calculation 4 2 8 4 2" xfId="28189" xr:uid="{00000000-0005-0000-0000-0000F3180000}"/>
    <cellStyle name="Calculation 4 2 8 4 3" xfId="39034" xr:uid="{00000000-0005-0000-0000-0000F4180000}"/>
    <cellStyle name="Calculation 4 2 8 4 4" xfId="17824" xr:uid="{00000000-0005-0000-0000-0000F5180000}"/>
    <cellStyle name="Calculation 4 2 8 5" xfId="20013" xr:uid="{00000000-0005-0000-0000-0000F6180000}"/>
    <cellStyle name="Calculation 4 2 8 6" xfId="30858" xr:uid="{00000000-0005-0000-0000-0000F7180000}"/>
    <cellStyle name="Calculation 4 2 8 7" xfId="11970" xr:uid="{00000000-0005-0000-0000-0000F8180000}"/>
    <cellStyle name="Calculation 4 2 9" xfId="996" xr:uid="{00000000-0005-0000-0000-0000F9180000}"/>
    <cellStyle name="Calculation 4 2 9 2" xfId="3849" xr:uid="{00000000-0005-0000-0000-0000FA180000}"/>
    <cellStyle name="Calculation 4 2 9 2 2" xfId="22821" xr:uid="{00000000-0005-0000-0000-0000FB180000}"/>
    <cellStyle name="Calculation 4 2 9 2 3" xfId="33666" xr:uid="{00000000-0005-0000-0000-0000FC180000}"/>
    <cellStyle name="Calculation 4 2 9 2 4" xfId="13979" xr:uid="{00000000-0005-0000-0000-0000FD180000}"/>
    <cellStyle name="Calculation 4 2 9 3" xfId="6524" xr:uid="{00000000-0005-0000-0000-0000FE180000}"/>
    <cellStyle name="Calculation 4 2 9 3 2" xfId="25496" xr:uid="{00000000-0005-0000-0000-0000FF180000}"/>
    <cellStyle name="Calculation 4 2 9 3 3" xfId="36341" xr:uid="{00000000-0005-0000-0000-000000190000}"/>
    <cellStyle name="Calculation 4 2 9 3 4" xfId="15895" xr:uid="{00000000-0005-0000-0000-000001190000}"/>
    <cellStyle name="Calculation 4 2 9 4" xfId="9183" xr:uid="{00000000-0005-0000-0000-000002190000}"/>
    <cellStyle name="Calculation 4 2 9 4 2" xfId="28155" xr:uid="{00000000-0005-0000-0000-000003190000}"/>
    <cellStyle name="Calculation 4 2 9 4 3" xfId="39000" xr:uid="{00000000-0005-0000-0000-000004190000}"/>
    <cellStyle name="Calculation 4 2 9 4 4" xfId="17799" xr:uid="{00000000-0005-0000-0000-000005190000}"/>
    <cellStyle name="Calculation 4 2 9 5" xfId="19979" xr:uid="{00000000-0005-0000-0000-000006190000}"/>
    <cellStyle name="Calculation 4 2 9 6" xfId="30824" xr:uid="{00000000-0005-0000-0000-000007190000}"/>
    <cellStyle name="Calculation 4 2 9 7" xfId="11945" xr:uid="{00000000-0005-0000-0000-000008190000}"/>
    <cellStyle name="Calculation 4 3" xfId="545" xr:uid="{00000000-0005-0000-0000-000009190000}"/>
    <cellStyle name="Calculation 4 3 10" xfId="19555" xr:uid="{00000000-0005-0000-0000-00000A190000}"/>
    <cellStyle name="Calculation 4 3 11" xfId="30400" xr:uid="{00000000-0005-0000-0000-00000B190000}"/>
    <cellStyle name="Calculation 4 3 12" xfId="11619" xr:uid="{00000000-0005-0000-0000-00000C190000}"/>
    <cellStyle name="Calculation 4 3 2" xfId="1151" xr:uid="{00000000-0005-0000-0000-00000D190000}"/>
    <cellStyle name="Calculation 4 3 2 2" xfId="4004" xr:uid="{00000000-0005-0000-0000-00000E190000}"/>
    <cellStyle name="Calculation 4 3 2 2 2" xfId="22976" xr:uid="{00000000-0005-0000-0000-00000F190000}"/>
    <cellStyle name="Calculation 4 3 2 2 3" xfId="33821" xr:uid="{00000000-0005-0000-0000-000010190000}"/>
    <cellStyle name="Calculation 4 3 2 2 4" xfId="14096" xr:uid="{00000000-0005-0000-0000-000011190000}"/>
    <cellStyle name="Calculation 4 3 2 3" xfId="6677" xr:uid="{00000000-0005-0000-0000-000012190000}"/>
    <cellStyle name="Calculation 4 3 2 3 2" xfId="25649" xr:uid="{00000000-0005-0000-0000-000013190000}"/>
    <cellStyle name="Calculation 4 3 2 3 3" xfId="36494" xr:uid="{00000000-0005-0000-0000-000014190000}"/>
    <cellStyle name="Calculation 4 3 2 3 4" xfId="16011" xr:uid="{00000000-0005-0000-0000-000015190000}"/>
    <cellStyle name="Calculation 4 3 2 4" xfId="9336" xr:uid="{00000000-0005-0000-0000-000016190000}"/>
    <cellStyle name="Calculation 4 3 2 4 2" xfId="28308" xr:uid="{00000000-0005-0000-0000-000017190000}"/>
    <cellStyle name="Calculation 4 3 2 4 3" xfId="39153" xr:uid="{00000000-0005-0000-0000-000018190000}"/>
    <cellStyle name="Calculation 4 3 2 4 4" xfId="17915" xr:uid="{00000000-0005-0000-0000-000019190000}"/>
    <cellStyle name="Calculation 4 3 2 5" xfId="20132" xr:uid="{00000000-0005-0000-0000-00001A190000}"/>
    <cellStyle name="Calculation 4 3 2 6" xfId="30977" xr:uid="{00000000-0005-0000-0000-00001B190000}"/>
    <cellStyle name="Calculation 4 3 2 7" xfId="12061" xr:uid="{00000000-0005-0000-0000-00001C190000}"/>
    <cellStyle name="Calculation 4 3 3" xfId="1548" xr:uid="{00000000-0005-0000-0000-00001D190000}"/>
    <cellStyle name="Calculation 4 3 3 2" xfId="4401" xr:uid="{00000000-0005-0000-0000-00001E190000}"/>
    <cellStyle name="Calculation 4 3 3 2 2" xfId="23373" xr:uid="{00000000-0005-0000-0000-00001F190000}"/>
    <cellStyle name="Calculation 4 3 3 2 3" xfId="34218" xr:uid="{00000000-0005-0000-0000-000020190000}"/>
    <cellStyle name="Calculation 4 3 3 2 4" xfId="14382" xr:uid="{00000000-0005-0000-0000-000021190000}"/>
    <cellStyle name="Calculation 4 3 3 3" xfId="7073" xr:uid="{00000000-0005-0000-0000-000022190000}"/>
    <cellStyle name="Calculation 4 3 3 3 2" xfId="26045" xr:uid="{00000000-0005-0000-0000-000023190000}"/>
    <cellStyle name="Calculation 4 3 3 3 3" xfId="36890" xr:uid="{00000000-0005-0000-0000-000024190000}"/>
    <cellStyle name="Calculation 4 3 3 3 4" xfId="16296" xr:uid="{00000000-0005-0000-0000-000025190000}"/>
    <cellStyle name="Calculation 4 3 3 4" xfId="9732" xr:uid="{00000000-0005-0000-0000-000026190000}"/>
    <cellStyle name="Calculation 4 3 3 4 2" xfId="28704" xr:uid="{00000000-0005-0000-0000-000027190000}"/>
    <cellStyle name="Calculation 4 3 3 4 3" xfId="39549" xr:uid="{00000000-0005-0000-0000-000028190000}"/>
    <cellStyle name="Calculation 4 3 3 4 4" xfId="18200" xr:uid="{00000000-0005-0000-0000-000029190000}"/>
    <cellStyle name="Calculation 4 3 3 5" xfId="20528" xr:uid="{00000000-0005-0000-0000-00002A190000}"/>
    <cellStyle name="Calculation 4 3 3 6" xfId="31373" xr:uid="{00000000-0005-0000-0000-00002B190000}"/>
    <cellStyle name="Calculation 4 3 3 7" xfId="12346" xr:uid="{00000000-0005-0000-0000-00002C190000}"/>
    <cellStyle name="Calculation 4 3 4" xfId="1952" xr:uid="{00000000-0005-0000-0000-00002D190000}"/>
    <cellStyle name="Calculation 4 3 4 2" xfId="4805" xr:uid="{00000000-0005-0000-0000-00002E190000}"/>
    <cellStyle name="Calculation 4 3 4 2 2" xfId="23777" xr:uid="{00000000-0005-0000-0000-00002F190000}"/>
    <cellStyle name="Calculation 4 3 4 2 3" xfId="34622" xr:uid="{00000000-0005-0000-0000-000030190000}"/>
    <cellStyle name="Calculation 4 3 4 2 4" xfId="14670" xr:uid="{00000000-0005-0000-0000-000031190000}"/>
    <cellStyle name="Calculation 4 3 4 3" xfId="7477" xr:uid="{00000000-0005-0000-0000-000032190000}"/>
    <cellStyle name="Calculation 4 3 4 3 2" xfId="26449" xr:uid="{00000000-0005-0000-0000-000033190000}"/>
    <cellStyle name="Calculation 4 3 4 3 3" xfId="37294" xr:uid="{00000000-0005-0000-0000-000034190000}"/>
    <cellStyle name="Calculation 4 3 4 3 4" xfId="16584" xr:uid="{00000000-0005-0000-0000-000035190000}"/>
    <cellStyle name="Calculation 4 3 4 4" xfId="10136" xr:uid="{00000000-0005-0000-0000-000036190000}"/>
    <cellStyle name="Calculation 4 3 4 4 2" xfId="29108" xr:uid="{00000000-0005-0000-0000-000037190000}"/>
    <cellStyle name="Calculation 4 3 4 4 3" xfId="39953" xr:uid="{00000000-0005-0000-0000-000038190000}"/>
    <cellStyle name="Calculation 4 3 4 4 4" xfId="18488" xr:uid="{00000000-0005-0000-0000-000039190000}"/>
    <cellStyle name="Calculation 4 3 4 5" xfId="20932" xr:uid="{00000000-0005-0000-0000-00003A190000}"/>
    <cellStyle name="Calculation 4 3 4 6" xfId="31777" xr:uid="{00000000-0005-0000-0000-00003B190000}"/>
    <cellStyle name="Calculation 4 3 4 7" xfId="12634" xr:uid="{00000000-0005-0000-0000-00003C190000}"/>
    <cellStyle name="Calculation 4 3 5" xfId="2344" xr:uid="{00000000-0005-0000-0000-00003D190000}"/>
    <cellStyle name="Calculation 4 3 5 2" xfId="5197" xr:uid="{00000000-0005-0000-0000-00003E190000}"/>
    <cellStyle name="Calculation 4 3 5 2 2" xfId="24169" xr:uid="{00000000-0005-0000-0000-00003F190000}"/>
    <cellStyle name="Calculation 4 3 5 2 3" xfId="35014" xr:uid="{00000000-0005-0000-0000-000040190000}"/>
    <cellStyle name="Calculation 4 3 5 2 4" xfId="14951" xr:uid="{00000000-0005-0000-0000-000041190000}"/>
    <cellStyle name="Calculation 4 3 5 3" xfId="7868" xr:uid="{00000000-0005-0000-0000-000042190000}"/>
    <cellStyle name="Calculation 4 3 5 3 2" xfId="26840" xr:uid="{00000000-0005-0000-0000-000043190000}"/>
    <cellStyle name="Calculation 4 3 5 3 3" xfId="37685" xr:uid="{00000000-0005-0000-0000-000044190000}"/>
    <cellStyle name="Calculation 4 3 5 3 4" xfId="16864" xr:uid="{00000000-0005-0000-0000-000045190000}"/>
    <cellStyle name="Calculation 4 3 5 4" xfId="10527" xr:uid="{00000000-0005-0000-0000-000046190000}"/>
    <cellStyle name="Calculation 4 3 5 4 2" xfId="29499" xr:uid="{00000000-0005-0000-0000-000047190000}"/>
    <cellStyle name="Calculation 4 3 5 4 3" xfId="40344" xr:uid="{00000000-0005-0000-0000-000048190000}"/>
    <cellStyle name="Calculation 4 3 5 4 4" xfId="18768" xr:uid="{00000000-0005-0000-0000-000049190000}"/>
    <cellStyle name="Calculation 4 3 5 5" xfId="21323" xr:uid="{00000000-0005-0000-0000-00004A190000}"/>
    <cellStyle name="Calculation 4 3 5 6" xfId="32168" xr:uid="{00000000-0005-0000-0000-00004B190000}"/>
    <cellStyle name="Calculation 4 3 5 7" xfId="12914" xr:uid="{00000000-0005-0000-0000-00004C190000}"/>
    <cellStyle name="Calculation 4 3 6" xfId="2733" xr:uid="{00000000-0005-0000-0000-00004D190000}"/>
    <cellStyle name="Calculation 4 3 6 2" xfId="5585" xr:uid="{00000000-0005-0000-0000-00004E190000}"/>
    <cellStyle name="Calculation 4 3 6 2 2" xfId="24557" xr:uid="{00000000-0005-0000-0000-00004F190000}"/>
    <cellStyle name="Calculation 4 3 6 2 3" xfId="35402" xr:uid="{00000000-0005-0000-0000-000050190000}"/>
    <cellStyle name="Calculation 4 3 6 2 4" xfId="15229" xr:uid="{00000000-0005-0000-0000-000051190000}"/>
    <cellStyle name="Calculation 4 3 6 3" xfId="8256" xr:uid="{00000000-0005-0000-0000-000052190000}"/>
    <cellStyle name="Calculation 4 3 6 3 2" xfId="27228" xr:uid="{00000000-0005-0000-0000-000053190000}"/>
    <cellStyle name="Calculation 4 3 6 3 3" xfId="38073" xr:uid="{00000000-0005-0000-0000-000054190000}"/>
    <cellStyle name="Calculation 4 3 6 3 4" xfId="17142" xr:uid="{00000000-0005-0000-0000-000055190000}"/>
    <cellStyle name="Calculation 4 3 6 4" xfId="10915" xr:uid="{00000000-0005-0000-0000-000056190000}"/>
    <cellStyle name="Calculation 4 3 6 4 2" xfId="29887" xr:uid="{00000000-0005-0000-0000-000057190000}"/>
    <cellStyle name="Calculation 4 3 6 4 3" xfId="40732" xr:uid="{00000000-0005-0000-0000-000058190000}"/>
    <cellStyle name="Calculation 4 3 6 4 4" xfId="19046" xr:uid="{00000000-0005-0000-0000-000059190000}"/>
    <cellStyle name="Calculation 4 3 6 5" xfId="21711" xr:uid="{00000000-0005-0000-0000-00005A190000}"/>
    <cellStyle name="Calculation 4 3 6 6" xfId="32556" xr:uid="{00000000-0005-0000-0000-00005B190000}"/>
    <cellStyle name="Calculation 4 3 6 7" xfId="13192" xr:uid="{00000000-0005-0000-0000-00005C190000}"/>
    <cellStyle name="Calculation 4 3 7" xfId="3424" xr:uid="{00000000-0005-0000-0000-00005D190000}"/>
    <cellStyle name="Calculation 4 3 7 2" xfId="22396" xr:uid="{00000000-0005-0000-0000-00005E190000}"/>
    <cellStyle name="Calculation 4 3 7 3" xfId="33241" xr:uid="{00000000-0005-0000-0000-00005F190000}"/>
    <cellStyle name="Calculation 4 3 7 4" xfId="13674" xr:uid="{00000000-0005-0000-0000-000060190000}"/>
    <cellStyle name="Calculation 4 3 8" xfId="6100" xr:uid="{00000000-0005-0000-0000-000061190000}"/>
    <cellStyle name="Calculation 4 3 8 2" xfId="25072" xr:uid="{00000000-0005-0000-0000-000062190000}"/>
    <cellStyle name="Calculation 4 3 8 3" xfId="35917" xr:uid="{00000000-0005-0000-0000-000063190000}"/>
    <cellStyle name="Calculation 4 3 8 4" xfId="15591" xr:uid="{00000000-0005-0000-0000-000064190000}"/>
    <cellStyle name="Calculation 4 3 9" xfId="8759" xr:uid="{00000000-0005-0000-0000-000065190000}"/>
    <cellStyle name="Calculation 4 3 9 2" xfId="27731" xr:uid="{00000000-0005-0000-0000-000066190000}"/>
    <cellStyle name="Calculation 4 3 9 3" xfId="38576" xr:uid="{00000000-0005-0000-0000-000067190000}"/>
    <cellStyle name="Calculation 4 3 9 4" xfId="17495" xr:uid="{00000000-0005-0000-0000-000068190000}"/>
    <cellStyle name="Calculation 4 4" xfId="11437" xr:uid="{00000000-0005-0000-0000-000069190000}"/>
    <cellStyle name="Calculation 5" xfId="246" xr:uid="{00000000-0005-0000-0000-00006A190000}"/>
    <cellStyle name="Calculation 5 2" xfId="421" xr:uid="{00000000-0005-0000-0000-00006B190000}"/>
    <cellStyle name="Calculation 5 2 10" xfId="2703" xr:uid="{00000000-0005-0000-0000-00006C190000}"/>
    <cellStyle name="Calculation 5 2 10 2" xfId="5555" xr:uid="{00000000-0005-0000-0000-00006D190000}"/>
    <cellStyle name="Calculation 5 2 10 2 2" xfId="24527" xr:uid="{00000000-0005-0000-0000-00006E190000}"/>
    <cellStyle name="Calculation 5 2 10 2 3" xfId="35372" xr:uid="{00000000-0005-0000-0000-00006F190000}"/>
    <cellStyle name="Calculation 5 2 10 2 4" xfId="15206" xr:uid="{00000000-0005-0000-0000-000070190000}"/>
    <cellStyle name="Calculation 5 2 10 3" xfId="8226" xr:uid="{00000000-0005-0000-0000-000071190000}"/>
    <cellStyle name="Calculation 5 2 10 3 2" xfId="27198" xr:uid="{00000000-0005-0000-0000-000072190000}"/>
    <cellStyle name="Calculation 5 2 10 3 3" xfId="38043" xr:uid="{00000000-0005-0000-0000-000073190000}"/>
    <cellStyle name="Calculation 5 2 10 3 4" xfId="17119" xr:uid="{00000000-0005-0000-0000-000074190000}"/>
    <cellStyle name="Calculation 5 2 10 4" xfId="10885" xr:uid="{00000000-0005-0000-0000-000075190000}"/>
    <cellStyle name="Calculation 5 2 10 4 2" xfId="29857" xr:uid="{00000000-0005-0000-0000-000076190000}"/>
    <cellStyle name="Calculation 5 2 10 4 3" xfId="40702" xr:uid="{00000000-0005-0000-0000-000077190000}"/>
    <cellStyle name="Calculation 5 2 10 4 4" xfId="19023" xr:uid="{00000000-0005-0000-0000-000078190000}"/>
    <cellStyle name="Calculation 5 2 10 5" xfId="21681" xr:uid="{00000000-0005-0000-0000-000079190000}"/>
    <cellStyle name="Calculation 5 2 10 6" xfId="32526" xr:uid="{00000000-0005-0000-0000-00007A190000}"/>
    <cellStyle name="Calculation 5 2 10 7" xfId="13169" xr:uid="{00000000-0005-0000-0000-00007B190000}"/>
    <cellStyle name="Calculation 5 2 11" xfId="3088" xr:uid="{00000000-0005-0000-0000-00007C190000}"/>
    <cellStyle name="Calculation 5 2 11 2" xfId="5939" xr:uid="{00000000-0005-0000-0000-00007D190000}"/>
    <cellStyle name="Calculation 5 2 11 2 2" xfId="24911" xr:uid="{00000000-0005-0000-0000-00007E190000}"/>
    <cellStyle name="Calculation 5 2 11 2 3" xfId="35756" xr:uid="{00000000-0005-0000-0000-00007F190000}"/>
    <cellStyle name="Calculation 5 2 11 2 4" xfId="15481" xr:uid="{00000000-0005-0000-0000-000080190000}"/>
    <cellStyle name="Calculation 5 2 11 3" xfId="8610" xr:uid="{00000000-0005-0000-0000-000081190000}"/>
    <cellStyle name="Calculation 5 2 11 3 2" xfId="27582" xr:uid="{00000000-0005-0000-0000-000082190000}"/>
    <cellStyle name="Calculation 5 2 11 3 3" xfId="38427" xr:uid="{00000000-0005-0000-0000-000083190000}"/>
    <cellStyle name="Calculation 5 2 11 3 4" xfId="17394" xr:uid="{00000000-0005-0000-0000-000084190000}"/>
    <cellStyle name="Calculation 5 2 11 4" xfId="11269" xr:uid="{00000000-0005-0000-0000-000085190000}"/>
    <cellStyle name="Calculation 5 2 11 4 2" xfId="30241" xr:uid="{00000000-0005-0000-0000-000086190000}"/>
    <cellStyle name="Calculation 5 2 11 4 3" xfId="41086" xr:uid="{00000000-0005-0000-0000-000087190000}"/>
    <cellStyle name="Calculation 5 2 11 4 4" xfId="19298" xr:uid="{00000000-0005-0000-0000-000088190000}"/>
    <cellStyle name="Calculation 5 2 11 5" xfId="22065" xr:uid="{00000000-0005-0000-0000-000089190000}"/>
    <cellStyle name="Calculation 5 2 11 6" xfId="32910" xr:uid="{00000000-0005-0000-0000-00008A190000}"/>
    <cellStyle name="Calculation 5 2 11 7" xfId="13444" xr:uid="{00000000-0005-0000-0000-00008B190000}"/>
    <cellStyle name="Calculation 5 2 12" xfId="3145" xr:uid="{00000000-0005-0000-0000-00008C190000}"/>
    <cellStyle name="Calculation 5 2 12 2" xfId="5996" xr:uid="{00000000-0005-0000-0000-00008D190000}"/>
    <cellStyle name="Calculation 5 2 12 2 2" xfId="24968" xr:uid="{00000000-0005-0000-0000-00008E190000}"/>
    <cellStyle name="Calculation 5 2 12 2 3" xfId="35813" xr:uid="{00000000-0005-0000-0000-00008F190000}"/>
    <cellStyle name="Calculation 5 2 12 2 4" xfId="15518" xr:uid="{00000000-0005-0000-0000-000090190000}"/>
    <cellStyle name="Calculation 5 2 12 3" xfId="8667" xr:uid="{00000000-0005-0000-0000-000091190000}"/>
    <cellStyle name="Calculation 5 2 12 3 2" xfId="27639" xr:uid="{00000000-0005-0000-0000-000092190000}"/>
    <cellStyle name="Calculation 5 2 12 3 3" xfId="38484" xr:uid="{00000000-0005-0000-0000-000093190000}"/>
    <cellStyle name="Calculation 5 2 12 3 4" xfId="17431" xr:uid="{00000000-0005-0000-0000-000094190000}"/>
    <cellStyle name="Calculation 5 2 12 4" xfId="11326" xr:uid="{00000000-0005-0000-0000-000095190000}"/>
    <cellStyle name="Calculation 5 2 12 4 2" xfId="30298" xr:uid="{00000000-0005-0000-0000-000096190000}"/>
    <cellStyle name="Calculation 5 2 12 4 3" xfId="41143" xr:uid="{00000000-0005-0000-0000-000097190000}"/>
    <cellStyle name="Calculation 5 2 12 4 4" xfId="19335" xr:uid="{00000000-0005-0000-0000-000098190000}"/>
    <cellStyle name="Calculation 5 2 12 5" xfId="22122" xr:uid="{00000000-0005-0000-0000-000099190000}"/>
    <cellStyle name="Calculation 5 2 12 6" xfId="32967" xr:uid="{00000000-0005-0000-0000-00009A190000}"/>
    <cellStyle name="Calculation 5 2 12 7" xfId="13481" xr:uid="{00000000-0005-0000-0000-00009B190000}"/>
    <cellStyle name="Calculation 5 2 13" xfId="3202" xr:uid="{00000000-0005-0000-0000-00009C190000}"/>
    <cellStyle name="Calculation 5 2 13 2" xfId="6053" xr:uid="{00000000-0005-0000-0000-00009D190000}"/>
    <cellStyle name="Calculation 5 2 13 2 2" xfId="25025" xr:uid="{00000000-0005-0000-0000-00009E190000}"/>
    <cellStyle name="Calculation 5 2 13 2 3" xfId="35870" xr:uid="{00000000-0005-0000-0000-00009F190000}"/>
    <cellStyle name="Calculation 5 2 13 2 4" xfId="15555" xr:uid="{00000000-0005-0000-0000-0000A0190000}"/>
    <cellStyle name="Calculation 5 2 13 3" xfId="8724" xr:uid="{00000000-0005-0000-0000-0000A1190000}"/>
    <cellStyle name="Calculation 5 2 13 3 2" xfId="27696" xr:uid="{00000000-0005-0000-0000-0000A2190000}"/>
    <cellStyle name="Calculation 5 2 13 3 3" xfId="38541" xr:uid="{00000000-0005-0000-0000-0000A3190000}"/>
    <cellStyle name="Calculation 5 2 13 3 4" xfId="17468" xr:uid="{00000000-0005-0000-0000-0000A4190000}"/>
    <cellStyle name="Calculation 5 2 13 4" xfId="11383" xr:uid="{00000000-0005-0000-0000-0000A5190000}"/>
    <cellStyle name="Calculation 5 2 13 4 2" xfId="30355" xr:uid="{00000000-0005-0000-0000-0000A6190000}"/>
    <cellStyle name="Calculation 5 2 13 4 3" xfId="41200" xr:uid="{00000000-0005-0000-0000-0000A7190000}"/>
    <cellStyle name="Calculation 5 2 13 4 4" xfId="19372" xr:uid="{00000000-0005-0000-0000-0000A8190000}"/>
    <cellStyle name="Calculation 5 2 13 5" xfId="22179" xr:uid="{00000000-0005-0000-0000-0000A9190000}"/>
    <cellStyle name="Calculation 5 2 13 6" xfId="33024" xr:uid="{00000000-0005-0000-0000-0000AA190000}"/>
    <cellStyle name="Calculation 5 2 13 7" xfId="13518" xr:uid="{00000000-0005-0000-0000-0000AB190000}"/>
    <cellStyle name="Calculation 5 2 14" xfId="3371" xr:uid="{00000000-0005-0000-0000-0000AC190000}"/>
    <cellStyle name="Calculation 5 2 14 2" xfId="22345" xr:uid="{00000000-0005-0000-0000-0000AD190000}"/>
    <cellStyle name="Calculation 5 2 14 3" xfId="33190" xr:uid="{00000000-0005-0000-0000-0000AE190000}"/>
    <cellStyle name="Calculation 5 2 14 4" xfId="13635" xr:uid="{00000000-0005-0000-0000-0000AF190000}"/>
    <cellStyle name="Calculation 5 2 15" xfId="3243" xr:uid="{00000000-0005-0000-0000-0000B0190000}"/>
    <cellStyle name="Calculation 5 2 15 2" xfId="22220" xr:uid="{00000000-0005-0000-0000-0000B1190000}"/>
    <cellStyle name="Calculation 5 2 15 3" xfId="33065" xr:uid="{00000000-0005-0000-0000-0000B2190000}"/>
    <cellStyle name="Calculation 5 2 15 4" xfId="13547" xr:uid="{00000000-0005-0000-0000-0000B3190000}"/>
    <cellStyle name="Calculation 5 2 16" xfId="3313" xr:uid="{00000000-0005-0000-0000-0000B4190000}"/>
    <cellStyle name="Calculation 5 2 16 2" xfId="22287" xr:uid="{00000000-0005-0000-0000-0000B5190000}"/>
    <cellStyle name="Calculation 5 2 16 3" xfId="33132" xr:uid="{00000000-0005-0000-0000-0000B6190000}"/>
    <cellStyle name="Calculation 5 2 16 4" xfId="13597" xr:uid="{00000000-0005-0000-0000-0000B7190000}"/>
    <cellStyle name="Calculation 5 2 17" xfId="19499" xr:uid="{00000000-0005-0000-0000-0000B8190000}"/>
    <cellStyle name="Calculation 5 2 18" xfId="19411" xr:uid="{00000000-0005-0000-0000-0000B9190000}"/>
    <cellStyle name="Calculation 5 2 19" xfId="11548" xr:uid="{00000000-0005-0000-0000-0000BA190000}"/>
    <cellStyle name="Calculation 5 2 2" xfId="712" xr:uid="{00000000-0005-0000-0000-0000BB190000}"/>
    <cellStyle name="Calculation 5 2 2 10" xfId="19697" xr:uid="{00000000-0005-0000-0000-0000BC190000}"/>
    <cellStyle name="Calculation 5 2 2 11" xfId="30542" xr:uid="{00000000-0005-0000-0000-0000BD190000}"/>
    <cellStyle name="Calculation 5 2 2 12" xfId="11751" xr:uid="{00000000-0005-0000-0000-0000BE190000}"/>
    <cellStyle name="Calculation 5 2 2 2" xfId="1299" xr:uid="{00000000-0005-0000-0000-0000BF190000}"/>
    <cellStyle name="Calculation 5 2 2 2 2" xfId="4152" xr:uid="{00000000-0005-0000-0000-0000C0190000}"/>
    <cellStyle name="Calculation 5 2 2 2 2 2" xfId="23124" xr:uid="{00000000-0005-0000-0000-0000C1190000}"/>
    <cellStyle name="Calculation 5 2 2 2 2 3" xfId="33969" xr:uid="{00000000-0005-0000-0000-0000C2190000}"/>
    <cellStyle name="Calculation 5 2 2 2 2 4" xfId="14212" xr:uid="{00000000-0005-0000-0000-0000C3190000}"/>
    <cellStyle name="Calculation 5 2 2 2 3" xfId="6825" xr:uid="{00000000-0005-0000-0000-0000C4190000}"/>
    <cellStyle name="Calculation 5 2 2 2 3 2" xfId="25797" xr:uid="{00000000-0005-0000-0000-0000C5190000}"/>
    <cellStyle name="Calculation 5 2 2 2 3 3" xfId="36642" xr:uid="{00000000-0005-0000-0000-0000C6190000}"/>
    <cellStyle name="Calculation 5 2 2 2 3 4" xfId="16127" xr:uid="{00000000-0005-0000-0000-0000C7190000}"/>
    <cellStyle name="Calculation 5 2 2 2 4" xfId="9484" xr:uid="{00000000-0005-0000-0000-0000C8190000}"/>
    <cellStyle name="Calculation 5 2 2 2 4 2" xfId="28456" xr:uid="{00000000-0005-0000-0000-0000C9190000}"/>
    <cellStyle name="Calculation 5 2 2 2 4 3" xfId="39301" xr:uid="{00000000-0005-0000-0000-0000CA190000}"/>
    <cellStyle name="Calculation 5 2 2 2 4 4" xfId="18031" xr:uid="{00000000-0005-0000-0000-0000CB190000}"/>
    <cellStyle name="Calculation 5 2 2 2 5" xfId="20280" xr:uid="{00000000-0005-0000-0000-0000CC190000}"/>
    <cellStyle name="Calculation 5 2 2 2 6" xfId="31125" xr:uid="{00000000-0005-0000-0000-0000CD190000}"/>
    <cellStyle name="Calculation 5 2 2 2 7" xfId="12177" xr:uid="{00000000-0005-0000-0000-0000CE190000}"/>
    <cellStyle name="Calculation 5 2 2 3" xfId="1698" xr:uid="{00000000-0005-0000-0000-0000CF190000}"/>
    <cellStyle name="Calculation 5 2 2 3 2" xfId="4551" xr:uid="{00000000-0005-0000-0000-0000D0190000}"/>
    <cellStyle name="Calculation 5 2 2 3 2 2" xfId="23523" xr:uid="{00000000-0005-0000-0000-0000D1190000}"/>
    <cellStyle name="Calculation 5 2 2 3 2 3" xfId="34368" xr:uid="{00000000-0005-0000-0000-0000D2190000}"/>
    <cellStyle name="Calculation 5 2 2 3 2 4" xfId="14499" xr:uid="{00000000-0005-0000-0000-0000D3190000}"/>
    <cellStyle name="Calculation 5 2 2 3 3" xfId="7223" xr:uid="{00000000-0005-0000-0000-0000D4190000}"/>
    <cellStyle name="Calculation 5 2 2 3 3 2" xfId="26195" xr:uid="{00000000-0005-0000-0000-0000D5190000}"/>
    <cellStyle name="Calculation 5 2 2 3 3 3" xfId="37040" xr:uid="{00000000-0005-0000-0000-0000D6190000}"/>
    <cellStyle name="Calculation 5 2 2 3 3 4" xfId="16413" xr:uid="{00000000-0005-0000-0000-0000D7190000}"/>
    <cellStyle name="Calculation 5 2 2 3 4" xfId="9882" xr:uid="{00000000-0005-0000-0000-0000D8190000}"/>
    <cellStyle name="Calculation 5 2 2 3 4 2" xfId="28854" xr:uid="{00000000-0005-0000-0000-0000D9190000}"/>
    <cellStyle name="Calculation 5 2 2 3 4 3" xfId="39699" xr:uid="{00000000-0005-0000-0000-0000DA190000}"/>
    <cellStyle name="Calculation 5 2 2 3 4 4" xfId="18317" xr:uid="{00000000-0005-0000-0000-0000DB190000}"/>
    <cellStyle name="Calculation 5 2 2 3 5" xfId="20678" xr:uid="{00000000-0005-0000-0000-0000DC190000}"/>
    <cellStyle name="Calculation 5 2 2 3 6" xfId="31523" xr:uid="{00000000-0005-0000-0000-0000DD190000}"/>
    <cellStyle name="Calculation 5 2 2 3 7" xfId="12463" xr:uid="{00000000-0005-0000-0000-0000DE190000}"/>
    <cellStyle name="Calculation 5 2 2 4" xfId="2102" xr:uid="{00000000-0005-0000-0000-0000DF190000}"/>
    <cellStyle name="Calculation 5 2 2 4 2" xfId="4955" xr:uid="{00000000-0005-0000-0000-0000E0190000}"/>
    <cellStyle name="Calculation 5 2 2 4 2 2" xfId="23927" xr:uid="{00000000-0005-0000-0000-0000E1190000}"/>
    <cellStyle name="Calculation 5 2 2 4 2 3" xfId="34772" xr:uid="{00000000-0005-0000-0000-0000E2190000}"/>
    <cellStyle name="Calculation 5 2 2 4 2 4" xfId="14786" xr:uid="{00000000-0005-0000-0000-0000E3190000}"/>
    <cellStyle name="Calculation 5 2 2 4 3" xfId="7626" xr:uid="{00000000-0005-0000-0000-0000E4190000}"/>
    <cellStyle name="Calculation 5 2 2 4 3 2" xfId="26598" xr:uid="{00000000-0005-0000-0000-0000E5190000}"/>
    <cellStyle name="Calculation 5 2 2 4 3 3" xfId="37443" xr:uid="{00000000-0005-0000-0000-0000E6190000}"/>
    <cellStyle name="Calculation 5 2 2 4 3 4" xfId="16699" xr:uid="{00000000-0005-0000-0000-0000E7190000}"/>
    <cellStyle name="Calculation 5 2 2 4 4" xfId="10285" xr:uid="{00000000-0005-0000-0000-0000E8190000}"/>
    <cellStyle name="Calculation 5 2 2 4 4 2" xfId="29257" xr:uid="{00000000-0005-0000-0000-0000E9190000}"/>
    <cellStyle name="Calculation 5 2 2 4 4 3" xfId="40102" xr:uid="{00000000-0005-0000-0000-0000EA190000}"/>
    <cellStyle name="Calculation 5 2 2 4 4 4" xfId="18603" xr:uid="{00000000-0005-0000-0000-0000EB190000}"/>
    <cellStyle name="Calculation 5 2 2 4 5" xfId="21081" xr:uid="{00000000-0005-0000-0000-0000EC190000}"/>
    <cellStyle name="Calculation 5 2 2 4 6" xfId="31926" xr:uid="{00000000-0005-0000-0000-0000ED190000}"/>
    <cellStyle name="Calculation 5 2 2 4 7" xfId="12749" xr:uid="{00000000-0005-0000-0000-0000EE190000}"/>
    <cellStyle name="Calculation 5 2 2 5" xfId="2492" xr:uid="{00000000-0005-0000-0000-0000EF190000}"/>
    <cellStyle name="Calculation 5 2 2 5 2" xfId="5344" xr:uid="{00000000-0005-0000-0000-0000F0190000}"/>
    <cellStyle name="Calculation 5 2 2 5 2 2" xfId="24316" xr:uid="{00000000-0005-0000-0000-0000F1190000}"/>
    <cellStyle name="Calculation 5 2 2 5 2 3" xfId="35161" xr:uid="{00000000-0005-0000-0000-0000F2190000}"/>
    <cellStyle name="Calculation 5 2 2 5 2 4" xfId="15065" xr:uid="{00000000-0005-0000-0000-0000F3190000}"/>
    <cellStyle name="Calculation 5 2 2 5 3" xfId="8015" xr:uid="{00000000-0005-0000-0000-0000F4190000}"/>
    <cellStyle name="Calculation 5 2 2 5 3 2" xfId="26987" xr:uid="{00000000-0005-0000-0000-0000F5190000}"/>
    <cellStyle name="Calculation 5 2 2 5 3 3" xfId="37832" xr:uid="{00000000-0005-0000-0000-0000F6190000}"/>
    <cellStyle name="Calculation 5 2 2 5 3 4" xfId="16978" xr:uid="{00000000-0005-0000-0000-0000F7190000}"/>
    <cellStyle name="Calculation 5 2 2 5 4" xfId="10674" xr:uid="{00000000-0005-0000-0000-0000F8190000}"/>
    <cellStyle name="Calculation 5 2 2 5 4 2" xfId="29646" xr:uid="{00000000-0005-0000-0000-0000F9190000}"/>
    <cellStyle name="Calculation 5 2 2 5 4 3" xfId="40491" xr:uid="{00000000-0005-0000-0000-0000FA190000}"/>
    <cellStyle name="Calculation 5 2 2 5 4 4" xfId="18882" xr:uid="{00000000-0005-0000-0000-0000FB190000}"/>
    <cellStyle name="Calculation 5 2 2 5 5" xfId="21470" xr:uid="{00000000-0005-0000-0000-0000FC190000}"/>
    <cellStyle name="Calculation 5 2 2 5 6" xfId="32315" xr:uid="{00000000-0005-0000-0000-0000FD190000}"/>
    <cellStyle name="Calculation 5 2 2 5 7" xfId="13028" xr:uid="{00000000-0005-0000-0000-0000FE190000}"/>
    <cellStyle name="Calculation 5 2 2 6" xfId="2878" xr:uid="{00000000-0005-0000-0000-0000FF190000}"/>
    <cellStyle name="Calculation 5 2 2 6 2" xfId="5729" xr:uid="{00000000-0005-0000-0000-0000001A0000}"/>
    <cellStyle name="Calculation 5 2 2 6 2 2" xfId="24701" xr:uid="{00000000-0005-0000-0000-0000011A0000}"/>
    <cellStyle name="Calculation 5 2 2 6 2 3" xfId="35546" xr:uid="{00000000-0005-0000-0000-0000021A0000}"/>
    <cellStyle name="Calculation 5 2 2 6 2 4" xfId="15341" xr:uid="{00000000-0005-0000-0000-0000031A0000}"/>
    <cellStyle name="Calculation 5 2 2 6 3" xfId="8400" xr:uid="{00000000-0005-0000-0000-0000041A0000}"/>
    <cellStyle name="Calculation 5 2 2 6 3 2" xfId="27372" xr:uid="{00000000-0005-0000-0000-0000051A0000}"/>
    <cellStyle name="Calculation 5 2 2 6 3 3" xfId="38217" xr:uid="{00000000-0005-0000-0000-0000061A0000}"/>
    <cellStyle name="Calculation 5 2 2 6 3 4" xfId="17254" xr:uid="{00000000-0005-0000-0000-0000071A0000}"/>
    <cellStyle name="Calculation 5 2 2 6 4" xfId="11059" xr:uid="{00000000-0005-0000-0000-0000081A0000}"/>
    <cellStyle name="Calculation 5 2 2 6 4 2" xfId="30031" xr:uid="{00000000-0005-0000-0000-0000091A0000}"/>
    <cellStyle name="Calculation 5 2 2 6 4 3" xfId="40876" xr:uid="{00000000-0005-0000-0000-00000A1A0000}"/>
    <cellStyle name="Calculation 5 2 2 6 4 4" xfId="19158" xr:uid="{00000000-0005-0000-0000-00000B1A0000}"/>
    <cellStyle name="Calculation 5 2 2 6 5" xfId="21855" xr:uid="{00000000-0005-0000-0000-00000C1A0000}"/>
    <cellStyle name="Calculation 5 2 2 6 6" xfId="32700" xr:uid="{00000000-0005-0000-0000-00000D1A0000}"/>
    <cellStyle name="Calculation 5 2 2 6 7" xfId="13304" xr:uid="{00000000-0005-0000-0000-00000E1A0000}"/>
    <cellStyle name="Calculation 5 2 2 7" xfId="3567" xr:uid="{00000000-0005-0000-0000-00000F1A0000}"/>
    <cellStyle name="Calculation 5 2 2 7 2" xfId="22539" xr:uid="{00000000-0005-0000-0000-0000101A0000}"/>
    <cellStyle name="Calculation 5 2 2 7 3" xfId="33384" xr:uid="{00000000-0005-0000-0000-0000111A0000}"/>
    <cellStyle name="Calculation 5 2 2 7 4" xfId="13785" xr:uid="{00000000-0005-0000-0000-0000121A0000}"/>
    <cellStyle name="Calculation 5 2 2 8" xfId="6242" xr:uid="{00000000-0005-0000-0000-0000131A0000}"/>
    <cellStyle name="Calculation 5 2 2 8 2" xfId="25214" xr:uid="{00000000-0005-0000-0000-0000141A0000}"/>
    <cellStyle name="Calculation 5 2 2 8 3" xfId="36059" xr:uid="{00000000-0005-0000-0000-0000151A0000}"/>
    <cellStyle name="Calculation 5 2 2 8 4" xfId="15701" xr:uid="{00000000-0005-0000-0000-0000161A0000}"/>
    <cellStyle name="Calculation 5 2 2 9" xfId="8901" xr:uid="{00000000-0005-0000-0000-0000171A0000}"/>
    <cellStyle name="Calculation 5 2 2 9 2" xfId="27873" xr:uid="{00000000-0005-0000-0000-0000181A0000}"/>
    <cellStyle name="Calculation 5 2 2 9 3" xfId="38718" xr:uid="{00000000-0005-0000-0000-0000191A0000}"/>
    <cellStyle name="Calculation 5 2 2 9 4" xfId="17605" xr:uid="{00000000-0005-0000-0000-00001A1A0000}"/>
    <cellStyle name="Calculation 5 2 3" xfId="771" xr:uid="{00000000-0005-0000-0000-00001B1A0000}"/>
    <cellStyle name="Calculation 5 2 3 10" xfId="19756" xr:uid="{00000000-0005-0000-0000-00001C1A0000}"/>
    <cellStyle name="Calculation 5 2 3 11" xfId="30601" xr:uid="{00000000-0005-0000-0000-00001D1A0000}"/>
    <cellStyle name="Calculation 5 2 3 12" xfId="11790" xr:uid="{00000000-0005-0000-0000-00001E1A0000}"/>
    <cellStyle name="Calculation 5 2 3 2" xfId="1358" xr:uid="{00000000-0005-0000-0000-00001F1A0000}"/>
    <cellStyle name="Calculation 5 2 3 2 2" xfId="4211" xr:uid="{00000000-0005-0000-0000-0000201A0000}"/>
    <cellStyle name="Calculation 5 2 3 2 2 2" xfId="23183" xr:uid="{00000000-0005-0000-0000-0000211A0000}"/>
    <cellStyle name="Calculation 5 2 3 2 2 3" xfId="34028" xr:uid="{00000000-0005-0000-0000-0000221A0000}"/>
    <cellStyle name="Calculation 5 2 3 2 2 4" xfId="14251" xr:uid="{00000000-0005-0000-0000-0000231A0000}"/>
    <cellStyle name="Calculation 5 2 3 2 3" xfId="6884" xr:uid="{00000000-0005-0000-0000-0000241A0000}"/>
    <cellStyle name="Calculation 5 2 3 2 3 2" xfId="25856" xr:uid="{00000000-0005-0000-0000-0000251A0000}"/>
    <cellStyle name="Calculation 5 2 3 2 3 3" xfId="36701" xr:uid="{00000000-0005-0000-0000-0000261A0000}"/>
    <cellStyle name="Calculation 5 2 3 2 3 4" xfId="16166" xr:uid="{00000000-0005-0000-0000-0000271A0000}"/>
    <cellStyle name="Calculation 5 2 3 2 4" xfId="9543" xr:uid="{00000000-0005-0000-0000-0000281A0000}"/>
    <cellStyle name="Calculation 5 2 3 2 4 2" xfId="28515" xr:uid="{00000000-0005-0000-0000-0000291A0000}"/>
    <cellStyle name="Calculation 5 2 3 2 4 3" xfId="39360" xr:uid="{00000000-0005-0000-0000-00002A1A0000}"/>
    <cellStyle name="Calculation 5 2 3 2 4 4" xfId="18070" xr:uid="{00000000-0005-0000-0000-00002B1A0000}"/>
    <cellStyle name="Calculation 5 2 3 2 5" xfId="20339" xr:uid="{00000000-0005-0000-0000-00002C1A0000}"/>
    <cellStyle name="Calculation 5 2 3 2 6" xfId="31184" xr:uid="{00000000-0005-0000-0000-00002D1A0000}"/>
    <cellStyle name="Calculation 5 2 3 2 7" xfId="12216" xr:uid="{00000000-0005-0000-0000-00002E1A0000}"/>
    <cellStyle name="Calculation 5 2 3 3" xfId="1757" xr:uid="{00000000-0005-0000-0000-00002F1A0000}"/>
    <cellStyle name="Calculation 5 2 3 3 2" xfId="4610" xr:uid="{00000000-0005-0000-0000-0000301A0000}"/>
    <cellStyle name="Calculation 5 2 3 3 2 2" xfId="23582" xr:uid="{00000000-0005-0000-0000-0000311A0000}"/>
    <cellStyle name="Calculation 5 2 3 3 2 3" xfId="34427" xr:uid="{00000000-0005-0000-0000-0000321A0000}"/>
    <cellStyle name="Calculation 5 2 3 3 2 4" xfId="14538" xr:uid="{00000000-0005-0000-0000-0000331A0000}"/>
    <cellStyle name="Calculation 5 2 3 3 3" xfId="7282" xr:uid="{00000000-0005-0000-0000-0000341A0000}"/>
    <cellStyle name="Calculation 5 2 3 3 3 2" xfId="26254" xr:uid="{00000000-0005-0000-0000-0000351A0000}"/>
    <cellStyle name="Calculation 5 2 3 3 3 3" xfId="37099" xr:uid="{00000000-0005-0000-0000-0000361A0000}"/>
    <cellStyle name="Calculation 5 2 3 3 3 4" xfId="16452" xr:uid="{00000000-0005-0000-0000-0000371A0000}"/>
    <cellStyle name="Calculation 5 2 3 3 4" xfId="9941" xr:uid="{00000000-0005-0000-0000-0000381A0000}"/>
    <cellStyle name="Calculation 5 2 3 3 4 2" xfId="28913" xr:uid="{00000000-0005-0000-0000-0000391A0000}"/>
    <cellStyle name="Calculation 5 2 3 3 4 3" xfId="39758" xr:uid="{00000000-0005-0000-0000-00003A1A0000}"/>
    <cellStyle name="Calculation 5 2 3 3 4 4" xfId="18356" xr:uid="{00000000-0005-0000-0000-00003B1A0000}"/>
    <cellStyle name="Calculation 5 2 3 3 5" xfId="20737" xr:uid="{00000000-0005-0000-0000-00003C1A0000}"/>
    <cellStyle name="Calculation 5 2 3 3 6" xfId="31582" xr:uid="{00000000-0005-0000-0000-00003D1A0000}"/>
    <cellStyle name="Calculation 5 2 3 3 7" xfId="12502" xr:uid="{00000000-0005-0000-0000-00003E1A0000}"/>
    <cellStyle name="Calculation 5 2 3 4" xfId="2161" xr:uid="{00000000-0005-0000-0000-00003F1A0000}"/>
    <cellStyle name="Calculation 5 2 3 4 2" xfId="5014" xr:uid="{00000000-0005-0000-0000-0000401A0000}"/>
    <cellStyle name="Calculation 5 2 3 4 2 2" xfId="23986" xr:uid="{00000000-0005-0000-0000-0000411A0000}"/>
    <cellStyle name="Calculation 5 2 3 4 2 3" xfId="34831" xr:uid="{00000000-0005-0000-0000-0000421A0000}"/>
    <cellStyle name="Calculation 5 2 3 4 2 4" xfId="14825" xr:uid="{00000000-0005-0000-0000-0000431A0000}"/>
    <cellStyle name="Calculation 5 2 3 4 3" xfId="7685" xr:uid="{00000000-0005-0000-0000-0000441A0000}"/>
    <cellStyle name="Calculation 5 2 3 4 3 2" xfId="26657" xr:uid="{00000000-0005-0000-0000-0000451A0000}"/>
    <cellStyle name="Calculation 5 2 3 4 3 3" xfId="37502" xr:uid="{00000000-0005-0000-0000-0000461A0000}"/>
    <cellStyle name="Calculation 5 2 3 4 3 4" xfId="16738" xr:uid="{00000000-0005-0000-0000-0000471A0000}"/>
    <cellStyle name="Calculation 5 2 3 4 4" xfId="10344" xr:uid="{00000000-0005-0000-0000-0000481A0000}"/>
    <cellStyle name="Calculation 5 2 3 4 4 2" xfId="29316" xr:uid="{00000000-0005-0000-0000-0000491A0000}"/>
    <cellStyle name="Calculation 5 2 3 4 4 3" xfId="40161" xr:uid="{00000000-0005-0000-0000-00004A1A0000}"/>
    <cellStyle name="Calculation 5 2 3 4 4 4" xfId="18642" xr:uid="{00000000-0005-0000-0000-00004B1A0000}"/>
    <cellStyle name="Calculation 5 2 3 4 5" xfId="21140" xr:uid="{00000000-0005-0000-0000-00004C1A0000}"/>
    <cellStyle name="Calculation 5 2 3 4 6" xfId="31985" xr:uid="{00000000-0005-0000-0000-00004D1A0000}"/>
    <cellStyle name="Calculation 5 2 3 4 7" xfId="12788" xr:uid="{00000000-0005-0000-0000-00004E1A0000}"/>
    <cellStyle name="Calculation 5 2 3 5" xfId="2551" xr:uid="{00000000-0005-0000-0000-00004F1A0000}"/>
    <cellStyle name="Calculation 5 2 3 5 2" xfId="5403" xr:uid="{00000000-0005-0000-0000-0000501A0000}"/>
    <cellStyle name="Calculation 5 2 3 5 2 2" xfId="24375" xr:uid="{00000000-0005-0000-0000-0000511A0000}"/>
    <cellStyle name="Calculation 5 2 3 5 2 3" xfId="35220" xr:uid="{00000000-0005-0000-0000-0000521A0000}"/>
    <cellStyle name="Calculation 5 2 3 5 2 4" xfId="15104" xr:uid="{00000000-0005-0000-0000-0000531A0000}"/>
    <cellStyle name="Calculation 5 2 3 5 3" xfId="8074" xr:uid="{00000000-0005-0000-0000-0000541A0000}"/>
    <cellStyle name="Calculation 5 2 3 5 3 2" xfId="27046" xr:uid="{00000000-0005-0000-0000-0000551A0000}"/>
    <cellStyle name="Calculation 5 2 3 5 3 3" xfId="37891" xr:uid="{00000000-0005-0000-0000-0000561A0000}"/>
    <cellStyle name="Calculation 5 2 3 5 3 4" xfId="17017" xr:uid="{00000000-0005-0000-0000-0000571A0000}"/>
    <cellStyle name="Calculation 5 2 3 5 4" xfId="10733" xr:uid="{00000000-0005-0000-0000-0000581A0000}"/>
    <cellStyle name="Calculation 5 2 3 5 4 2" xfId="29705" xr:uid="{00000000-0005-0000-0000-0000591A0000}"/>
    <cellStyle name="Calculation 5 2 3 5 4 3" xfId="40550" xr:uid="{00000000-0005-0000-0000-00005A1A0000}"/>
    <cellStyle name="Calculation 5 2 3 5 4 4" xfId="18921" xr:uid="{00000000-0005-0000-0000-00005B1A0000}"/>
    <cellStyle name="Calculation 5 2 3 5 5" xfId="21529" xr:uid="{00000000-0005-0000-0000-00005C1A0000}"/>
    <cellStyle name="Calculation 5 2 3 5 6" xfId="32374" xr:uid="{00000000-0005-0000-0000-00005D1A0000}"/>
    <cellStyle name="Calculation 5 2 3 5 7" xfId="13067" xr:uid="{00000000-0005-0000-0000-00005E1A0000}"/>
    <cellStyle name="Calculation 5 2 3 6" xfId="2937" xr:uid="{00000000-0005-0000-0000-00005F1A0000}"/>
    <cellStyle name="Calculation 5 2 3 6 2" xfId="5788" xr:uid="{00000000-0005-0000-0000-0000601A0000}"/>
    <cellStyle name="Calculation 5 2 3 6 2 2" xfId="24760" xr:uid="{00000000-0005-0000-0000-0000611A0000}"/>
    <cellStyle name="Calculation 5 2 3 6 2 3" xfId="35605" xr:uid="{00000000-0005-0000-0000-0000621A0000}"/>
    <cellStyle name="Calculation 5 2 3 6 2 4" xfId="15380" xr:uid="{00000000-0005-0000-0000-0000631A0000}"/>
    <cellStyle name="Calculation 5 2 3 6 3" xfId="8459" xr:uid="{00000000-0005-0000-0000-0000641A0000}"/>
    <cellStyle name="Calculation 5 2 3 6 3 2" xfId="27431" xr:uid="{00000000-0005-0000-0000-0000651A0000}"/>
    <cellStyle name="Calculation 5 2 3 6 3 3" xfId="38276" xr:uid="{00000000-0005-0000-0000-0000661A0000}"/>
    <cellStyle name="Calculation 5 2 3 6 3 4" xfId="17293" xr:uid="{00000000-0005-0000-0000-0000671A0000}"/>
    <cellStyle name="Calculation 5 2 3 6 4" xfId="11118" xr:uid="{00000000-0005-0000-0000-0000681A0000}"/>
    <cellStyle name="Calculation 5 2 3 6 4 2" xfId="30090" xr:uid="{00000000-0005-0000-0000-0000691A0000}"/>
    <cellStyle name="Calculation 5 2 3 6 4 3" xfId="40935" xr:uid="{00000000-0005-0000-0000-00006A1A0000}"/>
    <cellStyle name="Calculation 5 2 3 6 4 4" xfId="19197" xr:uid="{00000000-0005-0000-0000-00006B1A0000}"/>
    <cellStyle name="Calculation 5 2 3 6 5" xfId="21914" xr:uid="{00000000-0005-0000-0000-00006C1A0000}"/>
    <cellStyle name="Calculation 5 2 3 6 6" xfId="32759" xr:uid="{00000000-0005-0000-0000-00006D1A0000}"/>
    <cellStyle name="Calculation 5 2 3 6 7" xfId="13343" xr:uid="{00000000-0005-0000-0000-00006E1A0000}"/>
    <cellStyle name="Calculation 5 2 3 7" xfId="3626" xr:uid="{00000000-0005-0000-0000-00006F1A0000}"/>
    <cellStyle name="Calculation 5 2 3 7 2" xfId="22598" xr:uid="{00000000-0005-0000-0000-0000701A0000}"/>
    <cellStyle name="Calculation 5 2 3 7 3" xfId="33443" xr:uid="{00000000-0005-0000-0000-0000711A0000}"/>
    <cellStyle name="Calculation 5 2 3 7 4" xfId="13824" xr:uid="{00000000-0005-0000-0000-0000721A0000}"/>
    <cellStyle name="Calculation 5 2 3 8" xfId="6301" xr:uid="{00000000-0005-0000-0000-0000731A0000}"/>
    <cellStyle name="Calculation 5 2 3 8 2" xfId="25273" xr:uid="{00000000-0005-0000-0000-0000741A0000}"/>
    <cellStyle name="Calculation 5 2 3 8 3" xfId="36118" xr:uid="{00000000-0005-0000-0000-0000751A0000}"/>
    <cellStyle name="Calculation 5 2 3 8 4" xfId="15740" xr:uid="{00000000-0005-0000-0000-0000761A0000}"/>
    <cellStyle name="Calculation 5 2 3 9" xfId="8960" xr:uid="{00000000-0005-0000-0000-0000771A0000}"/>
    <cellStyle name="Calculation 5 2 3 9 2" xfId="27932" xr:uid="{00000000-0005-0000-0000-0000781A0000}"/>
    <cellStyle name="Calculation 5 2 3 9 3" xfId="38777" xr:uid="{00000000-0005-0000-0000-0000791A0000}"/>
    <cellStyle name="Calculation 5 2 3 9 4" xfId="17644" xr:uid="{00000000-0005-0000-0000-00007A1A0000}"/>
    <cellStyle name="Calculation 5 2 4" xfId="830" xr:uid="{00000000-0005-0000-0000-00007B1A0000}"/>
    <cellStyle name="Calculation 5 2 4 10" xfId="19815" xr:uid="{00000000-0005-0000-0000-00007C1A0000}"/>
    <cellStyle name="Calculation 5 2 4 11" xfId="30660" xr:uid="{00000000-0005-0000-0000-00007D1A0000}"/>
    <cellStyle name="Calculation 5 2 4 12" xfId="11829" xr:uid="{00000000-0005-0000-0000-00007E1A0000}"/>
    <cellStyle name="Calculation 5 2 4 2" xfId="1417" xr:uid="{00000000-0005-0000-0000-00007F1A0000}"/>
    <cellStyle name="Calculation 5 2 4 2 2" xfId="4270" xr:uid="{00000000-0005-0000-0000-0000801A0000}"/>
    <cellStyle name="Calculation 5 2 4 2 2 2" xfId="23242" xr:uid="{00000000-0005-0000-0000-0000811A0000}"/>
    <cellStyle name="Calculation 5 2 4 2 2 3" xfId="34087" xr:uid="{00000000-0005-0000-0000-0000821A0000}"/>
    <cellStyle name="Calculation 5 2 4 2 2 4" xfId="14290" xr:uid="{00000000-0005-0000-0000-0000831A0000}"/>
    <cellStyle name="Calculation 5 2 4 2 3" xfId="6943" xr:uid="{00000000-0005-0000-0000-0000841A0000}"/>
    <cellStyle name="Calculation 5 2 4 2 3 2" xfId="25915" xr:uid="{00000000-0005-0000-0000-0000851A0000}"/>
    <cellStyle name="Calculation 5 2 4 2 3 3" xfId="36760" xr:uid="{00000000-0005-0000-0000-0000861A0000}"/>
    <cellStyle name="Calculation 5 2 4 2 3 4" xfId="16205" xr:uid="{00000000-0005-0000-0000-0000871A0000}"/>
    <cellStyle name="Calculation 5 2 4 2 4" xfId="9602" xr:uid="{00000000-0005-0000-0000-0000881A0000}"/>
    <cellStyle name="Calculation 5 2 4 2 4 2" xfId="28574" xr:uid="{00000000-0005-0000-0000-0000891A0000}"/>
    <cellStyle name="Calculation 5 2 4 2 4 3" xfId="39419" xr:uid="{00000000-0005-0000-0000-00008A1A0000}"/>
    <cellStyle name="Calculation 5 2 4 2 4 4" xfId="18109" xr:uid="{00000000-0005-0000-0000-00008B1A0000}"/>
    <cellStyle name="Calculation 5 2 4 2 5" xfId="20398" xr:uid="{00000000-0005-0000-0000-00008C1A0000}"/>
    <cellStyle name="Calculation 5 2 4 2 6" xfId="31243" xr:uid="{00000000-0005-0000-0000-00008D1A0000}"/>
    <cellStyle name="Calculation 5 2 4 2 7" xfId="12255" xr:uid="{00000000-0005-0000-0000-00008E1A0000}"/>
    <cellStyle name="Calculation 5 2 4 3" xfId="1816" xr:uid="{00000000-0005-0000-0000-00008F1A0000}"/>
    <cellStyle name="Calculation 5 2 4 3 2" xfId="4669" xr:uid="{00000000-0005-0000-0000-0000901A0000}"/>
    <cellStyle name="Calculation 5 2 4 3 2 2" xfId="23641" xr:uid="{00000000-0005-0000-0000-0000911A0000}"/>
    <cellStyle name="Calculation 5 2 4 3 2 3" xfId="34486" xr:uid="{00000000-0005-0000-0000-0000921A0000}"/>
    <cellStyle name="Calculation 5 2 4 3 2 4" xfId="14577" xr:uid="{00000000-0005-0000-0000-0000931A0000}"/>
    <cellStyle name="Calculation 5 2 4 3 3" xfId="7341" xr:uid="{00000000-0005-0000-0000-0000941A0000}"/>
    <cellStyle name="Calculation 5 2 4 3 3 2" xfId="26313" xr:uid="{00000000-0005-0000-0000-0000951A0000}"/>
    <cellStyle name="Calculation 5 2 4 3 3 3" xfId="37158" xr:uid="{00000000-0005-0000-0000-0000961A0000}"/>
    <cellStyle name="Calculation 5 2 4 3 3 4" xfId="16491" xr:uid="{00000000-0005-0000-0000-0000971A0000}"/>
    <cellStyle name="Calculation 5 2 4 3 4" xfId="10000" xr:uid="{00000000-0005-0000-0000-0000981A0000}"/>
    <cellStyle name="Calculation 5 2 4 3 4 2" xfId="28972" xr:uid="{00000000-0005-0000-0000-0000991A0000}"/>
    <cellStyle name="Calculation 5 2 4 3 4 3" xfId="39817" xr:uid="{00000000-0005-0000-0000-00009A1A0000}"/>
    <cellStyle name="Calculation 5 2 4 3 4 4" xfId="18395" xr:uid="{00000000-0005-0000-0000-00009B1A0000}"/>
    <cellStyle name="Calculation 5 2 4 3 5" xfId="20796" xr:uid="{00000000-0005-0000-0000-00009C1A0000}"/>
    <cellStyle name="Calculation 5 2 4 3 6" xfId="31641" xr:uid="{00000000-0005-0000-0000-00009D1A0000}"/>
    <cellStyle name="Calculation 5 2 4 3 7" xfId="12541" xr:uid="{00000000-0005-0000-0000-00009E1A0000}"/>
    <cellStyle name="Calculation 5 2 4 4" xfId="2220" xr:uid="{00000000-0005-0000-0000-00009F1A0000}"/>
    <cellStyle name="Calculation 5 2 4 4 2" xfId="5073" xr:uid="{00000000-0005-0000-0000-0000A01A0000}"/>
    <cellStyle name="Calculation 5 2 4 4 2 2" xfId="24045" xr:uid="{00000000-0005-0000-0000-0000A11A0000}"/>
    <cellStyle name="Calculation 5 2 4 4 2 3" xfId="34890" xr:uid="{00000000-0005-0000-0000-0000A21A0000}"/>
    <cellStyle name="Calculation 5 2 4 4 2 4" xfId="14864" xr:uid="{00000000-0005-0000-0000-0000A31A0000}"/>
    <cellStyle name="Calculation 5 2 4 4 3" xfId="7744" xr:uid="{00000000-0005-0000-0000-0000A41A0000}"/>
    <cellStyle name="Calculation 5 2 4 4 3 2" xfId="26716" xr:uid="{00000000-0005-0000-0000-0000A51A0000}"/>
    <cellStyle name="Calculation 5 2 4 4 3 3" xfId="37561" xr:uid="{00000000-0005-0000-0000-0000A61A0000}"/>
    <cellStyle name="Calculation 5 2 4 4 3 4" xfId="16777" xr:uid="{00000000-0005-0000-0000-0000A71A0000}"/>
    <cellStyle name="Calculation 5 2 4 4 4" xfId="10403" xr:uid="{00000000-0005-0000-0000-0000A81A0000}"/>
    <cellStyle name="Calculation 5 2 4 4 4 2" xfId="29375" xr:uid="{00000000-0005-0000-0000-0000A91A0000}"/>
    <cellStyle name="Calculation 5 2 4 4 4 3" xfId="40220" xr:uid="{00000000-0005-0000-0000-0000AA1A0000}"/>
    <cellStyle name="Calculation 5 2 4 4 4 4" xfId="18681" xr:uid="{00000000-0005-0000-0000-0000AB1A0000}"/>
    <cellStyle name="Calculation 5 2 4 4 5" xfId="21199" xr:uid="{00000000-0005-0000-0000-0000AC1A0000}"/>
    <cellStyle name="Calculation 5 2 4 4 6" xfId="32044" xr:uid="{00000000-0005-0000-0000-0000AD1A0000}"/>
    <cellStyle name="Calculation 5 2 4 4 7" xfId="12827" xr:uid="{00000000-0005-0000-0000-0000AE1A0000}"/>
    <cellStyle name="Calculation 5 2 4 5" xfId="2610" xr:uid="{00000000-0005-0000-0000-0000AF1A0000}"/>
    <cellStyle name="Calculation 5 2 4 5 2" xfId="5462" xr:uid="{00000000-0005-0000-0000-0000B01A0000}"/>
    <cellStyle name="Calculation 5 2 4 5 2 2" xfId="24434" xr:uid="{00000000-0005-0000-0000-0000B11A0000}"/>
    <cellStyle name="Calculation 5 2 4 5 2 3" xfId="35279" xr:uid="{00000000-0005-0000-0000-0000B21A0000}"/>
    <cellStyle name="Calculation 5 2 4 5 2 4" xfId="15143" xr:uid="{00000000-0005-0000-0000-0000B31A0000}"/>
    <cellStyle name="Calculation 5 2 4 5 3" xfId="8133" xr:uid="{00000000-0005-0000-0000-0000B41A0000}"/>
    <cellStyle name="Calculation 5 2 4 5 3 2" xfId="27105" xr:uid="{00000000-0005-0000-0000-0000B51A0000}"/>
    <cellStyle name="Calculation 5 2 4 5 3 3" xfId="37950" xr:uid="{00000000-0005-0000-0000-0000B61A0000}"/>
    <cellStyle name="Calculation 5 2 4 5 3 4" xfId="17056" xr:uid="{00000000-0005-0000-0000-0000B71A0000}"/>
    <cellStyle name="Calculation 5 2 4 5 4" xfId="10792" xr:uid="{00000000-0005-0000-0000-0000B81A0000}"/>
    <cellStyle name="Calculation 5 2 4 5 4 2" xfId="29764" xr:uid="{00000000-0005-0000-0000-0000B91A0000}"/>
    <cellStyle name="Calculation 5 2 4 5 4 3" xfId="40609" xr:uid="{00000000-0005-0000-0000-0000BA1A0000}"/>
    <cellStyle name="Calculation 5 2 4 5 4 4" xfId="18960" xr:uid="{00000000-0005-0000-0000-0000BB1A0000}"/>
    <cellStyle name="Calculation 5 2 4 5 5" xfId="21588" xr:uid="{00000000-0005-0000-0000-0000BC1A0000}"/>
    <cellStyle name="Calculation 5 2 4 5 6" xfId="32433" xr:uid="{00000000-0005-0000-0000-0000BD1A0000}"/>
    <cellStyle name="Calculation 5 2 4 5 7" xfId="13106" xr:uid="{00000000-0005-0000-0000-0000BE1A0000}"/>
    <cellStyle name="Calculation 5 2 4 6" xfId="2996" xr:uid="{00000000-0005-0000-0000-0000BF1A0000}"/>
    <cellStyle name="Calculation 5 2 4 6 2" xfId="5847" xr:uid="{00000000-0005-0000-0000-0000C01A0000}"/>
    <cellStyle name="Calculation 5 2 4 6 2 2" xfId="24819" xr:uid="{00000000-0005-0000-0000-0000C11A0000}"/>
    <cellStyle name="Calculation 5 2 4 6 2 3" xfId="35664" xr:uid="{00000000-0005-0000-0000-0000C21A0000}"/>
    <cellStyle name="Calculation 5 2 4 6 2 4" xfId="15419" xr:uid="{00000000-0005-0000-0000-0000C31A0000}"/>
    <cellStyle name="Calculation 5 2 4 6 3" xfId="8518" xr:uid="{00000000-0005-0000-0000-0000C41A0000}"/>
    <cellStyle name="Calculation 5 2 4 6 3 2" xfId="27490" xr:uid="{00000000-0005-0000-0000-0000C51A0000}"/>
    <cellStyle name="Calculation 5 2 4 6 3 3" xfId="38335" xr:uid="{00000000-0005-0000-0000-0000C61A0000}"/>
    <cellStyle name="Calculation 5 2 4 6 3 4" xfId="17332" xr:uid="{00000000-0005-0000-0000-0000C71A0000}"/>
    <cellStyle name="Calculation 5 2 4 6 4" xfId="11177" xr:uid="{00000000-0005-0000-0000-0000C81A0000}"/>
    <cellStyle name="Calculation 5 2 4 6 4 2" xfId="30149" xr:uid="{00000000-0005-0000-0000-0000C91A0000}"/>
    <cellStyle name="Calculation 5 2 4 6 4 3" xfId="40994" xr:uid="{00000000-0005-0000-0000-0000CA1A0000}"/>
    <cellStyle name="Calculation 5 2 4 6 4 4" xfId="19236" xr:uid="{00000000-0005-0000-0000-0000CB1A0000}"/>
    <cellStyle name="Calculation 5 2 4 6 5" xfId="21973" xr:uid="{00000000-0005-0000-0000-0000CC1A0000}"/>
    <cellStyle name="Calculation 5 2 4 6 6" xfId="32818" xr:uid="{00000000-0005-0000-0000-0000CD1A0000}"/>
    <cellStyle name="Calculation 5 2 4 6 7" xfId="13382" xr:uid="{00000000-0005-0000-0000-0000CE1A0000}"/>
    <cellStyle name="Calculation 5 2 4 7" xfId="3685" xr:uid="{00000000-0005-0000-0000-0000CF1A0000}"/>
    <cellStyle name="Calculation 5 2 4 7 2" xfId="22657" xr:uid="{00000000-0005-0000-0000-0000D01A0000}"/>
    <cellStyle name="Calculation 5 2 4 7 3" xfId="33502" xr:uid="{00000000-0005-0000-0000-0000D11A0000}"/>
    <cellStyle name="Calculation 5 2 4 7 4" xfId="13863" xr:uid="{00000000-0005-0000-0000-0000D21A0000}"/>
    <cellStyle name="Calculation 5 2 4 8" xfId="6360" xr:uid="{00000000-0005-0000-0000-0000D31A0000}"/>
    <cellStyle name="Calculation 5 2 4 8 2" xfId="25332" xr:uid="{00000000-0005-0000-0000-0000D41A0000}"/>
    <cellStyle name="Calculation 5 2 4 8 3" xfId="36177" xr:uid="{00000000-0005-0000-0000-0000D51A0000}"/>
    <cellStyle name="Calculation 5 2 4 8 4" xfId="15779" xr:uid="{00000000-0005-0000-0000-0000D61A0000}"/>
    <cellStyle name="Calculation 5 2 4 9" xfId="9019" xr:uid="{00000000-0005-0000-0000-0000D71A0000}"/>
    <cellStyle name="Calculation 5 2 4 9 2" xfId="27991" xr:uid="{00000000-0005-0000-0000-0000D81A0000}"/>
    <cellStyle name="Calculation 5 2 4 9 3" xfId="38836" xr:uid="{00000000-0005-0000-0000-0000D91A0000}"/>
    <cellStyle name="Calculation 5 2 4 9 4" xfId="17683" xr:uid="{00000000-0005-0000-0000-0000DA1A0000}"/>
    <cellStyle name="Calculation 5 2 5" xfId="889" xr:uid="{00000000-0005-0000-0000-0000DB1A0000}"/>
    <cellStyle name="Calculation 5 2 5 10" xfId="19874" xr:uid="{00000000-0005-0000-0000-0000DC1A0000}"/>
    <cellStyle name="Calculation 5 2 5 11" xfId="30719" xr:uid="{00000000-0005-0000-0000-0000DD1A0000}"/>
    <cellStyle name="Calculation 5 2 5 12" xfId="11868" xr:uid="{00000000-0005-0000-0000-0000DE1A0000}"/>
    <cellStyle name="Calculation 5 2 5 2" xfId="1476" xr:uid="{00000000-0005-0000-0000-0000DF1A0000}"/>
    <cellStyle name="Calculation 5 2 5 2 2" xfId="4329" xr:uid="{00000000-0005-0000-0000-0000E01A0000}"/>
    <cellStyle name="Calculation 5 2 5 2 2 2" xfId="23301" xr:uid="{00000000-0005-0000-0000-0000E11A0000}"/>
    <cellStyle name="Calculation 5 2 5 2 2 3" xfId="34146" xr:uid="{00000000-0005-0000-0000-0000E21A0000}"/>
    <cellStyle name="Calculation 5 2 5 2 2 4" xfId="14329" xr:uid="{00000000-0005-0000-0000-0000E31A0000}"/>
    <cellStyle name="Calculation 5 2 5 2 3" xfId="7002" xr:uid="{00000000-0005-0000-0000-0000E41A0000}"/>
    <cellStyle name="Calculation 5 2 5 2 3 2" xfId="25974" xr:uid="{00000000-0005-0000-0000-0000E51A0000}"/>
    <cellStyle name="Calculation 5 2 5 2 3 3" xfId="36819" xr:uid="{00000000-0005-0000-0000-0000E61A0000}"/>
    <cellStyle name="Calculation 5 2 5 2 3 4" xfId="16244" xr:uid="{00000000-0005-0000-0000-0000E71A0000}"/>
    <cellStyle name="Calculation 5 2 5 2 4" xfId="9661" xr:uid="{00000000-0005-0000-0000-0000E81A0000}"/>
    <cellStyle name="Calculation 5 2 5 2 4 2" xfId="28633" xr:uid="{00000000-0005-0000-0000-0000E91A0000}"/>
    <cellStyle name="Calculation 5 2 5 2 4 3" xfId="39478" xr:uid="{00000000-0005-0000-0000-0000EA1A0000}"/>
    <cellStyle name="Calculation 5 2 5 2 4 4" xfId="18148" xr:uid="{00000000-0005-0000-0000-0000EB1A0000}"/>
    <cellStyle name="Calculation 5 2 5 2 5" xfId="20457" xr:uid="{00000000-0005-0000-0000-0000EC1A0000}"/>
    <cellStyle name="Calculation 5 2 5 2 6" xfId="31302" xr:uid="{00000000-0005-0000-0000-0000ED1A0000}"/>
    <cellStyle name="Calculation 5 2 5 2 7" xfId="12294" xr:uid="{00000000-0005-0000-0000-0000EE1A0000}"/>
    <cellStyle name="Calculation 5 2 5 3" xfId="1875" xr:uid="{00000000-0005-0000-0000-0000EF1A0000}"/>
    <cellStyle name="Calculation 5 2 5 3 2" xfId="4728" xr:uid="{00000000-0005-0000-0000-0000F01A0000}"/>
    <cellStyle name="Calculation 5 2 5 3 2 2" xfId="23700" xr:uid="{00000000-0005-0000-0000-0000F11A0000}"/>
    <cellStyle name="Calculation 5 2 5 3 2 3" xfId="34545" xr:uid="{00000000-0005-0000-0000-0000F21A0000}"/>
    <cellStyle name="Calculation 5 2 5 3 2 4" xfId="14616" xr:uid="{00000000-0005-0000-0000-0000F31A0000}"/>
    <cellStyle name="Calculation 5 2 5 3 3" xfId="7400" xr:uid="{00000000-0005-0000-0000-0000F41A0000}"/>
    <cellStyle name="Calculation 5 2 5 3 3 2" xfId="26372" xr:uid="{00000000-0005-0000-0000-0000F51A0000}"/>
    <cellStyle name="Calculation 5 2 5 3 3 3" xfId="37217" xr:uid="{00000000-0005-0000-0000-0000F61A0000}"/>
    <cellStyle name="Calculation 5 2 5 3 3 4" xfId="16530" xr:uid="{00000000-0005-0000-0000-0000F71A0000}"/>
    <cellStyle name="Calculation 5 2 5 3 4" xfId="10059" xr:uid="{00000000-0005-0000-0000-0000F81A0000}"/>
    <cellStyle name="Calculation 5 2 5 3 4 2" xfId="29031" xr:uid="{00000000-0005-0000-0000-0000F91A0000}"/>
    <cellStyle name="Calculation 5 2 5 3 4 3" xfId="39876" xr:uid="{00000000-0005-0000-0000-0000FA1A0000}"/>
    <cellStyle name="Calculation 5 2 5 3 4 4" xfId="18434" xr:uid="{00000000-0005-0000-0000-0000FB1A0000}"/>
    <cellStyle name="Calculation 5 2 5 3 5" xfId="20855" xr:uid="{00000000-0005-0000-0000-0000FC1A0000}"/>
    <cellStyle name="Calculation 5 2 5 3 6" xfId="31700" xr:uid="{00000000-0005-0000-0000-0000FD1A0000}"/>
    <cellStyle name="Calculation 5 2 5 3 7" xfId="12580" xr:uid="{00000000-0005-0000-0000-0000FE1A0000}"/>
    <cellStyle name="Calculation 5 2 5 4" xfId="2279" xr:uid="{00000000-0005-0000-0000-0000FF1A0000}"/>
    <cellStyle name="Calculation 5 2 5 4 2" xfId="5132" xr:uid="{00000000-0005-0000-0000-0000001B0000}"/>
    <cellStyle name="Calculation 5 2 5 4 2 2" xfId="24104" xr:uid="{00000000-0005-0000-0000-0000011B0000}"/>
    <cellStyle name="Calculation 5 2 5 4 2 3" xfId="34949" xr:uid="{00000000-0005-0000-0000-0000021B0000}"/>
    <cellStyle name="Calculation 5 2 5 4 2 4" xfId="14903" xr:uid="{00000000-0005-0000-0000-0000031B0000}"/>
    <cellStyle name="Calculation 5 2 5 4 3" xfId="7803" xr:uid="{00000000-0005-0000-0000-0000041B0000}"/>
    <cellStyle name="Calculation 5 2 5 4 3 2" xfId="26775" xr:uid="{00000000-0005-0000-0000-0000051B0000}"/>
    <cellStyle name="Calculation 5 2 5 4 3 3" xfId="37620" xr:uid="{00000000-0005-0000-0000-0000061B0000}"/>
    <cellStyle name="Calculation 5 2 5 4 3 4" xfId="16816" xr:uid="{00000000-0005-0000-0000-0000071B0000}"/>
    <cellStyle name="Calculation 5 2 5 4 4" xfId="10462" xr:uid="{00000000-0005-0000-0000-0000081B0000}"/>
    <cellStyle name="Calculation 5 2 5 4 4 2" xfId="29434" xr:uid="{00000000-0005-0000-0000-0000091B0000}"/>
    <cellStyle name="Calculation 5 2 5 4 4 3" xfId="40279" xr:uid="{00000000-0005-0000-0000-00000A1B0000}"/>
    <cellStyle name="Calculation 5 2 5 4 4 4" xfId="18720" xr:uid="{00000000-0005-0000-0000-00000B1B0000}"/>
    <cellStyle name="Calculation 5 2 5 4 5" xfId="21258" xr:uid="{00000000-0005-0000-0000-00000C1B0000}"/>
    <cellStyle name="Calculation 5 2 5 4 6" xfId="32103" xr:uid="{00000000-0005-0000-0000-00000D1B0000}"/>
    <cellStyle name="Calculation 5 2 5 4 7" xfId="12866" xr:uid="{00000000-0005-0000-0000-00000E1B0000}"/>
    <cellStyle name="Calculation 5 2 5 5" xfId="2669" xr:uid="{00000000-0005-0000-0000-00000F1B0000}"/>
    <cellStyle name="Calculation 5 2 5 5 2" xfId="5521" xr:uid="{00000000-0005-0000-0000-0000101B0000}"/>
    <cellStyle name="Calculation 5 2 5 5 2 2" xfId="24493" xr:uid="{00000000-0005-0000-0000-0000111B0000}"/>
    <cellStyle name="Calculation 5 2 5 5 2 3" xfId="35338" xr:uid="{00000000-0005-0000-0000-0000121B0000}"/>
    <cellStyle name="Calculation 5 2 5 5 2 4" xfId="15182" xr:uid="{00000000-0005-0000-0000-0000131B0000}"/>
    <cellStyle name="Calculation 5 2 5 5 3" xfId="8192" xr:uid="{00000000-0005-0000-0000-0000141B0000}"/>
    <cellStyle name="Calculation 5 2 5 5 3 2" xfId="27164" xr:uid="{00000000-0005-0000-0000-0000151B0000}"/>
    <cellStyle name="Calculation 5 2 5 5 3 3" xfId="38009" xr:uid="{00000000-0005-0000-0000-0000161B0000}"/>
    <cellStyle name="Calculation 5 2 5 5 3 4" xfId="17095" xr:uid="{00000000-0005-0000-0000-0000171B0000}"/>
    <cellStyle name="Calculation 5 2 5 5 4" xfId="10851" xr:uid="{00000000-0005-0000-0000-0000181B0000}"/>
    <cellStyle name="Calculation 5 2 5 5 4 2" xfId="29823" xr:uid="{00000000-0005-0000-0000-0000191B0000}"/>
    <cellStyle name="Calculation 5 2 5 5 4 3" xfId="40668" xr:uid="{00000000-0005-0000-0000-00001A1B0000}"/>
    <cellStyle name="Calculation 5 2 5 5 4 4" xfId="18999" xr:uid="{00000000-0005-0000-0000-00001B1B0000}"/>
    <cellStyle name="Calculation 5 2 5 5 5" xfId="21647" xr:uid="{00000000-0005-0000-0000-00001C1B0000}"/>
    <cellStyle name="Calculation 5 2 5 5 6" xfId="32492" xr:uid="{00000000-0005-0000-0000-00001D1B0000}"/>
    <cellStyle name="Calculation 5 2 5 5 7" xfId="13145" xr:uid="{00000000-0005-0000-0000-00001E1B0000}"/>
    <cellStyle name="Calculation 5 2 5 6" xfId="3055" xr:uid="{00000000-0005-0000-0000-00001F1B0000}"/>
    <cellStyle name="Calculation 5 2 5 6 2" xfId="5906" xr:uid="{00000000-0005-0000-0000-0000201B0000}"/>
    <cellStyle name="Calculation 5 2 5 6 2 2" xfId="24878" xr:uid="{00000000-0005-0000-0000-0000211B0000}"/>
    <cellStyle name="Calculation 5 2 5 6 2 3" xfId="35723" xr:uid="{00000000-0005-0000-0000-0000221B0000}"/>
    <cellStyle name="Calculation 5 2 5 6 2 4" xfId="15458" xr:uid="{00000000-0005-0000-0000-0000231B0000}"/>
    <cellStyle name="Calculation 5 2 5 6 3" xfId="8577" xr:uid="{00000000-0005-0000-0000-0000241B0000}"/>
    <cellStyle name="Calculation 5 2 5 6 3 2" xfId="27549" xr:uid="{00000000-0005-0000-0000-0000251B0000}"/>
    <cellStyle name="Calculation 5 2 5 6 3 3" xfId="38394" xr:uid="{00000000-0005-0000-0000-0000261B0000}"/>
    <cellStyle name="Calculation 5 2 5 6 3 4" xfId="17371" xr:uid="{00000000-0005-0000-0000-0000271B0000}"/>
    <cellStyle name="Calculation 5 2 5 6 4" xfId="11236" xr:uid="{00000000-0005-0000-0000-0000281B0000}"/>
    <cellStyle name="Calculation 5 2 5 6 4 2" xfId="30208" xr:uid="{00000000-0005-0000-0000-0000291B0000}"/>
    <cellStyle name="Calculation 5 2 5 6 4 3" xfId="41053" xr:uid="{00000000-0005-0000-0000-00002A1B0000}"/>
    <cellStyle name="Calculation 5 2 5 6 4 4" xfId="19275" xr:uid="{00000000-0005-0000-0000-00002B1B0000}"/>
    <cellStyle name="Calculation 5 2 5 6 5" xfId="22032" xr:uid="{00000000-0005-0000-0000-00002C1B0000}"/>
    <cellStyle name="Calculation 5 2 5 6 6" xfId="32877" xr:uid="{00000000-0005-0000-0000-00002D1B0000}"/>
    <cellStyle name="Calculation 5 2 5 6 7" xfId="13421" xr:uid="{00000000-0005-0000-0000-00002E1B0000}"/>
    <cellStyle name="Calculation 5 2 5 7" xfId="3744" xr:uid="{00000000-0005-0000-0000-00002F1B0000}"/>
    <cellStyle name="Calculation 5 2 5 7 2" xfId="22716" xr:uid="{00000000-0005-0000-0000-0000301B0000}"/>
    <cellStyle name="Calculation 5 2 5 7 3" xfId="33561" xr:uid="{00000000-0005-0000-0000-0000311B0000}"/>
    <cellStyle name="Calculation 5 2 5 7 4" xfId="13902" xr:uid="{00000000-0005-0000-0000-0000321B0000}"/>
    <cellStyle name="Calculation 5 2 5 8" xfId="6419" xr:uid="{00000000-0005-0000-0000-0000331B0000}"/>
    <cellStyle name="Calculation 5 2 5 8 2" xfId="25391" xr:uid="{00000000-0005-0000-0000-0000341B0000}"/>
    <cellStyle name="Calculation 5 2 5 8 3" xfId="36236" xr:uid="{00000000-0005-0000-0000-0000351B0000}"/>
    <cellStyle name="Calculation 5 2 5 8 4" xfId="15818" xr:uid="{00000000-0005-0000-0000-0000361B0000}"/>
    <cellStyle name="Calculation 5 2 5 9" xfId="9078" xr:uid="{00000000-0005-0000-0000-0000371B0000}"/>
    <cellStyle name="Calculation 5 2 5 9 2" xfId="28050" xr:uid="{00000000-0005-0000-0000-0000381B0000}"/>
    <cellStyle name="Calculation 5 2 5 9 3" xfId="38895" xr:uid="{00000000-0005-0000-0000-0000391B0000}"/>
    <cellStyle name="Calculation 5 2 5 9 4" xfId="17722" xr:uid="{00000000-0005-0000-0000-00003A1B0000}"/>
    <cellStyle name="Calculation 5 2 6" xfId="1119" xr:uid="{00000000-0005-0000-0000-00003B1B0000}"/>
    <cellStyle name="Calculation 5 2 6 2" xfId="3972" xr:uid="{00000000-0005-0000-0000-00003C1B0000}"/>
    <cellStyle name="Calculation 5 2 6 2 2" xfId="22944" xr:uid="{00000000-0005-0000-0000-00003D1B0000}"/>
    <cellStyle name="Calculation 5 2 6 2 3" xfId="33789" xr:uid="{00000000-0005-0000-0000-00003E1B0000}"/>
    <cellStyle name="Calculation 5 2 6 2 4" xfId="14071" xr:uid="{00000000-0005-0000-0000-00003F1B0000}"/>
    <cellStyle name="Calculation 5 2 6 3" xfId="6645" xr:uid="{00000000-0005-0000-0000-0000401B0000}"/>
    <cellStyle name="Calculation 5 2 6 3 2" xfId="25617" xr:uid="{00000000-0005-0000-0000-0000411B0000}"/>
    <cellStyle name="Calculation 5 2 6 3 3" xfId="36462" xr:uid="{00000000-0005-0000-0000-0000421B0000}"/>
    <cellStyle name="Calculation 5 2 6 3 4" xfId="15986" xr:uid="{00000000-0005-0000-0000-0000431B0000}"/>
    <cellStyle name="Calculation 5 2 6 4" xfId="9304" xr:uid="{00000000-0005-0000-0000-0000441B0000}"/>
    <cellStyle name="Calculation 5 2 6 4 2" xfId="28276" xr:uid="{00000000-0005-0000-0000-0000451B0000}"/>
    <cellStyle name="Calculation 5 2 6 4 3" xfId="39121" xr:uid="{00000000-0005-0000-0000-0000461B0000}"/>
    <cellStyle name="Calculation 5 2 6 4 4" xfId="17890" xr:uid="{00000000-0005-0000-0000-0000471B0000}"/>
    <cellStyle name="Calculation 5 2 6 5" xfId="20100" xr:uid="{00000000-0005-0000-0000-0000481B0000}"/>
    <cellStyle name="Calculation 5 2 6 6" xfId="30945" xr:uid="{00000000-0005-0000-0000-0000491B0000}"/>
    <cellStyle name="Calculation 5 2 6 7" xfId="12036" xr:uid="{00000000-0005-0000-0000-00004A1B0000}"/>
    <cellStyle name="Calculation 5 2 7" xfId="1515" xr:uid="{00000000-0005-0000-0000-00004B1B0000}"/>
    <cellStyle name="Calculation 5 2 7 2" xfId="4368" xr:uid="{00000000-0005-0000-0000-00004C1B0000}"/>
    <cellStyle name="Calculation 5 2 7 2 2" xfId="23340" xr:uid="{00000000-0005-0000-0000-00004D1B0000}"/>
    <cellStyle name="Calculation 5 2 7 2 3" xfId="34185" xr:uid="{00000000-0005-0000-0000-00004E1B0000}"/>
    <cellStyle name="Calculation 5 2 7 2 4" xfId="14357" xr:uid="{00000000-0005-0000-0000-00004F1B0000}"/>
    <cellStyle name="Calculation 5 2 7 3" xfId="7041" xr:uid="{00000000-0005-0000-0000-0000501B0000}"/>
    <cellStyle name="Calculation 5 2 7 3 2" xfId="26013" xr:uid="{00000000-0005-0000-0000-0000511B0000}"/>
    <cellStyle name="Calculation 5 2 7 3 3" xfId="36858" xr:uid="{00000000-0005-0000-0000-0000521B0000}"/>
    <cellStyle name="Calculation 5 2 7 3 4" xfId="16272" xr:uid="{00000000-0005-0000-0000-0000531B0000}"/>
    <cellStyle name="Calculation 5 2 7 4" xfId="9700" xr:uid="{00000000-0005-0000-0000-0000541B0000}"/>
    <cellStyle name="Calculation 5 2 7 4 2" xfId="28672" xr:uid="{00000000-0005-0000-0000-0000551B0000}"/>
    <cellStyle name="Calculation 5 2 7 4 3" xfId="39517" xr:uid="{00000000-0005-0000-0000-0000561B0000}"/>
    <cellStyle name="Calculation 5 2 7 4 4" xfId="18176" xr:uid="{00000000-0005-0000-0000-0000571B0000}"/>
    <cellStyle name="Calculation 5 2 7 5" xfId="20496" xr:uid="{00000000-0005-0000-0000-0000581B0000}"/>
    <cellStyle name="Calculation 5 2 7 6" xfId="31341" xr:uid="{00000000-0005-0000-0000-0000591B0000}"/>
    <cellStyle name="Calculation 5 2 7 7" xfId="12322" xr:uid="{00000000-0005-0000-0000-00005A1B0000}"/>
    <cellStyle name="Calculation 5 2 8" xfId="1921" xr:uid="{00000000-0005-0000-0000-00005B1B0000}"/>
    <cellStyle name="Calculation 5 2 8 2" xfId="4774" xr:uid="{00000000-0005-0000-0000-00005C1B0000}"/>
    <cellStyle name="Calculation 5 2 8 2 2" xfId="23746" xr:uid="{00000000-0005-0000-0000-00005D1B0000}"/>
    <cellStyle name="Calculation 5 2 8 2 3" xfId="34591" xr:uid="{00000000-0005-0000-0000-00005E1B0000}"/>
    <cellStyle name="Calculation 5 2 8 2 4" xfId="14646" xr:uid="{00000000-0005-0000-0000-00005F1B0000}"/>
    <cellStyle name="Calculation 5 2 8 3" xfId="7446" xr:uid="{00000000-0005-0000-0000-0000601B0000}"/>
    <cellStyle name="Calculation 5 2 8 3 2" xfId="26418" xr:uid="{00000000-0005-0000-0000-0000611B0000}"/>
    <cellStyle name="Calculation 5 2 8 3 3" xfId="37263" xr:uid="{00000000-0005-0000-0000-0000621B0000}"/>
    <cellStyle name="Calculation 5 2 8 3 4" xfId="16560" xr:uid="{00000000-0005-0000-0000-0000631B0000}"/>
    <cellStyle name="Calculation 5 2 8 4" xfId="10105" xr:uid="{00000000-0005-0000-0000-0000641B0000}"/>
    <cellStyle name="Calculation 5 2 8 4 2" xfId="29077" xr:uid="{00000000-0005-0000-0000-0000651B0000}"/>
    <cellStyle name="Calculation 5 2 8 4 3" xfId="39922" xr:uid="{00000000-0005-0000-0000-0000661B0000}"/>
    <cellStyle name="Calculation 5 2 8 4 4" xfId="18464" xr:uid="{00000000-0005-0000-0000-0000671B0000}"/>
    <cellStyle name="Calculation 5 2 8 5" xfId="20901" xr:uid="{00000000-0005-0000-0000-0000681B0000}"/>
    <cellStyle name="Calculation 5 2 8 6" xfId="31746" xr:uid="{00000000-0005-0000-0000-0000691B0000}"/>
    <cellStyle name="Calculation 5 2 8 7" xfId="12610" xr:uid="{00000000-0005-0000-0000-00006A1B0000}"/>
    <cellStyle name="Calculation 5 2 9" xfId="2314" xr:uid="{00000000-0005-0000-0000-00006B1B0000}"/>
    <cellStyle name="Calculation 5 2 9 2" xfId="5167" xr:uid="{00000000-0005-0000-0000-00006C1B0000}"/>
    <cellStyle name="Calculation 5 2 9 2 2" xfId="24139" xr:uid="{00000000-0005-0000-0000-00006D1B0000}"/>
    <cellStyle name="Calculation 5 2 9 2 3" xfId="34984" xr:uid="{00000000-0005-0000-0000-00006E1B0000}"/>
    <cellStyle name="Calculation 5 2 9 2 4" xfId="14928" xr:uid="{00000000-0005-0000-0000-00006F1B0000}"/>
    <cellStyle name="Calculation 5 2 9 3" xfId="7838" xr:uid="{00000000-0005-0000-0000-0000701B0000}"/>
    <cellStyle name="Calculation 5 2 9 3 2" xfId="26810" xr:uid="{00000000-0005-0000-0000-0000711B0000}"/>
    <cellStyle name="Calculation 5 2 9 3 3" xfId="37655" xr:uid="{00000000-0005-0000-0000-0000721B0000}"/>
    <cellStyle name="Calculation 5 2 9 3 4" xfId="16841" xr:uid="{00000000-0005-0000-0000-0000731B0000}"/>
    <cellStyle name="Calculation 5 2 9 4" xfId="10497" xr:uid="{00000000-0005-0000-0000-0000741B0000}"/>
    <cellStyle name="Calculation 5 2 9 4 2" xfId="29469" xr:uid="{00000000-0005-0000-0000-0000751B0000}"/>
    <cellStyle name="Calculation 5 2 9 4 3" xfId="40314" xr:uid="{00000000-0005-0000-0000-0000761B0000}"/>
    <cellStyle name="Calculation 5 2 9 4 4" xfId="18745" xr:uid="{00000000-0005-0000-0000-0000771B0000}"/>
    <cellStyle name="Calculation 5 2 9 5" xfId="21293" xr:uid="{00000000-0005-0000-0000-0000781B0000}"/>
    <cellStyle name="Calculation 5 2 9 6" xfId="32138" xr:uid="{00000000-0005-0000-0000-0000791B0000}"/>
    <cellStyle name="Calculation 5 2 9 7" xfId="12891" xr:uid="{00000000-0005-0000-0000-00007A1B0000}"/>
    <cellStyle name="Calculation 5 3" xfId="601" xr:uid="{00000000-0005-0000-0000-00007B1B0000}"/>
    <cellStyle name="Calculation 5 3 10" xfId="19608" xr:uid="{00000000-0005-0000-0000-00007C1B0000}"/>
    <cellStyle name="Calculation 5 3 11" xfId="30453" xr:uid="{00000000-0005-0000-0000-00007D1B0000}"/>
    <cellStyle name="Calculation 5 3 12" xfId="11663" xr:uid="{00000000-0005-0000-0000-00007E1B0000}"/>
    <cellStyle name="Calculation 5 3 2" xfId="1205" xr:uid="{00000000-0005-0000-0000-00007F1B0000}"/>
    <cellStyle name="Calculation 5 3 2 2" xfId="4058" xr:uid="{00000000-0005-0000-0000-0000801B0000}"/>
    <cellStyle name="Calculation 5 3 2 2 2" xfId="23030" xr:uid="{00000000-0005-0000-0000-0000811B0000}"/>
    <cellStyle name="Calculation 5 3 2 2 3" xfId="33875" xr:uid="{00000000-0005-0000-0000-0000821B0000}"/>
    <cellStyle name="Calculation 5 3 2 2 4" xfId="14138" xr:uid="{00000000-0005-0000-0000-0000831B0000}"/>
    <cellStyle name="Calculation 5 3 2 3" xfId="6731" xr:uid="{00000000-0005-0000-0000-0000841B0000}"/>
    <cellStyle name="Calculation 5 3 2 3 2" xfId="25703" xr:uid="{00000000-0005-0000-0000-0000851B0000}"/>
    <cellStyle name="Calculation 5 3 2 3 3" xfId="36548" xr:uid="{00000000-0005-0000-0000-0000861B0000}"/>
    <cellStyle name="Calculation 5 3 2 3 4" xfId="16053" xr:uid="{00000000-0005-0000-0000-0000871B0000}"/>
    <cellStyle name="Calculation 5 3 2 4" xfId="9390" xr:uid="{00000000-0005-0000-0000-0000881B0000}"/>
    <cellStyle name="Calculation 5 3 2 4 2" xfId="28362" xr:uid="{00000000-0005-0000-0000-0000891B0000}"/>
    <cellStyle name="Calculation 5 3 2 4 3" xfId="39207" xr:uid="{00000000-0005-0000-0000-00008A1B0000}"/>
    <cellStyle name="Calculation 5 3 2 4 4" xfId="17957" xr:uid="{00000000-0005-0000-0000-00008B1B0000}"/>
    <cellStyle name="Calculation 5 3 2 5" xfId="20186" xr:uid="{00000000-0005-0000-0000-00008C1B0000}"/>
    <cellStyle name="Calculation 5 3 2 6" xfId="31031" xr:uid="{00000000-0005-0000-0000-00008D1B0000}"/>
    <cellStyle name="Calculation 5 3 2 7" xfId="12103" xr:uid="{00000000-0005-0000-0000-00008E1B0000}"/>
    <cellStyle name="Calculation 5 3 3" xfId="1603" xr:uid="{00000000-0005-0000-0000-00008F1B0000}"/>
    <cellStyle name="Calculation 5 3 3 2" xfId="4456" xr:uid="{00000000-0005-0000-0000-0000901B0000}"/>
    <cellStyle name="Calculation 5 3 3 2 2" xfId="23428" xr:uid="{00000000-0005-0000-0000-0000911B0000}"/>
    <cellStyle name="Calculation 5 3 3 2 3" xfId="34273" xr:uid="{00000000-0005-0000-0000-0000921B0000}"/>
    <cellStyle name="Calculation 5 3 3 2 4" xfId="14425" xr:uid="{00000000-0005-0000-0000-0000931B0000}"/>
    <cellStyle name="Calculation 5 3 3 3" xfId="7128" xr:uid="{00000000-0005-0000-0000-0000941B0000}"/>
    <cellStyle name="Calculation 5 3 3 3 2" xfId="26100" xr:uid="{00000000-0005-0000-0000-0000951B0000}"/>
    <cellStyle name="Calculation 5 3 3 3 3" xfId="36945" xr:uid="{00000000-0005-0000-0000-0000961B0000}"/>
    <cellStyle name="Calculation 5 3 3 3 4" xfId="16339" xr:uid="{00000000-0005-0000-0000-0000971B0000}"/>
    <cellStyle name="Calculation 5 3 3 4" xfId="9787" xr:uid="{00000000-0005-0000-0000-0000981B0000}"/>
    <cellStyle name="Calculation 5 3 3 4 2" xfId="28759" xr:uid="{00000000-0005-0000-0000-0000991B0000}"/>
    <cellStyle name="Calculation 5 3 3 4 3" xfId="39604" xr:uid="{00000000-0005-0000-0000-00009A1B0000}"/>
    <cellStyle name="Calculation 5 3 3 4 4" xfId="18243" xr:uid="{00000000-0005-0000-0000-00009B1B0000}"/>
    <cellStyle name="Calculation 5 3 3 5" xfId="20583" xr:uid="{00000000-0005-0000-0000-00009C1B0000}"/>
    <cellStyle name="Calculation 5 3 3 6" xfId="31428" xr:uid="{00000000-0005-0000-0000-00009D1B0000}"/>
    <cellStyle name="Calculation 5 3 3 7" xfId="12389" xr:uid="{00000000-0005-0000-0000-00009E1B0000}"/>
    <cellStyle name="Calculation 5 3 4" xfId="2005" xr:uid="{00000000-0005-0000-0000-00009F1B0000}"/>
    <cellStyle name="Calculation 5 3 4 2" xfId="4858" xr:uid="{00000000-0005-0000-0000-0000A01B0000}"/>
    <cellStyle name="Calculation 5 3 4 2 2" xfId="23830" xr:uid="{00000000-0005-0000-0000-0000A11B0000}"/>
    <cellStyle name="Calculation 5 3 4 2 3" xfId="34675" xr:uid="{00000000-0005-0000-0000-0000A21B0000}"/>
    <cellStyle name="Calculation 5 3 4 2 4" xfId="14711" xr:uid="{00000000-0005-0000-0000-0000A31B0000}"/>
    <cellStyle name="Calculation 5 3 4 3" xfId="7530" xr:uid="{00000000-0005-0000-0000-0000A41B0000}"/>
    <cellStyle name="Calculation 5 3 4 3 2" xfId="26502" xr:uid="{00000000-0005-0000-0000-0000A51B0000}"/>
    <cellStyle name="Calculation 5 3 4 3 3" xfId="37347" xr:uid="{00000000-0005-0000-0000-0000A61B0000}"/>
    <cellStyle name="Calculation 5 3 4 3 4" xfId="16625" xr:uid="{00000000-0005-0000-0000-0000A71B0000}"/>
    <cellStyle name="Calculation 5 3 4 4" xfId="10189" xr:uid="{00000000-0005-0000-0000-0000A81B0000}"/>
    <cellStyle name="Calculation 5 3 4 4 2" xfId="29161" xr:uid="{00000000-0005-0000-0000-0000A91B0000}"/>
    <cellStyle name="Calculation 5 3 4 4 3" xfId="40006" xr:uid="{00000000-0005-0000-0000-0000AA1B0000}"/>
    <cellStyle name="Calculation 5 3 4 4 4" xfId="18529" xr:uid="{00000000-0005-0000-0000-0000AB1B0000}"/>
    <cellStyle name="Calculation 5 3 4 5" xfId="20985" xr:uid="{00000000-0005-0000-0000-0000AC1B0000}"/>
    <cellStyle name="Calculation 5 3 4 6" xfId="31830" xr:uid="{00000000-0005-0000-0000-0000AD1B0000}"/>
    <cellStyle name="Calculation 5 3 4 7" xfId="12675" xr:uid="{00000000-0005-0000-0000-0000AE1B0000}"/>
    <cellStyle name="Calculation 5 3 5" xfId="2397" xr:uid="{00000000-0005-0000-0000-0000AF1B0000}"/>
    <cellStyle name="Calculation 5 3 5 2" xfId="5250" xr:uid="{00000000-0005-0000-0000-0000B01B0000}"/>
    <cellStyle name="Calculation 5 3 5 2 2" xfId="24222" xr:uid="{00000000-0005-0000-0000-0000B11B0000}"/>
    <cellStyle name="Calculation 5 3 5 2 3" xfId="35067" xr:uid="{00000000-0005-0000-0000-0000B21B0000}"/>
    <cellStyle name="Calculation 5 3 5 2 4" xfId="14992" xr:uid="{00000000-0005-0000-0000-0000B31B0000}"/>
    <cellStyle name="Calculation 5 3 5 3" xfId="7921" xr:uid="{00000000-0005-0000-0000-0000B41B0000}"/>
    <cellStyle name="Calculation 5 3 5 3 2" xfId="26893" xr:uid="{00000000-0005-0000-0000-0000B51B0000}"/>
    <cellStyle name="Calculation 5 3 5 3 3" xfId="37738" xr:uid="{00000000-0005-0000-0000-0000B61B0000}"/>
    <cellStyle name="Calculation 5 3 5 3 4" xfId="16905" xr:uid="{00000000-0005-0000-0000-0000B71B0000}"/>
    <cellStyle name="Calculation 5 3 5 4" xfId="10580" xr:uid="{00000000-0005-0000-0000-0000B81B0000}"/>
    <cellStyle name="Calculation 5 3 5 4 2" xfId="29552" xr:uid="{00000000-0005-0000-0000-0000B91B0000}"/>
    <cellStyle name="Calculation 5 3 5 4 3" xfId="40397" xr:uid="{00000000-0005-0000-0000-0000BA1B0000}"/>
    <cellStyle name="Calculation 5 3 5 4 4" xfId="18809" xr:uid="{00000000-0005-0000-0000-0000BB1B0000}"/>
    <cellStyle name="Calculation 5 3 5 5" xfId="21376" xr:uid="{00000000-0005-0000-0000-0000BC1B0000}"/>
    <cellStyle name="Calculation 5 3 5 6" xfId="32221" xr:uid="{00000000-0005-0000-0000-0000BD1B0000}"/>
    <cellStyle name="Calculation 5 3 5 7" xfId="12955" xr:uid="{00000000-0005-0000-0000-0000BE1B0000}"/>
    <cellStyle name="Calculation 5 3 6" xfId="2786" xr:uid="{00000000-0005-0000-0000-0000BF1B0000}"/>
    <cellStyle name="Calculation 5 3 6 2" xfId="5638" xr:uid="{00000000-0005-0000-0000-0000C01B0000}"/>
    <cellStyle name="Calculation 5 3 6 2 2" xfId="24610" xr:uid="{00000000-0005-0000-0000-0000C11B0000}"/>
    <cellStyle name="Calculation 5 3 6 2 3" xfId="35455" xr:uid="{00000000-0005-0000-0000-0000C21B0000}"/>
    <cellStyle name="Calculation 5 3 6 2 4" xfId="15270" xr:uid="{00000000-0005-0000-0000-0000C31B0000}"/>
    <cellStyle name="Calculation 5 3 6 3" xfId="8309" xr:uid="{00000000-0005-0000-0000-0000C41B0000}"/>
    <cellStyle name="Calculation 5 3 6 3 2" xfId="27281" xr:uid="{00000000-0005-0000-0000-0000C51B0000}"/>
    <cellStyle name="Calculation 5 3 6 3 3" xfId="38126" xr:uid="{00000000-0005-0000-0000-0000C61B0000}"/>
    <cellStyle name="Calculation 5 3 6 3 4" xfId="17183" xr:uid="{00000000-0005-0000-0000-0000C71B0000}"/>
    <cellStyle name="Calculation 5 3 6 4" xfId="10968" xr:uid="{00000000-0005-0000-0000-0000C81B0000}"/>
    <cellStyle name="Calculation 5 3 6 4 2" xfId="29940" xr:uid="{00000000-0005-0000-0000-0000C91B0000}"/>
    <cellStyle name="Calculation 5 3 6 4 3" xfId="40785" xr:uid="{00000000-0005-0000-0000-0000CA1B0000}"/>
    <cellStyle name="Calculation 5 3 6 4 4" xfId="19087" xr:uid="{00000000-0005-0000-0000-0000CB1B0000}"/>
    <cellStyle name="Calculation 5 3 6 5" xfId="21764" xr:uid="{00000000-0005-0000-0000-0000CC1B0000}"/>
    <cellStyle name="Calculation 5 3 6 6" xfId="32609" xr:uid="{00000000-0005-0000-0000-0000CD1B0000}"/>
    <cellStyle name="Calculation 5 3 6 7" xfId="13233" xr:uid="{00000000-0005-0000-0000-0000CE1B0000}"/>
    <cellStyle name="Calculation 5 3 7" xfId="3477" xr:uid="{00000000-0005-0000-0000-0000CF1B0000}"/>
    <cellStyle name="Calculation 5 3 7 2" xfId="22449" xr:uid="{00000000-0005-0000-0000-0000D01B0000}"/>
    <cellStyle name="Calculation 5 3 7 3" xfId="33294" xr:uid="{00000000-0005-0000-0000-0000D11B0000}"/>
    <cellStyle name="Calculation 5 3 7 4" xfId="13715" xr:uid="{00000000-0005-0000-0000-0000D21B0000}"/>
    <cellStyle name="Calculation 5 3 8" xfId="6153" xr:uid="{00000000-0005-0000-0000-0000D31B0000}"/>
    <cellStyle name="Calculation 5 3 8 2" xfId="25125" xr:uid="{00000000-0005-0000-0000-0000D41B0000}"/>
    <cellStyle name="Calculation 5 3 8 3" xfId="35970" xr:uid="{00000000-0005-0000-0000-0000D51B0000}"/>
    <cellStyle name="Calculation 5 3 8 4" xfId="15632" xr:uid="{00000000-0005-0000-0000-0000D61B0000}"/>
    <cellStyle name="Calculation 5 3 9" xfId="8812" xr:uid="{00000000-0005-0000-0000-0000D71B0000}"/>
    <cellStyle name="Calculation 5 3 9 2" xfId="27784" xr:uid="{00000000-0005-0000-0000-0000D81B0000}"/>
    <cellStyle name="Calculation 5 3 9 3" xfId="38629" xr:uid="{00000000-0005-0000-0000-0000D91B0000}"/>
    <cellStyle name="Calculation 5 3 9 4" xfId="17536" xr:uid="{00000000-0005-0000-0000-0000DA1B0000}"/>
    <cellStyle name="Calculation 5 4" xfId="11487" xr:uid="{00000000-0005-0000-0000-0000DB1B0000}"/>
    <cellStyle name="Calculation 6" xfId="247" xr:uid="{00000000-0005-0000-0000-0000DC1B0000}"/>
    <cellStyle name="Calculation 6 2" xfId="422" xr:uid="{00000000-0005-0000-0000-0000DD1B0000}"/>
    <cellStyle name="Calculation 6 2 10" xfId="2704" xr:uid="{00000000-0005-0000-0000-0000DE1B0000}"/>
    <cellStyle name="Calculation 6 2 10 2" xfId="5556" xr:uid="{00000000-0005-0000-0000-0000DF1B0000}"/>
    <cellStyle name="Calculation 6 2 10 2 2" xfId="24528" xr:uid="{00000000-0005-0000-0000-0000E01B0000}"/>
    <cellStyle name="Calculation 6 2 10 2 3" xfId="35373" xr:uid="{00000000-0005-0000-0000-0000E11B0000}"/>
    <cellStyle name="Calculation 6 2 10 2 4" xfId="15207" xr:uid="{00000000-0005-0000-0000-0000E21B0000}"/>
    <cellStyle name="Calculation 6 2 10 3" xfId="8227" xr:uid="{00000000-0005-0000-0000-0000E31B0000}"/>
    <cellStyle name="Calculation 6 2 10 3 2" xfId="27199" xr:uid="{00000000-0005-0000-0000-0000E41B0000}"/>
    <cellStyle name="Calculation 6 2 10 3 3" xfId="38044" xr:uid="{00000000-0005-0000-0000-0000E51B0000}"/>
    <cellStyle name="Calculation 6 2 10 3 4" xfId="17120" xr:uid="{00000000-0005-0000-0000-0000E61B0000}"/>
    <cellStyle name="Calculation 6 2 10 4" xfId="10886" xr:uid="{00000000-0005-0000-0000-0000E71B0000}"/>
    <cellStyle name="Calculation 6 2 10 4 2" xfId="29858" xr:uid="{00000000-0005-0000-0000-0000E81B0000}"/>
    <cellStyle name="Calculation 6 2 10 4 3" xfId="40703" xr:uid="{00000000-0005-0000-0000-0000E91B0000}"/>
    <cellStyle name="Calculation 6 2 10 4 4" xfId="19024" xr:uid="{00000000-0005-0000-0000-0000EA1B0000}"/>
    <cellStyle name="Calculation 6 2 10 5" xfId="21682" xr:uid="{00000000-0005-0000-0000-0000EB1B0000}"/>
    <cellStyle name="Calculation 6 2 10 6" xfId="32527" xr:uid="{00000000-0005-0000-0000-0000EC1B0000}"/>
    <cellStyle name="Calculation 6 2 10 7" xfId="13170" xr:uid="{00000000-0005-0000-0000-0000ED1B0000}"/>
    <cellStyle name="Calculation 6 2 11" xfId="3089" xr:uid="{00000000-0005-0000-0000-0000EE1B0000}"/>
    <cellStyle name="Calculation 6 2 11 2" xfId="5940" xr:uid="{00000000-0005-0000-0000-0000EF1B0000}"/>
    <cellStyle name="Calculation 6 2 11 2 2" xfId="24912" xr:uid="{00000000-0005-0000-0000-0000F01B0000}"/>
    <cellStyle name="Calculation 6 2 11 2 3" xfId="35757" xr:uid="{00000000-0005-0000-0000-0000F11B0000}"/>
    <cellStyle name="Calculation 6 2 11 2 4" xfId="15482" xr:uid="{00000000-0005-0000-0000-0000F21B0000}"/>
    <cellStyle name="Calculation 6 2 11 3" xfId="8611" xr:uid="{00000000-0005-0000-0000-0000F31B0000}"/>
    <cellStyle name="Calculation 6 2 11 3 2" xfId="27583" xr:uid="{00000000-0005-0000-0000-0000F41B0000}"/>
    <cellStyle name="Calculation 6 2 11 3 3" xfId="38428" xr:uid="{00000000-0005-0000-0000-0000F51B0000}"/>
    <cellStyle name="Calculation 6 2 11 3 4" xfId="17395" xr:uid="{00000000-0005-0000-0000-0000F61B0000}"/>
    <cellStyle name="Calculation 6 2 11 4" xfId="11270" xr:uid="{00000000-0005-0000-0000-0000F71B0000}"/>
    <cellStyle name="Calculation 6 2 11 4 2" xfId="30242" xr:uid="{00000000-0005-0000-0000-0000F81B0000}"/>
    <cellStyle name="Calculation 6 2 11 4 3" xfId="41087" xr:uid="{00000000-0005-0000-0000-0000F91B0000}"/>
    <cellStyle name="Calculation 6 2 11 4 4" xfId="19299" xr:uid="{00000000-0005-0000-0000-0000FA1B0000}"/>
    <cellStyle name="Calculation 6 2 11 5" xfId="22066" xr:uid="{00000000-0005-0000-0000-0000FB1B0000}"/>
    <cellStyle name="Calculation 6 2 11 6" xfId="32911" xr:uid="{00000000-0005-0000-0000-0000FC1B0000}"/>
    <cellStyle name="Calculation 6 2 11 7" xfId="13445" xr:uid="{00000000-0005-0000-0000-0000FD1B0000}"/>
    <cellStyle name="Calculation 6 2 12" xfId="3146" xr:uid="{00000000-0005-0000-0000-0000FE1B0000}"/>
    <cellStyle name="Calculation 6 2 12 2" xfId="5997" xr:uid="{00000000-0005-0000-0000-0000FF1B0000}"/>
    <cellStyle name="Calculation 6 2 12 2 2" xfId="24969" xr:uid="{00000000-0005-0000-0000-0000001C0000}"/>
    <cellStyle name="Calculation 6 2 12 2 3" xfId="35814" xr:uid="{00000000-0005-0000-0000-0000011C0000}"/>
    <cellStyle name="Calculation 6 2 12 2 4" xfId="15519" xr:uid="{00000000-0005-0000-0000-0000021C0000}"/>
    <cellStyle name="Calculation 6 2 12 3" xfId="8668" xr:uid="{00000000-0005-0000-0000-0000031C0000}"/>
    <cellStyle name="Calculation 6 2 12 3 2" xfId="27640" xr:uid="{00000000-0005-0000-0000-0000041C0000}"/>
    <cellStyle name="Calculation 6 2 12 3 3" xfId="38485" xr:uid="{00000000-0005-0000-0000-0000051C0000}"/>
    <cellStyle name="Calculation 6 2 12 3 4" xfId="17432" xr:uid="{00000000-0005-0000-0000-0000061C0000}"/>
    <cellStyle name="Calculation 6 2 12 4" xfId="11327" xr:uid="{00000000-0005-0000-0000-0000071C0000}"/>
    <cellStyle name="Calculation 6 2 12 4 2" xfId="30299" xr:uid="{00000000-0005-0000-0000-0000081C0000}"/>
    <cellStyle name="Calculation 6 2 12 4 3" xfId="41144" xr:uid="{00000000-0005-0000-0000-0000091C0000}"/>
    <cellStyle name="Calculation 6 2 12 4 4" xfId="19336" xr:uid="{00000000-0005-0000-0000-00000A1C0000}"/>
    <cellStyle name="Calculation 6 2 12 5" xfId="22123" xr:uid="{00000000-0005-0000-0000-00000B1C0000}"/>
    <cellStyle name="Calculation 6 2 12 6" xfId="32968" xr:uid="{00000000-0005-0000-0000-00000C1C0000}"/>
    <cellStyle name="Calculation 6 2 12 7" xfId="13482" xr:uid="{00000000-0005-0000-0000-00000D1C0000}"/>
    <cellStyle name="Calculation 6 2 13" xfId="3203" xr:uid="{00000000-0005-0000-0000-00000E1C0000}"/>
    <cellStyle name="Calculation 6 2 13 2" xfId="6054" xr:uid="{00000000-0005-0000-0000-00000F1C0000}"/>
    <cellStyle name="Calculation 6 2 13 2 2" xfId="25026" xr:uid="{00000000-0005-0000-0000-0000101C0000}"/>
    <cellStyle name="Calculation 6 2 13 2 3" xfId="35871" xr:uid="{00000000-0005-0000-0000-0000111C0000}"/>
    <cellStyle name="Calculation 6 2 13 2 4" xfId="15556" xr:uid="{00000000-0005-0000-0000-0000121C0000}"/>
    <cellStyle name="Calculation 6 2 13 3" xfId="8725" xr:uid="{00000000-0005-0000-0000-0000131C0000}"/>
    <cellStyle name="Calculation 6 2 13 3 2" xfId="27697" xr:uid="{00000000-0005-0000-0000-0000141C0000}"/>
    <cellStyle name="Calculation 6 2 13 3 3" xfId="38542" xr:uid="{00000000-0005-0000-0000-0000151C0000}"/>
    <cellStyle name="Calculation 6 2 13 3 4" xfId="17469" xr:uid="{00000000-0005-0000-0000-0000161C0000}"/>
    <cellStyle name="Calculation 6 2 13 4" xfId="11384" xr:uid="{00000000-0005-0000-0000-0000171C0000}"/>
    <cellStyle name="Calculation 6 2 13 4 2" xfId="30356" xr:uid="{00000000-0005-0000-0000-0000181C0000}"/>
    <cellStyle name="Calculation 6 2 13 4 3" xfId="41201" xr:uid="{00000000-0005-0000-0000-0000191C0000}"/>
    <cellStyle name="Calculation 6 2 13 4 4" xfId="19373" xr:uid="{00000000-0005-0000-0000-00001A1C0000}"/>
    <cellStyle name="Calculation 6 2 13 5" xfId="22180" xr:uid="{00000000-0005-0000-0000-00001B1C0000}"/>
    <cellStyle name="Calculation 6 2 13 6" xfId="33025" xr:uid="{00000000-0005-0000-0000-00001C1C0000}"/>
    <cellStyle name="Calculation 6 2 13 7" xfId="13519" xr:uid="{00000000-0005-0000-0000-00001D1C0000}"/>
    <cellStyle name="Calculation 6 2 14" xfId="3372" xr:uid="{00000000-0005-0000-0000-00001E1C0000}"/>
    <cellStyle name="Calculation 6 2 14 2" xfId="22346" xr:uid="{00000000-0005-0000-0000-00001F1C0000}"/>
    <cellStyle name="Calculation 6 2 14 3" xfId="33191" xr:uid="{00000000-0005-0000-0000-0000201C0000}"/>
    <cellStyle name="Calculation 6 2 14 4" xfId="13636" xr:uid="{00000000-0005-0000-0000-0000211C0000}"/>
    <cellStyle name="Calculation 6 2 15" xfId="3316" xr:uid="{00000000-0005-0000-0000-0000221C0000}"/>
    <cellStyle name="Calculation 6 2 15 2" xfId="22290" xr:uid="{00000000-0005-0000-0000-0000231C0000}"/>
    <cellStyle name="Calculation 6 2 15 3" xfId="33135" xr:uid="{00000000-0005-0000-0000-0000241C0000}"/>
    <cellStyle name="Calculation 6 2 15 4" xfId="13599" xr:uid="{00000000-0005-0000-0000-0000251C0000}"/>
    <cellStyle name="Calculation 6 2 16" xfId="6070" xr:uid="{00000000-0005-0000-0000-0000261C0000}"/>
    <cellStyle name="Calculation 6 2 16 2" xfId="25042" xr:uid="{00000000-0005-0000-0000-0000271C0000}"/>
    <cellStyle name="Calculation 6 2 16 3" xfId="35887" xr:uid="{00000000-0005-0000-0000-0000281C0000}"/>
    <cellStyle name="Calculation 6 2 16 4" xfId="15564" xr:uid="{00000000-0005-0000-0000-0000291C0000}"/>
    <cellStyle name="Calculation 6 2 17" xfId="19500" xr:uid="{00000000-0005-0000-0000-00002A1C0000}"/>
    <cellStyle name="Calculation 6 2 18" xfId="19386" xr:uid="{00000000-0005-0000-0000-00002B1C0000}"/>
    <cellStyle name="Calculation 6 2 19" xfId="11549" xr:uid="{00000000-0005-0000-0000-00002C1C0000}"/>
    <cellStyle name="Calculation 6 2 2" xfId="713" xr:uid="{00000000-0005-0000-0000-00002D1C0000}"/>
    <cellStyle name="Calculation 6 2 2 10" xfId="19698" xr:uid="{00000000-0005-0000-0000-00002E1C0000}"/>
    <cellStyle name="Calculation 6 2 2 11" xfId="30543" xr:uid="{00000000-0005-0000-0000-00002F1C0000}"/>
    <cellStyle name="Calculation 6 2 2 12" xfId="11752" xr:uid="{00000000-0005-0000-0000-0000301C0000}"/>
    <cellStyle name="Calculation 6 2 2 2" xfId="1300" xr:uid="{00000000-0005-0000-0000-0000311C0000}"/>
    <cellStyle name="Calculation 6 2 2 2 2" xfId="4153" xr:uid="{00000000-0005-0000-0000-0000321C0000}"/>
    <cellStyle name="Calculation 6 2 2 2 2 2" xfId="23125" xr:uid="{00000000-0005-0000-0000-0000331C0000}"/>
    <cellStyle name="Calculation 6 2 2 2 2 3" xfId="33970" xr:uid="{00000000-0005-0000-0000-0000341C0000}"/>
    <cellStyle name="Calculation 6 2 2 2 2 4" xfId="14213" xr:uid="{00000000-0005-0000-0000-0000351C0000}"/>
    <cellStyle name="Calculation 6 2 2 2 3" xfId="6826" xr:uid="{00000000-0005-0000-0000-0000361C0000}"/>
    <cellStyle name="Calculation 6 2 2 2 3 2" xfId="25798" xr:uid="{00000000-0005-0000-0000-0000371C0000}"/>
    <cellStyle name="Calculation 6 2 2 2 3 3" xfId="36643" xr:uid="{00000000-0005-0000-0000-0000381C0000}"/>
    <cellStyle name="Calculation 6 2 2 2 3 4" xfId="16128" xr:uid="{00000000-0005-0000-0000-0000391C0000}"/>
    <cellStyle name="Calculation 6 2 2 2 4" xfId="9485" xr:uid="{00000000-0005-0000-0000-00003A1C0000}"/>
    <cellStyle name="Calculation 6 2 2 2 4 2" xfId="28457" xr:uid="{00000000-0005-0000-0000-00003B1C0000}"/>
    <cellStyle name="Calculation 6 2 2 2 4 3" xfId="39302" xr:uid="{00000000-0005-0000-0000-00003C1C0000}"/>
    <cellStyle name="Calculation 6 2 2 2 4 4" xfId="18032" xr:uid="{00000000-0005-0000-0000-00003D1C0000}"/>
    <cellStyle name="Calculation 6 2 2 2 5" xfId="20281" xr:uid="{00000000-0005-0000-0000-00003E1C0000}"/>
    <cellStyle name="Calculation 6 2 2 2 6" xfId="31126" xr:uid="{00000000-0005-0000-0000-00003F1C0000}"/>
    <cellStyle name="Calculation 6 2 2 2 7" xfId="12178" xr:uid="{00000000-0005-0000-0000-0000401C0000}"/>
    <cellStyle name="Calculation 6 2 2 3" xfId="1699" xr:uid="{00000000-0005-0000-0000-0000411C0000}"/>
    <cellStyle name="Calculation 6 2 2 3 2" xfId="4552" xr:uid="{00000000-0005-0000-0000-0000421C0000}"/>
    <cellStyle name="Calculation 6 2 2 3 2 2" xfId="23524" xr:uid="{00000000-0005-0000-0000-0000431C0000}"/>
    <cellStyle name="Calculation 6 2 2 3 2 3" xfId="34369" xr:uid="{00000000-0005-0000-0000-0000441C0000}"/>
    <cellStyle name="Calculation 6 2 2 3 2 4" xfId="14500" xr:uid="{00000000-0005-0000-0000-0000451C0000}"/>
    <cellStyle name="Calculation 6 2 2 3 3" xfId="7224" xr:uid="{00000000-0005-0000-0000-0000461C0000}"/>
    <cellStyle name="Calculation 6 2 2 3 3 2" xfId="26196" xr:uid="{00000000-0005-0000-0000-0000471C0000}"/>
    <cellStyle name="Calculation 6 2 2 3 3 3" xfId="37041" xr:uid="{00000000-0005-0000-0000-0000481C0000}"/>
    <cellStyle name="Calculation 6 2 2 3 3 4" xfId="16414" xr:uid="{00000000-0005-0000-0000-0000491C0000}"/>
    <cellStyle name="Calculation 6 2 2 3 4" xfId="9883" xr:uid="{00000000-0005-0000-0000-00004A1C0000}"/>
    <cellStyle name="Calculation 6 2 2 3 4 2" xfId="28855" xr:uid="{00000000-0005-0000-0000-00004B1C0000}"/>
    <cellStyle name="Calculation 6 2 2 3 4 3" xfId="39700" xr:uid="{00000000-0005-0000-0000-00004C1C0000}"/>
    <cellStyle name="Calculation 6 2 2 3 4 4" xfId="18318" xr:uid="{00000000-0005-0000-0000-00004D1C0000}"/>
    <cellStyle name="Calculation 6 2 2 3 5" xfId="20679" xr:uid="{00000000-0005-0000-0000-00004E1C0000}"/>
    <cellStyle name="Calculation 6 2 2 3 6" xfId="31524" xr:uid="{00000000-0005-0000-0000-00004F1C0000}"/>
    <cellStyle name="Calculation 6 2 2 3 7" xfId="12464" xr:uid="{00000000-0005-0000-0000-0000501C0000}"/>
    <cellStyle name="Calculation 6 2 2 4" xfId="2103" xr:uid="{00000000-0005-0000-0000-0000511C0000}"/>
    <cellStyle name="Calculation 6 2 2 4 2" xfId="4956" xr:uid="{00000000-0005-0000-0000-0000521C0000}"/>
    <cellStyle name="Calculation 6 2 2 4 2 2" xfId="23928" xr:uid="{00000000-0005-0000-0000-0000531C0000}"/>
    <cellStyle name="Calculation 6 2 2 4 2 3" xfId="34773" xr:uid="{00000000-0005-0000-0000-0000541C0000}"/>
    <cellStyle name="Calculation 6 2 2 4 2 4" xfId="14787" xr:uid="{00000000-0005-0000-0000-0000551C0000}"/>
    <cellStyle name="Calculation 6 2 2 4 3" xfId="7627" xr:uid="{00000000-0005-0000-0000-0000561C0000}"/>
    <cellStyle name="Calculation 6 2 2 4 3 2" xfId="26599" xr:uid="{00000000-0005-0000-0000-0000571C0000}"/>
    <cellStyle name="Calculation 6 2 2 4 3 3" xfId="37444" xr:uid="{00000000-0005-0000-0000-0000581C0000}"/>
    <cellStyle name="Calculation 6 2 2 4 3 4" xfId="16700" xr:uid="{00000000-0005-0000-0000-0000591C0000}"/>
    <cellStyle name="Calculation 6 2 2 4 4" xfId="10286" xr:uid="{00000000-0005-0000-0000-00005A1C0000}"/>
    <cellStyle name="Calculation 6 2 2 4 4 2" xfId="29258" xr:uid="{00000000-0005-0000-0000-00005B1C0000}"/>
    <cellStyle name="Calculation 6 2 2 4 4 3" xfId="40103" xr:uid="{00000000-0005-0000-0000-00005C1C0000}"/>
    <cellStyle name="Calculation 6 2 2 4 4 4" xfId="18604" xr:uid="{00000000-0005-0000-0000-00005D1C0000}"/>
    <cellStyle name="Calculation 6 2 2 4 5" xfId="21082" xr:uid="{00000000-0005-0000-0000-00005E1C0000}"/>
    <cellStyle name="Calculation 6 2 2 4 6" xfId="31927" xr:uid="{00000000-0005-0000-0000-00005F1C0000}"/>
    <cellStyle name="Calculation 6 2 2 4 7" xfId="12750" xr:uid="{00000000-0005-0000-0000-0000601C0000}"/>
    <cellStyle name="Calculation 6 2 2 5" xfId="2493" xr:uid="{00000000-0005-0000-0000-0000611C0000}"/>
    <cellStyle name="Calculation 6 2 2 5 2" xfId="5345" xr:uid="{00000000-0005-0000-0000-0000621C0000}"/>
    <cellStyle name="Calculation 6 2 2 5 2 2" xfId="24317" xr:uid="{00000000-0005-0000-0000-0000631C0000}"/>
    <cellStyle name="Calculation 6 2 2 5 2 3" xfId="35162" xr:uid="{00000000-0005-0000-0000-0000641C0000}"/>
    <cellStyle name="Calculation 6 2 2 5 2 4" xfId="15066" xr:uid="{00000000-0005-0000-0000-0000651C0000}"/>
    <cellStyle name="Calculation 6 2 2 5 3" xfId="8016" xr:uid="{00000000-0005-0000-0000-0000661C0000}"/>
    <cellStyle name="Calculation 6 2 2 5 3 2" xfId="26988" xr:uid="{00000000-0005-0000-0000-0000671C0000}"/>
    <cellStyle name="Calculation 6 2 2 5 3 3" xfId="37833" xr:uid="{00000000-0005-0000-0000-0000681C0000}"/>
    <cellStyle name="Calculation 6 2 2 5 3 4" xfId="16979" xr:uid="{00000000-0005-0000-0000-0000691C0000}"/>
    <cellStyle name="Calculation 6 2 2 5 4" xfId="10675" xr:uid="{00000000-0005-0000-0000-00006A1C0000}"/>
    <cellStyle name="Calculation 6 2 2 5 4 2" xfId="29647" xr:uid="{00000000-0005-0000-0000-00006B1C0000}"/>
    <cellStyle name="Calculation 6 2 2 5 4 3" xfId="40492" xr:uid="{00000000-0005-0000-0000-00006C1C0000}"/>
    <cellStyle name="Calculation 6 2 2 5 4 4" xfId="18883" xr:uid="{00000000-0005-0000-0000-00006D1C0000}"/>
    <cellStyle name="Calculation 6 2 2 5 5" xfId="21471" xr:uid="{00000000-0005-0000-0000-00006E1C0000}"/>
    <cellStyle name="Calculation 6 2 2 5 6" xfId="32316" xr:uid="{00000000-0005-0000-0000-00006F1C0000}"/>
    <cellStyle name="Calculation 6 2 2 5 7" xfId="13029" xr:uid="{00000000-0005-0000-0000-0000701C0000}"/>
    <cellStyle name="Calculation 6 2 2 6" xfId="2879" xr:uid="{00000000-0005-0000-0000-0000711C0000}"/>
    <cellStyle name="Calculation 6 2 2 6 2" xfId="5730" xr:uid="{00000000-0005-0000-0000-0000721C0000}"/>
    <cellStyle name="Calculation 6 2 2 6 2 2" xfId="24702" xr:uid="{00000000-0005-0000-0000-0000731C0000}"/>
    <cellStyle name="Calculation 6 2 2 6 2 3" xfId="35547" xr:uid="{00000000-0005-0000-0000-0000741C0000}"/>
    <cellStyle name="Calculation 6 2 2 6 2 4" xfId="15342" xr:uid="{00000000-0005-0000-0000-0000751C0000}"/>
    <cellStyle name="Calculation 6 2 2 6 3" xfId="8401" xr:uid="{00000000-0005-0000-0000-0000761C0000}"/>
    <cellStyle name="Calculation 6 2 2 6 3 2" xfId="27373" xr:uid="{00000000-0005-0000-0000-0000771C0000}"/>
    <cellStyle name="Calculation 6 2 2 6 3 3" xfId="38218" xr:uid="{00000000-0005-0000-0000-0000781C0000}"/>
    <cellStyle name="Calculation 6 2 2 6 3 4" xfId="17255" xr:uid="{00000000-0005-0000-0000-0000791C0000}"/>
    <cellStyle name="Calculation 6 2 2 6 4" xfId="11060" xr:uid="{00000000-0005-0000-0000-00007A1C0000}"/>
    <cellStyle name="Calculation 6 2 2 6 4 2" xfId="30032" xr:uid="{00000000-0005-0000-0000-00007B1C0000}"/>
    <cellStyle name="Calculation 6 2 2 6 4 3" xfId="40877" xr:uid="{00000000-0005-0000-0000-00007C1C0000}"/>
    <cellStyle name="Calculation 6 2 2 6 4 4" xfId="19159" xr:uid="{00000000-0005-0000-0000-00007D1C0000}"/>
    <cellStyle name="Calculation 6 2 2 6 5" xfId="21856" xr:uid="{00000000-0005-0000-0000-00007E1C0000}"/>
    <cellStyle name="Calculation 6 2 2 6 6" xfId="32701" xr:uid="{00000000-0005-0000-0000-00007F1C0000}"/>
    <cellStyle name="Calculation 6 2 2 6 7" xfId="13305" xr:uid="{00000000-0005-0000-0000-0000801C0000}"/>
    <cellStyle name="Calculation 6 2 2 7" xfId="3568" xr:uid="{00000000-0005-0000-0000-0000811C0000}"/>
    <cellStyle name="Calculation 6 2 2 7 2" xfId="22540" xr:uid="{00000000-0005-0000-0000-0000821C0000}"/>
    <cellStyle name="Calculation 6 2 2 7 3" xfId="33385" xr:uid="{00000000-0005-0000-0000-0000831C0000}"/>
    <cellStyle name="Calculation 6 2 2 7 4" xfId="13786" xr:uid="{00000000-0005-0000-0000-0000841C0000}"/>
    <cellStyle name="Calculation 6 2 2 8" xfId="6243" xr:uid="{00000000-0005-0000-0000-0000851C0000}"/>
    <cellStyle name="Calculation 6 2 2 8 2" xfId="25215" xr:uid="{00000000-0005-0000-0000-0000861C0000}"/>
    <cellStyle name="Calculation 6 2 2 8 3" xfId="36060" xr:uid="{00000000-0005-0000-0000-0000871C0000}"/>
    <cellStyle name="Calculation 6 2 2 8 4" xfId="15702" xr:uid="{00000000-0005-0000-0000-0000881C0000}"/>
    <cellStyle name="Calculation 6 2 2 9" xfId="8902" xr:uid="{00000000-0005-0000-0000-0000891C0000}"/>
    <cellStyle name="Calculation 6 2 2 9 2" xfId="27874" xr:uid="{00000000-0005-0000-0000-00008A1C0000}"/>
    <cellStyle name="Calculation 6 2 2 9 3" xfId="38719" xr:uid="{00000000-0005-0000-0000-00008B1C0000}"/>
    <cellStyle name="Calculation 6 2 2 9 4" xfId="17606" xr:uid="{00000000-0005-0000-0000-00008C1C0000}"/>
    <cellStyle name="Calculation 6 2 3" xfId="772" xr:uid="{00000000-0005-0000-0000-00008D1C0000}"/>
    <cellStyle name="Calculation 6 2 3 10" xfId="19757" xr:uid="{00000000-0005-0000-0000-00008E1C0000}"/>
    <cellStyle name="Calculation 6 2 3 11" xfId="30602" xr:uid="{00000000-0005-0000-0000-00008F1C0000}"/>
    <cellStyle name="Calculation 6 2 3 12" xfId="11791" xr:uid="{00000000-0005-0000-0000-0000901C0000}"/>
    <cellStyle name="Calculation 6 2 3 2" xfId="1359" xr:uid="{00000000-0005-0000-0000-0000911C0000}"/>
    <cellStyle name="Calculation 6 2 3 2 2" xfId="4212" xr:uid="{00000000-0005-0000-0000-0000921C0000}"/>
    <cellStyle name="Calculation 6 2 3 2 2 2" xfId="23184" xr:uid="{00000000-0005-0000-0000-0000931C0000}"/>
    <cellStyle name="Calculation 6 2 3 2 2 3" xfId="34029" xr:uid="{00000000-0005-0000-0000-0000941C0000}"/>
    <cellStyle name="Calculation 6 2 3 2 2 4" xfId="14252" xr:uid="{00000000-0005-0000-0000-0000951C0000}"/>
    <cellStyle name="Calculation 6 2 3 2 3" xfId="6885" xr:uid="{00000000-0005-0000-0000-0000961C0000}"/>
    <cellStyle name="Calculation 6 2 3 2 3 2" xfId="25857" xr:uid="{00000000-0005-0000-0000-0000971C0000}"/>
    <cellStyle name="Calculation 6 2 3 2 3 3" xfId="36702" xr:uid="{00000000-0005-0000-0000-0000981C0000}"/>
    <cellStyle name="Calculation 6 2 3 2 3 4" xfId="16167" xr:uid="{00000000-0005-0000-0000-0000991C0000}"/>
    <cellStyle name="Calculation 6 2 3 2 4" xfId="9544" xr:uid="{00000000-0005-0000-0000-00009A1C0000}"/>
    <cellStyle name="Calculation 6 2 3 2 4 2" xfId="28516" xr:uid="{00000000-0005-0000-0000-00009B1C0000}"/>
    <cellStyle name="Calculation 6 2 3 2 4 3" xfId="39361" xr:uid="{00000000-0005-0000-0000-00009C1C0000}"/>
    <cellStyle name="Calculation 6 2 3 2 4 4" xfId="18071" xr:uid="{00000000-0005-0000-0000-00009D1C0000}"/>
    <cellStyle name="Calculation 6 2 3 2 5" xfId="20340" xr:uid="{00000000-0005-0000-0000-00009E1C0000}"/>
    <cellStyle name="Calculation 6 2 3 2 6" xfId="31185" xr:uid="{00000000-0005-0000-0000-00009F1C0000}"/>
    <cellStyle name="Calculation 6 2 3 2 7" xfId="12217" xr:uid="{00000000-0005-0000-0000-0000A01C0000}"/>
    <cellStyle name="Calculation 6 2 3 3" xfId="1758" xr:uid="{00000000-0005-0000-0000-0000A11C0000}"/>
    <cellStyle name="Calculation 6 2 3 3 2" xfId="4611" xr:uid="{00000000-0005-0000-0000-0000A21C0000}"/>
    <cellStyle name="Calculation 6 2 3 3 2 2" xfId="23583" xr:uid="{00000000-0005-0000-0000-0000A31C0000}"/>
    <cellStyle name="Calculation 6 2 3 3 2 3" xfId="34428" xr:uid="{00000000-0005-0000-0000-0000A41C0000}"/>
    <cellStyle name="Calculation 6 2 3 3 2 4" xfId="14539" xr:uid="{00000000-0005-0000-0000-0000A51C0000}"/>
    <cellStyle name="Calculation 6 2 3 3 3" xfId="7283" xr:uid="{00000000-0005-0000-0000-0000A61C0000}"/>
    <cellStyle name="Calculation 6 2 3 3 3 2" xfId="26255" xr:uid="{00000000-0005-0000-0000-0000A71C0000}"/>
    <cellStyle name="Calculation 6 2 3 3 3 3" xfId="37100" xr:uid="{00000000-0005-0000-0000-0000A81C0000}"/>
    <cellStyle name="Calculation 6 2 3 3 3 4" xfId="16453" xr:uid="{00000000-0005-0000-0000-0000A91C0000}"/>
    <cellStyle name="Calculation 6 2 3 3 4" xfId="9942" xr:uid="{00000000-0005-0000-0000-0000AA1C0000}"/>
    <cellStyle name="Calculation 6 2 3 3 4 2" xfId="28914" xr:uid="{00000000-0005-0000-0000-0000AB1C0000}"/>
    <cellStyle name="Calculation 6 2 3 3 4 3" xfId="39759" xr:uid="{00000000-0005-0000-0000-0000AC1C0000}"/>
    <cellStyle name="Calculation 6 2 3 3 4 4" xfId="18357" xr:uid="{00000000-0005-0000-0000-0000AD1C0000}"/>
    <cellStyle name="Calculation 6 2 3 3 5" xfId="20738" xr:uid="{00000000-0005-0000-0000-0000AE1C0000}"/>
    <cellStyle name="Calculation 6 2 3 3 6" xfId="31583" xr:uid="{00000000-0005-0000-0000-0000AF1C0000}"/>
    <cellStyle name="Calculation 6 2 3 3 7" xfId="12503" xr:uid="{00000000-0005-0000-0000-0000B01C0000}"/>
    <cellStyle name="Calculation 6 2 3 4" xfId="2162" xr:uid="{00000000-0005-0000-0000-0000B11C0000}"/>
    <cellStyle name="Calculation 6 2 3 4 2" xfId="5015" xr:uid="{00000000-0005-0000-0000-0000B21C0000}"/>
    <cellStyle name="Calculation 6 2 3 4 2 2" xfId="23987" xr:uid="{00000000-0005-0000-0000-0000B31C0000}"/>
    <cellStyle name="Calculation 6 2 3 4 2 3" xfId="34832" xr:uid="{00000000-0005-0000-0000-0000B41C0000}"/>
    <cellStyle name="Calculation 6 2 3 4 2 4" xfId="14826" xr:uid="{00000000-0005-0000-0000-0000B51C0000}"/>
    <cellStyle name="Calculation 6 2 3 4 3" xfId="7686" xr:uid="{00000000-0005-0000-0000-0000B61C0000}"/>
    <cellStyle name="Calculation 6 2 3 4 3 2" xfId="26658" xr:uid="{00000000-0005-0000-0000-0000B71C0000}"/>
    <cellStyle name="Calculation 6 2 3 4 3 3" xfId="37503" xr:uid="{00000000-0005-0000-0000-0000B81C0000}"/>
    <cellStyle name="Calculation 6 2 3 4 3 4" xfId="16739" xr:uid="{00000000-0005-0000-0000-0000B91C0000}"/>
    <cellStyle name="Calculation 6 2 3 4 4" xfId="10345" xr:uid="{00000000-0005-0000-0000-0000BA1C0000}"/>
    <cellStyle name="Calculation 6 2 3 4 4 2" xfId="29317" xr:uid="{00000000-0005-0000-0000-0000BB1C0000}"/>
    <cellStyle name="Calculation 6 2 3 4 4 3" xfId="40162" xr:uid="{00000000-0005-0000-0000-0000BC1C0000}"/>
    <cellStyle name="Calculation 6 2 3 4 4 4" xfId="18643" xr:uid="{00000000-0005-0000-0000-0000BD1C0000}"/>
    <cellStyle name="Calculation 6 2 3 4 5" xfId="21141" xr:uid="{00000000-0005-0000-0000-0000BE1C0000}"/>
    <cellStyle name="Calculation 6 2 3 4 6" xfId="31986" xr:uid="{00000000-0005-0000-0000-0000BF1C0000}"/>
    <cellStyle name="Calculation 6 2 3 4 7" xfId="12789" xr:uid="{00000000-0005-0000-0000-0000C01C0000}"/>
    <cellStyle name="Calculation 6 2 3 5" xfId="2552" xr:uid="{00000000-0005-0000-0000-0000C11C0000}"/>
    <cellStyle name="Calculation 6 2 3 5 2" xfId="5404" xr:uid="{00000000-0005-0000-0000-0000C21C0000}"/>
    <cellStyle name="Calculation 6 2 3 5 2 2" xfId="24376" xr:uid="{00000000-0005-0000-0000-0000C31C0000}"/>
    <cellStyle name="Calculation 6 2 3 5 2 3" xfId="35221" xr:uid="{00000000-0005-0000-0000-0000C41C0000}"/>
    <cellStyle name="Calculation 6 2 3 5 2 4" xfId="15105" xr:uid="{00000000-0005-0000-0000-0000C51C0000}"/>
    <cellStyle name="Calculation 6 2 3 5 3" xfId="8075" xr:uid="{00000000-0005-0000-0000-0000C61C0000}"/>
    <cellStyle name="Calculation 6 2 3 5 3 2" xfId="27047" xr:uid="{00000000-0005-0000-0000-0000C71C0000}"/>
    <cellStyle name="Calculation 6 2 3 5 3 3" xfId="37892" xr:uid="{00000000-0005-0000-0000-0000C81C0000}"/>
    <cellStyle name="Calculation 6 2 3 5 3 4" xfId="17018" xr:uid="{00000000-0005-0000-0000-0000C91C0000}"/>
    <cellStyle name="Calculation 6 2 3 5 4" xfId="10734" xr:uid="{00000000-0005-0000-0000-0000CA1C0000}"/>
    <cellStyle name="Calculation 6 2 3 5 4 2" xfId="29706" xr:uid="{00000000-0005-0000-0000-0000CB1C0000}"/>
    <cellStyle name="Calculation 6 2 3 5 4 3" xfId="40551" xr:uid="{00000000-0005-0000-0000-0000CC1C0000}"/>
    <cellStyle name="Calculation 6 2 3 5 4 4" xfId="18922" xr:uid="{00000000-0005-0000-0000-0000CD1C0000}"/>
    <cellStyle name="Calculation 6 2 3 5 5" xfId="21530" xr:uid="{00000000-0005-0000-0000-0000CE1C0000}"/>
    <cellStyle name="Calculation 6 2 3 5 6" xfId="32375" xr:uid="{00000000-0005-0000-0000-0000CF1C0000}"/>
    <cellStyle name="Calculation 6 2 3 5 7" xfId="13068" xr:uid="{00000000-0005-0000-0000-0000D01C0000}"/>
    <cellStyle name="Calculation 6 2 3 6" xfId="2938" xr:uid="{00000000-0005-0000-0000-0000D11C0000}"/>
    <cellStyle name="Calculation 6 2 3 6 2" xfId="5789" xr:uid="{00000000-0005-0000-0000-0000D21C0000}"/>
    <cellStyle name="Calculation 6 2 3 6 2 2" xfId="24761" xr:uid="{00000000-0005-0000-0000-0000D31C0000}"/>
    <cellStyle name="Calculation 6 2 3 6 2 3" xfId="35606" xr:uid="{00000000-0005-0000-0000-0000D41C0000}"/>
    <cellStyle name="Calculation 6 2 3 6 2 4" xfId="15381" xr:uid="{00000000-0005-0000-0000-0000D51C0000}"/>
    <cellStyle name="Calculation 6 2 3 6 3" xfId="8460" xr:uid="{00000000-0005-0000-0000-0000D61C0000}"/>
    <cellStyle name="Calculation 6 2 3 6 3 2" xfId="27432" xr:uid="{00000000-0005-0000-0000-0000D71C0000}"/>
    <cellStyle name="Calculation 6 2 3 6 3 3" xfId="38277" xr:uid="{00000000-0005-0000-0000-0000D81C0000}"/>
    <cellStyle name="Calculation 6 2 3 6 3 4" xfId="17294" xr:uid="{00000000-0005-0000-0000-0000D91C0000}"/>
    <cellStyle name="Calculation 6 2 3 6 4" xfId="11119" xr:uid="{00000000-0005-0000-0000-0000DA1C0000}"/>
    <cellStyle name="Calculation 6 2 3 6 4 2" xfId="30091" xr:uid="{00000000-0005-0000-0000-0000DB1C0000}"/>
    <cellStyle name="Calculation 6 2 3 6 4 3" xfId="40936" xr:uid="{00000000-0005-0000-0000-0000DC1C0000}"/>
    <cellStyle name="Calculation 6 2 3 6 4 4" xfId="19198" xr:uid="{00000000-0005-0000-0000-0000DD1C0000}"/>
    <cellStyle name="Calculation 6 2 3 6 5" xfId="21915" xr:uid="{00000000-0005-0000-0000-0000DE1C0000}"/>
    <cellStyle name="Calculation 6 2 3 6 6" xfId="32760" xr:uid="{00000000-0005-0000-0000-0000DF1C0000}"/>
    <cellStyle name="Calculation 6 2 3 6 7" xfId="13344" xr:uid="{00000000-0005-0000-0000-0000E01C0000}"/>
    <cellStyle name="Calculation 6 2 3 7" xfId="3627" xr:uid="{00000000-0005-0000-0000-0000E11C0000}"/>
    <cellStyle name="Calculation 6 2 3 7 2" xfId="22599" xr:uid="{00000000-0005-0000-0000-0000E21C0000}"/>
    <cellStyle name="Calculation 6 2 3 7 3" xfId="33444" xr:uid="{00000000-0005-0000-0000-0000E31C0000}"/>
    <cellStyle name="Calculation 6 2 3 7 4" xfId="13825" xr:uid="{00000000-0005-0000-0000-0000E41C0000}"/>
    <cellStyle name="Calculation 6 2 3 8" xfId="6302" xr:uid="{00000000-0005-0000-0000-0000E51C0000}"/>
    <cellStyle name="Calculation 6 2 3 8 2" xfId="25274" xr:uid="{00000000-0005-0000-0000-0000E61C0000}"/>
    <cellStyle name="Calculation 6 2 3 8 3" xfId="36119" xr:uid="{00000000-0005-0000-0000-0000E71C0000}"/>
    <cellStyle name="Calculation 6 2 3 8 4" xfId="15741" xr:uid="{00000000-0005-0000-0000-0000E81C0000}"/>
    <cellStyle name="Calculation 6 2 3 9" xfId="8961" xr:uid="{00000000-0005-0000-0000-0000E91C0000}"/>
    <cellStyle name="Calculation 6 2 3 9 2" xfId="27933" xr:uid="{00000000-0005-0000-0000-0000EA1C0000}"/>
    <cellStyle name="Calculation 6 2 3 9 3" xfId="38778" xr:uid="{00000000-0005-0000-0000-0000EB1C0000}"/>
    <cellStyle name="Calculation 6 2 3 9 4" xfId="17645" xr:uid="{00000000-0005-0000-0000-0000EC1C0000}"/>
    <cellStyle name="Calculation 6 2 4" xfId="831" xr:uid="{00000000-0005-0000-0000-0000ED1C0000}"/>
    <cellStyle name="Calculation 6 2 4 10" xfId="19816" xr:uid="{00000000-0005-0000-0000-0000EE1C0000}"/>
    <cellStyle name="Calculation 6 2 4 11" xfId="30661" xr:uid="{00000000-0005-0000-0000-0000EF1C0000}"/>
    <cellStyle name="Calculation 6 2 4 12" xfId="11830" xr:uid="{00000000-0005-0000-0000-0000F01C0000}"/>
    <cellStyle name="Calculation 6 2 4 2" xfId="1418" xr:uid="{00000000-0005-0000-0000-0000F11C0000}"/>
    <cellStyle name="Calculation 6 2 4 2 2" xfId="4271" xr:uid="{00000000-0005-0000-0000-0000F21C0000}"/>
    <cellStyle name="Calculation 6 2 4 2 2 2" xfId="23243" xr:uid="{00000000-0005-0000-0000-0000F31C0000}"/>
    <cellStyle name="Calculation 6 2 4 2 2 3" xfId="34088" xr:uid="{00000000-0005-0000-0000-0000F41C0000}"/>
    <cellStyle name="Calculation 6 2 4 2 2 4" xfId="14291" xr:uid="{00000000-0005-0000-0000-0000F51C0000}"/>
    <cellStyle name="Calculation 6 2 4 2 3" xfId="6944" xr:uid="{00000000-0005-0000-0000-0000F61C0000}"/>
    <cellStyle name="Calculation 6 2 4 2 3 2" xfId="25916" xr:uid="{00000000-0005-0000-0000-0000F71C0000}"/>
    <cellStyle name="Calculation 6 2 4 2 3 3" xfId="36761" xr:uid="{00000000-0005-0000-0000-0000F81C0000}"/>
    <cellStyle name="Calculation 6 2 4 2 3 4" xfId="16206" xr:uid="{00000000-0005-0000-0000-0000F91C0000}"/>
    <cellStyle name="Calculation 6 2 4 2 4" xfId="9603" xr:uid="{00000000-0005-0000-0000-0000FA1C0000}"/>
    <cellStyle name="Calculation 6 2 4 2 4 2" xfId="28575" xr:uid="{00000000-0005-0000-0000-0000FB1C0000}"/>
    <cellStyle name="Calculation 6 2 4 2 4 3" xfId="39420" xr:uid="{00000000-0005-0000-0000-0000FC1C0000}"/>
    <cellStyle name="Calculation 6 2 4 2 4 4" xfId="18110" xr:uid="{00000000-0005-0000-0000-0000FD1C0000}"/>
    <cellStyle name="Calculation 6 2 4 2 5" xfId="20399" xr:uid="{00000000-0005-0000-0000-0000FE1C0000}"/>
    <cellStyle name="Calculation 6 2 4 2 6" xfId="31244" xr:uid="{00000000-0005-0000-0000-0000FF1C0000}"/>
    <cellStyle name="Calculation 6 2 4 2 7" xfId="12256" xr:uid="{00000000-0005-0000-0000-0000001D0000}"/>
    <cellStyle name="Calculation 6 2 4 3" xfId="1817" xr:uid="{00000000-0005-0000-0000-0000011D0000}"/>
    <cellStyle name="Calculation 6 2 4 3 2" xfId="4670" xr:uid="{00000000-0005-0000-0000-0000021D0000}"/>
    <cellStyle name="Calculation 6 2 4 3 2 2" xfId="23642" xr:uid="{00000000-0005-0000-0000-0000031D0000}"/>
    <cellStyle name="Calculation 6 2 4 3 2 3" xfId="34487" xr:uid="{00000000-0005-0000-0000-0000041D0000}"/>
    <cellStyle name="Calculation 6 2 4 3 2 4" xfId="14578" xr:uid="{00000000-0005-0000-0000-0000051D0000}"/>
    <cellStyle name="Calculation 6 2 4 3 3" xfId="7342" xr:uid="{00000000-0005-0000-0000-0000061D0000}"/>
    <cellStyle name="Calculation 6 2 4 3 3 2" xfId="26314" xr:uid="{00000000-0005-0000-0000-0000071D0000}"/>
    <cellStyle name="Calculation 6 2 4 3 3 3" xfId="37159" xr:uid="{00000000-0005-0000-0000-0000081D0000}"/>
    <cellStyle name="Calculation 6 2 4 3 3 4" xfId="16492" xr:uid="{00000000-0005-0000-0000-0000091D0000}"/>
    <cellStyle name="Calculation 6 2 4 3 4" xfId="10001" xr:uid="{00000000-0005-0000-0000-00000A1D0000}"/>
    <cellStyle name="Calculation 6 2 4 3 4 2" xfId="28973" xr:uid="{00000000-0005-0000-0000-00000B1D0000}"/>
    <cellStyle name="Calculation 6 2 4 3 4 3" xfId="39818" xr:uid="{00000000-0005-0000-0000-00000C1D0000}"/>
    <cellStyle name="Calculation 6 2 4 3 4 4" xfId="18396" xr:uid="{00000000-0005-0000-0000-00000D1D0000}"/>
    <cellStyle name="Calculation 6 2 4 3 5" xfId="20797" xr:uid="{00000000-0005-0000-0000-00000E1D0000}"/>
    <cellStyle name="Calculation 6 2 4 3 6" xfId="31642" xr:uid="{00000000-0005-0000-0000-00000F1D0000}"/>
    <cellStyle name="Calculation 6 2 4 3 7" xfId="12542" xr:uid="{00000000-0005-0000-0000-0000101D0000}"/>
    <cellStyle name="Calculation 6 2 4 4" xfId="2221" xr:uid="{00000000-0005-0000-0000-0000111D0000}"/>
    <cellStyle name="Calculation 6 2 4 4 2" xfId="5074" xr:uid="{00000000-0005-0000-0000-0000121D0000}"/>
    <cellStyle name="Calculation 6 2 4 4 2 2" xfId="24046" xr:uid="{00000000-0005-0000-0000-0000131D0000}"/>
    <cellStyle name="Calculation 6 2 4 4 2 3" xfId="34891" xr:uid="{00000000-0005-0000-0000-0000141D0000}"/>
    <cellStyle name="Calculation 6 2 4 4 2 4" xfId="14865" xr:uid="{00000000-0005-0000-0000-0000151D0000}"/>
    <cellStyle name="Calculation 6 2 4 4 3" xfId="7745" xr:uid="{00000000-0005-0000-0000-0000161D0000}"/>
    <cellStyle name="Calculation 6 2 4 4 3 2" xfId="26717" xr:uid="{00000000-0005-0000-0000-0000171D0000}"/>
    <cellStyle name="Calculation 6 2 4 4 3 3" xfId="37562" xr:uid="{00000000-0005-0000-0000-0000181D0000}"/>
    <cellStyle name="Calculation 6 2 4 4 3 4" xfId="16778" xr:uid="{00000000-0005-0000-0000-0000191D0000}"/>
    <cellStyle name="Calculation 6 2 4 4 4" xfId="10404" xr:uid="{00000000-0005-0000-0000-00001A1D0000}"/>
    <cellStyle name="Calculation 6 2 4 4 4 2" xfId="29376" xr:uid="{00000000-0005-0000-0000-00001B1D0000}"/>
    <cellStyle name="Calculation 6 2 4 4 4 3" xfId="40221" xr:uid="{00000000-0005-0000-0000-00001C1D0000}"/>
    <cellStyle name="Calculation 6 2 4 4 4 4" xfId="18682" xr:uid="{00000000-0005-0000-0000-00001D1D0000}"/>
    <cellStyle name="Calculation 6 2 4 4 5" xfId="21200" xr:uid="{00000000-0005-0000-0000-00001E1D0000}"/>
    <cellStyle name="Calculation 6 2 4 4 6" xfId="32045" xr:uid="{00000000-0005-0000-0000-00001F1D0000}"/>
    <cellStyle name="Calculation 6 2 4 4 7" xfId="12828" xr:uid="{00000000-0005-0000-0000-0000201D0000}"/>
    <cellStyle name="Calculation 6 2 4 5" xfId="2611" xr:uid="{00000000-0005-0000-0000-0000211D0000}"/>
    <cellStyle name="Calculation 6 2 4 5 2" xfId="5463" xr:uid="{00000000-0005-0000-0000-0000221D0000}"/>
    <cellStyle name="Calculation 6 2 4 5 2 2" xfId="24435" xr:uid="{00000000-0005-0000-0000-0000231D0000}"/>
    <cellStyle name="Calculation 6 2 4 5 2 3" xfId="35280" xr:uid="{00000000-0005-0000-0000-0000241D0000}"/>
    <cellStyle name="Calculation 6 2 4 5 2 4" xfId="15144" xr:uid="{00000000-0005-0000-0000-0000251D0000}"/>
    <cellStyle name="Calculation 6 2 4 5 3" xfId="8134" xr:uid="{00000000-0005-0000-0000-0000261D0000}"/>
    <cellStyle name="Calculation 6 2 4 5 3 2" xfId="27106" xr:uid="{00000000-0005-0000-0000-0000271D0000}"/>
    <cellStyle name="Calculation 6 2 4 5 3 3" xfId="37951" xr:uid="{00000000-0005-0000-0000-0000281D0000}"/>
    <cellStyle name="Calculation 6 2 4 5 3 4" xfId="17057" xr:uid="{00000000-0005-0000-0000-0000291D0000}"/>
    <cellStyle name="Calculation 6 2 4 5 4" xfId="10793" xr:uid="{00000000-0005-0000-0000-00002A1D0000}"/>
    <cellStyle name="Calculation 6 2 4 5 4 2" xfId="29765" xr:uid="{00000000-0005-0000-0000-00002B1D0000}"/>
    <cellStyle name="Calculation 6 2 4 5 4 3" xfId="40610" xr:uid="{00000000-0005-0000-0000-00002C1D0000}"/>
    <cellStyle name="Calculation 6 2 4 5 4 4" xfId="18961" xr:uid="{00000000-0005-0000-0000-00002D1D0000}"/>
    <cellStyle name="Calculation 6 2 4 5 5" xfId="21589" xr:uid="{00000000-0005-0000-0000-00002E1D0000}"/>
    <cellStyle name="Calculation 6 2 4 5 6" xfId="32434" xr:uid="{00000000-0005-0000-0000-00002F1D0000}"/>
    <cellStyle name="Calculation 6 2 4 5 7" xfId="13107" xr:uid="{00000000-0005-0000-0000-0000301D0000}"/>
    <cellStyle name="Calculation 6 2 4 6" xfId="2997" xr:uid="{00000000-0005-0000-0000-0000311D0000}"/>
    <cellStyle name="Calculation 6 2 4 6 2" xfId="5848" xr:uid="{00000000-0005-0000-0000-0000321D0000}"/>
    <cellStyle name="Calculation 6 2 4 6 2 2" xfId="24820" xr:uid="{00000000-0005-0000-0000-0000331D0000}"/>
    <cellStyle name="Calculation 6 2 4 6 2 3" xfId="35665" xr:uid="{00000000-0005-0000-0000-0000341D0000}"/>
    <cellStyle name="Calculation 6 2 4 6 2 4" xfId="15420" xr:uid="{00000000-0005-0000-0000-0000351D0000}"/>
    <cellStyle name="Calculation 6 2 4 6 3" xfId="8519" xr:uid="{00000000-0005-0000-0000-0000361D0000}"/>
    <cellStyle name="Calculation 6 2 4 6 3 2" xfId="27491" xr:uid="{00000000-0005-0000-0000-0000371D0000}"/>
    <cellStyle name="Calculation 6 2 4 6 3 3" xfId="38336" xr:uid="{00000000-0005-0000-0000-0000381D0000}"/>
    <cellStyle name="Calculation 6 2 4 6 3 4" xfId="17333" xr:uid="{00000000-0005-0000-0000-0000391D0000}"/>
    <cellStyle name="Calculation 6 2 4 6 4" xfId="11178" xr:uid="{00000000-0005-0000-0000-00003A1D0000}"/>
    <cellStyle name="Calculation 6 2 4 6 4 2" xfId="30150" xr:uid="{00000000-0005-0000-0000-00003B1D0000}"/>
    <cellStyle name="Calculation 6 2 4 6 4 3" xfId="40995" xr:uid="{00000000-0005-0000-0000-00003C1D0000}"/>
    <cellStyle name="Calculation 6 2 4 6 4 4" xfId="19237" xr:uid="{00000000-0005-0000-0000-00003D1D0000}"/>
    <cellStyle name="Calculation 6 2 4 6 5" xfId="21974" xr:uid="{00000000-0005-0000-0000-00003E1D0000}"/>
    <cellStyle name="Calculation 6 2 4 6 6" xfId="32819" xr:uid="{00000000-0005-0000-0000-00003F1D0000}"/>
    <cellStyle name="Calculation 6 2 4 6 7" xfId="13383" xr:uid="{00000000-0005-0000-0000-0000401D0000}"/>
    <cellStyle name="Calculation 6 2 4 7" xfId="3686" xr:uid="{00000000-0005-0000-0000-0000411D0000}"/>
    <cellStyle name="Calculation 6 2 4 7 2" xfId="22658" xr:uid="{00000000-0005-0000-0000-0000421D0000}"/>
    <cellStyle name="Calculation 6 2 4 7 3" xfId="33503" xr:uid="{00000000-0005-0000-0000-0000431D0000}"/>
    <cellStyle name="Calculation 6 2 4 7 4" xfId="13864" xr:uid="{00000000-0005-0000-0000-0000441D0000}"/>
    <cellStyle name="Calculation 6 2 4 8" xfId="6361" xr:uid="{00000000-0005-0000-0000-0000451D0000}"/>
    <cellStyle name="Calculation 6 2 4 8 2" xfId="25333" xr:uid="{00000000-0005-0000-0000-0000461D0000}"/>
    <cellStyle name="Calculation 6 2 4 8 3" xfId="36178" xr:uid="{00000000-0005-0000-0000-0000471D0000}"/>
    <cellStyle name="Calculation 6 2 4 8 4" xfId="15780" xr:uid="{00000000-0005-0000-0000-0000481D0000}"/>
    <cellStyle name="Calculation 6 2 4 9" xfId="9020" xr:uid="{00000000-0005-0000-0000-0000491D0000}"/>
    <cellStyle name="Calculation 6 2 4 9 2" xfId="27992" xr:uid="{00000000-0005-0000-0000-00004A1D0000}"/>
    <cellStyle name="Calculation 6 2 4 9 3" xfId="38837" xr:uid="{00000000-0005-0000-0000-00004B1D0000}"/>
    <cellStyle name="Calculation 6 2 4 9 4" xfId="17684" xr:uid="{00000000-0005-0000-0000-00004C1D0000}"/>
    <cellStyle name="Calculation 6 2 5" xfId="890" xr:uid="{00000000-0005-0000-0000-00004D1D0000}"/>
    <cellStyle name="Calculation 6 2 5 10" xfId="19875" xr:uid="{00000000-0005-0000-0000-00004E1D0000}"/>
    <cellStyle name="Calculation 6 2 5 11" xfId="30720" xr:uid="{00000000-0005-0000-0000-00004F1D0000}"/>
    <cellStyle name="Calculation 6 2 5 12" xfId="11869" xr:uid="{00000000-0005-0000-0000-0000501D0000}"/>
    <cellStyle name="Calculation 6 2 5 2" xfId="1477" xr:uid="{00000000-0005-0000-0000-0000511D0000}"/>
    <cellStyle name="Calculation 6 2 5 2 2" xfId="4330" xr:uid="{00000000-0005-0000-0000-0000521D0000}"/>
    <cellStyle name="Calculation 6 2 5 2 2 2" xfId="23302" xr:uid="{00000000-0005-0000-0000-0000531D0000}"/>
    <cellStyle name="Calculation 6 2 5 2 2 3" xfId="34147" xr:uid="{00000000-0005-0000-0000-0000541D0000}"/>
    <cellStyle name="Calculation 6 2 5 2 2 4" xfId="14330" xr:uid="{00000000-0005-0000-0000-0000551D0000}"/>
    <cellStyle name="Calculation 6 2 5 2 3" xfId="7003" xr:uid="{00000000-0005-0000-0000-0000561D0000}"/>
    <cellStyle name="Calculation 6 2 5 2 3 2" xfId="25975" xr:uid="{00000000-0005-0000-0000-0000571D0000}"/>
    <cellStyle name="Calculation 6 2 5 2 3 3" xfId="36820" xr:uid="{00000000-0005-0000-0000-0000581D0000}"/>
    <cellStyle name="Calculation 6 2 5 2 3 4" xfId="16245" xr:uid="{00000000-0005-0000-0000-0000591D0000}"/>
    <cellStyle name="Calculation 6 2 5 2 4" xfId="9662" xr:uid="{00000000-0005-0000-0000-00005A1D0000}"/>
    <cellStyle name="Calculation 6 2 5 2 4 2" xfId="28634" xr:uid="{00000000-0005-0000-0000-00005B1D0000}"/>
    <cellStyle name="Calculation 6 2 5 2 4 3" xfId="39479" xr:uid="{00000000-0005-0000-0000-00005C1D0000}"/>
    <cellStyle name="Calculation 6 2 5 2 4 4" xfId="18149" xr:uid="{00000000-0005-0000-0000-00005D1D0000}"/>
    <cellStyle name="Calculation 6 2 5 2 5" xfId="20458" xr:uid="{00000000-0005-0000-0000-00005E1D0000}"/>
    <cellStyle name="Calculation 6 2 5 2 6" xfId="31303" xr:uid="{00000000-0005-0000-0000-00005F1D0000}"/>
    <cellStyle name="Calculation 6 2 5 2 7" xfId="12295" xr:uid="{00000000-0005-0000-0000-0000601D0000}"/>
    <cellStyle name="Calculation 6 2 5 3" xfId="1876" xr:uid="{00000000-0005-0000-0000-0000611D0000}"/>
    <cellStyle name="Calculation 6 2 5 3 2" xfId="4729" xr:uid="{00000000-0005-0000-0000-0000621D0000}"/>
    <cellStyle name="Calculation 6 2 5 3 2 2" xfId="23701" xr:uid="{00000000-0005-0000-0000-0000631D0000}"/>
    <cellStyle name="Calculation 6 2 5 3 2 3" xfId="34546" xr:uid="{00000000-0005-0000-0000-0000641D0000}"/>
    <cellStyle name="Calculation 6 2 5 3 2 4" xfId="14617" xr:uid="{00000000-0005-0000-0000-0000651D0000}"/>
    <cellStyle name="Calculation 6 2 5 3 3" xfId="7401" xr:uid="{00000000-0005-0000-0000-0000661D0000}"/>
    <cellStyle name="Calculation 6 2 5 3 3 2" xfId="26373" xr:uid="{00000000-0005-0000-0000-0000671D0000}"/>
    <cellStyle name="Calculation 6 2 5 3 3 3" xfId="37218" xr:uid="{00000000-0005-0000-0000-0000681D0000}"/>
    <cellStyle name="Calculation 6 2 5 3 3 4" xfId="16531" xr:uid="{00000000-0005-0000-0000-0000691D0000}"/>
    <cellStyle name="Calculation 6 2 5 3 4" xfId="10060" xr:uid="{00000000-0005-0000-0000-00006A1D0000}"/>
    <cellStyle name="Calculation 6 2 5 3 4 2" xfId="29032" xr:uid="{00000000-0005-0000-0000-00006B1D0000}"/>
    <cellStyle name="Calculation 6 2 5 3 4 3" xfId="39877" xr:uid="{00000000-0005-0000-0000-00006C1D0000}"/>
    <cellStyle name="Calculation 6 2 5 3 4 4" xfId="18435" xr:uid="{00000000-0005-0000-0000-00006D1D0000}"/>
    <cellStyle name="Calculation 6 2 5 3 5" xfId="20856" xr:uid="{00000000-0005-0000-0000-00006E1D0000}"/>
    <cellStyle name="Calculation 6 2 5 3 6" xfId="31701" xr:uid="{00000000-0005-0000-0000-00006F1D0000}"/>
    <cellStyle name="Calculation 6 2 5 3 7" xfId="12581" xr:uid="{00000000-0005-0000-0000-0000701D0000}"/>
    <cellStyle name="Calculation 6 2 5 4" xfId="2280" xr:uid="{00000000-0005-0000-0000-0000711D0000}"/>
    <cellStyle name="Calculation 6 2 5 4 2" xfId="5133" xr:uid="{00000000-0005-0000-0000-0000721D0000}"/>
    <cellStyle name="Calculation 6 2 5 4 2 2" xfId="24105" xr:uid="{00000000-0005-0000-0000-0000731D0000}"/>
    <cellStyle name="Calculation 6 2 5 4 2 3" xfId="34950" xr:uid="{00000000-0005-0000-0000-0000741D0000}"/>
    <cellStyle name="Calculation 6 2 5 4 2 4" xfId="14904" xr:uid="{00000000-0005-0000-0000-0000751D0000}"/>
    <cellStyle name="Calculation 6 2 5 4 3" xfId="7804" xr:uid="{00000000-0005-0000-0000-0000761D0000}"/>
    <cellStyle name="Calculation 6 2 5 4 3 2" xfId="26776" xr:uid="{00000000-0005-0000-0000-0000771D0000}"/>
    <cellStyle name="Calculation 6 2 5 4 3 3" xfId="37621" xr:uid="{00000000-0005-0000-0000-0000781D0000}"/>
    <cellStyle name="Calculation 6 2 5 4 3 4" xfId="16817" xr:uid="{00000000-0005-0000-0000-0000791D0000}"/>
    <cellStyle name="Calculation 6 2 5 4 4" xfId="10463" xr:uid="{00000000-0005-0000-0000-00007A1D0000}"/>
    <cellStyle name="Calculation 6 2 5 4 4 2" xfId="29435" xr:uid="{00000000-0005-0000-0000-00007B1D0000}"/>
    <cellStyle name="Calculation 6 2 5 4 4 3" xfId="40280" xr:uid="{00000000-0005-0000-0000-00007C1D0000}"/>
    <cellStyle name="Calculation 6 2 5 4 4 4" xfId="18721" xr:uid="{00000000-0005-0000-0000-00007D1D0000}"/>
    <cellStyle name="Calculation 6 2 5 4 5" xfId="21259" xr:uid="{00000000-0005-0000-0000-00007E1D0000}"/>
    <cellStyle name="Calculation 6 2 5 4 6" xfId="32104" xr:uid="{00000000-0005-0000-0000-00007F1D0000}"/>
    <cellStyle name="Calculation 6 2 5 4 7" xfId="12867" xr:uid="{00000000-0005-0000-0000-0000801D0000}"/>
    <cellStyle name="Calculation 6 2 5 5" xfId="2670" xr:uid="{00000000-0005-0000-0000-0000811D0000}"/>
    <cellStyle name="Calculation 6 2 5 5 2" xfId="5522" xr:uid="{00000000-0005-0000-0000-0000821D0000}"/>
    <cellStyle name="Calculation 6 2 5 5 2 2" xfId="24494" xr:uid="{00000000-0005-0000-0000-0000831D0000}"/>
    <cellStyle name="Calculation 6 2 5 5 2 3" xfId="35339" xr:uid="{00000000-0005-0000-0000-0000841D0000}"/>
    <cellStyle name="Calculation 6 2 5 5 2 4" xfId="15183" xr:uid="{00000000-0005-0000-0000-0000851D0000}"/>
    <cellStyle name="Calculation 6 2 5 5 3" xfId="8193" xr:uid="{00000000-0005-0000-0000-0000861D0000}"/>
    <cellStyle name="Calculation 6 2 5 5 3 2" xfId="27165" xr:uid="{00000000-0005-0000-0000-0000871D0000}"/>
    <cellStyle name="Calculation 6 2 5 5 3 3" xfId="38010" xr:uid="{00000000-0005-0000-0000-0000881D0000}"/>
    <cellStyle name="Calculation 6 2 5 5 3 4" xfId="17096" xr:uid="{00000000-0005-0000-0000-0000891D0000}"/>
    <cellStyle name="Calculation 6 2 5 5 4" xfId="10852" xr:uid="{00000000-0005-0000-0000-00008A1D0000}"/>
    <cellStyle name="Calculation 6 2 5 5 4 2" xfId="29824" xr:uid="{00000000-0005-0000-0000-00008B1D0000}"/>
    <cellStyle name="Calculation 6 2 5 5 4 3" xfId="40669" xr:uid="{00000000-0005-0000-0000-00008C1D0000}"/>
    <cellStyle name="Calculation 6 2 5 5 4 4" xfId="19000" xr:uid="{00000000-0005-0000-0000-00008D1D0000}"/>
    <cellStyle name="Calculation 6 2 5 5 5" xfId="21648" xr:uid="{00000000-0005-0000-0000-00008E1D0000}"/>
    <cellStyle name="Calculation 6 2 5 5 6" xfId="32493" xr:uid="{00000000-0005-0000-0000-00008F1D0000}"/>
    <cellStyle name="Calculation 6 2 5 5 7" xfId="13146" xr:uid="{00000000-0005-0000-0000-0000901D0000}"/>
    <cellStyle name="Calculation 6 2 5 6" xfId="3056" xr:uid="{00000000-0005-0000-0000-0000911D0000}"/>
    <cellStyle name="Calculation 6 2 5 6 2" xfId="5907" xr:uid="{00000000-0005-0000-0000-0000921D0000}"/>
    <cellStyle name="Calculation 6 2 5 6 2 2" xfId="24879" xr:uid="{00000000-0005-0000-0000-0000931D0000}"/>
    <cellStyle name="Calculation 6 2 5 6 2 3" xfId="35724" xr:uid="{00000000-0005-0000-0000-0000941D0000}"/>
    <cellStyle name="Calculation 6 2 5 6 2 4" xfId="15459" xr:uid="{00000000-0005-0000-0000-0000951D0000}"/>
    <cellStyle name="Calculation 6 2 5 6 3" xfId="8578" xr:uid="{00000000-0005-0000-0000-0000961D0000}"/>
    <cellStyle name="Calculation 6 2 5 6 3 2" xfId="27550" xr:uid="{00000000-0005-0000-0000-0000971D0000}"/>
    <cellStyle name="Calculation 6 2 5 6 3 3" xfId="38395" xr:uid="{00000000-0005-0000-0000-0000981D0000}"/>
    <cellStyle name="Calculation 6 2 5 6 3 4" xfId="17372" xr:uid="{00000000-0005-0000-0000-0000991D0000}"/>
    <cellStyle name="Calculation 6 2 5 6 4" xfId="11237" xr:uid="{00000000-0005-0000-0000-00009A1D0000}"/>
    <cellStyle name="Calculation 6 2 5 6 4 2" xfId="30209" xr:uid="{00000000-0005-0000-0000-00009B1D0000}"/>
    <cellStyle name="Calculation 6 2 5 6 4 3" xfId="41054" xr:uid="{00000000-0005-0000-0000-00009C1D0000}"/>
    <cellStyle name="Calculation 6 2 5 6 4 4" xfId="19276" xr:uid="{00000000-0005-0000-0000-00009D1D0000}"/>
    <cellStyle name="Calculation 6 2 5 6 5" xfId="22033" xr:uid="{00000000-0005-0000-0000-00009E1D0000}"/>
    <cellStyle name="Calculation 6 2 5 6 6" xfId="32878" xr:uid="{00000000-0005-0000-0000-00009F1D0000}"/>
    <cellStyle name="Calculation 6 2 5 6 7" xfId="13422" xr:uid="{00000000-0005-0000-0000-0000A01D0000}"/>
    <cellStyle name="Calculation 6 2 5 7" xfId="3745" xr:uid="{00000000-0005-0000-0000-0000A11D0000}"/>
    <cellStyle name="Calculation 6 2 5 7 2" xfId="22717" xr:uid="{00000000-0005-0000-0000-0000A21D0000}"/>
    <cellStyle name="Calculation 6 2 5 7 3" xfId="33562" xr:uid="{00000000-0005-0000-0000-0000A31D0000}"/>
    <cellStyle name="Calculation 6 2 5 7 4" xfId="13903" xr:uid="{00000000-0005-0000-0000-0000A41D0000}"/>
    <cellStyle name="Calculation 6 2 5 8" xfId="6420" xr:uid="{00000000-0005-0000-0000-0000A51D0000}"/>
    <cellStyle name="Calculation 6 2 5 8 2" xfId="25392" xr:uid="{00000000-0005-0000-0000-0000A61D0000}"/>
    <cellStyle name="Calculation 6 2 5 8 3" xfId="36237" xr:uid="{00000000-0005-0000-0000-0000A71D0000}"/>
    <cellStyle name="Calculation 6 2 5 8 4" xfId="15819" xr:uid="{00000000-0005-0000-0000-0000A81D0000}"/>
    <cellStyle name="Calculation 6 2 5 9" xfId="9079" xr:uid="{00000000-0005-0000-0000-0000A91D0000}"/>
    <cellStyle name="Calculation 6 2 5 9 2" xfId="28051" xr:uid="{00000000-0005-0000-0000-0000AA1D0000}"/>
    <cellStyle name="Calculation 6 2 5 9 3" xfId="38896" xr:uid="{00000000-0005-0000-0000-0000AB1D0000}"/>
    <cellStyle name="Calculation 6 2 5 9 4" xfId="17723" xr:uid="{00000000-0005-0000-0000-0000AC1D0000}"/>
    <cellStyle name="Calculation 6 2 6" xfId="1120" xr:uid="{00000000-0005-0000-0000-0000AD1D0000}"/>
    <cellStyle name="Calculation 6 2 6 2" xfId="3973" xr:uid="{00000000-0005-0000-0000-0000AE1D0000}"/>
    <cellStyle name="Calculation 6 2 6 2 2" xfId="22945" xr:uid="{00000000-0005-0000-0000-0000AF1D0000}"/>
    <cellStyle name="Calculation 6 2 6 2 3" xfId="33790" xr:uid="{00000000-0005-0000-0000-0000B01D0000}"/>
    <cellStyle name="Calculation 6 2 6 2 4" xfId="14072" xr:uid="{00000000-0005-0000-0000-0000B11D0000}"/>
    <cellStyle name="Calculation 6 2 6 3" xfId="6646" xr:uid="{00000000-0005-0000-0000-0000B21D0000}"/>
    <cellStyle name="Calculation 6 2 6 3 2" xfId="25618" xr:uid="{00000000-0005-0000-0000-0000B31D0000}"/>
    <cellStyle name="Calculation 6 2 6 3 3" xfId="36463" xr:uid="{00000000-0005-0000-0000-0000B41D0000}"/>
    <cellStyle name="Calculation 6 2 6 3 4" xfId="15987" xr:uid="{00000000-0005-0000-0000-0000B51D0000}"/>
    <cellStyle name="Calculation 6 2 6 4" xfId="9305" xr:uid="{00000000-0005-0000-0000-0000B61D0000}"/>
    <cellStyle name="Calculation 6 2 6 4 2" xfId="28277" xr:uid="{00000000-0005-0000-0000-0000B71D0000}"/>
    <cellStyle name="Calculation 6 2 6 4 3" xfId="39122" xr:uid="{00000000-0005-0000-0000-0000B81D0000}"/>
    <cellStyle name="Calculation 6 2 6 4 4" xfId="17891" xr:uid="{00000000-0005-0000-0000-0000B91D0000}"/>
    <cellStyle name="Calculation 6 2 6 5" xfId="20101" xr:uid="{00000000-0005-0000-0000-0000BA1D0000}"/>
    <cellStyle name="Calculation 6 2 6 6" xfId="30946" xr:uid="{00000000-0005-0000-0000-0000BB1D0000}"/>
    <cellStyle name="Calculation 6 2 6 7" xfId="12037" xr:uid="{00000000-0005-0000-0000-0000BC1D0000}"/>
    <cellStyle name="Calculation 6 2 7" xfId="1516" xr:uid="{00000000-0005-0000-0000-0000BD1D0000}"/>
    <cellStyle name="Calculation 6 2 7 2" xfId="4369" xr:uid="{00000000-0005-0000-0000-0000BE1D0000}"/>
    <cellStyle name="Calculation 6 2 7 2 2" xfId="23341" xr:uid="{00000000-0005-0000-0000-0000BF1D0000}"/>
    <cellStyle name="Calculation 6 2 7 2 3" xfId="34186" xr:uid="{00000000-0005-0000-0000-0000C01D0000}"/>
    <cellStyle name="Calculation 6 2 7 2 4" xfId="14358" xr:uid="{00000000-0005-0000-0000-0000C11D0000}"/>
    <cellStyle name="Calculation 6 2 7 3" xfId="7042" xr:uid="{00000000-0005-0000-0000-0000C21D0000}"/>
    <cellStyle name="Calculation 6 2 7 3 2" xfId="26014" xr:uid="{00000000-0005-0000-0000-0000C31D0000}"/>
    <cellStyle name="Calculation 6 2 7 3 3" xfId="36859" xr:uid="{00000000-0005-0000-0000-0000C41D0000}"/>
    <cellStyle name="Calculation 6 2 7 3 4" xfId="16273" xr:uid="{00000000-0005-0000-0000-0000C51D0000}"/>
    <cellStyle name="Calculation 6 2 7 4" xfId="9701" xr:uid="{00000000-0005-0000-0000-0000C61D0000}"/>
    <cellStyle name="Calculation 6 2 7 4 2" xfId="28673" xr:uid="{00000000-0005-0000-0000-0000C71D0000}"/>
    <cellStyle name="Calculation 6 2 7 4 3" xfId="39518" xr:uid="{00000000-0005-0000-0000-0000C81D0000}"/>
    <cellStyle name="Calculation 6 2 7 4 4" xfId="18177" xr:uid="{00000000-0005-0000-0000-0000C91D0000}"/>
    <cellStyle name="Calculation 6 2 7 5" xfId="20497" xr:uid="{00000000-0005-0000-0000-0000CA1D0000}"/>
    <cellStyle name="Calculation 6 2 7 6" xfId="31342" xr:uid="{00000000-0005-0000-0000-0000CB1D0000}"/>
    <cellStyle name="Calculation 6 2 7 7" xfId="12323" xr:uid="{00000000-0005-0000-0000-0000CC1D0000}"/>
    <cellStyle name="Calculation 6 2 8" xfId="1922" xr:uid="{00000000-0005-0000-0000-0000CD1D0000}"/>
    <cellStyle name="Calculation 6 2 8 2" xfId="4775" xr:uid="{00000000-0005-0000-0000-0000CE1D0000}"/>
    <cellStyle name="Calculation 6 2 8 2 2" xfId="23747" xr:uid="{00000000-0005-0000-0000-0000CF1D0000}"/>
    <cellStyle name="Calculation 6 2 8 2 3" xfId="34592" xr:uid="{00000000-0005-0000-0000-0000D01D0000}"/>
    <cellStyle name="Calculation 6 2 8 2 4" xfId="14647" xr:uid="{00000000-0005-0000-0000-0000D11D0000}"/>
    <cellStyle name="Calculation 6 2 8 3" xfId="7447" xr:uid="{00000000-0005-0000-0000-0000D21D0000}"/>
    <cellStyle name="Calculation 6 2 8 3 2" xfId="26419" xr:uid="{00000000-0005-0000-0000-0000D31D0000}"/>
    <cellStyle name="Calculation 6 2 8 3 3" xfId="37264" xr:uid="{00000000-0005-0000-0000-0000D41D0000}"/>
    <cellStyle name="Calculation 6 2 8 3 4" xfId="16561" xr:uid="{00000000-0005-0000-0000-0000D51D0000}"/>
    <cellStyle name="Calculation 6 2 8 4" xfId="10106" xr:uid="{00000000-0005-0000-0000-0000D61D0000}"/>
    <cellStyle name="Calculation 6 2 8 4 2" xfId="29078" xr:uid="{00000000-0005-0000-0000-0000D71D0000}"/>
    <cellStyle name="Calculation 6 2 8 4 3" xfId="39923" xr:uid="{00000000-0005-0000-0000-0000D81D0000}"/>
    <cellStyle name="Calculation 6 2 8 4 4" xfId="18465" xr:uid="{00000000-0005-0000-0000-0000D91D0000}"/>
    <cellStyle name="Calculation 6 2 8 5" xfId="20902" xr:uid="{00000000-0005-0000-0000-0000DA1D0000}"/>
    <cellStyle name="Calculation 6 2 8 6" xfId="31747" xr:uid="{00000000-0005-0000-0000-0000DB1D0000}"/>
    <cellStyle name="Calculation 6 2 8 7" xfId="12611" xr:uid="{00000000-0005-0000-0000-0000DC1D0000}"/>
    <cellStyle name="Calculation 6 2 9" xfId="2315" xr:uid="{00000000-0005-0000-0000-0000DD1D0000}"/>
    <cellStyle name="Calculation 6 2 9 2" xfId="5168" xr:uid="{00000000-0005-0000-0000-0000DE1D0000}"/>
    <cellStyle name="Calculation 6 2 9 2 2" xfId="24140" xr:uid="{00000000-0005-0000-0000-0000DF1D0000}"/>
    <cellStyle name="Calculation 6 2 9 2 3" xfId="34985" xr:uid="{00000000-0005-0000-0000-0000E01D0000}"/>
    <cellStyle name="Calculation 6 2 9 2 4" xfId="14929" xr:uid="{00000000-0005-0000-0000-0000E11D0000}"/>
    <cellStyle name="Calculation 6 2 9 3" xfId="7839" xr:uid="{00000000-0005-0000-0000-0000E21D0000}"/>
    <cellStyle name="Calculation 6 2 9 3 2" xfId="26811" xr:uid="{00000000-0005-0000-0000-0000E31D0000}"/>
    <cellStyle name="Calculation 6 2 9 3 3" xfId="37656" xr:uid="{00000000-0005-0000-0000-0000E41D0000}"/>
    <cellStyle name="Calculation 6 2 9 3 4" xfId="16842" xr:uid="{00000000-0005-0000-0000-0000E51D0000}"/>
    <cellStyle name="Calculation 6 2 9 4" xfId="10498" xr:uid="{00000000-0005-0000-0000-0000E61D0000}"/>
    <cellStyle name="Calculation 6 2 9 4 2" xfId="29470" xr:uid="{00000000-0005-0000-0000-0000E71D0000}"/>
    <cellStyle name="Calculation 6 2 9 4 3" xfId="40315" xr:uid="{00000000-0005-0000-0000-0000E81D0000}"/>
    <cellStyle name="Calculation 6 2 9 4 4" xfId="18746" xr:uid="{00000000-0005-0000-0000-0000E91D0000}"/>
    <cellStyle name="Calculation 6 2 9 5" xfId="21294" xr:uid="{00000000-0005-0000-0000-0000EA1D0000}"/>
    <cellStyle name="Calculation 6 2 9 6" xfId="32139" xr:uid="{00000000-0005-0000-0000-0000EB1D0000}"/>
    <cellStyle name="Calculation 6 2 9 7" xfId="12892" xr:uid="{00000000-0005-0000-0000-0000EC1D0000}"/>
    <cellStyle name="Calculation 6 3" xfId="602" xr:uid="{00000000-0005-0000-0000-0000ED1D0000}"/>
    <cellStyle name="Calculation 6 3 10" xfId="19609" xr:uid="{00000000-0005-0000-0000-0000EE1D0000}"/>
    <cellStyle name="Calculation 6 3 11" xfId="30454" xr:uid="{00000000-0005-0000-0000-0000EF1D0000}"/>
    <cellStyle name="Calculation 6 3 12" xfId="11664" xr:uid="{00000000-0005-0000-0000-0000F01D0000}"/>
    <cellStyle name="Calculation 6 3 2" xfId="1206" xr:uid="{00000000-0005-0000-0000-0000F11D0000}"/>
    <cellStyle name="Calculation 6 3 2 2" xfId="4059" xr:uid="{00000000-0005-0000-0000-0000F21D0000}"/>
    <cellStyle name="Calculation 6 3 2 2 2" xfId="23031" xr:uid="{00000000-0005-0000-0000-0000F31D0000}"/>
    <cellStyle name="Calculation 6 3 2 2 3" xfId="33876" xr:uid="{00000000-0005-0000-0000-0000F41D0000}"/>
    <cellStyle name="Calculation 6 3 2 2 4" xfId="14139" xr:uid="{00000000-0005-0000-0000-0000F51D0000}"/>
    <cellStyle name="Calculation 6 3 2 3" xfId="6732" xr:uid="{00000000-0005-0000-0000-0000F61D0000}"/>
    <cellStyle name="Calculation 6 3 2 3 2" xfId="25704" xr:uid="{00000000-0005-0000-0000-0000F71D0000}"/>
    <cellStyle name="Calculation 6 3 2 3 3" xfId="36549" xr:uid="{00000000-0005-0000-0000-0000F81D0000}"/>
    <cellStyle name="Calculation 6 3 2 3 4" xfId="16054" xr:uid="{00000000-0005-0000-0000-0000F91D0000}"/>
    <cellStyle name="Calculation 6 3 2 4" xfId="9391" xr:uid="{00000000-0005-0000-0000-0000FA1D0000}"/>
    <cellStyle name="Calculation 6 3 2 4 2" xfId="28363" xr:uid="{00000000-0005-0000-0000-0000FB1D0000}"/>
    <cellStyle name="Calculation 6 3 2 4 3" xfId="39208" xr:uid="{00000000-0005-0000-0000-0000FC1D0000}"/>
    <cellStyle name="Calculation 6 3 2 4 4" xfId="17958" xr:uid="{00000000-0005-0000-0000-0000FD1D0000}"/>
    <cellStyle name="Calculation 6 3 2 5" xfId="20187" xr:uid="{00000000-0005-0000-0000-0000FE1D0000}"/>
    <cellStyle name="Calculation 6 3 2 6" xfId="31032" xr:uid="{00000000-0005-0000-0000-0000FF1D0000}"/>
    <cellStyle name="Calculation 6 3 2 7" xfId="12104" xr:uid="{00000000-0005-0000-0000-0000001E0000}"/>
    <cellStyle name="Calculation 6 3 3" xfId="1604" xr:uid="{00000000-0005-0000-0000-0000011E0000}"/>
    <cellStyle name="Calculation 6 3 3 2" xfId="4457" xr:uid="{00000000-0005-0000-0000-0000021E0000}"/>
    <cellStyle name="Calculation 6 3 3 2 2" xfId="23429" xr:uid="{00000000-0005-0000-0000-0000031E0000}"/>
    <cellStyle name="Calculation 6 3 3 2 3" xfId="34274" xr:uid="{00000000-0005-0000-0000-0000041E0000}"/>
    <cellStyle name="Calculation 6 3 3 2 4" xfId="14426" xr:uid="{00000000-0005-0000-0000-0000051E0000}"/>
    <cellStyle name="Calculation 6 3 3 3" xfId="7129" xr:uid="{00000000-0005-0000-0000-0000061E0000}"/>
    <cellStyle name="Calculation 6 3 3 3 2" xfId="26101" xr:uid="{00000000-0005-0000-0000-0000071E0000}"/>
    <cellStyle name="Calculation 6 3 3 3 3" xfId="36946" xr:uid="{00000000-0005-0000-0000-0000081E0000}"/>
    <cellStyle name="Calculation 6 3 3 3 4" xfId="16340" xr:uid="{00000000-0005-0000-0000-0000091E0000}"/>
    <cellStyle name="Calculation 6 3 3 4" xfId="9788" xr:uid="{00000000-0005-0000-0000-00000A1E0000}"/>
    <cellStyle name="Calculation 6 3 3 4 2" xfId="28760" xr:uid="{00000000-0005-0000-0000-00000B1E0000}"/>
    <cellStyle name="Calculation 6 3 3 4 3" xfId="39605" xr:uid="{00000000-0005-0000-0000-00000C1E0000}"/>
    <cellStyle name="Calculation 6 3 3 4 4" xfId="18244" xr:uid="{00000000-0005-0000-0000-00000D1E0000}"/>
    <cellStyle name="Calculation 6 3 3 5" xfId="20584" xr:uid="{00000000-0005-0000-0000-00000E1E0000}"/>
    <cellStyle name="Calculation 6 3 3 6" xfId="31429" xr:uid="{00000000-0005-0000-0000-00000F1E0000}"/>
    <cellStyle name="Calculation 6 3 3 7" xfId="12390" xr:uid="{00000000-0005-0000-0000-0000101E0000}"/>
    <cellStyle name="Calculation 6 3 4" xfId="2006" xr:uid="{00000000-0005-0000-0000-0000111E0000}"/>
    <cellStyle name="Calculation 6 3 4 2" xfId="4859" xr:uid="{00000000-0005-0000-0000-0000121E0000}"/>
    <cellStyle name="Calculation 6 3 4 2 2" xfId="23831" xr:uid="{00000000-0005-0000-0000-0000131E0000}"/>
    <cellStyle name="Calculation 6 3 4 2 3" xfId="34676" xr:uid="{00000000-0005-0000-0000-0000141E0000}"/>
    <cellStyle name="Calculation 6 3 4 2 4" xfId="14712" xr:uid="{00000000-0005-0000-0000-0000151E0000}"/>
    <cellStyle name="Calculation 6 3 4 3" xfId="7531" xr:uid="{00000000-0005-0000-0000-0000161E0000}"/>
    <cellStyle name="Calculation 6 3 4 3 2" xfId="26503" xr:uid="{00000000-0005-0000-0000-0000171E0000}"/>
    <cellStyle name="Calculation 6 3 4 3 3" xfId="37348" xr:uid="{00000000-0005-0000-0000-0000181E0000}"/>
    <cellStyle name="Calculation 6 3 4 3 4" xfId="16626" xr:uid="{00000000-0005-0000-0000-0000191E0000}"/>
    <cellStyle name="Calculation 6 3 4 4" xfId="10190" xr:uid="{00000000-0005-0000-0000-00001A1E0000}"/>
    <cellStyle name="Calculation 6 3 4 4 2" xfId="29162" xr:uid="{00000000-0005-0000-0000-00001B1E0000}"/>
    <cellStyle name="Calculation 6 3 4 4 3" xfId="40007" xr:uid="{00000000-0005-0000-0000-00001C1E0000}"/>
    <cellStyle name="Calculation 6 3 4 4 4" xfId="18530" xr:uid="{00000000-0005-0000-0000-00001D1E0000}"/>
    <cellStyle name="Calculation 6 3 4 5" xfId="20986" xr:uid="{00000000-0005-0000-0000-00001E1E0000}"/>
    <cellStyle name="Calculation 6 3 4 6" xfId="31831" xr:uid="{00000000-0005-0000-0000-00001F1E0000}"/>
    <cellStyle name="Calculation 6 3 4 7" xfId="12676" xr:uid="{00000000-0005-0000-0000-0000201E0000}"/>
    <cellStyle name="Calculation 6 3 5" xfId="2398" xr:uid="{00000000-0005-0000-0000-0000211E0000}"/>
    <cellStyle name="Calculation 6 3 5 2" xfId="5251" xr:uid="{00000000-0005-0000-0000-0000221E0000}"/>
    <cellStyle name="Calculation 6 3 5 2 2" xfId="24223" xr:uid="{00000000-0005-0000-0000-0000231E0000}"/>
    <cellStyle name="Calculation 6 3 5 2 3" xfId="35068" xr:uid="{00000000-0005-0000-0000-0000241E0000}"/>
    <cellStyle name="Calculation 6 3 5 2 4" xfId="14993" xr:uid="{00000000-0005-0000-0000-0000251E0000}"/>
    <cellStyle name="Calculation 6 3 5 3" xfId="7922" xr:uid="{00000000-0005-0000-0000-0000261E0000}"/>
    <cellStyle name="Calculation 6 3 5 3 2" xfId="26894" xr:uid="{00000000-0005-0000-0000-0000271E0000}"/>
    <cellStyle name="Calculation 6 3 5 3 3" xfId="37739" xr:uid="{00000000-0005-0000-0000-0000281E0000}"/>
    <cellStyle name="Calculation 6 3 5 3 4" xfId="16906" xr:uid="{00000000-0005-0000-0000-0000291E0000}"/>
    <cellStyle name="Calculation 6 3 5 4" xfId="10581" xr:uid="{00000000-0005-0000-0000-00002A1E0000}"/>
    <cellStyle name="Calculation 6 3 5 4 2" xfId="29553" xr:uid="{00000000-0005-0000-0000-00002B1E0000}"/>
    <cellStyle name="Calculation 6 3 5 4 3" xfId="40398" xr:uid="{00000000-0005-0000-0000-00002C1E0000}"/>
    <cellStyle name="Calculation 6 3 5 4 4" xfId="18810" xr:uid="{00000000-0005-0000-0000-00002D1E0000}"/>
    <cellStyle name="Calculation 6 3 5 5" xfId="21377" xr:uid="{00000000-0005-0000-0000-00002E1E0000}"/>
    <cellStyle name="Calculation 6 3 5 6" xfId="32222" xr:uid="{00000000-0005-0000-0000-00002F1E0000}"/>
    <cellStyle name="Calculation 6 3 5 7" xfId="12956" xr:uid="{00000000-0005-0000-0000-0000301E0000}"/>
    <cellStyle name="Calculation 6 3 6" xfId="2787" xr:uid="{00000000-0005-0000-0000-0000311E0000}"/>
    <cellStyle name="Calculation 6 3 6 2" xfId="5639" xr:uid="{00000000-0005-0000-0000-0000321E0000}"/>
    <cellStyle name="Calculation 6 3 6 2 2" xfId="24611" xr:uid="{00000000-0005-0000-0000-0000331E0000}"/>
    <cellStyle name="Calculation 6 3 6 2 3" xfId="35456" xr:uid="{00000000-0005-0000-0000-0000341E0000}"/>
    <cellStyle name="Calculation 6 3 6 2 4" xfId="15271" xr:uid="{00000000-0005-0000-0000-0000351E0000}"/>
    <cellStyle name="Calculation 6 3 6 3" xfId="8310" xr:uid="{00000000-0005-0000-0000-0000361E0000}"/>
    <cellStyle name="Calculation 6 3 6 3 2" xfId="27282" xr:uid="{00000000-0005-0000-0000-0000371E0000}"/>
    <cellStyle name="Calculation 6 3 6 3 3" xfId="38127" xr:uid="{00000000-0005-0000-0000-0000381E0000}"/>
    <cellStyle name="Calculation 6 3 6 3 4" xfId="17184" xr:uid="{00000000-0005-0000-0000-0000391E0000}"/>
    <cellStyle name="Calculation 6 3 6 4" xfId="10969" xr:uid="{00000000-0005-0000-0000-00003A1E0000}"/>
    <cellStyle name="Calculation 6 3 6 4 2" xfId="29941" xr:uid="{00000000-0005-0000-0000-00003B1E0000}"/>
    <cellStyle name="Calculation 6 3 6 4 3" xfId="40786" xr:uid="{00000000-0005-0000-0000-00003C1E0000}"/>
    <cellStyle name="Calculation 6 3 6 4 4" xfId="19088" xr:uid="{00000000-0005-0000-0000-00003D1E0000}"/>
    <cellStyle name="Calculation 6 3 6 5" xfId="21765" xr:uid="{00000000-0005-0000-0000-00003E1E0000}"/>
    <cellStyle name="Calculation 6 3 6 6" xfId="32610" xr:uid="{00000000-0005-0000-0000-00003F1E0000}"/>
    <cellStyle name="Calculation 6 3 6 7" xfId="13234" xr:uid="{00000000-0005-0000-0000-0000401E0000}"/>
    <cellStyle name="Calculation 6 3 7" xfId="3478" xr:uid="{00000000-0005-0000-0000-0000411E0000}"/>
    <cellStyle name="Calculation 6 3 7 2" xfId="22450" xr:uid="{00000000-0005-0000-0000-0000421E0000}"/>
    <cellStyle name="Calculation 6 3 7 3" xfId="33295" xr:uid="{00000000-0005-0000-0000-0000431E0000}"/>
    <cellStyle name="Calculation 6 3 7 4" xfId="13716" xr:uid="{00000000-0005-0000-0000-0000441E0000}"/>
    <cellStyle name="Calculation 6 3 8" xfId="6154" xr:uid="{00000000-0005-0000-0000-0000451E0000}"/>
    <cellStyle name="Calculation 6 3 8 2" xfId="25126" xr:uid="{00000000-0005-0000-0000-0000461E0000}"/>
    <cellStyle name="Calculation 6 3 8 3" xfId="35971" xr:uid="{00000000-0005-0000-0000-0000471E0000}"/>
    <cellStyle name="Calculation 6 3 8 4" xfId="15633" xr:uid="{00000000-0005-0000-0000-0000481E0000}"/>
    <cellStyle name="Calculation 6 3 9" xfId="8813" xr:uid="{00000000-0005-0000-0000-0000491E0000}"/>
    <cellStyle name="Calculation 6 3 9 2" xfId="27785" xr:uid="{00000000-0005-0000-0000-00004A1E0000}"/>
    <cellStyle name="Calculation 6 3 9 3" xfId="38630" xr:uid="{00000000-0005-0000-0000-00004B1E0000}"/>
    <cellStyle name="Calculation 6 3 9 4" xfId="17537" xr:uid="{00000000-0005-0000-0000-00004C1E0000}"/>
    <cellStyle name="Calculation 6 4" xfId="11488" xr:uid="{00000000-0005-0000-0000-00004D1E0000}"/>
    <cellStyle name="Calculation 7" xfId="347" xr:uid="{00000000-0005-0000-0000-00004E1E0000}"/>
    <cellStyle name="Calculation 7 10" xfId="1905" xr:uid="{00000000-0005-0000-0000-00004F1E0000}"/>
    <cellStyle name="Calculation 7 10 2" xfId="4758" xr:uid="{00000000-0005-0000-0000-0000501E0000}"/>
    <cellStyle name="Calculation 7 10 2 2" xfId="23730" xr:uid="{00000000-0005-0000-0000-0000511E0000}"/>
    <cellStyle name="Calculation 7 10 2 3" xfId="34575" xr:uid="{00000000-0005-0000-0000-0000521E0000}"/>
    <cellStyle name="Calculation 7 10 2 4" xfId="14634" xr:uid="{00000000-0005-0000-0000-0000531E0000}"/>
    <cellStyle name="Calculation 7 10 3" xfId="7430" xr:uid="{00000000-0005-0000-0000-0000541E0000}"/>
    <cellStyle name="Calculation 7 10 3 2" xfId="26402" xr:uid="{00000000-0005-0000-0000-0000551E0000}"/>
    <cellStyle name="Calculation 7 10 3 3" xfId="37247" xr:uid="{00000000-0005-0000-0000-0000561E0000}"/>
    <cellStyle name="Calculation 7 10 3 4" xfId="16548" xr:uid="{00000000-0005-0000-0000-0000571E0000}"/>
    <cellStyle name="Calculation 7 10 4" xfId="10089" xr:uid="{00000000-0005-0000-0000-0000581E0000}"/>
    <cellStyle name="Calculation 7 10 4 2" xfId="29061" xr:uid="{00000000-0005-0000-0000-0000591E0000}"/>
    <cellStyle name="Calculation 7 10 4 3" xfId="39906" xr:uid="{00000000-0005-0000-0000-00005A1E0000}"/>
    <cellStyle name="Calculation 7 10 4 4" xfId="18452" xr:uid="{00000000-0005-0000-0000-00005B1E0000}"/>
    <cellStyle name="Calculation 7 10 5" xfId="20885" xr:uid="{00000000-0005-0000-0000-00005C1E0000}"/>
    <cellStyle name="Calculation 7 10 6" xfId="31730" xr:uid="{00000000-0005-0000-0000-00005D1E0000}"/>
    <cellStyle name="Calculation 7 10 7" xfId="12598" xr:uid="{00000000-0005-0000-0000-00005E1E0000}"/>
    <cellStyle name="Calculation 7 11" xfId="2299" xr:uid="{00000000-0005-0000-0000-00005F1E0000}"/>
    <cellStyle name="Calculation 7 11 2" xfId="5152" xr:uid="{00000000-0005-0000-0000-0000601E0000}"/>
    <cellStyle name="Calculation 7 11 2 2" xfId="24124" xr:uid="{00000000-0005-0000-0000-0000611E0000}"/>
    <cellStyle name="Calculation 7 11 2 3" xfId="34969" xr:uid="{00000000-0005-0000-0000-0000621E0000}"/>
    <cellStyle name="Calculation 7 11 2 4" xfId="14916" xr:uid="{00000000-0005-0000-0000-0000631E0000}"/>
    <cellStyle name="Calculation 7 11 3" xfId="7823" xr:uid="{00000000-0005-0000-0000-0000641E0000}"/>
    <cellStyle name="Calculation 7 11 3 2" xfId="26795" xr:uid="{00000000-0005-0000-0000-0000651E0000}"/>
    <cellStyle name="Calculation 7 11 3 3" xfId="37640" xr:uid="{00000000-0005-0000-0000-0000661E0000}"/>
    <cellStyle name="Calculation 7 11 3 4" xfId="16829" xr:uid="{00000000-0005-0000-0000-0000671E0000}"/>
    <cellStyle name="Calculation 7 11 4" xfId="10482" xr:uid="{00000000-0005-0000-0000-0000681E0000}"/>
    <cellStyle name="Calculation 7 11 4 2" xfId="29454" xr:uid="{00000000-0005-0000-0000-0000691E0000}"/>
    <cellStyle name="Calculation 7 11 4 3" xfId="40299" xr:uid="{00000000-0005-0000-0000-00006A1E0000}"/>
    <cellStyle name="Calculation 7 11 4 4" xfId="18733" xr:uid="{00000000-0005-0000-0000-00006B1E0000}"/>
    <cellStyle name="Calculation 7 11 5" xfId="21278" xr:uid="{00000000-0005-0000-0000-00006C1E0000}"/>
    <cellStyle name="Calculation 7 11 6" xfId="32123" xr:uid="{00000000-0005-0000-0000-00006D1E0000}"/>
    <cellStyle name="Calculation 7 11 7" xfId="12879" xr:uid="{00000000-0005-0000-0000-00006E1E0000}"/>
    <cellStyle name="Calculation 7 12" xfId="2699" xr:uid="{00000000-0005-0000-0000-00006F1E0000}"/>
    <cellStyle name="Calculation 7 12 2" xfId="5551" xr:uid="{00000000-0005-0000-0000-0000701E0000}"/>
    <cellStyle name="Calculation 7 12 2 2" xfId="24523" xr:uid="{00000000-0005-0000-0000-0000711E0000}"/>
    <cellStyle name="Calculation 7 12 2 3" xfId="35368" xr:uid="{00000000-0005-0000-0000-0000721E0000}"/>
    <cellStyle name="Calculation 7 12 2 4" xfId="15205" xr:uid="{00000000-0005-0000-0000-0000731E0000}"/>
    <cellStyle name="Calculation 7 12 3" xfId="8222" xr:uid="{00000000-0005-0000-0000-0000741E0000}"/>
    <cellStyle name="Calculation 7 12 3 2" xfId="27194" xr:uid="{00000000-0005-0000-0000-0000751E0000}"/>
    <cellStyle name="Calculation 7 12 3 3" xfId="38039" xr:uid="{00000000-0005-0000-0000-0000761E0000}"/>
    <cellStyle name="Calculation 7 12 3 4" xfId="17118" xr:uid="{00000000-0005-0000-0000-0000771E0000}"/>
    <cellStyle name="Calculation 7 12 4" xfId="10881" xr:uid="{00000000-0005-0000-0000-0000781E0000}"/>
    <cellStyle name="Calculation 7 12 4 2" xfId="29853" xr:uid="{00000000-0005-0000-0000-0000791E0000}"/>
    <cellStyle name="Calculation 7 12 4 3" xfId="40698" xr:uid="{00000000-0005-0000-0000-00007A1E0000}"/>
    <cellStyle name="Calculation 7 12 4 4" xfId="19022" xr:uid="{00000000-0005-0000-0000-00007B1E0000}"/>
    <cellStyle name="Calculation 7 12 5" xfId="21677" xr:uid="{00000000-0005-0000-0000-00007C1E0000}"/>
    <cellStyle name="Calculation 7 12 6" xfId="32522" xr:uid="{00000000-0005-0000-0000-00007D1E0000}"/>
    <cellStyle name="Calculation 7 12 7" xfId="13168" xr:uid="{00000000-0005-0000-0000-00007E1E0000}"/>
    <cellStyle name="Calculation 7 13" xfId="1109" xr:uid="{00000000-0005-0000-0000-00007F1E0000}"/>
    <cellStyle name="Calculation 7 13 2" xfId="3962" xr:uid="{00000000-0005-0000-0000-0000801E0000}"/>
    <cellStyle name="Calculation 7 13 2 2" xfId="22934" xr:uid="{00000000-0005-0000-0000-0000811E0000}"/>
    <cellStyle name="Calculation 7 13 2 3" xfId="33779" xr:uid="{00000000-0005-0000-0000-0000821E0000}"/>
    <cellStyle name="Calculation 7 13 2 4" xfId="14065" xr:uid="{00000000-0005-0000-0000-0000831E0000}"/>
    <cellStyle name="Calculation 7 13 3" xfId="6636" xr:uid="{00000000-0005-0000-0000-0000841E0000}"/>
    <cellStyle name="Calculation 7 13 3 2" xfId="25608" xr:uid="{00000000-0005-0000-0000-0000851E0000}"/>
    <cellStyle name="Calculation 7 13 3 3" xfId="36453" xr:uid="{00000000-0005-0000-0000-0000861E0000}"/>
    <cellStyle name="Calculation 7 13 3 4" xfId="15981" xr:uid="{00000000-0005-0000-0000-0000871E0000}"/>
    <cellStyle name="Calculation 7 13 4" xfId="9295" xr:uid="{00000000-0005-0000-0000-0000881E0000}"/>
    <cellStyle name="Calculation 7 13 4 2" xfId="28267" xr:uid="{00000000-0005-0000-0000-0000891E0000}"/>
    <cellStyle name="Calculation 7 13 4 3" xfId="39112" xr:uid="{00000000-0005-0000-0000-00008A1E0000}"/>
    <cellStyle name="Calculation 7 13 4 4" xfId="17885" xr:uid="{00000000-0005-0000-0000-00008B1E0000}"/>
    <cellStyle name="Calculation 7 13 5" xfId="20091" xr:uid="{00000000-0005-0000-0000-00008C1E0000}"/>
    <cellStyle name="Calculation 7 13 6" xfId="30936" xr:uid="{00000000-0005-0000-0000-00008D1E0000}"/>
    <cellStyle name="Calculation 7 13 7" xfId="12031" xr:uid="{00000000-0005-0000-0000-00008E1E0000}"/>
    <cellStyle name="Calculation 7 14" xfId="3298" xr:uid="{00000000-0005-0000-0000-00008F1E0000}"/>
    <cellStyle name="Calculation 7 14 2" xfId="22272" xr:uid="{00000000-0005-0000-0000-0000901E0000}"/>
    <cellStyle name="Calculation 7 14 3" xfId="33117" xr:uid="{00000000-0005-0000-0000-0000911E0000}"/>
    <cellStyle name="Calculation 7 14 4" xfId="13585" xr:uid="{00000000-0005-0000-0000-0000921E0000}"/>
    <cellStyle name="Calculation 7 15" xfId="3307" xr:uid="{00000000-0005-0000-0000-0000931E0000}"/>
    <cellStyle name="Calculation 7 15 2" xfId="22281" xr:uid="{00000000-0005-0000-0000-0000941E0000}"/>
    <cellStyle name="Calculation 7 15 3" xfId="33126" xr:uid="{00000000-0005-0000-0000-0000951E0000}"/>
    <cellStyle name="Calculation 7 15 4" xfId="13592" xr:uid="{00000000-0005-0000-0000-0000961E0000}"/>
    <cellStyle name="Calculation 7 16" xfId="500" xr:uid="{00000000-0005-0000-0000-0000971E0000}"/>
    <cellStyle name="Calculation 7 16 2" xfId="19533" xr:uid="{00000000-0005-0000-0000-0000981E0000}"/>
    <cellStyle name="Calculation 7 16 3" xfId="30378" xr:uid="{00000000-0005-0000-0000-0000991E0000}"/>
    <cellStyle name="Calculation 7 16 4" xfId="11579" xr:uid="{00000000-0005-0000-0000-00009A1E0000}"/>
    <cellStyle name="Calculation 7 17" xfId="19444" xr:uid="{00000000-0005-0000-0000-00009B1E0000}"/>
    <cellStyle name="Calculation 7 18" xfId="19442" xr:uid="{00000000-0005-0000-0000-00009C1E0000}"/>
    <cellStyle name="Calculation 7 19" xfId="11503" xr:uid="{00000000-0005-0000-0000-00009D1E0000}"/>
    <cellStyle name="Calculation 7 2" xfId="655" xr:uid="{00000000-0005-0000-0000-00009E1E0000}"/>
    <cellStyle name="Calculation 7 2 10" xfId="19640" xr:uid="{00000000-0005-0000-0000-00009F1E0000}"/>
    <cellStyle name="Calculation 7 2 11" xfId="30485" xr:uid="{00000000-0005-0000-0000-0000A01E0000}"/>
    <cellStyle name="Calculation 7 2 12" xfId="11707" xr:uid="{00000000-0005-0000-0000-0000A11E0000}"/>
    <cellStyle name="Calculation 7 2 2" xfId="1242" xr:uid="{00000000-0005-0000-0000-0000A21E0000}"/>
    <cellStyle name="Calculation 7 2 2 2" xfId="4095" xr:uid="{00000000-0005-0000-0000-0000A31E0000}"/>
    <cellStyle name="Calculation 7 2 2 2 2" xfId="23067" xr:uid="{00000000-0005-0000-0000-0000A41E0000}"/>
    <cellStyle name="Calculation 7 2 2 2 3" xfId="33912" xr:uid="{00000000-0005-0000-0000-0000A51E0000}"/>
    <cellStyle name="Calculation 7 2 2 2 4" xfId="14168" xr:uid="{00000000-0005-0000-0000-0000A61E0000}"/>
    <cellStyle name="Calculation 7 2 2 3" xfId="6768" xr:uid="{00000000-0005-0000-0000-0000A71E0000}"/>
    <cellStyle name="Calculation 7 2 2 3 2" xfId="25740" xr:uid="{00000000-0005-0000-0000-0000A81E0000}"/>
    <cellStyle name="Calculation 7 2 2 3 3" xfId="36585" xr:uid="{00000000-0005-0000-0000-0000A91E0000}"/>
    <cellStyle name="Calculation 7 2 2 3 4" xfId="16083" xr:uid="{00000000-0005-0000-0000-0000AA1E0000}"/>
    <cellStyle name="Calculation 7 2 2 4" xfId="9427" xr:uid="{00000000-0005-0000-0000-0000AB1E0000}"/>
    <cellStyle name="Calculation 7 2 2 4 2" xfId="28399" xr:uid="{00000000-0005-0000-0000-0000AC1E0000}"/>
    <cellStyle name="Calculation 7 2 2 4 3" xfId="39244" xr:uid="{00000000-0005-0000-0000-0000AD1E0000}"/>
    <cellStyle name="Calculation 7 2 2 4 4" xfId="17987" xr:uid="{00000000-0005-0000-0000-0000AE1E0000}"/>
    <cellStyle name="Calculation 7 2 2 5" xfId="20223" xr:uid="{00000000-0005-0000-0000-0000AF1E0000}"/>
    <cellStyle name="Calculation 7 2 2 6" xfId="31068" xr:uid="{00000000-0005-0000-0000-0000B01E0000}"/>
    <cellStyle name="Calculation 7 2 2 7" xfId="12133" xr:uid="{00000000-0005-0000-0000-0000B11E0000}"/>
    <cellStyle name="Calculation 7 2 3" xfId="1641" xr:uid="{00000000-0005-0000-0000-0000B21E0000}"/>
    <cellStyle name="Calculation 7 2 3 2" xfId="4494" xr:uid="{00000000-0005-0000-0000-0000B31E0000}"/>
    <cellStyle name="Calculation 7 2 3 2 2" xfId="23466" xr:uid="{00000000-0005-0000-0000-0000B41E0000}"/>
    <cellStyle name="Calculation 7 2 3 2 3" xfId="34311" xr:uid="{00000000-0005-0000-0000-0000B51E0000}"/>
    <cellStyle name="Calculation 7 2 3 2 4" xfId="14455" xr:uid="{00000000-0005-0000-0000-0000B61E0000}"/>
    <cellStyle name="Calculation 7 2 3 3" xfId="7166" xr:uid="{00000000-0005-0000-0000-0000B71E0000}"/>
    <cellStyle name="Calculation 7 2 3 3 2" xfId="26138" xr:uid="{00000000-0005-0000-0000-0000B81E0000}"/>
    <cellStyle name="Calculation 7 2 3 3 3" xfId="36983" xr:uid="{00000000-0005-0000-0000-0000B91E0000}"/>
    <cellStyle name="Calculation 7 2 3 3 4" xfId="16369" xr:uid="{00000000-0005-0000-0000-0000BA1E0000}"/>
    <cellStyle name="Calculation 7 2 3 4" xfId="9825" xr:uid="{00000000-0005-0000-0000-0000BB1E0000}"/>
    <cellStyle name="Calculation 7 2 3 4 2" xfId="28797" xr:uid="{00000000-0005-0000-0000-0000BC1E0000}"/>
    <cellStyle name="Calculation 7 2 3 4 3" xfId="39642" xr:uid="{00000000-0005-0000-0000-0000BD1E0000}"/>
    <cellStyle name="Calculation 7 2 3 4 4" xfId="18273" xr:uid="{00000000-0005-0000-0000-0000BE1E0000}"/>
    <cellStyle name="Calculation 7 2 3 5" xfId="20621" xr:uid="{00000000-0005-0000-0000-0000BF1E0000}"/>
    <cellStyle name="Calculation 7 2 3 6" xfId="31466" xr:uid="{00000000-0005-0000-0000-0000C01E0000}"/>
    <cellStyle name="Calculation 7 2 3 7" xfId="12419" xr:uid="{00000000-0005-0000-0000-0000C11E0000}"/>
    <cellStyle name="Calculation 7 2 4" xfId="2045" xr:uid="{00000000-0005-0000-0000-0000C21E0000}"/>
    <cellStyle name="Calculation 7 2 4 2" xfId="4898" xr:uid="{00000000-0005-0000-0000-0000C31E0000}"/>
    <cellStyle name="Calculation 7 2 4 2 2" xfId="23870" xr:uid="{00000000-0005-0000-0000-0000C41E0000}"/>
    <cellStyle name="Calculation 7 2 4 2 3" xfId="34715" xr:uid="{00000000-0005-0000-0000-0000C51E0000}"/>
    <cellStyle name="Calculation 7 2 4 2 4" xfId="14742" xr:uid="{00000000-0005-0000-0000-0000C61E0000}"/>
    <cellStyle name="Calculation 7 2 4 3" xfId="7569" xr:uid="{00000000-0005-0000-0000-0000C71E0000}"/>
    <cellStyle name="Calculation 7 2 4 3 2" xfId="26541" xr:uid="{00000000-0005-0000-0000-0000C81E0000}"/>
    <cellStyle name="Calculation 7 2 4 3 3" xfId="37386" xr:uid="{00000000-0005-0000-0000-0000C91E0000}"/>
    <cellStyle name="Calculation 7 2 4 3 4" xfId="16655" xr:uid="{00000000-0005-0000-0000-0000CA1E0000}"/>
    <cellStyle name="Calculation 7 2 4 4" xfId="10228" xr:uid="{00000000-0005-0000-0000-0000CB1E0000}"/>
    <cellStyle name="Calculation 7 2 4 4 2" xfId="29200" xr:uid="{00000000-0005-0000-0000-0000CC1E0000}"/>
    <cellStyle name="Calculation 7 2 4 4 3" xfId="40045" xr:uid="{00000000-0005-0000-0000-0000CD1E0000}"/>
    <cellStyle name="Calculation 7 2 4 4 4" xfId="18559" xr:uid="{00000000-0005-0000-0000-0000CE1E0000}"/>
    <cellStyle name="Calculation 7 2 4 5" xfId="21024" xr:uid="{00000000-0005-0000-0000-0000CF1E0000}"/>
    <cellStyle name="Calculation 7 2 4 6" xfId="31869" xr:uid="{00000000-0005-0000-0000-0000D01E0000}"/>
    <cellStyle name="Calculation 7 2 4 7" xfId="12705" xr:uid="{00000000-0005-0000-0000-0000D11E0000}"/>
    <cellStyle name="Calculation 7 2 5" xfId="2435" xr:uid="{00000000-0005-0000-0000-0000D21E0000}"/>
    <cellStyle name="Calculation 7 2 5 2" xfId="5287" xr:uid="{00000000-0005-0000-0000-0000D31E0000}"/>
    <cellStyle name="Calculation 7 2 5 2 2" xfId="24259" xr:uid="{00000000-0005-0000-0000-0000D41E0000}"/>
    <cellStyle name="Calculation 7 2 5 2 3" xfId="35104" xr:uid="{00000000-0005-0000-0000-0000D51E0000}"/>
    <cellStyle name="Calculation 7 2 5 2 4" xfId="15021" xr:uid="{00000000-0005-0000-0000-0000D61E0000}"/>
    <cellStyle name="Calculation 7 2 5 3" xfId="7958" xr:uid="{00000000-0005-0000-0000-0000D71E0000}"/>
    <cellStyle name="Calculation 7 2 5 3 2" xfId="26930" xr:uid="{00000000-0005-0000-0000-0000D81E0000}"/>
    <cellStyle name="Calculation 7 2 5 3 3" xfId="37775" xr:uid="{00000000-0005-0000-0000-0000D91E0000}"/>
    <cellStyle name="Calculation 7 2 5 3 4" xfId="16934" xr:uid="{00000000-0005-0000-0000-0000DA1E0000}"/>
    <cellStyle name="Calculation 7 2 5 4" xfId="10617" xr:uid="{00000000-0005-0000-0000-0000DB1E0000}"/>
    <cellStyle name="Calculation 7 2 5 4 2" xfId="29589" xr:uid="{00000000-0005-0000-0000-0000DC1E0000}"/>
    <cellStyle name="Calculation 7 2 5 4 3" xfId="40434" xr:uid="{00000000-0005-0000-0000-0000DD1E0000}"/>
    <cellStyle name="Calculation 7 2 5 4 4" xfId="18838" xr:uid="{00000000-0005-0000-0000-0000DE1E0000}"/>
    <cellStyle name="Calculation 7 2 5 5" xfId="21413" xr:uid="{00000000-0005-0000-0000-0000DF1E0000}"/>
    <cellStyle name="Calculation 7 2 5 6" xfId="32258" xr:uid="{00000000-0005-0000-0000-0000E01E0000}"/>
    <cellStyle name="Calculation 7 2 5 7" xfId="12984" xr:uid="{00000000-0005-0000-0000-0000E11E0000}"/>
    <cellStyle name="Calculation 7 2 6" xfId="2821" xr:uid="{00000000-0005-0000-0000-0000E21E0000}"/>
    <cellStyle name="Calculation 7 2 6 2" xfId="5672" xr:uid="{00000000-0005-0000-0000-0000E31E0000}"/>
    <cellStyle name="Calculation 7 2 6 2 2" xfId="24644" xr:uid="{00000000-0005-0000-0000-0000E41E0000}"/>
    <cellStyle name="Calculation 7 2 6 2 3" xfId="35489" xr:uid="{00000000-0005-0000-0000-0000E51E0000}"/>
    <cellStyle name="Calculation 7 2 6 2 4" xfId="15297" xr:uid="{00000000-0005-0000-0000-0000E61E0000}"/>
    <cellStyle name="Calculation 7 2 6 3" xfId="8343" xr:uid="{00000000-0005-0000-0000-0000E71E0000}"/>
    <cellStyle name="Calculation 7 2 6 3 2" xfId="27315" xr:uid="{00000000-0005-0000-0000-0000E81E0000}"/>
    <cellStyle name="Calculation 7 2 6 3 3" xfId="38160" xr:uid="{00000000-0005-0000-0000-0000E91E0000}"/>
    <cellStyle name="Calculation 7 2 6 3 4" xfId="17210" xr:uid="{00000000-0005-0000-0000-0000EA1E0000}"/>
    <cellStyle name="Calculation 7 2 6 4" xfId="11002" xr:uid="{00000000-0005-0000-0000-0000EB1E0000}"/>
    <cellStyle name="Calculation 7 2 6 4 2" xfId="29974" xr:uid="{00000000-0005-0000-0000-0000EC1E0000}"/>
    <cellStyle name="Calculation 7 2 6 4 3" xfId="40819" xr:uid="{00000000-0005-0000-0000-0000ED1E0000}"/>
    <cellStyle name="Calculation 7 2 6 4 4" xfId="19114" xr:uid="{00000000-0005-0000-0000-0000EE1E0000}"/>
    <cellStyle name="Calculation 7 2 6 5" xfId="21798" xr:uid="{00000000-0005-0000-0000-0000EF1E0000}"/>
    <cellStyle name="Calculation 7 2 6 6" xfId="32643" xr:uid="{00000000-0005-0000-0000-0000F01E0000}"/>
    <cellStyle name="Calculation 7 2 6 7" xfId="13260" xr:uid="{00000000-0005-0000-0000-0000F11E0000}"/>
    <cellStyle name="Calculation 7 2 7" xfId="3510" xr:uid="{00000000-0005-0000-0000-0000F21E0000}"/>
    <cellStyle name="Calculation 7 2 7 2" xfId="22482" xr:uid="{00000000-0005-0000-0000-0000F31E0000}"/>
    <cellStyle name="Calculation 7 2 7 3" xfId="33327" xr:uid="{00000000-0005-0000-0000-0000F41E0000}"/>
    <cellStyle name="Calculation 7 2 7 4" xfId="13741" xr:uid="{00000000-0005-0000-0000-0000F51E0000}"/>
    <cellStyle name="Calculation 7 2 8" xfId="6185" xr:uid="{00000000-0005-0000-0000-0000F61E0000}"/>
    <cellStyle name="Calculation 7 2 8 2" xfId="25157" xr:uid="{00000000-0005-0000-0000-0000F71E0000}"/>
    <cellStyle name="Calculation 7 2 8 3" xfId="36002" xr:uid="{00000000-0005-0000-0000-0000F81E0000}"/>
    <cellStyle name="Calculation 7 2 8 4" xfId="15657" xr:uid="{00000000-0005-0000-0000-0000F91E0000}"/>
    <cellStyle name="Calculation 7 2 9" xfId="8844" xr:uid="{00000000-0005-0000-0000-0000FA1E0000}"/>
    <cellStyle name="Calculation 7 2 9 2" xfId="27816" xr:uid="{00000000-0005-0000-0000-0000FB1E0000}"/>
    <cellStyle name="Calculation 7 2 9 3" xfId="38661" xr:uid="{00000000-0005-0000-0000-0000FC1E0000}"/>
    <cellStyle name="Calculation 7 2 9 4" xfId="17561" xr:uid="{00000000-0005-0000-0000-0000FD1E0000}"/>
    <cellStyle name="Calculation 7 3" xfId="547" xr:uid="{00000000-0005-0000-0000-0000FE1E0000}"/>
    <cellStyle name="Calculation 7 3 10" xfId="19557" xr:uid="{00000000-0005-0000-0000-0000FF1E0000}"/>
    <cellStyle name="Calculation 7 3 11" xfId="30402" xr:uid="{00000000-0005-0000-0000-0000001F0000}"/>
    <cellStyle name="Calculation 7 3 12" xfId="11621" xr:uid="{00000000-0005-0000-0000-0000011F0000}"/>
    <cellStyle name="Calculation 7 3 2" xfId="1153" xr:uid="{00000000-0005-0000-0000-0000021F0000}"/>
    <cellStyle name="Calculation 7 3 2 2" xfId="4006" xr:uid="{00000000-0005-0000-0000-0000031F0000}"/>
    <cellStyle name="Calculation 7 3 2 2 2" xfId="22978" xr:uid="{00000000-0005-0000-0000-0000041F0000}"/>
    <cellStyle name="Calculation 7 3 2 2 3" xfId="33823" xr:uid="{00000000-0005-0000-0000-0000051F0000}"/>
    <cellStyle name="Calculation 7 3 2 2 4" xfId="14098" xr:uid="{00000000-0005-0000-0000-0000061F0000}"/>
    <cellStyle name="Calculation 7 3 2 3" xfId="6679" xr:uid="{00000000-0005-0000-0000-0000071F0000}"/>
    <cellStyle name="Calculation 7 3 2 3 2" xfId="25651" xr:uid="{00000000-0005-0000-0000-0000081F0000}"/>
    <cellStyle name="Calculation 7 3 2 3 3" xfId="36496" xr:uid="{00000000-0005-0000-0000-0000091F0000}"/>
    <cellStyle name="Calculation 7 3 2 3 4" xfId="16013" xr:uid="{00000000-0005-0000-0000-00000A1F0000}"/>
    <cellStyle name="Calculation 7 3 2 4" xfId="9338" xr:uid="{00000000-0005-0000-0000-00000B1F0000}"/>
    <cellStyle name="Calculation 7 3 2 4 2" xfId="28310" xr:uid="{00000000-0005-0000-0000-00000C1F0000}"/>
    <cellStyle name="Calculation 7 3 2 4 3" xfId="39155" xr:uid="{00000000-0005-0000-0000-00000D1F0000}"/>
    <cellStyle name="Calculation 7 3 2 4 4" xfId="17917" xr:uid="{00000000-0005-0000-0000-00000E1F0000}"/>
    <cellStyle name="Calculation 7 3 2 5" xfId="20134" xr:uid="{00000000-0005-0000-0000-00000F1F0000}"/>
    <cellStyle name="Calculation 7 3 2 6" xfId="30979" xr:uid="{00000000-0005-0000-0000-0000101F0000}"/>
    <cellStyle name="Calculation 7 3 2 7" xfId="12063" xr:uid="{00000000-0005-0000-0000-0000111F0000}"/>
    <cellStyle name="Calculation 7 3 3" xfId="1550" xr:uid="{00000000-0005-0000-0000-0000121F0000}"/>
    <cellStyle name="Calculation 7 3 3 2" xfId="4403" xr:uid="{00000000-0005-0000-0000-0000131F0000}"/>
    <cellStyle name="Calculation 7 3 3 2 2" xfId="23375" xr:uid="{00000000-0005-0000-0000-0000141F0000}"/>
    <cellStyle name="Calculation 7 3 3 2 3" xfId="34220" xr:uid="{00000000-0005-0000-0000-0000151F0000}"/>
    <cellStyle name="Calculation 7 3 3 2 4" xfId="14384" xr:uid="{00000000-0005-0000-0000-0000161F0000}"/>
    <cellStyle name="Calculation 7 3 3 3" xfId="7075" xr:uid="{00000000-0005-0000-0000-0000171F0000}"/>
    <cellStyle name="Calculation 7 3 3 3 2" xfId="26047" xr:uid="{00000000-0005-0000-0000-0000181F0000}"/>
    <cellStyle name="Calculation 7 3 3 3 3" xfId="36892" xr:uid="{00000000-0005-0000-0000-0000191F0000}"/>
    <cellStyle name="Calculation 7 3 3 3 4" xfId="16298" xr:uid="{00000000-0005-0000-0000-00001A1F0000}"/>
    <cellStyle name="Calculation 7 3 3 4" xfId="9734" xr:uid="{00000000-0005-0000-0000-00001B1F0000}"/>
    <cellStyle name="Calculation 7 3 3 4 2" xfId="28706" xr:uid="{00000000-0005-0000-0000-00001C1F0000}"/>
    <cellStyle name="Calculation 7 3 3 4 3" xfId="39551" xr:uid="{00000000-0005-0000-0000-00001D1F0000}"/>
    <cellStyle name="Calculation 7 3 3 4 4" xfId="18202" xr:uid="{00000000-0005-0000-0000-00001E1F0000}"/>
    <cellStyle name="Calculation 7 3 3 5" xfId="20530" xr:uid="{00000000-0005-0000-0000-00001F1F0000}"/>
    <cellStyle name="Calculation 7 3 3 6" xfId="31375" xr:uid="{00000000-0005-0000-0000-0000201F0000}"/>
    <cellStyle name="Calculation 7 3 3 7" xfId="12348" xr:uid="{00000000-0005-0000-0000-0000211F0000}"/>
    <cellStyle name="Calculation 7 3 4" xfId="1954" xr:uid="{00000000-0005-0000-0000-0000221F0000}"/>
    <cellStyle name="Calculation 7 3 4 2" xfId="4807" xr:uid="{00000000-0005-0000-0000-0000231F0000}"/>
    <cellStyle name="Calculation 7 3 4 2 2" xfId="23779" xr:uid="{00000000-0005-0000-0000-0000241F0000}"/>
    <cellStyle name="Calculation 7 3 4 2 3" xfId="34624" xr:uid="{00000000-0005-0000-0000-0000251F0000}"/>
    <cellStyle name="Calculation 7 3 4 2 4" xfId="14672" xr:uid="{00000000-0005-0000-0000-0000261F0000}"/>
    <cellStyle name="Calculation 7 3 4 3" xfId="7479" xr:uid="{00000000-0005-0000-0000-0000271F0000}"/>
    <cellStyle name="Calculation 7 3 4 3 2" xfId="26451" xr:uid="{00000000-0005-0000-0000-0000281F0000}"/>
    <cellStyle name="Calculation 7 3 4 3 3" xfId="37296" xr:uid="{00000000-0005-0000-0000-0000291F0000}"/>
    <cellStyle name="Calculation 7 3 4 3 4" xfId="16586" xr:uid="{00000000-0005-0000-0000-00002A1F0000}"/>
    <cellStyle name="Calculation 7 3 4 4" xfId="10138" xr:uid="{00000000-0005-0000-0000-00002B1F0000}"/>
    <cellStyle name="Calculation 7 3 4 4 2" xfId="29110" xr:uid="{00000000-0005-0000-0000-00002C1F0000}"/>
    <cellStyle name="Calculation 7 3 4 4 3" xfId="39955" xr:uid="{00000000-0005-0000-0000-00002D1F0000}"/>
    <cellStyle name="Calculation 7 3 4 4 4" xfId="18490" xr:uid="{00000000-0005-0000-0000-00002E1F0000}"/>
    <cellStyle name="Calculation 7 3 4 5" xfId="20934" xr:uid="{00000000-0005-0000-0000-00002F1F0000}"/>
    <cellStyle name="Calculation 7 3 4 6" xfId="31779" xr:uid="{00000000-0005-0000-0000-0000301F0000}"/>
    <cellStyle name="Calculation 7 3 4 7" xfId="12636" xr:uid="{00000000-0005-0000-0000-0000311F0000}"/>
    <cellStyle name="Calculation 7 3 5" xfId="2346" xr:uid="{00000000-0005-0000-0000-0000321F0000}"/>
    <cellStyle name="Calculation 7 3 5 2" xfId="5199" xr:uid="{00000000-0005-0000-0000-0000331F0000}"/>
    <cellStyle name="Calculation 7 3 5 2 2" xfId="24171" xr:uid="{00000000-0005-0000-0000-0000341F0000}"/>
    <cellStyle name="Calculation 7 3 5 2 3" xfId="35016" xr:uid="{00000000-0005-0000-0000-0000351F0000}"/>
    <cellStyle name="Calculation 7 3 5 2 4" xfId="14953" xr:uid="{00000000-0005-0000-0000-0000361F0000}"/>
    <cellStyle name="Calculation 7 3 5 3" xfId="7870" xr:uid="{00000000-0005-0000-0000-0000371F0000}"/>
    <cellStyle name="Calculation 7 3 5 3 2" xfId="26842" xr:uid="{00000000-0005-0000-0000-0000381F0000}"/>
    <cellStyle name="Calculation 7 3 5 3 3" xfId="37687" xr:uid="{00000000-0005-0000-0000-0000391F0000}"/>
    <cellStyle name="Calculation 7 3 5 3 4" xfId="16866" xr:uid="{00000000-0005-0000-0000-00003A1F0000}"/>
    <cellStyle name="Calculation 7 3 5 4" xfId="10529" xr:uid="{00000000-0005-0000-0000-00003B1F0000}"/>
    <cellStyle name="Calculation 7 3 5 4 2" xfId="29501" xr:uid="{00000000-0005-0000-0000-00003C1F0000}"/>
    <cellStyle name="Calculation 7 3 5 4 3" xfId="40346" xr:uid="{00000000-0005-0000-0000-00003D1F0000}"/>
    <cellStyle name="Calculation 7 3 5 4 4" xfId="18770" xr:uid="{00000000-0005-0000-0000-00003E1F0000}"/>
    <cellStyle name="Calculation 7 3 5 5" xfId="21325" xr:uid="{00000000-0005-0000-0000-00003F1F0000}"/>
    <cellStyle name="Calculation 7 3 5 6" xfId="32170" xr:uid="{00000000-0005-0000-0000-0000401F0000}"/>
    <cellStyle name="Calculation 7 3 5 7" xfId="12916" xr:uid="{00000000-0005-0000-0000-0000411F0000}"/>
    <cellStyle name="Calculation 7 3 6" xfId="2735" xr:uid="{00000000-0005-0000-0000-0000421F0000}"/>
    <cellStyle name="Calculation 7 3 6 2" xfId="5587" xr:uid="{00000000-0005-0000-0000-0000431F0000}"/>
    <cellStyle name="Calculation 7 3 6 2 2" xfId="24559" xr:uid="{00000000-0005-0000-0000-0000441F0000}"/>
    <cellStyle name="Calculation 7 3 6 2 3" xfId="35404" xr:uid="{00000000-0005-0000-0000-0000451F0000}"/>
    <cellStyle name="Calculation 7 3 6 2 4" xfId="15231" xr:uid="{00000000-0005-0000-0000-0000461F0000}"/>
    <cellStyle name="Calculation 7 3 6 3" xfId="8258" xr:uid="{00000000-0005-0000-0000-0000471F0000}"/>
    <cellStyle name="Calculation 7 3 6 3 2" xfId="27230" xr:uid="{00000000-0005-0000-0000-0000481F0000}"/>
    <cellStyle name="Calculation 7 3 6 3 3" xfId="38075" xr:uid="{00000000-0005-0000-0000-0000491F0000}"/>
    <cellStyle name="Calculation 7 3 6 3 4" xfId="17144" xr:uid="{00000000-0005-0000-0000-00004A1F0000}"/>
    <cellStyle name="Calculation 7 3 6 4" xfId="10917" xr:uid="{00000000-0005-0000-0000-00004B1F0000}"/>
    <cellStyle name="Calculation 7 3 6 4 2" xfId="29889" xr:uid="{00000000-0005-0000-0000-00004C1F0000}"/>
    <cellStyle name="Calculation 7 3 6 4 3" xfId="40734" xr:uid="{00000000-0005-0000-0000-00004D1F0000}"/>
    <cellStyle name="Calculation 7 3 6 4 4" xfId="19048" xr:uid="{00000000-0005-0000-0000-00004E1F0000}"/>
    <cellStyle name="Calculation 7 3 6 5" xfId="21713" xr:uid="{00000000-0005-0000-0000-00004F1F0000}"/>
    <cellStyle name="Calculation 7 3 6 6" xfId="32558" xr:uid="{00000000-0005-0000-0000-0000501F0000}"/>
    <cellStyle name="Calculation 7 3 6 7" xfId="13194" xr:uid="{00000000-0005-0000-0000-0000511F0000}"/>
    <cellStyle name="Calculation 7 3 7" xfId="3426" xr:uid="{00000000-0005-0000-0000-0000521F0000}"/>
    <cellStyle name="Calculation 7 3 7 2" xfId="22398" xr:uid="{00000000-0005-0000-0000-0000531F0000}"/>
    <cellStyle name="Calculation 7 3 7 3" xfId="33243" xr:uid="{00000000-0005-0000-0000-0000541F0000}"/>
    <cellStyle name="Calculation 7 3 7 4" xfId="13676" xr:uid="{00000000-0005-0000-0000-0000551F0000}"/>
    <cellStyle name="Calculation 7 3 8" xfId="6102" xr:uid="{00000000-0005-0000-0000-0000561F0000}"/>
    <cellStyle name="Calculation 7 3 8 2" xfId="25074" xr:uid="{00000000-0005-0000-0000-0000571F0000}"/>
    <cellStyle name="Calculation 7 3 8 3" xfId="35919" xr:uid="{00000000-0005-0000-0000-0000581F0000}"/>
    <cellStyle name="Calculation 7 3 8 4" xfId="15593" xr:uid="{00000000-0005-0000-0000-0000591F0000}"/>
    <cellStyle name="Calculation 7 3 9" xfId="8761" xr:uid="{00000000-0005-0000-0000-00005A1F0000}"/>
    <cellStyle name="Calculation 7 3 9 2" xfId="27733" xr:uid="{00000000-0005-0000-0000-00005B1F0000}"/>
    <cellStyle name="Calculation 7 3 9 3" xfId="38578" xr:uid="{00000000-0005-0000-0000-00005C1F0000}"/>
    <cellStyle name="Calculation 7 3 9 4" xfId="17497" xr:uid="{00000000-0005-0000-0000-00005D1F0000}"/>
    <cellStyle name="Calculation 7 4" xfId="534" xr:uid="{00000000-0005-0000-0000-00005E1F0000}"/>
    <cellStyle name="Calculation 7 4 10" xfId="19544" xr:uid="{00000000-0005-0000-0000-00005F1F0000}"/>
    <cellStyle name="Calculation 7 4 11" xfId="30389" xr:uid="{00000000-0005-0000-0000-0000601F0000}"/>
    <cellStyle name="Calculation 7 4 12" xfId="11608" xr:uid="{00000000-0005-0000-0000-0000611F0000}"/>
    <cellStyle name="Calculation 7 4 2" xfId="1140" xr:uid="{00000000-0005-0000-0000-0000621F0000}"/>
    <cellStyle name="Calculation 7 4 2 2" xfId="3993" xr:uid="{00000000-0005-0000-0000-0000631F0000}"/>
    <cellStyle name="Calculation 7 4 2 2 2" xfId="22965" xr:uid="{00000000-0005-0000-0000-0000641F0000}"/>
    <cellStyle name="Calculation 7 4 2 2 3" xfId="33810" xr:uid="{00000000-0005-0000-0000-0000651F0000}"/>
    <cellStyle name="Calculation 7 4 2 2 4" xfId="14085" xr:uid="{00000000-0005-0000-0000-0000661F0000}"/>
    <cellStyle name="Calculation 7 4 2 3" xfId="6666" xr:uid="{00000000-0005-0000-0000-0000671F0000}"/>
    <cellStyle name="Calculation 7 4 2 3 2" xfId="25638" xr:uid="{00000000-0005-0000-0000-0000681F0000}"/>
    <cellStyle name="Calculation 7 4 2 3 3" xfId="36483" xr:uid="{00000000-0005-0000-0000-0000691F0000}"/>
    <cellStyle name="Calculation 7 4 2 3 4" xfId="16000" xr:uid="{00000000-0005-0000-0000-00006A1F0000}"/>
    <cellStyle name="Calculation 7 4 2 4" xfId="9325" xr:uid="{00000000-0005-0000-0000-00006B1F0000}"/>
    <cellStyle name="Calculation 7 4 2 4 2" xfId="28297" xr:uid="{00000000-0005-0000-0000-00006C1F0000}"/>
    <cellStyle name="Calculation 7 4 2 4 3" xfId="39142" xr:uid="{00000000-0005-0000-0000-00006D1F0000}"/>
    <cellStyle name="Calculation 7 4 2 4 4" xfId="17904" xr:uid="{00000000-0005-0000-0000-00006E1F0000}"/>
    <cellStyle name="Calculation 7 4 2 5" xfId="20121" xr:uid="{00000000-0005-0000-0000-00006F1F0000}"/>
    <cellStyle name="Calculation 7 4 2 6" xfId="30966" xr:uid="{00000000-0005-0000-0000-0000701F0000}"/>
    <cellStyle name="Calculation 7 4 2 7" xfId="12050" xr:uid="{00000000-0005-0000-0000-0000711F0000}"/>
    <cellStyle name="Calculation 7 4 3" xfId="1537" xr:uid="{00000000-0005-0000-0000-0000721F0000}"/>
    <cellStyle name="Calculation 7 4 3 2" xfId="4390" xr:uid="{00000000-0005-0000-0000-0000731F0000}"/>
    <cellStyle name="Calculation 7 4 3 2 2" xfId="23362" xr:uid="{00000000-0005-0000-0000-0000741F0000}"/>
    <cellStyle name="Calculation 7 4 3 2 3" xfId="34207" xr:uid="{00000000-0005-0000-0000-0000751F0000}"/>
    <cellStyle name="Calculation 7 4 3 2 4" xfId="14371" xr:uid="{00000000-0005-0000-0000-0000761F0000}"/>
    <cellStyle name="Calculation 7 4 3 3" xfId="7062" xr:uid="{00000000-0005-0000-0000-0000771F0000}"/>
    <cellStyle name="Calculation 7 4 3 3 2" xfId="26034" xr:uid="{00000000-0005-0000-0000-0000781F0000}"/>
    <cellStyle name="Calculation 7 4 3 3 3" xfId="36879" xr:uid="{00000000-0005-0000-0000-0000791F0000}"/>
    <cellStyle name="Calculation 7 4 3 3 4" xfId="16285" xr:uid="{00000000-0005-0000-0000-00007A1F0000}"/>
    <cellStyle name="Calculation 7 4 3 4" xfId="9721" xr:uid="{00000000-0005-0000-0000-00007B1F0000}"/>
    <cellStyle name="Calculation 7 4 3 4 2" xfId="28693" xr:uid="{00000000-0005-0000-0000-00007C1F0000}"/>
    <cellStyle name="Calculation 7 4 3 4 3" xfId="39538" xr:uid="{00000000-0005-0000-0000-00007D1F0000}"/>
    <cellStyle name="Calculation 7 4 3 4 4" xfId="18189" xr:uid="{00000000-0005-0000-0000-00007E1F0000}"/>
    <cellStyle name="Calculation 7 4 3 5" xfId="20517" xr:uid="{00000000-0005-0000-0000-00007F1F0000}"/>
    <cellStyle name="Calculation 7 4 3 6" xfId="31362" xr:uid="{00000000-0005-0000-0000-0000801F0000}"/>
    <cellStyle name="Calculation 7 4 3 7" xfId="12335" xr:uid="{00000000-0005-0000-0000-0000811F0000}"/>
    <cellStyle name="Calculation 7 4 4" xfId="1941" xr:uid="{00000000-0005-0000-0000-0000821F0000}"/>
    <cellStyle name="Calculation 7 4 4 2" xfId="4794" xr:uid="{00000000-0005-0000-0000-0000831F0000}"/>
    <cellStyle name="Calculation 7 4 4 2 2" xfId="23766" xr:uid="{00000000-0005-0000-0000-0000841F0000}"/>
    <cellStyle name="Calculation 7 4 4 2 3" xfId="34611" xr:uid="{00000000-0005-0000-0000-0000851F0000}"/>
    <cellStyle name="Calculation 7 4 4 2 4" xfId="14659" xr:uid="{00000000-0005-0000-0000-0000861F0000}"/>
    <cellStyle name="Calculation 7 4 4 3" xfId="7466" xr:uid="{00000000-0005-0000-0000-0000871F0000}"/>
    <cellStyle name="Calculation 7 4 4 3 2" xfId="26438" xr:uid="{00000000-0005-0000-0000-0000881F0000}"/>
    <cellStyle name="Calculation 7 4 4 3 3" xfId="37283" xr:uid="{00000000-0005-0000-0000-0000891F0000}"/>
    <cellStyle name="Calculation 7 4 4 3 4" xfId="16573" xr:uid="{00000000-0005-0000-0000-00008A1F0000}"/>
    <cellStyle name="Calculation 7 4 4 4" xfId="10125" xr:uid="{00000000-0005-0000-0000-00008B1F0000}"/>
    <cellStyle name="Calculation 7 4 4 4 2" xfId="29097" xr:uid="{00000000-0005-0000-0000-00008C1F0000}"/>
    <cellStyle name="Calculation 7 4 4 4 3" xfId="39942" xr:uid="{00000000-0005-0000-0000-00008D1F0000}"/>
    <cellStyle name="Calculation 7 4 4 4 4" xfId="18477" xr:uid="{00000000-0005-0000-0000-00008E1F0000}"/>
    <cellStyle name="Calculation 7 4 4 5" xfId="20921" xr:uid="{00000000-0005-0000-0000-00008F1F0000}"/>
    <cellStyle name="Calculation 7 4 4 6" xfId="31766" xr:uid="{00000000-0005-0000-0000-0000901F0000}"/>
    <cellStyle name="Calculation 7 4 4 7" xfId="12623" xr:uid="{00000000-0005-0000-0000-0000911F0000}"/>
    <cellStyle name="Calculation 7 4 5" xfId="2333" xr:uid="{00000000-0005-0000-0000-0000921F0000}"/>
    <cellStyle name="Calculation 7 4 5 2" xfId="5186" xr:uid="{00000000-0005-0000-0000-0000931F0000}"/>
    <cellStyle name="Calculation 7 4 5 2 2" xfId="24158" xr:uid="{00000000-0005-0000-0000-0000941F0000}"/>
    <cellStyle name="Calculation 7 4 5 2 3" xfId="35003" xr:uid="{00000000-0005-0000-0000-0000951F0000}"/>
    <cellStyle name="Calculation 7 4 5 2 4" xfId="14940" xr:uid="{00000000-0005-0000-0000-0000961F0000}"/>
    <cellStyle name="Calculation 7 4 5 3" xfId="7857" xr:uid="{00000000-0005-0000-0000-0000971F0000}"/>
    <cellStyle name="Calculation 7 4 5 3 2" xfId="26829" xr:uid="{00000000-0005-0000-0000-0000981F0000}"/>
    <cellStyle name="Calculation 7 4 5 3 3" xfId="37674" xr:uid="{00000000-0005-0000-0000-0000991F0000}"/>
    <cellStyle name="Calculation 7 4 5 3 4" xfId="16853" xr:uid="{00000000-0005-0000-0000-00009A1F0000}"/>
    <cellStyle name="Calculation 7 4 5 4" xfId="10516" xr:uid="{00000000-0005-0000-0000-00009B1F0000}"/>
    <cellStyle name="Calculation 7 4 5 4 2" xfId="29488" xr:uid="{00000000-0005-0000-0000-00009C1F0000}"/>
    <cellStyle name="Calculation 7 4 5 4 3" xfId="40333" xr:uid="{00000000-0005-0000-0000-00009D1F0000}"/>
    <cellStyle name="Calculation 7 4 5 4 4" xfId="18757" xr:uid="{00000000-0005-0000-0000-00009E1F0000}"/>
    <cellStyle name="Calculation 7 4 5 5" xfId="21312" xr:uid="{00000000-0005-0000-0000-00009F1F0000}"/>
    <cellStyle name="Calculation 7 4 5 6" xfId="32157" xr:uid="{00000000-0005-0000-0000-0000A01F0000}"/>
    <cellStyle name="Calculation 7 4 5 7" xfId="12903" xr:uid="{00000000-0005-0000-0000-0000A11F0000}"/>
    <cellStyle name="Calculation 7 4 6" xfId="2722" xr:uid="{00000000-0005-0000-0000-0000A21F0000}"/>
    <cellStyle name="Calculation 7 4 6 2" xfId="5574" xr:uid="{00000000-0005-0000-0000-0000A31F0000}"/>
    <cellStyle name="Calculation 7 4 6 2 2" xfId="24546" xr:uid="{00000000-0005-0000-0000-0000A41F0000}"/>
    <cellStyle name="Calculation 7 4 6 2 3" xfId="35391" xr:uid="{00000000-0005-0000-0000-0000A51F0000}"/>
    <cellStyle name="Calculation 7 4 6 2 4" xfId="15218" xr:uid="{00000000-0005-0000-0000-0000A61F0000}"/>
    <cellStyle name="Calculation 7 4 6 3" xfId="8245" xr:uid="{00000000-0005-0000-0000-0000A71F0000}"/>
    <cellStyle name="Calculation 7 4 6 3 2" xfId="27217" xr:uid="{00000000-0005-0000-0000-0000A81F0000}"/>
    <cellStyle name="Calculation 7 4 6 3 3" xfId="38062" xr:uid="{00000000-0005-0000-0000-0000A91F0000}"/>
    <cellStyle name="Calculation 7 4 6 3 4" xfId="17131" xr:uid="{00000000-0005-0000-0000-0000AA1F0000}"/>
    <cellStyle name="Calculation 7 4 6 4" xfId="10904" xr:uid="{00000000-0005-0000-0000-0000AB1F0000}"/>
    <cellStyle name="Calculation 7 4 6 4 2" xfId="29876" xr:uid="{00000000-0005-0000-0000-0000AC1F0000}"/>
    <cellStyle name="Calculation 7 4 6 4 3" xfId="40721" xr:uid="{00000000-0005-0000-0000-0000AD1F0000}"/>
    <cellStyle name="Calculation 7 4 6 4 4" xfId="19035" xr:uid="{00000000-0005-0000-0000-0000AE1F0000}"/>
    <cellStyle name="Calculation 7 4 6 5" xfId="21700" xr:uid="{00000000-0005-0000-0000-0000AF1F0000}"/>
    <cellStyle name="Calculation 7 4 6 6" xfId="32545" xr:uid="{00000000-0005-0000-0000-0000B01F0000}"/>
    <cellStyle name="Calculation 7 4 6 7" xfId="13181" xr:uid="{00000000-0005-0000-0000-0000B11F0000}"/>
    <cellStyle name="Calculation 7 4 7" xfId="3413" xr:uid="{00000000-0005-0000-0000-0000B21F0000}"/>
    <cellStyle name="Calculation 7 4 7 2" xfId="22385" xr:uid="{00000000-0005-0000-0000-0000B31F0000}"/>
    <cellStyle name="Calculation 7 4 7 3" xfId="33230" xr:uid="{00000000-0005-0000-0000-0000B41F0000}"/>
    <cellStyle name="Calculation 7 4 7 4" xfId="13663" xr:uid="{00000000-0005-0000-0000-0000B51F0000}"/>
    <cellStyle name="Calculation 7 4 8" xfId="6089" xr:uid="{00000000-0005-0000-0000-0000B61F0000}"/>
    <cellStyle name="Calculation 7 4 8 2" xfId="25061" xr:uid="{00000000-0005-0000-0000-0000B71F0000}"/>
    <cellStyle name="Calculation 7 4 8 3" xfId="35906" xr:uid="{00000000-0005-0000-0000-0000B81F0000}"/>
    <cellStyle name="Calculation 7 4 8 4" xfId="15580" xr:uid="{00000000-0005-0000-0000-0000B91F0000}"/>
    <cellStyle name="Calculation 7 4 9" xfId="8748" xr:uid="{00000000-0005-0000-0000-0000BA1F0000}"/>
    <cellStyle name="Calculation 7 4 9 2" xfId="27720" xr:uid="{00000000-0005-0000-0000-0000BB1F0000}"/>
    <cellStyle name="Calculation 7 4 9 3" xfId="38565" xr:uid="{00000000-0005-0000-0000-0000BC1F0000}"/>
    <cellStyle name="Calculation 7 4 9 4" xfId="17484" xr:uid="{00000000-0005-0000-0000-0000BD1F0000}"/>
    <cellStyle name="Calculation 7 5" xfId="707" xr:uid="{00000000-0005-0000-0000-0000BE1F0000}"/>
    <cellStyle name="Calculation 7 5 10" xfId="19692" xr:uid="{00000000-0005-0000-0000-0000BF1F0000}"/>
    <cellStyle name="Calculation 7 5 11" xfId="30537" xr:uid="{00000000-0005-0000-0000-0000C01F0000}"/>
    <cellStyle name="Calculation 7 5 12" xfId="11749" xr:uid="{00000000-0005-0000-0000-0000C11F0000}"/>
    <cellStyle name="Calculation 7 5 2" xfId="1294" xr:uid="{00000000-0005-0000-0000-0000C21F0000}"/>
    <cellStyle name="Calculation 7 5 2 2" xfId="4147" xr:uid="{00000000-0005-0000-0000-0000C31F0000}"/>
    <cellStyle name="Calculation 7 5 2 2 2" xfId="23119" xr:uid="{00000000-0005-0000-0000-0000C41F0000}"/>
    <cellStyle name="Calculation 7 5 2 2 3" xfId="33964" xr:uid="{00000000-0005-0000-0000-0000C51F0000}"/>
    <cellStyle name="Calculation 7 5 2 2 4" xfId="14210" xr:uid="{00000000-0005-0000-0000-0000C61F0000}"/>
    <cellStyle name="Calculation 7 5 2 3" xfId="6820" xr:uid="{00000000-0005-0000-0000-0000C71F0000}"/>
    <cellStyle name="Calculation 7 5 2 3 2" xfId="25792" xr:uid="{00000000-0005-0000-0000-0000C81F0000}"/>
    <cellStyle name="Calculation 7 5 2 3 3" xfId="36637" xr:uid="{00000000-0005-0000-0000-0000C91F0000}"/>
    <cellStyle name="Calculation 7 5 2 3 4" xfId="16125" xr:uid="{00000000-0005-0000-0000-0000CA1F0000}"/>
    <cellStyle name="Calculation 7 5 2 4" xfId="9479" xr:uid="{00000000-0005-0000-0000-0000CB1F0000}"/>
    <cellStyle name="Calculation 7 5 2 4 2" xfId="28451" xr:uid="{00000000-0005-0000-0000-0000CC1F0000}"/>
    <cellStyle name="Calculation 7 5 2 4 3" xfId="39296" xr:uid="{00000000-0005-0000-0000-0000CD1F0000}"/>
    <cellStyle name="Calculation 7 5 2 4 4" xfId="18029" xr:uid="{00000000-0005-0000-0000-0000CE1F0000}"/>
    <cellStyle name="Calculation 7 5 2 5" xfId="20275" xr:uid="{00000000-0005-0000-0000-0000CF1F0000}"/>
    <cellStyle name="Calculation 7 5 2 6" xfId="31120" xr:uid="{00000000-0005-0000-0000-0000D01F0000}"/>
    <cellStyle name="Calculation 7 5 2 7" xfId="12175" xr:uid="{00000000-0005-0000-0000-0000D11F0000}"/>
    <cellStyle name="Calculation 7 5 3" xfId="1693" xr:uid="{00000000-0005-0000-0000-0000D21F0000}"/>
    <cellStyle name="Calculation 7 5 3 2" xfId="4546" xr:uid="{00000000-0005-0000-0000-0000D31F0000}"/>
    <cellStyle name="Calculation 7 5 3 2 2" xfId="23518" xr:uid="{00000000-0005-0000-0000-0000D41F0000}"/>
    <cellStyle name="Calculation 7 5 3 2 3" xfId="34363" xr:uid="{00000000-0005-0000-0000-0000D51F0000}"/>
    <cellStyle name="Calculation 7 5 3 2 4" xfId="14497" xr:uid="{00000000-0005-0000-0000-0000D61F0000}"/>
    <cellStyle name="Calculation 7 5 3 3" xfId="7218" xr:uid="{00000000-0005-0000-0000-0000D71F0000}"/>
    <cellStyle name="Calculation 7 5 3 3 2" xfId="26190" xr:uid="{00000000-0005-0000-0000-0000D81F0000}"/>
    <cellStyle name="Calculation 7 5 3 3 3" xfId="37035" xr:uid="{00000000-0005-0000-0000-0000D91F0000}"/>
    <cellStyle name="Calculation 7 5 3 3 4" xfId="16411" xr:uid="{00000000-0005-0000-0000-0000DA1F0000}"/>
    <cellStyle name="Calculation 7 5 3 4" xfId="9877" xr:uid="{00000000-0005-0000-0000-0000DB1F0000}"/>
    <cellStyle name="Calculation 7 5 3 4 2" xfId="28849" xr:uid="{00000000-0005-0000-0000-0000DC1F0000}"/>
    <cellStyle name="Calculation 7 5 3 4 3" xfId="39694" xr:uid="{00000000-0005-0000-0000-0000DD1F0000}"/>
    <cellStyle name="Calculation 7 5 3 4 4" xfId="18315" xr:uid="{00000000-0005-0000-0000-0000DE1F0000}"/>
    <cellStyle name="Calculation 7 5 3 5" xfId="20673" xr:uid="{00000000-0005-0000-0000-0000DF1F0000}"/>
    <cellStyle name="Calculation 7 5 3 6" xfId="31518" xr:uid="{00000000-0005-0000-0000-0000E01F0000}"/>
    <cellStyle name="Calculation 7 5 3 7" xfId="12461" xr:uid="{00000000-0005-0000-0000-0000E11F0000}"/>
    <cellStyle name="Calculation 7 5 4" xfId="2097" xr:uid="{00000000-0005-0000-0000-0000E21F0000}"/>
    <cellStyle name="Calculation 7 5 4 2" xfId="4950" xr:uid="{00000000-0005-0000-0000-0000E31F0000}"/>
    <cellStyle name="Calculation 7 5 4 2 2" xfId="23922" xr:uid="{00000000-0005-0000-0000-0000E41F0000}"/>
    <cellStyle name="Calculation 7 5 4 2 3" xfId="34767" xr:uid="{00000000-0005-0000-0000-0000E51F0000}"/>
    <cellStyle name="Calculation 7 5 4 2 4" xfId="14784" xr:uid="{00000000-0005-0000-0000-0000E61F0000}"/>
    <cellStyle name="Calculation 7 5 4 3" xfId="7621" xr:uid="{00000000-0005-0000-0000-0000E71F0000}"/>
    <cellStyle name="Calculation 7 5 4 3 2" xfId="26593" xr:uid="{00000000-0005-0000-0000-0000E81F0000}"/>
    <cellStyle name="Calculation 7 5 4 3 3" xfId="37438" xr:uid="{00000000-0005-0000-0000-0000E91F0000}"/>
    <cellStyle name="Calculation 7 5 4 3 4" xfId="16697" xr:uid="{00000000-0005-0000-0000-0000EA1F0000}"/>
    <cellStyle name="Calculation 7 5 4 4" xfId="10280" xr:uid="{00000000-0005-0000-0000-0000EB1F0000}"/>
    <cellStyle name="Calculation 7 5 4 4 2" xfId="29252" xr:uid="{00000000-0005-0000-0000-0000EC1F0000}"/>
    <cellStyle name="Calculation 7 5 4 4 3" xfId="40097" xr:uid="{00000000-0005-0000-0000-0000ED1F0000}"/>
    <cellStyle name="Calculation 7 5 4 4 4" xfId="18601" xr:uid="{00000000-0005-0000-0000-0000EE1F0000}"/>
    <cellStyle name="Calculation 7 5 4 5" xfId="21076" xr:uid="{00000000-0005-0000-0000-0000EF1F0000}"/>
    <cellStyle name="Calculation 7 5 4 6" xfId="31921" xr:uid="{00000000-0005-0000-0000-0000F01F0000}"/>
    <cellStyle name="Calculation 7 5 4 7" xfId="12747" xr:uid="{00000000-0005-0000-0000-0000F11F0000}"/>
    <cellStyle name="Calculation 7 5 5" xfId="2487" xr:uid="{00000000-0005-0000-0000-0000F21F0000}"/>
    <cellStyle name="Calculation 7 5 5 2" xfId="5339" xr:uid="{00000000-0005-0000-0000-0000F31F0000}"/>
    <cellStyle name="Calculation 7 5 5 2 2" xfId="24311" xr:uid="{00000000-0005-0000-0000-0000F41F0000}"/>
    <cellStyle name="Calculation 7 5 5 2 3" xfId="35156" xr:uid="{00000000-0005-0000-0000-0000F51F0000}"/>
    <cellStyle name="Calculation 7 5 5 2 4" xfId="15063" xr:uid="{00000000-0005-0000-0000-0000F61F0000}"/>
    <cellStyle name="Calculation 7 5 5 3" xfId="8010" xr:uid="{00000000-0005-0000-0000-0000F71F0000}"/>
    <cellStyle name="Calculation 7 5 5 3 2" xfId="26982" xr:uid="{00000000-0005-0000-0000-0000F81F0000}"/>
    <cellStyle name="Calculation 7 5 5 3 3" xfId="37827" xr:uid="{00000000-0005-0000-0000-0000F91F0000}"/>
    <cellStyle name="Calculation 7 5 5 3 4" xfId="16976" xr:uid="{00000000-0005-0000-0000-0000FA1F0000}"/>
    <cellStyle name="Calculation 7 5 5 4" xfId="10669" xr:uid="{00000000-0005-0000-0000-0000FB1F0000}"/>
    <cellStyle name="Calculation 7 5 5 4 2" xfId="29641" xr:uid="{00000000-0005-0000-0000-0000FC1F0000}"/>
    <cellStyle name="Calculation 7 5 5 4 3" xfId="40486" xr:uid="{00000000-0005-0000-0000-0000FD1F0000}"/>
    <cellStyle name="Calculation 7 5 5 4 4" xfId="18880" xr:uid="{00000000-0005-0000-0000-0000FE1F0000}"/>
    <cellStyle name="Calculation 7 5 5 5" xfId="21465" xr:uid="{00000000-0005-0000-0000-0000FF1F0000}"/>
    <cellStyle name="Calculation 7 5 5 6" xfId="32310" xr:uid="{00000000-0005-0000-0000-000000200000}"/>
    <cellStyle name="Calculation 7 5 5 7" xfId="13026" xr:uid="{00000000-0005-0000-0000-000001200000}"/>
    <cellStyle name="Calculation 7 5 6" xfId="2873" xr:uid="{00000000-0005-0000-0000-000002200000}"/>
    <cellStyle name="Calculation 7 5 6 2" xfId="5724" xr:uid="{00000000-0005-0000-0000-000003200000}"/>
    <cellStyle name="Calculation 7 5 6 2 2" xfId="24696" xr:uid="{00000000-0005-0000-0000-000004200000}"/>
    <cellStyle name="Calculation 7 5 6 2 3" xfId="35541" xr:uid="{00000000-0005-0000-0000-000005200000}"/>
    <cellStyle name="Calculation 7 5 6 2 4" xfId="15339" xr:uid="{00000000-0005-0000-0000-000006200000}"/>
    <cellStyle name="Calculation 7 5 6 3" xfId="8395" xr:uid="{00000000-0005-0000-0000-000007200000}"/>
    <cellStyle name="Calculation 7 5 6 3 2" xfId="27367" xr:uid="{00000000-0005-0000-0000-000008200000}"/>
    <cellStyle name="Calculation 7 5 6 3 3" xfId="38212" xr:uid="{00000000-0005-0000-0000-000009200000}"/>
    <cellStyle name="Calculation 7 5 6 3 4" xfId="17252" xr:uid="{00000000-0005-0000-0000-00000A200000}"/>
    <cellStyle name="Calculation 7 5 6 4" xfId="11054" xr:uid="{00000000-0005-0000-0000-00000B200000}"/>
    <cellStyle name="Calculation 7 5 6 4 2" xfId="30026" xr:uid="{00000000-0005-0000-0000-00000C200000}"/>
    <cellStyle name="Calculation 7 5 6 4 3" xfId="40871" xr:uid="{00000000-0005-0000-0000-00000D200000}"/>
    <cellStyle name="Calculation 7 5 6 4 4" xfId="19156" xr:uid="{00000000-0005-0000-0000-00000E200000}"/>
    <cellStyle name="Calculation 7 5 6 5" xfId="21850" xr:uid="{00000000-0005-0000-0000-00000F200000}"/>
    <cellStyle name="Calculation 7 5 6 6" xfId="32695" xr:uid="{00000000-0005-0000-0000-000010200000}"/>
    <cellStyle name="Calculation 7 5 6 7" xfId="13302" xr:uid="{00000000-0005-0000-0000-000011200000}"/>
    <cellStyle name="Calculation 7 5 7" xfId="3562" xr:uid="{00000000-0005-0000-0000-000012200000}"/>
    <cellStyle name="Calculation 7 5 7 2" xfId="22534" xr:uid="{00000000-0005-0000-0000-000013200000}"/>
    <cellStyle name="Calculation 7 5 7 3" xfId="33379" xr:uid="{00000000-0005-0000-0000-000014200000}"/>
    <cellStyle name="Calculation 7 5 7 4" xfId="13783" xr:uid="{00000000-0005-0000-0000-000015200000}"/>
    <cellStyle name="Calculation 7 5 8" xfId="6237" xr:uid="{00000000-0005-0000-0000-000016200000}"/>
    <cellStyle name="Calculation 7 5 8 2" xfId="25209" xr:uid="{00000000-0005-0000-0000-000017200000}"/>
    <cellStyle name="Calculation 7 5 8 3" xfId="36054" xr:uid="{00000000-0005-0000-0000-000018200000}"/>
    <cellStyle name="Calculation 7 5 8 4" xfId="15699" xr:uid="{00000000-0005-0000-0000-000019200000}"/>
    <cellStyle name="Calculation 7 5 9" xfId="8896" xr:uid="{00000000-0005-0000-0000-00001A200000}"/>
    <cellStyle name="Calculation 7 5 9 2" xfId="27868" xr:uid="{00000000-0005-0000-0000-00001B200000}"/>
    <cellStyle name="Calculation 7 5 9 3" xfId="38713" xr:uid="{00000000-0005-0000-0000-00001C200000}"/>
    <cellStyle name="Calculation 7 5 9 4" xfId="17603" xr:uid="{00000000-0005-0000-0000-00001D200000}"/>
    <cellStyle name="Calculation 7 6" xfId="1053" xr:uid="{00000000-0005-0000-0000-00001E200000}"/>
    <cellStyle name="Calculation 7 6 2" xfId="3906" xr:uid="{00000000-0005-0000-0000-00001F200000}"/>
    <cellStyle name="Calculation 7 6 2 2" xfId="22878" xr:uid="{00000000-0005-0000-0000-000020200000}"/>
    <cellStyle name="Calculation 7 6 2 3" xfId="33723" xr:uid="{00000000-0005-0000-0000-000021200000}"/>
    <cellStyle name="Calculation 7 6 2 4" xfId="14019" xr:uid="{00000000-0005-0000-0000-000022200000}"/>
    <cellStyle name="Calculation 7 6 3" xfId="6580" xr:uid="{00000000-0005-0000-0000-000023200000}"/>
    <cellStyle name="Calculation 7 6 3 2" xfId="25552" xr:uid="{00000000-0005-0000-0000-000024200000}"/>
    <cellStyle name="Calculation 7 6 3 3" xfId="36397" xr:uid="{00000000-0005-0000-0000-000025200000}"/>
    <cellStyle name="Calculation 7 6 3 4" xfId="15935" xr:uid="{00000000-0005-0000-0000-000026200000}"/>
    <cellStyle name="Calculation 7 6 4" xfId="9239" xr:uid="{00000000-0005-0000-0000-000027200000}"/>
    <cellStyle name="Calculation 7 6 4 2" xfId="28211" xr:uid="{00000000-0005-0000-0000-000028200000}"/>
    <cellStyle name="Calculation 7 6 4 3" xfId="39056" xr:uid="{00000000-0005-0000-0000-000029200000}"/>
    <cellStyle name="Calculation 7 6 4 4" xfId="17839" xr:uid="{00000000-0005-0000-0000-00002A200000}"/>
    <cellStyle name="Calculation 7 6 5" xfId="20035" xr:uid="{00000000-0005-0000-0000-00002B200000}"/>
    <cellStyle name="Calculation 7 6 6" xfId="30880" xr:uid="{00000000-0005-0000-0000-00002C200000}"/>
    <cellStyle name="Calculation 7 6 7" xfId="11985" xr:uid="{00000000-0005-0000-0000-00002D200000}"/>
    <cellStyle name="Calculation 7 7" xfId="1006" xr:uid="{00000000-0005-0000-0000-00002E200000}"/>
    <cellStyle name="Calculation 7 7 2" xfId="3859" xr:uid="{00000000-0005-0000-0000-00002F200000}"/>
    <cellStyle name="Calculation 7 7 2 2" xfId="22831" xr:uid="{00000000-0005-0000-0000-000030200000}"/>
    <cellStyle name="Calculation 7 7 2 3" xfId="33676" xr:uid="{00000000-0005-0000-0000-000031200000}"/>
    <cellStyle name="Calculation 7 7 2 4" xfId="13987" xr:uid="{00000000-0005-0000-0000-000032200000}"/>
    <cellStyle name="Calculation 7 7 3" xfId="6533" xr:uid="{00000000-0005-0000-0000-000033200000}"/>
    <cellStyle name="Calculation 7 7 3 2" xfId="25505" xr:uid="{00000000-0005-0000-0000-000034200000}"/>
    <cellStyle name="Calculation 7 7 3 3" xfId="36350" xr:uid="{00000000-0005-0000-0000-000035200000}"/>
    <cellStyle name="Calculation 7 7 3 4" xfId="15903" xr:uid="{00000000-0005-0000-0000-000036200000}"/>
    <cellStyle name="Calculation 7 7 4" xfId="9192" xr:uid="{00000000-0005-0000-0000-000037200000}"/>
    <cellStyle name="Calculation 7 7 4 2" xfId="28164" xr:uid="{00000000-0005-0000-0000-000038200000}"/>
    <cellStyle name="Calculation 7 7 4 3" xfId="39009" xr:uid="{00000000-0005-0000-0000-000039200000}"/>
    <cellStyle name="Calculation 7 7 4 4" xfId="17807" xr:uid="{00000000-0005-0000-0000-00003A200000}"/>
    <cellStyle name="Calculation 7 7 5" xfId="19988" xr:uid="{00000000-0005-0000-0000-00003B200000}"/>
    <cellStyle name="Calculation 7 7 6" xfId="30833" xr:uid="{00000000-0005-0000-0000-00003C200000}"/>
    <cellStyle name="Calculation 7 7 7" xfId="11953" xr:uid="{00000000-0005-0000-0000-00003D200000}"/>
    <cellStyle name="Calculation 7 8" xfId="1040" xr:uid="{00000000-0005-0000-0000-00003E200000}"/>
    <cellStyle name="Calculation 7 8 2" xfId="3893" xr:uid="{00000000-0005-0000-0000-00003F200000}"/>
    <cellStyle name="Calculation 7 8 2 2" xfId="22865" xr:uid="{00000000-0005-0000-0000-000040200000}"/>
    <cellStyle name="Calculation 7 8 2 3" xfId="33710" xr:uid="{00000000-0005-0000-0000-000041200000}"/>
    <cellStyle name="Calculation 7 8 2 4" xfId="14010" xr:uid="{00000000-0005-0000-0000-000042200000}"/>
    <cellStyle name="Calculation 7 8 3" xfId="6567" xr:uid="{00000000-0005-0000-0000-000043200000}"/>
    <cellStyle name="Calculation 7 8 3 2" xfId="25539" xr:uid="{00000000-0005-0000-0000-000044200000}"/>
    <cellStyle name="Calculation 7 8 3 3" xfId="36384" xr:uid="{00000000-0005-0000-0000-000045200000}"/>
    <cellStyle name="Calculation 7 8 3 4" xfId="15926" xr:uid="{00000000-0005-0000-0000-000046200000}"/>
    <cellStyle name="Calculation 7 8 4" xfId="9226" xr:uid="{00000000-0005-0000-0000-000047200000}"/>
    <cellStyle name="Calculation 7 8 4 2" xfId="28198" xr:uid="{00000000-0005-0000-0000-000048200000}"/>
    <cellStyle name="Calculation 7 8 4 3" xfId="39043" xr:uid="{00000000-0005-0000-0000-000049200000}"/>
    <cellStyle name="Calculation 7 8 4 4" xfId="17830" xr:uid="{00000000-0005-0000-0000-00004A200000}"/>
    <cellStyle name="Calculation 7 8 5" xfId="20022" xr:uid="{00000000-0005-0000-0000-00004B200000}"/>
    <cellStyle name="Calculation 7 8 6" xfId="30867" xr:uid="{00000000-0005-0000-0000-00004C200000}"/>
    <cellStyle name="Calculation 7 8 7" xfId="11976" xr:uid="{00000000-0005-0000-0000-00004D200000}"/>
    <cellStyle name="Calculation 7 9" xfId="1035" xr:uid="{00000000-0005-0000-0000-00004E200000}"/>
    <cellStyle name="Calculation 7 9 2" xfId="3888" xr:uid="{00000000-0005-0000-0000-00004F200000}"/>
    <cellStyle name="Calculation 7 9 2 2" xfId="22860" xr:uid="{00000000-0005-0000-0000-000050200000}"/>
    <cellStyle name="Calculation 7 9 2 3" xfId="33705" xr:uid="{00000000-0005-0000-0000-000051200000}"/>
    <cellStyle name="Calculation 7 9 2 4" xfId="14007" xr:uid="{00000000-0005-0000-0000-000052200000}"/>
    <cellStyle name="Calculation 7 9 3" xfId="6562" xr:uid="{00000000-0005-0000-0000-000053200000}"/>
    <cellStyle name="Calculation 7 9 3 2" xfId="25534" xr:uid="{00000000-0005-0000-0000-000054200000}"/>
    <cellStyle name="Calculation 7 9 3 3" xfId="36379" xr:uid="{00000000-0005-0000-0000-000055200000}"/>
    <cellStyle name="Calculation 7 9 3 4" xfId="15923" xr:uid="{00000000-0005-0000-0000-000056200000}"/>
    <cellStyle name="Calculation 7 9 4" xfId="9221" xr:uid="{00000000-0005-0000-0000-000057200000}"/>
    <cellStyle name="Calculation 7 9 4 2" xfId="28193" xr:uid="{00000000-0005-0000-0000-000058200000}"/>
    <cellStyle name="Calculation 7 9 4 3" xfId="39038" xr:uid="{00000000-0005-0000-0000-000059200000}"/>
    <cellStyle name="Calculation 7 9 4 4" xfId="17827" xr:uid="{00000000-0005-0000-0000-00005A200000}"/>
    <cellStyle name="Calculation 7 9 5" xfId="20017" xr:uid="{00000000-0005-0000-0000-00005B200000}"/>
    <cellStyle name="Calculation 7 9 6" xfId="30862" xr:uid="{00000000-0005-0000-0000-00005C200000}"/>
    <cellStyle name="Calculation 7 9 7" xfId="11973" xr:uid="{00000000-0005-0000-0000-00005D200000}"/>
    <cellStyle name="Calculation 8" xfId="535" xr:uid="{00000000-0005-0000-0000-00005E200000}"/>
    <cellStyle name="Calculation 8 10" xfId="19545" xr:uid="{00000000-0005-0000-0000-00005F200000}"/>
    <cellStyle name="Calculation 8 11" xfId="30390" xr:uid="{00000000-0005-0000-0000-000060200000}"/>
    <cellStyle name="Calculation 8 12" xfId="11609" xr:uid="{00000000-0005-0000-0000-000061200000}"/>
    <cellStyle name="Calculation 8 2" xfId="1141" xr:uid="{00000000-0005-0000-0000-000062200000}"/>
    <cellStyle name="Calculation 8 2 2" xfId="3994" xr:uid="{00000000-0005-0000-0000-000063200000}"/>
    <cellStyle name="Calculation 8 2 2 2" xfId="22966" xr:uid="{00000000-0005-0000-0000-000064200000}"/>
    <cellStyle name="Calculation 8 2 2 3" xfId="33811" xr:uid="{00000000-0005-0000-0000-000065200000}"/>
    <cellStyle name="Calculation 8 2 2 4" xfId="14086" xr:uid="{00000000-0005-0000-0000-000066200000}"/>
    <cellStyle name="Calculation 8 2 3" xfId="6667" xr:uid="{00000000-0005-0000-0000-000067200000}"/>
    <cellStyle name="Calculation 8 2 3 2" xfId="25639" xr:uid="{00000000-0005-0000-0000-000068200000}"/>
    <cellStyle name="Calculation 8 2 3 3" xfId="36484" xr:uid="{00000000-0005-0000-0000-000069200000}"/>
    <cellStyle name="Calculation 8 2 3 4" xfId="16001" xr:uid="{00000000-0005-0000-0000-00006A200000}"/>
    <cellStyle name="Calculation 8 2 4" xfId="9326" xr:uid="{00000000-0005-0000-0000-00006B200000}"/>
    <cellStyle name="Calculation 8 2 4 2" xfId="28298" xr:uid="{00000000-0005-0000-0000-00006C200000}"/>
    <cellStyle name="Calculation 8 2 4 3" xfId="39143" xr:uid="{00000000-0005-0000-0000-00006D200000}"/>
    <cellStyle name="Calculation 8 2 4 4" xfId="17905" xr:uid="{00000000-0005-0000-0000-00006E200000}"/>
    <cellStyle name="Calculation 8 2 5" xfId="20122" xr:uid="{00000000-0005-0000-0000-00006F200000}"/>
    <cellStyle name="Calculation 8 2 6" xfId="30967" xr:uid="{00000000-0005-0000-0000-000070200000}"/>
    <cellStyle name="Calculation 8 2 7" xfId="12051" xr:uid="{00000000-0005-0000-0000-000071200000}"/>
    <cellStyle name="Calculation 8 3" xfId="1538" xr:uid="{00000000-0005-0000-0000-000072200000}"/>
    <cellStyle name="Calculation 8 3 2" xfId="4391" xr:uid="{00000000-0005-0000-0000-000073200000}"/>
    <cellStyle name="Calculation 8 3 2 2" xfId="23363" xr:uid="{00000000-0005-0000-0000-000074200000}"/>
    <cellStyle name="Calculation 8 3 2 3" xfId="34208" xr:uid="{00000000-0005-0000-0000-000075200000}"/>
    <cellStyle name="Calculation 8 3 2 4" xfId="14372" xr:uid="{00000000-0005-0000-0000-000076200000}"/>
    <cellStyle name="Calculation 8 3 3" xfId="7063" xr:uid="{00000000-0005-0000-0000-000077200000}"/>
    <cellStyle name="Calculation 8 3 3 2" xfId="26035" xr:uid="{00000000-0005-0000-0000-000078200000}"/>
    <cellStyle name="Calculation 8 3 3 3" xfId="36880" xr:uid="{00000000-0005-0000-0000-000079200000}"/>
    <cellStyle name="Calculation 8 3 3 4" xfId="16286" xr:uid="{00000000-0005-0000-0000-00007A200000}"/>
    <cellStyle name="Calculation 8 3 4" xfId="9722" xr:uid="{00000000-0005-0000-0000-00007B200000}"/>
    <cellStyle name="Calculation 8 3 4 2" xfId="28694" xr:uid="{00000000-0005-0000-0000-00007C200000}"/>
    <cellStyle name="Calculation 8 3 4 3" xfId="39539" xr:uid="{00000000-0005-0000-0000-00007D200000}"/>
    <cellStyle name="Calculation 8 3 4 4" xfId="18190" xr:uid="{00000000-0005-0000-0000-00007E200000}"/>
    <cellStyle name="Calculation 8 3 5" xfId="20518" xr:uid="{00000000-0005-0000-0000-00007F200000}"/>
    <cellStyle name="Calculation 8 3 6" xfId="31363" xr:uid="{00000000-0005-0000-0000-000080200000}"/>
    <cellStyle name="Calculation 8 3 7" xfId="12336" xr:uid="{00000000-0005-0000-0000-000081200000}"/>
    <cellStyle name="Calculation 8 4" xfId="1942" xr:uid="{00000000-0005-0000-0000-000082200000}"/>
    <cellStyle name="Calculation 8 4 2" xfId="4795" xr:uid="{00000000-0005-0000-0000-000083200000}"/>
    <cellStyle name="Calculation 8 4 2 2" xfId="23767" xr:uid="{00000000-0005-0000-0000-000084200000}"/>
    <cellStyle name="Calculation 8 4 2 3" xfId="34612" xr:uid="{00000000-0005-0000-0000-000085200000}"/>
    <cellStyle name="Calculation 8 4 2 4" xfId="14660" xr:uid="{00000000-0005-0000-0000-000086200000}"/>
    <cellStyle name="Calculation 8 4 3" xfId="7467" xr:uid="{00000000-0005-0000-0000-000087200000}"/>
    <cellStyle name="Calculation 8 4 3 2" xfId="26439" xr:uid="{00000000-0005-0000-0000-000088200000}"/>
    <cellStyle name="Calculation 8 4 3 3" xfId="37284" xr:uid="{00000000-0005-0000-0000-000089200000}"/>
    <cellStyle name="Calculation 8 4 3 4" xfId="16574" xr:uid="{00000000-0005-0000-0000-00008A200000}"/>
    <cellStyle name="Calculation 8 4 4" xfId="10126" xr:uid="{00000000-0005-0000-0000-00008B200000}"/>
    <cellStyle name="Calculation 8 4 4 2" xfId="29098" xr:uid="{00000000-0005-0000-0000-00008C200000}"/>
    <cellStyle name="Calculation 8 4 4 3" xfId="39943" xr:uid="{00000000-0005-0000-0000-00008D200000}"/>
    <cellStyle name="Calculation 8 4 4 4" xfId="18478" xr:uid="{00000000-0005-0000-0000-00008E200000}"/>
    <cellStyle name="Calculation 8 4 5" xfId="20922" xr:uid="{00000000-0005-0000-0000-00008F200000}"/>
    <cellStyle name="Calculation 8 4 6" xfId="31767" xr:uid="{00000000-0005-0000-0000-000090200000}"/>
    <cellStyle name="Calculation 8 4 7" xfId="12624" xr:uid="{00000000-0005-0000-0000-000091200000}"/>
    <cellStyle name="Calculation 8 5" xfId="2334" xr:uid="{00000000-0005-0000-0000-000092200000}"/>
    <cellStyle name="Calculation 8 5 2" xfId="5187" xr:uid="{00000000-0005-0000-0000-000093200000}"/>
    <cellStyle name="Calculation 8 5 2 2" xfId="24159" xr:uid="{00000000-0005-0000-0000-000094200000}"/>
    <cellStyle name="Calculation 8 5 2 3" xfId="35004" xr:uid="{00000000-0005-0000-0000-000095200000}"/>
    <cellStyle name="Calculation 8 5 2 4" xfId="14941" xr:uid="{00000000-0005-0000-0000-000096200000}"/>
    <cellStyle name="Calculation 8 5 3" xfId="7858" xr:uid="{00000000-0005-0000-0000-000097200000}"/>
    <cellStyle name="Calculation 8 5 3 2" xfId="26830" xr:uid="{00000000-0005-0000-0000-000098200000}"/>
    <cellStyle name="Calculation 8 5 3 3" xfId="37675" xr:uid="{00000000-0005-0000-0000-000099200000}"/>
    <cellStyle name="Calculation 8 5 3 4" xfId="16854" xr:uid="{00000000-0005-0000-0000-00009A200000}"/>
    <cellStyle name="Calculation 8 5 4" xfId="10517" xr:uid="{00000000-0005-0000-0000-00009B200000}"/>
    <cellStyle name="Calculation 8 5 4 2" xfId="29489" xr:uid="{00000000-0005-0000-0000-00009C200000}"/>
    <cellStyle name="Calculation 8 5 4 3" xfId="40334" xr:uid="{00000000-0005-0000-0000-00009D200000}"/>
    <cellStyle name="Calculation 8 5 4 4" xfId="18758" xr:uid="{00000000-0005-0000-0000-00009E200000}"/>
    <cellStyle name="Calculation 8 5 5" xfId="21313" xr:uid="{00000000-0005-0000-0000-00009F200000}"/>
    <cellStyle name="Calculation 8 5 6" xfId="32158" xr:uid="{00000000-0005-0000-0000-0000A0200000}"/>
    <cellStyle name="Calculation 8 5 7" xfId="12904" xr:uid="{00000000-0005-0000-0000-0000A1200000}"/>
    <cellStyle name="Calculation 8 6" xfId="2723" xr:uid="{00000000-0005-0000-0000-0000A2200000}"/>
    <cellStyle name="Calculation 8 6 2" xfId="5575" xr:uid="{00000000-0005-0000-0000-0000A3200000}"/>
    <cellStyle name="Calculation 8 6 2 2" xfId="24547" xr:uid="{00000000-0005-0000-0000-0000A4200000}"/>
    <cellStyle name="Calculation 8 6 2 3" xfId="35392" xr:uid="{00000000-0005-0000-0000-0000A5200000}"/>
    <cellStyle name="Calculation 8 6 2 4" xfId="15219" xr:uid="{00000000-0005-0000-0000-0000A6200000}"/>
    <cellStyle name="Calculation 8 6 3" xfId="8246" xr:uid="{00000000-0005-0000-0000-0000A7200000}"/>
    <cellStyle name="Calculation 8 6 3 2" xfId="27218" xr:uid="{00000000-0005-0000-0000-0000A8200000}"/>
    <cellStyle name="Calculation 8 6 3 3" xfId="38063" xr:uid="{00000000-0005-0000-0000-0000A9200000}"/>
    <cellStyle name="Calculation 8 6 3 4" xfId="17132" xr:uid="{00000000-0005-0000-0000-0000AA200000}"/>
    <cellStyle name="Calculation 8 6 4" xfId="10905" xr:uid="{00000000-0005-0000-0000-0000AB200000}"/>
    <cellStyle name="Calculation 8 6 4 2" xfId="29877" xr:uid="{00000000-0005-0000-0000-0000AC200000}"/>
    <cellStyle name="Calculation 8 6 4 3" xfId="40722" xr:uid="{00000000-0005-0000-0000-0000AD200000}"/>
    <cellStyle name="Calculation 8 6 4 4" xfId="19036" xr:uid="{00000000-0005-0000-0000-0000AE200000}"/>
    <cellStyle name="Calculation 8 6 5" xfId="21701" xr:uid="{00000000-0005-0000-0000-0000AF200000}"/>
    <cellStyle name="Calculation 8 6 6" xfId="32546" xr:uid="{00000000-0005-0000-0000-0000B0200000}"/>
    <cellStyle name="Calculation 8 6 7" xfId="13182" xr:uid="{00000000-0005-0000-0000-0000B1200000}"/>
    <cellStyle name="Calculation 8 7" xfId="3414" xr:uid="{00000000-0005-0000-0000-0000B2200000}"/>
    <cellStyle name="Calculation 8 7 2" xfId="22386" xr:uid="{00000000-0005-0000-0000-0000B3200000}"/>
    <cellStyle name="Calculation 8 7 3" xfId="33231" xr:uid="{00000000-0005-0000-0000-0000B4200000}"/>
    <cellStyle name="Calculation 8 7 4" xfId="13664" xr:uid="{00000000-0005-0000-0000-0000B5200000}"/>
    <cellStyle name="Calculation 8 8" xfId="6090" xr:uid="{00000000-0005-0000-0000-0000B6200000}"/>
    <cellStyle name="Calculation 8 8 2" xfId="25062" xr:uid="{00000000-0005-0000-0000-0000B7200000}"/>
    <cellStyle name="Calculation 8 8 3" xfId="35907" xr:uid="{00000000-0005-0000-0000-0000B8200000}"/>
    <cellStyle name="Calculation 8 8 4" xfId="15581" xr:uid="{00000000-0005-0000-0000-0000B9200000}"/>
    <cellStyle name="Calculation 8 9" xfId="8749" xr:uid="{00000000-0005-0000-0000-0000BA200000}"/>
    <cellStyle name="Calculation 8 9 2" xfId="27721" xr:uid="{00000000-0005-0000-0000-0000BB200000}"/>
    <cellStyle name="Calculation 8 9 3" xfId="38566" xr:uid="{00000000-0005-0000-0000-0000BC200000}"/>
    <cellStyle name="Calculation 8 9 4" xfId="17485" xr:uid="{00000000-0005-0000-0000-0000BD200000}"/>
    <cellStyle name="Calculation 9" xfId="474" xr:uid="{00000000-0005-0000-0000-0000BE200000}"/>
    <cellStyle name="Calculation 9 2" xfId="3400" xr:uid="{00000000-0005-0000-0000-0000BF200000}"/>
    <cellStyle name="Calculation 9 2 2" xfId="22372" xr:uid="{00000000-0005-0000-0000-0000C0200000}"/>
    <cellStyle name="Calculation 9 2 3" xfId="33217" xr:uid="{00000000-0005-0000-0000-0000C1200000}"/>
    <cellStyle name="Calculation 9 2 4" xfId="13653" xr:uid="{00000000-0005-0000-0000-0000C2200000}"/>
    <cellStyle name="Calculation 9 3" xfId="6080" xr:uid="{00000000-0005-0000-0000-0000C3200000}"/>
    <cellStyle name="Calculation 9 3 2" xfId="25052" xr:uid="{00000000-0005-0000-0000-0000C4200000}"/>
    <cellStyle name="Calculation 9 3 3" xfId="35897" xr:uid="{00000000-0005-0000-0000-0000C5200000}"/>
    <cellStyle name="Calculation 9 3 4" xfId="15572" xr:uid="{00000000-0005-0000-0000-0000C6200000}"/>
    <cellStyle name="Calculation 9 4" xfId="8739" xr:uid="{00000000-0005-0000-0000-0000C7200000}"/>
    <cellStyle name="Calculation 9 4 2" xfId="27711" xr:uid="{00000000-0005-0000-0000-0000C8200000}"/>
    <cellStyle name="Calculation 9 4 3" xfId="38556" xr:uid="{00000000-0005-0000-0000-0000C9200000}"/>
    <cellStyle name="Calculation 9 4 4" xfId="17476" xr:uid="{00000000-0005-0000-0000-0000CA200000}"/>
    <cellStyle name="Calculation 9 5" xfId="19524" xr:uid="{00000000-0005-0000-0000-0000CB200000}"/>
    <cellStyle name="Calculation 9 6" xfId="19443" xr:uid="{00000000-0005-0000-0000-0000CC200000}"/>
    <cellStyle name="Calculation 9 7" xfId="11568" xr:uid="{00000000-0005-0000-0000-0000CD200000}"/>
    <cellStyle name="cents" xfId="68" xr:uid="{00000000-0005-0000-0000-0000CE200000}"/>
    <cellStyle name="cents 2" xfId="358" xr:uid="{00000000-0005-0000-0000-0000CF200000}"/>
    <cellStyle name="Check Cell" xfId="69" builtinId="23" customBuiltin="1"/>
    <cellStyle name="Check Cell 2" xfId="70" xr:uid="{00000000-0005-0000-0000-0000D1200000}"/>
    <cellStyle name="Check Cell 3" xfId="248" xr:uid="{00000000-0005-0000-0000-0000D2200000}"/>
    <cellStyle name="Check Cell 4" xfId="475" xr:uid="{00000000-0005-0000-0000-0000D3200000}"/>
    <cellStyle name="Check Cell 5" xfId="11438" xr:uid="{00000000-0005-0000-0000-0000D4200000}"/>
    <cellStyle name="Comma" xfId="71" builtinId="3"/>
    <cellStyle name="Comma [0] 2" xfId="72" xr:uid="{00000000-0005-0000-0000-0000D6200000}"/>
    <cellStyle name="Comma [0] 2 2" xfId="73" xr:uid="{00000000-0005-0000-0000-0000D7200000}"/>
    <cellStyle name="Comma [0] 2 2 2" xfId="361" xr:uid="{00000000-0005-0000-0000-0000D8200000}"/>
    <cellStyle name="Comma [0] 2 3" xfId="360" xr:uid="{00000000-0005-0000-0000-0000D9200000}"/>
    <cellStyle name="Comma 10" xfId="249" xr:uid="{00000000-0005-0000-0000-0000DA200000}"/>
    <cellStyle name="Comma 11" xfId="250" xr:uid="{00000000-0005-0000-0000-0000DB200000}"/>
    <cellStyle name="Comma 12" xfId="251" xr:uid="{00000000-0005-0000-0000-0000DC200000}"/>
    <cellStyle name="Comma 13" xfId="252" xr:uid="{00000000-0005-0000-0000-0000DD200000}"/>
    <cellStyle name="Comma 14" xfId="253" xr:uid="{00000000-0005-0000-0000-0000DE200000}"/>
    <cellStyle name="Comma 15" xfId="254" xr:uid="{00000000-0005-0000-0000-0000DF200000}"/>
    <cellStyle name="Comma 16" xfId="255" xr:uid="{00000000-0005-0000-0000-0000E0200000}"/>
    <cellStyle name="Comma 17" xfId="256" xr:uid="{00000000-0005-0000-0000-0000E1200000}"/>
    <cellStyle name="Comma 18" xfId="257" xr:uid="{00000000-0005-0000-0000-0000E2200000}"/>
    <cellStyle name="Comma 19" xfId="258" xr:uid="{00000000-0005-0000-0000-0000E3200000}"/>
    <cellStyle name="Comma 2" xfId="74" xr:uid="{00000000-0005-0000-0000-0000E4200000}"/>
    <cellStyle name="Comma 2 10" xfId="41705" xr:uid="{00000000-0005-0000-0000-0000E5200000}"/>
    <cellStyle name="Comma 2 10 2" xfId="41706" xr:uid="{00000000-0005-0000-0000-0000E6200000}"/>
    <cellStyle name="Comma 2 11" xfId="41707" xr:uid="{00000000-0005-0000-0000-0000E7200000}"/>
    <cellStyle name="Comma 2 11 2" xfId="41708" xr:uid="{00000000-0005-0000-0000-0000E8200000}"/>
    <cellStyle name="Comma 2 12" xfId="41709" xr:uid="{00000000-0005-0000-0000-0000E9200000}"/>
    <cellStyle name="Comma 2 2" xfId="75" xr:uid="{00000000-0005-0000-0000-0000EA200000}"/>
    <cellStyle name="Comma 2 2 10" xfId="41710" xr:uid="{00000000-0005-0000-0000-0000EB200000}"/>
    <cellStyle name="Comma 2 2 10 2" xfId="41711" xr:uid="{00000000-0005-0000-0000-0000EC200000}"/>
    <cellStyle name="Comma 2 2 11" xfId="41712" xr:uid="{00000000-0005-0000-0000-0000ED200000}"/>
    <cellStyle name="Comma 2 2 2" xfId="76" xr:uid="{00000000-0005-0000-0000-0000EE200000}"/>
    <cellStyle name="Comma 2 2 2 2" xfId="362" xr:uid="{00000000-0005-0000-0000-0000EF200000}"/>
    <cellStyle name="Comma 2 2 2 2 2" xfId="41263" xr:uid="{00000000-0005-0000-0000-0000F0200000}"/>
    <cellStyle name="Comma 2 2 2 2 2 2" xfId="41518" xr:uid="{00000000-0005-0000-0000-0000F1200000}"/>
    <cellStyle name="Comma 2 2 2 2 2 2 2" xfId="41713" xr:uid="{00000000-0005-0000-0000-0000F2200000}"/>
    <cellStyle name="Comma 2 2 2 2 2 3" xfId="41714" xr:uid="{00000000-0005-0000-0000-0000F3200000}"/>
    <cellStyle name="Comma 2 2 2 2 2 3 2" xfId="41715" xr:uid="{00000000-0005-0000-0000-0000F4200000}"/>
    <cellStyle name="Comma 2 2 2 2 2 4" xfId="41716" xr:uid="{00000000-0005-0000-0000-0000F5200000}"/>
    <cellStyle name="Comma 2 2 2 2 3" xfId="41264" xr:uid="{00000000-0005-0000-0000-0000F6200000}"/>
    <cellStyle name="Comma 2 2 2 2 3 2" xfId="41717" xr:uid="{00000000-0005-0000-0000-0000F7200000}"/>
    <cellStyle name="Comma 2 2 2 2 4" xfId="41718" xr:uid="{00000000-0005-0000-0000-0000F8200000}"/>
    <cellStyle name="Comma 2 2 2 2 4 2" xfId="41719" xr:uid="{00000000-0005-0000-0000-0000F9200000}"/>
    <cellStyle name="Comma 2 2 2 2 5" xfId="41720" xr:uid="{00000000-0005-0000-0000-0000FA200000}"/>
    <cellStyle name="Comma 2 2 2 3" xfId="41265" xr:uid="{00000000-0005-0000-0000-0000FB200000}"/>
    <cellStyle name="Comma 2 2 2 3 2" xfId="42485" xr:uid="{00000000-0005-0000-0000-0000FC200000}"/>
    <cellStyle name="Comma 2 2 2 3 2 2" xfId="42486" xr:uid="{00000000-0005-0000-0000-0000FD200000}"/>
    <cellStyle name="Comma 2 2 2 3 3" xfId="42487" xr:uid="{00000000-0005-0000-0000-0000FE200000}"/>
    <cellStyle name="Comma 2 2 2 4" xfId="41266" xr:uid="{00000000-0005-0000-0000-0000FF200000}"/>
    <cellStyle name="Comma 2 2 2 4 2" xfId="41519" xr:uid="{00000000-0005-0000-0000-000000210000}"/>
    <cellStyle name="Comma 2 2 2 4 2 2" xfId="41721" xr:uid="{00000000-0005-0000-0000-000001210000}"/>
    <cellStyle name="Comma 2 2 2 4 3" xfId="41722" xr:uid="{00000000-0005-0000-0000-000002210000}"/>
    <cellStyle name="Comma 2 2 2 4 3 2" xfId="41723" xr:uid="{00000000-0005-0000-0000-000003210000}"/>
    <cellStyle name="Comma 2 2 2 4 4" xfId="41724" xr:uid="{00000000-0005-0000-0000-000004210000}"/>
    <cellStyle name="Comma 2 2 2 5" xfId="41267" xr:uid="{00000000-0005-0000-0000-000005210000}"/>
    <cellStyle name="Comma 2 2 2 5 2" xfId="41725" xr:uid="{00000000-0005-0000-0000-000006210000}"/>
    <cellStyle name="Comma 2 2 2 6" xfId="41726" xr:uid="{00000000-0005-0000-0000-000007210000}"/>
    <cellStyle name="Comma 2 2 2 6 2" xfId="41727" xr:uid="{00000000-0005-0000-0000-000008210000}"/>
    <cellStyle name="Comma 2 2 2 7" xfId="41728" xr:uid="{00000000-0005-0000-0000-000009210000}"/>
    <cellStyle name="Comma 2 2 2 7 2" xfId="41729" xr:uid="{00000000-0005-0000-0000-00000A210000}"/>
    <cellStyle name="Comma 2 2 2 8" xfId="41730" xr:uid="{00000000-0005-0000-0000-00000B210000}"/>
    <cellStyle name="Comma 2 2 3" xfId="336" xr:uid="{00000000-0005-0000-0000-00000C210000}"/>
    <cellStyle name="Comma 2 2 3 2" xfId="41268" xr:uid="{00000000-0005-0000-0000-00000D210000}"/>
    <cellStyle name="Comma 2 2 3 2 2" xfId="41520" xr:uid="{00000000-0005-0000-0000-00000E210000}"/>
    <cellStyle name="Comma 2 2 3 2 2 2" xfId="41731" xr:uid="{00000000-0005-0000-0000-00000F210000}"/>
    <cellStyle name="Comma 2 2 3 2 3" xfId="41732" xr:uid="{00000000-0005-0000-0000-000010210000}"/>
    <cellStyle name="Comma 2 2 3 2 3 2" xfId="41733" xr:uid="{00000000-0005-0000-0000-000011210000}"/>
    <cellStyle name="Comma 2 2 3 2 4" xfId="41734" xr:uid="{00000000-0005-0000-0000-000012210000}"/>
    <cellStyle name="Comma 2 2 3 3" xfId="41269" xr:uid="{00000000-0005-0000-0000-000013210000}"/>
    <cellStyle name="Comma 2 2 3 3 2" xfId="41521" xr:uid="{00000000-0005-0000-0000-000014210000}"/>
    <cellStyle name="Comma 2 2 3 3 2 2" xfId="41735" xr:uid="{00000000-0005-0000-0000-000015210000}"/>
    <cellStyle name="Comma 2 2 3 3 3" xfId="41736" xr:uid="{00000000-0005-0000-0000-000016210000}"/>
    <cellStyle name="Comma 2 2 3 3 3 2" xfId="41737" xr:uid="{00000000-0005-0000-0000-000017210000}"/>
    <cellStyle name="Comma 2 2 3 3 4" xfId="41738" xr:uid="{00000000-0005-0000-0000-000018210000}"/>
    <cellStyle name="Comma 2 2 3 4" xfId="41270" xr:uid="{00000000-0005-0000-0000-000019210000}"/>
    <cellStyle name="Comma 2 2 3 4 2" xfId="41739" xr:uid="{00000000-0005-0000-0000-00001A210000}"/>
    <cellStyle name="Comma 2 2 3 5" xfId="41740" xr:uid="{00000000-0005-0000-0000-00001B210000}"/>
    <cellStyle name="Comma 2 2 3 5 2" xfId="41741" xr:uid="{00000000-0005-0000-0000-00001C210000}"/>
    <cellStyle name="Comma 2 2 3 6" xfId="41742" xr:uid="{00000000-0005-0000-0000-00001D210000}"/>
    <cellStyle name="Comma 2 2 4" xfId="41271" xr:uid="{00000000-0005-0000-0000-00001E210000}"/>
    <cellStyle name="Comma 2 2 4 2" xfId="41522" xr:uid="{00000000-0005-0000-0000-00001F210000}"/>
    <cellStyle name="Comma 2 2 4 2 2" xfId="41743" xr:uid="{00000000-0005-0000-0000-000020210000}"/>
    <cellStyle name="Comma 2 2 4 2 3" xfId="42488" xr:uid="{00000000-0005-0000-0000-000021210000}"/>
    <cellStyle name="Comma 2 2 4 3" xfId="41744" xr:uid="{00000000-0005-0000-0000-000022210000}"/>
    <cellStyle name="Comma 2 2 4 3 2" xfId="41745" xr:uid="{00000000-0005-0000-0000-000023210000}"/>
    <cellStyle name="Comma 2 2 4 4" xfId="41746" xr:uid="{00000000-0005-0000-0000-000024210000}"/>
    <cellStyle name="Comma 2 2 4 5" xfId="42489" xr:uid="{00000000-0005-0000-0000-000025210000}"/>
    <cellStyle name="Comma 2 2 5" xfId="41272" xr:uid="{00000000-0005-0000-0000-000026210000}"/>
    <cellStyle name="Comma 2 2 5 2" xfId="41523" xr:uid="{00000000-0005-0000-0000-000027210000}"/>
    <cellStyle name="Comma 2 2 5 2 2" xfId="41747" xr:uid="{00000000-0005-0000-0000-000028210000}"/>
    <cellStyle name="Comma 2 2 5 2 3" xfId="42490" xr:uid="{00000000-0005-0000-0000-000029210000}"/>
    <cellStyle name="Comma 2 2 5 3" xfId="41748" xr:uid="{00000000-0005-0000-0000-00002A210000}"/>
    <cellStyle name="Comma 2 2 5 3 2" xfId="41749" xr:uid="{00000000-0005-0000-0000-00002B210000}"/>
    <cellStyle name="Comma 2 2 5 4" xfId="41750" xr:uid="{00000000-0005-0000-0000-00002C210000}"/>
    <cellStyle name="Comma 2 2 6" xfId="41273" xr:uid="{00000000-0005-0000-0000-00002D210000}"/>
    <cellStyle name="Comma 2 2 6 2" xfId="41524" xr:uid="{00000000-0005-0000-0000-00002E210000}"/>
    <cellStyle name="Comma 2 2 6 2 2" xfId="41751" xr:uid="{00000000-0005-0000-0000-00002F210000}"/>
    <cellStyle name="Comma 2 2 6 3" xfId="41752" xr:uid="{00000000-0005-0000-0000-000030210000}"/>
    <cellStyle name="Comma 2 2 6 3 2" xfId="41753" xr:uid="{00000000-0005-0000-0000-000031210000}"/>
    <cellStyle name="Comma 2 2 6 4" xfId="41754" xr:uid="{00000000-0005-0000-0000-000032210000}"/>
    <cellStyle name="Comma 2 2 7" xfId="41274" xr:uid="{00000000-0005-0000-0000-000033210000}"/>
    <cellStyle name="Comma 2 2 7 2" xfId="41525" xr:uid="{00000000-0005-0000-0000-000034210000}"/>
    <cellStyle name="Comma 2 2 7 2 2" xfId="41755" xr:uid="{00000000-0005-0000-0000-000035210000}"/>
    <cellStyle name="Comma 2 2 7 3" xfId="41756" xr:uid="{00000000-0005-0000-0000-000036210000}"/>
    <cellStyle name="Comma 2 2 7 3 2" xfId="41757" xr:uid="{00000000-0005-0000-0000-000037210000}"/>
    <cellStyle name="Comma 2 2 7 4" xfId="41758" xr:uid="{00000000-0005-0000-0000-000038210000}"/>
    <cellStyle name="Comma 2 2 8" xfId="41275" xr:uid="{00000000-0005-0000-0000-000039210000}"/>
    <cellStyle name="Comma 2 2 8 2" xfId="41759" xr:uid="{00000000-0005-0000-0000-00003A210000}"/>
    <cellStyle name="Comma 2 2 9" xfId="41760" xr:uid="{00000000-0005-0000-0000-00003B210000}"/>
    <cellStyle name="Comma 2 2 9 2" xfId="41761" xr:uid="{00000000-0005-0000-0000-00003C210000}"/>
    <cellStyle name="Comma 2 3" xfId="41229" xr:uid="{00000000-0005-0000-0000-00003D210000}"/>
    <cellStyle name="Comma 2 3 10" xfId="41762" xr:uid="{00000000-0005-0000-0000-00003E210000}"/>
    <cellStyle name="Comma 2 3 2" xfId="41276" xr:uid="{00000000-0005-0000-0000-00003F210000}"/>
    <cellStyle name="Comma 2 3 2 2" xfId="41277" xr:uid="{00000000-0005-0000-0000-000040210000}"/>
    <cellStyle name="Comma 2 3 2 2 2" xfId="42491" xr:uid="{00000000-0005-0000-0000-000041210000}"/>
    <cellStyle name="Comma 2 3 2 2 2 2" xfId="42492" xr:uid="{00000000-0005-0000-0000-000042210000}"/>
    <cellStyle name="Comma 2 3 2 2 3" xfId="42493" xr:uid="{00000000-0005-0000-0000-000043210000}"/>
    <cellStyle name="Comma 2 3 2 3" xfId="41278" xr:uid="{00000000-0005-0000-0000-000044210000}"/>
    <cellStyle name="Comma 2 3 2 3 2" xfId="41526" xr:uid="{00000000-0005-0000-0000-000045210000}"/>
    <cellStyle name="Comma 2 3 2 3 2 2" xfId="41763" xr:uid="{00000000-0005-0000-0000-000046210000}"/>
    <cellStyle name="Comma 2 3 2 3 3" xfId="41764" xr:uid="{00000000-0005-0000-0000-000047210000}"/>
    <cellStyle name="Comma 2 3 2 3 3 2" xfId="41765" xr:uid="{00000000-0005-0000-0000-000048210000}"/>
    <cellStyle name="Comma 2 3 2 3 4" xfId="41766" xr:uid="{00000000-0005-0000-0000-000049210000}"/>
    <cellStyle name="Comma 2 3 2 4" xfId="41527" xr:uid="{00000000-0005-0000-0000-00004A210000}"/>
    <cellStyle name="Comma 2 3 2 4 2" xfId="41767" xr:uid="{00000000-0005-0000-0000-00004B210000}"/>
    <cellStyle name="Comma 2 3 2 5" xfId="41768" xr:uid="{00000000-0005-0000-0000-00004C210000}"/>
    <cellStyle name="Comma 2 3 2 5 2" xfId="41769" xr:uid="{00000000-0005-0000-0000-00004D210000}"/>
    <cellStyle name="Comma 2 3 2 6" xfId="41770" xr:uid="{00000000-0005-0000-0000-00004E210000}"/>
    <cellStyle name="Comma 2 3 3" xfId="41279" xr:uid="{00000000-0005-0000-0000-00004F210000}"/>
    <cellStyle name="Comma 2 3 3 2" xfId="41528" xr:uid="{00000000-0005-0000-0000-000050210000}"/>
    <cellStyle name="Comma 2 3 3 2 2" xfId="41771" xr:uid="{00000000-0005-0000-0000-000051210000}"/>
    <cellStyle name="Comma 2 3 3 2 3" xfId="42494" xr:uid="{00000000-0005-0000-0000-000052210000}"/>
    <cellStyle name="Comma 2 3 3 3" xfId="41772" xr:uid="{00000000-0005-0000-0000-000053210000}"/>
    <cellStyle name="Comma 2 3 3 3 2" xfId="41773" xr:uid="{00000000-0005-0000-0000-000054210000}"/>
    <cellStyle name="Comma 2 3 3 4" xfId="41774" xr:uid="{00000000-0005-0000-0000-000055210000}"/>
    <cellStyle name="Comma 2 3 3 5" xfId="42495" xr:uid="{00000000-0005-0000-0000-000056210000}"/>
    <cellStyle name="Comma 2 3 4" xfId="41280" xr:uid="{00000000-0005-0000-0000-000057210000}"/>
    <cellStyle name="Comma 2 3 4 2" xfId="41529" xr:uid="{00000000-0005-0000-0000-000058210000}"/>
    <cellStyle name="Comma 2 3 4 2 2" xfId="41775" xr:uid="{00000000-0005-0000-0000-000059210000}"/>
    <cellStyle name="Comma 2 3 4 2 3" xfId="42496" xr:uid="{00000000-0005-0000-0000-00005A210000}"/>
    <cellStyle name="Comma 2 3 4 3" xfId="41776" xr:uid="{00000000-0005-0000-0000-00005B210000}"/>
    <cellStyle name="Comma 2 3 4 3 2" xfId="41777" xr:uid="{00000000-0005-0000-0000-00005C210000}"/>
    <cellStyle name="Comma 2 3 4 4" xfId="41778" xr:uid="{00000000-0005-0000-0000-00005D210000}"/>
    <cellStyle name="Comma 2 3 5" xfId="41281" xr:uid="{00000000-0005-0000-0000-00005E210000}"/>
    <cellStyle name="Comma 2 3 5 2" xfId="41530" xr:uid="{00000000-0005-0000-0000-00005F210000}"/>
    <cellStyle name="Comma 2 3 5 2 2" xfId="41779" xr:uid="{00000000-0005-0000-0000-000060210000}"/>
    <cellStyle name="Comma 2 3 5 3" xfId="41780" xr:uid="{00000000-0005-0000-0000-000061210000}"/>
    <cellStyle name="Comma 2 3 5 3 2" xfId="41781" xr:uid="{00000000-0005-0000-0000-000062210000}"/>
    <cellStyle name="Comma 2 3 5 4" xfId="41782" xr:uid="{00000000-0005-0000-0000-000063210000}"/>
    <cellStyle name="Comma 2 3 6" xfId="41282" xr:uid="{00000000-0005-0000-0000-000064210000}"/>
    <cellStyle name="Comma 2 3 6 2" xfId="41531" xr:uid="{00000000-0005-0000-0000-000065210000}"/>
    <cellStyle name="Comma 2 3 6 2 2" xfId="41783" xr:uid="{00000000-0005-0000-0000-000066210000}"/>
    <cellStyle name="Comma 2 3 6 3" xfId="41784" xr:uid="{00000000-0005-0000-0000-000067210000}"/>
    <cellStyle name="Comma 2 3 6 3 2" xfId="41785" xr:uid="{00000000-0005-0000-0000-000068210000}"/>
    <cellStyle name="Comma 2 3 6 4" xfId="41786" xr:uid="{00000000-0005-0000-0000-000069210000}"/>
    <cellStyle name="Comma 2 3 7" xfId="41532" xr:uid="{00000000-0005-0000-0000-00006A210000}"/>
    <cellStyle name="Comma 2 3 7 2" xfId="41787" xr:uid="{00000000-0005-0000-0000-00006B210000}"/>
    <cellStyle name="Comma 2 3 8" xfId="41788" xr:uid="{00000000-0005-0000-0000-00006C210000}"/>
    <cellStyle name="Comma 2 3 8 2" xfId="41789" xr:uid="{00000000-0005-0000-0000-00006D210000}"/>
    <cellStyle name="Comma 2 3 9" xfId="41790" xr:uid="{00000000-0005-0000-0000-00006E210000}"/>
    <cellStyle name="Comma 2 3 9 2" xfId="41791" xr:uid="{00000000-0005-0000-0000-00006F210000}"/>
    <cellStyle name="Comma 2 4" xfId="41283" xr:uid="{00000000-0005-0000-0000-000070210000}"/>
    <cellStyle name="Comma 2 4 2" xfId="41284" xr:uid="{00000000-0005-0000-0000-000071210000}"/>
    <cellStyle name="Comma 2 4 2 2" xfId="41533" xr:uid="{00000000-0005-0000-0000-000072210000}"/>
    <cellStyle name="Comma 2 4 2 2 2" xfId="41792" xr:uid="{00000000-0005-0000-0000-000073210000}"/>
    <cellStyle name="Comma 2 4 2 2 3" xfId="42497" xr:uid="{00000000-0005-0000-0000-000074210000}"/>
    <cellStyle name="Comma 2 4 2 3" xfId="41793" xr:uid="{00000000-0005-0000-0000-000075210000}"/>
    <cellStyle name="Comma 2 4 2 3 2" xfId="41794" xr:uid="{00000000-0005-0000-0000-000076210000}"/>
    <cellStyle name="Comma 2 4 2 4" xfId="41795" xr:uid="{00000000-0005-0000-0000-000077210000}"/>
    <cellStyle name="Comma 2 4 2 5" xfId="42498" xr:uid="{00000000-0005-0000-0000-000078210000}"/>
    <cellStyle name="Comma 2 4 3" xfId="41285" xr:uid="{00000000-0005-0000-0000-000079210000}"/>
    <cellStyle name="Comma 2 4 3 2" xfId="41534" xr:uid="{00000000-0005-0000-0000-00007A210000}"/>
    <cellStyle name="Comma 2 4 3 2 2" xfId="41796" xr:uid="{00000000-0005-0000-0000-00007B210000}"/>
    <cellStyle name="Comma 2 4 3 2 3" xfId="42499" xr:uid="{00000000-0005-0000-0000-00007C210000}"/>
    <cellStyle name="Comma 2 4 3 3" xfId="41797" xr:uid="{00000000-0005-0000-0000-00007D210000}"/>
    <cellStyle name="Comma 2 4 3 3 2" xfId="41798" xr:uid="{00000000-0005-0000-0000-00007E210000}"/>
    <cellStyle name="Comma 2 4 3 4" xfId="41799" xr:uid="{00000000-0005-0000-0000-00007F210000}"/>
    <cellStyle name="Comma 2 4 4" xfId="41236" xr:uid="{00000000-0005-0000-0000-000080210000}"/>
    <cellStyle name="Comma 2 4 4 2" xfId="41535" xr:uid="{00000000-0005-0000-0000-000081210000}"/>
    <cellStyle name="Comma 2 4 4 2 2" xfId="41800" xr:uid="{00000000-0005-0000-0000-000082210000}"/>
    <cellStyle name="Comma 2 4 4 3" xfId="41801" xr:uid="{00000000-0005-0000-0000-000083210000}"/>
    <cellStyle name="Comma 2 4 4 3 2" xfId="41802" xr:uid="{00000000-0005-0000-0000-000084210000}"/>
    <cellStyle name="Comma 2 4 4 4" xfId="41803" xr:uid="{00000000-0005-0000-0000-000085210000}"/>
    <cellStyle name="Comma 2 4 5" xfId="41286" xr:uid="{00000000-0005-0000-0000-000086210000}"/>
    <cellStyle name="Comma 2 4 5 2" xfId="41536" xr:uid="{00000000-0005-0000-0000-000087210000}"/>
    <cellStyle name="Comma 2 4 5 2 2" xfId="41804" xr:uid="{00000000-0005-0000-0000-000088210000}"/>
    <cellStyle name="Comma 2 4 5 3" xfId="41805" xr:uid="{00000000-0005-0000-0000-000089210000}"/>
    <cellStyle name="Comma 2 4 5 3 2" xfId="41806" xr:uid="{00000000-0005-0000-0000-00008A210000}"/>
    <cellStyle name="Comma 2 4 5 4" xfId="41807" xr:uid="{00000000-0005-0000-0000-00008B210000}"/>
    <cellStyle name="Comma 2 4 6" xfId="41537" xr:uid="{00000000-0005-0000-0000-00008C210000}"/>
    <cellStyle name="Comma 2 4 6 2" xfId="41808" xr:uid="{00000000-0005-0000-0000-00008D210000}"/>
    <cellStyle name="Comma 2 4 7" xfId="41809" xr:uid="{00000000-0005-0000-0000-00008E210000}"/>
    <cellStyle name="Comma 2 4 7 2" xfId="41810" xr:uid="{00000000-0005-0000-0000-00008F210000}"/>
    <cellStyle name="Comma 2 4 8" xfId="41811" xr:uid="{00000000-0005-0000-0000-000090210000}"/>
    <cellStyle name="Comma 2 5" xfId="41287" xr:uid="{00000000-0005-0000-0000-000091210000}"/>
    <cellStyle name="Comma 2 5 2" xfId="41288" xr:uid="{00000000-0005-0000-0000-000092210000}"/>
    <cellStyle name="Comma 2 5 2 2" xfId="41538" xr:uid="{00000000-0005-0000-0000-000093210000}"/>
    <cellStyle name="Comma 2 5 2 2 2" xfId="41812" xr:uid="{00000000-0005-0000-0000-000094210000}"/>
    <cellStyle name="Comma 2 5 2 2 3" xfId="42500" xr:uid="{00000000-0005-0000-0000-000095210000}"/>
    <cellStyle name="Comma 2 5 2 3" xfId="41813" xr:uid="{00000000-0005-0000-0000-000096210000}"/>
    <cellStyle name="Comma 2 5 2 3 2" xfId="41814" xr:uid="{00000000-0005-0000-0000-000097210000}"/>
    <cellStyle name="Comma 2 5 2 4" xfId="41815" xr:uid="{00000000-0005-0000-0000-000098210000}"/>
    <cellStyle name="Comma 2 5 3" xfId="41289" xr:uid="{00000000-0005-0000-0000-000099210000}"/>
    <cellStyle name="Comma 2 5 3 2" xfId="41539" xr:uid="{00000000-0005-0000-0000-00009A210000}"/>
    <cellStyle name="Comma 2 5 3 2 2" xfId="41816" xr:uid="{00000000-0005-0000-0000-00009B210000}"/>
    <cellStyle name="Comma 2 5 3 2 3" xfId="42501" xr:uid="{00000000-0005-0000-0000-00009C210000}"/>
    <cellStyle name="Comma 2 5 3 3" xfId="41817" xr:uid="{00000000-0005-0000-0000-00009D210000}"/>
    <cellStyle name="Comma 2 5 3 3 2" xfId="41818" xr:uid="{00000000-0005-0000-0000-00009E210000}"/>
    <cellStyle name="Comma 2 5 3 4" xfId="41819" xr:uid="{00000000-0005-0000-0000-00009F210000}"/>
    <cellStyle name="Comma 2 5 4" xfId="42502" xr:uid="{00000000-0005-0000-0000-0000A0210000}"/>
    <cellStyle name="Comma 2 5 4 2" xfId="42503" xr:uid="{00000000-0005-0000-0000-0000A1210000}"/>
    <cellStyle name="Comma 2 5 4 3" xfId="42504" xr:uid="{00000000-0005-0000-0000-0000A2210000}"/>
    <cellStyle name="Comma 2 5 5" xfId="42505" xr:uid="{00000000-0005-0000-0000-0000A3210000}"/>
    <cellStyle name="Comma 2 5 6" xfId="42506" xr:uid="{00000000-0005-0000-0000-0000A4210000}"/>
    <cellStyle name="Comma 2 5 6 2" xfId="42507" xr:uid="{00000000-0005-0000-0000-0000A5210000}"/>
    <cellStyle name="Comma 2 5 7" xfId="42508" xr:uid="{00000000-0005-0000-0000-0000A6210000}"/>
    <cellStyle name="Comma 2 5 8" xfId="42509" xr:uid="{00000000-0005-0000-0000-0000A7210000}"/>
    <cellStyle name="Comma 2 6" xfId="41290" xr:uid="{00000000-0005-0000-0000-0000A8210000}"/>
    <cellStyle name="Comma 2 6 2" xfId="41540" xr:uid="{00000000-0005-0000-0000-0000A9210000}"/>
    <cellStyle name="Comma 2 6 2 2" xfId="41820" xr:uid="{00000000-0005-0000-0000-0000AA210000}"/>
    <cellStyle name="Comma 2 6 3" xfId="41821" xr:uid="{00000000-0005-0000-0000-0000AB210000}"/>
    <cellStyle name="Comma 2 6 3 2" xfId="41822" xr:uid="{00000000-0005-0000-0000-0000AC210000}"/>
    <cellStyle name="Comma 2 6 4" xfId="41823" xr:uid="{00000000-0005-0000-0000-0000AD210000}"/>
    <cellStyle name="Comma 2 7" xfId="41291" xr:uid="{00000000-0005-0000-0000-0000AE210000}"/>
    <cellStyle name="Comma 2 7 2" xfId="41541" xr:uid="{00000000-0005-0000-0000-0000AF210000}"/>
    <cellStyle name="Comma 2 7 2 2" xfId="41824" xr:uid="{00000000-0005-0000-0000-0000B0210000}"/>
    <cellStyle name="Comma 2 7 3" xfId="41825" xr:uid="{00000000-0005-0000-0000-0000B1210000}"/>
    <cellStyle name="Comma 2 7 3 2" xfId="41826" xr:uid="{00000000-0005-0000-0000-0000B2210000}"/>
    <cellStyle name="Comma 2 7 4" xfId="41827" xr:uid="{00000000-0005-0000-0000-0000B3210000}"/>
    <cellStyle name="Comma 2 8" xfId="41292" xr:uid="{00000000-0005-0000-0000-0000B4210000}"/>
    <cellStyle name="Comma 2 8 2" xfId="41542" xr:uid="{00000000-0005-0000-0000-0000B5210000}"/>
    <cellStyle name="Comma 2 8 2 2" xfId="41828" xr:uid="{00000000-0005-0000-0000-0000B6210000}"/>
    <cellStyle name="Comma 2 8 3" xfId="41829" xr:uid="{00000000-0005-0000-0000-0000B7210000}"/>
    <cellStyle name="Comma 2 8 3 2" xfId="41830" xr:uid="{00000000-0005-0000-0000-0000B8210000}"/>
    <cellStyle name="Comma 2 8 4" xfId="41831" xr:uid="{00000000-0005-0000-0000-0000B9210000}"/>
    <cellStyle name="Comma 2 9" xfId="41293" xr:uid="{00000000-0005-0000-0000-0000BA210000}"/>
    <cellStyle name="Comma 2 9 2" xfId="41832" xr:uid="{00000000-0005-0000-0000-0000BB210000}"/>
    <cellStyle name="Comma 20" xfId="259" xr:uid="{00000000-0005-0000-0000-0000BC210000}"/>
    <cellStyle name="Comma 21" xfId="260" xr:uid="{00000000-0005-0000-0000-0000BD210000}"/>
    <cellStyle name="Comma 22" xfId="261" xr:uid="{00000000-0005-0000-0000-0000BE210000}"/>
    <cellStyle name="Comma 23" xfId="262" xr:uid="{00000000-0005-0000-0000-0000BF210000}"/>
    <cellStyle name="Comma 24" xfId="263" xr:uid="{00000000-0005-0000-0000-0000C0210000}"/>
    <cellStyle name="Comma 25" xfId="264" xr:uid="{00000000-0005-0000-0000-0000C1210000}"/>
    <cellStyle name="Comma 26" xfId="265" xr:uid="{00000000-0005-0000-0000-0000C2210000}"/>
    <cellStyle name="Comma 27" xfId="266" xr:uid="{00000000-0005-0000-0000-0000C3210000}"/>
    <cellStyle name="Comma 28" xfId="267" xr:uid="{00000000-0005-0000-0000-0000C4210000}"/>
    <cellStyle name="Comma 29" xfId="268" xr:uid="{00000000-0005-0000-0000-0000C5210000}"/>
    <cellStyle name="Comma 3" xfId="77" xr:uid="{00000000-0005-0000-0000-0000C6210000}"/>
    <cellStyle name="Comma 3 2" xfId="41219" xr:uid="{00000000-0005-0000-0000-0000C7210000}"/>
    <cellStyle name="Comma 3 3" xfId="42635" xr:uid="{00000000-0005-0000-0000-0000C8210000}"/>
    <cellStyle name="Comma 30" xfId="269" xr:uid="{00000000-0005-0000-0000-0000C9210000}"/>
    <cellStyle name="Comma 31" xfId="270" xr:uid="{00000000-0005-0000-0000-0000CA210000}"/>
    <cellStyle name="Comma 32" xfId="271" xr:uid="{00000000-0005-0000-0000-0000CB210000}"/>
    <cellStyle name="Comma 33" xfId="272" xr:uid="{00000000-0005-0000-0000-0000CC210000}"/>
    <cellStyle name="Comma 34" xfId="273" xr:uid="{00000000-0005-0000-0000-0000CD210000}"/>
    <cellStyle name="Comma 35" xfId="274" xr:uid="{00000000-0005-0000-0000-0000CE210000}"/>
    <cellStyle name="Comma 36" xfId="275" xr:uid="{00000000-0005-0000-0000-0000CF210000}"/>
    <cellStyle name="Comma 37" xfId="276" xr:uid="{00000000-0005-0000-0000-0000D0210000}"/>
    <cellStyle name="Comma 38" xfId="277" xr:uid="{00000000-0005-0000-0000-0000D1210000}"/>
    <cellStyle name="Comma 39" xfId="278" xr:uid="{00000000-0005-0000-0000-0000D2210000}"/>
    <cellStyle name="Comma 4" xfId="78" xr:uid="{00000000-0005-0000-0000-0000D3210000}"/>
    <cellStyle name="Comma 4 2" xfId="363" xr:uid="{00000000-0005-0000-0000-0000D4210000}"/>
    <cellStyle name="Comma 4 2 2" xfId="41294" xr:uid="{00000000-0005-0000-0000-0000D5210000}"/>
    <cellStyle name="Comma 4 3" xfId="41295" xr:uid="{00000000-0005-0000-0000-0000D6210000}"/>
    <cellStyle name="Comma 40" xfId="279" xr:uid="{00000000-0005-0000-0000-0000D7210000}"/>
    <cellStyle name="Comma 41" xfId="280" xr:uid="{00000000-0005-0000-0000-0000D8210000}"/>
    <cellStyle name="Comma 42" xfId="281" xr:uid="{00000000-0005-0000-0000-0000D9210000}"/>
    <cellStyle name="Comma 43" xfId="282" xr:uid="{00000000-0005-0000-0000-0000DA210000}"/>
    <cellStyle name="Comma 44" xfId="283" xr:uid="{00000000-0005-0000-0000-0000DB210000}"/>
    <cellStyle name="Comma 45" xfId="284" xr:uid="{00000000-0005-0000-0000-0000DC210000}"/>
    <cellStyle name="Comma 46" xfId="285" xr:uid="{00000000-0005-0000-0000-0000DD210000}"/>
    <cellStyle name="Comma 47" xfId="408" xr:uid="{00000000-0005-0000-0000-0000DE210000}"/>
    <cellStyle name="Comma 48" xfId="359" xr:uid="{00000000-0005-0000-0000-0000DF210000}"/>
    <cellStyle name="Comma 48 2" xfId="632" xr:uid="{00000000-0005-0000-0000-0000E0210000}"/>
    <cellStyle name="Comma 48 3" xfId="511" xr:uid="{00000000-0005-0000-0000-0000E1210000}"/>
    <cellStyle name="Comma 49" xfId="476" xr:uid="{00000000-0005-0000-0000-0000E2210000}"/>
    <cellStyle name="Comma 5" xfId="192" xr:uid="{00000000-0005-0000-0000-0000E3210000}"/>
    <cellStyle name="Comma 5 2" xfId="41296" xr:uid="{00000000-0005-0000-0000-0000E4210000}"/>
    <cellStyle name="Comma 5 2 2" xfId="41543" xr:uid="{00000000-0005-0000-0000-0000E5210000}"/>
    <cellStyle name="Comma 5 2 2 2" xfId="41833" xr:uid="{00000000-0005-0000-0000-0000E6210000}"/>
    <cellStyle name="Comma 5 2 3" xfId="41834" xr:uid="{00000000-0005-0000-0000-0000E7210000}"/>
    <cellStyle name="Comma 5 2 3 2" xfId="41835" xr:uid="{00000000-0005-0000-0000-0000E8210000}"/>
    <cellStyle name="Comma 5 2 4" xfId="41836" xr:uid="{00000000-0005-0000-0000-0000E9210000}"/>
    <cellStyle name="Comma 5 3" xfId="41297" xr:uid="{00000000-0005-0000-0000-0000EA210000}"/>
    <cellStyle name="Comma 5 3 2" xfId="41837" xr:uid="{00000000-0005-0000-0000-0000EB210000}"/>
    <cellStyle name="Comma 5 4" xfId="41838" xr:uid="{00000000-0005-0000-0000-0000EC210000}"/>
    <cellStyle name="Comma 5 4 2" xfId="41839" xr:uid="{00000000-0005-0000-0000-0000ED210000}"/>
    <cellStyle name="Comma 5 5" xfId="41840" xr:uid="{00000000-0005-0000-0000-0000EE210000}"/>
    <cellStyle name="Comma 50" xfId="943" xr:uid="{00000000-0005-0000-0000-0000EF210000}"/>
    <cellStyle name="Comma 51" xfId="1117" xr:uid="{00000000-0005-0000-0000-0000F0210000}"/>
    <cellStyle name="Comma 52" xfId="1532" xr:uid="{00000000-0005-0000-0000-0000F1210000}"/>
    <cellStyle name="Comma 53" xfId="2039" xr:uid="{00000000-0005-0000-0000-0000F2210000}"/>
    <cellStyle name="Comma 54" xfId="2430" xr:uid="{00000000-0005-0000-0000-0000F3210000}"/>
    <cellStyle name="Comma 55" xfId="2817" xr:uid="{00000000-0005-0000-0000-0000F4210000}"/>
    <cellStyle name="Comma 56" xfId="1002" xr:uid="{00000000-0005-0000-0000-0000F5210000}"/>
    <cellStyle name="Comma 57" xfId="929" xr:uid="{00000000-0005-0000-0000-0000F6210000}"/>
    <cellStyle name="Comma 58" xfId="445" xr:uid="{00000000-0005-0000-0000-0000F7210000}"/>
    <cellStyle name="Comma 58 2" xfId="11565" xr:uid="{00000000-0005-0000-0000-0000F8210000}"/>
    <cellStyle name="Comma 59" xfId="502" xr:uid="{00000000-0005-0000-0000-0000F9210000}"/>
    <cellStyle name="Comma 59 2" xfId="11580" xr:uid="{00000000-0005-0000-0000-0000FA210000}"/>
    <cellStyle name="Comma 6" xfId="196" xr:uid="{00000000-0005-0000-0000-0000FB210000}"/>
    <cellStyle name="Comma 6 2" xfId="41298" xr:uid="{00000000-0005-0000-0000-0000FC210000}"/>
    <cellStyle name="Comma 6 2 2" xfId="41544" xr:uid="{00000000-0005-0000-0000-0000FD210000}"/>
    <cellStyle name="Comma 6 2 2 2" xfId="41841" xr:uid="{00000000-0005-0000-0000-0000FE210000}"/>
    <cellStyle name="Comma 6 2 2 3" xfId="42510" xr:uid="{00000000-0005-0000-0000-0000FF210000}"/>
    <cellStyle name="Comma 6 2 3" xfId="41842" xr:uid="{00000000-0005-0000-0000-000000220000}"/>
    <cellStyle name="Comma 6 2 3 2" xfId="41843" xr:uid="{00000000-0005-0000-0000-000001220000}"/>
    <cellStyle name="Comma 6 2 4" xfId="41844" xr:uid="{00000000-0005-0000-0000-000002220000}"/>
    <cellStyle name="Comma 6 3" xfId="41299" xr:uid="{00000000-0005-0000-0000-000003220000}"/>
    <cellStyle name="Comma 6 3 2" xfId="41545" xr:uid="{00000000-0005-0000-0000-000004220000}"/>
    <cellStyle name="Comma 6 3 2 2" xfId="41845" xr:uid="{00000000-0005-0000-0000-000005220000}"/>
    <cellStyle name="Comma 6 3 2 3" xfId="42511" xr:uid="{00000000-0005-0000-0000-000006220000}"/>
    <cellStyle name="Comma 6 3 3" xfId="41846" xr:uid="{00000000-0005-0000-0000-000007220000}"/>
    <cellStyle name="Comma 6 3 3 2" xfId="41847" xr:uid="{00000000-0005-0000-0000-000008220000}"/>
    <cellStyle name="Comma 6 3 4" xfId="41848" xr:uid="{00000000-0005-0000-0000-000009220000}"/>
    <cellStyle name="Comma 6 4" xfId="42512" xr:uid="{00000000-0005-0000-0000-00000A220000}"/>
    <cellStyle name="Comma 6 4 2" xfId="42513" xr:uid="{00000000-0005-0000-0000-00000B220000}"/>
    <cellStyle name="Comma 6 4 3" xfId="42514" xr:uid="{00000000-0005-0000-0000-00000C220000}"/>
    <cellStyle name="Comma 6 5" xfId="42515" xr:uid="{00000000-0005-0000-0000-00000D220000}"/>
    <cellStyle name="Comma 6 6" xfId="42516" xr:uid="{00000000-0005-0000-0000-00000E220000}"/>
    <cellStyle name="Comma 60" xfId="3253" xr:uid="{00000000-0005-0000-0000-00000F220000}"/>
    <cellStyle name="Comma 61" xfId="3244" xr:uid="{00000000-0005-0000-0000-000010220000}"/>
    <cellStyle name="Comma 62" xfId="3386" xr:uid="{00000000-0005-0000-0000-000011220000}"/>
    <cellStyle name="Comma 63" xfId="3263" xr:uid="{00000000-0005-0000-0000-000012220000}"/>
    <cellStyle name="Comma 63 2" xfId="13564" xr:uid="{00000000-0005-0000-0000-000013220000}"/>
    <cellStyle name="Comma 64" xfId="11439" xr:uid="{00000000-0005-0000-0000-000014220000}"/>
    <cellStyle name="Comma 65" xfId="19408" xr:uid="{00000000-0005-0000-0000-000015220000}"/>
    <cellStyle name="Comma 66" xfId="19409" xr:uid="{00000000-0005-0000-0000-000016220000}"/>
    <cellStyle name="Comma 67" xfId="11400" xr:uid="{00000000-0005-0000-0000-000017220000}"/>
    <cellStyle name="Comma 68" xfId="41221" xr:uid="{00000000-0005-0000-0000-000018220000}"/>
    <cellStyle name="Comma 69" xfId="41228" xr:uid="{00000000-0005-0000-0000-000019220000}"/>
    <cellStyle name="Comma 7" xfId="200" xr:uid="{00000000-0005-0000-0000-00001A220000}"/>
    <cellStyle name="Comma 7 2" xfId="417" xr:uid="{00000000-0005-0000-0000-00001B220000}"/>
    <cellStyle name="Comma 7 2 2" xfId="41300" xr:uid="{00000000-0005-0000-0000-00001C220000}"/>
    <cellStyle name="Comma 7 2 2 2" xfId="41849" xr:uid="{00000000-0005-0000-0000-00001D220000}"/>
    <cellStyle name="Comma 7 2 2 3" xfId="42517" xr:uid="{00000000-0005-0000-0000-00001E220000}"/>
    <cellStyle name="Comma 7 2 3" xfId="41850" xr:uid="{00000000-0005-0000-0000-00001F220000}"/>
    <cellStyle name="Comma 7 2 3 2" xfId="41851" xr:uid="{00000000-0005-0000-0000-000020220000}"/>
    <cellStyle name="Comma 7 2 4" xfId="41852" xr:uid="{00000000-0005-0000-0000-000021220000}"/>
    <cellStyle name="Comma 7 3" xfId="41301" xr:uid="{00000000-0005-0000-0000-000022220000}"/>
    <cellStyle name="Comma 7 3 2" xfId="41546" xr:uid="{00000000-0005-0000-0000-000023220000}"/>
    <cellStyle name="Comma 7 3 2 2" xfId="41853" xr:uid="{00000000-0005-0000-0000-000024220000}"/>
    <cellStyle name="Comma 7 3 2 3" xfId="42518" xr:uid="{00000000-0005-0000-0000-000025220000}"/>
    <cellStyle name="Comma 7 3 3" xfId="41854" xr:uid="{00000000-0005-0000-0000-000026220000}"/>
    <cellStyle name="Comma 7 3 3 2" xfId="41855" xr:uid="{00000000-0005-0000-0000-000027220000}"/>
    <cellStyle name="Comma 7 3 4" xfId="41856" xr:uid="{00000000-0005-0000-0000-000028220000}"/>
    <cellStyle name="Comma 7 4" xfId="41302" xr:uid="{00000000-0005-0000-0000-000029220000}"/>
    <cellStyle name="Comma 7 4 2" xfId="41857" xr:uid="{00000000-0005-0000-0000-00002A220000}"/>
    <cellStyle name="Comma 7 4 3" xfId="42519" xr:uid="{00000000-0005-0000-0000-00002B220000}"/>
    <cellStyle name="Comma 7 5" xfId="41858" xr:uid="{00000000-0005-0000-0000-00002C220000}"/>
    <cellStyle name="Comma 7 5 2" xfId="41859" xr:uid="{00000000-0005-0000-0000-00002D220000}"/>
    <cellStyle name="Comma 7 6" xfId="41860" xr:uid="{00000000-0005-0000-0000-00002E220000}"/>
    <cellStyle name="Comma 70" xfId="41234" xr:uid="{00000000-0005-0000-0000-00002F220000}"/>
    <cellStyle name="Comma 71" xfId="41239" xr:uid="{00000000-0005-0000-0000-000030220000}"/>
    <cellStyle name="Comma 72" xfId="41303" xr:uid="{00000000-0005-0000-0000-000031220000}"/>
    <cellStyle name="Comma 73" xfId="41304" xr:uid="{00000000-0005-0000-0000-000032220000}"/>
    <cellStyle name="Comma 74" xfId="41305" xr:uid="{00000000-0005-0000-0000-000033220000}"/>
    <cellStyle name="Comma 75" xfId="41306" xr:uid="{00000000-0005-0000-0000-000034220000}"/>
    <cellStyle name="Comma 76" xfId="41307" xr:uid="{00000000-0005-0000-0000-000035220000}"/>
    <cellStyle name="Comma 77" xfId="41308" xr:uid="{00000000-0005-0000-0000-000036220000}"/>
    <cellStyle name="Comma 78" xfId="41309" xr:uid="{00000000-0005-0000-0000-000037220000}"/>
    <cellStyle name="Comma 79" xfId="41510" xr:uid="{00000000-0005-0000-0000-000038220000}"/>
    <cellStyle name="Comma 8" xfId="203" xr:uid="{00000000-0005-0000-0000-000039220000}"/>
    <cellStyle name="Comma 8 2" xfId="420" xr:uid="{00000000-0005-0000-0000-00003A220000}"/>
    <cellStyle name="Comma 8 2 2" xfId="643" xr:uid="{00000000-0005-0000-0000-00003B220000}"/>
    <cellStyle name="Comma 8 2 2 2" xfId="11695" xr:uid="{00000000-0005-0000-0000-00003C220000}"/>
    <cellStyle name="Comma 8 2 3" xfId="521" xr:uid="{00000000-0005-0000-0000-00003D220000}"/>
    <cellStyle name="Comma 8 2 3 2" xfId="11595" xr:uid="{00000000-0005-0000-0000-00003E220000}"/>
    <cellStyle name="Comma 8 2 4" xfId="11547" xr:uid="{00000000-0005-0000-0000-00003F220000}"/>
    <cellStyle name="Comma 8 3" xfId="598" xr:uid="{00000000-0005-0000-0000-000040220000}"/>
    <cellStyle name="Comma 8 3 2" xfId="11660" xr:uid="{00000000-0005-0000-0000-000041220000}"/>
    <cellStyle name="Comma 8 4" xfId="496" xr:uid="{00000000-0005-0000-0000-000042220000}"/>
    <cellStyle name="Comma 8 4 2" xfId="11575" xr:uid="{00000000-0005-0000-0000-000043220000}"/>
    <cellStyle name="Comma 8 5" xfId="11486" xr:uid="{00000000-0005-0000-0000-000044220000}"/>
    <cellStyle name="Comma 8 6" xfId="41310" xr:uid="{00000000-0005-0000-0000-000045220000}"/>
    <cellStyle name="Comma 80" xfId="41513" xr:uid="{00000000-0005-0000-0000-000046220000}"/>
    <cellStyle name="Comma 81" xfId="42643" xr:uid="{982D078F-B991-4F7E-972C-E04D7BDD9659}"/>
    <cellStyle name="Comma 9" xfId="286" xr:uid="{00000000-0005-0000-0000-000047220000}"/>
    <cellStyle name="Comma 9 2" xfId="41311" xr:uid="{00000000-0005-0000-0000-000048220000}"/>
    <cellStyle name="Comma0" xfId="193" xr:uid="{00000000-0005-0000-0000-000049220000}"/>
    <cellStyle name="Comma0 2" xfId="288" xr:uid="{00000000-0005-0000-0000-00004A220000}"/>
    <cellStyle name="Comma0_Inputs Yr 1" xfId="287" xr:uid="{00000000-0005-0000-0000-00004B220000}"/>
    <cellStyle name="Currency" xfId="79" builtinId="4"/>
    <cellStyle name="Currency 10" xfId="364" xr:uid="{00000000-0005-0000-0000-00004D220000}"/>
    <cellStyle name="Currency 10 2" xfId="634" xr:uid="{00000000-0005-0000-0000-00004E220000}"/>
    <cellStyle name="Currency 10 3" xfId="512" xr:uid="{00000000-0005-0000-0000-00004F220000}"/>
    <cellStyle name="Currency 10 4" xfId="41312" xr:uid="{00000000-0005-0000-0000-000050220000}"/>
    <cellStyle name="Currency 11" xfId="477" xr:uid="{00000000-0005-0000-0000-000051220000}"/>
    <cellStyle name="Currency 12" xfId="446" xr:uid="{00000000-0005-0000-0000-000052220000}"/>
    <cellStyle name="Currency 12 2" xfId="11566" xr:uid="{00000000-0005-0000-0000-000053220000}"/>
    <cellStyle name="Currency 13" xfId="11440" xr:uid="{00000000-0005-0000-0000-000054220000}"/>
    <cellStyle name="Currency 14" xfId="41220" xr:uid="{00000000-0005-0000-0000-000055220000}"/>
    <cellStyle name="Currency 15" xfId="42642" xr:uid="{EF4E3FA1-4C94-4C41-AD9A-FA0A2F387A32}"/>
    <cellStyle name="Currency 2" xfId="80" xr:uid="{00000000-0005-0000-0000-000056220000}"/>
    <cellStyle name="Currency 2 10" xfId="41313" xr:uid="{00000000-0005-0000-0000-000057220000}"/>
    <cellStyle name="Currency 2 10 2" xfId="41547" xr:uid="{00000000-0005-0000-0000-000058220000}"/>
    <cellStyle name="Currency 2 10 2 2" xfId="41861" xr:uid="{00000000-0005-0000-0000-000059220000}"/>
    <cellStyle name="Currency 2 10 3" xfId="41862" xr:uid="{00000000-0005-0000-0000-00005A220000}"/>
    <cellStyle name="Currency 2 10 3 2" xfId="41863" xr:uid="{00000000-0005-0000-0000-00005B220000}"/>
    <cellStyle name="Currency 2 10 4" xfId="41864" xr:uid="{00000000-0005-0000-0000-00005C220000}"/>
    <cellStyle name="Currency 2 11" xfId="41314" xr:uid="{00000000-0005-0000-0000-00005D220000}"/>
    <cellStyle name="Currency 2 11 2" xfId="41548" xr:uid="{00000000-0005-0000-0000-00005E220000}"/>
    <cellStyle name="Currency 2 11 2 2" xfId="41865" xr:uid="{00000000-0005-0000-0000-00005F220000}"/>
    <cellStyle name="Currency 2 11 3" xfId="41866" xr:uid="{00000000-0005-0000-0000-000060220000}"/>
    <cellStyle name="Currency 2 11 3 2" xfId="41867" xr:uid="{00000000-0005-0000-0000-000061220000}"/>
    <cellStyle name="Currency 2 11 4" xfId="41868" xr:uid="{00000000-0005-0000-0000-000062220000}"/>
    <cellStyle name="Currency 2 12" xfId="41315" xr:uid="{00000000-0005-0000-0000-000063220000}"/>
    <cellStyle name="Currency 2 12 2" xfId="41869" xr:uid="{00000000-0005-0000-0000-000064220000}"/>
    <cellStyle name="Currency 2 13" xfId="41870" xr:uid="{00000000-0005-0000-0000-000065220000}"/>
    <cellStyle name="Currency 2 13 2" xfId="41871" xr:uid="{00000000-0005-0000-0000-000066220000}"/>
    <cellStyle name="Currency 2 14" xfId="41872" xr:uid="{00000000-0005-0000-0000-000067220000}"/>
    <cellStyle name="Currency 2 14 2" xfId="41873" xr:uid="{00000000-0005-0000-0000-000068220000}"/>
    <cellStyle name="Currency 2 15" xfId="41874" xr:uid="{00000000-0005-0000-0000-000069220000}"/>
    <cellStyle name="Currency 2 2" xfId="185" xr:uid="{00000000-0005-0000-0000-00006A220000}"/>
    <cellStyle name="Currency 2 2 10" xfId="41875" xr:uid="{00000000-0005-0000-0000-00006B220000}"/>
    <cellStyle name="Currency 2 2 10 2" xfId="41876" xr:uid="{00000000-0005-0000-0000-00006C220000}"/>
    <cellStyle name="Currency 2 2 11" xfId="41877" xr:uid="{00000000-0005-0000-0000-00006D220000}"/>
    <cellStyle name="Currency 2 2 2" xfId="338" xr:uid="{00000000-0005-0000-0000-00006E220000}"/>
    <cellStyle name="Currency 2 2 2 2" xfId="41316" xr:uid="{00000000-0005-0000-0000-00006F220000}"/>
    <cellStyle name="Currency 2 2 2 2 2" xfId="41317" xr:uid="{00000000-0005-0000-0000-000070220000}"/>
    <cellStyle name="Currency 2 2 2 2 2 2" xfId="41549" xr:uid="{00000000-0005-0000-0000-000071220000}"/>
    <cellStyle name="Currency 2 2 2 2 2 2 2" xfId="41878" xr:uid="{00000000-0005-0000-0000-000072220000}"/>
    <cellStyle name="Currency 2 2 2 2 2 3" xfId="41879" xr:uid="{00000000-0005-0000-0000-000073220000}"/>
    <cellStyle name="Currency 2 2 2 2 2 3 2" xfId="41880" xr:uid="{00000000-0005-0000-0000-000074220000}"/>
    <cellStyle name="Currency 2 2 2 2 2 4" xfId="41881" xr:uid="{00000000-0005-0000-0000-000075220000}"/>
    <cellStyle name="Currency 2 2 2 2 3" xfId="41550" xr:uid="{00000000-0005-0000-0000-000076220000}"/>
    <cellStyle name="Currency 2 2 2 2 3 2" xfId="41882" xr:uid="{00000000-0005-0000-0000-000077220000}"/>
    <cellStyle name="Currency 2 2 2 2 4" xfId="41883" xr:uid="{00000000-0005-0000-0000-000078220000}"/>
    <cellStyle name="Currency 2 2 2 2 4 2" xfId="41884" xr:uid="{00000000-0005-0000-0000-000079220000}"/>
    <cellStyle name="Currency 2 2 2 2 5" xfId="41885" xr:uid="{00000000-0005-0000-0000-00007A220000}"/>
    <cellStyle name="Currency 2 2 2 3" xfId="41318" xr:uid="{00000000-0005-0000-0000-00007B220000}"/>
    <cellStyle name="Currency 2 2 2 3 2" xfId="42520" xr:uid="{00000000-0005-0000-0000-00007C220000}"/>
    <cellStyle name="Currency 2 2 2 3 2 2" xfId="42521" xr:uid="{00000000-0005-0000-0000-00007D220000}"/>
    <cellStyle name="Currency 2 2 2 3 3" xfId="42522" xr:uid="{00000000-0005-0000-0000-00007E220000}"/>
    <cellStyle name="Currency 2 2 2 4" xfId="41319" xr:uid="{00000000-0005-0000-0000-00007F220000}"/>
    <cellStyle name="Currency 2 2 2 4 2" xfId="41551" xr:uid="{00000000-0005-0000-0000-000080220000}"/>
    <cellStyle name="Currency 2 2 2 4 2 2" xfId="41886" xr:uid="{00000000-0005-0000-0000-000081220000}"/>
    <cellStyle name="Currency 2 2 2 4 3" xfId="41887" xr:uid="{00000000-0005-0000-0000-000082220000}"/>
    <cellStyle name="Currency 2 2 2 4 3 2" xfId="41888" xr:uid="{00000000-0005-0000-0000-000083220000}"/>
    <cellStyle name="Currency 2 2 2 4 4" xfId="41889" xr:uid="{00000000-0005-0000-0000-000084220000}"/>
    <cellStyle name="Currency 2 2 2 5" xfId="41320" xr:uid="{00000000-0005-0000-0000-000085220000}"/>
    <cellStyle name="Currency 2 2 2 5 2" xfId="41890" xr:uid="{00000000-0005-0000-0000-000086220000}"/>
    <cellStyle name="Currency 2 2 2 6" xfId="41891" xr:uid="{00000000-0005-0000-0000-000087220000}"/>
    <cellStyle name="Currency 2 2 2 6 2" xfId="41892" xr:uid="{00000000-0005-0000-0000-000088220000}"/>
    <cellStyle name="Currency 2 2 2 7" xfId="41893" xr:uid="{00000000-0005-0000-0000-000089220000}"/>
    <cellStyle name="Currency 2 2 2 7 2" xfId="41894" xr:uid="{00000000-0005-0000-0000-00008A220000}"/>
    <cellStyle name="Currency 2 2 2 8" xfId="41895" xr:uid="{00000000-0005-0000-0000-00008B220000}"/>
    <cellStyle name="Currency 2 2 3" xfId="41321" xr:uid="{00000000-0005-0000-0000-00008C220000}"/>
    <cellStyle name="Currency 2 2 3 2" xfId="41322" xr:uid="{00000000-0005-0000-0000-00008D220000}"/>
    <cellStyle name="Currency 2 2 3 2 2" xfId="41552" xr:uid="{00000000-0005-0000-0000-00008E220000}"/>
    <cellStyle name="Currency 2 2 3 2 2 2" xfId="41896" xr:uid="{00000000-0005-0000-0000-00008F220000}"/>
    <cellStyle name="Currency 2 2 3 2 3" xfId="41897" xr:uid="{00000000-0005-0000-0000-000090220000}"/>
    <cellStyle name="Currency 2 2 3 2 3 2" xfId="41898" xr:uid="{00000000-0005-0000-0000-000091220000}"/>
    <cellStyle name="Currency 2 2 3 2 4" xfId="41899" xr:uid="{00000000-0005-0000-0000-000092220000}"/>
    <cellStyle name="Currency 2 2 3 3" xfId="41323" xr:uid="{00000000-0005-0000-0000-000093220000}"/>
    <cellStyle name="Currency 2 2 3 3 2" xfId="41553" xr:uid="{00000000-0005-0000-0000-000094220000}"/>
    <cellStyle name="Currency 2 2 3 3 2 2" xfId="41900" xr:uid="{00000000-0005-0000-0000-000095220000}"/>
    <cellStyle name="Currency 2 2 3 3 3" xfId="41901" xr:uid="{00000000-0005-0000-0000-000096220000}"/>
    <cellStyle name="Currency 2 2 3 3 3 2" xfId="41902" xr:uid="{00000000-0005-0000-0000-000097220000}"/>
    <cellStyle name="Currency 2 2 3 3 4" xfId="41903" xr:uid="{00000000-0005-0000-0000-000098220000}"/>
    <cellStyle name="Currency 2 2 3 4" xfId="41554" xr:uid="{00000000-0005-0000-0000-000099220000}"/>
    <cellStyle name="Currency 2 2 3 4 2" xfId="41904" xr:uid="{00000000-0005-0000-0000-00009A220000}"/>
    <cellStyle name="Currency 2 2 3 5" xfId="41905" xr:uid="{00000000-0005-0000-0000-00009B220000}"/>
    <cellStyle name="Currency 2 2 3 5 2" xfId="41906" xr:uid="{00000000-0005-0000-0000-00009C220000}"/>
    <cellStyle name="Currency 2 2 3 6" xfId="41907" xr:uid="{00000000-0005-0000-0000-00009D220000}"/>
    <cellStyle name="Currency 2 2 4" xfId="41324" xr:uid="{00000000-0005-0000-0000-00009E220000}"/>
    <cellStyle name="Currency 2 2 4 2" xfId="41555" xr:uid="{00000000-0005-0000-0000-00009F220000}"/>
    <cellStyle name="Currency 2 2 4 2 2" xfId="41908" xr:uid="{00000000-0005-0000-0000-0000A0220000}"/>
    <cellStyle name="Currency 2 2 4 2 3" xfId="42523" xr:uid="{00000000-0005-0000-0000-0000A1220000}"/>
    <cellStyle name="Currency 2 2 4 3" xfId="41909" xr:uid="{00000000-0005-0000-0000-0000A2220000}"/>
    <cellStyle name="Currency 2 2 4 3 2" xfId="41910" xr:uid="{00000000-0005-0000-0000-0000A3220000}"/>
    <cellStyle name="Currency 2 2 4 4" xfId="41911" xr:uid="{00000000-0005-0000-0000-0000A4220000}"/>
    <cellStyle name="Currency 2 2 4 5" xfId="42524" xr:uid="{00000000-0005-0000-0000-0000A5220000}"/>
    <cellStyle name="Currency 2 2 5" xfId="41325" xr:uid="{00000000-0005-0000-0000-0000A6220000}"/>
    <cellStyle name="Currency 2 2 5 2" xfId="41556" xr:uid="{00000000-0005-0000-0000-0000A7220000}"/>
    <cellStyle name="Currency 2 2 5 2 2" xfId="41912" xr:uid="{00000000-0005-0000-0000-0000A8220000}"/>
    <cellStyle name="Currency 2 2 5 2 3" xfId="42525" xr:uid="{00000000-0005-0000-0000-0000A9220000}"/>
    <cellStyle name="Currency 2 2 5 3" xfId="41913" xr:uid="{00000000-0005-0000-0000-0000AA220000}"/>
    <cellStyle name="Currency 2 2 5 3 2" xfId="41914" xr:uid="{00000000-0005-0000-0000-0000AB220000}"/>
    <cellStyle name="Currency 2 2 5 4" xfId="41915" xr:uid="{00000000-0005-0000-0000-0000AC220000}"/>
    <cellStyle name="Currency 2 2 6" xfId="41326" xr:uid="{00000000-0005-0000-0000-0000AD220000}"/>
    <cellStyle name="Currency 2 2 6 2" xfId="41557" xr:uid="{00000000-0005-0000-0000-0000AE220000}"/>
    <cellStyle name="Currency 2 2 6 2 2" xfId="41916" xr:uid="{00000000-0005-0000-0000-0000AF220000}"/>
    <cellStyle name="Currency 2 2 6 3" xfId="41917" xr:uid="{00000000-0005-0000-0000-0000B0220000}"/>
    <cellStyle name="Currency 2 2 6 3 2" xfId="41918" xr:uid="{00000000-0005-0000-0000-0000B1220000}"/>
    <cellStyle name="Currency 2 2 6 4" xfId="41919" xr:uid="{00000000-0005-0000-0000-0000B2220000}"/>
    <cellStyle name="Currency 2 2 7" xfId="41327" xr:uid="{00000000-0005-0000-0000-0000B3220000}"/>
    <cellStyle name="Currency 2 2 7 2" xfId="41558" xr:uid="{00000000-0005-0000-0000-0000B4220000}"/>
    <cellStyle name="Currency 2 2 7 2 2" xfId="41920" xr:uid="{00000000-0005-0000-0000-0000B5220000}"/>
    <cellStyle name="Currency 2 2 7 3" xfId="41921" xr:uid="{00000000-0005-0000-0000-0000B6220000}"/>
    <cellStyle name="Currency 2 2 7 3 2" xfId="41922" xr:uid="{00000000-0005-0000-0000-0000B7220000}"/>
    <cellStyle name="Currency 2 2 7 4" xfId="41923" xr:uid="{00000000-0005-0000-0000-0000B8220000}"/>
    <cellStyle name="Currency 2 2 8" xfId="41328" xr:uid="{00000000-0005-0000-0000-0000B9220000}"/>
    <cellStyle name="Currency 2 2 8 2" xfId="41924" xr:uid="{00000000-0005-0000-0000-0000BA220000}"/>
    <cellStyle name="Currency 2 2 9" xfId="41925" xr:uid="{00000000-0005-0000-0000-0000BB220000}"/>
    <cellStyle name="Currency 2 2 9 2" xfId="41926" xr:uid="{00000000-0005-0000-0000-0000BC220000}"/>
    <cellStyle name="Currency 2 3" xfId="41230" xr:uid="{00000000-0005-0000-0000-0000BD220000}"/>
    <cellStyle name="Currency 2 3 10" xfId="41927" xr:uid="{00000000-0005-0000-0000-0000BE220000}"/>
    <cellStyle name="Currency 2 3 2" xfId="41329" xr:uid="{00000000-0005-0000-0000-0000BF220000}"/>
    <cellStyle name="Currency 2 3 2 2" xfId="41330" xr:uid="{00000000-0005-0000-0000-0000C0220000}"/>
    <cellStyle name="Currency 2 3 2 2 2" xfId="42526" xr:uid="{00000000-0005-0000-0000-0000C1220000}"/>
    <cellStyle name="Currency 2 3 2 2 2 2" xfId="42527" xr:uid="{00000000-0005-0000-0000-0000C2220000}"/>
    <cellStyle name="Currency 2 3 2 2 3" xfId="42528" xr:uid="{00000000-0005-0000-0000-0000C3220000}"/>
    <cellStyle name="Currency 2 3 2 3" xfId="41331" xr:uid="{00000000-0005-0000-0000-0000C4220000}"/>
    <cellStyle name="Currency 2 3 2 3 2" xfId="41559" xr:uid="{00000000-0005-0000-0000-0000C5220000}"/>
    <cellStyle name="Currency 2 3 2 3 2 2" xfId="41928" xr:uid="{00000000-0005-0000-0000-0000C6220000}"/>
    <cellStyle name="Currency 2 3 2 3 3" xfId="41929" xr:uid="{00000000-0005-0000-0000-0000C7220000}"/>
    <cellStyle name="Currency 2 3 2 3 3 2" xfId="41930" xr:uid="{00000000-0005-0000-0000-0000C8220000}"/>
    <cellStyle name="Currency 2 3 2 3 4" xfId="41931" xr:uid="{00000000-0005-0000-0000-0000C9220000}"/>
    <cellStyle name="Currency 2 3 2 4" xfId="41560" xr:uid="{00000000-0005-0000-0000-0000CA220000}"/>
    <cellStyle name="Currency 2 3 2 4 2" xfId="41932" xr:uid="{00000000-0005-0000-0000-0000CB220000}"/>
    <cellStyle name="Currency 2 3 2 5" xfId="41933" xr:uid="{00000000-0005-0000-0000-0000CC220000}"/>
    <cellStyle name="Currency 2 3 2 5 2" xfId="41934" xr:uid="{00000000-0005-0000-0000-0000CD220000}"/>
    <cellStyle name="Currency 2 3 2 6" xfId="41935" xr:uid="{00000000-0005-0000-0000-0000CE220000}"/>
    <cellStyle name="Currency 2 3 3" xfId="41332" xr:uid="{00000000-0005-0000-0000-0000CF220000}"/>
    <cellStyle name="Currency 2 3 3 2" xfId="41561" xr:uid="{00000000-0005-0000-0000-0000D0220000}"/>
    <cellStyle name="Currency 2 3 3 2 2" xfId="41936" xr:uid="{00000000-0005-0000-0000-0000D1220000}"/>
    <cellStyle name="Currency 2 3 3 2 3" xfId="42529" xr:uid="{00000000-0005-0000-0000-0000D2220000}"/>
    <cellStyle name="Currency 2 3 3 3" xfId="41937" xr:uid="{00000000-0005-0000-0000-0000D3220000}"/>
    <cellStyle name="Currency 2 3 3 3 2" xfId="41938" xr:uid="{00000000-0005-0000-0000-0000D4220000}"/>
    <cellStyle name="Currency 2 3 3 4" xfId="41939" xr:uid="{00000000-0005-0000-0000-0000D5220000}"/>
    <cellStyle name="Currency 2 3 3 5" xfId="42530" xr:uid="{00000000-0005-0000-0000-0000D6220000}"/>
    <cellStyle name="Currency 2 3 4" xfId="41333" xr:uid="{00000000-0005-0000-0000-0000D7220000}"/>
    <cellStyle name="Currency 2 3 4 2" xfId="41562" xr:uid="{00000000-0005-0000-0000-0000D8220000}"/>
    <cellStyle name="Currency 2 3 4 2 2" xfId="41940" xr:uid="{00000000-0005-0000-0000-0000D9220000}"/>
    <cellStyle name="Currency 2 3 4 2 3" xfId="42531" xr:uid="{00000000-0005-0000-0000-0000DA220000}"/>
    <cellStyle name="Currency 2 3 4 3" xfId="41941" xr:uid="{00000000-0005-0000-0000-0000DB220000}"/>
    <cellStyle name="Currency 2 3 4 3 2" xfId="41942" xr:uid="{00000000-0005-0000-0000-0000DC220000}"/>
    <cellStyle name="Currency 2 3 4 4" xfId="41943" xr:uid="{00000000-0005-0000-0000-0000DD220000}"/>
    <cellStyle name="Currency 2 3 5" xfId="41334" xr:uid="{00000000-0005-0000-0000-0000DE220000}"/>
    <cellStyle name="Currency 2 3 5 2" xfId="41563" xr:uid="{00000000-0005-0000-0000-0000DF220000}"/>
    <cellStyle name="Currency 2 3 5 2 2" xfId="41944" xr:uid="{00000000-0005-0000-0000-0000E0220000}"/>
    <cellStyle name="Currency 2 3 5 3" xfId="41945" xr:uid="{00000000-0005-0000-0000-0000E1220000}"/>
    <cellStyle name="Currency 2 3 5 3 2" xfId="41946" xr:uid="{00000000-0005-0000-0000-0000E2220000}"/>
    <cellStyle name="Currency 2 3 5 4" xfId="41947" xr:uid="{00000000-0005-0000-0000-0000E3220000}"/>
    <cellStyle name="Currency 2 3 6" xfId="41335" xr:uid="{00000000-0005-0000-0000-0000E4220000}"/>
    <cellStyle name="Currency 2 3 6 2" xfId="41564" xr:uid="{00000000-0005-0000-0000-0000E5220000}"/>
    <cellStyle name="Currency 2 3 6 2 2" xfId="41948" xr:uid="{00000000-0005-0000-0000-0000E6220000}"/>
    <cellStyle name="Currency 2 3 6 3" xfId="41949" xr:uid="{00000000-0005-0000-0000-0000E7220000}"/>
    <cellStyle name="Currency 2 3 6 3 2" xfId="41950" xr:uid="{00000000-0005-0000-0000-0000E8220000}"/>
    <cellStyle name="Currency 2 3 6 4" xfId="41951" xr:uid="{00000000-0005-0000-0000-0000E9220000}"/>
    <cellStyle name="Currency 2 3 7" xfId="41565" xr:uid="{00000000-0005-0000-0000-0000EA220000}"/>
    <cellStyle name="Currency 2 3 7 2" xfId="41952" xr:uid="{00000000-0005-0000-0000-0000EB220000}"/>
    <cellStyle name="Currency 2 3 8" xfId="41953" xr:uid="{00000000-0005-0000-0000-0000EC220000}"/>
    <cellStyle name="Currency 2 3 8 2" xfId="41954" xr:uid="{00000000-0005-0000-0000-0000ED220000}"/>
    <cellStyle name="Currency 2 3 9" xfId="41955" xr:uid="{00000000-0005-0000-0000-0000EE220000}"/>
    <cellStyle name="Currency 2 3 9 2" xfId="41956" xr:uid="{00000000-0005-0000-0000-0000EF220000}"/>
    <cellStyle name="Currency 2 4" xfId="41336" xr:uid="{00000000-0005-0000-0000-0000F0220000}"/>
    <cellStyle name="Currency 2 4 2" xfId="41337" xr:uid="{00000000-0005-0000-0000-0000F1220000}"/>
    <cellStyle name="Currency 2 4 2 2" xfId="41338" xr:uid="{00000000-0005-0000-0000-0000F2220000}"/>
    <cellStyle name="Currency 2 4 2 2 2" xfId="41566" xr:uid="{00000000-0005-0000-0000-0000F3220000}"/>
    <cellStyle name="Currency 2 4 2 2 2 2" xfId="41957" xr:uid="{00000000-0005-0000-0000-0000F4220000}"/>
    <cellStyle name="Currency 2 4 2 2 3" xfId="41958" xr:uid="{00000000-0005-0000-0000-0000F5220000}"/>
    <cellStyle name="Currency 2 4 2 2 3 2" xfId="41959" xr:uid="{00000000-0005-0000-0000-0000F6220000}"/>
    <cellStyle name="Currency 2 4 2 2 4" xfId="41960" xr:uid="{00000000-0005-0000-0000-0000F7220000}"/>
    <cellStyle name="Currency 2 4 2 3" xfId="41339" xr:uid="{00000000-0005-0000-0000-0000F8220000}"/>
    <cellStyle name="Currency 2 4 2 3 2" xfId="41567" xr:uid="{00000000-0005-0000-0000-0000F9220000}"/>
    <cellStyle name="Currency 2 4 2 3 2 2" xfId="41961" xr:uid="{00000000-0005-0000-0000-0000FA220000}"/>
    <cellStyle name="Currency 2 4 2 3 3" xfId="41962" xr:uid="{00000000-0005-0000-0000-0000FB220000}"/>
    <cellStyle name="Currency 2 4 2 3 3 2" xfId="41963" xr:uid="{00000000-0005-0000-0000-0000FC220000}"/>
    <cellStyle name="Currency 2 4 2 3 4" xfId="41964" xr:uid="{00000000-0005-0000-0000-0000FD220000}"/>
    <cellStyle name="Currency 2 4 2 4" xfId="41568" xr:uid="{00000000-0005-0000-0000-0000FE220000}"/>
    <cellStyle name="Currency 2 4 2 4 2" xfId="41965" xr:uid="{00000000-0005-0000-0000-0000FF220000}"/>
    <cellStyle name="Currency 2 4 2 5" xfId="41966" xr:uid="{00000000-0005-0000-0000-000000230000}"/>
    <cellStyle name="Currency 2 4 2 5 2" xfId="41967" xr:uid="{00000000-0005-0000-0000-000001230000}"/>
    <cellStyle name="Currency 2 4 2 6" xfId="41968" xr:uid="{00000000-0005-0000-0000-000002230000}"/>
    <cellStyle name="Currency 2 4 3" xfId="41340" xr:uid="{00000000-0005-0000-0000-000003230000}"/>
    <cellStyle name="Currency 2 4 3 2" xfId="41569" xr:uid="{00000000-0005-0000-0000-000004230000}"/>
    <cellStyle name="Currency 2 4 3 2 2" xfId="41969" xr:uid="{00000000-0005-0000-0000-000005230000}"/>
    <cellStyle name="Currency 2 4 3 2 3" xfId="42532" xr:uid="{00000000-0005-0000-0000-000006230000}"/>
    <cellStyle name="Currency 2 4 3 3" xfId="41970" xr:uid="{00000000-0005-0000-0000-000007230000}"/>
    <cellStyle name="Currency 2 4 3 3 2" xfId="41971" xr:uid="{00000000-0005-0000-0000-000008230000}"/>
    <cellStyle name="Currency 2 4 3 4" xfId="41972" xr:uid="{00000000-0005-0000-0000-000009230000}"/>
    <cellStyle name="Currency 2 4 3 5" xfId="42533" xr:uid="{00000000-0005-0000-0000-00000A230000}"/>
    <cellStyle name="Currency 2 4 4" xfId="41341" xr:uid="{00000000-0005-0000-0000-00000B230000}"/>
    <cellStyle name="Currency 2 4 4 2" xfId="41570" xr:uid="{00000000-0005-0000-0000-00000C230000}"/>
    <cellStyle name="Currency 2 4 4 2 2" xfId="41973" xr:uid="{00000000-0005-0000-0000-00000D230000}"/>
    <cellStyle name="Currency 2 4 4 3" xfId="41974" xr:uid="{00000000-0005-0000-0000-00000E230000}"/>
    <cellStyle name="Currency 2 4 4 3 2" xfId="41975" xr:uid="{00000000-0005-0000-0000-00000F230000}"/>
    <cellStyle name="Currency 2 4 4 4" xfId="41976" xr:uid="{00000000-0005-0000-0000-000010230000}"/>
    <cellStyle name="Currency 2 4 5" xfId="41342" xr:uid="{00000000-0005-0000-0000-000011230000}"/>
    <cellStyle name="Currency 2 4 5 2" xfId="41571" xr:uid="{00000000-0005-0000-0000-000012230000}"/>
    <cellStyle name="Currency 2 4 5 2 2" xfId="41977" xr:uid="{00000000-0005-0000-0000-000013230000}"/>
    <cellStyle name="Currency 2 4 5 3" xfId="41978" xr:uid="{00000000-0005-0000-0000-000014230000}"/>
    <cellStyle name="Currency 2 4 5 3 2" xfId="41979" xr:uid="{00000000-0005-0000-0000-000015230000}"/>
    <cellStyle name="Currency 2 4 5 4" xfId="41980" xr:uid="{00000000-0005-0000-0000-000016230000}"/>
    <cellStyle name="Currency 2 4 6" xfId="41572" xr:uid="{00000000-0005-0000-0000-000017230000}"/>
    <cellStyle name="Currency 2 4 6 2" xfId="41981" xr:uid="{00000000-0005-0000-0000-000018230000}"/>
    <cellStyle name="Currency 2 4 7" xfId="41982" xr:uid="{00000000-0005-0000-0000-000019230000}"/>
    <cellStyle name="Currency 2 4 7 2" xfId="41983" xr:uid="{00000000-0005-0000-0000-00001A230000}"/>
    <cellStyle name="Currency 2 4 8" xfId="41984" xr:uid="{00000000-0005-0000-0000-00001B230000}"/>
    <cellStyle name="Currency 2 4 8 2" xfId="41985" xr:uid="{00000000-0005-0000-0000-00001C230000}"/>
    <cellStyle name="Currency 2 4 9" xfId="41986" xr:uid="{00000000-0005-0000-0000-00001D230000}"/>
    <cellStyle name="Currency 2 5" xfId="41343" xr:uid="{00000000-0005-0000-0000-00001E230000}"/>
    <cellStyle name="Currency 2 5 2" xfId="41344" xr:uid="{00000000-0005-0000-0000-00001F230000}"/>
    <cellStyle name="Currency 2 5 2 2" xfId="41573" xr:uid="{00000000-0005-0000-0000-000020230000}"/>
    <cellStyle name="Currency 2 5 2 2 2" xfId="41987" xr:uid="{00000000-0005-0000-0000-000021230000}"/>
    <cellStyle name="Currency 2 5 2 2 3" xfId="42534" xr:uid="{00000000-0005-0000-0000-000022230000}"/>
    <cellStyle name="Currency 2 5 2 3" xfId="41988" xr:uid="{00000000-0005-0000-0000-000023230000}"/>
    <cellStyle name="Currency 2 5 2 3 2" xfId="41989" xr:uid="{00000000-0005-0000-0000-000024230000}"/>
    <cellStyle name="Currency 2 5 2 4" xfId="41990" xr:uid="{00000000-0005-0000-0000-000025230000}"/>
    <cellStyle name="Currency 2 5 2 5" xfId="42535" xr:uid="{00000000-0005-0000-0000-000026230000}"/>
    <cellStyle name="Currency 2 5 3" xfId="41345" xr:uid="{00000000-0005-0000-0000-000027230000}"/>
    <cellStyle name="Currency 2 5 3 2" xfId="41574" xr:uid="{00000000-0005-0000-0000-000028230000}"/>
    <cellStyle name="Currency 2 5 3 2 2" xfId="41991" xr:uid="{00000000-0005-0000-0000-000029230000}"/>
    <cellStyle name="Currency 2 5 3 2 3" xfId="42536" xr:uid="{00000000-0005-0000-0000-00002A230000}"/>
    <cellStyle name="Currency 2 5 3 3" xfId="41992" xr:uid="{00000000-0005-0000-0000-00002B230000}"/>
    <cellStyle name="Currency 2 5 3 3 2" xfId="41993" xr:uid="{00000000-0005-0000-0000-00002C230000}"/>
    <cellStyle name="Currency 2 5 3 4" xfId="41994" xr:uid="{00000000-0005-0000-0000-00002D230000}"/>
    <cellStyle name="Currency 2 5 4" xfId="41346" xr:uid="{00000000-0005-0000-0000-00002E230000}"/>
    <cellStyle name="Currency 2 5 4 2" xfId="41575" xr:uid="{00000000-0005-0000-0000-00002F230000}"/>
    <cellStyle name="Currency 2 5 4 2 2" xfId="41995" xr:uid="{00000000-0005-0000-0000-000030230000}"/>
    <cellStyle name="Currency 2 5 4 3" xfId="41996" xr:uid="{00000000-0005-0000-0000-000031230000}"/>
    <cellStyle name="Currency 2 5 4 3 2" xfId="41997" xr:uid="{00000000-0005-0000-0000-000032230000}"/>
    <cellStyle name="Currency 2 5 4 4" xfId="41998" xr:uid="{00000000-0005-0000-0000-000033230000}"/>
    <cellStyle name="Currency 2 5 5" xfId="41347" xr:uid="{00000000-0005-0000-0000-000034230000}"/>
    <cellStyle name="Currency 2 5 5 2" xfId="41576" xr:uid="{00000000-0005-0000-0000-000035230000}"/>
    <cellStyle name="Currency 2 5 5 2 2" xfId="41999" xr:uid="{00000000-0005-0000-0000-000036230000}"/>
    <cellStyle name="Currency 2 5 5 3" xfId="42000" xr:uid="{00000000-0005-0000-0000-000037230000}"/>
    <cellStyle name="Currency 2 5 5 3 2" xfId="42001" xr:uid="{00000000-0005-0000-0000-000038230000}"/>
    <cellStyle name="Currency 2 5 5 4" xfId="42002" xr:uid="{00000000-0005-0000-0000-000039230000}"/>
    <cellStyle name="Currency 2 5 6" xfId="41577" xr:uid="{00000000-0005-0000-0000-00003A230000}"/>
    <cellStyle name="Currency 2 5 6 2" xfId="42003" xr:uid="{00000000-0005-0000-0000-00003B230000}"/>
    <cellStyle name="Currency 2 5 7" xfId="42004" xr:uid="{00000000-0005-0000-0000-00003C230000}"/>
    <cellStyle name="Currency 2 5 7 2" xfId="42005" xr:uid="{00000000-0005-0000-0000-00003D230000}"/>
    <cellStyle name="Currency 2 5 8" xfId="42006" xr:uid="{00000000-0005-0000-0000-00003E230000}"/>
    <cellStyle name="Currency 2 6" xfId="41348" xr:uid="{00000000-0005-0000-0000-00003F230000}"/>
    <cellStyle name="Currency 2 6 2" xfId="41578" xr:uid="{00000000-0005-0000-0000-000040230000}"/>
    <cellStyle name="Currency 2 6 2 2" xfId="42007" xr:uid="{00000000-0005-0000-0000-000041230000}"/>
    <cellStyle name="Currency 2 6 2 3" xfId="42537" xr:uid="{00000000-0005-0000-0000-000042230000}"/>
    <cellStyle name="Currency 2 6 3" xfId="42008" xr:uid="{00000000-0005-0000-0000-000043230000}"/>
    <cellStyle name="Currency 2 6 3 2" xfId="42009" xr:uid="{00000000-0005-0000-0000-000044230000}"/>
    <cellStyle name="Currency 2 6 4" xfId="42010" xr:uid="{00000000-0005-0000-0000-000045230000}"/>
    <cellStyle name="Currency 2 6 5" xfId="42538" xr:uid="{00000000-0005-0000-0000-000046230000}"/>
    <cellStyle name="Currency 2 7" xfId="41349" xr:uid="{00000000-0005-0000-0000-000047230000}"/>
    <cellStyle name="Currency 2 7 2" xfId="41579" xr:uid="{00000000-0005-0000-0000-000048230000}"/>
    <cellStyle name="Currency 2 7 2 2" xfId="42011" xr:uid="{00000000-0005-0000-0000-000049230000}"/>
    <cellStyle name="Currency 2 7 2 3" xfId="42539" xr:uid="{00000000-0005-0000-0000-00004A230000}"/>
    <cellStyle name="Currency 2 7 3" xfId="42012" xr:uid="{00000000-0005-0000-0000-00004B230000}"/>
    <cellStyle name="Currency 2 7 3 2" xfId="42013" xr:uid="{00000000-0005-0000-0000-00004C230000}"/>
    <cellStyle name="Currency 2 7 4" xfId="42014" xr:uid="{00000000-0005-0000-0000-00004D230000}"/>
    <cellStyle name="Currency 2 7 5" xfId="42540" xr:uid="{00000000-0005-0000-0000-00004E230000}"/>
    <cellStyle name="Currency 2 8" xfId="41350" xr:uid="{00000000-0005-0000-0000-00004F230000}"/>
    <cellStyle name="Currency 2 8 2" xfId="41580" xr:uid="{00000000-0005-0000-0000-000050230000}"/>
    <cellStyle name="Currency 2 8 2 2" xfId="42015" xr:uid="{00000000-0005-0000-0000-000051230000}"/>
    <cellStyle name="Currency 2 8 2 3" xfId="42541" xr:uid="{00000000-0005-0000-0000-000052230000}"/>
    <cellStyle name="Currency 2 8 3" xfId="42016" xr:uid="{00000000-0005-0000-0000-000053230000}"/>
    <cellStyle name="Currency 2 8 3 2" xfId="42017" xr:uid="{00000000-0005-0000-0000-000054230000}"/>
    <cellStyle name="Currency 2 8 4" xfId="42018" xr:uid="{00000000-0005-0000-0000-000055230000}"/>
    <cellStyle name="Currency 2 9" xfId="41351" xr:uid="{00000000-0005-0000-0000-000056230000}"/>
    <cellStyle name="Currency 2 9 2" xfId="41581" xr:uid="{00000000-0005-0000-0000-000057230000}"/>
    <cellStyle name="Currency 2 9 2 2" xfId="42019" xr:uid="{00000000-0005-0000-0000-000058230000}"/>
    <cellStyle name="Currency 2 9 3" xfId="42020" xr:uid="{00000000-0005-0000-0000-000059230000}"/>
    <cellStyle name="Currency 2 9 3 2" xfId="42021" xr:uid="{00000000-0005-0000-0000-00005A230000}"/>
    <cellStyle name="Currency 2 9 4" xfId="42022" xr:uid="{00000000-0005-0000-0000-00005B230000}"/>
    <cellStyle name="Currency 3" xfId="168" xr:uid="{00000000-0005-0000-0000-00005C230000}"/>
    <cellStyle name="Currency 3 2" xfId="412" xr:uid="{00000000-0005-0000-0000-00005D230000}"/>
    <cellStyle name="Currency 3 3" xfId="41218" xr:uid="{00000000-0005-0000-0000-00005E230000}"/>
    <cellStyle name="Currency 3 3 2" xfId="41352" xr:uid="{00000000-0005-0000-0000-00005F230000}"/>
    <cellStyle name="Currency 3 3 2 2" xfId="41582" xr:uid="{00000000-0005-0000-0000-000060230000}"/>
    <cellStyle name="Currency 3 3 2 2 2" xfId="42023" xr:uid="{00000000-0005-0000-0000-000061230000}"/>
    <cellStyle name="Currency 3 3 2 3" xfId="42024" xr:uid="{00000000-0005-0000-0000-000062230000}"/>
    <cellStyle name="Currency 3 3 2 3 2" xfId="42025" xr:uid="{00000000-0005-0000-0000-000063230000}"/>
    <cellStyle name="Currency 3 3 2 4" xfId="42026" xr:uid="{00000000-0005-0000-0000-000064230000}"/>
    <cellStyle name="Currency 3 3 3" xfId="41583" xr:uid="{00000000-0005-0000-0000-000065230000}"/>
    <cellStyle name="Currency 3 3 3 2" xfId="42027" xr:uid="{00000000-0005-0000-0000-000066230000}"/>
    <cellStyle name="Currency 3 3 4" xfId="42028" xr:uid="{00000000-0005-0000-0000-000067230000}"/>
    <cellStyle name="Currency 3 3 4 2" xfId="42029" xr:uid="{00000000-0005-0000-0000-000068230000}"/>
    <cellStyle name="Currency 3 3 5" xfId="42030" xr:uid="{00000000-0005-0000-0000-000069230000}"/>
    <cellStyle name="Currency 3 3 6" xfId="42644" xr:uid="{6575CEA8-CD3A-48EE-B12E-C35A284A26B8}"/>
    <cellStyle name="Currency 3 4" xfId="41353" xr:uid="{00000000-0005-0000-0000-00006A230000}"/>
    <cellStyle name="Currency 3 4 2" xfId="41354" xr:uid="{00000000-0005-0000-0000-00006B230000}"/>
    <cellStyle name="Currency 3 4 2 2" xfId="41584" xr:uid="{00000000-0005-0000-0000-00006C230000}"/>
    <cellStyle name="Currency 3 4 2 2 2" xfId="42031" xr:uid="{00000000-0005-0000-0000-00006D230000}"/>
    <cellStyle name="Currency 3 4 2 2 3" xfId="42542" xr:uid="{00000000-0005-0000-0000-00006E230000}"/>
    <cellStyle name="Currency 3 4 2 3" xfId="42032" xr:uid="{00000000-0005-0000-0000-00006F230000}"/>
    <cellStyle name="Currency 3 4 2 3 2" xfId="42033" xr:uid="{00000000-0005-0000-0000-000070230000}"/>
    <cellStyle name="Currency 3 4 2 4" xfId="42034" xr:uid="{00000000-0005-0000-0000-000071230000}"/>
    <cellStyle name="Currency 3 4 3" xfId="41355" xr:uid="{00000000-0005-0000-0000-000072230000}"/>
    <cellStyle name="Currency 3 4 3 2" xfId="41585" xr:uid="{00000000-0005-0000-0000-000073230000}"/>
    <cellStyle name="Currency 3 4 3 2 2" xfId="42035" xr:uid="{00000000-0005-0000-0000-000074230000}"/>
    <cellStyle name="Currency 3 4 3 2 3" xfId="42543" xr:uid="{00000000-0005-0000-0000-000075230000}"/>
    <cellStyle name="Currency 3 4 3 3" xfId="42036" xr:uid="{00000000-0005-0000-0000-000076230000}"/>
    <cellStyle name="Currency 3 4 3 3 2" xfId="42037" xr:uid="{00000000-0005-0000-0000-000077230000}"/>
    <cellStyle name="Currency 3 4 3 4" xfId="42038" xr:uid="{00000000-0005-0000-0000-000078230000}"/>
    <cellStyle name="Currency 3 4 4" xfId="41586" xr:uid="{00000000-0005-0000-0000-000079230000}"/>
    <cellStyle name="Currency 3 4 4 2" xfId="42039" xr:uid="{00000000-0005-0000-0000-00007A230000}"/>
    <cellStyle name="Currency 3 4 4 3" xfId="42544" xr:uid="{00000000-0005-0000-0000-00007B230000}"/>
    <cellStyle name="Currency 3 4 5" xfId="42040" xr:uid="{00000000-0005-0000-0000-00007C230000}"/>
    <cellStyle name="Currency 3 4 5 2" xfId="42041" xr:uid="{00000000-0005-0000-0000-00007D230000}"/>
    <cellStyle name="Currency 3 4 6" xfId="42042" xr:uid="{00000000-0005-0000-0000-00007E230000}"/>
    <cellStyle name="Currency 3 4 7" xfId="42545" xr:uid="{00000000-0005-0000-0000-00007F230000}"/>
    <cellStyle name="Currency 3 5" xfId="41356" xr:uid="{00000000-0005-0000-0000-000080230000}"/>
    <cellStyle name="Currency 3 5 2" xfId="41587" xr:uid="{00000000-0005-0000-0000-000081230000}"/>
    <cellStyle name="Currency 3 5 2 2" xfId="42043" xr:uid="{00000000-0005-0000-0000-000082230000}"/>
    <cellStyle name="Currency 3 5 3" xfId="42044" xr:uid="{00000000-0005-0000-0000-000083230000}"/>
    <cellStyle name="Currency 3 5 3 2" xfId="42045" xr:uid="{00000000-0005-0000-0000-000084230000}"/>
    <cellStyle name="Currency 3 5 4" xfId="42046" xr:uid="{00000000-0005-0000-0000-000085230000}"/>
    <cellStyle name="Currency 3 6" xfId="41357" xr:uid="{00000000-0005-0000-0000-000086230000}"/>
    <cellStyle name="Currency 3 6 2" xfId="42047" xr:uid="{00000000-0005-0000-0000-000087230000}"/>
    <cellStyle name="Currency 3 6 3" xfId="42546" xr:uid="{00000000-0005-0000-0000-000088230000}"/>
    <cellStyle name="Currency 3 7" xfId="42048" xr:uid="{00000000-0005-0000-0000-000089230000}"/>
    <cellStyle name="Currency 3 7 2" xfId="42049" xr:uid="{00000000-0005-0000-0000-00008A230000}"/>
    <cellStyle name="Currency 3 8" xfId="42050" xr:uid="{00000000-0005-0000-0000-00008B230000}"/>
    <cellStyle name="Currency 3 8 2" xfId="42051" xr:uid="{00000000-0005-0000-0000-00008C230000}"/>
    <cellStyle name="Currency 3 9" xfId="42052" xr:uid="{00000000-0005-0000-0000-00008D230000}"/>
    <cellStyle name="Currency 4" xfId="202" xr:uid="{00000000-0005-0000-0000-00008E230000}"/>
    <cellStyle name="Currency 4 2" xfId="419" xr:uid="{00000000-0005-0000-0000-00008F230000}"/>
    <cellStyle name="Currency 4 2 2" xfId="642" xr:uid="{00000000-0005-0000-0000-000090230000}"/>
    <cellStyle name="Currency 4 2 2 2" xfId="11694" xr:uid="{00000000-0005-0000-0000-000091230000}"/>
    <cellStyle name="Currency 4 2 2 2 2" xfId="41358" xr:uid="{00000000-0005-0000-0000-000092230000}"/>
    <cellStyle name="Currency 4 2 2 2 2 2" xfId="42053" xr:uid="{00000000-0005-0000-0000-000093230000}"/>
    <cellStyle name="Currency 4 2 2 2 2 3" xfId="42547" xr:uid="{00000000-0005-0000-0000-000094230000}"/>
    <cellStyle name="Currency 4 2 2 2 3" xfId="42054" xr:uid="{00000000-0005-0000-0000-000095230000}"/>
    <cellStyle name="Currency 4 2 2 2 3 2" xfId="42055" xr:uid="{00000000-0005-0000-0000-000096230000}"/>
    <cellStyle name="Currency 4 2 2 2 4" xfId="42056" xr:uid="{00000000-0005-0000-0000-000097230000}"/>
    <cellStyle name="Currency 4 2 2 3" xfId="41359" xr:uid="{00000000-0005-0000-0000-000098230000}"/>
    <cellStyle name="Currency 4 2 2 3 2" xfId="41588" xr:uid="{00000000-0005-0000-0000-000099230000}"/>
    <cellStyle name="Currency 4 2 2 3 2 2" xfId="42057" xr:uid="{00000000-0005-0000-0000-00009A230000}"/>
    <cellStyle name="Currency 4 2 2 3 2 3" xfId="42548" xr:uid="{00000000-0005-0000-0000-00009B230000}"/>
    <cellStyle name="Currency 4 2 2 3 3" xfId="42058" xr:uid="{00000000-0005-0000-0000-00009C230000}"/>
    <cellStyle name="Currency 4 2 2 3 3 2" xfId="42059" xr:uid="{00000000-0005-0000-0000-00009D230000}"/>
    <cellStyle name="Currency 4 2 2 3 4" xfId="42060" xr:uid="{00000000-0005-0000-0000-00009E230000}"/>
    <cellStyle name="Currency 4 2 2 4" xfId="41360" xr:uid="{00000000-0005-0000-0000-00009F230000}"/>
    <cellStyle name="Currency 4 2 2 4 2" xfId="42061" xr:uid="{00000000-0005-0000-0000-0000A0230000}"/>
    <cellStyle name="Currency 4 2 2 4 3" xfId="42549" xr:uid="{00000000-0005-0000-0000-0000A1230000}"/>
    <cellStyle name="Currency 4 2 2 5" xfId="42062" xr:uid="{00000000-0005-0000-0000-0000A2230000}"/>
    <cellStyle name="Currency 4 2 2 5 2" xfId="42063" xr:uid="{00000000-0005-0000-0000-0000A3230000}"/>
    <cellStyle name="Currency 4 2 2 6" xfId="42064" xr:uid="{00000000-0005-0000-0000-0000A4230000}"/>
    <cellStyle name="Currency 4 2 3" xfId="520" xr:uid="{00000000-0005-0000-0000-0000A5230000}"/>
    <cellStyle name="Currency 4 2 3 2" xfId="11594" xr:uid="{00000000-0005-0000-0000-0000A6230000}"/>
    <cellStyle name="Currency 4 2 3 2 2" xfId="42065" xr:uid="{00000000-0005-0000-0000-0000A7230000}"/>
    <cellStyle name="Currency 4 2 3 2 3" xfId="42550" xr:uid="{00000000-0005-0000-0000-0000A8230000}"/>
    <cellStyle name="Currency 4 2 3 3" xfId="41361" xr:uid="{00000000-0005-0000-0000-0000A9230000}"/>
    <cellStyle name="Currency 4 2 3 3 2" xfId="42066" xr:uid="{00000000-0005-0000-0000-0000AA230000}"/>
    <cellStyle name="Currency 4 2 3 4" xfId="42067" xr:uid="{00000000-0005-0000-0000-0000AB230000}"/>
    <cellStyle name="Currency 4 2 4" xfId="11546" xr:uid="{00000000-0005-0000-0000-0000AC230000}"/>
    <cellStyle name="Currency 4 2 4 2" xfId="41362" xr:uid="{00000000-0005-0000-0000-0000AD230000}"/>
    <cellStyle name="Currency 4 2 4 2 2" xfId="42068" xr:uid="{00000000-0005-0000-0000-0000AE230000}"/>
    <cellStyle name="Currency 4 2 4 2 3" xfId="42551" xr:uid="{00000000-0005-0000-0000-0000AF230000}"/>
    <cellStyle name="Currency 4 2 4 3" xfId="42069" xr:uid="{00000000-0005-0000-0000-0000B0230000}"/>
    <cellStyle name="Currency 4 2 4 3 2" xfId="42070" xr:uid="{00000000-0005-0000-0000-0000B1230000}"/>
    <cellStyle name="Currency 4 2 4 4" xfId="42071" xr:uid="{00000000-0005-0000-0000-0000B2230000}"/>
    <cellStyle name="Currency 4 2 5" xfId="41363" xr:uid="{00000000-0005-0000-0000-0000B3230000}"/>
    <cellStyle name="Currency 4 2 5 2" xfId="42072" xr:uid="{00000000-0005-0000-0000-0000B4230000}"/>
    <cellStyle name="Currency 4 2 5 3" xfId="42552" xr:uid="{00000000-0005-0000-0000-0000B5230000}"/>
    <cellStyle name="Currency 4 2 6" xfId="42073" xr:uid="{00000000-0005-0000-0000-0000B6230000}"/>
    <cellStyle name="Currency 4 2 6 2" xfId="42074" xr:uid="{00000000-0005-0000-0000-0000B7230000}"/>
    <cellStyle name="Currency 4 2 7" xfId="42075" xr:uid="{00000000-0005-0000-0000-0000B8230000}"/>
    <cellStyle name="Currency 4 3" xfId="597" xr:uid="{00000000-0005-0000-0000-0000B9230000}"/>
    <cellStyle name="Currency 4 3 2" xfId="11659" xr:uid="{00000000-0005-0000-0000-0000BA230000}"/>
    <cellStyle name="Currency 4 3 2 2" xfId="42076" xr:uid="{00000000-0005-0000-0000-0000BB230000}"/>
    <cellStyle name="Currency 4 3 3" xfId="41364" xr:uid="{00000000-0005-0000-0000-0000BC230000}"/>
    <cellStyle name="Currency 4 3 3 2" xfId="42077" xr:uid="{00000000-0005-0000-0000-0000BD230000}"/>
    <cellStyle name="Currency 4 3 4" xfId="42078" xr:uid="{00000000-0005-0000-0000-0000BE230000}"/>
    <cellStyle name="Currency 4 4" xfId="495" xr:uid="{00000000-0005-0000-0000-0000BF230000}"/>
    <cellStyle name="Currency 4 4 2" xfId="11574" xr:uid="{00000000-0005-0000-0000-0000C0230000}"/>
    <cellStyle name="Currency 4 5" xfId="11485" xr:uid="{00000000-0005-0000-0000-0000C1230000}"/>
    <cellStyle name="Currency 4 5 2" xfId="42079" xr:uid="{00000000-0005-0000-0000-0000C2230000}"/>
    <cellStyle name="Currency 4 6" xfId="41365" xr:uid="{00000000-0005-0000-0000-0000C3230000}"/>
    <cellStyle name="Currency 5" xfId="289" xr:uid="{00000000-0005-0000-0000-0000C4230000}"/>
    <cellStyle name="Currency 5 2" xfId="41366" xr:uid="{00000000-0005-0000-0000-0000C5230000}"/>
    <cellStyle name="Currency 6" xfId="290" xr:uid="{00000000-0005-0000-0000-0000C6230000}"/>
    <cellStyle name="Currency 6 2" xfId="41367" xr:uid="{00000000-0005-0000-0000-0000C7230000}"/>
    <cellStyle name="Currency 7" xfId="291" xr:uid="{00000000-0005-0000-0000-0000C8230000}"/>
    <cellStyle name="Currency 7 2" xfId="41368" xr:uid="{00000000-0005-0000-0000-0000C9230000}"/>
    <cellStyle name="Currency 8" xfId="331" xr:uid="{00000000-0005-0000-0000-0000CA230000}"/>
    <cellStyle name="Currency 8 2" xfId="41369" xr:uid="{00000000-0005-0000-0000-0000CB230000}"/>
    <cellStyle name="Currency 8 2 2" xfId="42080" xr:uid="{00000000-0005-0000-0000-0000CC230000}"/>
    <cellStyle name="Currency 8 3" xfId="42081" xr:uid="{00000000-0005-0000-0000-0000CD230000}"/>
    <cellStyle name="Currency 8 3 2" xfId="42082" xr:uid="{00000000-0005-0000-0000-0000CE230000}"/>
    <cellStyle name="Currency 8 4" xfId="42083" xr:uid="{00000000-0005-0000-0000-0000CF230000}"/>
    <cellStyle name="Currency 9" xfId="409" xr:uid="{00000000-0005-0000-0000-0000D0230000}"/>
    <cellStyle name="Currency 9 2" xfId="41370" xr:uid="{00000000-0005-0000-0000-0000D1230000}"/>
    <cellStyle name="Currency 9 2 2" xfId="42084" xr:uid="{00000000-0005-0000-0000-0000D2230000}"/>
    <cellStyle name="Currency 9 3" xfId="42085" xr:uid="{00000000-0005-0000-0000-0000D3230000}"/>
    <cellStyle name="Currency 9 3 2" xfId="42086" xr:uid="{00000000-0005-0000-0000-0000D4230000}"/>
    <cellStyle name="Currency 9 4" xfId="42087" xr:uid="{00000000-0005-0000-0000-0000D5230000}"/>
    <cellStyle name="Euro" xfId="194" xr:uid="{00000000-0005-0000-0000-0000D6230000}"/>
    <cellStyle name="Euro 2" xfId="416" xr:uid="{00000000-0005-0000-0000-0000D7230000}"/>
    <cellStyle name="Explanatory Text" xfId="81" builtinId="53" customBuiltin="1"/>
    <cellStyle name="Explanatory Text 2" xfId="82" xr:uid="{00000000-0005-0000-0000-0000D9230000}"/>
    <cellStyle name="Explanatory Text 3" xfId="292" xr:uid="{00000000-0005-0000-0000-0000DA230000}"/>
    <cellStyle name="Explanatory Text 4" xfId="478" xr:uid="{00000000-0005-0000-0000-0000DB230000}"/>
    <cellStyle name="Explanatory Text 5" xfId="11441" xr:uid="{00000000-0005-0000-0000-0000DC230000}"/>
    <cellStyle name="Good" xfId="83" builtinId="26" customBuiltin="1"/>
    <cellStyle name="Good 2" xfId="84" xr:uid="{00000000-0005-0000-0000-0000DE230000}"/>
    <cellStyle name="Good 3" xfId="293" xr:uid="{00000000-0005-0000-0000-0000DF230000}"/>
    <cellStyle name="Good 4" xfId="479" xr:uid="{00000000-0005-0000-0000-0000E0230000}"/>
    <cellStyle name="Good 5" xfId="11442" xr:uid="{00000000-0005-0000-0000-0000E1230000}"/>
    <cellStyle name="Header" xfId="85" xr:uid="{00000000-0005-0000-0000-0000E2230000}"/>
    <cellStyle name="Heading 1" xfId="86" builtinId="16" customBuiltin="1"/>
    <cellStyle name="Heading 1 2" xfId="87" xr:uid="{00000000-0005-0000-0000-0000E4230000}"/>
    <cellStyle name="Heading 1 2 2" xfId="186" xr:uid="{00000000-0005-0000-0000-0000E5230000}"/>
    <cellStyle name="Heading 1 3" xfId="294" xr:uid="{00000000-0005-0000-0000-0000E6230000}"/>
    <cellStyle name="Heading 1 4" xfId="295" xr:uid="{00000000-0005-0000-0000-0000E7230000}"/>
    <cellStyle name="Heading 1 5" xfId="480" xr:uid="{00000000-0005-0000-0000-0000E8230000}"/>
    <cellStyle name="Heading 1 6" xfId="11443" xr:uid="{00000000-0005-0000-0000-0000E9230000}"/>
    <cellStyle name="Heading 2" xfId="88" builtinId="17" customBuiltin="1"/>
    <cellStyle name="Heading 2 2" xfId="89" xr:uid="{00000000-0005-0000-0000-0000EB230000}"/>
    <cellStyle name="Heading 2 2 2" xfId="187" xr:uid="{00000000-0005-0000-0000-0000EC230000}"/>
    <cellStyle name="Heading 2 3" xfId="296" xr:uid="{00000000-0005-0000-0000-0000ED230000}"/>
    <cellStyle name="Heading 2 4" xfId="297" xr:uid="{00000000-0005-0000-0000-0000EE230000}"/>
    <cellStyle name="Heading 2 5" xfId="481" xr:uid="{00000000-0005-0000-0000-0000EF230000}"/>
    <cellStyle name="Heading 2 6" xfId="11444" xr:uid="{00000000-0005-0000-0000-0000F0230000}"/>
    <cellStyle name="Heading 3" xfId="90" builtinId="18" customBuiltin="1"/>
    <cellStyle name="Heading 3 2" xfId="91" xr:uid="{00000000-0005-0000-0000-0000F2230000}"/>
    <cellStyle name="Heading 3 2 2" xfId="188" xr:uid="{00000000-0005-0000-0000-0000F3230000}"/>
    <cellStyle name="Heading 3 3" xfId="298" xr:uid="{00000000-0005-0000-0000-0000F4230000}"/>
    <cellStyle name="Heading 3 4" xfId="299" xr:uid="{00000000-0005-0000-0000-0000F5230000}"/>
    <cellStyle name="Heading 3 5" xfId="482" xr:uid="{00000000-0005-0000-0000-0000F6230000}"/>
    <cellStyle name="Heading 3 6" xfId="11445" xr:uid="{00000000-0005-0000-0000-0000F7230000}"/>
    <cellStyle name="Heading 4" xfId="92" builtinId="19" customBuiltin="1"/>
    <cellStyle name="Heading 4 2" xfId="93" xr:uid="{00000000-0005-0000-0000-0000F9230000}"/>
    <cellStyle name="Heading 4 3" xfId="300" xr:uid="{00000000-0005-0000-0000-0000FA230000}"/>
    <cellStyle name="Heading 4 4" xfId="301" xr:uid="{00000000-0005-0000-0000-0000FB230000}"/>
    <cellStyle name="Heading 4 5" xfId="483" xr:uid="{00000000-0005-0000-0000-0000FC230000}"/>
    <cellStyle name="Heading 4 6" xfId="11446" xr:uid="{00000000-0005-0000-0000-0000FD230000}"/>
    <cellStyle name="heading1" xfId="41371" xr:uid="{00000000-0005-0000-0000-0000FE230000}"/>
    <cellStyle name="Hyperlink" xfId="42645" builtinId="8"/>
    <cellStyle name="Hyperlink 2" xfId="94" xr:uid="{00000000-0005-0000-0000-000000240000}"/>
    <cellStyle name="Hyperlink 2 2" xfId="41372" xr:uid="{00000000-0005-0000-0000-000001240000}"/>
    <cellStyle name="Hyperlink 2 3" xfId="41373" xr:uid="{00000000-0005-0000-0000-000002240000}"/>
    <cellStyle name="Hyperlink 3" xfId="41374" xr:uid="{00000000-0005-0000-0000-000003240000}"/>
    <cellStyle name="Input" xfId="95" builtinId="20" customBuiltin="1"/>
    <cellStyle name="Input 2" xfId="96" xr:uid="{00000000-0005-0000-0000-000005240000}"/>
    <cellStyle name="Input 2 10" xfId="550" xr:uid="{00000000-0005-0000-0000-000006240000}"/>
    <cellStyle name="Input 2 10 10" xfId="19560" xr:uid="{00000000-0005-0000-0000-000007240000}"/>
    <cellStyle name="Input 2 10 11" xfId="30405" xr:uid="{00000000-0005-0000-0000-000008240000}"/>
    <cellStyle name="Input 2 10 12" xfId="11624" xr:uid="{00000000-0005-0000-0000-000009240000}"/>
    <cellStyle name="Input 2 10 2" xfId="1156" xr:uid="{00000000-0005-0000-0000-00000A240000}"/>
    <cellStyle name="Input 2 10 2 2" xfId="4009" xr:uid="{00000000-0005-0000-0000-00000B240000}"/>
    <cellStyle name="Input 2 10 2 2 2" xfId="22981" xr:uid="{00000000-0005-0000-0000-00000C240000}"/>
    <cellStyle name="Input 2 10 2 2 3" xfId="33826" xr:uid="{00000000-0005-0000-0000-00000D240000}"/>
    <cellStyle name="Input 2 10 2 2 4" xfId="14101" xr:uid="{00000000-0005-0000-0000-00000E240000}"/>
    <cellStyle name="Input 2 10 2 3" xfId="6682" xr:uid="{00000000-0005-0000-0000-00000F240000}"/>
    <cellStyle name="Input 2 10 2 3 2" xfId="25654" xr:uid="{00000000-0005-0000-0000-000010240000}"/>
    <cellStyle name="Input 2 10 2 3 3" xfId="36499" xr:uid="{00000000-0005-0000-0000-000011240000}"/>
    <cellStyle name="Input 2 10 2 3 4" xfId="16016" xr:uid="{00000000-0005-0000-0000-000012240000}"/>
    <cellStyle name="Input 2 10 2 4" xfId="9341" xr:uid="{00000000-0005-0000-0000-000013240000}"/>
    <cellStyle name="Input 2 10 2 4 2" xfId="28313" xr:uid="{00000000-0005-0000-0000-000014240000}"/>
    <cellStyle name="Input 2 10 2 4 3" xfId="39158" xr:uid="{00000000-0005-0000-0000-000015240000}"/>
    <cellStyle name="Input 2 10 2 4 4" xfId="17920" xr:uid="{00000000-0005-0000-0000-000016240000}"/>
    <cellStyle name="Input 2 10 2 5" xfId="20137" xr:uid="{00000000-0005-0000-0000-000017240000}"/>
    <cellStyle name="Input 2 10 2 6" xfId="30982" xr:uid="{00000000-0005-0000-0000-000018240000}"/>
    <cellStyle name="Input 2 10 2 7" xfId="12066" xr:uid="{00000000-0005-0000-0000-000019240000}"/>
    <cellStyle name="Input 2 10 3" xfId="1553" xr:uid="{00000000-0005-0000-0000-00001A240000}"/>
    <cellStyle name="Input 2 10 3 2" xfId="4406" xr:uid="{00000000-0005-0000-0000-00001B240000}"/>
    <cellStyle name="Input 2 10 3 2 2" xfId="23378" xr:uid="{00000000-0005-0000-0000-00001C240000}"/>
    <cellStyle name="Input 2 10 3 2 3" xfId="34223" xr:uid="{00000000-0005-0000-0000-00001D240000}"/>
    <cellStyle name="Input 2 10 3 2 4" xfId="14387" xr:uid="{00000000-0005-0000-0000-00001E240000}"/>
    <cellStyle name="Input 2 10 3 3" xfId="7078" xr:uid="{00000000-0005-0000-0000-00001F240000}"/>
    <cellStyle name="Input 2 10 3 3 2" xfId="26050" xr:uid="{00000000-0005-0000-0000-000020240000}"/>
    <cellStyle name="Input 2 10 3 3 3" xfId="36895" xr:uid="{00000000-0005-0000-0000-000021240000}"/>
    <cellStyle name="Input 2 10 3 3 4" xfId="16301" xr:uid="{00000000-0005-0000-0000-000022240000}"/>
    <cellStyle name="Input 2 10 3 4" xfId="9737" xr:uid="{00000000-0005-0000-0000-000023240000}"/>
    <cellStyle name="Input 2 10 3 4 2" xfId="28709" xr:uid="{00000000-0005-0000-0000-000024240000}"/>
    <cellStyle name="Input 2 10 3 4 3" xfId="39554" xr:uid="{00000000-0005-0000-0000-000025240000}"/>
    <cellStyle name="Input 2 10 3 4 4" xfId="18205" xr:uid="{00000000-0005-0000-0000-000026240000}"/>
    <cellStyle name="Input 2 10 3 5" xfId="20533" xr:uid="{00000000-0005-0000-0000-000027240000}"/>
    <cellStyle name="Input 2 10 3 6" xfId="31378" xr:uid="{00000000-0005-0000-0000-000028240000}"/>
    <cellStyle name="Input 2 10 3 7" xfId="12351" xr:uid="{00000000-0005-0000-0000-000029240000}"/>
    <cellStyle name="Input 2 10 4" xfId="1957" xr:uid="{00000000-0005-0000-0000-00002A240000}"/>
    <cellStyle name="Input 2 10 4 2" xfId="4810" xr:uid="{00000000-0005-0000-0000-00002B240000}"/>
    <cellStyle name="Input 2 10 4 2 2" xfId="23782" xr:uid="{00000000-0005-0000-0000-00002C240000}"/>
    <cellStyle name="Input 2 10 4 2 3" xfId="34627" xr:uid="{00000000-0005-0000-0000-00002D240000}"/>
    <cellStyle name="Input 2 10 4 2 4" xfId="14675" xr:uid="{00000000-0005-0000-0000-00002E240000}"/>
    <cellStyle name="Input 2 10 4 3" xfId="7482" xr:uid="{00000000-0005-0000-0000-00002F240000}"/>
    <cellStyle name="Input 2 10 4 3 2" xfId="26454" xr:uid="{00000000-0005-0000-0000-000030240000}"/>
    <cellStyle name="Input 2 10 4 3 3" xfId="37299" xr:uid="{00000000-0005-0000-0000-000031240000}"/>
    <cellStyle name="Input 2 10 4 3 4" xfId="16589" xr:uid="{00000000-0005-0000-0000-000032240000}"/>
    <cellStyle name="Input 2 10 4 4" xfId="10141" xr:uid="{00000000-0005-0000-0000-000033240000}"/>
    <cellStyle name="Input 2 10 4 4 2" xfId="29113" xr:uid="{00000000-0005-0000-0000-000034240000}"/>
    <cellStyle name="Input 2 10 4 4 3" xfId="39958" xr:uid="{00000000-0005-0000-0000-000035240000}"/>
    <cellStyle name="Input 2 10 4 4 4" xfId="18493" xr:uid="{00000000-0005-0000-0000-000036240000}"/>
    <cellStyle name="Input 2 10 4 5" xfId="20937" xr:uid="{00000000-0005-0000-0000-000037240000}"/>
    <cellStyle name="Input 2 10 4 6" xfId="31782" xr:uid="{00000000-0005-0000-0000-000038240000}"/>
    <cellStyle name="Input 2 10 4 7" xfId="12639" xr:uid="{00000000-0005-0000-0000-000039240000}"/>
    <cellStyle name="Input 2 10 5" xfId="2349" xr:uid="{00000000-0005-0000-0000-00003A240000}"/>
    <cellStyle name="Input 2 10 5 2" xfId="5202" xr:uid="{00000000-0005-0000-0000-00003B240000}"/>
    <cellStyle name="Input 2 10 5 2 2" xfId="24174" xr:uid="{00000000-0005-0000-0000-00003C240000}"/>
    <cellStyle name="Input 2 10 5 2 3" xfId="35019" xr:uid="{00000000-0005-0000-0000-00003D240000}"/>
    <cellStyle name="Input 2 10 5 2 4" xfId="14956" xr:uid="{00000000-0005-0000-0000-00003E240000}"/>
    <cellStyle name="Input 2 10 5 3" xfId="7873" xr:uid="{00000000-0005-0000-0000-00003F240000}"/>
    <cellStyle name="Input 2 10 5 3 2" xfId="26845" xr:uid="{00000000-0005-0000-0000-000040240000}"/>
    <cellStyle name="Input 2 10 5 3 3" xfId="37690" xr:uid="{00000000-0005-0000-0000-000041240000}"/>
    <cellStyle name="Input 2 10 5 3 4" xfId="16869" xr:uid="{00000000-0005-0000-0000-000042240000}"/>
    <cellStyle name="Input 2 10 5 4" xfId="10532" xr:uid="{00000000-0005-0000-0000-000043240000}"/>
    <cellStyle name="Input 2 10 5 4 2" xfId="29504" xr:uid="{00000000-0005-0000-0000-000044240000}"/>
    <cellStyle name="Input 2 10 5 4 3" xfId="40349" xr:uid="{00000000-0005-0000-0000-000045240000}"/>
    <cellStyle name="Input 2 10 5 4 4" xfId="18773" xr:uid="{00000000-0005-0000-0000-000046240000}"/>
    <cellStyle name="Input 2 10 5 5" xfId="21328" xr:uid="{00000000-0005-0000-0000-000047240000}"/>
    <cellStyle name="Input 2 10 5 6" xfId="32173" xr:uid="{00000000-0005-0000-0000-000048240000}"/>
    <cellStyle name="Input 2 10 5 7" xfId="12919" xr:uid="{00000000-0005-0000-0000-000049240000}"/>
    <cellStyle name="Input 2 10 6" xfId="2738" xr:uid="{00000000-0005-0000-0000-00004A240000}"/>
    <cellStyle name="Input 2 10 6 2" xfId="5590" xr:uid="{00000000-0005-0000-0000-00004B240000}"/>
    <cellStyle name="Input 2 10 6 2 2" xfId="24562" xr:uid="{00000000-0005-0000-0000-00004C240000}"/>
    <cellStyle name="Input 2 10 6 2 3" xfId="35407" xr:uid="{00000000-0005-0000-0000-00004D240000}"/>
    <cellStyle name="Input 2 10 6 2 4" xfId="15234" xr:uid="{00000000-0005-0000-0000-00004E240000}"/>
    <cellStyle name="Input 2 10 6 3" xfId="8261" xr:uid="{00000000-0005-0000-0000-00004F240000}"/>
    <cellStyle name="Input 2 10 6 3 2" xfId="27233" xr:uid="{00000000-0005-0000-0000-000050240000}"/>
    <cellStyle name="Input 2 10 6 3 3" xfId="38078" xr:uid="{00000000-0005-0000-0000-000051240000}"/>
    <cellStyle name="Input 2 10 6 3 4" xfId="17147" xr:uid="{00000000-0005-0000-0000-000052240000}"/>
    <cellStyle name="Input 2 10 6 4" xfId="10920" xr:uid="{00000000-0005-0000-0000-000053240000}"/>
    <cellStyle name="Input 2 10 6 4 2" xfId="29892" xr:uid="{00000000-0005-0000-0000-000054240000}"/>
    <cellStyle name="Input 2 10 6 4 3" xfId="40737" xr:uid="{00000000-0005-0000-0000-000055240000}"/>
    <cellStyle name="Input 2 10 6 4 4" xfId="19051" xr:uid="{00000000-0005-0000-0000-000056240000}"/>
    <cellStyle name="Input 2 10 6 5" xfId="21716" xr:uid="{00000000-0005-0000-0000-000057240000}"/>
    <cellStyle name="Input 2 10 6 6" xfId="32561" xr:uid="{00000000-0005-0000-0000-000058240000}"/>
    <cellStyle name="Input 2 10 6 7" xfId="13197" xr:uid="{00000000-0005-0000-0000-000059240000}"/>
    <cellStyle name="Input 2 10 7" xfId="3429" xr:uid="{00000000-0005-0000-0000-00005A240000}"/>
    <cellStyle name="Input 2 10 7 2" xfId="22401" xr:uid="{00000000-0005-0000-0000-00005B240000}"/>
    <cellStyle name="Input 2 10 7 3" xfId="33246" xr:uid="{00000000-0005-0000-0000-00005C240000}"/>
    <cellStyle name="Input 2 10 7 4" xfId="13679" xr:uid="{00000000-0005-0000-0000-00005D240000}"/>
    <cellStyle name="Input 2 10 8" xfId="6105" xr:uid="{00000000-0005-0000-0000-00005E240000}"/>
    <cellStyle name="Input 2 10 8 2" xfId="25077" xr:uid="{00000000-0005-0000-0000-00005F240000}"/>
    <cellStyle name="Input 2 10 8 3" xfId="35922" xr:uid="{00000000-0005-0000-0000-000060240000}"/>
    <cellStyle name="Input 2 10 8 4" xfId="15596" xr:uid="{00000000-0005-0000-0000-000061240000}"/>
    <cellStyle name="Input 2 10 9" xfId="8764" xr:uid="{00000000-0005-0000-0000-000062240000}"/>
    <cellStyle name="Input 2 10 9 2" xfId="27736" xr:uid="{00000000-0005-0000-0000-000063240000}"/>
    <cellStyle name="Input 2 10 9 3" xfId="38581" xr:uid="{00000000-0005-0000-0000-000064240000}"/>
    <cellStyle name="Input 2 10 9 4" xfId="17500" xr:uid="{00000000-0005-0000-0000-000065240000}"/>
    <cellStyle name="Input 2 11" xfId="11448" xr:uid="{00000000-0005-0000-0000-000066240000}"/>
    <cellStyle name="Input 2 2" xfId="97" xr:uid="{00000000-0005-0000-0000-000067240000}"/>
    <cellStyle name="Input 2 2 2" xfId="367" xr:uid="{00000000-0005-0000-0000-000068240000}"/>
    <cellStyle name="Input 2 2 2 10" xfId="1039" xr:uid="{00000000-0005-0000-0000-000069240000}"/>
    <cellStyle name="Input 2 2 2 10 2" xfId="3892" xr:uid="{00000000-0005-0000-0000-00006A240000}"/>
    <cellStyle name="Input 2 2 2 10 2 2" xfId="22864" xr:uid="{00000000-0005-0000-0000-00006B240000}"/>
    <cellStyle name="Input 2 2 2 10 2 3" xfId="33709" xr:uid="{00000000-0005-0000-0000-00006C240000}"/>
    <cellStyle name="Input 2 2 2 10 2 4" xfId="14009" xr:uid="{00000000-0005-0000-0000-00006D240000}"/>
    <cellStyle name="Input 2 2 2 10 3" xfId="6566" xr:uid="{00000000-0005-0000-0000-00006E240000}"/>
    <cellStyle name="Input 2 2 2 10 3 2" xfId="25538" xr:uid="{00000000-0005-0000-0000-00006F240000}"/>
    <cellStyle name="Input 2 2 2 10 3 3" xfId="36383" xr:uid="{00000000-0005-0000-0000-000070240000}"/>
    <cellStyle name="Input 2 2 2 10 3 4" xfId="15925" xr:uid="{00000000-0005-0000-0000-000071240000}"/>
    <cellStyle name="Input 2 2 2 10 4" xfId="9225" xr:uid="{00000000-0005-0000-0000-000072240000}"/>
    <cellStyle name="Input 2 2 2 10 4 2" xfId="28197" xr:uid="{00000000-0005-0000-0000-000073240000}"/>
    <cellStyle name="Input 2 2 2 10 4 3" xfId="39042" xr:uid="{00000000-0005-0000-0000-000074240000}"/>
    <cellStyle name="Input 2 2 2 10 4 4" xfId="17829" xr:uid="{00000000-0005-0000-0000-000075240000}"/>
    <cellStyle name="Input 2 2 2 10 5" xfId="20021" xr:uid="{00000000-0005-0000-0000-000076240000}"/>
    <cellStyle name="Input 2 2 2 10 6" xfId="30866" xr:uid="{00000000-0005-0000-0000-000077240000}"/>
    <cellStyle name="Input 2 2 2 10 7" xfId="11975" xr:uid="{00000000-0005-0000-0000-000078240000}"/>
    <cellStyle name="Input 2 2 2 11" xfId="947" xr:uid="{00000000-0005-0000-0000-000079240000}"/>
    <cellStyle name="Input 2 2 2 11 2" xfId="3800" xr:uid="{00000000-0005-0000-0000-00007A240000}"/>
    <cellStyle name="Input 2 2 2 11 2 2" xfId="22772" xr:uid="{00000000-0005-0000-0000-00007B240000}"/>
    <cellStyle name="Input 2 2 2 11 2 3" xfId="33617" xr:uid="{00000000-0005-0000-0000-00007C240000}"/>
    <cellStyle name="Input 2 2 2 11 2 4" xfId="13945" xr:uid="{00000000-0005-0000-0000-00007D240000}"/>
    <cellStyle name="Input 2 2 2 11 3" xfId="6475" xr:uid="{00000000-0005-0000-0000-00007E240000}"/>
    <cellStyle name="Input 2 2 2 11 3 2" xfId="25447" xr:uid="{00000000-0005-0000-0000-00007F240000}"/>
    <cellStyle name="Input 2 2 2 11 3 3" xfId="36292" xr:uid="{00000000-0005-0000-0000-000080240000}"/>
    <cellStyle name="Input 2 2 2 11 3 4" xfId="15861" xr:uid="{00000000-0005-0000-0000-000081240000}"/>
    <cellStyle name="Input 2 2 2 11 4" xfId="9134" xr:uid="{00000000-0005-0000-0000-000082240000}"/>
    <cellStyle name="Input 2 2 2 11 4 2" xfId="28106" xr:uid="{00000000-0005-0000-0000-000083240000}"/>
    <cellStyle name="Input 2 2 2 11 4 3" xfId="38951" xr:uid="{00000000-0005-0000-0000-000084240000}"/>
    <cellStyle name="Input 2 2 2 11 4 4" xfId="17765" xr:uid="{00000000-0005-0000-0000-000085240000}"/>
    <cellStyle name="Input 2 2 2 11 5" xfId="19930" xr:uid="{00000000-0005-0000-0000-000086240000}"/>
    <cellStyle name="Input 2 2 2 11 6" xfId="30775" xr:uid="{00000000-0005-0000-0000-000087240000}"/>
    <cellStyle name="Input 2 2 2 11 7" xfId="11911" xr:uid="{00000000-0005-0000-0000-000088240000}"/>
    <cellStyle name="Input 2 2 2 12" xfId="3103" xr:uid="{00000000-0005-0000-0000-000089240000}"/>
    <cellStyle name="Input 2 2 2 12 2" xfId="5954" xr:uid="{00000000-0005-0000-0000-00008A240000}"/>
    <cellStyle name="Input 2 2 2 12 2 2" xfId="24926" xr:uid="{00000000-0005-0000-0000-00008B240000}"/>
    <cellStyle name="Input 2 2 2 12 2 3" xfId="35771" xr:uid="{00000000-0005-0000-0000-00008C240000}"/>
    <cellStyle name="Input 2 2 2 12 2 4" xfId="15489" xr:uid="{00000000-0005-0000-0000-00008D240000}"/>
    <cellStyle name="Input 2 2 2 12 3" xfId="8625" xr:uid="{00000000-0005-0000-0000-00008E240000}"/>
    <cellStyle name="Input 2 2 2 12 3 2" xfId="27597" xr:uid="{00000000-0005-0000-0000-00008F240000}"/>
    <cellStyle name="Input 2 2 2 12 3 3" xfId="38442" xr:uid="{00000000-0005-0000-0000-000090240000}"/>
    <cellStyle name="Input 2 2 2 12 3 4" xfId="17402" xr:uid="{00000000-0005-0000-0000-000091240000}"/>
    <cellStyle name="Input 2 2 2 12 4" xfId="11284" xr:uid="{00000000-0005-0000-0000-000092240000}"/>
    <cellStyle name="Input 2 2 2 12 4 2" xfId="30256" xr:uid="{00000000-0005-0000-0000-000093240000}"/>
    <cellStyle name="Input 2 2 2 12 4 3" xfId="41101" xr:uid="{00000000-0005-0000-0000-000094240000}"/>
    <cellStyle name="Input 2 2 2 12 4 4" xfId="19306" xr:uid="{00000000-0005-0000-0000-000095240000}"/>
    <cellStyle name="Input 2 2 2 12 5" xfId="22080" xr:uid="{00000000-0005-0000-0000-000096240000}"/>
    <cellStyle name="Input 2 2 2 12 6" xfId="32925" xr:uid="{00000000-0005-0000-0000-000097240000}"/>
    <cellStyle name="Input 2 2 2 12 7" xfId="13452" xr:uid="{00000000-0005-0000-0000-000098240000}"/>
    <cellStyle name="Input 2 2 2 13" xfId="3160" xr:uid="{00000000-0005-0000-0000-000099240000}"/>
    <cellStyle name="Input 2 2 2 13 2" xfId="6011" xr:uid="{00000000-0005-0000-0000-00009A240000}"/>
    <cellStyle name="Input 2 2 2 13 2 2" xfId="24983" xr:uid="{00000000-0005-0000-0000-00009B240000}"/>
    <cellStyle name="Input 2 2 2 13 2 3" xfId="35828" xr:uid="{00000000-0005-0000-0000-00009C240000}"/>
    <cellStyle name="Input 2 2 2 13 2 4" xfId="15526" xr:uid="{00000000-0005-0000-0000-00009D240000}"/>
    <cellStyle name="Input 2 2 2 13 3" xfId="8682" xr:uid="{00000000-0005-0000-0000-00009E240000}"/>
    <cellStyle name="Input 2 2 2 13 3 2" xfId="27654" xr:uid="{00000000-0005-0000-0000-00009F240000}"/>
    <cellStyle name="Input 2 2 2 13 3 3" xfId="38499" xr:uid="{00000000-0005-0000-0000-0000A0240000}"/>
    <cellStyle name="Input 2 2 2 13 3 4" xfId="17439" xr:uid="{00000000-0005-0000-0000-0000A1240000}"/>
    <cellStyle name="Input 2 2 2 13 4" xfId="11341" xr:uid="{00000000-0005-0000-0000-0000A2240000}"/>
    <cellStyle name="Input 2 2 2 13 4 2" xfId="30313" xr:uid="{00000000-0005-0000-0000-0000A3240000}"/>
    <cellStyle name="Input 2 2 2 13 4 3" xfId="41158" xr:uid="{00000000-0005-0000-0000-0000A4240000}"/>
    <cellStyle name="Input 2 2 2 13 4 4" xfId="19343" xr:uid="{00000000-0005-0000-0000-0000A5240000}"/>
    <cellStyle name="Input 2 2 2 13 5" xfId="22137" xr:uid="{00000000-0005-0000-0000-0000A6240000}"/>
    <cellStyle name="Input 2 2 2 13 6" xfId="32982" xr:uid="{00000000-0005-0000-0000-0000A7240000}"/>
    <cellStyle name="Input 2 2 2 13 7" xfId="13489" xr:uid="{00000000-0005-0000-0000-0000A8240000}"/>
    <cellStyle name="Input 2 2 2 14" xfId="3326" xr:uid="{00000000-0005-0000-0000-0000A9240000}"/>
    <cellStyle name="Input 2 2 2 14 2" xfId="22300" xr:uid="{00000000-0005-0000-0000-0000AA240000}"/>
    <cellStyle name="Input 2 2 2 14 3" xfId="33145" xr:uid="{00000000-0005-0000-0000-0000AB240000}"/>
    <cellStyle name="Input 2 2 2 14 4" xfId="13606" xr:uid="{00000000-0005-0000-0000-0000AC240000}"/>
    <cellStyle name="Input 2 2 2 15" xfId="3228" xr:uid="{00000000-0005-0000-0000-0000AD240000}"/>
    <cellStyle name="Input 2 2 2 15 2" xfId="22205" xr:uid="{00000000-0005-0000-0000-0000AE240000}"/>
    <cellStyle name="Input 2 2 2 15 3" xfId="33050" xr:uid="{00000000-0005-0000-0000-0000AF240000}"/>
    <cellStyle name="Input 2 2 2 15 4" xfId="13536" xr:uid="{00000000-0005-0000-0000-0000B0240000}"/>
    <cellStyle name="Input 2 2 2 16" xfId="3325" xr:uid="{00000000-0005-0000-0000-0000B1240000}"/>
    <cellStyle name="Input 2 2 2 16 2" xfId="22299" xr:uid="{00000000-0005-0000-0000-0000B2240000}"/>
    <cellStyle name="Input 2 2 2 16 3" xfId="33144" xr:uid="{00000000-0005-0000-0000-0000B3240000}"/>
    <cellStyle name="Input 2 2 2 16 4" xfId="13605" xr:uid="{00000000-0005-0000-0000-0000B4240000}"/>
    <cellStyle name="Input 2 2 2 17" xfId="19457" xr:uid="{00000000-0005-0000-0000-0000B5240000}"/>
    <cellStyle name="Input 2 2 2 18" xfId="19418" xr:uid="{00000000-0005-0000-0000-0000B6240000}"/>
    <cellStyle name="Input 2 2 2 19" xfId="11516" xr:uid="{00000000-0005-0000-0000-0000B7240000}"/>
    <cellStyle name="Input 2 2 2 2" xfId="668" xr:uid="{00000000-0005-0000-0000-0000B8240000}"/>
    <cellStyle name="Input 2 2 2 2 10" xfId="19653" xr:uid="{00000000-0005-0000-0000-0000B9240000}"/>
    <cellStyle name="Input 2 2 2 2 11" xfId="30498" xr:uid="{00000000-0005-0000-0000-0000BA240000}"/>
    <cellStyle name="Input 2 2 2 2 12" xfId="11720" xr:uid="{00000000-0005-0000-0000-0000BB240000}"/>
    <cellStyle name="Input 2 2 2 2 2" xfId="1255" xr:uid="{00000000-0005-0000-0000-0000BC240000}"/>
    <cellStyle name="Input 2 2 2 2 2 2" xfId="4108" xr:uid="{00000000-0005-0000-0000-0000BD240000}"/>
    <cellStyle name="Input 2 2 2 2 2 2 2" xfId="23080" xr:uid="{00000000-0005-0000-0000-0000BE240000}"/>
    <cellStyle name="Input 2 2 2 2 2 2 3" xfId="33925" xr:uid="{00000000-0005-0000-0000-0000BF240000}"/>
    <cellStyle name="Input 2 2 2 2 2 2 4" xfId="14181" xr:uid="{00000000-0005-0000-0000-0000C0240000}"/>
    <cellStyle name="Input 2 2 2 2 2 3" xfId="6781" xr:uid="{00000000-0005-0000-0000-0000C1240000}"/>
    <cellStyle name="Input 2 2 2 2 2 3 2" xfId="25753" xr:uid="{00000000-0005-0000-0000-0000C2240000}"/>
    <cellStyle name="Input 2 2 2 2 2 3 3" xfId="36598" xr:uid="{00000000-0005-0000-0000-0000C3240000}"/>
    <cellStyle name="Input 2 2 2 2 2 3 4" xfId="16096" xr:uid="{00000000-0005-0000-0000-0000C4240000}"/>
    <cellStyle name="Input 2 2 2 2 2 4" xfId="9440" xr:uid="{00000000-0005-0000-0000-0000C5240000}"/>
    <cellStyle name="Input 2 2 2 2 2 4 2" xfId="28412" xr:uid="{00000000-0005-0000-0000-0000C6240000}"/>
    <cellStyle name="Input 2 2 2 2 2 4 3" xfId="39257" xr:uid="{00000000-0005-0000-0000-0000C7240000}"/>
    <cellStyle name="Input 2 2 2 2 2 4 4" xfId="18000" xr:uid="{00000000-0005-0000-0000-0000C8240000}"/>
    <cellStyle name="Input 2 2 2 2 2 5" xfId="20236" xr:uid="{00000000-0005-0000-0000-0000C9240000}"/>
    <cellStyle name="Input 2 2 2 2 2 6" xfId="31081" xr:uid="{00000000-0005-0000-0000-0000CA240000}"/>
    <cellStyle name="Input 2 2 2 2 2 7" xfId="12146" xr:uid="{00000000-0005-0000-0000-0000CB240000}"/>
    <cellStyle name="Input 2 2 2 2 3" xfId="1654" xr:uid="{00000000-0005-0000-0000-0000CC240000}"/>
    <cellStyle name="Input 2 2 2 2 3 2" xfId="4507" xr:uid="{00000000-0005-0000-0000-0000CD240000}"/>
    <cellStyle name="Input 2 2 2 2 3 2 2" xfId="23479" xr:uid="{00000000-0005-0000-0000-0000CE240000}"/>
    <cellStyle name="Input 2 2 2 2 3 2 3" xfId="34324" xr:uid="{00000000-0005-0000-0000-0000CF240000}"/>
    <cellStyle name="Input 2 2 2 2 3 2 4" xfId="14468" xr:uid="{00000000-0005-0000-0000-0000D0240000}"/>
    <cellStyle name="Input 2 2 2 2 3 3" xfId="7179" xr:uid="{00000000-0005-0000-0000-0000D1240000}"/>
    <cellStyle name="Input 2 2 2 2 3 3 2" xfId="26151" xr:uid="{00000000-0005-0000-0000-0000D2240000}"/>
    <cellStyle name="Input 2 2 2 2 3 3 3" xfId="36996" xr:uid="{00000000-0005-0000-0000-0000D3240000}"/>
    <cellStyle name="Input 2 2 2 2 3 3 4" xfId="16382" xr:uid="{00000000-0005-0000-0000-0000D4240000}"/>
    <cellStyle name="Input 2 2 2 2 3 4" xfId="9838" xr:uid="{00000000-0005-0000-0000-0000D5240000}"/>
    <cellStyle name="Input 2 2 2 2 3 4 2" xfId="28810" xr:uid="{00000000-0005-0000-0000-0000D6240000}"/>
    <cellStyle name="Input 2 2 2 2 3 4 3" xfId="39655" xr:uid="{00000000-0005-0000-0000-0000D7240000}"/>
    <cellStyle name="Input 2 2 2 2 3 4 4" xfId="18286" xr:uid="{00000000-0005-0000-0000-0000D8240000}"/>
    <cellStyle name="Input 2 2 2 2 3 5" xfId="20634" xr:uid="{00000000-0005-0000-0000-0000D9240000}"/>
    <cellStyle name="Input 2 2 2 2 3 6" xfId="31479" xr:uid="{00000000-0005-0000-0000-0000DA240000}"/>
    <cellStyle name="Input 2 2 2 2 3 7" xfId="12432" xr:uid="{00000000-0005-0000-0000-0000DB240000}"/>
    <cellStyle name="Input 2 2 2 2 4" xfId="2058" xr:uid="{00000000-0005-0000-0000-0000DC240000}"/>
    <cellStyle name="Input 2 2 2 2 4 2" xfId="4911" xr:uid="{00000000-0005-0000-0000-0000DD240000}"/>
    <cellStyle name="Input 2 2 2 2 4 2 2" xfId="23883" xr:uid="{00000000-0005-0000-0000-0000DE240000}"/>
    <cellStyle name="Input 2 2 2 2 4 2 3" xfId="34728" xr:uid="{00000000-0005-0000-0000-0000DF240000}"/>
    <cellStyle name="Input 2 2 2 2 4 2 4" xfId="14755" xr:uid="{00000000-0005-0000-0000-0000E0240000}"/>
    <cellStyle name="Input 2 2 2 2 4 3" xfId="7582" xr:uid="{00000000-0005-0000-0000-0000E1240000}"/>
    <cellStyle name="Input 2 2 2 2 4 3 2" xfId="26554" xr:uid="{00000000-0005-0000-0000-0000E2240000}"/>
    <cellStyle name="Input 2 2 2 2 4 3 3" xfId="37399" xr:uid="{00000000-0005-0000-0000-0000E3240000}"/>
    <cellStyle name="Input 2 2 2 2 4 3 4" xfId="16668" xr:uid="{00000000-0005-0000-0000-0000E4240000}"/>
    <cellStyle name="Input 2 2 2 2 4 4" xfId="10241" xr:uid="{00000000-0005-0000-0000-0000E5240000}"/>
    <cellStyle name="Input 2 2 2 2 4 4 2" xfId="29213" xr:uid="{00000000-0005-0000-0000-0000E6240000}"/>
    <cellStyle name="Input 2 2 2 2 4 4 3" xfId="40058" xr:uid="{00000000-0005-0000-0000-0000E7240000}"/>
    <cellStyle name="Input 2 2 2 2 4 4 4" xfId="18572" xr:uid="{00000000-0005-0000-0000-0000E8240000}"/>
    <cellStyle name="Input 2 2 2 2 4 5" xfId="21037" xr:uid="{00000000-0005-0000-0000-0000E9240000}"/>
    <cellStyle name="Input 2 2 2 2 4 6" xfId="31882" xr:uid="{00000000-0005-0000-0000-0000EA240000}"/>
    <cellStyle name="Input 2 2 2 2 4 7" xfId="12718" xr:uid="{00000000-0005-0000-0000-0000EB240000}"/>
    <cellStyle name="Input 2 2 2 2 5" xfId="2448" xr:uid="{00000000-0005-0000-0000-0000EC240000}"/>
    <cellStyle name="Input 2 2 2 2 5 2" xfId="5300" xr:uid="{00000000-0005-0000-0000-0000ED240000}"/>
    <cellStyle name="Input 2 2 2 2 5 2 2" xfId="24272" xr:uid="{00000000-0005-0000-0000-0000EE240000}"/>
    <cellStyle name="Input 2 2 2 2 5 2 3" xfId="35117" xr:uid="{00000000-0005-0000-0000-0000EF240000}"/>
    <cellStyle name="Input 2 2 2 2 5 2 4" xfId="15034" xr:uid="{00000000-0005-0000-0000-0000F0240000}"/>
    <cellStyle name="Input 2 2 2 2 5 3" xfId="7971" xr:uid="{00000000-0005-0000-0000-0000F1240000}"/>
    <cellStyle name="Input 2 2 2 2 5 3 2" xfId="26943" xr:uid="{00000000-0005-0000-0000-0000F2240000}"/>
    <cellStyle name="Input 2 2 2 2 5 3 3" xfId="37788" xr:uid="{00000000-0005-0000-0000-0000F3240000}"/>
    <cellStyle name="Input 2 2 2 2 5 3 4" xfId="16947" xr:uid="{00000000-0005-0000-0000-0000F4240000}"/>
    <cellStyle name="Input 2 2 2 2 5 4" xfId="10630" xr:uid="{00000000-0005-0000-0000-0000F5240000}"/>
    <cellStyle name="Input 2 2 2 2 5 4 2" xfId="29602" xr:uid="{00000000-0005-0000-0000-0000F6240000}"/>
    <cellStyle name="Input 2 2 2 2 5 4 3" xfId="40447" xr:uid="{00000000-0005-0000-0000-0000F7240000}"/>
    <cellStyle name="Input 2 2 2 2 5 4 4" xfId="18851" xr:uid="{00000000-0005-0000-0000-0000F8240000}"/>
    <cellStyle name="Input 2 2 2 2 5 5" xfId="21426" xr:uid="{00000000-0005-0000-0000-0000F9240000}"/>
    <cellStyle name="Input 2 2 2 2 5 6" xfId="32271" xr:uid="{00000000-0005-0000-0000-0000FA240000}"/>
    <cellStyle name="Input 2 2 2 2 5 7" xfId="12997" xr:uid="{00000000-0005-0000-0000-0000FB240000}"/>
    <cellStyle name="Input 2 2 2 2 6" xfId="2834" xr:uid="{00000000-0005-0000-0000-0000FC240000}"/>
    <cellStyle name="Input 2 2 2 2 6 2" xfId="5685" xr:uid="{00000000-0005-0000-0000-0000FD240000}"/>
    <cellStyle name="Input 2 2 2 2 6 2 2" xfId="24657" xr:uid="{00000000-0005-0000-0000-0000FE240000}"/>
    <cellStyle name="Input 2 2 2 2 6 2 3" xfId="35502" xr:uid="{00000000-0005-0000-0000-0000FF240000}"/>
    <cellStyle name="Input 2 2 2 2 6 2 4" xfId="15310" xr:uid="{00000000-0005-0000-0000-000000250000}"/>
    <cellStyle name="Input 2 2 2 2 6 3" xfId="8356" xr:uid="{00000000-0005-0000-0000-000001250000}"/>
    <cellStyle name="Input 2 2 2 2 6 3 2" xfId="27328" xr:uid="{00000000-0005-0000-0000-000002250000}"/>
    <cellStyle name="Input 2 2 2 2 6 3 3" xfId="38173" xr:uid="{00000000-0005-0000-0000-000003250000}"/>
    <cellStyle name="Input 2 2 2 2 6 3 4" xfId="17223" xr:uid="{00000000-0005-0000-0000-000004250000}"/>
    <cellStyle name="Input 2 2 2 2 6 4" xfId="11015" xr:uid="{00000000-0005-0000-0000-000005250000}"/>
    <cellStyle name="Input 2 2 2 2 6 4 2" xfId="29987" xr:uid="{00000000-0005-0000-0000-000006250000}"/>
    <cellStyle name="Input 2 2 2 2 6 4 3" xfId="40832" xr:uid="{00000000-0005-0000-0000-000007250000}"/>
    <cellStyle name="Input 2 2 2 2 6 4 4" xfId="19127" xr:uid="{00000000-0005-0000-0000-000008250000}"/>
    <cellStyle name="Input 2 2 2 2 6 5" xfId="21811" xr:uid="{00000000-0005-0000-0000-000009250000}"/>
    <cellStyle name="Input 2 2 2 2 6 6" xfId="32656" xr:uid="{00000000-0005-0000-0000-00000A250000}"/>
    <cellStyle name="Input 2 2 2 2 6 7" xfId="13273" xr:uid="{00000000-0005-0000-0000-00000B250000}"/>
    <cellStyle name="Input 2 2 2 2 7" xfId="3523" xr:uid="{00000000-0005-0000-0000-00000C250000}"/>
    <cellStyle name="Input 2 2 2 2 7 2" xfId="22495" xr:uid="{00000000-0005-0000-0000-00000D250000}"/>
    <cellStyle name="Input 2 2 2 2 7 3" xfId="33340" xr:uid="{00000000-0005-0000-0000-00000E250000}"/>
    <cellStyle name="Input 2 2 2 2 7 4" xfId="13754" xr:uid="{00000000-0005-0000-0000-00000F250000}"/>
    <cellStyle name="Input 2 2 2 2 8" xfId="6198" xr:uid="{00000000-0005-0000-0000-000010250000}"/>
    <cellStyle name="Input 2 2 2 2 8 2" xfId="25170" xr:uid="{00000000-0005-0000-0000-000011250000}"/>
    <cellStyle name="Input 2 2 2 2 8 3" xfId="36015" xr:uid="{00000000-0005-0000-0000-000012250000}"/>
    <cellStyle name="Input 2 2 2 2 8 4" xfId="15670" xr:uid="{00000000-0005-0000-0000-000013250000}"/>
    <cellStyle name="Input 2 2 2 2 9" xfId="8857" xr:uid="{00000000-0005-0000-0000-000014250000}"/>
    <cellStyle name="Input 2 2 2 2 9 2" xfId="27829" xr:uid="{00000000-0005-0000-0000-000015250000}"/>
    <cellStyle name="Input 2 2 2 2 9 3" xfId="38674" xr:uid="{00000000-0005-0000-0000-000016250000}"/>
    <cellStyle name="Input 2 2 2 2 9 4" xfId="17574" xr:uid="{00000000-0005-0000-0000-000017250000}"/>
    <cellStyle name="Input 2 2 2 3" xfId="728" xr:uid="{00000000-0005-0000-0000-000018250000}"/>
    <cellStyle name="Input 2 2 2 3 10" xfId="19713" xr:uid="{00000000-0005-0000-0000-000019250000}"/>
    <cellStyle name="Input 2 2 2 3 11" xfId="30558" xr:uid="{00000000-0005-0000-0000-00001A250000}"/>
    <cellStyle name="Input 2 2 2 3 12" xfId="11760" xr:uid="{00000000-0005-0000-0000-00001B250000}"/>
    <cellStyle name="Input 2 2 2 3 2" xfId="1315" xr:uid="{00000000-0005-0000-0000-00001C250000}"/>
    <cellStyle name="Input 2 2 2 3 2 2" xfId="4168" xr:uid="{00000000-0005-0000-0000-00001D250000}"/>
    <cellStyle name="Input 2 2 2 3 2 2 2" xfId="23140" xr:uid="{00000000-0005-0000-0000-00001E250000}"/>
    <cellStyle name="Input 2 2 2 3 2 2 3" xfId="33985" xr:uid="{00000000-0005-0000-0000-00001F250000}"/>
    <cellStyle name="Input 2 2 2 3 2 2 4" xfId="14221" xr:uid="{00000000-0005-0000-0000-000020250000}"/>
    <cellStyle name="Input 2 2 2 3 2 3" xfId="6841" xr:uid="{00000000-0005-0000-0000-000021250000}"/>
    <cellStyle name="Input 2 2 2 3 2 3 2" xfId="25813" xr:uid="{00000000-0005-0000-0000-000022250000}"/>
    <cellStyle name="Input 2 2 2 3 2 3 3" xfId="36658" xr:uid="{00000000-0005-0000-0000-000023250000}"/>
    <cellStyle name="Input 2 2 2 3 2 3 4" xfId="16136" xr:uid="{00000000-0005-0000-0000-000024250000}"/>
    <cellStyle name="Input 2 2 2 3 2 4" xfId="9500" xr:uid="{00000000-0005-0000-0000-000025250000}"/>
    <cellStyle name="Input 2 2 2 3 2 4 2" xfId="28472" xr:uid="{00000000-0005-0000-0000-000026250000}"/>
    <cellStyle name="Input 2 2 2 3 2 4 3" xfId="39317" xr:uid="{00000000-0005-0000-0000-000027250000}"/>
    <cellStyle name="Input 2 2 2 3 2 4 4" xfId="18040" xr:uid="{00000000-0005-0000-0000-000028250000}"/>
    <cellStyle name="Input 2 2 2 3 2 5" xfId="20296" xr:uid="{00000000-0005-0000-0000-000029250000}"/>
    <cellStyle name="Input 2 2 2 3 2 6" xfId="31141" xr:uid="{00000000-0005-0000-0000-00002A250000}"/>
    <cellStyle name="Input 2 2 2 3 2 7" xfId="12186" xr:uid="{00000000-0005-0000-0000-00002B250000}"/>
    <cellStyle name="Input 2 2 2 3 3" xfId="1714" xr:uid="{00000000-0005-0000-0000-00002C250000}"/>
    <cellStyle name="Input 2 2 2 3 3 2" xfId="4567" xr:uid="{00000000-0005-0000-0000-00002D250000}"/>
    <cellStyle name="Input 2 2 2 3 3 2 2" xfId="23539" xr:uid="{00000000-0005-0000-0000-00002E250000}"/>
    <cellStyle name="Input 2 2 2 3 3 2 3" xfId="34384" xr:uid="{00000000-0005-0000-0000-00002F250000}"/>
    <cellStyle name="Input 2 2 2 3 3 2 4" xfId="14508" xr:uid="{00000000-0005-0000-0000-000030250000}"/>
    <cellStyle name="Input 2 2 2 3 3 3" xfId="7239" xr:uid="{00000000-0005-0000-0000-000031250000}"/>
    <cellStyle name="Input 2 2 2 3 3 3 2" xfId="26211" xr:uid="{00000000-0005-0000-0000-000032250000}"/>
    <cellStyle name="Input 2 2 2 3 3 3 3" xfId="37056" xr:uid="{00000000-0005-0000-0000-000033250000}"/>
    <cellStyle name="Input 2 2 2 3 3 3 4" xfId="16422" xr:uid="{00000000-0005-0000-0000-000034250000}"/>
    <cellStyle name="Input 2 2 2 3 3 4" xfId="9898" xr:uid="{00000000-0005-0000-0000-000035250000}"/>
    <cellStyle name="Input 2 2 2 3 3 4 2" xfId="28870" xr:uid="{00000000-0005-0000-0000-000036250000}"/>
    <cellStyle name="Input 2 2 2 3 3 4 3" xfId="39715" xr:uid="{00000000-0005-0000-0000-000037250000}"/>
    <cellStyle name="Input 2 2 2 3 3 4 4" xfId="18326" xr:uid="{00000000-0005-0000-0000-000038250000}"/>
    <cellStyle name="Input 2 2 2 3 3 5" xfId="20694" xr:uid="{00000000-0005-0000-0000-000039250000}"/>
    <cellStyle name="Input 2 2 2 3 3 6" xfId="31539" xr:uid="{00000000-0005-0000-0000-00003A250000}"/>
    <cellStyle name="Input 2 2 2 3 3 7" xfId="12472" xr:uid="{00000000-0005-0000-0000-00003B250000}"/>
    <cellStyle name="Input 2 2 2 3 4" xfId="2118" xr:uid="{00000000-0005-0000-0000-00003C250000}"/>
    <cellStyle name="Input 2 2 2 3 4 2" xfId="4971" xr:uid="{00000000-0005-0000-0000-00003D250000}"/>
    <cellStyle name="Input 2 2 2 3 4 2 2" xfId="23943" xr:uid="{00000000-0005-0000-0000-00003E250000}"/>
    <cellStyle name="Input 2 2 2 3 4 2 3" xfId="34788" xr:uid="{00000000-0005-0000-0000-00003F250000}"/>
    <cellStyle name="Input 2 2 2 3 4 2 4" xfId="14795" xr:uid="{00000000-0005-0000-0000-000040250000}"/>
    <cellStyle name="Input 2 2 2 3 4 3" xfId="7642" xr:uid="{00000000-0005-0000-0000-000041250000}"/>
    <cellStyle name="Input 2 2 2 3 4 3 2" xfId="26614" xr:uid="{00000000-0005-0000-0000-000042250000}"/>
    <cellStyle name="Input 2 2 2 3 4 3 3" xfId="37459" xr:uid="{00000000-0005-0000-0000-000043250000}"/>
    <cellStyle name="Input 2 2 2 3 4 3 4" xfId="16708" xr:uid="{00000000-0005-0000-0000-000044250000}"/>
    <cellStyle name="Input 2 2 2 3 4 4" xfId="10301" xr:uid="{00000000-0005-0000-0000-000045250000}"/>
    <cellStyle name="Input 2 2 2 3 4 4 2" xfId="29273" xr:uid="{00000000-0005-0000-0000-000046250000}"/>
    <cellStyle name="Input 2 2 2 3 4 4 3" xfId="40118" xr:uid="{00000000-0005-0000-0000-000047250000}"/>
    <cellStyle name="Input 2 2 2 3 4 4 4" xfId="18612" xr:uid="{00000000-0005-0000-0000-000048250000}"/>
    <cellStyle name="Input 2 2 2 3 4 5" xfId="21097" xr:uid="{00000000-0005-0000-0000-000049250000}"/>
    <cellStyle name="Input 2 2 2 3 4 6" xfId="31942" xr:uid="{00000000-0005-0000-0000-00004A250000}"/>
    <cellStyle name="Input 2 2 2 3 4 7" xfId="12758" xr:uid="{00000000-0005-0000-0000-00004B250000}"/>
    <cellStyle name="Input 2 2 2 3 5" xfId="2508" xr:uid="{00000000-0005-0000-0000-00004C250000}"/>
    <cellStyle name="Input 2 2 2 3 5 2" xfId="5360" xr:uid="{00000000-0005-0000-0000-00004D250000}"/>
    <cellStyle name="Input 2 2 2 3 5 2 2" xfId="24332" xr:uid="{00000000-0005-0000-0000-00004E250000}"/>
    <cellStyle name="Input 2 2 2 3 5 2 3" xfId="35177" xr:uid="{00000000-0005-0000-0000-00004F250000}"/>
    <cellStyle name="Input 2 2 2 3 5 2 4" xfId="15074" xr:uid="{00000000-0005-0000-0000-000050250000}"/>
    <cellStyle name="Input 2 2 2 3 5 3" xfId="8031" xr:uid="{00000000-0005-0000-0000-000051250000}"/>
    <cellStyle name="Input 2 2 2 3 5 3 2" xfId="27003" xr:uid="{00000000-0005-0000-0000-000052250000}"/>
    <cellStyle name="Input 2 2 2 3 5 3 3" xfId="37848" xr:uid="{00000000-0005-0000-0000-000053250000}"/>
    <cellStyle name="Input 2 2 2 3 5 3 4" xfId="16987" xr:uid="{00000000-0005-0000-0000-000054250000}"/>
    <cellStyle name="Input 2 2 2 3 5 4" xfId="10690" xr:uid="{00000000-0005-0000-0000-000055250000}"/>
    <cellStyle name="Input 2 2 2 3 5 4 2" xfId="29662" xr:uid="{00000000-0005-0000-0000-000056250000}"/>
    <cellStyle name="Input 2 2 2 3 5 4 3" xfId="40507" xr:uid="{00000000-0005-0000-0000-000057250000}"/>
    <cellStyle name="Input 2 2 2 3 5 4 4" xfId="18891" xr:uid="{00000000-0005-0000-0000-000058250000}"/>
    <cellStyle name="Input 2 2 2 3 5 5" xfId="21486" xr:uid="{00000000-0005-0000-0000-000059250000}"/>
    <cellStyle name="Input 2 2 2 3 5 6" xfId="32331" xr:uid="{00000000-0005-0000-0000-00005A250000}"/>
    <cellStyle name="Input 2 2 2 3 5 7" xfId="13037" xr:uid="{00000000-0005-0000-0000-00005B250000}"/>
    <cellStyle name="Input 2 2 2 3 6" xfId="2894" xr:uid="{00000000-0005-0000-0000-00005C250000}"/>
    <cellStyle name="Input 2 2 2 3 6 2" xfId="5745" xr:uid="{00000000-0005-0000-0000-00005D250000}"/>
    <cellStyle name="Input 2 2 2 3 6 2 2" xfId="24717" xr:uid="{00000000-0005-0000-0000-00005E250000}"/>
    <cellStyle name="Input 2 2 2 3 6 2 3" xfId="35562" xr:uid="{00000000-0005-0000-0000-00005F250000}"/>
    <cellStyle name="Input 2 2 2 3 6 2 4" xfId="15350" xr:uid="{00000000-0005-0000-0000-000060250000}"/>
    <cellStyle name="Input 2 2 2 3 6 3" xfId="8416" xr:uid="{00000000-0005-0000-0000-000061250000}"/>
    <cellStyle name="Input 2 2 2 3 6 3 2" xfId="27388" xr:uid="{00000000-0005-0000-0000-000062250000}"/>
    <cellStyle name="Input 2 2 2 3 6 3 3" xfId="38233" xr:uid="{00000000-0005-0000-0000-000063250000}"/>
    <cellStyle name="Input 2 2 2 3 6 3 4" xfId="17263" xr:uid="{00000000-0005-0000-0000-000064250000}"/>
    <cellStyle name="Input 2 2 2 3 6 4" xfId="11075" xr:uid="{00000000-0005-0000-0000-000065250000}"/>
    <cellStyle name="Input 2 2 2 3 6 4 2" xfId="30047" xr:uid="{00000000-0005-0000-0000-000066250000}"/>
    <cellStyle name="Input 2 2 2 3 6 4 3" xfId="40892" xr:uid="{00000000-0005-0000-0000-000067250000}"/>
    <cellStyle name="Input 2 2 2 3 6 4 4" xfId="19167" xr:uid="{00000000-0005-0000-0000-000068250000}"/>
    <cellStyle name="Input 2 2 2 3 6 5" xfId="21871" xr:uid="{00000000-0005-0000-0000-000069250000}"/>
    <cellStyle name="Input 2 2 2 3 6 6" xfId="32716" xr:uid="{00000000-0005-0000-0000-00006A250000}"/>
    <cellStyle name="Input 2 2 2 3 6 7" xfId="13313" xr:uid="{00000000-0005-0000-0000-00006B250000}"/>
    <cellStyle name="Input 2 2 2 3 7" xfId="3583" xr:uid="{00000000-0005-0000-0000-00006C250000}"/>
    <cellStyle name="Input 2 2 2 3 7 2" xfId="22555" xr:uid="{00000000-0005-0000-0000-00006D250000}"/>
    <cellStyle name="Input 2 2 2 3 7 3" xfId="33400" xr:uid="{00000000-0005-0000-0000-00006E250000}"/>
    <cellStyle name="Input 2 2 2 3 7 4" xfId="13794" xr:uid="{00000000-0005-0000-0000-00006F250000}"/>
    <cellStyle name="Input 2 2 2 3 8" xfId="6258" xr:uid="{00000000-0005-0000-0000-000070250000}"/>
    <cellStyle name="Input 2 2 2 3 8 2" xfId="25230" xr:uid="{00000000-0005-0000-0000-000071250000}"/>
    <cellStyle name="Input 2 2 2 3 8 3" xfId="36075" xr:uid="{00000000-0005-0000-0000-000072250000}"/>
    <cellStyle name="Input 2 2 2 3 8 4" xfId="15710" xr:uid="{00000000-0005-0000-0000-000073250000}"/>
    <cellStyle name="Input 2 2 2 3 9" xfId="8917" xr:uid="{00000000-0005-0000-0000-000074250000}"/>
    <cellStyle name="Input 2 2 2 3 9 2" xfId="27889" xr:uid="{00000000-0005-0000-0000-000075250000}"/>
    <cellStyle name="Input 2 2 2 3 9 3" xfId="38734" xr:uid="{00000000-0005-0000-0000-000076250000}"/>
    <cellStyle name="Input 2 2 2 3 9 4" xfId="17614" xr:uid="{00000000-0005-0000-0000-000077250000}"/>
    <cellStyle name="Input 2 2 2 4" xfId="788" xr:uid="{00000000-0005-0000-0000-000078250000}"/>
    <cellStyle name="Input 2 2 2 4 10" xfId="19773" xr:uid="{00000000-0005-0000-0000-000079250000}"/>
    <cellStyle name="Input 2 2 2 4 11" xfId="30618" xr:uid="{00000000-0005-0000-0000-00007A250000}"/>
    <cellStyle name="Input 2 2 2 4 12" xfId="11800" xr:uid="{00000000-0005-0000-0000-00007B250000}"/>
    <cellStyle name="Input 2 2 2 4 2" xfId="1375" xr:uid="{00000000-0005-0000-0000-00007C250000}"/>
    <cellStyle name="Input 2 2 2 4 2 2" xfId="4228" xr:uid="{00000000-0005-0000-0000-00007D250000}"/>
    <cellStyle name="Input 2 2 2 4 2 2 2" xfId="23200" xr:uid="{00000000-0005-0000-0000-00007E250000}"/>
    <cellStyle name="Input 2 2 2 4 2 2 3" xfId="34045" xr:uid="{00000000-0005-0000-0000-00007F250000}"/>
    <cellStyle name="Input 2 2 2 4 2 2 4" xfId="14261" xr:uid="{00000000-0005-0000-0000-000080250000}"/>
    <cellStyle name="Input 2 2 2 4 2 3" xfId="6901" xr:uid="{00000000-0005-0000-0000-000081250000}"/>
    <cellStyle name="Input 2 2 2 4 2 3 2" xfId="25873" xr:uid="{00000000-0005-0000-0000-000082250000}"/>
    <cellStyle name="Input 2 2 2 4 2 3 3" xfId="36718" xr:uid="{00000000-0005-0000-0000-000083250000}"/>
    <cellStyle name="Input 2 2 2 4 2 3 4" xfId="16176" xr:uid="{00000000-0005-0000-0000-000084250000}"/>
    <cellStyle name="Input 2 2 2 4 2 4" xfId="9560" xr:uid="{00000000-0005-0000-0000-000085250000}"/>
    <cellStyle name="Input 2 2 2 4 2 4 2" xfId="28532" xr:uid="{00000000-0005-0000-0000-000086250000}"/>
    <cellStyle name="Input 2 2 2 4 2 4 3" xfId="39377" xr:uid="{00000000-0005-0000-0000-000087250000}"/>
    <cellStyle name="Input 2 2 2 4 2 4 4" xfId="18080" xr:uid="{00000000-0005-0000-0000-000088250000}"/>
    <cellStyle name="Input 2 2 2 4 2 5" xfId="20356" xr:uid="{00000000-0005-0000-0000-000089250000}"/>
    <cellStyle name="Input 2 2 2 4 2 6" xfId="31201" xr:uid="{00000000-0005-0000-0000-00008A250000}"/>
    <cellStyle name="Input 2 2 2 4 2 7" xfId="12226" xr:uid="{00000000-0005-0000-0000-00008B250000}"/>
    <cellStyle name="Input 2 2 2 4 3" xfId="1774" xr:uid="{00000000-0005-0000-0000-00008C250000}"/>
    <cellStyle name="Input 2 2 2 4 3 2" xfId="4627" xr:uid="{00000000-0005-0000-0000-00008D250000}"/>
    <cellStyle name="Input 2 2 2 4 3 2 2" xfId="23599" xr:uid="{00000000-0005-0000-0000-00008E250000}"/>
    <cellStyle name="Input 2 2 2 4 3 2 3" xfId="34444" xr:uid="{00000000-0005-0000-0000-00008F250000}"/>
    <cellStyle name="Input 2 2 2 4 3 2 4" xfId="14548" xr:uid="{00000000-0005-0000-0000-000090250000}"/>
    <cellStyle name="Input 2 2 2 4 3 3" xfId="7299" xr:uid="{00000000-0005-0000-0000-000091250000}"/>
    <cellStyle name="Input 2 2 2 4 3 3 2" xfId="26271" xr:uid="{00000000-0005-0000-0000-000092250000}"/>
    <cellStyle name="Input 2 2 2 4 3 3 3" xfId="37116" xr:uid="{00000000-0005-0000-0000-000093250000}"/>
    <cellStyle name="Input 2 2 2 4 3 3 4" xfId="16462" xr:uid="{00000000-0005-0000-0000-000094250000}"/>
    <cellStyle name="Input 2 2 2 4 3 4" xfId="9958" xr:uid="{00000000-0005-0000-0000-000095250000}"/>
    <cellStyle name="Input 2 2 2 4 3 4 2" xfId="28930" xr:uid="{00000000-0005-0000-0000-000096250000}"/>
    <cellStyle name="Input 2 2 2 4 3 4 3" xfId="39775" xr:uid="{00000000-0005-0000-0000-000097250000}"/>
    <cellStyle name="Input 2 2 2 4 3 4 4" xfId="18366" xr:uid="{00000000-0005-0000-0000-000098250000}"/>
    <cellStyle name="Input 2 2 2 4 3 5" xfId="20754" xr:uid="{00000000-0005-0000-0000-000099250000}"/>
    <cellStyle name="Input 2 2 2 4 3 6" xfId="31599" xr:uid="{00000000-0005-0000-0000-00009A250000}"/>
    <cellStyle name="Input 2 2 2 4 3 7" xfId="12512" xr:uid="{00000000-0005-0000-0000-00009B250000}"/>
    <cellStyle name="Input 2 2 2 4 4" xfId="2178" xr:uid="{00000000-0005-0000-0000-00009C250000}"/>
    <cellStyle name="Input 2 2 2 4 4 2" xfId="5031" xr:uid="{00000000-0005-0000-0000-00009D250000}"/>
    <cellStyle name="Input 2 2 2 4 4 2 2" xfId="24003" xr:uid="{00000000-0005-0000-0000-00009E250000}"/>
    <cellStyle name="Input 2 2 2 4 4 2 3" xfId="34848" xr:uid="{00000000-0005-0000-0000-00009F250000}"/>
    <cellStyle name="Input 2 2 2 4 4 2 4" xfId="14835" xr:uid="{00000000-0005-0000-0000-0000A0250000}"/>
    <cellStyle name="Input 2 2 2 4 4 3" xfId="7702" xr:uid="{00000000-0005-0000-0000-0000A1250000}"/>
    <cellStyle name="Input 2 2 2 4 4 3 2" xfId="26674" xr:uid="{00000000-0005-0000-0000-0000A2250000}"/>
    <cellStyle name="Input 2 2 2 4 4 3 3" xfId="37519" xr:uid="{00000000-0005-0000-0000-0000A3250000}"/>
    <cellStyle name="Input 2 2 2 4 4 3 4" xfId="16748" xr:uid="{00000000-0005-0000-0000-0000A4250000}"/>
    <cellStyle name="Input 2 2 2 4 4 4" xfId="10361" xr:uid="{00000000-0005-0000-0000-0000A5250000}"/>
    <cellStyle name="Input 2 2 2 4 4 4 2" xfId="29333" xr:uid="{00000000-0005-0000-0000-0000A6250000}"/>
    <cellStyle name="Input 2 2 2 4 4 4 3" xfId="40178" xr:uid="{00000000-0005-0000-0000-0000A7250000}"/>
    <cellStyle name="Input 2 2 2 4 4 4 4" xfId="18652" xr:uid="{00000000-0005-0000-0000-0000A8250000}"/>
    <cellStyle name="Input 2 2 2 4 4 5" xfId="21157" xr:uid="{00000000-0005-0000-0000-0000A9250000}"/>
    <cellStyle name="Input 2 2 2 4 4 6" xfId="32002" xr:uid="{00000000-0005-0000-0000-0000AA250000}"/>
    <cellStyle name="Input 2 2 2 4 4 7" xfId="12798" xr:uid="{00000000-0005-0000-0000-0000AB250000}"/>
    <cellStyle name="Input 2 2 2 4 5" xfId="2568" xr:uid="{00000000-0005-0000-0000-0000AC250000}"/>
    <cellStyle name="Input 2 2 2 4 5 2" xfId="5420" xr:uid="{00000000-0005-0000-0000-0000AD250000}"/>
    <cellStyle name="Input 2 2 2 4 5 2 2" xfId="24392" xr:uid="{00000000-0005-0000-0000-0000AE250000}"/>
    <cellStyle name="Input 2 2 2 4 5 2 3" xfId="35237" xr:uid="{00000000-0005-0000-0000-0000AF250000}"/>
    <cellStyle name="Input 2 2 2 4 5 2 4" xfId="15114" xr:uid="{00000000-0005-0000-0000-0000B0250000}"/>
    <cellStyle name="Input 2 2 2 4 5 3" xfId="8091" xr:uid="{00000000-0005-0000-0000-0000B1250000}"/>
    <cellStyle name="Input 2 2 2 4 5 3 2" xfId="27063" xr:uid="{00000000-0005-0000-0000-0000B2250000}"/>
    <cellStyle name="Input 2 2 2 4 5 3 3" xfId="37908" xr:uid="{00000000-0005-0000-0000-0000B3250000}"/>
    <cellStyle name="Input 2 2 2 4 5 3 4" xfId="17027" xr:uid="{00000000-0005-0000-0000-0000B4250000}"/>
    <cellStyle name="Input 2 2 2 4 5 4" xfId="10750" xr:uid="{00000000-0005-0000-0000-0000B5250000}"/>
    <cellStyle name="Input 2 2 2 4 5 4 2" xfId="29722" xr:uid="{00000000-0005-0000-0000-0000B6250000}"/>
    <cellStyle name="Input 2 2 2 4 5 4 3" xfId="40567" xr:uid="{00000000-0005-0000-0000-0000B7250000}"/>
    <cellStyle name="Input 2 2 2 4 5 4 4" xfId="18931" xr:uid="{00000000-0005-0000-0000-0000B8250000}"/>
    <cellStyle name="Input 2 2 2 4 5 5" xfId="21546" xr:uid="{00000000-0005-0000-0000-0000B9250000}"/>
    <cellStyle name="Input 2 2 2 4 5 6" xfId="32391" xr:uid="{00000000-0005-0000-0000-0000BA250000}"/>
    <cellStyle name="Input 2 2 2 4 5 7" xfId="13077" xr:uid="{00000000-0005-0000-0000-0000BB250000}"/>
    <cellStyle name="Input 2 2 2 4 6" xfId="2954" xr:uid="{00000000-0005-0000-0000-0000BC250000}"/>
    <cellStyle name="Input 2 2 2 4 6 2" xfId="5805" xr:uid="{00000000-0005-0000-0000-0000BD250000}"/>
    <cellStyle name="Input 2 2 2 4 6 2 2" xfId="24777" xr:uid="{00000000-0005-0000-0000-0000BE250000}"/>
    <cellStyle name="Input 2 2 2 4 6 2 3" xfId="35622" xr:uid="{00000000-0005-0000-0000-0000BF250000}"/>
    <cellStyle name="Input 2 2 2 4 6 2 4" xfId="15390" xr:uid="{00000000-0005-0000-0000-0000C0250000}"/>
    <cellStyle name="Input 2 2 2 4 6 3" xfId="8476" xr:uid="{00000000-0005-0000-0000-0000C1250000}"/>
    <cellStyle name="Input 2 2 2 4 6 3 2" xfId="27448" xr:uid="{00000000-0005-0000-0000-0000C2250000}"/>
    <cellStyle name="Input 2 2 2 4 6 3 3" xfId="38293" xr:uid="{00000000-0005-0000-0000-0000C3250000}"/>
    <cellStyle name="Input 2 2 2 4 6 3 4" xfId="17303" xr:uid="{00000000-0005-0000-0000-0000C4250000}"/>
    <cellStyle name="Input 2 2 2 4 6 4" xfId="11135" xr:uid="{00000000-0005-0000-0000-0000C5250000}"/>
    <cellStyle name="Input 2 2 2 4 6 4 2" xfId="30107" xr:uid="{00000000-0005-0000-0000-0000C6250000}"/>
    <cellStyle name="Input 2 2 2 4 6 4 3" xfId="40952" xr:uid="{00000000-0005-0000-0000-0000C7250000}"/>
    <cellStyle name="Input 2 2 2 4 6 4 4" xfId="19207" xr:uid="{00000000-0005-0000-0000-0000C8250000}"/>
    <cellStyle name="Input 2 2 2 4 6 5" xfId="21931" xr:uid="{00000000-0005-0000-0000-0000C9250000}"/>
    <cellStyle name="Input 2 2 2 4 6 6" xfId="32776" xr:uid="{00000000-0005-0000-0000-0000CA250000}"/>
    <cellStyle name="Input 2 2 2 4 6 7" xfId="13353" xr:uid="{00000000-0005-0000-0000-0000CB250000}"/>
    <cellStyle name="Input 2 2 2 4 7" xfId="3643" xr:uid="{00000000-0005-0000-0000-0000CC250000}"/>
    <cellStyle name="Input 2 2 2 4 7 2" xfId="22615" xr:uid="{00000000-0005-0000-0000-0000CD250000}"/>
    <cellStyle name="Input 2 2 2 4 7 3" xfId="33460" xr:uid="{00000000-0005-0000-0000-0000CE250000}"/>
    <cellStyle name="Input 2 2 2 4 7 4" xfId="13834" xr:uid="{00000000-0005-0000-0000-0000CF250000}"/>
    <cellStyle name="Input 2 2 2 4 8" xfId="6318" xr:uid="{00000000-0005-0000-0000-0000D0250000}"/>
    <cellStyle name="Input 2 2 2 4 8 2" xfId="25290" xr:uid="{00000000-0005-0000-0000-0000D1250000}"/>
    <cellStyle name="Input 2 2 2 4 8 3" xfId="36135" xr:uid="{00000000-0005-0000-0000-0000D2250000}"/>
    <cellStyle name="Input 2 2 2 4 8 4" xfId="15750" xr:uid="{00000000-0005-0000-0000-0000D3250000}"/>
    <cellStyle name="Input 2 2 2 4 9" xfId="8977" xr:uid="{00000000-0005-0000-0000-0000D4250000}"/>
    <cellStyle name="Input 2 2 2 4 9 2" xfId="27949" xr:uid="{00000000-0005-0000-0000-0000D5250000}"/>
    <cellStyle name="Input 2 2 2 4 9 3" xfId="38794" xr:uid="{00000000-0005-0000-0000-0000D6250000}"/>
    <cellStyle name="Input 2 2 2 4 9 4" xfId="17654" xr:uid="{00000000-0005-0000-0000-0000D7250000}"/>
    <cellStyle name="Input 2 2 2 5" xfId="847" xr:uid="{00000000-0005-0000-0000-0000D8250000}"/>
    <cellStyle name="Input 2 2 2 5 10" xfId="19832" xr:uid="{00000000-0005-0000-0000-0000D9250000}"/>
    <cellStyle name="Input 2 2 2 5 11" xfId="30677" xr:uid="{00000000-0005-0000-0000-0000DA250000}"/>
    <cellStyle name="Input 2 2 2 5 12" xfId="11839" xr:uid="{00000000-0005-0000-0000-0000DB250000}"/>
    <cellStyle name="Input 2 2 2 5 2" xfId="1434" xr:uid="{00000000-0005-0000-0000-0000DC250000}"/>
    <cellStyle name="Input 2 2 2 5 2 2" xfId="4287" xr:uid="{00000000-0005-0000-0000-0000DD250000}"/>
    <cellStyle name="Input 2 2 2 5 2 2 2" xfId="23259" xr:uid="{00000000-0005-0000-0000-0000DE250000}"/>
    <cellStyle name="Input 2 2 2 5 2 2 3" xfId="34104" xr:uid="{00000000-0005-0000-0000-0000DF250000}"/>
    <cellStyle name="Input 2 2 2 5 2 2 4" xfId="14300" xr:uid="{00000000-0005-0000-0000-0000E0250000}"/>
    <cellStyle name="Input 2 2 2 5 2 3" xfId="6960" xr:uid="{00000000-0005-0000-0000-0000E1250000}"/>
    <cellStyle name="Input 2 2 2 5 2 3 2" xfId="25932" xr:uid="{00000000-0005-0000-0000-0000E2250000}"/>
    <cellStyle name="Input 2 2 2 5 2 3 3" xfId="36777" xr:uid="{00000000-0005-0000-0000-0000E3250000}"/>
    <cellStyle name="Input 2 2 2 5 2 3 4" xfId="16215" xr:uid="{00000000-0005-0000-0000-0000E4250000}"/>
    <cellStyle name="Input 2 2 2 5 2 4" xfId="9619" xr:uid="{00000000-0005-0000-0000-0000E5250000}"/>
    <cellStyle name="Input 2 2 2 5 2 4 2" xfId="28591" xr:uid="{00000000-0005-0000-0000-0000E6250000}"/>
    <cellStyle name="Input 2 2 2 5 2 4 3" xfId="39436" xr:uid="{00000000-0005-0000-0000-0000E7250000}"/>
    <cellStyle name="Input 2 2 2 5 2 4 4" xfId="18119" xr:uid="{00000000-0005-0000-0000-0000E8250000}"/>
    <cellStyle name="Input 2 2 2 5 2 5" xfId="20415" xr:uid="{00000000-0005-0000-0000-0000E9250000}"/>
    <cellStyle name="Input 2 2 2 5 2 6" xfId="31260" xr:uid="{00000000-0005-0000-0000-0000EA250000}"/>
    <cellStyle name="Input 2 2 2 5 2 7" xfId="12265" xr:uid="{00000000-0005-0000-0000-0000EB250000}"/>
    <cellStyle name="Input 2 2 2 5 3" xfId="1833" xr:uid="{00000000-0005-0000-0000-0000EC250000}"/>
    <cellStyle name="Input 2 2 2 5 3 2" xfId="4686" xr:uid="{00000000-0005-0000-0000-0000ED250000}"/>
    <cellStyle name="Input 2 2 2 5 3 2 2" xfId="23658" xr:uid="{00000000-0005-0000-0000-0000EE250000}"/>
    <cellStyle name="Input 2 2 2 5 3 2 3" xfId="34503" xr:uid="{00000000-0005-0000-0000-0000EF250000}"/>
    <cellStyle name="Input 2 2 2 5 3 2 4" xfId="14587" xr:uid="{00000000-0005-0000-0000-0000F0250000}"/>
    <cellStyle name="Input 2 2 2 5 3 3" xfId="7358" xr:uid="{00000000-0005-0000-0000-0000F1250000}"/>
    <cellStyle name="Input 2 2 2 5 3 3 2" xfId="26330" xr:uid="{00000000-0005-0000-0000-0000F2250000}"/>
    <cellStyle name="Input 2 2 2 5 3 3 3" xfId="37175" xr:uid="{00000000-0005-0000-0000-0000F3250000}"/>
    <cellStyle name="Input 2 2 2 5 3 3 4" xfId="16501" xr:uid="{00000000-0005-0000-0000-0000F4250000}"/>
    <cellStyle name="Input 2 2 2 5 3 4" xfId="10017" xr:uid="{00000000-0005-0000-0000-0000F5250000}"/>
    <cellStyle name="Input 2 2 2 5 3 4 2" xfId="28989" xr:uid="{00000000-0005-0000-0000-0000F6250000}"/>
    <cellStyle name="Input 2 2 2 5 3 4 3" xfId="39834" xr:uid="{00000000-0005-0000-0000-0000F7250000}"/>
    <cellStyle name="Input 2 2 2 5 3 4 4" xfId="18405" xr:uid="{00000000-0005-0000-0000-0000F8250000}"/>
    <cellStyle name="Input 2 2 2 5 3 5" xfId="20813" xr:uid="{00000000-0005-0000-0000-0000F9250000}"/>
    <cellStyle name="Input 2 2 2 5 3 6" xfId="31658" xr:uid="{00000000-0005-0000-0000-0000FA250000}"/>
    <cellStyle name="Input 2 2 2 5 3 7" xfId="12551" xr:uid="{00000000-0005-0000-0000-0000FB250000}"/>
    <cellStyle name="Input 2 2 2 5 4" xfId="2237" xr:uid="{00000000-0005-0000-0000-0000FC250000}"/>
    <cellStyle name="Input 2 2 2 5 4 2" xfId="5090" xr:uid="{00000000-0005-0000-0000-0000FD250000}"/>
    <cellStyle name="Input 2 2 2 5 4 2 2" xfId="24062" xr:uid="{00000000-0005-0000-0000-0000FE250000}"/>
    <cellStyle name="Input 2 2 2 5 4 2 3" xfId="34907" xr:uid="{00000000-0005-0000-0000-0000FF250000}"/>
    <cellStyle name="Input 2 2 2 5 4 2 4" xfId="14874" xr:uid="{00000000-0005-0000-0000-000000260000}"/>
    <cellStyle name="Input 2 2 2 5 4 3" xfId="7761" xr:uid="{00000000-0005-0000-0000-000001260000}"/>
    <cellStyle name="Input 2 2 2 5 4 3 2" xfId="26733" xr:uid="{00000000-0005-0000-0000-000002260000}"/>
    <cellStyle name="Input 2 2 2 5 4 3 3" xfId="37578" xr:uid="{00000000-0005-0000-0000-000003260000}"/>
    <cellStyle name="Input 2 2 2 5 4 3 4" xfId="16787" xr:uid="{00000000-0005-0000-0000-000004260000}"/>
    <cellStyle name="Input 2 2 2 5 4 4" xfId="10420" xr:uid="{00000000-0005-0000-0000-000005260000}"/>
    <cellStyle name="Input 2 2 2 5 4 4 2" xfId="29392" xr:uid="{00000000-0005-0000-0000-000006260000}"/>
    <cellStyle name="Input 2 2 2 5 4 4 3" xfId="40237" xr:uid="{00000000-0005-0000-0000-000007260000}"/>
    <cellStyle name="Input 2 2 2 5 4 4 4" xfId="18691" xr:uid="{00000000-0005-0000-0000-000008260000}"/>
    <cellStyle name="Input 2 2 2 5 4 5" xfId="21216" xr:uid="{00000000-0005-0000-0000-000009260000}"/>
    <cellStyle name="Input 2 2 2 5 4 6" xfId="32061" xr:uid="{00000000-0005-0000-0000-00000A260000}"/>
    <cellStyle name="Input 2 2 2 5 4 7" xfId="12837" xr:uid="{00000000-0005-0000-0000-00000B260000}"/>
    <cellStyle name="Input 2 2 2 5 5" xfId="2627" xr:uid="{00000000-0005-0000-0000-00000C260000}"/>
    <cellStyle name="Input 2 2 2 5 5 2" xfId="5479" xr:uid="{00000000-0005-0000-0000-00000D260000}"/>
    <cellStyle name="Input 2 2 2 5 5 2 2" xfId="24451" xr:uid="{00000000-0005-0000-0000-00000E260000}"/>
    <cellStyle name="Input 2 2 2 5 5 2 3" xfId="35296" xr:uid="{00000000-0005-0000-0000-00000F260000}"/>
    <cellStyle name="Input 2 2 2 5 5 2 4" xfId="15153" xr:uid="{00000000-0005-0000-0000-000010260000}"/>
    <cellStyle name="Input 2 2 2 5 5 3" xfId="8150" xr:uid="{00000000-0005-0000-0000-000011260000}"/>
    <cellStyle name="Input 2 2 2 5 5 3 2" xfId="27122" xr:uid="{00000000-0005-0000-0000-000012260000}"/>
    <cellStyle name="Input 2 2 2 5 5 3 3" xfId="37967" xr:uid="{00000000-0005-0000-0000-000013260000}"/>
    <cellStyle name="Input 2 2 2 5 5 3 4" xfId="17066" xr:uid="{00000000-0005-0000-0000-000014260000}"/>
    <cellStyle name="Input 2 2 2 5 5 4" xfId="10809" xr:uid="{00000000-0005-0000-0000-000015260000}"/>
    <cellStyle name="Input 2 2 2 5 5 4 2" xfId="29781" xr:uid="{00000000-0005-0000-0000-000016260000}"/>
    <cellStyle name="Input 2 2 2 5 5 4 3" xfId="40626" xr:uid="{00000000-0005-0000-0000-000017260000}"/>
    <cellStyle name="Input 2 2 2 5 5 4 4" xfId="18970" xr:uid="{00000000-0005-0000-0000-000018260000}"/>
    <cellStyle name="Input 2 2 2 5 5 5" xfId="21605" xr:uid="{00000000-0005-0000-0000-000019260000}"/>
    <cellStyle name="Input 2 2 2 5 5 6" xfId="32450" xr:uid="{00000000-0005-0000-0000-00001A260000}"/>
    <cellStyle name="Input 2 2 2 5 5 7" xfId="13116" xr:uid="{00000000-0005-0000-0000-00001B260000}"/>
    <cellStyle name="Input 2 2 2 5 6" xfId="3013" xr:uid="{00000000-0005-0000-0000-00001C260000}"/>
    <cellStyle name="Input 2 2 2 5 6 2" xfId="5864" xr:uid="{00000000-0005-0000-0000-00001D260000}"/>
    <cellStyle name="Input 2 2 2 5 6 2 2" xfId="24836" xr:uid="{00000000-0005-0000-0000-00001E260000}"/>
    <cellStyle name="Input 2 2 2 5 6 2 3" xfId="35681" xr:uid="{00000000-0005-0000-0000-00001F260000}"/>
    <cellStyle name="Input 2 2 2 5 6 2 4" xfId="15429" xr:uid="{00000000-0005-0000-0000-000020260000}"/>
    <cellStyle name="Input 2 2 2 5 6 3" xfId="8535" xr:uid="{00000000-0005-0000-0000-000021260000}"/>
    <cellStyle name="Input 2 2 2 5 6 3 2" xfId="27507" xr:uid="{00000000-0005-0000-0000-000022260000}"/>
    <cellStyle name="Input 2 2 2 5 6 3 3" xfId="38352" xr:uid="{00000000-0005-0000-0000-000023260000}"/>
    <cellStyle name="Input 2 2 2 5 6 3 4" xfId="17342" xr:uid="{00000000-0005-0000-0000-000024260000}"/>
    <cellStyle name="Input 2 2 2 5 6 4" xfId="11194" xr:uid="{00000000-0005-0000-0000-000025260000}"/>
    <cellStyle name="Input 2 2 2 5 6 4 2" xfId="30166" xr:uid="{00000000-0005-0000-0000-000026260000}"/>
    <cellStyle name="Input 2 2 2 5 6 4 3" xfId="41011" xr:uid="{00000000-0005-0000-0000-000027260000}"/>
    <cellStyle name="Input 2 2 2 5 6 4 4" xfId="19246" xr:uid="{00000000-0005-0000-0000-000028260000}"/>
    <cellStyle name="Input 2 2 2 5 6 5" xfId="21990" xr:uid="{00000000-0005-0000-0000-000029260000}"/>
    <cellStyle name="Input 2 2 2 5 6 6" xfId="32835" xr:uid="{00000000-0005-0000-0000-00002A260000}"/>
    <cellStyle name="Input 2 2 2 5 6 7" xfId="13392" xr:uid="{00000000-0005-0000-0000-00002B260000}"/>
    <cellStyle name="Input 2 2 2 5 7" xfId="3702" xr:uid="{00000000-0005-0000-0000-00002C260000}"/>
    <cellStyle name="Input 2 2 2 5 7 2" xfId="22674" xr:uid="{00000000-0005-0000-0000-00002D260000}"/>
    <cellStyle name="Input 2 2 2 5 7 3" xfId="33519" xr:uid="{00000000-0005-0000-0000-00002E260000}"/>
    <cellStyle name="Input 2 2 2 5 7 4" xfId="13873" xr:uid="{00000000-0005-0000-0000-00002F260000}"/>
    <cellStyle name="Input 2 2 2 5 8" xfId="6377" xr:uid="{00000000-0005-0000-0000-000030260000}"/>
    <cellStyle name="Input 2 2 2 5 8 2" xfId="25349" xr:uid="{00000000-0005-0000-0000-000031260000}"/>
    <cellStyle name="Input 2 2 2 5 8 3" xfId="36194" xr:uid="{00000000-0005-0000-0000-000032260000}"/>
    <cellStyle name="Input 2 2 2 5 8 4" xfId="15789" xr:uid="{00000000-0005-0000-0000-000033260000}"/>
    <cellStyle name="Input 2 2 2 5 9" xfId="9036" xr:uid="{00000000-0005-0000-0000-000034260000}"/>
    <cellStyle name="Input 2 2 2 5 9 2" xfId="28008" xr:uid="{00000000-0005-0000-0000-000035260000}"/>
    <cellStyle name="Input 2 2 2 5 9 3" xfId="38853" xr:uid="{00000000-0005-0000-0000-000036260000}"/>
    <cellStyle name="Input 2 2 2 5 9 4" xfId="17693" xr:uid="{00000000-0005-0000-0000-000037260000}"/>
    <cellStyle name="Input 2 2 2 6" xfId="1069" xr:uid="{00000000-0005-0000-0000-000038260000}"/>
    <cellStyle name="Input 2 2 2 6 2" xfId="3922" xr:uid="{00000000-0005-0000-0000-000039260000}"/>
    <cellStyle name="Input 2 2 2 6 2 2" xfId="22894" xr:uid="{00000000-0005-0000-0000-00003A260000}"/>
    <cellStyle name="Input 2 2 2 6 2 3" xfId="33739" xr:uid="{00000000-0005-0000-0000-00003B260000}"/>
    <cellStyle name="Input 2 2 2 6 2 4" xfId="14035" xr:uid="{00000000-0005-0000-0000-00003C260000}"/>
    <cellStyle name="Input 2 2 2 6 3" xfId="6596" xr:uid="{00000000-0005-0000-0000-00003D260000}"/>
    <cellStyle name="Input 2 2 2 6 3 2" xfId="25568" xr:uid="{00000000-0005-0000-0000-00003E260000}"/>
    <cellStyle name="Input 2 2 2 6 3 3" xfId="36413" xr:uid="{00000000-0005-0000-0000-00003F260000}"/>
    <cellStyle name="Input 2 2 2 6 3 4" xfId="15951" xr:uid="{00000000-0005-0000-0000-000040260000}"/>
    <cellStyle name="Input 2 2 2 6 4" xfId="9255" xr:uid="{00000000-0005-0000-0000-000041260000}"/>
    <cellStyle name="Input 2 2 2 6 4 2" xfId="28227" xr:uid="{00000000-0005-0000-0000-000042260000}"/>
    <cellStyle name="Input 2 2 2 6 4 3" xfId="39072" xr:uid="{00000000-0005-0000-0000-000043260000}"/>
    <cellStyle name="Input 2 2 2 6 4 4" xfId="17855" xr:uid="{00000000-0005-0000-0000-000044260000}"/>
    <cellStyle name="Input 2 2 2 6 5" xfId="20051" xr:uid="{00000000-0005-0000-0000-000045260000}"/>
    <cellStyle name="Input 2 2 2 6 6" xfId="30896" xr:uid="{00000000-0005-0000-0000-000046260000}"/>
    <cellStyle name="Input 2 2 2 6 7" xfId="12001" xr:uid="{00000000-0005-0000-0000-000047260000}"/>
    <cellStyle name="Input 2 2 2 7" xfId="1000" xr:uid="{00000000-0005-0000-0000-000048260000}"/>
    <cellStyle name="Input 2 2 2 7 2" xfId="3853" xr:uid="{00000000-0005-0000-0000-000049260000}"/>
    <cellStyle name="Input 2 2 2 7 2 2" xfId="22825" xr:uid="{00000000-0005-0000-0000-00004A260000}"/>
    <cellStyle name="Input 2 2 2 7 2 3" xfId="33670" xr:uid="{00000000-0005-0000-0000-00004B260000}"/>
    <cellStyle name="Input 2 2 2 7 2 4" xfId="13982" xr:uid="{00000000-0005-0000-0000-00004C260000}"/>
    <cellStyle name="Input 2 2 2 7 3" xfId="6528" xr:uid="{00000000-0005-0000-0000-00004D260000}"/>
    <cellStyle name="Input 2 2 2 7 3 2" xfId="25500" xr:uid="{00000000-0005-0000-0000-00004E260000}"/>
    <cellStyle name="Input 2 2 2 7 3 3" xfId="36345" xr:uid="{00000000-0005-0000-0000-00004F260000}"/>
    <cellStyle name="Input 2 2 2 7 3 4" xfId="15898" xr:uid="{00000000-0005-0000-0000-000050260000}"/>
    <cellStyle name="Input 2 2 2 7 4" xfId="9187" xr:uid="{00000000-0005-0000-0000-000051260000}"/>
    <cellStyle name="Input 2 2 2 7 4 2" xfId="28159" xr:uid="{00000000-0005-0000-0000-000052260000}"/>
    <cellStyle name="Input 2 2 2 7 4 3" xfId="39004" xr:uid="{00000000-0005-0000-0000-000053260000}"/>
    <cellStyle name="Input 2 2 2 7 4 4" xfId="17802" xr:uid="{00000000-0005-0000-0000-000054260000}"/>
    <cellStyle name="Input 2 2 2 7 5" xfId="19983" xr:uid="{00000000-0005-0000-0000-000055260000}"/>
    <cellStyle name="Input 2 2 2 7 6" xfId="30828" xr:uid="{00000000-0005-0000-0000-000056260000}"/>
    <cellStyle name="Input 2 2 2 7 7" xfId="11948" xr:uid="{00000000-0005-0000-0000-000057260000}"/>
    <cellStyle name="Input 2 2 2 8" xfId="1064" xr:uid="{00000000-0005-0000-0000-000058260000}"/>
    <cellStyle name="Input 2 2 2 8 2" xfId="3917" xr:uid="{00000000-0005-0000-0000-000059260000}"/>
    <cellStyle name="Input 2 2 2 8 2 2" xfId="22889" xr:uid="{00000000-0005-0000-0000-00005A260000}"/>
    <cellStyle name="Input 2 2 2 8 2 3" xfId="33734" xr:uid="{00000000-0005-0000-0000-00005B260000}"/>
    <cellStyle name="Input 2 2 2 8 2 4" xfId="14030" xr:uid="{00000000-0005-0000-0000-00005C260000}"/>
    <cellStyle name="Input 2 2 2 8 3" xfId="6591" xr:uid="{00000000-0005-0000-0000-00005D260000}"/>
    <cellStyle name="Input 2 2 2 8 3 2" xfId="25563" xr:uid="{00000000-0005-0000-0000-00005E260000}"/>
    <cellStyle name="Input 2 2 2 8 3 3" xfId="36408" xr:uid="{00000000-0005-0000-0000-00005F260000}"/>
    <cellStyle name="Input 2 2 2 8 3 4" xfId="15946" xr:uid="{00000000-0005-0000-0000-000060260000}"/>
    <cellStyle name="Input 2 2 2 8 4" xfId="9250" xr:uid="{00000000-0005-0000-0000-000061260000}"/>
    <cellStyle name="Input 2 2 2 8 4 2" xfId="28222" xr:uid="{00000000-0005-0000-0000-000062260000}"/>
    <cellStyle name="Input 2 2 2 8 4 3" xfId="39067" xr:uid="{00000000-0005-0000-0000-000063260000}"/>
    <cellStyle name="Input 2 2 2 8 4 4" xfId="17850" xr:uid="{00000000-0005-0000-0000-000064260000}"/>
    <cellStyle name="Input 2 2 2 8 5" xfId="20046" xr:uid="{00000000-0005-0000-0000-000065260000}"/>
    <cellStyle name="Input 2 2 2 8 6" xfId="30891" xr:uid="{00000000-0005-0000-0000-000066260000}"/>
    <cellStyle name="Input 2 2 2 8 7" xfId="11996" xr:uid="{00000000-0005-0000-0000-000067260000}"/>
    <cellStyle name="Input 2 2 2 9" xfId="935" xr:uid="{00000000-0005-0000-0000-000068260000}"/>
    <cellStyle name="Input 2 2 2 9 2" xfId="3789" xr:uid="{00000000-0005-0000-0000-000069260000}"/>
    <cellStyle name="Input 2 2 2 9 2 2" xfId="22761" xr:uid="{00000000-0005-0000-0000-00006A260000}"/>
    <cellStyle name="Input 2 2 2 9 2 3" xfId="33606" xr:uid="{00000000-0005-0000-0000-00006B260000}"/>
    <cellStyle name="Input 2 2 2 9 2 4" xfId="13934" xr:uid="{00000000-0005-0000-0000-00006C260000}"/>
    <cellStyle name="Input 2 2 2 9 3" xfId="6464" xr:uid="{00000000-0005-0000-0000-00006D260000}"/>
    <cellStyle name="Input 2 2 2 9 3 2" xfId="25436" xr:uid="{00000000-0005-0000-0000-00006E260000}"/>
    <cellStyle name="Input 2 2 2 9 3 3" xfId="36281" xr:uid="{00000000-0005-0000-0000-00006F260000}"/>
    <cellStyle name="Input 2 2 2 9 3 4" xfId="15850" xr:uid="{00000000-0005-0000-0000-000070260000}"/>
    <cellStyle name="Input 2 2 2 9 4" xfId="9123" xr:uid="{00000000-0005-0000-0000-000071260000}"/>
    <cellStyle name="Input 2 2 2 9 4 2" xfId="28095" xr:uid="{00000000-0005-0000-0000-000072260000}"/>
    <cellStyle name="Input 2 2 2 9 4 3" xfId="38940" xr:uid="{00000000-0005-0000-0000-000073260000}"/>
    <cellStyle name="Input 2 2 2 9 4 4" xfId="17754" xr:uid="{00000000-0005-0000-0000-000074260000}"/>
    <cellStyle name="Input 2 2 2 9 5" xfId="19919" xr:uid="{00000000-0005-0000-0000-000075260000}"/>
    <cellStyle name="Input 2 2 2 9 6" xfId="30764" xr:uid="{00000000-0005-0000-0000-000076260000}"/>
    <cellStyle name="Input 2 2 2 9 7" xfId="11900" xr:uid="{00000000-0005-0000-0000-000077260000}"/>
    <cellStyle name="Input 2 2 3" xfId="551" xr:uid="{00000000-0005-0000-0000-000078260000}"/>
    <cellStyle name="Input 2 2 3 10" xfId="19561" xr:uid="{00000000-0005-0000-0000-000079260000}"/>
    <cellStyle name="Input 2 2 3 11" xfId="30406" xr:uid="{00000000-0005-0000-0000-00007A260000}"/>
    <cellStyle name="Input 2 2 3 12" xfId="11625" xr:uid="{00000000-0005-0000-0000-00007B260000}"/>
    <cellStyle name="Input 2 2 3 2" xfId="1157" xr:uid="{00000000-0005-0000-0000-00007C260000}"/>
    <cellStyle name="Input 2 2 3 2 2" xfId="4010" xr:uid="{00000000-0005-0000-0000-00007D260000}"/>
    <cellStyle name="Input 2 2 3 2 2 2" xfId="22982" xr:uid="{00000000-0005-0000-0000-00007E260000}"/>
    <cellStyle name="Input 2 2 3 2 2 3" xfId="33827" xr:uid="{00000000-0005-0000-0000-00007F260000}"/>
    <cellStyle name="Input 2 2 3 2 2 4" xfId="14102" xr:uid="{00000000-0005-0000-0000-000080260000}"/>
    <cellStyle name="Input 2 2 3 2 3" xfId="6683" xr:uid="{00000000-0005-0000-0000-000081260000}"/>
    <cellStyle name="Input 2 2 3 2 3 2" xfId="25655" xr:uid="{00000000-0005-0000-0000-000082260000}"/>
    <cellStyle name="Input 2 2 3 2 3 3" xfId="36500" xr:uid="{00000000-0005-0000-0000-000083260000}"/>
    <cellStyle name="Input 2 2 3 2 3 4" xfId="16017" xr:uid="{00000000-0005-0000-0000-000084260000}"/>
    <cellStyle name="Input 2 2 3 2 4" xfId="9342" xr:uid="{00000000-0005-0000-0000-000085260000}"/>
    <cellStyle name="Input 2 2 3 2 4 2" xfId="28314" xr:uid="{00000000-0005-0000-0000-000086260000}"/>
    <cellStyle name="Input 2 2 3 2 4 3" xfId="39159" xr:uid="{00000000-0005-0000-0000-000087260000}"/>
    <cellStyle name="Input 2 2 3 2 4 4" xfId="17921" xr:uid="{00000000-0005-0000-0000-000088260000}"/>
    <cellStyle name="Input 2 2 3 2 5" xfId="20138" xr:uid="{00000000-0005-0000-0000-000089260000}"/>
    <cellStyle name="Input 2 2 3 2 6" xfId="30983" xr:uid="{00000000-0005-0000-0000-00008A260000}"/>
    <cellStyle name="Input 2 2 3 2 7" xfId="12067" xr:uid="{00000000-0005-0000-0000-00008B260000}"/>
    <cellStyle name="Input 2 2 3 3" xfId="1554" xr:uid="{00000000-0005-0000-0000-00008C260000}"/>
    <cellStyle name="Input 2 2 3 3 2" xfId="4407" xr:uid="{00000000-0005-0000-0000-00008D260000}"/>
    <cellStyle name="Input 2 2 3 3 2 2" xfId="23379" xr:uid="{00000000-0005-0000-0000-00008E260000}"/>
    <cellStyle name="Input 2 2 3 3 2 3" xfId="34224" xr:uid="{00000000-0005-0000-0000-00008F260000}"/>
    <cellStyle name="Input 2 2 3 3 2 4" xfId="14388" xr:uid="{00000000-0005-0000-0000-000090260000}"/>
    <cellStyle name="Input 2 2 3 3 3" xfId="7079" xr:uid="{00000000-0005-0000-0000-000091260000}"/>
    <cellStyle name="Input 2 2 3 3 3 2" xfId="26051" xr:uid="{00000000-0005-0000-0000-000092260000}"/>
    <cellStyle name="Input 2 2 3 3 3 3" xfId="36896" xr:uid="{00000000-0005-0000-0000-000093260000}"/>
    <cellStyle name="Input 2 2 3 3 3 4" xfId="16302" xr:uid="{00000000-0005-0000-0000-000094260000}"/>
    <cellStyle name="Input 2 2 3 3 4" xfId="9738" xr:uid="{00000000-0005-0000-0000-000095260000}"/>
    <cellStyle name="Input 2 2 3 3 4 2" xfId="28710" xr:uid="{00000000-0005-0000-0000-000096260000}"/>
    <cellStyle name="Input 2 2 3 3 4 3" xfId="39555" xr:uid="{00000000-0005-0000-0000-000097260000}"/>
    <cellStyle name="Input 2 2 3 3 4 4" xfId="18206" xr:uid="{00000000-0005-0000-0000-000098260000}"/>
    <cellStyle name="Input 2 2 3 3 5" xfId="20534" xr:uid="{00000000-0005-0000-0000-000099260000}"/>
    <cellStyle name="Input 2 2 3 3 6" xfId="31379" xr:uid="{00000000-0005-0000-0000-00009A260000}"/>
    <cellStyle name="Input 2 2 3 3 7" xfId="12352" xr:uid="{00000000-0005-0000-0000-00009B260000}"/>
    <cellStyle name="Input 2 2 3 4" xfId="1958" xr:uid="{00000000-0005-0000-0000-00009C260000}"/>
    <cellStyle name="Input 2 2 3 4 2" xfId="4811" xr:uid="{00000000-0005-0000-0000-00009D260000}"/>
    <cellStyle name="Input 2 2 3 4 2 2" xfId="23783" xr:uid="{00000000-0005-0000-0000-00009E260000}"/>
    <cellStyle name="Input 2 2 3 4 2 3" xfId="34628" xr:uid="{00000000-0005-0000-0000-00009F260000}"/>
    <cellStyle name="Input 2 2 3 4 2 4" xfId="14676" xr:uid="{00000000-0005-0000-0000-0000A0260000}"/>
    <cellStyle name="Input 2 2 3 4 3" xfId="7483" xr:uid="{00000000-0005-0000-0000-0000A1260000}"/>
    <cellStyle name="Input 2 2 3 4 3 2" xfId="26455" xr:uid="{00000000-0005-0000-0000-0000A2260000}"/>
    <cellStyle name="Input 2 2 3 4 3 3" xfId="37300" xr:uid="{00000000-0005-0000-0000-0000A3260000}"/>
    <cellStyle name="Input 2 2 3 4 3 4" xfId="16590" xr:uid="{00000000-0005-0000-0000-0000A4260000}"/>
    <cellStyle name="Input 2 2 3 4 4" xfId="10142" xr:uid="{00000000-0005-0000-0000-0000A5260000}"/>
    <cellStyle name="Input 2 2 3 4 4 2" xfId="29114" xr:uid="{00000000-0005-0000-0000-0000A6260000}"/>
    <cellStyle name="Input 2 2 3 4 4 3" xfId="39959" xr:uid="{00000000-0005-0000-0000-0000A7260000}"/>
    <cellStyle name="Input 2 2 3 4 4 4" xfId="18494" xr:uid="{00000000-0005-0000-0000-0000A8260000}"/>
    <cellStyle name="Input 2 2 3 4 5" xfId="20938" xr:uid="{00000000-0005-0000-0000-0000A9260000}"/>
    <cellStyle name="Input 2 2 3 4 6" xfId="31783" xr:uid="{00000000-0005-0000-0000-0000AA260000}"/>
    <cellStyle name="Input 2 2 3 4 7" xfId="12640" xr:uid="{00000000-0005-0000-0000-0000AB260000}"/>
    <cellStyle name="Input 2 2 3 5" xfId="2350" xr:uid="{00000000-0005-0000-0000-0000AC260000}"/>
    <cellStyle name="Input 2 2 3 5 2" xfId="5203" xr:uid="{00000000-0005-0000-0000-0000AD260000}"/>
    <cellStyle name="Input 2 2 3 5 2 2" xfId="24175" xr:uid="{00000000-0005-0000-0000-0000AE260000}"/>
    <cellStyle name="Input 2 2 3 5 2 3" xfId="35020" xr:uid="{00000000-0005-0000-0000-0000AF260000}"/>
    <cellStyle name="Input 2 2 3 5 2 4" xfId="14957" xr:uid="{00000000-0005-0000-0000-0000B0260000}"/>
    <cellStyle name="Input 2 2 3 5 3" xfId="7874" xr:uid="{00000000-0005-0000-0000-0000B1260000}"/>
    <cellStyle name="Input 2 2 3 5 3 2" xfId="26846" xr:uid="{00000000-0005-0000-0000-0000B2260000}"/>
    <cellStyle name="Input 2 2 3 5 3 3" xfId="37691" xr:uid="{00000000-0005-0000-0000-0000B3260000}"/>
    <cellStyle name="Input 2 2 3 5 3 4" xfId="16870" xr:uid="{00000000-0005-0000-0000-0000B4260000}"/>
    <cellStyle name="Input 2 2 3 5 4" xfId="10533" xr:uid="{00000000-0005-0000-0000-0000B5260000}"/>
    <cellStyle name="Input 2 2 3 5 4 2" xfId="29505" xr:uid="{00000000-0005-0000-0000-0000B6260000}"/>
    <cellStyle name="Input 2 2 3 5 4 3" xfId="40350" xr:uid="{00000000-0005-0000-0000-0000B7260000}"/>
    <cellStyle name="Input 2 2 3 5 4 4" xfId="18774" xr:uid="{00000000-0005-0000-0000-0000B8260000}"/>
    <cellStyle name="Input 2 2 3 5 5" xfId="21329" xr:uid="{00000000-0005-0000-0000-0000B9260000}"/>
    <cellStyle name="Input 2 2 3 5 6" xfId="32174" xr:uid="{00000000-0005-0000-0000-0000BA260000}"/>
    <cellStyle name="Input 2 2 3 5 7" xfId="12920" xr:uid="{00000000-0005-0000-0000-0000BB260000}"/>
    <cellStyle name="Input 2 2 3 6" xfId="2739" xr:uid="{00000000-0005-0000-0000-0000BC260000}"/>
    <cellStyle name="Input 2 2 3 6 2" xfId="5591" xr:uid="{00000000-0005-0000-0000-0000BD260000}"/>
    <cellStyle name="Input 2 2 3 6 2 2" xfId="24563" xr:uid="{00000000-0005-0000-0000-0000BE260000}"/>
    <cellStyle name="Input 2 2 3 6 2 3" xfId="35408" xr:uid="{00000000-0005-0000-0000-0000BF260000}"/>
    <cellStyle name="Input 2 2 3 6 2 4" xfId="15235" xr:uid="{00000000-0005-0000-0000-0000C0260000}"/>
    <cellStyle name="Input 2 2 3 6 3" xfId="8262" xr:uid="{00000000-0005-0000-0000-0000C1260000}"/>
    <cellStyle name="Input 2 2 3 6 3 2" xfId="27234" xr:uid="{00000000-0005-0000-0000-0000C2260000}"/>
    <cellStyle name="Input 2 2 3 6 3 3" xfId="38079" xr:uid="{00000000-0005-0000-0000-0000C3260000}"/>
    <cellStyle name="Input 2 2 3 6 3 4" xfId="17148" xr:uid="{00000000-0005-0000-0000-0000C4260000}"/>
    <cellStyle name="Input 2 2 3 6 4" xfId="10921" xr:uid="{00000000-0005-0000-0000-0000C5260000}"/>
    <cellStyle name="Input 2 2 3 6 4 2" xfId="29893" xr:uid="{00000000-0005-0000-0000-0000C6260000}"/>
    <cellStyle name="Input 2 2 3 6 4 3" xfId="40738" xr:uid="{00000000-0005-0000-0000-0000C7260000}"/>
    <cellStyle name="Input 2 2 3 6 4 4" xfId="19052" xr:uid="{00000000-0005-0000-0000-0000C8260000}"/>
    <cellStyle name="Input 2 2 3 6 5" xfId="21717" xr:uid="{00000000-0005-0000-0000-0000C9260000}"/>
    <cellStyle name="Input 2 2 3 6 6" xfId="32562" xr:uid="{00000000-0005-0000-0000-0000CA260000}"/>
    <cellStyle name="Input 2 2 3 6 7" xfId="13198" xr:uid="{00000000-0005-0000-0000-0000CB260000}"/>
    <cellStyle name="Input 2 2 3 7" xfId="3430" xr:uid="{00000000-0005-0000-0000-0000CC260000}"/>
    <cellStyle name="Input 2 2 3 7 2" xfId="22402" xr:uid="{00000000-0005-0000-0000-0000CD260000}"/>
    <cellStyle name="Input 2 2 3 7 3" xfId="33247" xr:uid="{00000000-0005-0000-0000-0000CE260000}"/>
    <cellStyle name="Input 2 2 3 7 4" xfId="13680" xr:uid="{00000000-0005-0000-0000-0000CF260000}"/>
    <cellStyle name="Input 2 2 3 8" xfId="6106" xr:uid="{00000000-0005-0000-0000-0000D0260000}"/>
    <cellStyle name="Input 2 2 3 8 2" xfId="25078" xr:uid="{00000000-0005-0000-0000-0000D1260000}"/>
    <cellStyle name="Input 2 2 3 8 3" xfId="35923" xr:uid="{00000000-0005-0000-0000-0000D2260000}"/>
    <cellStyle name="Input 2 2 3 8 4" xfId="15597" xr:uid="{00000000-0005-0000-0000-0000D3260000}"/>
    <cellStyle name="Input 2 2 3 9" xfId="8765" xr:uid="{00000000-0005-0000-0000-0000D4260000}"/>
    <cellStyle name="Input 2 2 3 9 2" xfId="27737" xr:uid="{00000000-0005-0000-0000-0000D5260000}"/>
    <cellStyle name="Input 2 2 3 9 3" xfId="38582" xr:uid="{00000000-0005-0000-0000-0000D6260000}"/>
    <cellStyle name="Input 2 2 3 9 4" xfId="17501" xr:uid="{00000000-0005-0000-0000-0000D7260000}"/>
    <cellStyle name="Input 2 2 4" xfId="11449" xr:uid="{00000000-0005-0000-0000-0000D8260000}"/>
    <cellStyle name="Input 2 3" xfId="98" xr:uid="{00000000-0005-0000-0000-0000D9260000}"/>
    <cellStyle name="Input 2 3 2" xfId="368" xr:uid="{00000000-0005-0000-0000-0000DA260000}"/>
    <cellStyle name="Input 2 3 2 10" xfId="1047" xr:uid="{00000000-0005-0000-0000-0000DB260000}"/>
    <cellStyle name="Input 2 3 2 10 2" xfId="3900" xr:uid="{00000000-0005-0000-0000-0000DC260000}"/>
    <cellStyle name="Input 2 3 2 10 2 2" xfId="22872" xr:uid="{00000000-0005-0000-0000-0000DD260000}"/>
    <cellStyle name="Input 2 3 2 10 2 3" xfId="33717" xr:uid="{00000000-0005-0000-0000-0000DE260000}"/>
    <cellStyle name="Input 2 3 2 10 2 4" xfId="14016" xr:uid="{00000000-0005-0000-0000-0000DF260000}"/>
    <cellStyle name="Input 2 3 2 10 3" xfId="6574" xr:uid="{00000000-0005-0000-0000-0000E0260000}"/>
    <cellStyle name="Input 2 3 2 10 3 2" xfId="25546" xr:uid="{00000000-0005-0000-0000-0000E1260000}"/>
    <cellStyle name="Input 2 3 2 10 3 3" xfId="36391" xr:uid="{00000000-0005-0000-0000-0000E2260000}"/>
    <cellStyle name="Input 2 3 2 10 3 4" xfId="15932" xr:uid="{00000000-0005-0000-0000-0000E3260000}"/>
    <cellStyle name="Input 2 3 2 10 4" xfId="9233" xr:uid="{00000000-0005-0000-0000-0000E4260000}"/>
    <cellStyle name="Input 2 3 2 10 4 2" xfId="28205" xr:uid="{00000000-0005-0000-0000-0000E5260000}"/>
    <cellStyle name="Input 2 3 2 10 4 3" xfId="39050" xr:uid="{00000000-0005-0000-0000-0000E6260000}"/>
    <cellStyle name="Input 2 3 2 10 4 4" xfId="17836" xr:uid="{00000000-0005-0000-0000-0000E7260000}"/>
    <cellStyle name="Input 2 3 2 10 5" xfId="20029" xr:uid="{00000000-0005-0000-0000-0000E8260000}"/>
    <cellStyle name="Input 2 3 2 10 6" xfId="30874" xr:uid="{00000000-0005-0000-0000-0000E9260000}"/>
    <cellStyle name="Input 2 3 2 10 7" xfId="11982" xr:uid="{00000000-0005-0000-0000-0000EA260000}"/>
    <cellStyle name="Input 2 3 2 11" xfId="1022" xr:uid="{00000000-0005-0000-0000-0000EB260000}"/>
    <cellStyle name="Input 2 3 2 11 2" xfId="3875" xr:uid="{00000000-0005-0000-0000-0000EC260000}"/>
    <cellStyle name="Input 2 3 2 11 2 2" xfId="22847" xr:uid="{00000000-0005-0000-0000-0000ED260000}"/>
    <cellStyle name="Input 2 3 2 11 2 3" xfId="33692" xr:uid="{00000000-0005-0000-0000-0000EE260000}"/>
    <cellStyle name="Input 2 3 2 11 2 4" xfId="13997" xr:uid="{00000000-0005-0000-0000-0000EF260000}"/>
    <cellStyle name="Input 2 3 2 11 3" xfId="6549" xr:uid="{00000000-0005-0000-0000-0000F0260000}"/>
    <cellStyle name="Input 2 3 2 11 3 2" xfId="25521" xr:uid="{00000000-0005-0000-0000-0000F1260000}"/>
    <cellStyle name="Input 2 3 2 11 3 3" xfId="36366" xr:uid="{00000000-0005-0000-0000-0000F2260000}"/>
    <cellStyle name="Input 2 3 2 11 3 4" xfId="15913" xr:uid="{00000000-0005-0000-0000-0000F3260000}"/>
    <cellStyle name="Input 2 3 2 11 4" xfId="9208" xr:uid="{00000000-0005-0000-0000-0000F4260000}"/>
    <cellStyle name="Input 2 3 2 11 4 2" xfId="28180" xr:uid="{00000000-0005-0000-0000-0000F5260000}"/>
    <cellStyle name="Input 2 3 2 11 4 3" xfId="39025" xr:uid="{00000000-0005-0000-0000-0000F6260000}"/>
    <cellStyle name="Input 2 3 2 11 4 4" xfId="17817" xr:uid="{00000000-0005-0000-0000-0000F7260000}"/>
    <cellStyle name="Input 2 3 2 11 5" xfId="20004" xr:uid="{00000000-0005-0000-0000-0000F8260000}"/>
    <cellStyle name="Input 2 3 2 11 6" xfId="30849" xr:uid="{00000000-0005-0000-0000-0000F9260000}"/>
    <cellStyle name="Input 2 3 2 11 7" xfId="11963" xr:uid="{00000000-0005-0000-0000-0000FA260000}"/>
    <cellStyle name="Input 2 3 2 12" xfId="3104" xr:uid="{00000000-0005-0000-0000-0000FB260000}"/>
    <cellStyle name="Input 2 3 2 12 2" xfId="5955" xr:uid="{00000000-0005-0000-0000-0000FC260000}"/>
    <cellStyle name="Input 2 3 2 12 2 2" xfId="24927" xr:uid="{00000000-0005-0000-0000-0000FD260000}"/>
    <cellStyle name="Input 2 3 2 12 2 3" xfId="35772" xr:uid="{00000000-0005-0000-0000-0000FE260000}"/>
    <cellStyle name="Input 2 3 2 12 2 4" xfId="15490" xr:uid="{00000000-0005-0000-0000-0000FF260000}"/>
    <cellStyle name="Input 2 3 2 12 3" xfId="8626" xr:uid="{00000000-0005-0000-0000-000000270000}"/>
    <cellStyle name="Input 2 3 2 12 3 2" xfId="27598" xr:uid="{00000000-0005-0000-0000-000001270000}"/>
    <cellStyle name="Input 2 3 2 12 3 3" xfId="38443" xr:uid="{00000000-0005-0000-0000-000002270000}"/>
    <cellStyle name="Input 2 3 2 12 3 4" xfId="17403" xr:uid="{00000000-0005-0000-0000-000003270000}"/>
    <cellStyle name="Input 2 3 2 12 4" xfId="11285" xr:uid="{00000000-0005-0000-0000-000004270000}"/>
    <cellStyle name="Input 2 3 2 12 4 2" xfId="30257" xr:uid="{00000000-0005-0000-0000-000005270000}"/>
    <cellStyle name="Input 2 3 2 12 4 3" xfId="41102" xr:uid="{00000000-0005-0000-0000-000006270000}"/>
    <cellStyle name="Input 2 3 2 12 4 4" xfId="19307" xr:uid="{00000000-0005-0000-0000-000007270000}"/>
    <cellStyle name="Input 2 3 2 12 5" xfId="22081" xr:uid="{00000000-0005-0000-0000-000008270000}"/>
    <cellStyle name="Input 2 3 2 12 6" xfId="32926" xr:uid="{00000000-0005-0000-0000-000009270000}"/>
    <cellStyle name="Input 2 3 2 12 7" xfId="13453" xr:uid="{00000000-0005-0000-0000-00000A270000}"/>
    <cellStyle name="Input 2 3 2 13" xfId="3161" xr:uid="{00000000-0005-0000-0000-00000B270000}"/>
    <cellStyle name="Input 2 3 2 13 2" xfId="6012" xr:uid="{00000000-0005-0000-0000-00000C270000}"/>
    <cellStyle name="Input 2 3 2 13 2 2" xfId="24984" xr:uid="{00000000-0005-0000-0000-00000D270000}"/>
    <cellStyle name="Input 2 3 2 13 2 3" xfId="35829" xr:uid="{00000000-0005-0000-0000-00000E270000}"/>
    <cellStyle name="Input 2 3 2 13 2 4" xfId="15527" xr:uid="{00000000-0005-0000-0000-00000F270000}"/>
    <cellStyle name="Input 2 3 2 13 3" xfId="8683" xr:uid="{00000000-0005-0000-0000-000010270000}"/>
    <cellStyle name="Input 2 3 2 13 3 2" xfId="27655" xr:uid="{00000000-0005-0000-0000-000011270000}"/>
    <cellStyle name="Input 2 3 2 13 3 3" xfId="38500" xr:uid="{00000000-0005-0000-0000-000012270000}"/>
    <cellStyle name="Input 2 3 2 13 3 4" xfId="17440" xr:uid="{00000000-0005-0000-0000-000013270000}"/>
    <cellStyle name="Input 2 3 2 13 4" xfId="11342" xr:uid="{00000000-0005-0000-0000-000014270000}"/>
    <cellStyle name="Input 2 3 2 13 4 2" xfId="30314" xr:uid="{00000000-0005-0000-0000-000015270000}"/>
    <cellStyle name="Input 2 3 2 13 4 3" xfId="41159" xr:uid="{00000000-0005-0000-0000-000016270000}"/>
    <cellStyle name="Input 2 3 2 13 4 4" xfId="19344" xr:uid="{00000000-0005-0000-0000-000017270000}"/>
    <cellStyle name="Input 2 3 2 13 5" xfId="22138" xr:uid="{00000000-0005-0000-0000-000018270000}"/>
    <cellStyle name="Input 2 3 2 13 6" xfId="32983" xr:uid="{00000000-0005-0000-0000-000019270000}"/>
    <cellStyle name="Input 2 3 2 13 7" xfId="13490" xr:uid="{00000000-0005-0000-0000-00001A270000}"/>
    <cellStyle name="Input 2 3 2 14" xfId="3327" xr:uid="{00000000-0005-0000-0000-00001B270000}"/>
    <cellStyle name="Input 2 3 2 14 2" xfId="22301" xr:uid="{00000000-0005-0000-0000-00001C270000}"/>
    <cellStyle name="Input 2 3 2 14 3" xfId="33146" xr:uid="{00000000-0005-0000-0000-00001D270000}"/>
    <cellStyle name="Input 2 3 2 14 4" xfId="13607" xr:uid="{00000000-0005-0000-0000-00001E270000}"/>
    <cellStyle name="Input 2 3 2 15" xfId="3291" xr:uid="{00000000-0005-0000-0000-00001F270000}"/>
    <cellStyle name="Input 2 3 2 15 2" xfId="22265" xr:uid="{00000000-0005-0000-0000-000020270000}"/>
    <cellStyle name="Input 2 3 2 15 3" xfId="33110" xr:uid="{00000000-0005-0000-0000-000021270000}"/>
    <cellStyle name="Input 2 3 2 15 4" xfId="13581" xr:uid="{00000000-0005-0000-0000-000022270000}"/>
    <cellStyle name="Input 2 3 2 16" xfId="3238" xr:uid="{00000000-0005-0000-0000-000023270000}"/>
    <cellStyle name="Input 2 3 2 16 2" xfId="22215" xr:uid="{00000000-0005-0000-0000-000024270000}"/>
    <cellStyle name="Input 2 3 2 16 3" xfId="33060" xr:uid="{00000000-0005-0000-0000-000025270000}"/>
    <cellStyle name="Input 2 3 2 16 4" xfId="13543" xr:uid="{00000000-0005-0000-0000-000026270000}"/>
    <cellStyle name="Input 2 3 2 17" xfId="19458" xr:uid="{00000000-0005-0000-0000-000027270000}"/>
    <cellStyle name="Input 2 3 2 18" xfId="19403" xr:uid="{00000000-0005-0000-0000-000028270000}"/>
    <cellStyle name="Input 2 3 2 19" xfId="11517" xr:uid="{00000000-0005-0000-0000-000029270000}"/>
    <cellStyle name="Input 2 3 2 2" xfId="669" xr:uid="{00000000-0005-0000-0000-00002A270000}"/>
    <cellStyle name="Input 2 3 2 2 10" xfId="19654" xr:uid="{00000000-0005-0000-0000-00002B270000}"/>
    <cellStyle name="Input 2 3 2 2 11" xfId="30499" xr:uid="{00000000-0005-0000-0000-00002C270000}"/>
    <cellStyle name="Input 2 3 2 2 12" xfId="11721" xr:uid="{00000000-0005-0000-0000-00002D270000}"/>
    <cellStyle name="Input 2 3 2 2 2" xfId="1256" xr:uid="{00000000-0005-0000-0000-00002E270000}"/>
    <cellStyle name="Input 2 3 2 2 2 2" xfId="4109" xr:uid="{00000000-0005-0000-0000-00002F270000}"/>
    <cellStyle name="Input 2 3 2 2 2 2 2" xfId="23081" xr:uid="{00000000-0005-0000-0000-000030270000}"/>
    <cellStyle name="Input 2 3 2 2 2 2 3" xfId="33926" xr:uid="{00000000-0005-0000-0000-000031270000}"/>
    <cellStyle name="Input 2 3 2 2 2 2 4" xfId="14182" xr:uid="{00000000-0005-0000-0000-000032270000}"/>
    <cellStyle name="Input 2 3 2 2 2 3" xfId="6782" xr:uid="{00000000-0005-0000-0000-000033270000}"/>
    <cellStyle name="Input 2 3 2 2 2 3 2" xfId="25754" xr:uid="{00000000-0005-0000-0000-000034270000}"/>
    <cellStyle name="Input 2 3 2 2 2 3 3" xfId="36599" xr:uid="{00000000-0005-0000-0000-000035270000}"/>
    <cellStyle name="Input 2 3 2 2 2 3 4" xfId="16097" xr:uid="{00000000-0005-0000-0000-000036270000}"/>
    <cellStyle name="Input 2 3 2 2 2 4" xfId="9441" xr:uid="{00000000-0005-0000-0000-000037270000}"/>
    <cellStyle name="Input 2 3 2 2 2 4 2" xfId="28413" xr:uid="{00000000-0005-0000-0000-000038270000}"/>
    <cellStyle name="Input 2 3 2 2 2 4 3" xfId="39258" xr:uid="{00000000-0005-0000-0000-000039270000}"/>
    <cellStyle name="Input 2 3 2 2 2 4 4" xfId="18001" xr:uid="{00000000-0005-0000-0000-00003A270000}"/>
    <cellStyle name="Input 2 3 2 2 2 5" xfId="20237" xr:uid="{00000000-0005-0000-0000-00003B270000}"/>
    <cellStyle name="Input 2 3 2 2 2 6" xfId="31082" xr:uid="{00000000-0005-0000-0000-00003C270000}"/>
    <cellStyle name="Input 2 3 2 2 2 7" xfId="12147" xr:uid="{00000000-0005-0000-0000-00003D270000}"/>
    <cellStyle name="Input 2 3 2 2 3" xfId="1655" xr:uid="{00000000-0005-0000-0000-00003E270000}"/>
    <cellStyle name="Input 2 3 2 2 3 2" xfId="4508" xr:uid="{00000000-0005-0000-0000-00003F270000}"/>
    <cellStyle name="Input 2 3 2 2 3 2 2" xfId="23480" xr:uid="{00000000-0005-0000-0000-000040270000}"/>
    <cellStyle name="Input 2 3 2 2 3 2 3" xfId="34325" xr:uid="{00000000-0005-0000-0000-000041270000}"/>
    <cellStyle name="Input 2 3 2 2 3 2 4" xfId="14469" xr:uid="{00000000-0005-0000-0000-000042270000}"/>
    <cellStyle name="Input 2 3 2 2 3 3" xfId="7180" xr:uid="{00000000-0005-0000-0000-000043270000}"/>
    <cellStyle name="Input 2 3 2 2 3 3 2" xfId="26152" xr:uid="{00000000-0005-0000-0000-000044270000}"/>
    <cellStyle name="Input 2 3 2 2 3 3 3" xfId="36997" xr:uid="{00000000-0005-0000-0000-000045270000}"/>
    <cellStyle name="Input 2 3 2 2 3 3 4" xfId="16383" xr:uid="{00000000-0005-0000-0000-000046270000}"/>
    <cellStyle name="Input 2 3 2 2 3 4" xfId="9839" xr:uid="{00000000-0005-0000-0000-000047270000}"/>
    <cellStyle name="Input 2 3 2 2 3 4 2" xfId="28811" xr:uid="{00000000-0005-0000-0000-000048270000}"/>
    <cellStyle name="Input 2 3 2 2 3 4 3" xfId="39656" xr:uid="{00000000-0005-0000-0000-000049270000}"/>
    <cellStyle name="Input 2 3 2 2 3 4 4" xfId="18287" xr:uid="{00000000-0005-0000-0000-00004A270000}"/>
    <cellStyle name="Input 2 3 2 2 3 5" xfId="20635" xr:uid="{00000000-0005-0000-0000-00004B270000}"/>
    <cellStyle name="Input 2 3 2 2 3 6" xfId="31480" xr:uid="{00000000-0005-0000-0000-00004C270000}"/>
    <cellStyle name="Input 2 3 2 2 3 7" xfId="12433" xr:uid="{00000000-0005-0000-0000-00004D270000}"/>
    <cellStyle name="Input 2 3 2 2 4" xfId="2059" xr:uid="{00000000-0005-0000-0000-00004E270000}"/>
    <cellStyle name="Input 2 3 2 2 4 2" xfId="4912" xr:uid="{00000000-0005-0000-0000-00004F270000}"/>
    <cellStyle name="Input 2 3 2 2 4 2 2" xfId="23884" xr:uid="{00000000-0005-0000-0000-000050270000}"/>
    <cellStyle name="Input 2 3 2 2 4 2 3" xfId="34729" xr:uid="{00000000-0005-0000-0000-000051270000}"/>
    <cellStyle name="Input 2 3 2 2 4 2 4" xfId="14756" xr:uid="{00000000-0005-0000-0000-000052270000}"/>
    <cellStyle name="Input 2 3 2 2 4 3" xfId="7583" xr:uid="{00000000-0005-0000-0000-000053270000}"/>
    <cellStyle name="Input 2 3 2 2 4 3 2" xfId="26555" xr:uid="{00000000-0005-0000-0000-000054270000}"/>
    <cellStyle name="Input 2 3 2 2 4 3 3" xfId="37400" xr:uid="{00000000-0005-0000-0000-000055270000}"/>
    <cellStyle name="Input 2 3 2 2 4 3 4" xfId="16669" xr:uid="{00000000-0005-0000-0000-000056270000}"/>
    <cellStyle name="Input 2 3 2 2 4 4" xfId="10242" xr:uid="{00000000-0005-0000-0000-000057270000}"/>
    <cellStyle name="Input 2 3 2 2 4 4 2" xfId="29214" xr:uid="{00000000-0005-0000-0000-000058270000}"/>
    <cellStyle name="Input 2 3 2 2 4 4 3" xfId="40059" xr:uid="{00000000-0005-0000-0000-000059270000}"/>
    <cellStyle name="Input 2 3 2 2 4 4 4" xfId="18573" xr:uid="{00000000-0005-0000-0000-00005A270000}"/>
    <cellStyle name="Input 2 3 2 2 4 5" xfId="21038" xr:uid="{00000000-0005-0000-0000-00005B270000}"/>
    <cellStyle name="Input 2 3 2 2 4 6" xfId="31883" xr:uid="{00000000-0005-0000-0000-00005C270000}"/>
    <cellStyle name="Input 2 3 2 2 4 7" xfId="12719" xr:uid="{00000000-0005-0000-0000-00005D270000}"/>
    <cellStyle name="Input 2 3 2 2 5" xfId="2449" xr:uid="{00000000-0005-0000-0000-00005E270000}"/>
    <cellStyle name="Input 2 3 2 2 5 2" xfId="5301" xr:uid="{00000000-0005-0000-0000-00005F270000}"/>
    <cellStyle name="Input 2 3 2 2 5 2 2" xfId="24273" xr:uid="{00000000-0005-0000-0000-000060270000}"/>
    <cellStyle name="Input 2 3 2 2 5 2 3" xfId="35118" xr:uid="{00000000-0005-0000-0000-000061270000}"/>
    <cellStyle name="Input 2 3 2 2 5 2 4" xfId="15035" xr:uid="{00000000-0005-0000-0000-000062270000}"/>
    <cellStyle name="Input 2 3 2 2 5 3" xfId="7972" xr:uid="{00000000-0005-0000-0000-000063270000}"/>
    <cellStyle name="Input 2 3 2 2 5 3 2" xfId="26944" xr:uid="{00000000-0005-0000-0000-000064270000}"/>
    <cellStyle name="Input 2 3 2 2 5 3 3" xfId="37789" xr:uid="{00000000-0005-0000-0000-000065270000}"/>
    <cellStyle name="Input 2 3 2 2 5 3 4" xfId="16948" xr:uid="{00000000-0005-0000-0000-000066270000}"/>
    <cellStyle name="Input 2 3 2 2 5 4" xfId="10631" xr:uid="{00000000-0005-0000-0000-000067270000}"/>
    <cellStyle name="Input 2 3 2 2 5 4 2" xfId="29603" xr:uid="{00000000-0005-0000-0000-000068270000}"/>
    <cellStyle name="Input 2 3 2 2 5 4 3" xfId="40448" xr:uid="{00000000-0005-0000-0000-000069270000}"/>
    <cellStyle name="Input 2 3 2 2 5 4 4" xfId="18852" xr:uid="{00000000-0005-0000-0000-00006A270000}"/>
    <cellStyle name="Input 2 3 2 2 5 5" xfId="21427" xr:uid="{00000000-0005-0000-0000-00006B270000}"/>
    <cellStyle name="Input 2 3 2 2 5 6" xfId="32272" xr:uid="{00000000-0005-0000-0000-00006C270000}"/>
    <cellStyle name="Input 2 3 2 2 5 7" xfId="12998" xr:uid="{00000000-0005-0000-0000-00006D270000}"/>
    <cellStyle name="Input 2 3 2 2 6" xfId="2835" xr:uid="{00000000-0005-0000-0000-00006E270000}"/>
    <cellStyle name="Input 2 3 2 2 6 2" xfId="5686" xr:uid="{00000000-0005-0000-0000-00006F270000}"/>
    <cellStyle name="Input 2 3 2 2 6 2 2" xfId="24658" xr:uid="{00000000-0005-0000-0000-000070270000}"/>
    <cellStyle name="Input 2 3 2 2 6 2 3" xfId="35503" xr:uid="{00000000-0005-0000-0000-000071270000}"/>
    <cellStyle name="Input 2 3 2 2 6 2 4" xfId="15311" xr:uid="{00000000-0005-0000-0000-000072270000}"/>
    <cellStyle name="Input 2 3 2 2 6 3" xfId="8357" xr:uid="{00000000-0005-0000-0000-000073270000}"/>
    <cellStyle name="Input 2 3 2 2 6 3 2" xfId="27329" xr:uid="{00000000-0005-0000-0000-000074270000}"/>
    <cellStyle name="Input 2 3 2 2 6 3 3" xfId="38174" xr:uid="{00000000-0005-0000-0000-000075270000}"/>
    <cellStyle name="Input 2 3 2 2 6 3 4" xfId="17224" xr:uid="{00000000-0005-0000-0000-000076270000}"/>
    <cellStyle name="Input 2 3 2 2 6 4" xfId="11016" xr:uid="{00000000-0005-0000-0000-000077270000}"/>
    <cellStyle name="Input 2 3 2 2 6 4 2" xfId="29988" xr:uid="{00000000-0005-0000-0000-000078270000}"/>
    <cellStyle name="Input 2 3 2 2 6 4 3" xfId="40833" xr:uid="{00000000-0005-0000-0000-000079270000}"/>
    <cellStyle name="Input 2 3 2 2 6 4 4" xfId="19128" xr:uid="{00000000-0005-0000-0000-00007A270000}"/>
    <cellStyle name="Input 2 3 2 2 6 5" xfId="21812" xr:uid="{00000000-0005-0000-0000-00007B270000}"/>
    <cellStyle name="Input 2 3 2 2 6 6" xfId="32657" xr:uid="{00000000-0005-0000-0000-00007C270000}"/>
    <cellStyle name="Input 2 3 2 2 6 7" xfId="13274" xr:uid="{00000000-0005-0000-0000-00007D270000}"/>
    <cellStyle name="Input 2 3 2 2 7" xfId="3524" xr:uid="{00000000-0005-0000-0000-00007E270000}"/>
    <cellStyle name="Input 2 3 2 2 7 2" xfId="22496" xr:uid="{00000000-0005-0000-0000-00007F270000}"/>
    <cellStyle name="Input 2 3 2 2 7 3" xfId="33341" xr:uid="{00000000-0005-0000-0000-000080270000}"/>
    <cellStyle name="Input 2 3 2 2 7 4" xfId="13755" xr:uid="{00000000-0005-0000-0000-000081270000}"/>
    <cellStyle name="Input 2 3 2 2 8" xfId="6199" xr:uid="{00000000-0005-0000-0000-000082270000}"/>
    <cellStyle name="Input 2 3 2 2 8 2" xfId="25171" xr:uid="{00000000-0005-0000-0000-000083270000}"/>
    <cellStyle name="Input 2 3 2 2 8 3" xfId="36016" xr:uid="{00000000-0005-0000-0000-000084270000}"/>
    <cellStyle name="Input 2 3 2 2 8 4" xfId="15671" xr:uid="{00000000-0005-0000-0000-000085270000}"/>
    <cellStyle name="Input 2 3 2 2 9" xfId="8858" xr:uid="{00000000-0005-0000-0000-000086270000}"/>
    <cellStyle name="Input 2 3 2 2 9 2" xfId="27830" xr:uid="{00000000-0005-0000-0000-000087270000}"/>
    <cellStyle name="Input 2 3 2 2 9 3" xfId="38675" xr:uid="{00000000-0005-0000-0000-000088270000}"/>
    <cellStyle name="Input 2 3 2 2 9 4" xfId="17575" xr:uid="{00000000-0005-0000-0000-000089270000}"/>
    <cellStyle name="Input 2 3 2 3" xfId="729" xr:uid="{00000000-0005-0000-0000-00008A270000}"/>
    <cellStyle name="Input 2 3 2 3 10" xfId="19714" xr:uid="{00000000-0005-0000-0000-00008B270000}"/>
    <cellStyle name="Input 2 3 2 3 11" xfId="30559" xr:uid="{00000000-0005-0000-0000-00008C270000}"/>
    <cellStyle name="Input 2 3 2 3 12" xfId="11761" xr:uid="{00000000-0005-0000-0000-00008D270000}"/>
    <cellStyle name="Input 2 3 2 3 2" xfId="1316" xr:uid="{00000000-0005-0000-0000-00008E270000}"/>
    <cellStyle name="Input 2 3 2 3 2 2" xfId="4169" xr:uid="{00000000-0005-0000-0000-00008F270000}"/>
    <cellStyle name="Input 2 3 2 3 2 2 2" xfId="23141" xr:uid="{00000000-0005-0000-0000-000090270000}"/>
    <cellStyle name="Input 2 3 2 3 2 2 3" xfId="33986" xr:uid="{00000000-0005-0000-0000-000091270000}"/>
    <cellStyle name="Input 2 3 2 3 2 2 4" xfId="14222" xr:uid="{00000000-0005-0000-0000-000092270000}"/>
    <cellStyle name="Input 2 3 2 3 2 3" xfId="6842" xr:uid="{00000000-0005-0000-0000-000093270000}"/>
    <cellStyle name="Input 2 3 2 3 2 3 2" xfId="25814" xr:uid="{00000000-0005-0000-0000-000094270000}"/>
    <cellStyle name="Input 2 3 2 3 2 3 3" xfId="36659" xr:uid="{00000000-0005-0000-0000-000095270000}"/>
    <cellStyle name="Input 2 3 2 3 2 3 4" xfId="16137" xr:uid="{00000000-0005-0000-0000-000096270000}"/>
    <cellStyle name="Input 2 3 2 3 2 4" xfId="9501" xr:uid="{00000000-0005-0000-0000-000097270000}"/>
    <cellStyle name="Input 2 3 2 3 2 4 2" xfId="28473" xr:uid="{00000000-0005-0000-0000-000098270000}"/>
    <cellStyle name="Input 2 3 2 3 2 4 3" xfId="39318" xr:uid="{00000000-0005-0000-0000-000099270000}"/>
    <cellStyle name="Input 2 3 2 3 2 4 4" xfId="18041" xr:uid="{00000000-0005-0000-0000-00009A270000}"/>
    <cellStyle name="Input 2 3 2 3 2 5" xfId="20297" xr:uid="{00000000-0005-0000-0000-00009B270000}"/>
    <cellStyle name="Input 2 3 2 3 2 6" xfId="31142" xr:uid="{00000000-0005-0000-0000-00009C270000}"/>
    <cellStyle name="Input 2 3 2 3 2 7" xfId="12187" xr:uid="{00000000-0005-0000-0000-00009D270000}"/>
    <cellStyle name="Input 2 3 2 3 3" xfId="1715" xr:uid="{00000000-0005-0000-0000-00009E270000}"/>
    <cellStyle name="Input 2 3 2 3 3 2" xfId="4568" xr:uid="{00000000-0005-0000-0000-00009F270000}"/>
    <cellStyle name="Input 2 3 2 3 3 2 2" xfId="23540" xr:uid="{00000000-0005-0000-0000-0000A0270000}"/>
    <cellStyle name="Input 2 3 2 3 3 2 3" xfId="34385" xr:uid="{00000000-0005-0000-0000-0000A1270000}"/>
    <cellStyle name="Input 2 3 2 3 3 2 4" xfId="14509" xr:uid="{00000000-0005-0000-0000-0000A2270000}"/>
    <cellStyle name="Input 2 3 2 3 3 3" xfId="7240" xr:uid="{00000000-0005-0000-0000-0000A3270000}"/>
    <cellStyle name="Input 2 3 2 3 3 3 2" xfId="26212" xr:uid="{00000000-0005-0000-0000-0000A4270000}"/>
    <cellStyle name="Input 2 3 2 3 3 3 3" xfId="37057" xr:uid="{00000000-0005-0000-0000-0000A5270000}"/>
    <cellStyle name="Input 2 3 2 3 3 3 4" xfId="16423" xr:uid="{00000000-0005-0000-0000-0000A6270000}"/>
    <cellStyle name="Input 2 3 2 3 3 4" xfId="9899" xr:uid="{00000000-0005-0000-0000-0000A7270000}"/>
    <cellStyle name="Input 2 3 2 3 3 4 2" xfId="28871" xr:uid="{00000000-0005-0000-0000-0000A8270000}"/>
    <cellStyle name="Input 2 3 2 3 3 4 3" xfId="39716" xr:uid="{00000000-0005-0000-0000-0000A9270000}"/>
    <cellStyle name="Input 2 3 2 3 3 4 4" xfId="18327" xr:uid="{00000000-0005-0000-0000-0000AA270000}"/>
    <cellStyle name="Input 2 3 2 3 3 5" xfId="20695" xr:uid="{00000000-0005-0000-0000-0000AB270000}"/>
    <cellStyle name="Input 2 3 2 3 3 6" xfId="31540" xr:uid="{00000000-0005-0000-0000-0000AC270000}"/>
    <cellStyle name="Input 2 3 2 3 3 7" xfId="12473" xr:uid="{00000000-0005-0000-0000-0000AD270000}"/>
    <cellStyle name="Input 2 3 2 3 4" xfId="2119" xr:uid="{00000000-0005-0000-0000-0000AE270000}"/>
    <cellStyle name="Input 2 3 2 3 4 2" xfId="4972" xr:uid="{00000000-0005-0000-0000-0000AF270000}"/>
    <cellStyle name="Input 2 3 2 3 4 2 2" xfId="23944" xr:uid="{00000000-0005-0000-0000-0000B0270000}"/>
    <cellStyle name="Input 2 3 2 3 4 2 3" xfId="34789" xr:uid="{00000000-0005-0000-0000-0000B1270000}"/>
    <cellStyle name="Input 2 3 2 3 4 2 4" xfId="14796" xr:uid="{00000000-0005-0000-0000-0000B2270000}"/>
    <cellStyle name="Input 2 3 2 3 4 3" xfId="7643" xr:uid="{00000000-0005-0000-0000-0000B3270000}"/>
    <cellStyle name="Input 2 3 2 3 4 3 2" xfId="26615" xr:uid="{00000000-0005-0000-0000-0000B4270000}"/>
    <cellStyle name="Input 2 3 2 3 4 3 3" xfId="37460" xr:uid="{00000000-0005-0000-0000-0000B5270000}"/>
    <cellStyle name="Input 2 3 2 3 4 3 4" xfId="16709" xr:uid="{00000000-0005-0000-0000-0000B6270000}"/>
    <cellStyle name="Input 2 3 2 3 4 4" xfId="10302" xr:uid="{00000000-0005-0000-0000-0000B7270000}"/>
    <cellStyle name="Input 2 3 2 3 4 4 2" xfId="29274" xr:uid="{00000000-0005-0000-0000-0000B8270000}"/>
    <cellStyle name="Input 2 3 2 3 4 4 3" xfId="40119" xr:uid="{00000000-0005-0000-0000-0000B9270000}"/>
    <cellStyle name="Input 2 3 2 3 4 4 4" xfId="18613" xr:uid="{00000000-0005-0000-0000-0000BA270000}"/>
    <cellStyle name="Input 2 3 2 3 4 5" xfId="21098" xr:uid="{00000000-0005-0000-0000-0000BB270000}"/>
    <cellStyle name="Input 2 3 2 3 4 6" xfId="31943" xr:uid="{00000000-0005-0000-0000-0000BC270000}"/>
    <cellStyle name="Input 2 3 2 3 4 7" xfId="12759" xr:uid="{00000000-0005-0000-0000-0000BD270000}"/>
    <cellStyle name="Input 2 3 2 3 5" xfId="2509" xr:uid="{00000000-0005-0000-0000-0000BE270000}"/>
    <cellStyle name="Input 2 3 2 3 5 2" xfId="5361" xr:uid="{00000000-0005-0000-0000-0000BF270000}"/>
    <cellStyle name="Input 2 3 2 3 5 2 2" xfId="24333" xr:uid="{00000000-0005-0000-0000-0000C0270000}"/>
    <cellStyle name="Input 2 3 2 3 5 2 3" xfId="35178" xr:uid="{00000000-0005-0000-0000-0000C1270000}"/>
    <cellStyle name="Input 2 3 2 3 5 2 4" xfId="15075" xr:uid="{00000000-0005-0000-0000-0000C2270000}"/>
    <cellStyle name="Input 2 3 2 3 5 3" xfId="8032" xr:uid="{00000000-0005-0000-0000-0000C3270000}"/>
    <cellStyle name="Input 2 3 2 3 5 3 2" xfId="27004" xr:uid="{00000000-0005-0000-0000-0000C4270000}"/>
    <cellStyle name="Input 2 3 2 3 5 3 3" xfId="37849" xr:uid="{00000000-0005-0000-0000-0000C5270000}"/>
    <cellStyle name="Input 2 3 2 3 5 3 4" xfId="16988" xr:uid="{00000000-0005-0000-0000-0000C6270000}"/>
    <cellStyle name="Input 2 3 2 3 5 4" xfId="10691" xr:uid="{00000000-0005-0000-0000-0000C7270000}"/>
    <cellStyle name="Input 2 3 2 3 5 4 2" xfId="29663" xr:uid="{00000000-0005-0000-0000-0000C8270000}"/>
    <cellStyle name="Input 2 3 2 3 5 4 3" xfId="40508" xr:uid="{00000000-0005-0000-0000-0000C9270000}"/>
    <cellStyle name="Input 2 3 2 3 5 4 4" xfId="18892" xr:uid="{00000000-0005-0000-0000-0000CA270000}"/>
    <cellStyle name="Input 2 3 2 3 5 5" xfId="21487" xr:uid="{00000000-0005-0000-0000-0000CB270000}"/>
    <cellStyle name="Input 2 3 2 3 5 6" xfId="32332" xr:uid="{00000000-0005-0000-0000-0000CC270000}"/>
    <cellStyle name="Input 2 3 2 3 5 7" xfId="13038" xr:uid="{00000000-0005-0000-0000-0000CD270000}"/>
    <cellStyle name="Input 2 3 2 3 6" xfId="2895" xr:uid="{00000000-0005-0000-0000-0000CE270000}"/>
    <cellStyle name="Input 2 3 2 3 6 2" xfId="5746" xr:uid="{00000000-0005-0000-0000-0000CF270000}"/>
    <cellStyle name="Input 2 3 2 3 6 2 2" xfId="24718" xr:uid="{00000000-0005-0000-0000-0000D0270000}"/>
    <cellStyle name="Input 2 3 2 3 6 2 3" xfId="35563" xr:uid="{00000000-0005-0000-0000-0000D1270000}"/>
    <cellStyle name="Input 2 3 2 3 6 2 4" xfId="15351" xr:uid="{00000000-0005-0000-0000-0000D2270000}"/>
    <cellStyle name="Input 2 3 2 3 6 3" xfId="8417" xr:uid="{00000000-0005-0000-0000-0000D3270000}"/>
    <cellStyle name="Input 2 3 2 3 6 3 2" xfId="27389" xr:uid="{00000000-0005-0000-0000-0000D4270000}"/>
    <cellStyle name="Input 2 3 2 3 6 3 3" xfId="38234" xr:uid="{00000000-0005-0000-0000-0000D5270000}"/>
    <cellStyle name="Input 2 3 2 3 6 3 4" xfId="17264" xr:uid="{00000000-0005-0000-0000-0000D6270000}"/>
    <cellStyle name="Input 2 3 2 3 6 4" xfId="11076" xr:uid="{00000000-0005-0000-0000-0000D7270000}"/>
    <cellStyle name="Input 2 3 2 3 6 4 2" xfId="30048" xr:uid="{00000000-0005-0000-0000-0000D8270000}"/>
    <cellStyle name="Input 2 3 2 3 6 4 3" xfId="40893" xr:uid="{00000000-0005-0000-0000-0000D9270000}"/>
    <cellStyle name="Input 2 3 2 3 6 4 4" xfId="19168" xr:uid="{00000000-0005-0000-0000-0000DA270000}"/>
    <cellStyle name="Input 2 3 2 3 6 5" xfId="21872" xr:uid="{00000000-0005-0000-0000-0000DB270000}"/>
    <cellStyle name="Input 2 3 2 3 6 6" xfId="32717" xr:uid="{00000000-0005-0000-0000-0000DC270000}"/>
    <cellStyle name="Input 2 3 2 3 6 7" xfId="13314" xr:uid="{00000000-0005-0000-0000-0000DD270000}"/>
    <cellStyle name="Input 2 3 2 3 7" xfId="3584" xr:uid="{00000000-0005-0000-0000-0000DE270000}"/>
    <cellStyle name="Input 2 3 2 3 7 2" xfId="22556" xr:uid="{00000000-0005-0000-0000-0000DF270000}"/>
    <cellStyle name="Input 2 3 2 3 7 3" xfId="33401" xr:uid="{00000000-0005-0000-0000-0000E0270000}"/>
    <cellStyle name="Input 2 3 2 3 7 4" xfId="13795" xr:uid="{00000000-0005-0000-0000-0000E1270000}"/>
    <cellStyle name="Input 2 3 2 3 8" xfId="6259" xr:uid="{00000000-0005-0000-0000-0000E2270000}"/>
    <cellStyle name="Input 2 3 2 3 8 2" xfId="25231" xr:uid="{00000000-0005-0000-0000-0000E3270000}"/>
    <cellStyle name="Input 2 3 2 3 8 3" xfId="36076" xr:uid="{00000000-0005-0000-0000-0000E4270000}"/>
    <cellStyle name="Input 2 3 2 3 8 4" xfId="15711" xr:uid="{00000000-0005-0000-0000-0000E5270000}"/>
    <cellStyle name="Input 2 3 2 3 9" xfId="8918" xr:uid="{00000000-0005-0000-0000-0000E6270000}"/>
    <cellStyle name="Input 2 3 2 3 9 2" xfId="27890" xr:uid="{00000000-0005-0000-0000-0000E7270000}"/>
    <cellStyle name="Input 2 3 2 3 9 3" xfId="38735" xr:uid="{00000000-0005-0000-0000-0000E8270000}"/>
    <cellStyle name="Input 2 3 2 3 9 4" xfId="17615" xr:uid="{00000000-0005-0000-0000-0000E9270000}"/>
    <cellStyle name="Input 2 3 2 4" xfId="789" xr:uid="{00000000-0005-0000-0000-0000EA270000}"/>
    <cellStyle name="Input 2 3 2 4 10" xfId="19774" xr:uid="{00000000-0005-0000-0000-0000EB270000}"/>
    <cellStyle name="Input 2 3 2 4 11" xfId="30619" xr:uid="{00000000-0005-0000-0000-0000EC270000}"/>
    <cellStyle name="Input 2 3 2 4 12" xfId="11801" xr:uid="{00000000-0005-0000-0000-0000ED270000}"/>
    <cellStyle name="Input 2 3 2 4 2" xfId="1376" xr:uid="{00000000-0005-0000-0000-0000EE270000}"/>
    <cellStyle name="Input 2 3 2 4 2 2" xfId="4229" xr:uid="{00000000-0005-0000-0000-0000EF270000}"/>
    <cellStyle name="Input 2 3 2 4 2 2 2" xfId="23201" xr:uid="{00000000-0005-0000-0000-0000F0270000}"/>
    <cellStyle name="Input 2 3 2 4 2 2 3" xfId="34046" xr:uid="{00000000-0005-0000-0000-0000F1270000}"/>
    <cellStyle name="Input 2 3 2 4 2 2 4" xfId="14262" xr:uid="{00000000-0005-0000-0000-0000F2270000}"/>
    <cellStyle name="Input 2 3 2 4 2 3" xfId="6902" xr:uid="{00000000-0005-0000-0000-0000F3270000}"/>
    <cellStyle name="Input 2 3 2 4 2 3 2" xfId="25874" xr:uid="{00000000-0005-0000-0000-0000F4270000}"/>
    <cellStyle name="Input 2 3 2 4 2 3 3" xfId="36719" xr:uid="{00000000-0005-0000-0000-0000F5270000}"/>
    <cellStyle name="Input 2 3 2 4 2 3 4" xfId="16177" xr:uid="{00000000-0005-0000-0000-0000F6270000}"/>
    <cellStyle name="Input 2 3 2 4 2 4" xfId="9561" xr:uid="{00000000-0005-0000-0000-0000F7270000}"/>
    <cellStyle name="Input 2 3 2 4 2 4 2" xfId="28533" xr:uid="{00000000-0005-0000-0000-0000F8270000}"/>
    <cellStyle name="Input 2 3 2 4 2 4 3" xfId="39378" xr:uid="{00000000-0005-0000-0000-0000F9270000}"/>
    <cellStyle name="Input 2 3 2 4 2 4 4" xfId="18081" xr:uid="{00000000-0005-0000-0000-0000FA270000}"/>
    <cellStyle name="Input 2 3 2 4 2 5" xfId="20357" xr:uid="{00000000-0005-0000-0000-0000FB270000}"/>
    <cellStyle name="Input 2 3 2 4 2 6" xfId="31202" xr:uid="{00000000-0005-0000-0000-0000FC270000}"/>
    <cellStyle name="Input 2 3 2 4 2 7" xfId="12227" xr:uid="{00000000-0005-0000-0000-0000FD270000}"/>
    <cellStyle name="Input 2 3 2 4 3" xfId="1775" xr:uid="{00000000-0005-0000-0000-0000FE270000}"/>
    <cellStyle name="Input 2 3 2 4 3 2" xfId="4628" xr:uid="{00000000-0005-0000-0000-0000FF270000}"/>
    <cellStyle name="Input 2 3 2 4 3 2 2" xfId="23600" xr:uid="{00000000-0005-0000-0000-000000280000}"/>
    <cellStyle name="Input 2 3 2 4 3 2 3" xfId="34445" xr:uid="{00000000-0005-0000-0000-000001280000}"/>
    <cellStyle name="Input 2 3 2 4 3 2 4" xfId="14549" xr:uid="{00000000-0005-0000-0000-000002280000}"/>
    <cellStyle name="Input 2 3 2 4 3 3" xfId="7300" xr:uid="{00000000-0005-0000-0000-000003280000}"/>
    <cellStyle name="Input 2 3 2 4 3 3 2" xfId="26272" xr:uid="{00000000-0005-0000-0000-000004280000}"/>
    <cellStyle name="Input 2 3 2 4 3 3 3" xfId="37117" xr:uid="{00000000-0005-0000-0000-000005280000}"/>
    <cellStyle name="Input 2 3 2 4 3 3 4" xfId="16463" xr:uid="{00000000-0005-0000-0000-000006280000}"/>
    <cellStyle name="Input 2 3 2 4 3 4" xfId="9959" xr:uid="{00000000-0005-0000-0000-000007280000}"/>
    <cellStyle name="Input 2 3 2 4 3 4 2" xfId="28931" xr:uid="{00000000-0005-0000-0000-000008280000}"/>
    <cellStyle name="Input 2 3 2 4 3 4 3" xfId="39776" xr:uid="{00000000-0005-0000-0000-000009280000}"/>
    <cellStyle name="Input 2 3 2 4 3 4 4" xfId="18367" xr:uid="{00000000-0005-0000-0000-00000A280000}"/>
    <cellStyle name="Input 2 3 2 4 3 5" xfId="20755" xr:uid="{00000000-0005-0000-0000-00000B280000}"/>
    <cellStyle name="Input 2 3 2 4 3 6" xfId="31600" xr:uid="{00000000-0005-0000-0000-00000C280000}"/>
    <cellStyle name="Input 2 3 2 4 3 7" xfId="12513" xr:uid="{00000000-0005-0000-0000-00000D280000}"/>
    <cellStyle name="Input 2 3 2 4 4" xfId="2179" xr:uid="{00000000-0005-0000-0000-00000E280000}"/>
    <cellStyle name="Input 2 3 2 4 4 2" xfId="5032" xr:uid="{00000000-0005-0000-0000-00000F280000}"/>
    <cellStyle name="Input 2 3 2 4 4 2 2" xfId="24004" xr:uid="{00000000-0005-0000-0000-000010280000}"/>
    <cellStyle name="Input 2 3 2 4 4 2 3" xfId="34849" xr:uid="{00000000-0005-0000-0000-000011280000}"/>
    <cellStyle name="Input 2 3 2 4 4 2 4" xfId="14836" xr:uid="{00000000-0005-0000-0000-000012280000}"/>
    <cellStyle name="Input 2 3 2 4 4 3" xfId="7703" xr:uid="{00000000-0005-0000-0000-000013280000}"/>
    <cellStyle name="Input 2 3 2 4 4 3 2" xfId="26675" xr:uid="{00000000-0005-0000-0000-000014280000}"/>
    <cellStyle name="Input 2 3 2 4 4 3 3" xfId="37520" xr:uid="{00000000-0005-0000-0000-000015280000}"/>
    <cellStyle name="Input 2 3 2 4 4 3 4" xfId="16749" xr:uid="{00000000-0005-0000-0000-000016280000}"/>
    <cellStyle name="Input 2 3 2 4 4 4" xfId="10362" xr:uid="{00000000-0005-0000-0000-000017280000}"/>
    <cellStyle name="Input 2 3 2 4 4 4 2" xfId="29334" xr:uid="{00000000-0005-0000-0000-000018280000}"/>
    <cellStyle name="Input 2 3 2 4 4 4 3" xfId="40179" xr:uid="{00000000-0005-0000-0000-000019280000}"/>
    <cellStyle name="Input 2 3 2 4 4 4 4" xfId="18653" xr:uid="{00000000-0005-0000-0000-00001A280000}"/>
    <cellStyle name="Input 2 3 2 4 4 5" xfId="21158" xr:uid="{00000000-0005-0000-0000-00001B280000}"/>
    <cellStyle name="Input 2 3 2 4 4 6" xfId="32003" xr:uid="{00000000-0005-0000-0000-00001C280000}"/>
    <cellStyle name="Input 2 3 2 4 4 7" xfId="12799" xr:uid="{00000000-0005-0000-0000-00001D280000}"/>
    <cellStyle name="Input 2 3 2 4 5" xfId="2569" xr:uid="{00000000-0005-0000-0000-00001E280000}"/>
    <cellStyle name="Input 2 3 2 4 5 2" xfId="5421" xr:uid="{00000000-0005-0000-0000-00001F280000}"/>
    <cellStyle name="Input 2 3 2 4 5 2 2" xfId="24393" xr:uid="{00000000-0005-0000-0000-000020280000}"/>
    <cellStyle name="Input 2 3 2 4 5 2 3" xfId="35238" xr:uid="{00000000-0005-0000-0000-000021280000}"/>
    <cellStyle name="Input 2 3 2 4 5 2 4" xfId="15115" xr:uid="{00000000-0005-0000-0000-000022280000}"/>
    <cellStyle name="Input 2 3 2 4 5 3" xfId="8092" xr:uid="{00000000-0005-0000-0000-000023280000}"/>
    <cellStyle name="Input 2 3 2 4 5 3 2" xfId="27064" xr:uid="{00000000-0005-0000-0000-000024280000}"/>
    <cellStyle name="Input 2 3 2 4 5 3 3" xfId="37909" xr:uid="{00000000-0005-0000-0000-000025280000}"/>
    <cellStyle name="Input 2 3 2 4 5 3 4" xfId="17028" xr:uid="{00000000-0005-0000-0000-000026280000}"/>
    <cellStyle name="Input 2 3 2 4 5 4" xfId="10751" xr:uid="{00000000-0005-0000-0000-000027280000}"/>
    <cellStyle name="Input 2 3 2 4 5 4 2" xfId="29723" xr:uid="{00000000-0005-0000-0000-000028280000}"/>
    <cellStyle name="Input 2 3 2 4 5 4 3" xfId="40568" xr:uid="{00000000-0005-0000-0000-000029280000}"/>
    <cellStyle name="Input 2 3 2 4 5 4 4" xfId="18932" xr:uid="{00000000-0005-0000-0000-00002A280000}"/>
    <cellStyle name="Input 2 3 2 4 5 5" xfId="21547" xr:uid="{00000000-0005-0000-0000-00002B280000}"/>
    <cellStyle name="Input 2 3 2 4 5 6" xfId="32392" xr:uid="{00000000-0005-0000-0000-00002C280000}"/>
    <cellStyle name="Input 2 3 2 4 5 7" xfId="13078" xr:uid="{00000000-0005-0000-0000-00002D280000}"/>
    <cellStyle name="Input 2 3 2 4 6" xfId="2955" xr:uid="{00000000-0005-0000-0000-00002E280000}"/>
    <cellStyle name="Input 2 3 2 4 6 2" xfId="5806" xr:uid="{00000000-0005-0000-0000-00002F280000}"/>
    <cellStyle name="Input 2 3 2 4 6 2 2" xfId="24778" xr:uid="{00000000-0005-0000-0000-000030280000}"/>
    <cellStyle name="Input 2 3 2 4 6 2 3" xfId="35623" xr:uid="{00000000-0005-0000-0000-000031280000}"/>
    <cellStyle name="Input 2 3 2 4 6 2 4" xfId="15391" xr:uid="{00000000-0005-0000-0000-000032280000}"/>
    <cellStyle name="Input 2 3 2 4 6 3" xfId="8477" xr:uid="{00000000-0005-0000-0000-000033280000}"/>
    <cellStyle name="Input 2 3 2 4 6 3 2" xfId="27449" xr:uid="{00000000-0005-0000-0000-000034280000}"/>
    <cellStyle name="Input 2 3 2 4 6 3 3" xfId="38294" xr:uid="{00000000-0005-0000-0000-000035280000}"/>
    <cellStyle name="Input 2 3 2 4 6 3 4" xfId="17304" xr:uid="{00000000-0005-0000-0000-000036280000}"/>
    <cellStyle name="Input 2 3 2 4 6 4" xfId="11136" xr:uid="{00000000-0005-0000-0000-000037280000}"/>
    <cellStyle name="Input 2 3 2 4 6 4 2" xfId="30108" xr:uid="{00000000-0005-0000-0000-000038280000}"/>
    <cellStyle name="Input 2 3 2 4 6 4 3" xfId="40953" xr:uid="{00000000-0005-0000-0000-000039280000}"/>
    <cellStyle name="Input 2 3 2 4 6 4 4" xfId="19208" xr:uid="{00000000-0005-0000-0000-00003A280000}"/>
    <cellStyle name="Input 2 3 2 4 6 5" xfId="21932" xr:uid="{00000000-0005-0000-0000-00003B280000}"/>
    <cellStyle name="Input 2 3 2 4 6 6" xfId="32777" xr:uid="{00000000-0005-0000-0000-00003C280000}"/>
    <cellStyle name="Input 2 3 2 4 6 7" xfId="13354" xr:uid="{00000000-0005-0000-0000-00003D280000}"/>
    <cellStyle name="Input 2 3 2 4 7" xfId="3644" xr:uid="{00000000-0005-0000-0000-00003E280000}"/>
    <cellStyle name="Input 2 3 2 4 7 2" xfId="22616" xr:uid="{00000000-0005-0000-0000-00003F280000}"/>
    <cellStyle name="Input 2 3 2 4 7 3" xfId="33461" xr:uid="{00000000-0005-0000-0000-000040280000}"/>
    <cellStyle name="Input 2 3 2 4 7 4" xfId="13835" xr:uid="{00000000-0005-0000-0000-000041280000}"/>
    <cellStyle name="Input 2 3 2 4 8" xfId="6319" xr:uid="{00000000-0005-0000-0000-000042280000}"/>
    <cellStyle name="Input 2 3 2 4 8 2" xfId="25291" xr:uid="{00000000-0005-0000-0000-000043280000}"/>
    <cellStyle name="Input 2 3 2 4 8 3" xfId="36136" xr:uid="{00000000-0005-0000-0000-000044280000}"/>
    <cellStyle name="Input 2 3 2 4 8 4" xfId="15751" xr:uid="{00000000-0005-0000-0000-000045280000}"/>
    <cellStyle name="Input 2 3 2 4 9" xfId="8978" xr:uid="{00000000-0005-0000-0000-000046280000}"/>
    <cellStyle name="Input 2 3 2 4 9 2" xfId="27950" xr:uid="{00000000-0005-0000-0000-000047280000}"/>
    <cellStyle name="Input 2 3 2 4 9 3" xfId="38795" xr:uid="{00000000-0005-0000-0000-000048280000}"/>
    <cellStyle name="Input 2 3 2 4 9 4" xfId="17655" xr:uid="{00000000-0005-0000-0000-000049280000}"/>
    <cellStyle name="Input 2 3 2 5" xfId="848" xr:uid="{00000000-0005-0000-0000-00004A280000}"/>
    <cellStyle name="Input 2 3 2 5 10" xfId="19833" xr:uid="{00000000-0005-0000-0000-00004B280000}"/>
    <cellStyle name="Input 2 3 2 5 11" xfId="30678" xr:uid="{00000000-0005-0000-0000-00004C280000}"/>
    <cellStyle name="Input 2 3 2 5 12" xfId="11840" xr:uid="{00000000-0005-0000-0000-00004D280000}"/>
    <cellStyle name="Input 2 3 2 5 2" xfId="1435" xr:uid="{00000000-0005-0000-0000-00004E280000}"/>
    <cellStyle name="Input 2 3 2 5 2 2" xfId="4288" xr:uid="{00000000-0005-0000-0000-00004F280000}"/>
    <cellStyle name="Input 2 3 2 5 2 2 2" xfId="23260" xr:uid="{00000000-0005-0000-0000-000050280000}"/>
    <cellStyle name="Input 2 3 2 5 2 2 3" xfId="34105" xr:uid="{00000000-0005-0000-0000-000051280000}"/>
    <cellStyle name="Input 2 3 2 5 2 2 4" xfId="14301" xr:uid="{00000000-0005-0000-0000-000052280000}"/>
    <cellStyle name="Input 2 3 2 5 2 3" xfId="6961" xr:uid="{00000000-0005-0000-0000-000053280000}"/>
    <cellStyle name="Input 2 3 2 5 2 3 2" xfId="25933" xr:uid="{00000000-0005-0000-0000-000054280000}"/>
    <cellStyle name="Input 2 3 2 5 2 3 3" xfId="36778" xr:uid="{00000000-0005-0000-0000-000055280000}"/>
    <cellStyle name="Input 2 3 2 5 2 3 4" xfId="16216" xr:uid="{00000000-0005-0000-0000-000056280000}"/>
    <cellStyle name="Input 2 3 2 5 2 4" xfId="9620" xr:uid="{00000000-0005-0000-0000-000057280000}"/>
    <cellStyle name="Input 2 3 2 5 2 4 2" xfId="28592" xr:uid="{00000000-0005-0000-0000-000058280000}"/>
    <cellStyle name="Input 2 3 2 5 2 4 3" xfId="39437" xr:uid="{00000000-0005-0000-0000-000059280000}"/>
    <cellStyle name="Input 2 3 2 5 2 4 4" xfId="18120" xr:uid="{00000000-0005-0000-0000-00005A280000}"/>
    <cellStyle name="Input 2 3 2 5 2 5" xfId="20416" xr:uid="{00000000-0005-0000-0000-00005B280000}"/>
    <cellStyle name="Input 2 3 2 5 2 6" xfId="31261" xr:uid="{00000000-0005-0000-0000-00005C280000}"/>
    <cellStyle name="Input 2 3 2 5 2 7" xfId="12266" xr:uid="{00000000-0005-0000-0000-00005D280000}"/>
    <cellStyle name="Input 2 3 2 5 3" xfId="1834" xr:uid="{00000000-0005-0000-0000-00005E280000}"/>
    <cellStyle name="Input 2 3 2 5 3 2" xfId="4687" xr:uid="{00000000-0005-0000-0000-00005F280000}"/>
    <cellStyle name="Input 2 3 2 5 3 2 2" xfId="23659" xr:uid="{00000000-0005-0000-0000-000060280000}"/>
    <cellStyle name="Input 2 3 2 5 3 2 3" xfId="34504" xr:uid="{00000000-0005-0000-0000-000061280000}"/>
    <cellStyle name="Input 2 3 2 5 3 2 4" xfId="14588" xr:uid="{00000000-0005-0000-0000-000062280000}"/>
    <cellStyle name="Input 2 3 2 5 3 3" xfId="7359" xr:uid="{00000000-0005-0000-0000-000063280000}"/>
    <cellStyle name="Input 2 3 2 5 3 3 2" xfId="26331" xr:uid="{00000000-0005-0000-0000-000064280000}"/>
    <cellStyle name="Input 2 3 2 5 3 3 3" xfId="37176" xr:uid="{00000000-0005-0000-0000-000065280000}"/>
    <cellStyle name="Input 2 3 2 5 3 3 4" xfId="16502" xr:uid="{00000000-0005-0000-0000-000066280000}"/>
    <cellStyle name="Input 2 3 2 5 3 4" xfId="10018" xr:uid="{00000000-0005-0000-0000-000067280000}"/>
    <cellStyle name="Input 2 3 2 5 3 4 2" xfId="28990" xr:uid="{00000000-0005-0000-0000-000068280000}"/>
    <cellStyle name="Input 2 3 2 5 3 4 3" xfId="39835" xr:uid="{00000000-0005-0000-0000-000069280000}"/>
    <cellStyle name="Input 2 3 2 5 3 4 4" xfId="18406" xr:uid="{00000000-0005-0000-0000-00006A280000}"/>
    <cellStyle name="Input 2 3 2 5 3 5" xfId="20814" xr:uid="{00000000-0005-0000-0000-00006B280000}"/>
    <cellStyle name="Input 2 3 2 5 3 6" xfId="31659" xr:uid="{00000000-0005-0000-0000-00006C280000}"/>
    <cellStyle name="Input 2 3 2 5 3 7" xfId="12552" xr:uid="{00000000-0005-0000-0000-00006D280000}"/>
    <cellStyle name="Input 2 3 2 5 4" xfId="2238" xr:uid="{00000000-0005-0000-0000-00006E280000}"/>
    <cellStyle name="Input 2 3 2 5 4 2" xfId="5091" xr:uid="{00000000-0005-0000-0000-00006F280000}"/>
    <cellStyle name="Input 2 3 2 5 4 2 2" xfId="24063" xr:uid="{00000000-0005-0000-0000-000070280000}"/>
    <cellStyle name="Input 2 3 2 5 4 2 3" xfId="34908" xr:uid="{00000000-0005-0000-0000-000071280000}"/>
    <cellStyle name="Input 2 3 2 5 4 2 4" xfId="14875" xr:uid="{00000000-0005-0000-0000-000072280000}"/>
    <cellStyle name="Input 2 3 2 5 4 3" xfId="7762" xr:uid="{00000000-0005-0000-0000-000073280000}"/>
    <cellStyle name="Input 2 3 2 5 4 3 2" xfId="26734" xr:uid="{00000000-0005-0000-0000-000074280000}"/>
    <cellStyle name="Input 2 3 2 5 4 3 3" xfId="37579" xr:uid="{00000000-0005-0000-0000-000075280000}"/>
    <cellStyle name="Input 2 3 2 5 4 3 4" xfId="16788" xr:uid="{00000000-0005-0000-0000-000076280000}"/>
    <cellStyle name="Input 2 3 2 5 4 4" xfId="10421" xr:uid="{00000000-0005-0000-0000-000077280000}"/>
    <cellStyle name="Input 2 3 2 5 4 4 2" xfId="29393" xr:uid="{00000000-0005-0000-0000-000078280000}"/>
    <cellStyle name="Input 2 3 2 5 4 4 3" xfId="40238" xr:uid="{00000000-0005-0000-0000-000079280000}"/>
    <cellStyle name="Input 2 3 2 5 4 4 4" xfId="18692" xr:uid="{00000000-0005-0000-0000-00007A280000}"/>
    <cellStyle name="Input 2 3 2 5 4 5" xfId="21217" xr:uid="{00000000-0005-0000-0000-00007B280000}"/>
    <cellStyle name="Input 2 3 2 5 4 6" xfId="32062" xr:uid="{00000000-0005-0000-0000-00007C280000}"/>
    <cellStyle name="Input 2 3 2 5 4 7" xfId="12838" xr:uid="{00000000-0005-0000-0000-00007D280000}"/>
    <cellStyle name="Input 2 3 2 5 5" xfId="2628" xr:uid="{00000000-0005-0000-0000-00007E280000}"/>
    <cellStyle name="Input 2 3 2 5 5 2" xfId="5480" xr:uid="{00000000-0005-0000-0000-00007F280000}"/>
    <cellStyle name="Input 2 3 2 5 5 2 2" xfId="24452" xr:uid="{00000000-0005-0000-0000-000080280000}"/>
    <cellStyle name="Input 2 3 2 5 5 2 3" xfId="35297" xr:uid="{00000000-0005-0000-0000-000081280000}"/>
    <cellStyle name="Input 2 3 2 5 5 2 4" xfId="15154" xr:uid="{00000000-0005-0000-0000-000082280000}"/>
    <cellStyle name="Input 2 3 2 5 5 3" xfId="8151" xr:uid="{00000000-0005-0000-0000-000083280000}"/>
    <cellStyle name="Input 2 3 2 5 5 3 2" xfId="27123" xr:uid="{00000000-0005-0000-0000-000084280000}"/>
    <cellStyle name="Input 2 3 2 5 5 3 3" xfId="37968" xr:uid="{00000000-0005-0000-0000-000085280000}"/>
    <cellStyle name="Input 2 3 2 5 5 3 4" xfId="17067" xr:uid="{00000000-0005-0000-0000-000086280000}"/>
    <cellStyle name="Input 2 3 2 5 5 4" xfId="10810" xr:uid="{00000000-0005-0000-0000-000087280000}"/>
    <cellStyle name="Input 2 3 2 5 5 4 2" xfId="29782" xr:uid="{00000000-0005-0000-0000-000088280000}"/>
    <cellStyle name="Input 2 3 2 5 5 4 3" xfId="40627" xr:uid="{00000000-0005-0000-0000-000089280000}"/>
    <cellStyle name="Input 2 3 2 5 5 4 4" xfId="18971" xr:uid="{00000000-0005-0000-0000-00008A280000}"/>
    <cellStyle name="Input 2 3 2 5 5 5" xfId="21606" xr:uid="{00000000-0005-0000-0000-00008B280000}"/>
    <cellStyle name="Input 2 3 2 5 5 6" xfId="32451" xr:uid="{00000000-0005-0000-0000-00008C280000}"/>
    <cellStyle name="Input 2 3 2 5 5 7" xfId="13117" xr:uid="{00000000-0005-0000-0000-00008D280000}"/>
    <cellStyle name="Input 2 3 2 5 6" xfId="3014" xr:uid="{00000000-0005-0000-0000-00008E280000}"/>
    <cellStyle name="Input 2 3 2 5 6 2" xfId="5865" xr:uid="{00000000-0005-0000-0000-00008F280000}"/>
    <cellStyle name="Input 2 3 2 5 6 2 2" xfId="24837" xr:uid="{00000000-0005-0000-0000-000090280000}"/>
    <cellStyle name="Input 2 3 2 5 6 2 3" xfId="35682" xr:uid="{00000000-0005-0000-0000-000091280000}"/>
    <cellStyle name="Input 2 3 2 5 6 2 4" xfId="15430" xr:uid="{00000000-0005-0000-0000-000092280000}"/>
    <cellStyle name="Input 2 3 2 5 6 3" xfId="8536" xr:uid="{00000000-0005-0000-0000-000093280000}"/>
    <cellStyle name="Input 2 3 2 5 6 3 2" xfId="27508" xr:uid="{00000000-0005-0000-0000-000094280000}"/>
    <cellStyle name="Input 2 3 2 5 6 3 3" xfId="38353" xr:uid="{00000000-0005-0000-0000-000095280000}"/>
    <cellStyle name="Input 2 3 2 5 6 3 4" xfId="17343" xr:uid="{00000000-0005-0000-0000-000096280000}"/>
    <cellStyle name="Input 2 3 2 5 6 4" xfId="11195" xr:uid="{00000000-0005-0000-0000-000097280000}"/>
    <cellStyle name="Input 2 3 2 5 6 4 2" xfId="30167" xr:uid="{00000000-0005-0000-0000-000098280000}"/>
    <cellStyle name="Input 2 3 2 5 6 4 3" xfId="41012" xr:uid="{00000000-0005-0000-0000-000099280000}"/>
    <cellStyle name="Input 2 3 2 5 6 4 4" xfId="19247" xr:uid="{00000000-0005-0000-0000-00009A280000}"/>
    <cellStyle name="Input 2 3 2 5 6 5" xfId="21991" xr:uid="{00000000-0005-0000-0000-00009B280000}"/>
    <cellStyle name="Input 2 3 2 5 6 6" xfId="32836" xr:uid="{00000000-0005-0000-0000-00009C280000}"/>
    <cellStyle name="Input 2 3 2 5 6 7" xfId="13393" xr:uid="{00000000-0005-0000-0000-00009D280000}"/>
    <cellStyle name="Input 2 3 2 5 7" xfId="3703" xr:uid="{00000000-0005-0000-0000-00009E280000}"/>
    <cellStyle name="Input 2 3 2 5 7 2" xfId="22675" xr:uid="{00000000-0005-0000-0000-00009F280000}"/>
    <cellStyle name="Input 2 3 2 5 7 3" xfId="33520" xr:uid="{00000000-0005-0000-0000-0000A0280000}"/>
    <cellStyle name="Input 2 3 2 5 7 4" xfId="13874" xr:uid="{00000000-0005-0000-0000-0000A1280000}"/>
    <cellStyle name="Input 2 3 2 5 8" xfId="6378" xr:uid="{00000000-0005-0000-0000-0000A2280000}"/>
    <cellStyle name="Input 2 3 2 5 8 2" xfId="25350" xr:uid="{00000000-0005-0000-0000-0000A3280000}"/>
    <cellStyle name="Input 2 3 2 5 8 3" xfId="36195" xr:uid="{00000000-0005-0000-0000-0000A4280000}"/>
    <cellStyle name="Input 2 3 2 5 8 4" xfId="15790" xr:uid="{00000000-0005-0000-0000-0000A5280000}"/>
    <cellStyle name="Input 2 3 2 5 9" xfId="9037" xr:uid="{00000000-0005-0000-0000-0000A6280000}"/>
    <cellStyle name="Input 2 3 2 5 9 2" xfId="28009" xr:uid="{00000000-0005-0000-0000-0000A7280000}"/>
    <cellStyle name="Input 2 3 2 5 9 3" xfId="38854" xr:uid="{00000000-0005-0000-0000-0000A8280000}"/>
    <cellStyle name="Input 2 3 2 5 9 4" xfId="17694" xr:uid="{00000000-0005-0000-0000-0000A9280000}"/>
    <cellStyle name="Input 2 3 2 6" xfId="1070" xr:uid="{00000000-0005-0000-0000-0000AA280000}"/>
    <cellStyle name="Input 2 3 2 6 2" xfId="3923" xr:uid="{00000000-0005-0000-0000-0000AB280000}"/>
    <cellStyle name="Input 2 3 2 6 2 2" xfId="22895" xr:uid="{00000000-0005-0000-0000-0000AC280000}"/>
    <cellStyle name="Input 2 3 2 6 2 3" xfId="33740" xr:uid="{00000000-0005-0000-0000-0000AD280000}"/>
    <cellStyle name="Input 2 3 2 6 2 4" xfId="14036" xr:uid="{00000000-0005-0000-0000-0000AE280000}"/>
    <cellStyle name="Input 2 3 2 6 3" xfId="6597" xr:uid="{00000000-0005-0000-0000-0000AF280000}"/>
    <cellStyle name="Input 2 3 2 6 3 2" xfId="25569" xr:uid="{00000000-0005-0000-0000-0000B0280000}"/>
    <cellStyle name="Input 2 3 2 6 3 3" xfId="36414" xr:uid="{00000000-0005-0000-0000-0000B1280000}"/>
    <cellStyle name="Input 2 3 2 6 3 4" xfId="15952" xr:uid="{00000000-0005-0000-0000-0000B2280000}"/>
    <cellStyle name="Input 2 3 2 6 4" xfId="9256" xr:uid="{00000000-0005-0000-0000-0000B3280000}"/>
    <cellStyle name="Input 2 3 2 6 4 2" xfId="28228" xr:uid="{00000000-0005-0000-0000-0000B4280000}"/>
    <cellStyle name="Input 2 3 2 6 4 3" xfId="39073" xr:uid="{00000000-0005-0000-0000-0000B5280000}"/>
    <cellStyle name="Input 2 3 2 6 4 4" xfId="17856" xr:uid="{00000000-0005-0000-0000-0000B6280000}"/>
    <cellStyle name="Input 2 3 2 6 5" xfId="20052" xr:uid="{00000000-0005-0000-0000-0000B7280000}"/>
    <cellStyle name="Input 2 3 2 6 6" xfId="30897" xr:uid="{00000000-0005-0000-0000-0000B8280000}"/>
    <cellStyle name="Input 2 3 2 6 7" xfId="12002" xr:uid="{00000000-0005-0000-0000-0000B9280000}"/>
    <cellStyle name="Input 2 3 2 7" xfId="983" xr:uid="{00000000-0005-0000-0000-0000BA280000}"/>
    <cellStyle name="Input 2 3 2 7 2" xfId="3836" xr:uid="{00000000-0005-0000-0000-0000BB280000}"/>
    <cellStyle name="Input 2 3 2 7 2 2" xfId="22808" xr:uid="{00000000-0005-0000-0000-0000BC280000}"/>
    <cellStyle name="Input 2 3 2 7 2 3" xfId="33653" xr:uid="{00000000-0005-0000-0000-0000BD280000}"/>
    <cellStyle name="Input 2 3 2 7 2 4" xfId="13971" xr:uid="{00000000-0005-0000-0000-0000BE280000}"/>
    <cellStyle name="Input 2 3 2 7 3" xfId="6511" xr:uid="{00000000-0005-0000-0000-0000BF280000}"/>
    <cellStyle name="Input 2 3 2 7 3 2" xfId="25483" xr:uid="{00000000-0005-0000-0000-0000C0280000}"/>
    <cellStyle name="Input 2 3 2 7 3 3" xfId="36328" xr:uid="{00000000-0005-0000-0000-0000C1280000}"/>
    <cellStyle name="Input 2 3 2 7 3 4" xfId="15887" xr:uid="{00000000-0005-0000-0000-0000C2280000}"/>
    <cellStyle name="Input 2 3 2 7 4" xfId="9170" xr:uid="{00000000-0005-0000-0000-0000C3280000}"/>
    <cellStyle name="Input 2 3 2 7 4 2" xfId="28142" xr:uid="{00000000-0005-0000-0000-0000C4280000}"/>
    <cellStyle name="Input 2 3 2 7 4 3" xfId="38987" xr:uid="{00000000-0005-0000-0000-0000C5280000}"/>
    <cellStyle name="Input 2 3 2 7 4 4" xfId="17791" xr:uid="{00000000-0005-0000-0000-0000C6280000}"/>
    <cellStyle name="Input 2 3 2 7 5" xfId="19966" xr:uid="{00000000-0005-0000-0000-0000C7280000}"/>
    <cellStyle name="Input 2 3 2 7 6" xfId="30811" xr:uid="{00000000-0005-0000-0000-0000C8280000}"/>
    <cellStyle name="Input 2 3 2 7 7" xfId="11937" xr:uid="{00000000-0005-0000-0000-0000C9280000}"/>
    <cellStyle name="Input 2 3 2 8" xfId="1229" xr:uid="{00000000-0005-0000-0000-0000CA280000}"/>
    <cellStyle name="Input 2 3 2 8 2" xfId="4082" xr:uid="{00000000-0005-0000-0000-0000CB280000}"/>
    <cellStyle name="Input 2 3 2 8 2 2" xfId="23054" xr:uid="{00000000-0005-0000-0000-0000CC280000}"/>
    <cellStyle name="Input 2 3 2 8 2 3" xfId="33899" xr:uid="{00000000-0005-0000-0000-0000CD280000}"/>
    <cellStyle name="Input 2 3 2 8 2 4" xfId="14155" xr:uid="{00000000-0005-0000-0000-0000CE280000}"/>
    <cellStyle name="Input 2 3 2 8 3" xfId="6755" xr:uid="{00000000-0005-0000-0000-0000CF280000}"/>
    <cellStyle name="Input 2 3 2 8 3 2" xfId="25727" xr:uid="{00000000-0005-0000-0000-0000D0280000}"/>
    <cellStyle name="Input 2 3 2 8 3 3" xfId="36572" xr:uid="{00000000-0005-0000-0000-0000D1280000}"/>
    <cellStyle name="Input 2 3 2 8 3 4" xfId="16070" xr:uid="{00000000-0005-0000-0000-0000D2280000}"/>
    <cellStyle name="Input 2 3 2 8 4" xfId="9414" xr:uid="{00000000-0005-0000-0000-0000D3280000}"/>
    <cellStyle name="Input 2 3 2 8 4 2" xfId="28386" xr:uid="{00000000-0005-0000-0000-0000D4280000}"/>
    <cellStyle name="Input 2 3 2 8 4 3" xfId="39231" xr:uid="{00000000-0005-0000-0000-0000D5280000}"/>
    <cellStyle name="Input 2 3 2 8 4 4" xfId="17974" xr:uid="{00000000-0005-0000-0000-0000D6280000}"/>
    <cellStyle name="Input 2 3 2 8 5" xfId="20210" xr:uid="{00000000-0005-0000-0000-0000D7280000}"/>
    <cellStyle name="Input 2 3 2 8 6" xfId="31055" xr:uid="{00000000-0005-0000-0000-0000D8280000}"/>
    <cellStyle name="Input 2 3 2 8 7" xfId="12120" xr:uid="{00000000-0005-0000-0000-0000D9280000}"/>
    <cellStyle name="Input 2 3 2 9" xfId="934" xr:uid="{00000000-0005-0000-0000-0000DA280000}"/>
    <cellStyle name="Input 2 3 2 9 2" xfId="3788" xr:uid="{00000000-0005-0000-0000-0000DB280000}"/>
    <cellStyle name="Input 2 3 2 9 2 2" xfId="22760" xr:uid="{00000000-0005-0000-0000-0000DC280000}"/>
    <cellStyle name="Input 2 3 2 9 2 3" xfId="33605" xr:uid="{00000000-0005-0000-0000-0000DD280000}"/>
    <cellStyle name="Input 2 3 2 9 2 4" xfId="13933" xr:uid="{00000000-0005-0000-0000-0000DE280000}"/>
    <cellStyle name="Input 2 3 2 9 3" xfId="6463" xr:uid="{00000000-0005-0000-0000-0000DF280000}"/>
    <cellStyle name="Input 2 3 2 9 3 2" xfId="25435" xr:uid="{00000000-0005-0000-0000-0000E0280000}"/>
    <cellStyle name="Input 2 3 2 9 3 3" xfId="36280" xr:uid="{00000000-0005-0000-0000-0000E1280000}"/>
    <cellStyle name="Input 2 3 2 9 3 4" xfId="15849" xr:uid="{00000000-0005-0000-0000-0000E2280000}"/>
    <cellStyle name="Input 2 3 2 9 4" xfId="9122" xr:uid="{00000000-0005-0000-0000-0000E3280000}"/>
    <cellStyle name="Input 2 3 2 9 4 2" xfId="28094" xr:uid="{00000000-0005-0000-0000-0000E4280000}"/>
    <cellStyle name="Input 2 3 2 9 4 3" xfId="38939" xr:uid="{00000000-0005-0000-0000-0000E5280000}"/>
    <cellStyle name="Input 2 3 2 9 4 4" xfId="17753" xr:uid="{00000000-0005-0000-0000-0000E6280000}"/>
    <cellStyle name="Input 2 3 2 9 5" xfId="19918" xr:uid="{00000000-0005-0000-0000-0000E7280000}"/>
    <cellStyle name="Input 2 3 2 9 6" xfId="30763" xr:uid="{00000000-0005-0000-0000-0000E8280000}"/>
    <cellStyle name="Input 2 3 2 9 7" xfId="11899" xr:uid="{00000000-0005-0000-0000-0000E9280000}"/>
    <cellStyle name="Input 2 3 3" xfId="552" xr:uid="{00000000-0005-0000-0000-0000EA280000}"/>
    <cellStyle name="Input 2 3 3 10" xfId="19562" xr:uid="{00000000-0005-0000-0000-0000EB280000}"/>
    <cellStyle name="Input 2 3 3 11" xfId="30407" xr:uid="{00000000-0005-0000-0000-0000EC280000}"/>
    <cellStyle name="Input 2 3 3 12" xfId="11626" xr:uid="{00000000-0005-0000-0000-0000ED280000}"/>
    <cellStyle name="Input 2 3 3 2" xfId="1158" xr:uid="{00000000-0005-0000-0000-0000EE280000}"/>
    <cellStyle name="Input 2 3 3 2 2" xfId="4011" xr:uid="{00000000-0005-0000-0000-0000EF280000}"/>
    <cellStyle name="Input 2 3 3 2 2 2" xfId="22983" xr:uid="{00000000-0005-0000-0000-0000F0280000}"/>
    <cellStyle name="Input 2 3 3 2 2 3" xfId="33828" xr:uid="{00000000-0005-0000-0000-0000F1280000}"/>
    <cellStyle name="Input 2 3 3 2 2 4" xfId="14103" xr:uid="{00000000-0005-0000-0000-0000F2280000}"/>
    <cellStyle name="Input 2 3 3 2 3" xfId="6684" xr:uid="{00000000-0005-0000-0000-0000F3280000}"/>
    <cellStyle name="Input 2 3 3 2 3 2" xfId="25656" xr:uid="{00000000-0005-0000-0000-0000F4280000}"/>
    <cellStyle name="Input 2 3 3 2 3 3" xfId="36501" xr:uid="{00000000-0005-0000-0000-0000F5280000}"/>
    <cellStyle name="Input 2 3 3 2 3 4" xfId="16018" xr:uid="{00000000-0005-0000-0000-0000F6280000}"/>
    <cellStyle name="Input 2 3 3 2 4" xfId="9343" xr:uid="{00000000-0005-0000-0000-0000F7280000}"/>
    <cellStyle name="Input 2 3 3 2 4 2" xfId="28315" xr:uid="{00000000-0005-0000-0000-0000F8280000}"/>
    <cellStyle name="Input 2 3 3 2 4 3" xfId="39160" xr:uid="{00000000-0005-0000-0000-0000F9280000}"/>
    <cellStyle name="Input 2 3 3 2 4 4" xfId="17922" xr:uid="{00000000-0005-0000-0000-0000FA280000}"/>
    <cellStyle name="Input 2 3 3 2 5" xfId="20139" xr:uid="{00000000-0005-0000-0000-0000FB280000}"/>
    <cellStyle name="Input 2 3 3 2 6" xfId="30984" xr:uid="{00000000-0005-0000-0000-0000FC280000}"/>
    <cellStyle name="Input 2 3 3 2 7" xfId="12068" xr:uid="{00000000-0005-0000-0000-0000FD280000}"/>
    <cellStyle name="Input 2 3 3 3" xfId="1555" xr:uid="{00000000-0005-0000-0000-0000FE280000}"/>
    <cellStyle name="Input 2 3 3 3 2" xfId="4408" xr:uid="{00000000-0005-0000-0000-0000FF280000}"/>
    <cellStyle name="Input 2 3 3 3 2 2" xfId="23380" xr:uid="{00000000-0005-0000-0000-000000290000}"/>
    <cellStyle name="Input 2 3 3 3 2 3" xfId="34225" xr:uid="{00000000-0005-0000-0000-000001290000}"/>
    <cellStyle name="Input 2 3 3 3 2 4" xfId="14389" xr:uid="{00000000-0005-0000-0000-000002290000}"/>
    <cellStyle name="Input 2 3 3 3 3" xfId="7080" xr:uid="{00000000-0005-0000-0000-000003290000}"/>
    <cellStyle name="Input 2 3 3 3 3 2" xfId="26052" xr:uid="{00000000-0005-0000-0000-000004290000}"/>
    <cellStyle name="Input 2 3 3 3 3 3" xfId="36897" xr:uid="{00000000-0005-0000-0000-000005290000}"/>
    <cellStyle name="Input 2 3 3 3 3 4" xfId="16303" xr:uid="{00000000-0005-0000-0000-000006290000}"/>
    <cellStyle name="Input 2 3 3 3 4" xfId="9739" xr:uid="{00000000-0005-0000-0000-000007290000}"/>
    <cellStyle name="Input 2 3 3 3 4 2" xfId="28711" xr:uid="{00000000-0005-0000-0000-000008290000}"/>
    <cellStyle name="Input 2 3 3 3 4 3" xfId="39556" xr:uid="{00000000-0005-0000-0000-000009290000}"/>
    <cellStyle name="Input 2 3 3 3 4 4" xfId="18207" xr:uid="{00000000-0005-0000-0000-00000A290000}"/>
    <cellStyle name="Input 2 3 3 3 5" xfId="20535" xr:uid="{00000000-0005-0000-0000-00000B290000}"/>
    <cellStyle name="Input 2 3 3 3 6" xfId="31380" xr:uid="{00000000-0005-0000-0000-00000C290000}"/>
    <cellStyle name="Input 2 3 3 3 7" xfId="12353" xr:uid="{00000000-0005-0000-0000-00000D290000}"/>
    <cellStyle name="Input 2 3 3 4" xfId="1959" xr:uid="{00000000-0005-0000-0000-00000E290000}"/>
    <cellStyle name="Input 2 3 3 4 2" xfId="4812" xr:uid="{00000000-0005-0000-0000-00000F290000}"/>
    <cellStyle name="Input 2 3 3 4 2 2" xfId="23784" xr:uid="{00000000-0005-0000-0000-000010290000}"/>
    <cellStyle name="Input 2 3 3 4 2 3" xfId="34629" xr:uid="{00000000-0005-0000-0000-000011290000}"/>
    <cellStyle name="Input 2 3 3 4 2 4" xfId="14677" xr:uid="{00000000-0005-0000-0000-000012290000}"/>
    <cellStyle name="Input 2 3 3 4 3" xfId="7484" xr:uid="{00000000-0005-0000-0000-000013290000}"/>
    <cellStyle name="Input 2 3 3 4 3 2" xfId="26456" xr:uid="{00000000-0005-0000-0000-000014290000}"/>
    <cellStyle name="Input 2 3 3 4 3 3" xfId="37301" xr:uid="{00000000-0005-0000-0000-000015290000}"/>
    <cellStyle name="Input 2 3 3 4 3 4" xfId="16591" xr:uid="{00000000-0005-0000-0000-000016290000}"/>
    <cellStyle name="Input 2 3 3 4 4" xfId="10143" xr:uid="{00000000-0005-0000-0000-000017290000}"/>
    <cellStyle name="Input 2 3 3 4 4 2" xfId="29115" xr:uid="{00000000-0005-0000-0000-000018290000}"/>
    <cellStyle name="Input 2 3 3 4 4 3" xfId="39960" xr:uid="{00000000-0005-0000-0000-000019290000}"/>
    <cellStyle name="Input 2 3 3 4 4 4" xfId="18495" xr:uid="{00000000-0005-0000-0000-00001A290000}"/>
    <cellStyle name="Input 2 3 3 4 5" xfId="20939" xr:uid="{00000000-0005-0000-0000-00001B290000}"/>
    <cellStyle name="Input 2 3 3 4 6" xfId="31784" xr:uid="{00000000-0005-0000-0000-00001C290000}"/>
    <cellStyle name="Input 2 3 3 4 7" xfId="12641" xr:uid="{00000000-0005-0000-0000-00001D290000}"/>
    <cellStyle name="Input 2 3 3 5" xfId="2351" xr:uid="{00000000-0005-0000-0000-00001E290000}"/>
    <cellStyle name="Input 2 3 3 5 2" xfId="5204" xr:uid="{00000000-0005-0000-0000-00001F290000}"/>
    <cellStyle name="Input 2 3 3 5 2 2" xfId="24176" xr:uid="{00000000-0005-0000-0000-000020290000}"/>
    <cellStyle name="Input 2 3 3 5 2 3" xfId="35021" xr:uid="{00000000-0005-0000-0000-000021290000}"/>
    <cellStyle name="Input 2 3 3 5 2 4" xfId="14958" xr:uid="{00000000-0005-0000-0000-000022290000}"/>
    <cellStyle name="Input 2 3 3 5 3" xfId="7875" xr:uid="{00000000-0005-0000-0000-000023290000}"/>
    <cellStyle name="Input 2 3 3 5 3 2" xfId="26847" xr:uid="{00000000-0005-0000-0000-000024290000}"/>
    <cellStyle name="Input 2 3 3 5 3 3" xfId="37692" xr:uid="{00000000-0005-0000-0000-000025290000}"/>
    <cellStyle name="Input 2 3 3 5 3 4" xfId="16871" xr:uid="{00000000-0005-0000-0000-000026290000}"/>
    <cellStyle name="Input 2 3 3 5 4" xfId="10534" xr:uid="{00000000-0005-0000-0000-000027290000}"/>
    <cellStyle name="Input 2 3 3 5 4 2" xfId="29506" xr:uid="{00000000-0005-0000-0000-000028290000}"/>
    <cellStyle name="Input 2 3 3 5 4 3" xfId="40351" xr:uid="{00000000-0005-0000-0000-000029290000}"/>
    <cellStyle name="Input 2 3 3 5 4 4" xfId="18775" xr:uid="{00000000-0005-0000-0000-00002A290000}"/>
    <cellStyle name="Input 2 3 3 5 5" xfId="21330" xr:uid="{00000000-0005-0000-0000-00002B290000}"/>
    <cellStyle name="Input 2 3 3 5 6" xfId="32175" xr:uid="{00000000-0005-0000-0000-00002C290000}"/>
    <cellStyle name="Input 2 3 3 5 7" xfId="12921" xr:uid="{00000000-0005-0000-0000-00002D290000}"/>
    <cellStyle name="Input 2 3 3 6" xfId="2740" xr:uid="{00000000-0005-0000-0000-00002E290000}"/>
    <cellStyle name="Input 2 3 3 6 2" xfId="5592" xr:uid="{00000000-0005-0000-0000-00002F290000}"/>
    <cellStyle name="Input 2 3 3 6 2 2" xfId="24564" xr:uid="{00000000-0005-0000-0000-000030290000}"/>
    <cellStyle name="Input 2 3 3 6 2 3" xfId="35409" xr:uid="{00000000-0005-0000-0000-000031290000}"/>
    <cellStyle name="Input 2 3 3 6 2 4" xfId="15236" xr:uid="{00000000-0005-0000-0000-000032290000}"/>
    <cellStyle name="Input 2 3 3 6 3" xfId="8263" xr:uid="{00000000-0005-0000-0000-000033290000}"/>
    <cellStyle name="Input 2 3 3 6 3 2" xfId="27235" xr:uid="{00000000-0005-0000-0000-000034290000}"/>
    <cellStyle name="Input 2 3 3 6 3 3" xfId="38080" xr:uid="{00000000-0005-0000-0000-000035290000}"/>
    <cellStyle name="Input 2 3 3 6 3 4" xfId="17149" xr:uid="{00000000-0005-0000-0000-000036290000}"/>
    <cellStyle name="Input 2 3 3 6 4" xfId="10922" xr:uid="{00000000-0005-0000-0000-000037290000}"/>
    <cellStyle name="Input 2 3 3 6 4 2" xfId="29894" xr:uid="{00000000-0005-0000-0000-000038290000}"/>
    <cellStyle name="Input 2 3 3 6 4 3" xfId="40739" xr:uid="{00000000-0005-0000-0000-000039290000}"/>
    <cellStyle name="Input 2 3 3 6 4 4" xfId="19053" xr:uid="{00000000-0005-0000-0000-00003A290000}"/>
    <cellStyle name="Input 2 3 3 6 5" xfId="21718" xr:uid="{00000000-0005-0000-0000-00003B290000}"/>
    <cellStyle name="Input 2 3 3 6 6" xfId="32563" xr:uid="{00000000-0005-0000-0000-00003C290000}"/>
    <cellStyle name="Input 2 3 3 6 7" xfId="13199" xr:uid="{00000000-0005-0000-0000-00003D290000}"/>
    <cellStyle name="Input 2 3 3 7" xfId="3431" xr:uid="{00000000-0005-0000-0000-00003E290000}"/>
    <cellStyle name="Input 2 3 3 7 2" xfId="22403" xr:uid="{00000000-0005-0000-0000-00003F290000}"/>
    <cellStyle name="Input 2 3 3 7 3" xfId="33248" xr:uid="{00000000-0005-0000-0000-000040290000}"/>
    <cellStyle name="Input 2 3 3 7 4" xfId="13681" xr:uid="{00000000-0005-0000-0000-000041290000}"/>
    <cellStyle name="Input 2 3 3 8" xfId="6107" xr:uid="{00000000-0005-0000-0000-000042290000}"/>
    <cellStyle name="Input 2 3 3 8 2" xfId="25079" xr:uid="{00000000-0005-0000-0000-000043290000}"/>
    <cellStyle name="Input 2 3 3 8 3" xfId="35924" xr:uid="{00000000-0005-0000-0000-000044290000}"/>
    <cellStyle name="Input 2 3 3 8 4" xfId="15598" xr:uid="{00000000-0005-0000-0000-000045290000}"/>
    <cellStyle name="Input 2 3 3 9" xfId="8766" xr:uid="{00000000-0005-0000-0000-000046290000}"/>
    <cellStyle name="Input 2 3 3 9 2" xfId="27738" xr:uid="{00000000-0005-0000-0000-000047290000}"/>
    <cellStyle name="Input 2 3 3 9 3" xfId="38583" xr:uid="{00000000-0005-0000-0000-000048290000}"/>
    <cellStyle name="Input 2 3 3 9 4" xfId="17502" xr:uid="{00000000-0005-0000-0000-000049290000}"/>
    <cellStyle name="Input 2 3 4" xfId="11450" xr:uid="{00000000-0005-0000-0000-00004A290000}"/>
    <cellStyle name="Input 2 4" xfId="99" xr:uid="{00000000-0005-0000-0000-00004B290000}"/>
    <cellStyle name="Input 2 4 2" xfId="369" xr:uid="{00000000-0005-0000-0000-00004C290000}"/>
    <cellStyle name="Input 2 4 2 10" xfId="1236" xr:uid="{00000000-0005-0000-0000-00004D290000}"/>
    <cellStyle name="Input 2 4 2 10 2" xfId="4089" xr:uid="{00000000-0005-0000-0000-00004E290000}"/>
    <cellStyle name="Input 2 4 2 10 2 2" xfId="23061" xr:uid="{00000000-0005-0000-0000-00004F290000}"/>
    <cellStyle name="Input 2 4 2 10 2 3" xfId="33906" xr:uid="{00000000-0005-0000-0000-000050290000}"/>
    <cellStyle name="Input 2 4 2 10 2 4" xfId="14162" xr:uid="{00000000-0005-0000-0000-000051290000}"/>
    <cellStyle name="Input 2 4 2 10 3" xfId="6762" xr:uid="{00000000-0005-0000-0000-000052290000}"/>
    <cellStyle name="Input 2 4 2 10 3 2" xfId="25734" xr:uid="{00000000-0005-0000-0000-000053290000}"/>
    <cellStyle name="Input 2 4 2 10 3 3" xfId="36579" xr:uid="{00000000-0005-0000-0000-000054290000}"/>
    <cellStyle name="Input 2 4 2 10 3 4" xfId="16077" xr:uid="{00000000-0005-0000-0000-000055290000}"/>
    <cellStyle name="Input 2 4 2 10 4" xfId="9421" xr:uid="{00000000-0005-0000-0000-000056290000}"/>
    <cellStyle name="Input 2 4 2 10 4 2" xfId="28393" xr:uid="{00000000-0005-0000-0000-000057290000}"/>
    <cellStyle name="Input 2 4 2 10 4 3" xfId="39238" xr:uid="{00000000-0005-0000-0000-000058290000}"/>
    <cellStyle name="Input 2 4 2 10 4 4" xfId="17981" xr:uid="{00000000-0005-0000-0000-000059290000}"/>
    <cellStyle name="Input 2 4 2 10 5" xfId="20217" xr:uid="{00000000-0005-0000-0000-00005A290000}"/>
    <cellStyle name="Input 2 4 2 10 6" xfId="31062" xr:uid="{00000000-0005-0000-0000-00005B290000}"/>
    <cellStyle name="Input 2 4 2 10 7" xfId="12127" xr:uid="{00000000-0005-0000-0000-00005C290000}"/>
    <cellStyle name="Input 2 4 2 11" xfId="932" xr:uid="{00000000-0005-0000-0000-00005D290000}"/>
    <cellStyle name="Input 2 4 2 11 2" xfId="3786" xr:uid="{00000000-0005-0000-0000-00005E290000}"/>
    <cellStyle name="Input 2 4 2 11 2 2" xfId="22758" xr:uid="{00000000-0005-0000-0000-00005F290000}"/>
    <cellStyle name="Input 2 4 2 11 2 3" xfId="33603" xr:uid="{00000000-0005-0000-0000-000060290000}"/>
    <cellStyle name="Input 2 4 2 11 2 4" xfId="13932" xr:uid="{00000000-0005-0000-0000-000061290000}"/>
    <cellStyle name="Input 2 4 2 11 3" xfId="6461" xr:uid="{00000000-0005-0000-0000-000062290000}"/>
    <cellStyle name="Input 2 4 2 11 3 2" xfId="25433" xr:uid="{00000000-0005-0000-0000-000063290000}"/>
    <cellStyle name="Input 2 4 2 11 3 3" xfId="36278" xr:uid="{00000000-0005-0000-0000-000064290000}"/>
    <cellStyle name="Input 2 4 2 11 3 4" xfId="15848" xr:uid="{00000000-0005-0000-0000-000065290000}"/>
    <cellStyle name="Input 2 4 2 11 4" xfId="9120" xr:uid="{00000000-0005-0000-0000-000066290000}"/>
    <cellStyle name="Input 2 4 2 11 4 2" xfId="28092" xr:uid="{00000000-0005-0000-0000-000067290000}"/>
    <cellStyle name="Input 2 4 2 11 4 3" xfId="38937" xr:uid="{00000000-0005-0000-0000-000068290000}"/>
    <cellStyle name="Input 2 4 2 11 4 4" xfId="17752" xr:uid="{00000000-0005-0000-0000-000069290000}"/>
    <cellStyle name="Input 2 4 2 11 5" xfId="19916" xr:uid="{00000000-0005-0000-0000-00006A290000}"/>
    <cellStyle name="Input 2 4 2 11 6" xfId="30761" xr:uid="{00000000-0005-0000-0000-00006B290000}"/>
    <cellStyle name="Input 2 4 2 11 7" xfId="11898" xr:uid="{00000000-0005-0000-0000-00006C290000}"/>
    <cellStyle name="Input 2 4 2 12" xfId="3105" xr:uid="{00000000-0005-0000-0000-00006D290000}"/>
    <cellStyle name="Input 2 4 2 12 2" xfId="5956" xr:uid="{00000000-0005-0000-0000-00006E290000}"/>
    <cellStyle name="Input 2 4 2 12 2 2" xfId="24928" xr:uid="{00000000-0005-0000-0000-00006F290000}"/>
    <cellStyle name="Input 2 4 2 12 2 3" xfId="35773" xr:uid="{00000000-0005-0000-0000-000070290000}"/>
    <cellStyle name="Input 2 4 2 12 2 4" xfId="15491" xr:uid="{00000000-0005-0000-0000-000071290000}"/>
    <cellStyle name="Input 2 4 2 12 3" xfId="8627" xr:uid="{00000000-0005-0000-0000-000072290000}"/>
    <cellStyle name="Input 2 4 2 12 3 2" xfId="27599" xr:uid="{00000000-0005-0000-0000-000073290000}"/>
    <cellStyle name="Input 2 4 2 12 3 3" xfId="38444" xr:uid="{00000000-0005-0000-0000-000074290000}"/>
    <cellStyle name="Input 2 4 2 12 3 4" xfId="17404" xr:uid="{00000000-0005-0000-0000-000075290000}"/>
    <cellStyle name="Input 2 4 2 12 4" xfId="11286" xr:uid="{00000000-0005-0000-0000-000076290000}"/>
    <cellStyle name="Input 2 4 2 12 4 2" xfId="30258" xr:uid="{00000000-0005-0000-0000-000077290000}"/>
    <cellStyle name="Input 2 4 2 12 4 3" xfId="41103" xr:uid="{00000000-0005-0000-0000-000078290000}"/>
    <cellStyle name="Input 2 4 2 12 4 4" xfId="19308" xr:uid="{00000000-0005-0000-0000-000079290000}"/>
    <cellStyle name="Input 2 4 2 12 5" xfId="22082" xr:uid="{00000000-0005-0000-0000-00007A290000}"/>
    <cellStyle name="Input 2 4 2 12 6" xfId="32927" xr:uid="{00000000-0005-0000-0000-00007B290000}"/>
    <cellStyle name="Input 2 4 2 12 7" xfId="13454" xr:uid="{00000000-0005-0000-0000-00007C290000}"/>
    <cellStyle name="Input 2 4 2 13" xfId="3162" xr:uid="{00000000-0005-0000-0000-00007D290000}"/>
    <cellStyle name="Input 2 4 2 13 2" xfId="6013" xr:uid="{00000000-0005-0000-0000-00007E290000}"/>
    <cellStyle name="Input 2 4 2 13 2 2" xfId="24985" xr:uid="{00000000-0005-0000-0000-00007F290000}"/>
    <cellStyle name="Input 2 4 2 13 2 3" xfId="35830" xr:uid="{00000000-0005-0000-0000-000080290000}"/>
    <cellStyle name="Input 2 4 2 13 2 4" xfId="15528" xr:uid="{00000000-0005-0000-0000-000081290000}"/>
    <cellStyle name="Input 2 4 2 13 3" xfId="8684" xr:uid="{00000000-0005-0000-0000-000082290000}"/>
    <cellStyle name="Input 2 4 2 13 3 2" xfId="27656" xr:uid="{00000000-0005-0000-0000-000083290000}"/>
    <cellStyle name="Input 2 4 2 13 3 3" xfId="38501" xr:uid="{00000000-0005-0000-0000-000084290000}"/>
    <cellStyle name="Input 2 4 2 13 3 4" xfId="17441" xr:uid="{00000000-0005-0000-0000-000085290000}"/>
    <cellStyle name="Input 2 4 2 13 4" xfId="11343" xr:uid="{00000000-0005-0000-0000-000086290000}"/>
    <cellStyle name="Input 2 4 2 13 4 2" xfId="30315" xr:uid="{00000000-0005-0000-0000-000087290000}"/>
    <cellStyle name="Input 2 4 2 13 4 3" xfId="41160" xr:uid="{00000000-0005-0000-0000-000088290000}"/>
    <cellStyle name="Input 2 4 2 13 4 4" xfId="19345" xr:uid="{00000000-0005-0000-0000-000089290000}"/>
    <cellStyle name="Input 2 4 2 13 5" xfId="22139" xr:uid="{00000000-0005-0000-0000-00008A290000}"/>
    <cellStyle name="Input 2 4 2 13 6" xfId="32984" xr:uid="{00000000-0005-0000-0000-00008B290000}"/>
    <cellStyle name="Input 2 4 2 13 7" xfId="13491" xr:uid="{00000000-0005-0000-0000-00008C290000}"/>
    <cellStyle name="Input 2 4 2 14" xfId="3328" xr:uid="{00000000-0005-0000-0000-00008D290000}"/>
    <cellStyle name="Input 2 4 2 14 2" xfId="22302" xr:uid="{00000000-0005-0000-0000-00008E290000}"/>
    <cellStyle name="Input 2 4 2 14 3" xfId="33147" xr:uid="{00000000-0005-0000-0000-00008F290000}"/>
    <cellStyle name="Input 2 4 2 14 4" xfId="13608" xr:uid="{00000000-0005-0000-0000-000090290000}"/>
    <cellStyle name="Input 2 4 2 15" xfId="3249" xr:uid="{00000000-0005-0000-0000-000091290000}"/>
    <cellStyle name="Input 2 4 2 15 2" xfId="22225" xr:uid="{00000000-0005-0000-0000-000092290000}"/>
    <cellStyle name="Input 2 4 2 15 3" xfId="33070" xr:uid="{00000000-0005-0000-0000-000093290000}"/>
    <cellStyle name="Input 2 4 2 15 4" xfId="13551" xr:uid="{00000000-0005-0000-0000-000094290000}"/>
    <cellStyle name="Input 2 4 2 16" xfId="3265" xr:uid="{00000000-0005-0000-0000-000095290000}"/>
    <cellStyle name="Input 2 4 2 16 2" xfId="22239" xr:uid="{00000000-0005-0000-0000-000096290000}"/>
    <cellStyle name="Input 2 4 2 16 3" xfId="33084" xr:uid="{00000000-0005-0000-0000-000097290000}"/>
    <cellStyle name="Input 2 4 2 16 4" xfId="13565" xr:uid="{00000000-0005-0000-0000-000098290000}"/>
    <cellStyle name="Input 2 4 2 17" xfId="19459" xr:uid="{00000000-0005-0000-0000-000099290000}"/>
    <cellStyle name="Input 2 4 2 18" xfId="19402" xr:uid="{00000000-0005-0000-0000-00009A290000}"/>
    <cellStyle name="Input 2 4 2 19" xfId="11518" xr:uid="{00000000-0005-0000-0000-00009B290000}"/>
    <cellStyle name="Input 2 4 2 2" xfId="670" xr:uid="{00000000-0005-0000-0000-00009C290000}"/>
    <cellStyle name="Input 2 4 2 2 10" xfId="19655" xr:uid="{00000000-0005-0000-0000-00009D290000}"/>
    <cellStyle name="Input 2 4 2 2 11" xfId="30500" xr:uid="{00000000-0005-0000-0000-00009E290000}"/>
    <cellStyle name="Input 2 4 2 2 12" xfId="11722" xr:uid="{00000000-0005-0000-0000-00009F290000}"/>
    <cellStyle name="Input 2 4 2 2 2" xfId="1257" xr:uid="{00000000-0005-0000-0000-0000A0290000}"/>
    <cellStyle name="Input 2 4 2 2 2 2" xfId="4110" xr:uid="{00000000-0005-0000-0000-0000A1290000}"/>
    <cellStyle name="Input 2 4 2 2 2 2 2" xfId="23082" xr:uid="{00000000-0005-0000-0000-0000A2290000}"/>
    <cellStyle name="Input 2 4 2 2 2 2 3" xfId="33927" xr:uid="{00000000-0005-0000-0000-0000A3290000}"/>
    <cellStyle name="Input 2 4 2 2 2 2 4" xfId="14183" xr:uid="{00000000-0005-0000-0000-0000A4290000}"/>
    <cellStyle name="Input 2 4 2 2 2 3" xfId="6783" xr:uid="{00000000-0005-0000-0000-0000A5290000}"/>
    <cellStyle name="Input 2 4 2 2 2 3 2" xfId="25755" xr:uid="{00000000-0005-0000-0000-0000A6290000}"/>
    <cellStyle name="Input 2 4 2 2 2 3 3" xfId="36600" xr:uid="{00000000-0005-0000-0000-0000A7290000}"/>
    <cellStyle name="Input 2 4 2 2 2 3 4" xfId="16098" xr:uid="{00000000-0005-0000-0000-0000A8290000}"/>
    <cellStyle name="Input 2 4 2 2 2 4" xfId="9442" xr:uid="{00000000-0005-0000-0000-0000A9290000}"/>
    <cellStyle name="Input 2 4 2 2 2 4 2" xfId="28414" xr:uid="{00000000-0005-0000-0000-0000AA290000}"/>
    <cellStyle name="Input 2 4 2 2 2 4 3" xfId="39259" xr:uid="{00000000-0005-0000-0000-0000AB290000}"/>
    <cellStyle name="Input 2 4 2 2 2 4 4" xfId="18002" xr:uid="{00000000-0005-0000-0000-0000AC290000}"/>
    <cellStyle name="Input 2 4 2 2 2 5" xfId="20238" xr:uid="{00000000-0005-0000-0000-0000AD290000}"/>
    <cellStyle name="Input 2 4 2 2 2 6" xfId="31083" xr:uid="{00000000-0005-0000-0000-0000AE290000}"/>
    <cellStyle name="Input 2 4 2 2 2 7" xfId="12148" xr:uid="{00000000-0005-0000-0000-0000AF290000}"/>
    <cellStyle name="Input 2 4 2 2 3" xfId="1656" xr:uid="{00000000-0005-0000-0000-0000B0290000}"/>
    <cellStyle name="Input 2 4 2 2 3 2" xfId="4509" xr:uid="{00000000-0005-0000-0000-0000B1290000}"/>
    <cellStyle name="Input 2 4 2 2 3 2 2" xfId="23481" xr:uid="{00000000-0005-0000-0000-0000B2290000}"/>
    <cellStyle name="Input 2 4 2 2 3 2 3" xfId="34326" xr:uid="{00000000-0005-0000-0000-0000B3290000}"/>
    <cellStyle name="Input 2 4 2 2 3 2 4" xfId="14470" xr:uid="{00000000-0005-0000-0000-0000B4290000}"/>
    <cellStyle name="Input 2 4 2 2 3 3" xfId="7181" xr:uid="{00000000-0005-0000-0000-0000B5290000}"/>
    <cellStyle name="Input 2 4 2 2 3 3 2" xfId="26153" xr:uid="{00000000-0005-0000-0000-0000B6290000}"/>
    <cellStyle name="Input 2 4 2 2 3 3 3" xfId="36998" xr:uid="{00000000-0005-0000-0000-0000B7290000}"/>
    <cellStyle name="Input 2 4 2 2 3 3 4" xfId="16384" xr:uid="{00000000-0005-0000-0000-0000B8290000}"/>
    <cellStyle name="Input 2 4 2 2 3 4" xfId="9840" xr:uid="{00000000-0005-0000-0000-0000B9290000}"/>
    <cellStyle name="Input 2 4 2 2 3 4 2" xfId="28812" xr:uid="{00000000-0005-0000-0000-0000BA290000}"/>
    <cellStyle name="Input 2 4 2 2 3 4 3" xfId="39657" xr:uid="{00000000-0005-0000-0000-0000BB290000}"/>
    <cellStyle name="Input 2 4 2 2 3 4 4" xfId="18288" xr:uid="{00000000-0005-0000-0000-0000BC290000}"/>
    <cellStyle name="Input 2 4 2 2 3 5" xfId="20636" xr:uid="{00000000-0005-0000-0000-0000BD290000}"/>
    <cellStyle name="Input 2 4 2 2 3 6" xfId="31481" xr:uid="{00000000-0005-0000-0000-0000BE290000}"/>
    <cellStyle name="Input 2 4 2 2 3 7" xfId="12434" xr:uid="{00000000-0005-0000-0000-0000BF290000}"/>
    <cellStyle name="Input 2 4 2 2 4" xfId="2060" xr:uid="{00000000-0005-0000-0000-0000C0290000}"/>
    <cellStyle name="Input 2 4 2 2 4 2" xfId="4913" xr:uid="{00000000-0005-0000-0000-0000C1290000}"/>
    <cellStyle name="Input 2 4 2 2 4 2 2" xfId="23885" xr:uid="{00000000-0005-0000-0000-0000C2290000}"/>
    <cellStyle name="Input 2 4 2 2 4 2 3" xfId="34730" xr:uid="{00000000-0005-0000-0000-0000C3290000}"/>
    <cellStyle name="Input 2 4 2 2 4 2 4" xfId="14757" xr:uid="{00000000-0005-0000-0000-0000C4290000}"/>
    <cellStyle name="Input 2 4 2 2 4 3" xfId="7584" xr:uid="{00000000-0005-0000-0000-0000C5290000}"/>
    <cellStyle name="Input 2 4 2 2 4 3 2" xfId="26556" xr:uid="{00000000-0005-0000-0000-0000C6290000}"/>
    <cellStyle name="Input 2 4 2 2 4 3 3" xfId="37401" xr:uid="{00000000-0005-0000-0000-0000C7290000}"/>
    <cellStyle name="Input 2 4 2 2 4 3 4" xfId="16670" xr:uid="{00000000-0005-0000-0000-0000C8290000}"/>
    <cellStyle name="Input 2 4 2 2 4 4" xfId="10243" xr:uid="{00000000-0005-0000-0000-0000C9290000}"/>
    <cellStyle name="Input 2 4 2 2 4 4 2" xfId="29215" xr:uid="{00000000-0005-0000-0000-0000CA290000}"/>
    <cellStyle name="Input 2 4 2 2 4 4 3" xfId="40060" xr:uid="{00000000-0005-0000-0000-0000CB290000}"/>
    <cellStyle name="Input 2 4 2 2 4 4 4" xfId="18574" xr:uid="{00000000-0005-0000-0000-0000CC290000}"/>
    <cellStyle name="Input 2 4 2 2 4 5" xfId="21039" xr:uid="{00000000-0005-0000-0000-0000CD290000}"/>
    <cellStyle name="Input 2 4 2 2 4 6" xfId="31884" xr:uid="{00000000-0005-0000-0000-0000CE290000}"/>
    <cellStyle name="Input 2 4 2 2 4 7" xfId="12720" xr:uid="{00000000-0005-0000-0000-0000CF290000}"/>
    <cellStyle name="Input 2 4 2 2 5" xfId="2450" xr:uid="{00000000-0005-0000-0000-0000D0290000}"/>
    <cellStyle name="Input 2 4 2 2 5 2" xfId="5302" xr:uid="{00000000-0005-0000-0000-0000D1290000}"/>
    <cellStyle name="Input 2 4 2 2 5 2 2" xfId="24274" xr:uid="{00000000-0005-0000-0000-0000D2290000}"/>
    <cellStyle name="Input 2 4 2 2 5 2 3" xfId="35119" xr:uid="{00000000-0005-0000-0000-0000D3290000}"/>
    <cellStyle name="Input 2 4 2 2 5 2 4" xfId="15036" xr:uid="{00000000-0005-0000-0000-0000D4290000}"/>
    <cellStyle name="Input 2 4 2 2 5 3" xfId="7973" xr:uid="{00000000-0005-0000-0000-0000D5290000}"/>
    <cellStyle name="Input 2 4 2 2 5 3 2" xfId="26945" xr:uid="{00000000-0005-0000-0000-0000D6290000}"/>
    <cellStyle name="Input 2 4 2 2 5 3 3" xfId="37790" xr:uid="{00000000-0005-0000-0000-0000D7290000}"/>
    <cellStyle name="Input 2 4 2 2 5 3 4" xfId="16949" xr:uid="{00000000-0005-0000-0000-0000D8290000}"/>
    <cellStyle name="Input 2 4 2 2 5 4" xfId="10632" xr:uid="{00000000-0005-0000-0000-0000D9290000}"/>
    <cellStyle name="Input 2 4 2 2 5 4 2" xfId="29604" xr:uid="{00000000-0005-0000-0000-0000DA290000}"/>
    <cellStyle name="Input 2 4 2 2 5 4 3" xfId="40449" xr:uid="{00000000-0005-0000-0000-0000DB290000}"/>
    <cellStyle name="Input 2 4 2 2 5 4 4" xfId="18853" xr:uid="{00000000-0005-0000-0000-0000DC290000}"/>
    <cellStyle name="Input 2 4 2 2 5 5" xfId="21428" xr:uid="{00000000-0005-0000-0000-0000DD290000}"/>
    <cellStyle name="Input 2 4 2 2 5 6" xfId="32273" xr:uid="{00000000-0005-0000-0000-0000DE290000}"/>
    <cellStyle name="Input 2 4 2 2 5 7" xfId="12999" xr:uid="{00000000-0005-0000-0000-0000DF290000}"/>
    <cellStyle name="Input 2 4 2 2 6" xfId="2836" xr:uid="{00000000-0005-0000-0000-0000E0290000}"/>
    <cellStyle name="Input 2 4 2 2 6 2" xfId="5687" xr:uid="{00000000-0005-0000-0000-0000E1290000}"/>
    <cellStyle name="Input 2 4 2 2 6 2 2" xfId="24659" xr:uid="{00000000-0005-0000-0000-0000E2290000}"/>
    <cellStyle name="Input 2 4 2 2 6 2 3" xfId="35504" xr:uid="{00000000-0005-0000-0000-0000E3290000}"/>
    <cellStyle name="Input 2 4 2 2 6 2 4" xfId="15312" xr:uid="{00000000-0005-0000-0000-0000E4290000}"/>
    <cellStyle name="Input 2 4 2 2 6 3" xfId="8358" xr:uid="{00000000-0005-0000-0000-0000E5290000}"/>
    <cellStyle name="Input 2 4 2 2 6 3 2" xfId="27330" xr:uid="{00000000-0005-0000-0000-0000E6290000}"/>
    <cellStyle name="Input 2 4 2 2 6 3 3" xfId="38175" xr:uid="{00000000-0005-0000-0000-0000E7290000}"/>
    <cellStyle name="Input 2 4 2 2 6 3 4" xfId="17225" xr:uid="{00000000-0005-0000-0000-0000E8290000}"/>
    <cellStyle name="Input 2 4 2 2 6 4" xfId="11017" xr:uid="{00000000-0005-0000-0000-0000E9290000}"/>
    <cellStyle name="Input 2 4 2 2 6 4 2" xfId="29989" xr:uid="{00000000-0005-0000-0000-0000EA290000}"/>
    <cellStyle name="Input 2 4 2 2 6 4 3" xfId="40834" xr:uid="{00000000-0005-0000-0000-0000EB290000}"/>
    <cellStyle name="Input 2 4 2 2 6 4 4" xfId="19129" xr:uid="{00000000-0005-0000-0000-0000EC290000}"/>
    <cellStyle name="Input 2 4 2 2 6 5" xfId="21813" xr:uid="{00000000-0005-0000-0000-0000ED290000}"/>
    <cellStyle name="Input 2 4 2 2 6 6" xfId="32658" xr:uid="{00000000-0005-0000-0000-0000EE290000}"/>
    <cellStyle name="Input 2 4 2 2 6 7" xfId="13275" xr:uid="{00000000-0005-0000-0000-0000EF290000}"/>
    <cellStyle name="Input 2 4 2 2 7" xfId="3525" xr:uid="{00000000-0005-0000-0000-0000F0290000}"/>
    <cellStyle name="Input 2 4 2 2 7 2" xfId="22497" xr:uid="{00000000-0005-0000-0000-0000F1290000}"/>
    <cellStyle name="Input 2 4 2 2 7 3" xfId="33342" xr:uid="{00000000-0005-0000-0000-0000F2290000}"/>
    <cellStyle name="Input 2 4 2 2 7 4" xfId="13756" xr:uid="{00000000-0005-0000-0000-0000F3290000}"/>
    <cellStyle name="Input 2 4 2 2 8" xfId="6200" xr:uid="{00000000-0005-0000-0000-0000F4290000}"/>
    <cellStyle name="Input 2 4 2 2 8 2" xfId="25172" xr:uid="{00000000-0005-0000-0000-0000F5290000}"/>
    <cellStyle name="Input 2 4 2 2 8 3" xfId="36017" xr:uid="{00000000-0005-0000-0000-0000F6290000}"/>
    <cellStyle name="Input 2 4 2 2 8 4" xfId="15672" xr:uid="{00000000-0005-0000-0000-0000F7290000}"/>
    <cellStyle name="Input 2 4 2 2 9" xfId="8859" xr:uid="{00000000-0005-0000-0000-0000F8290000}"/>
    <cellStyle name="Input 2 4 2 2 9 2" xfId="27831" xr:uid="{00000000-0005-0000-0000-0000F9290000}"/>
    <cellStyle name="Input 2 4 2 2 9 3" xfId="38676" xr:uid="{00000000-0005-0000-0000-0000FA290000}"/>
    <cellStyle name="Input 2 4 2 2 9 4" xfId="17576" xr:uid="{00000000-0005-0000-0000-0000FB290000}"/>
    <cellStyle name="Input 2 4 2 3" xfId="730" xr:uid="{00000000-0005-0000-0000-0000FC290000}"/>
    <cellStyle name="Input 2 4 2 3 10" xfId="19715" xr:uid="{00000000-0005-0000-0000-0000FD290000}"/>
    <cellStyle name="Input 2 4 2 3 11" xfId="30560" xr:uid="{00000000-0005-0000-0000-0000FE290000}"/>
    <cellStyle name="Input 2 4 2 3 12" xfId="11762" xr:uid="{00000000-0005-0000-0000-0000FF290000}"/>
    <cellStyle name="Input 2 4 2 3 2" xfId="1317" xr:uid="{00000000-0005-0000-0000-0000002A0000}"/>
    <cellStyle name="Input 2 4 2 3 2 2" xfId="4170" xr:uid="{00000000-0005-0000-0000-0000012A0000}"/>
    <cellStyle name="Input 2 4 2 3 2 2 2" xfId="23142" xr:uid="{00000000-0005-0000-0000-0000022A0000}"/>
    <cellStyle name="Input 2 4 2 3 2 2 3" xfId="33987" xr:uid="{00000000-0005-0000-0000-0000032A0000}"/>
    <cellStyle name="Input 2 4 2 3 2 2 4" xfId="14223" xr:uid="{00000000-0005-0000-0000-0000042A0000}"/>
    <cellStyle name="Input 2 4 2 3 2 3" xfId="6843" xr:uid="{00000000-0005-0000-0000-0000052A0000}"/>
    <cellStyle name="Input 2 4 2 3 2 3 2" xfId="25815" xr:uid="{00000000-0005-0000-0000-0000062A0000}"/>
    <cellStyle name="Input 2 4 2 3 2 3 3" xfId="36660" xr:uid="{00000000-0005-0000-0000-0000072A0000}"/>
    <cellStyle name="Input 2 4 2 3 2 3 4" xfId="16138" xr:uid="{00000000-0005-0000-0000-0000082A0000}"/>
    <cellStyle name="Input 2 4 2 3 2 4" xfId="9502" xr:uid="{00000000-0005-0000-0000-0000092A0000}"/>
    <cellStyle name="Input 2 4 2 3 2 4 2" xfId="28474" xr:uid="{00000000-0005-0000-0000-00000A2A0000}"/>
    <cellStyle name="Input 2 4 2 3 2 4 3" xfId="39319" xr:uid="{00000000-0005-0000-0000-00000B2A0000}"/>
    <cellStyle name="Input 2 4 2 3 2 4 4" xfId="18042" xr:uid="{00000000-0005-0000-0000-00000C2A0000}"/>
    <cellStyle name="Input 2 4 2 3 2 5" xfId="20298" xr:uid="{00000000-0005-0000-0000-00000D2A0000}"/>
    <cellStyle name="Input 2 4 2 3 2 6" xfId="31143" xr:uid="{00000000-0005-0000-0000-00000E2A0000}"/>
    <cellStyle name="Input 2 4 2 3 2 7" xfId="12188" xr:uid="{00000000-0005-0000-0000-00000F2A0000}"/>
    <cellStyle name="Input 2 4 2 3 3" xfId="1716" xr:uid="{00000000-0005-0000-0000-0000102A0000}"/>
    <cellStyle name="Input 2 4 2 3 3 2" xfId="4569" xr:uid="{00000000-0005-0000-0000-0000112A0000}"/>
    <cellStyle name="Input 2 4 2 3 3 2 2" xfId="23541" xr:uid="{00000000-0005-0000-0000-0000122A0000}"/>
    <cellStyle name="Input 2 4 2 3 3 2 3" xfId="34386" xr:uid="{00000000-0005-0000-0000-0000132A0000}"/>
    <cellStyle name="Input 2 4 2 3 3 2 4" xfId="14510" xr:uid="{00000000-0005-0000-0000-0000142A0000}"/>
    <cellStyle name="Input 2 4 2 3 3 3" xfId="7241" xr:uid="{00000000-0005-0000-0000-0000152A0000}"/>
    <cellStyle name="Input 2 4 2 3 3 3 2" xfId="26213" xr:uid="{00000000-0005-0000-0000-0000162A0000}"/>
    <cellStyle name="Input 2 4 2 3 3 3 3" xfId="37058" xr:uid="{00000000-0005-0000-0000-0000172A0000}"/>
    <cellStyle name="Input 2 4 2 3 3 3 4" xfId="16424" xr:uid="{00000000-0005-0000-0000-0000182A0000}"/>
    <cellStyle name="Input 2 4 2 3 3 4" xfId="9900" xr:uid="{00000000-0005-0000-0000-0000192A0000}"/>
    <cellStyle name="Input 2 4 2 3 3 4 2" xfId="28872" xr:uid="{00000000-0005-0000-0000-00001A2A0000}"/>
    <cellStyle name="Input 2 4 2 3 3 4 3" xfId="39717" xr:uid="{00000000-0005-0000-0000-00001B2A0000}"/>
    <cellStyle name="Input 2 4 2 3 3 4 4" xfId="18328" xr:uid="{00000000-0005-0000-0000-00001C2A0000}"/>
    <cellStyle name="Input 2 4 2 3 3 5" xfId="20696" xr:uid="{00000000-0005-0000-0000-00001D2A0000}"/>
    <cellStyle name="Input 2 4 2 3 3 6" xfId="31541" xr:uid="{00000000-0005-0000-0000-00001E2A0000}"/>
    <cellStyle name="Input 2 4 2 3 3 7" xfId="12474" xr:uid="{00000000-0005-0000-0000-00001F2A0000}"/>
    <cellStyle name="Input 2 4 2 3 4" xfId="2120" xr:uid="{00000000-0005-0000-0000-0000202A0000}"/>
    <cellStyle name="Input 2 4 2 3 4 2" xfId="4973" xr:uid="{00000000-0005-0000-0000-0000212A0000}"/>
    <cellStyle name="Input 2 4 2 3 4 2 2" xfId="23945" xr:uid="{00000000-0005-0000-0000-0000222A0000}"/>
    <cellStyle name="Input 2 4 2 3 4 2 3" xfId="34790" xr:uid="{00000000-0005-0000-0000-0000232A0000}"/>
    <cellStyle name="Input 2 4 2 3 4 2 4" xfId="14797" xr:uid="{00000000-0005-0000-0000-0000242A0000}"/>
    <cellStyle name="Input 2 4 2 3 4 3" xfId="7644" xr:uid="{00000000-0005-0000-0000-0000252A0000}"/>
    <cellStyle name="Input 2 4 2 3 4 3 2" xfId="26616" xr:uid="{00000000-0005-0000-0000-0000262A0000}"/>
    <cellStyle name="Input 2 4 2 3 4 3 3" xfId="37461" xr:uid="{00000000-0005-0000-0000-0000272A0000}"/>
    <cellStyle name="Input 2 4 2 3 4 3 4" xfId="16710" xr:uid="{00000000-0005-0000-0000-0000282A0000}"/>
    <cellStyle name="Input 2 4 2 3 4 4" xfId="10303" xr:uid="{00000000-0005-0000-0000-0000292A0000}"/>
    <cellStyle name="Input 2 4 2 3 4 4 2" xfId="29275" xr:uid="{00000000-0005-0000-0000-00002A2A0000}"/>
    <cellStyle name="Input 2 4 2 3 4 4 3" xfId="40120" xr:uid="{00000000-0005-0000-0000-00002B2A0000}"/>
    <cellStyle name="Input 2 4 2 3 4 4 4" xfId="18614" xr:uid="{00000000-0005-0000-0000-00002C2A0000}"/>
    <cellStyle name="Input 2 4 2 3 4 5" xfId="21099" xr:uid="{00000000-0005-0000-0000-00002D2A0000}"/>
    <cellStyle name="Input 2 4 2 3 4 6" xfId="31944" xr:uid="{00000000-0005-0000-0000-00002E2A0000}"/>
    <cellStyle name="Input 2 4 2 3 4 7" xfId="12760" xr:uid="{00000000-0005-0000-0000-00002F2A0000}"/>
    <cellStyle name="Input 2 4 2 3 5" xfId="2510" xr:uid="{00000000-0005-0000-0000-0000302A0000}"/>
    <cellStyle name="Input 2 4 2 3 5 2" xfId="5362" xr:uid="{00000000-0005-0000-0000-0000312A0000}"/>
    <cellStyle name="Input 2 4 2 3 5 2 2" xfId="24334" xr:uid="{00000000-0005-0000-0000-0000322A0000}"/>
    <cellStyle name="Input 2 4 2 3 5 2 3" xfId="35179" xr:uid="{00000000-0005-0000-0000-0000332A0000}"/>
    <cellStyle name="Input 2 4 2 3 5 2 4" xfId="15076" xr:uid="{00000000-0005-0000-0000-0000342A0000}"/>
    <cellStyle name="Input 2 4 2 3 5 3" xfId="8033" xr:uid="{00000000-0005-0000-0000-0000352A0000}"/>
    <cellStyle name="Input 2 4 2 3 5 3 2" xfId="27005" xr:uid="{00000000-0005-0000-0000-0000362A0000}"/>
    <cellStyle name="Input 2 4 2 3 5 3 3" xfId="37850" xr:uid="{00000000-0005-0000-0000-0000372A0000}"/>
    <cellStyle name="Input 2 4 2 3 5 3 4" xfId="16989" xr:uid="{00000000-0005-0000-0000-0000382A0000}"/>
    <cellStyle name="Input 2 4 2 3 5 4" xfId="10692" xr:uid="{00000000-0005-0000-0000-0000392A0000}"/>
    <cellStyle name="Input 2 4 2 3 5 4 2" xfId="29664" xr:uid="{00000000-0005-0000-0000-00003A2A0000}"/>
    <cellStyle name="Input 2 4 2 3 5 4 3" xfId="40509" xr:uid="{00000000-0005-0000-0000-00003B2A0000}"/>
    <cellStyle name="Input 2 4 2 3 5 4 4" xfId="18893" xr:uid="{00000000-0005-0000-0000-00003C2A0000}"/>
    <cellStyle name="Input 2 4 2 3 5 5" xfId="21488" xr:uid="{00000000-0005-0000-0000-00003D2A0000}"/>
    <cellStyle name="Input 2 4 2 3 5 6" xfId="32333" xr:uid="{00000000-0005-0000-0000-00003E2A0000}"/>
    <cellStyle name="Input 2 4 2 3 5 7" xfId="13039" xr:uid="{00000000-0005-0000-0000-00003F2A0000}"/>
    <cellStyle name="Input 2 4 2 3 6" xfId="2896" xr:uid="{00000000-0005-0000-0000-0000402A0000}"/>
    <cellStyle name="Input 2 4 2 3 6 2" xfId="5747" xr:uid="{00000000-0005-0000-0000-0000412A0000}"/>
    <cellStyle name="Input 2 4 2 3 6 2 2" xfId="24719" xr:uid="{00000000-0005-0000-0000-0000422A0000}"/>
    <cellStyle name="Input 2 4 2 3 6 2 3" xfId="35564" xr:uid="{00000000-0005-0000-0000-0000432A0000}"/>
    <cellStyle name="Input 2 4 2 3 6 2 4" xfId="15352" xr:uid="{00000000-0005-0000-0000-0000442A0000}"/>
    <cellStyle name="Input 2 4 2 3 6 3" xfId="8418" xr:uid="{00000000-0005-0000-0000-0000452A0000}"/>
    <cellStyle name="Input 2 4 2 3 6 3 2" xfId="27390" xr:uid="{00000000-0005-0000-0000-0000462A0000}"/>
    <cellStyle name="Input 2 4 2 3 6 3 3" xfId="38235" xr:uid="{00000000-0005-0000-0000-0000472A0000}"/>
    <cellStyle name="Input 2 4 2 3 6 3 4" xfId="17265" xr:uid="{00000000-0005-0000-0000-0000482A0000}"/>
    <cellStyle name="Input 2 4 2 3 6 4" xfId="11077" xr:uid="{00000000-0005-0000-0000-0000492A0000}"/>
    <cellStyle name="Input 2 4 2 3 6 4 2" xfId="30049" xr:uid="{00000000-0005-0000-0000-00004A2A0000}"/>
    <cellStyle name="Input 2 4 2 3 6 4 3" xfId="40894" xr:uid="{00000000-0005-0000-0000-00004B2A0000}"/>
    <cellStyle name="Input 2 4 2 3 6 4 4" xfId="19169" xr:uid="{00000000-0005-0000-0000-00004C2A0000}"/>
    <cellStyle name="Input 2 4 2 3 6 5" xfId="21873" xr:uid="{00000000-0005-0000-0000-00004D2A0000}"/>
    <cellStyle name="Input 2 4 2 3 6 6" xfId="32718" xr:uid="{00000000-0005-0000-0000-00004E2A0000}"/>
    <cellStyle name="Input 2 4 2 3 6 7" xfId="13315" xr:uid="{00000000-0005-0000-0000-00004F2A0000}"/>
    <cellStyle name="Input 2 4 2 3 7" xfId="3585" xr:uid="{00000000-0005-0000-0000-0000502A0000}"/>
    <cellStyle name="Input 2 4 2 3 7 2" xfId="22557" xr:uid="{00000000-0005-0000-0000-0000512A0000}"/>
    <cellStyle name="Input 2 4 2 3 7 3" xfId="33402" xr:uid="{00000000-0005-0000-0000-0000522A0000}"/>
    <cellStyle name="Input 2 4 2 3 7 4" xfId="13796" xr:uid="{00000000-0005-0000-0000-0000532A0000}"/>
    <cellStyle name="Input 2 4 2 3 8" xfId="6260" xr:uid="{00000000-0005-0000-0000-0000542A0000}"/>
    <cellStyle name="Input 2 4 2 3 8 2" xfId="25232" xr:uid="{00000000-0005-0000-0000-0000552A0000}"/>
    <cellStyle name="Input 2 4 2 3 8 3" xfId="36077" xr:uid="{00000000-0005-0000-0000-0000562A0000}"/>
    <cellStyle name="Input 2 4 2 3 8 4" xfId="15712" xr:uid="{00000000-0005-0000-0000-0000572A0000}"/>
    <cellStyle name="Input 2 4 2 3 9" xfId="8919" xr:uid="{00000000-0005-0000-0000-0000582A0000}"/>
    <cellStyle name="Input 2 4 2 3 9 2" xfId="27891" xr:uid="{00000000-0005-0000-0000-0000592A0000}"/>
    <cellStyle name="Input 2 4 2 3 9 3" xfId="38736" xr:uid="{00000000-0005-0000-0000-00005A2A0000}"/>
    <cellStyle name="Input 2 4 2 3 9 4" xfId="17616" xr:uid="{00000000-0005-0000-0000-00005B2A0000}"/>
    <cellStyle name="Input 2 4 2 4" xfId="790" xr:uid="{00000000-0005-0000-0000-00005C2A0000}"/>
    <cellStyle name="Input 2 4 2 4 10" xfId="19775" xr:uid="{00000000-0005-0000-0000-00005D2A0000}"/>
    <cellStyle name="Input 2 4 2 4 11" xfId="30620" xr:uid="{00000000-0005-0000-0000-00005E2A0000}"/>
    <cellStyle name="Input 2 4 2 4 12" xfId="11802" xr:uid="{00000000-0005-0000-0000-00005F2A0000}"/>
    <cellStyle name="Input 2 4 2 4 2" xfId="1377" xr:uid="{00000000-0005-0000-0000-0000602A0000}"/>
    <cellStyle name="Input 2 4 2 4 2 2" xfId="4230" xr:uid="{00000000-0005-0000-0000-0000612A0000}"/>
    <cellStyle name="Input 2 4 2 4 2 2 2" xfId="23202" xr:uid="{00000000-0005-0000-0000-0000622A0000}"/>
    <cellStyle name="Input 2 4 2 4 2 2 3" xfId="34047" xr:uid="{00000000-0005-0000-0000-0000632A0000}"/>
    <cellStyle name="Input 2 4 2 4 2 2 4" xfId="14263" xr:uid="{00000000-0005-0000-0000-0000642A0000}"/>
    <cellStyle name="Input 2 4 2 4 2 3" xfId="6903" xr:uid="{00000000-0005-0000-0000-0000652A0000}"/>
    <cellStyle name="Input 2 4 2 4 2 3 2" xfId="25875" xr:uid="{00000000-0005-0000-0000-0000662A0000}"/>
    <cellStyle name="Input 2 4 2 4 2 3 3" xfId="36720" xr:uid="{00000000-0005-0000-0000-0000672A0000}"/>
    <cellStyle name="Input 2 4 2 4 2 3 4" xfId="16178" xr:uid="{00000000-0005-0000-0000-0000682A0000}"/>
    <cellStyle name="Input 2 4 2 4 2 4" xfId="9562" xr:uid="{00000000-0005-0000-0000-0000692A0000}"/>
    <cellStyle name="Input 2 4 2 4 2 4 2" xfId="28534" xr:uid="{00000000-0005-0000-0000-00006A2A0000}"/>
    <cellStyle name="Input 2 4 2 4 2 4 3" xfId="39379" xr:uid="{00000000-0005-0000-0000-00006B2A0000}"/>
    <cellStyle name="Input 2 4 2 4 2 4 4" xfId="18082" xr:uid="{00000000-0005-0000-0000-00006C2A0000}"/>
    <cellStyle name="Input 2 4 2 4 2 5" xfId="20358" xr:uid="{00000000-0005-0000-0000-00006D2A0000}"/>
    <cellStyle name="Input 2 4 2 4 2 6" xfId="31203" xr:uid="{00000000-0005-0000-0000-00006E2A0000}"/>
    <cellStyle name="Input 2 4 2 4 2 7" xfId="12228" xr:uid="{00000000-0005-0000-0000-00006F2A0000}"/>
    <cellStyle name="Input 2 4 2 4 3" xfId="1776" xr:uid="{00000000-0005-0000-0000-0000702A0000}"/>
    <cellStyle name="Input 2 4 2 4 3 2" xfId="4629" xr:uid="{00000000-0005-0000-0000-0000712A0000}"/>
    <cellStyle name="Input 2 4 2 4 3 2 2" xfId="23601" xr:uid="{00000000-0005-0000-0000-0000722A0000}"/>
    <cellStyle name="Input 2 4 2 4 3 2 3" xfId="34446" xr:uid="{00000000-0005-0000-0000-0000732A0000}"/>
    <cellStyle name="Input 2 4 2 4 3 2 4" xfId="14550" xr:uid="{00000000-0005-0000-0000-0000742A0000}"/>
    <cellStyle name="Input 2 4 2 4 3 3" xfId="7301" xr:uid="{00000000-0005-0000-0000-0000752A0000}"/>
    <cellStyle name="Input 2 4 2 4 3 3 2" xfId="26273" xr:uid="{00000000-0005-0000-0000-0000762A0000}"/>
    <cellStyle name="Input 2 4 2 4 3 3 3" xfId="37118" xr:uid="{00000000-0005-0000-0000-0000772A0000}"/>
    <cellStyle name="Input 2 4 2 4 3 3 4" xfId="16464" xr:uid="{00000000-0005-0000-0000-0000782A0000}"/>
    <cellStyle name="Input 2 4 2 4 3 4" xfId="9960" xr:uid="{00000000-0005-0000-0000-0000792A0000}"/>
    <cellStyle name="Input 2 4 2 4 3 4 2" xfId="28932" xr:uid="{00000000-0005-0000-0000-00007A2A0000}"/>
    <cellStyle name="Input 2 4 2 4 3 4 3" xfId="39777" xr:uid="{00000000-0005-0000-0000-00007B2A0000}"/>
    <cellStyle name="Input 2 4 2 4 3 4 4" xfId="18368" xr:uid="{00000000-0005-0000-0000-00007C2A0000}"/>
    <cellStyle name="Input 2 4 2 4 3 5" xfId="20756" xr:uid="{00000000-0005-0000-0000-00007D2A0000}"/>
    <cellStyle name="Input 2 4 2 4 3 6" xfId="31601" xr:uid="{00000000-0005-0000-0000-00007E2A0000}"/>
    <cellStyle name="Input 2 4 2 4 3 7" xfId="12514" xr:uid="{00000000-0005-0000-0000-00007F2A0000}"/>
    <cellStyle name="Input 2 4 2 4 4" xfId="2180" xr:uid="{00000000-0005-0000-0000-0000802A0000}"/>
    <cellStyle name="Input 2 4 2 4 4 2" xfId="5033" xr:uid="{00000000-0005-0000-0000-0000812A0000}"/>
    <cellStyle name="Input 2 4 2 4 4 2 2" xfId="24005" xr:uid="{00000000-0005-0000-0000-0000822A0000}"/>
    <cellStyle name="Input 2 4 2 4 4 2 3" xfId="34850" xr:uid="{00000000-0005-0000-0000-0000832A0000}"/>
    <cellStyle name="Input 2 4 2 4 4 2 4" xfId="14837" xr:uid="{00000000-0005-0000-0000-0000842A0000}"/>
    <cellStyle name="Input 2 4 2 4 4 3" xfId="7704" xr:uid="{00000000-0005-0000-0000-0000852A0000}"/>
    <cellStyle name="Input 2 4 2 4 4 3 2" xfId="26676" xr:uid="{00000000-0005-0000-0000-0000862A0000}"/>
    <cellStyle name="Input 2 4 2 4 4 3 3" xfId="37521" xr:uid="{00000000-0005-0000-0000-0000872A0000}"/>
    <cellStyle name="Input 2 4 2 4 4 3 4" xfId="16750" xr:uid="{00000000-0005-0000-0000-0000882A0000}"/>
    <cellStyle name="Input 2 4 2 4 4 4" xfId="10363" xr:uid="{00000000-0005-0000-0000-0000892A0000}"/>
    <cellStyle name="Input 2 4 2 4 4 4 2" xfId="29335" xr:uid="{00000000-0005-0000-0000-00008A2A0000}"/>
    <cellStyle name="Input 2 4 2 4 4 4 3" xfId="40180" xr:uid="{00000000-0005-0000-0000-00008B2A0000}"/>
    <cellStyle name="Input 2 4 2 4 4 4 4" xfId="18654" xr:uid="{00000000-0005-0000-0000-00008C2A0000}"/>
    <cellStyle name="Input 2 4 2 4 4 5" xfId="21159" xr:uid="{00000000-0005-0000-0000-00008D2A0000}"/>
    <cellStyle name="Input 2 4 2 4 4 6" xfId="32004" xr:uid="{00000000-0005-0000-0000-00008E2A0000}"/>
    <cellStyle name="Input 2 4 2 4 4 7" xfId="12800" xr:uid="{00000000-0005-0000-0000-00008F2A0000}"/>
    <cellStyle name="Input 2 4 2 4 5" xfId="2570" xr:uid="{00000000-0005-0000-0000-0000902A0000}"/>
    <cellStyle name="Input 2 4 2 4 5 2" xfId="5422" xr:uid="{00000000-0005-0000-0000-0000912A0000}"/>
    <cellStyle name="Input 2 4 2 4 5 2 2" xfId="24394" xr:uid="{00000000-0005-0000-0000-0000922A0000}"/>
    <cellStyle name="Input 2 4 2 4 5 2 3" xfId="35239" xr:uid="{00000000-0005-0000-0000-0000932A0000}"/>
    <cellStyle name="Input 2 4 2 4 5 2 4" xfId="15116" xr:uid="{00000000-0005-0000-0000-0000942A0000}"/>
    <cellStyle name="Input 2 4 2 4 5 3" xfId="8093" xr:uid="{00000000-0005-0000-0000-0000952A0000}"/>
    <cellStyle name="Input 2 4 2 4 5 3 2" xfId="27065" xr:uid="{00000000-0005-0000-0000-0000962A0000}"/>
    <cellStyle name="Input 2 4 2 4 5 3 3" xfId="37910" xr:uid="{00000000-0005-0000-0000-0000972A0000}"/>
    <cellStyle name="Input 2 4 2 4 5 3 4" xfId="17029" xr:uid="{00000000-0005-0000-0000-0000982A0000}"/>
    <cellStyle name="Input 2 4 2 4 5 4" xfId="10752" xr:uid="{00000000-0005-0000-0000-0000992A0000}"/>
    <cellStyle name="Input 2 4 2 4 5 4 2" xfId="29724" xr:uid="{00000000-0005-0000-0000-00009A2A0000}"/>
    <cellStyle name="Input 2 4 2 4 5 4 3" xfId="40569" xr:uid="{00000000-0005-0000-0000-00009B2A0000}"/>
    <cellStyle name="Input 2 4 2 4 5 4 4" xfId="18933" xr:uid="{00000000-0005-0000-0000-00009C2A0000}"/>
    <cellStyle name="Input 2 4 2 4 5 5" xfId="21548" xr:uid="{00000000-0005-0000-0000-00009D2A0000}"/>
    <cellStyle name="Input 2 4 2 4 5 6" xfId="32393" xr:uid="{00000000-0005-0000-0000-00009E2A0000}"/>
    <cellStyle name="Input 2 4 2 4 5 7" xfId="13079" xr:uid="{00000000-0005-0000-0000-00009F2A0000}"/>
    <cellStyle name="Input 2 4 2 4 6" xfId="2956" xr:uid="{00000000-0005-0000-0000-0000A02A0000}"/>
    <cellStyle name="Input 2 4 2 4 6 2" xfId="5807" xr:uid="{00000000-0005-0000-0000-0000A12A0000}"/>
    <cellStyle name="Input 2 4 2 4 6 2 2" xfId="24779" xr:uid="{00000000-0005-0000-0000-0000A22A0000}"/>
    <cellStyle name="Input 2 4 2 4 6 2 3" xfId="35624" xr:uid="{00000000-0005-0000-0000-0000A32A0000}"/>
    <cellStyle name="Input 2 4 2 4 6 2 4" xfId="15392" xr:uid="{00000000-0005-0000-0000-0000A42A0000}"/>
    <cellStyle name="Input 2 4 2 4 6 3" xfId="8478" xr:uid="{00000000-0005-0000-0000-0000A52A0000}"/>
    <cellStyle name="Input 2 4 2 4 6 3 2" xfId="27450" xr:uid="{00000000-0005-0000-0000-0000A62A0000}"/>
    <cellStyle name="Input 2 4 2 4 6 3 3" xfId="38295" xr:uid="{00000000-0005-0000-0000-0000A72A0000}"/>
    <cellStyle name="Input 2 4 2 4 6 3 4" xfId="17305" xr:uid="{00000000-0005-0000-0000-0000A82A0000}"/>
    <cellStyle name="Input 2 4 2 4 6 4" xfId="11137" xr:uid="{00000000-0005-0000-0000-0000A92A0000}"/>
    <cellStyle name="Input 2 4 2 4 6 4 2" xfId="30109" xr:uid="{00000000-0005-0000-0000-0000AA2A0000}"/>
    <cellStyle name="Input 2 4 2 4 6 4 3" xfId="40954" xr:uid="{00000000-0005-0000-0000-0000AB2A0000}"/>
    <cellStyle name="Input 2 4 2 4 6 4 4" xfId="19209" xr:uid="{00000000-0005-0000-0000-0000AC2A0000}"/>
    <cellStyle name="Input 2 4 2 4 6 5" xfId="21933" xr:uid="{00000000-0005-0000-0000-0000AD2A0000}"/>
    <cellStyle name="Input 2 4 2 4 6 6" xfId="32778" xr:uid="{00000000-0005-0000-0000-0000AE2A0000}"/>
    <cellStyle name="Input 2 4 2 4 6 7" xfId="13355" xr:uid="{00000000-0005-0000-0000-0000AF2A0000}"/>
    <cellStyle name="Input 2 4 2 4 7" xfId="3645" xr:uid="{00000000-0005-0000-0000-0000B02A0000}"/>
    <cellStyle name="Input 2 4 2 4 7 2" xfId="22617" xr:uid="{00000000-0005-0000-0000-0000B12A0000}"/>
    <cellStyle name="Input 2 4 2 4 7 3" xfId="33462" xr:uid="{00000000-0005-0000-0000-0000B22A0000}"/>
    <cellStyle name="Input 2 4 2 4 7 4" xfId="13836" xr:uid="{00000000-0005-0000-0000-0000B32A0000}"/>
    <cellStyle name="Input 2 4 2 4 8" xfId="6320" xr:uid="{00000000-0005-0000-0000-0000B42A0000}"/>
    <cellStyle name="Input 2 4 2 4 8 2" xfId="25292" xr:uid="{00000000-0005-0000-0000-0000B52A0000}"/>
    <cellStyle name="Input 2 4 2 4 8 3" xfId="36137" xr:uid="{00000000-0005-0000-0000-0000B62A0000}"/>
    <cellStyle name="Input 2 4 2 4 8 4" xfId="15752" xr:uid="{00000000-0005-0000-0000-0000B72A0000}"/>
    <cellStyle name="Input 2 4 2 4 9" xfId="8979" xr:uid="{00000000-0005-0000-0000-0000B82A0000}"/>
    <cellStyle name="Input 2 4 2 4 9 2" xfId="27951" xr:uid="{00000000-0005-0000-0000-0000B92A0000}"/>
    <cellStyle name="Input 2 4 2 4 9 3" xfId="38796" xr:uid="{00000000-0005-0000-0000-0000BA2A0000}"/>
    <cellStyle name="Input 2 4 2 4 9 4" xfId="17656" xr:uid="{00000000-0005-0000-0000-0000BB2A0000}"/>
    <cellStyle name="Input 2 4 2 5" xfId="849" xr:uid="{00000000-0005-0000-0000-0000BC2A0000}"/>
    <cellStyle name="Input 2 4 2 5 10" xfId="19834" xr:uid="{00000000-0005-0000-0000-0000BD2A0000}"/>
    <cellStyle name="Input 2 4 2 5 11" xfId="30679" xr:uid="{00000000-0005-0000-0000-0000BE2A0000}"/>
    <cellStyle name="Input 2 4 2 5 12" xfId="11841" xr:uid="{00000000-0005-0000-0000-0000BF2A0000}"/>
    <cellStyle name="Input 2 4 2 5 2" xfId="1436" xr:uid="{00000000-0005-0000-0000-0000C02A0000}"/>
    <cellStyle name="Input 2 4 2 5 2 2" xfId="4289" xr:uid="{00000000-0005-0000-0000-0000C12A0000}"/>
    <cellStyle name="Input 2 4 2 5 2 2 2" xfId="23261" xr:uid="{00000000-0005-0000-0000-0000C22A0000}"/>
    <cellStyle name="Input 2 4 2 5 2 2 3" xfId="34106" xr:uid="{00000000-0005-0000-0000-0000C32A0000}"/>
    <cellStyle name="Input 2 4 2 5 2 2 4" xfId="14302" xr:uid="{00000000-0005-0000-0000-0000C42A0000}"/>
    <cellStyle name="Input 2 4 2 5 2 3" xfId="6962" xr:uid="{00000000-0005-0000-0000-0000C52A0000}"/>
    <cellStyle name="Input 2 4 2 5 2 3 2" xfId="25934" xr:uid="{00000000-0005-0000-0000-0000C62A0000}"/>
    <cellStyle name="Input 2 4 2 5 2 3 3" xfId="36779" xr:uid="{00000000-0005-0000-0000-0000C72A0000}"/>
    <cellStyle name="Input 2 4 2 5 2 3 4" xfId="16217" xr:uid="{00000000-0005-0000-0000-0000C82A0000}"/>
    <cellStyle name="Input 2 4 2 5 2 4" xfId="9621" xr:uid="{00000000-0005-0000-0000-0000C92A0000}"/>
    <cellStyle name="Input 2 4 2 5 2 4 2" xfId="28593" xr:uid="{00000000-0005-0000-0000-0000CA2A0000}"/>
    <cellStyle name="Input 2 4 2 5 2 4 3" xfId="39438" xr:uid="{00000000-0005-0000-0000-0000CB2A0000}"/>
    <cellStyle name="Input 2 4 2 5 2 4 4" xfId="18121" xr:uid="{00000000-0005-0000-0000-0000CC2A0000}"/>
    <cellStyle name="Input 2 4 2 5 2 5" xfId="20417" xr:uid="{00000000-0005-0000-0000-0000CD2A0000}"/>
    <cellStyle name="Input 2 4 2 5 2 6" xfId="31262" xr:uid="{00000000-0005-0000-0000-0000CE2A0000}"/>
    <cellStyle name="Input 2 4 2 5 2 7" xfId="12267" xr:uid="{00000000-0005-0000-0000-0000CF2A0000}"/>
    <cellStyle name="Input 2 4 2 5 3" xfId="1835" xr:uid="{00000000-0005-0000-0000-0000D02A0000}"/>
    <cellStyle name="Input 2 4 2 5 3 2" xfId="4688" xr:uid="{00000000-0005-0000-0000-0000D12A0000}"/>
    <cellStyle name="Input 2 4 2 5 3 2 2" xfId="23660" xr:uid="{00000000-0005-0000-0000-0000D22A0000}"/>
    <cellStyle name="Input 2 4 2 5 3 2 3" xfId="34505" xr:uid="{00000000-0005-0000-0000-0000D32A0000}"/>
    <cellStyle name="Input 2 4 2 5 3 2 4" xfId="14589" xr:uid="{00000000-0005-0000-0000-0000D42A0000}"/>
    <cellStyle name="Input 2 4 2 5 3 3" xfId="7360" xr:uid="{00000000-0005-0000-0000-0000D52A0000}"/>
    <cellStyle name="Input 2 4 2 5 3 3 2" xfId="26332" xr:uid="{00000000-0005-0000-0000-0000D62A0000}"/>
    <cellStyle name="Input 2 4 2 5 3 3 3" xfId="37177" xr:uid="{00000000-0005-0000-0000-0000D72A0000}"/>
    <cellStyle name="Input 2 4 2 5 3 3 4" xfId="16503" xr:uid="{00000000-0005-0000-0000-0000D82A0000}"/>
    <cellStyle name="Input 2 4 2 5 3 4" xfId="10019" xr:uid="{00000000-0005-0000-0000-0000D92A0000}"/>
    <cellStyle name="Input 2 4 2 5 3 4 2" xfId="28991" xr:uid="{00000000-0005-0000-0000-0000DA2A0000}"/>
    <cellStyle name="Input 2 4 2 5 3 4 3" xfId="39836" xr:uid="{00000000-0005-0000-0000-0000DB2A0000}"/>
    <cellStyle name="Input 2 4 2 5 3 4 4" xfId="18407" xr:uid="{00000000-0005-0000-0000-0000DC2A0000}"/>
    <cellStyle name="Input 2 4 2 5 3 5" xfId="20815" xr:uid="{00000000-0005-0000-0000-0000DD2A0000}"/>
    <cellStyle name="Input 2 4 2 5 3 6" xfId="31660" xr:uid="{00000000-0005-0000-0000-0000DE2A0000}"/>
    <cellStyle name="Input 2 4 2 5 3 7" xfId="12553" xr:uid="{00000000-0005-0000-0000-0000DF2A0000}"/>
    <cellStyle name="Input 2 4 2 5 4" xfId="2239" xr:uid="{00000000-0005-0000-0000-0000E02A0000}"/>
    <cellStyle name="Input 2 4 2 5 4 2" xfId="5092" xr:uid="{00000000-0005-0000-0000-0000E12A0000}"/>
    <cellStyle name="Input 2 4 2 5 4 2 2" xfId="24064" xr:uid="{00000000-0005-0000-0000-0000E22A0000}"/>
    <cellStyle name="Input 2 4 2 5 4 2 3" xfId="34909" xr:uid="{00000000-0005-0000-0000-0000E32A0000}"/>
    <cellStyle name="Input 2 4 2 5 4 2 4" xfId="14876" xr:uid="{00000000-0005-0000-0000-0000E42A0000}"/>
    <cellStyle name="Input 2 4 2 5 4 3" xfId="7763" xr:uid="{00000000-0005-0000-0000-0000E52A0000}"/>
    <cellStyle name="Input 2 4 2 5 4 3 2" xfId="26735" xr:uid="{00000000-0005-0000-0000-0000E62A0000}"/>
    <cellStyle name="Input 2 4 2 5 4 3 3" xfId="37580" xr:uid="{00000000-0005-0000-0000-0000E72A0000}"/>
    <cellStyle name="Input 2 4 2 5 4 3 4" xfId="16789" xr:uid="{00000000-0005-0000-0000-0000E82A0000}"/>
    <cellStyle name="Input 2 4 2 5 4 4" xfId="10422" xr:uid="{00000000-0005-0000-0000-0000E92A0000}"/>
    <cellStyle name="Input 2 4 2 5 4 4 2" xfId="29394" xr:uid="{00000000-0005-0000-0000-0000EA2A0000}"/>
    <cellStyle name="Input 2 4 2 5 4 4 3" xfId="40239" xr:uid="{00000000-0005-0000-0000-0000EB2A0000}"/>
    <cellStyle name="Input 2 4 2 5 4 4 4" xfId="18693" xr:uid="{00000000-0005-0000-0000-0000EC2A0000}"/>
    <cellStyle name="Input 2 4 2 5 4 5" xfId="21218" xr:uid="{00000000-0005-0000-0000-0000ED2A0000}"/>
    <cellStyle name="Input 2 4 2 5 4 6" xfId="32063" xr:uid="{00000000-0005-0000-0000-0000EE2A0000}"/>
    <cellStyle name="Input 2 4 2 5 4 7" xfId="12839" xr:uid="{00000000-0005-0000-0000-0000EF2A0000}"/>
    <cellStyle name="Input 2 4 2 5 5" xfId="2629" xr:uid="{00000000-0005-0000-0000-0000F02A0000}"/>
    <cellStyle name="Input 2 4 2 5 5 2" xfId="5481" xr:uid="{00000000-0005-0000-0000-0000F12A0000}"/>
    <cellStyle name="Input 2 4 2 5 5 2 2" xfId="24453" xr:uid="{00000000-0005-0000-0000-0000F22A0000}"/>
    <cellStyle name="Input 2 4 2 5 5 2 3" xfId="35298" xr:uid="{00000000-0005-0000-0000-0000F32A0000}"/>
    <cellStyle name="Input 2 4 2 5 5 2 4" xfId="15155" xr:uid="{00000000-0005-0000-0000-0000F42A0000}"/>
    <cellStyle name="Input 2 4 2 5 5 3" xfId="8152" xr:uid="{00000000-0005-0000-0000-0000F52A0000}"/>
    <cellStyle name="Input 2 4 2 5 5 3 2" xfId="27124" xr:uid="{00000000-0005-0000-0000-0000F62A0000}"/>
    <cellStyle name="Input 2 4 2 5 5 3 3" xfId="37969" xr:uid="{00000000-0005-0000-0000-0000F72A0000}"/>
    <cellStyle name="Input 2 4 2 5 5 3 4" xfId="17068" xr:uid="{00000000-0005-0000-0000-0000F82A0000}"/>
    <cellStyle name="Input 2 4 2 5 5 4" xfId="10811" xr:uid="{00000000-0005-0000-0000-0000F92A0000}"/>
    <cellStyle name="Input 2 4 2 5 5 4 2" xfId="29783" xr:uid="{00000000-0005-0000-0000-0000FA2A0000}"/>
    <cellStyle name="Input 2 4 2 5 5 4 3" xfId="40628" xr:uid="{00000000-0005-0000-0000-0000FB2A0000}"/>
    <cellStyle name="Input 2 4 2 5 5 4 4" xfId="18972" xr:uid="{00000000-0005-0000-0000-0000FC2A0000}"/>
    <cellStyle name="Input 2 4 2 5 5 5" xfId="21607" xr:uid="{00000000-0005-0000-0000-0000FD2A0000}"/>
    <cellStyle name="Input 2 4 2 5 5 6" xfId="32452" xr:uid="{00000000-0005-0000-0000-0000FE2A0000}"/>
    <cellStyle name="Input 2 4 2 5 5 7" xfId="13118" xr:uid="{00000000-0005-0000-0000-0000FF2A0000}"/>
    <cellStyle name="Input 2 4 2 5 6" xfId="3015" xr:uid="{00000000-0005-0000-0000-0000002B0000}"/>
    <cellStyle name="Input 2 4 2 5 6 2" xfId="5866" xr:uid="{00000000-0005-0000-0000-0000012B0000}"/>
    <cellStyle name="Input 2 4 2 5 6 2 2" xfId="24838" xr:uid="{00000000-0005-0000-0000-0000022B0000}"/>
    <cellStyle name="Input 2 4 2 5 6 2 3" xfId="35683" xr:uid="{00000000-0005-0000-0000-0000032B0000}"/>
    <cellStyle name="Input 2 4 2 5 6 2 4" xfId="15431" xr:uid="{00000000-0005-0000-0000-0000042B0000}"/>
    <cellStyle name="Input 2 4 2 5 6 3" xfId="8537" xr:uid="{00000000-0005-0000-0000-0000052B0000}"/>
    <cellStyle name="Input 2 4 2 5 6 3 2" xfId="27509" xr:uid="{00000000-0005-0000-0000-0000062B0000}"/>
    <cellStyle name="Input 2 4 2 5 6 3 3" xfId="38354" xr:uid="{00000000-0005-0000-0000-0000072B0000}"/>
    <cellStyle name="Input 2 4 2 5 6 3 4" xfId="17344" xr:uid="{00000000-0005-0000-0000-0000082B0000}"/>
    <cellStyle name="Input 2 4 2 5 6 4" xfId="11196" xr:uid="{00000000-0005-0000-0000-0000092B0000}"/>
    <cellStyle name="Input 2 4 2 5 6 4 2" xfId="30168" xr:uid="{00000000-0005-0000-0000-00000A2B0000}"/>
    <cellStyle name="Input 2 4 2 5 6 4 3" xfId="41013" xr:uid="{00000000-0005-0000-0000-00000B2B0000}"/>
    <cellStyle name="Input 2 4 2 5 6 4 4" xfId="19248" xr:uid="{00000000-0005-0000-0000-00000C2B0000}"/>
    <cellStyle name="Input 2 4 2 5 6 5" xfId="21992" xr:uid="{00000000-0005-0000-0000-00000D2B0000}"/>
    <cellStyle name="Input 2 4 2 5 6 6" xfId="32837" xr:uid="{00000000-0005-0000-0000-00000E2B0000}"/>
    <cellStyle name="Input 2 4 2 5 6 7" xfId="13394" xr:uid="{00000000-0005-0000-0000-00000F2B0000}"/>
    <cellStyle name="Input 2 4 2 5 7" xfId="3704" xr:uid="{00000000-0005-0000-0000-0000102B0000}"/>
    <cellStyle name="Input 2 4 2 5 7 2" xfId="22676" xr:uid="{00000000-0005-0000-0000-0000112B0000}"/>
    <cellStyle name="Input 2 4 2 5 7 3" xfId="33521" xr:uid="{00000000-0005-0000-0000-0000122B0000}"/>
    <cellStyle name="Input 2 4 2 5 7 4" xfId="13875" xr:uid="{00000000-0005-0000-0000-0000132B0000}"/>
    <cellStyle name="Input 2 4 2 5 8" xfId="6379" xr:uid="{00000000-0005-0000-0000-0000142B0000}"/>
    <cellStyle name="Input 2 4 2 5 8 2" xfId="25351" xr:uid="{00000000-0005-0000-0000-0000152B0000}"/>
    <cellStyle name="Input 2 4 2 5 8 3" xfId="36196" xr:uid="{00000000-0005-0000-0000-0000162B0000}"/>
    <cellStyle name="Input 2 4 2 5 8 4" xfId="15791" xr:uid="{00000000-0005-0000-0000-0000172B0000}"/>
    <cellStyle name="Input 2 4 2 5 9" xfId="9038" xr:uid="{00000000-0005-0000-0000-0000182B0000}"/>
    <cellStyle name="Input 2 4 2 5 9 2" xfId="28010" xr:uid="{00000000-0005-0000-0000-0000192B0000}"/>
    <cellStyle name="Input 2 4 2 5 9 3" xfId="38855" xr:uid="{00000000-0005-0000-0000-00001A2B0000}"/>
    <cellStyle name="Input 2 4 2 5 9 4" xfId="17695" xr:uid="{00000000-0005-0000-0000-00001B2B0000}"/>
    <cellStyle name="Input 2 4 2 6" xfId="1071" xr:uid="{00000000-0005-0000-0000-00001C2B0000}"/>
    <cellStyle name="Input 2 4 2 6 2" xfId="3924" xr:uid="{00000000-0005-0000-0000-00001D2B0000}"/>
    <cellStyle name="Input 2 4 2 6 2 2" xfId="22896" xr:uid="{00000000-0005-0000-0000-00001E2B0000}"/>
    <cellStyle name="Input 2 4 2 6 2 3" xfId="33741" xr:uid="{00000000-0005-0000-0000-00001F2B0000}"/>
    <cellStyle name="Input 2 4 2 6 2 4" xfId="14037" xr:uid="{00000000-0005-0000-0000-0000202B0000}"/>
    <cellStyle name="Input 2 4 2 6 3" xfId="6598" xr:uid="{00000000-0005-0000-0000-0000212B0000}"/>
    <cellStyle name="Input 2 4 2 6 3 2" xfId="25570" xr:uid="{00000000-0005-0000-0000-0000222B0000}"/>
    <cellStyle name="Input 2 4 2 6 3 3" xfId="36415" xr:uid="{00000000-0005-0000-0000-0000232B0000}"/>
    <cellStyle name="Input 2 4 2 6 3 4" xfId="15953" xr:uid="{00000000-0005-0000-0000-0000242B0000}"/>
    <cellStyle name="Input 2 4 2 6 4" xfId="9257" xr:uid="{00000000-0005-0000-0000-0000252B0000}"/>
    <cellStyle name="Input 2 4 2 6 4 2" xfId="28229" xr:uid="{00000000-0005-0000-0000-0000262B0000}"/>
    <cellStyle name="Input 2 4 2 6 4 3" xfId="39074" xr:uid="{00000000-0005-0000-0000-0000272B0000}"/>
    <cellStyle name="Input 2 4 2 6 4 4" xfId="17857" xr:uid="{00000000-0005-0000-0000-0000282B0000}"/>
    <cellStyle name="Input 2 4 2 6 5" xfId="20053" xr:uid="{00000000-0005-0000-0000-0000292B0000}"/>
    <cellStyle name="Input 2 4 2 6 6" xfId="30898" xr:uid="{00000000-0005-0000-0000-00002A2B0000}"/>
    <cellStyle name="Input 2 4 2 6 7" xfId="12003" xr:uid="{00000000-0005-0000-0000-00002B2B0000}"/>
    <cellStyle name="Input 2 4 2 7" xfId="914" xr:uid="{00000000-0005-0000-0000-00002C2B0000}"/>
    <cellStyle name="Input 2 4 2 7 2" xfId="3769" xr:uid="{00000000-0005-0000-0000-00002D2B0000}"/>
    <cellStyle name="Input 2 4 2 7 2 2" xfId="22741" xr:uid="{00000000-0005-0000-0000-00002E2B0000}"/>
    <cellStyle name="Input 2 4 2 7 2 3" xfId="33586" xr:uid="{00000000-0005-0000-0000-00002F2B0000}"/>
    <cellStyle name="Input 2 4 2 7 2 4" xfId="13915" xr:uid="{00000000-0005-0000-0000-0000302B0000}"/>
    <cellStyle name="Input 2 4 2 7 3" xfId="6444" xr:uid="{00000000-0005-0000-0000-0000312B0000}"/>
    <cellStyle name="Input 2 4 2 7 3 2" xfId="25416" xr:uid="{00000000-0005-0000-0000-0000322B0000}"/>
    <cellStyle name="Input 2 4 2 7 3 3" xfId="36261" xr:uid="{00000000-0005-0000-0000-0000332B0000}"/>
    <cellStyle name="Input 2 4 2 7 3 4" xfId="15831" xr:uid="{00000000-0005-0000-0000-0000342B0000}"/>
    <cellStyle name="Input 2 4 2 7 4" xfId="9103" xr:uid="{00000000-0005-0000-0000-0000352B0000}"/>
    <cellStyle name="Input 2 4 2 7 4 2" xfId="28075" xr:uid="{00000000-0005-0000-0000-0000362B0000}"/>
    <cellStyle name="Input 2 4 2 7 4 3" xfId="38920" xr:uid="{00000000-0005-0000-0000-0000372B0000}"/>
    <cellStyle name="Input 2 4 2 7 4 4" xfId="17735" xr:uid="{00000000-0005-0000-0000-0000382B0000}"/>
    <cellStyle name="Input 2 4 2 7 5" xfId="19899" xr:uid="{00000000-0005-0000-0000-0000392B0000}"/>
    <cellStyle name="Input 2 4 2 7 6" xfId="30744" xr:uid="{00000000-0005-0000-0000-00003A2B0000}"/>
    <cellStyle name="Input 2 4 2 7 7" xfId="11881" xr:uid="{00000000-0005-0000-0000-00003B2B0000}"/>
    <cellStyle name="Input 2 4 2 8" xfId="950" xr:uid="{00000000-0005-0000-0000-00003C2B0000}"/>
    <cellStyle name="Input 2 4 2 8 2" xfId="3803" xr:uid="{00000000-0005-0000-0000-00003D2B0000}"/>
    <cellStyle name="Input 2 4 2 8 2 2" xfId="22775" xr:uid="{00000000-0005-0000-0000-00003E2B0000}"/>
    <cellStyle name="Input 2 4 2 8 2 3" xfId="33620" xr:uid="{00000000-0005-0000-0000-00003F2B0000}"/>
    <cellStyle name="Input 2 4 2 8 2 4" xfId="13948" xr:uid="{00000000-0005-0000-0000-0000402B0000}"/>
    <cellStyle name="Input 2 4 2 8 3" xfId="6478" xr:uid="{00000000-0005-0000-0000-0000412B0000}"/>
    <cellStyle name="Input 2 4 2 8 3 2" xfId="25450" xr:uid="{00000000-0005-0000-0000-0000422B0000}"/>
    <cellStyle name="Input 2 4 2 8 3 3" xfId="36295" xr:uid="{00000000-0005-0000-0000-0000432B0000}"/>
    <cellStyle name="Input 2 4 2 8 3 4" xfId="15864" xr:uid="{00000000-0005-0000-0000-0000442B0000}"/>
    <cellStyle name="Input 2 4 2 8 4" xfId="9137" xr:uid="{00000000-0005-0000-0000-0000452B0000}"/>
    <cellStyle name="Input 2 4 2 8 4 2" xfId="28109" xr:uid="{00000000-0005-0000-0000-0000462B0000}"/>
    <cellStyle name="Input 2 4 2 8 4 3" xfId="38954" xr:uid="{00000000-0005-0000-0000-0000472B0000}"/>
    <cellStyle name="Input 2 4 2 8 4 4" xfId="17768" xr:uid="{00000000-0005-0000-0000-0000482B0000}"/>
    <cellStyle name="Input 2 4 2 8 5" xfId="19933" xr:uid="{00000000-0005-0000-0000-0000492B0000}"/>
    <cellStyle name="Input 2 4 2 8 6" xfId="30778" xr:uid="{00000000-0005-0000-0000-00004A2B0000}"/>
    <cellStyle name="Input 2 4 2 8 7" xfId="11914" xr:uid="{00000000-0005-0000-0000-00004B2B0000}"/>
    <cellStyle name="Input 2 4 2 9" xfId="1599" xr:uid="{00000000-0005-0000-0000-00004C2B0000}"/>
    <cellStyle name="Input 2 4 2 9 2" xfId="4452" xr:uid="{00000000-0005-0000-0000-00004D2B0000}"/>
    <cellStyle name="Input 2 4 2 9 2 2" xfId="23424" xr:uid="{00000000-0005-0000-0000-00004E2B0000}"/>
    <cellStyle name="Input 2 4 2 9 2 3" xfId="34269" xr:uid="{00000000-0005-0000-0000-00004F2B0000}"/>
    <cellStyle name="Input 2 4 2 9 2 4" xfId="14421" xr:uid="{00000000-0005-0000-0000-0000502B0000}"/>
    <cellStyle name="Input 2 4 2 9 3" xfId="7124" xr:uid="{00000000-0005-0000-0000-0000512B0000}"/>
    <cellStyle name="Input 2 4 2 9 3 2" xfId="26096" xr:uid="{00000000-0005-0000-0000-0000522B0000}"/>
    <cellStyle name="Input 2 4 2 9 3 3" xfId="36941" xr:uid="{00000000-0005-0000-0000-0000532B0000}"/>
    <cellStyle name="Input 2 4 2 9 3 4" xfId="16335" xr:uid="{00000000-0005-0000-0000-0000542B0000}"/>
    <cellStyle name="Input 2 4 2 9 4" xfId="9783" xr:uid="{00000000-0005-0000-0000-0000552B0000}"/>
    <cellStyle name="Input 2 4 2 9 4 2" xfId="28755" xr:uid="{00000000-0005-0000-0000-0000562B0000}"/>
    <cellStyle name="Input 2 4 2 9 4 3" xfId="39600" xr:uid="{00000000-0005-0000-0000-0000572B0000}"/>
    <cellStyle name="Input 2 4 2 9 4 4" xfId="18239" xr:uid="{00000000-0005-0000-0000-0000582B0000}"/>
    <cellStyle name="Input 2 4 2 9 5" xfId="20579" xr:uid="{00000000-0005-0000-0000-0000592B0000}"/>
    <cellStyle name="Input 2 4 2 9 6" xfId="31424" xr:uid="{00000000-0005-0000-0000-00005A2B0000}"/>
    <cellStyle name="Input 2 4 2 9 7" xfId="12385" xr:uid="{00000000-0005-0000-0000-00005B2B0000}"/>
    <cellStyle name="Input 2 4 3" xfId="553" xr:uid="{00000000-0005-0000-0000-00005C2B0000}"/>
    <cellStyle name="Input 2 4 3 10" xfId="19563" xr:uid="{00000000-0005-0000-0000-00005D2B0000}"/>
    <cellStyle name="Input 2 4 3 11" xfId="30408" xr:uid="{00000000-0005-0000-0000-00005E2B0000}"/>
    <cellStyle name="Input 2 4 3 12" xfId="11627" xr:uid="{00000000-0005-0000-0000-00005F2B0000}"/>
    <cellStyle name="Input 2 4 3 2" xfId="1159" xr:uid="{00000000-0005-0000-0000-0000602B0000}"/>
    <cellStyle name="Input 2 4 3 2 2" xfId="4012" xr:uid="{00000000-0005-0000-0000-0000612B0000}"/>
    <cellStyle name="Input 2 4 3 2 2 2" xfId="22984" xr:uid="{00000000-0005-0000-0000-0000622B0000}"/>
    <cellStyle name="Input 2 4 3 2 2 3" xfId="33829" xr:uid="{00000000-0005-0000-0000-0000632B0000}"/>
    <cellStyle name="Input 2 4 3 2 2 4" xfId="14104" xr:uid="{00000000-0005-0000-0000-0000642B0000}"/>
    <cellStyle name="Input 2 4 3 2 3" xfId="6685" xr:uid="{00000000-0005-0000-0000-0000652B0000}"/>
    <cellStyle name="Input 2 4 3 2 3 2" xfId="25657" xr:uid="{00000000-0005-0000-0000-0000662B0000}"/>
    <cellStyle name="Input 2 4 3 2 3 3" xfId="36502" xr:uid="{00000000-0005-0000-0000-0000672B0000}"/>
    <cellStyle name="Input 2 4 3 2 3 4" xfId="16019" xr:uid="{00000000-0005-0000-0000-0000682B0000}"/>
    <cellStyle name="Input 2 4 3 2 4" xfId="9344" xr:uid="{00000000-0005-0000-0000-0000692B0000}"/>
    <cellStyle name="Input 2 4 3 2 4 2" xfId="28316" xr:uid="{00000000-0005-0000-0000-00006A2B0000}"/>
    <cellStyle name="Input 2 4 3 2 4 3" xfId="39161" xr:uid="{00000000-0005-0000-0000-00006B2B0000}"/>
    <cellStyle name="Input 2 4 3 2 4 4" xfId="17923" xr:uid="{00000000-0005-0000-0000-00006C2B0000}"/>
    <cellStyle name="Input 2 4 3 2 5" xfId="20140" xr:uid="{00000000-0005-0000-0000-00006D2B0000}"/>
    <cellStyle name="Input 2 4 3 2 6" xfId="30985" xr:uid="{00000000-0005-0000-0000-00006E2B0000}"/>
    <cellStyle name="Input 2 4 3 2 7" xfId="12069" xr:uid="{00000000-0005-0000-0000-00006F2B0000}"/>
    <cellStyle name="Input 2 4 3 3" xfId="1556" xr:uid="{00000000-0005-0000-0000-0000702B0000}"/>
    <cellStyle name="Input 2 4 3 3 2" xfId="4409" xr:uid="{00000000-0005-0000-0000-0000712B0000}"/>
    <cellStyle name="Input 2 4 3 3 2 2" xfId="23381" xr:uid="{00000000-0005-0000-0000-0000722B0000}"/>
    <cellStyle name="Input 2 4 3 3 2 3" xfId="34226" xr:uid="{00000000-0005-0000-0000-0000732B0000}"/>
    <cellStyle name="Input 2 4 3 3 2 4" xfId="14390" xr:uid="{00000000-0005-0000-0000-0000742B0000}"/>
    <cellStyle name="Input 2 4 3 3 3" xfId="7081" xr:uid="{00000000-0005-0000-0000-0000752B0000}"/>
    <cellStyle name="Input 2 4 3 3 3 2" xfId="26053" xr:uid="{00000000-0005-0000-0000-0000762B0000}"/>
    <cellStyle name="Input 2 4 3 3 3 3" xfId="36898" xr:uid="{00000000-0005-0000-0000-0000772B0000}"/>
    <cellStyle name="Input 2 4 3 3 3 4" xfId="16304" xr:uid="{00000000-0005-0000-0000-0000782B0000}"/>
    <cellStyle name="Input 2 4 3 3 4" xfId="9740" xr:uid="{00000000-0005-0000-0000-0000792B0000}"/>
    <cellStyle name="Input 2 4 3 3 4 2" xfId="28712" xr:uid="{00000000-0005-0000-0000-00007A2B0000}"/>
    <cellStyle name="Input 2 4 3 3 4 3" xfId="39557" xr:uid="{00000000-0005-0000-0000-00007B2B0000}"/>
    <cellStyle name="Input 2 4 3 3 4 4" xfId="18208" xr:uid="{00000000-0005-0000-0000-00007C2B0000}"/>
    <cellStyle name="Input 2 4 3 3 5" xfId="20536" xr:uid="{00000000-0005-0000-0000-00007D2B0000}"/>
    <cellStyle name="Input 2 4 3 3 6" xfId="31381" xr:uid="{00000000-0005-0000-0000-00007E2B0000}"/>
    <cellStyle name="Input 2 4 3 3 7" xfId="12354" xr:uid="{00000000-0005-0000-0000-00007F2B0000}"/>
    <cellStyle name="Input 2 4 3 4" xfId="1960" xr:uid="{00000000-0005-0000-0000-0000802B0000}"/>
    <cellStyle name="Input 2 4 3 4 2" xfId="4813" xr:uid="{00000000-0005-0000-0000-0000812B0000}"/>
    <cellStyle name="Input 2 4 3 4 2 2" xfId="23785" xr:uid="{00000000-0005-0000-0000-0000822B0000}"/>
    <cellStyle name="Input 2 4 3 4 2 3" xfId="34630" xr:uid="{00000000-0005-0000-0000-0000832B0000}"/>
    <cellStyle name="Input 2 4 3 4 2 4" xfId="14678" xr:uid="{00000000-0005-0000-0000-0000842B0000}"/>
    <cellStyle name="Input 2 4 3 4 3" xfId="7485" xr:uid="{00000000-0005-0000-0000-0000852B0000}"/>
    <cellStyle name="Input 2 4 3 4 3 2" xfId="26457" xr:uid="{00000000-0005-0000-0000-0000862B0000}"/>
    <cellStyle name="Input 2 4 3 4 3 3" xfId="37302" xr:uid="{00000000-0005-0000-0000-0000872B0000}"/>
    <cellStyle name="Input 2 4 3 4 3 4" xfId="16592" xr:uid="{00000000-0005-0000-0000-0000882B0000}"/>
    <cellStyle name="Input 2 4 3 4 4" xfId="10144" xr:uid="{00000000-0005-0000-0000-0000892B0000}"/>
    <cellStyle name="Input 2 4 3 4 4 2" xfId="29116" xr:uid="{00000000-0005-0000-0000-00008A2B0000}"/>
    <cellStyle name="Input 2 4 3 4 4 3" xfId="39961" xr:uid="{00000000-0005-0000-0000-00008B2B0000}"/>
    <cellStyle name="Input 2 4 3 4 4 4" xfId="18496" xr:uid="{00000000-0005-0000-0000-00008C2B0000}"/>
    <cellStyle name="Input 2 4 3 4 5" xfId="20940" xr:uid="{00000000-0005-0000-0000-00008D2B0000}"/>
    <cellStyle name="Input 2 4 3 4 6" xfId="31785" xr:uid="{00000000-0005-0000-0000-00008E2B0000}"/>
    <cellStyle name="Input 2 4 3 4 7" xfId="12642" xr:uid="{00000000-0005-0000-0000-00008F2B0000}"/>
    <cellStyle name="Input 2 4 3 5" xfId="2352" xr:uid="{00000000-0005-0000-0000-0000902B0000}"/>
    <cellStyle name="Input 2 4 3 5 2" xfId="5205" xr:uid="{00000000-0005-0000-0000-0000912B0000}"/>
    <cellStyle name="Input 2 4 3 5 2 2" xfId="24177" xr:uid="{00000000-0005-0000-0000-0000922B0000}"/>
    <cellStyle name="Input 2 4 3 5 2 3" xfId="35022" xr:uid="{00000000-0005-0000-0000-0000932B0000}"/>
    <cellStyle name="Input 2 4 3 5 2 4" xfId="14959" xr:uid="{00000000-0005-0000-0000-0000942B0000}"/>
    <cellStyle name="Input 2 4 3 5 3" xfId="7876" xr:uid="{00000000-0005-0000-0000-0000952B0000}"/>
    <cellStyle name="Input 2 4 3 5 3 2" xfId="26848" xr:uid="{00000000-0005-0000-0000-0000962B0000}"/>
    <cellStyle name="Input 2 4 3 5 3 3" xfId="37693" xr:uid="{00000000-0005-0000-0000-0000972B0000}"/>
    <cellStyle name="Input 2 4 3 5 3 4" xfId="16872" xr:uid="{00000000-0005-0000-0000-0000982B0000}"/>
    <cellStyle name="Input 2 4 3 5 4" xfId="10535" xr:uid="{00000000-0005-0000-0000-0000992B0000}"/>
    <cellStyle name="Input 2 4 3 5 4 2" xfId="29507" xr:uid="{00000000-0005-0000-0000-00009A2B0000}"/>
    <cellStyle name="Input 2 4 3 5 4 3" xfId="40352" xr:uid="{00000000-0005-0000-0000-00009B2B0000}"/>
    <cellStyle name="Input 2 4 3 5 4 4" xfId="18776" xr:uid="{00000000-0005-0000-0000-00009C2B0000}"/>
    <cellStyle name="Input 2 4 3 5 5" xfId="21331" xr:uid="{00000000-0005-0000-0000-00009D2B0000}"/>
    <cellStyle name="Input 2 4 3 5 6" xfId="32176" xr:uid="{00000000-0005-0000-0000-00009E2B0000}"/>
    <cellStyle name="Input 2 4 3 5 7" xfId="12922" xr:uid="{00000000-0005-0000-0000-00009F2B0000}"/>
    <cellStyle name="Input 2 4 3 6" xfId="2741" xr:uid="{00000000-0005-0000-0000-0000A02B0000}"/>
    <cellStyle name="Input 2 4 3 6 2" xfId="5593" xr:uid="{00000000-0005-0000-0000-0000A12B0000}"/>
    <cellStyle name="Input 2 4 3 6 2 2" xfId="24565" xr:uid="{00000000-0005-0000-0000-0000A22B0000}"/>
    <cellStyle name="Input 2 4 3 6 2 3" xfId="35410" xr:uid="{00000000-0005-0000-0000-0000A32B0000}"/>
    <cellStyle name="Input 2 4 3 6 2 4" xfId="15237" xr:uid="{00000000-0005-0000-0000-0000A42B0000}"/>
    <cellStyle name="Input 2 4 3 6 3" xfId="8264" xr:uid="{00000000-0005-0000-0000-0000A52B0000}"/>
    <cellStyle name="Input 2 4 3 6 3 2" xfId="27236" xr:uid="{00000000-0005-0000-0000-0000A62B0000}"/>
    <cellStyle name="Input 2 4 3 6 3 3" xfId="38081" xr:uid="{00000000-0005-0000-0000-0000A72B0000}"/>
    <cellStyle name="Input 2 4 3 6 3 4" xfId="17150" xr:uid="{00000000-0005-0000-0000-0000A82B0000}"/>
    <cellStyle name="Input 2 4 3 6 4" xfId="10923" xr:uid="{00000000-0005-0000-0000-0000A92B0000}"/>
    <cellStyle name="Input 2 4 3 6 4 2" xfId="29895" xr:uid="{00000000-0005-0000-0000-0000AA2B0000}"/>
    <cellStyle name="Input 2 4 3 6 4 3" xfId="40740" xr:uid="{00000000-0005-0000-0000-0000AB2B0000}"/>
    <cellStyle name="Input 2 4 3 6 4 4" xfId="19054" xr:uid="{00000000-0005-0000-0000-0000AC2B0000}"/>
    <cellStyle name="Input 2 4 3 6 5" xfId="21719" xr:uid="{00000000-0005-0000-0000-0000AD2B0000}"/>
    <cellStyle name="Input 2 4 3 6 6" xfId="32564" xr:uid="{00000000-0005-0000-0000-0000AE2B0000}"/>
    <cellStyle name="Input 2 4 3 6 7" xfId="13200" xr:uid="{00000000-0005-0000-0000-0000AF2B0000}"/>
    <cellStyle name="Input 2 4 3 7" xfId="3432" xr:uid="{00000000-0005-0000-0000-0000B02B0000}"/>
    <cellStyle name="Input 2 4 3 7 2" xfId="22404" xr:uid="{00000000-0005-0000-0000-0000B12B0000}"/>
    <cellStyle name="Input 2 4 3 7 3" xfId="33249" xr:uid="{00000000-0005-0000-0000-0000B22B0000}"/>
    <cellStyle name="Input 2 4 3 7 4" xfId="13682" xr:uid="{00000000-0005-0000-0000-0000B32B0000}"/>
    <cellStyle name="Input 2 4 3 8" xfId="6108" xr:uid="{00000000-0005-0000-0000-0000B42B0000}"/>
    <cellStyle name="Input 2 4 3 8 2" xfId="25080" xr:uid="{00000000-0005-0000-0000-0000B52B0000}"/>
    <cellStyle name="Input 2 4 3 8 3" xfId="35925" xr:uid="{00000000-0005-0000-0000-0000B62B0000}"/>
    <cellStyle name="Input 2 4 3 8 4" xfId="15599" xr:uid="{00000000-0005-0000-0000-0000B72B0000}"/>
    <cellStyle name="Input 2 4 3 9" xfId="8767" xr:uid="{00000000-0005-0000-0000-0000B82B0000}"/>
    <cellStyle name="Input 2 4 3 9 2" xfId="27739" xr:uid="{00000000-0005-0000-0000-0000B92B0000}"/>
    <cellStyle name="Input 2 4 3 9 3" xfId="38584" xr:uid="{00000000-0005-0000-0000-0000BA2B0000}"/>
    <cellStyle name="Input 2 4 3 9 4" xfId="17503" xr:uid="{00000000-0005-0000-0000-0000BB2B0000}"/>
    <cellStyle name="Input 2 4 4" xfId="11451" xr:uid="{00000000-0005-0000-0000-0000BC2B0000}"/>
    <cellStyle name="Input 2 5" xfId="100" xr:uid="{00000000-0005-0000-0000-0000BD2B0000}"/>
    <cellStyle name="Input 2 5 2" xfId="370" xr:uid="{00000000-0005-0000-0000-0000BE2B0000}"/>
    <cellStyle name="Input 2 5 2 10" xfId="1134" xr:uid="{00000000-0005-0000-0000-0000BF2B0000}"/>
    <cellStyle name="Input 2 5 2 10 2" xfId="3987" xr:uid="{00000000-0005-0000-0000-0000C02B0000}"/>
    <cellStyle name="Input 2 5 2 10 2 2" xfId="22959" xr:uid="{00000000-0005-0000-0000-0000C12B0000}"/>
    <cellStyle name="Input 2 5 2 10 2 3" xfId="33804" xr:uid="{00000000-0005-0000-0000-0000C22B0000}"/>
    <cellStyle name="Input 2 5 2 10 2 4" xfId="14079" xr:uid="{00000000-0005-0000-0000-0000C32B0000}"/>
    <cellStyle name="Input 2 5 2 10 3" xfId="6660" xr:uid="{00000000-0005-0000-0000-0000C42B0000}"/>
    <cellStyle name="Input 2 5 2 10 3 2" xfId="25632" xr:uid="{00000000-0005-0000-0000-0000C52B0000}"/>
    <cellStyle name="Input 2 5 2 10 3 3" xfId="36477" xr:uid="{00000000-0005-0000-0000-0000C62B0000}"/>
    <cellStyle name="Input 2 5 2 10 3 4" xfId="15994" xr:uid="{00000000-0005-0000-0000-0000C72B0000}"/>
    <cellStyle name="Input 2 5 2 10 4" xfId="9319" xr:uid="{00000000-0005-0000-0000-0000C82B0000}"/>
    <cellStyle name="Input 2 5 2 10 4 2" xfId="28291" xr:uid="{00000000-0005-0000-0000-0000C92B0000}"/>
    <cellStyle name="Input 2 5 2 10 4 3" xfId="39136" xr:uid="{00000000-0005-0000-0000-0000CA2B0000}"/>
    <cellStyle name="Input 2 5 2 10 4 4" xfId="17898" xr:uid="{00000000-0005-0000-0000-0000CB2B0000}"/>
    <cellStyle name="Input 2 5 2 10 5" xfId="20115" xr:uid="{00000000-0005-0000-0000-0000CC2B0000}"/>
    <cellStyle name="Input 2 5 2 10 6" xfId="30960" xr:uid="{00000000-0005-0000-0000-0000CD2B0000}"/>
    <cellStyle name="Input 2 5 2 10 7" xfId="12044" xr:uid="{00000000-0005-0000-0000-0000CE2B0000}"/>
    <cellStyle name="Input 2 5 2 11" xfId="1600" xr:uid="{00000000-0005-0000-0000-0000CF2B0000}"/>
    <cellStyle name="Input 2 5 2 11 2" xfId="4453" xr:uid="{00000000-0005-0000-0000-0000D02B0000}"/>
    <cellStyle name="Input 2 5 2 11 2 2" xfId="23425" xr:uid="{00000000-0005-0000-0000-0000D12B0000}"/>
    <cellStyle name="Input 2 5 2 11 2 3" xfId="34270" xr:uid="{00000000-0005-0000-0000-0000D22B0000}"/>
    <cellStyle name="Input 2 5 2 11 2 4" xfId="14422" xr:uid="{00000000-0005-0000-0000-0000D32B0000}"/>
    <cellStyle name="Input 2 5 2 11 3" xfId="7125" xr:uid="{00000000-0005-0000-0000-0000D42B0000}"/>
    <cellStyle name="Input 2 5 2 11 3 2" xfId="26097" xr:uid="{00000000-0005-0000-0000-0000D52B0000}"/>
    <cellStyle name="Input 2 5 2 11 3 3" xfId="36942" xr:uid="{00000000-0005-0000-0000-0000D62B0000}"/>
    <cellStyle name="Input 2 5 2 11 3 4" xfId="16336" xr:uid="{00000000-0005-0000-0000-0000D72B0000}"/>
    <cellStyle name="Input 2 5 2 11 4" xfId="9784" xr:uid="{00000000-0005-0000-0000-0000D82B0000}"/>
    <cellStyle name="Input 2 5 2 11 4 2" xfId="28756" xr:uid="{00000000-0005-0000-0000-0000D92B0000}"/>
    <cellStyle name="Input 2 5 2 11 4 3" xfId="39601" xr:uid="{00000000-0005-0000-0000-0000DA2B0000}"/>
    <cellStyle name="Input 2 5 2 11 4 4" xfId="18240" xr:uid="{00000000-0005-0000-0000-0000DB2B0000}"/>
    <cellStyle name="Input 2 5 2 11 5" xfId="20580" xr:uid="{00000000-0005-0000-0000-0000DC2B0000}"/>
    <cellStyle name="Input 2 5 2 11 6" xfId="31425" xr:uid="{00000000-0005-0000-0000-0000DD2B0000}"/>
    <cellStyle name="Input 2 5 2 11 7" xfId="12386" xr:uid="{00000000-0005-0000-0000-0000DE2B0000}"/>
    <cellStyle name="Input 2 5 2 12" xfId="3106" xr:uid="{00000000-0005-0000-0000-0000DF2B0000}"/>
    <cellStyle name="Input 2 5 2 12 2" xfId="5957" xr:uid="{00000000-0005-0000-0000-0000E02B0000}"/>
    <cellStyle name="Input 2 5 2 12 2 2" xfId="24929" xr:uid="{00000000-0005-0000-0000-0000E12B0000}"/>
    <cellStyle name="Input 2 5 2 12 2 3" xfId="35774" xr:uid="{00000000-0005-0000-0000-0000E22B0000}"/>
    <cellStyle name="Input 2 5 2 12 2 4" xfId="15492" xr:uid="{00000000-0005-0000-0000-0000E32B0000}"/>
    <cellStyle name="Input 2 5 2 12 3" xfId="8628" xr:uid="{00000000-0005-0000-0000-0000E42B0000}"/>
    <cellStyle name="Input 2 5 2 12 3 2" xfId="27600" xr:uid="{00000000-0005-0000-0000-0000E52B0000}"/>
    <cellStyle name="Input 2 5 2 12 3 3" xfId="38445" xr:uid="{00000000-0005-0000-0000-0000E62B0000}"/>
    <cellStyle name="Input 2 5 2 12 3 4" xfId="17405" xr:uid="{00000000-0005-0000-0000-0000E72B0000}"/>
    <cellStyle name="Input 2 5 2 12 4" xfId="11287" xr:uid="{00000000-0005-0000-0000-0000E82B0000}"/>
    <cellStyle name="Input 2 5 2 12 4 2" xfId="30259" xr:uid="{00000000-0005-0000-0000-0000E92B0000}"/>
    <cellStyle name="Input 2 5 2 12 4 3" xfId="41104" xr:uid="{00000000-0005-0000-0000-0000EA2B0000}"/>
    <cellStyle name="Input 2 5 2 12 4 4" xfId="19309" xr:uid="{00000000-0005-0000-0000-0000EB2B0000}"/>
    <cellStyle name="Input 2 5 2 12 5" xfId="22083" xr:uid="{00000000-0005-0000-0000-0000EC2B0000}"/>
    <cellStyle name="Input 2 5 2 12 6" xfId="32928" xr:uid="{00000000-0005-0000-0000-0000ED2B0000}"/>
    <cellStyle name="Input 2 5 2 12 7" xfId="13455" xr:uid="{00000000-0005-0000-0000-0000EE2B0000}"/>
    <cellStyle name="Input 2 5 2 13" xfId="3163" xr:uid="{00000000-0005-0000-0000-0000EF2B0000}"/>
    <cellStyle name="Input 2 5 2 13 2" xfId="6014" xr:uid="{00000000-0005-0000-0000-0000F02B0000}"/>
    <cellStyle name="Input 2 5 2 13 2 2" xfId="24986" xr:uid="{00000000-0005-0000-0000-0000F12B0000}"/>
    <cellStyle name="Input 2 5 2 13 2 3" xfId="35831" xr:uid="{00000000-0005-0000-0000-0000F22B0000}"/>
    <cellStyle name="Input 2 5 2 13 2 4" xfId="15529" xr:uid="{00000000-0005-0000-0000-0000F32B0000}"/>
    <cellStyle name="Input 2 5 2 13 3" xfId="8685" xr:uid="{00000000-0005-0000-0000-0000F42B0000}"/>
    <cellStyle name="Input 2 5 2 13 3 2" xfId="27657" xr:uid="{00000000-0005-0000-0000-0000F52B0000}"/>
    <cellStyle name="Input 2 5 2 13 3 3" xfId="38502" xr:uid="{00000000-0005-0000-0000-0000F62B0000}"/>
    <cellStyle name="Input 2 5 2 13 3 4" xfId="17442" xr:uid="{00000000-0005-0000-0000-0000F72B0000}"/>
    <cellStyle name="Input 2 5 2 13 4" xfId="11344" xr:uid="{00000000-0005-0000-0000-0000F82B0000}"/>
    <cellStyle name="Input 2 5 2 13 4 2" xfId="30316" xr:uid="{00000000-0005-0000-0000-0000F92B0000}"/>
    <cellStyle name="Input 2 5 2 13 4 3" xfId="41161" xr:uid="{00000000-0005-0000-0000-0000FA2B0000}"/>
    <cellStyle name="Input 2 5 2 13 4 4" xfId="19346" xr:uid="{00000000-0005-0000-0000-0000FB2B0000}"/>
    <cellStyle name="Input 2 5 2 13 5" xfId="22140" xr:uid="{00000000-0005-0000-0000-0000FC2B0000}"/>
    <cellStyle name="Input 2 5 2 13 6" xfId="32985" xr:uid="{00000000-0005-0000-0000-0000FD2B0000}"/>
    <cellStyle name="Input 2 5 2 13 7" xfId="13492" xr:uid="{00000000-0005-0000-0000-0000FE2B0000}"/>
    <cellStyle name="Input 2 5 2 14" xfId="3329" xr:uid="{00000000-0005-0000-0000-0000FF2B0000}"/>
    <cellStyle name="Input 2 5 2 14 2" xfId="22303" xr:uid="{00000000-0005-0000-0000-0000002C0000}"/>
    <cellStyle name="Input 2 5 2 14 3" xfId="33148" xr:uid="{00000000-0005-0000-0000-0000012C0000}"/>
    <cellStyle name="Input 2 5 2 14 4" xfId="13609" xr:uid="{00000000-0005-0000-0000-0000022C0000}"/>
    <cellStyle name="Input 2 5 2 15" xfId="3277" xr:uid="{00000000-0005-0000-0000-0000032C0000}"/>
    <cellStyle name="Input 2 5 2 15 2" xfId="22251" xr:uid="{00000000-0005-0000-0000-0000042C0000}"/>
    <cellStyle name="Input 2 5 2 15 3" xfId="33096" xr:uid="{00000000-0005-0000-0000-0000052C0000}"/>
    <cellStyle name="Input 2 5 2 15 4" xfId="13574" xr:uid="{00000000-0005-0000-0000-0000062C0000}"/>
    <cellStyle name="Input 2 5 2 16" xfId="6078" xr:uid="{00000000-0005-0000-0000-0000072C0000}"/>
    <cellStyle name="Input 2 5 2 16 2" xfId="25050" xr:uid="{00000000-0005-0000-0000-0000082C0000}"/>
    <cellStyle name="Input 2 5 2 16 3" xfId="35895" xr:uid="{00000000-0005-0000-0000-0000092C0000}"/>
    <cellStyle name="Input 2 5 2 16 4" xfId="15570" xr:uid="{00000000-0005-0000-0000-00000A2C0000}"/>
    <cellStyle name="Input 2 5 2 17" xfId="19460" xr:uid="{00000000-0005-0000-0000-00000B2C0000}"/>
    <cellStyle name="Input 2 5 2 18" xfId="19522" xr:uid="{00000000-0005-0000-0000-00000C2C0000}"/>
    <cellStyle name="Input 2 5 2 19" xfId="11519" xr:uid="{00000000-0005-0000-0000-00000D2C0000}"/>
    <cellStyle name="Input 2 5 2 2" xfId="671" xr:uid="{00000000-0005-0000-0000-00000E2C0000}"/>
    <cellStyle name="Input 2 5 2 2 10" xfId="19656" xr:uid="{00000000-0005-0000-0000-00000F2C0000}"/>
    <cellStyle name="Input 2 5 2 2 11" xfId="30501" xr:uid="{00000000-0005-0000-0000-0000102C0000}"/>
    <cellStyle name="Input 2 5 2 2 12" xfId="11723" xr:uid="{00000000-0005-0000-0000-0000112C0000}"/>
    <cellStyle name="Input 2 5 2 2 2" xfId="1258" xr:uid="{00000000-0005-0000-0000-0000122C0000}"/>
    <cellStyle name="Input 2 5 2 2 2 2" xfId="4111" xr:uid="{00000000-0005-0000-0000-0000132C0000}"/>
    <cellStyle name="Input 2 5 2 2 2 2 2" xfId="23083" xr:uid="{00000000-0005-0000-0000-0000142C0000}"/>
    <cellStyle name="Input 2 5 2 2 2 2 3" xfId="33928" xr:uid="{00000000-0005-0000-0000-0000152C0000}"/>
    <cellStyle name="Input 2 5 2 2 2 2 4" xfId="14184" xr:uid="{00000000-0005-0000-0000-0000162C0000}"/>
    <cellStyle name="Input 2 5 2 2 2 3" xfId="6784" xr:uid="{00000000-0005-0000-0000-0000172C0000}"/>
    <cellStyle name="Input 2 5 2 2 2 3 2" xfId="25756" xr:uid="{00000000-0005-0000-0000-0000182C0000}"/>
    <cellStyle name="Input 2 5 2 2 2 3 3" xfId="36601" xr:uid="{00000000-0005-0000-0000-0000192C0000}"/>
    <cellStyle name="Input 2 5 2 2 2 3 4" xfId="16099" xr:uid="{00000000-0005-0000-0000-00001A2C0000}"/>
    <cellStyle name="Input 2 5 2 2 2 4" xfId="9443" xr:uid="{00000000-0005-0000-0000-00001B2C0000}"/>
    <cellStyle name="Input 2 5 2 2 2 4 2" xfId="28415" xr:uid="{00000000-0005-0000-0000-00001C2C0000}"/>
    <cellStyle name="Input 2 5 2 2 2 4 3" xfId="39260" xr:uid="{00000000-0005-0000-0000-00001D2C0000}"/>
    <cellStyle name="Input 2 5 2 2 2 4 4" xfId="18003" xr:uid="{00000000-0005-0000-0000-00001E2C0000}"/>
    <cellStyle name="Input 2 5 2 2 2 5" xfId="20239" xr:uid="{00000000-0005-0000-0000-00001F2C0000}"/>
    <cellStyle name="Input 2 5 2 2 2 6" xfId="31084" xr:uid="{00000000-0005-0000-0000-0000202C0000}"/>
    <cellStyle name="Input 2 5 2 2 2 7" xfId="12149" xr:uid="{00000000-0005-0000-0000-0000212C0000}"/>
    <cellStyle name="Input 2 5 2 2 3" xfId="1657" xr:uid="{00000000-0005-0000-0000-0000222C0000}"/>
    <cellStyle name="Input 2 5 2 2 3 2" xfId="4510" xr:uid="{00000000-0005-0000-0000-0000232C0000}"/>
    <cellStyle name="Input 2 5 2 2 3 2 2" xfId="23482" xr:uid="{00000000-0005-0000-0000-0000242C0000}"/>
    <cellStyle name="Input 2 5 2 2 3 2 3" xfId="34327" xr:uid="{00000000-0005-0000-0000-0000252C0000}"/>
    <cellStyle name="Input 2 5 2 2 3 2 4" xfId="14471" xr:uid="{00000000-0005-0000-0000-0000262C0000}"/>
    <cellStyle name="Input 2 5 2 2 3 3" xfId="7182" xr:uid="{00000000-0005-0000-0000-0000272C0000}"/>
    <cellStyle name="Input 2 5 2 2 3 3 2" xfId="26154" xr:uid="{00000000-0005-0000-0000-0000282C0000}"/>
    <cellStyle name="Input 2 5 2 2 3 3 3" xfId="36999" xr:uid="{00000000-0005-0000-0000-0000292C0000}"/>
    <cellStyle name="Input 2 5 2 2 3 3 4" xfId="16385" xr:uid="{00000000-0005-0000-0000-00002A2C0000}"/>
    <cellStyle name="Input 2 5 2 2 3 4" xfId="9841" xr:uid="{00000000-0005-0000-0000-00002B2C0000}"/>
    <cellStyle name="Input 2 5 2 2 3 4 2" xfId="28813" xr:uid="{00000000-0005-0000-0000-00002C2C0000}"/>
    <cellStyle name="Input 2 5 2 2 3 4 3" xfId="39658" xr:uid="{00000000-0005-0000-0000-00002D2C0000}"/>
    <cellStyle name="Input 2 5 2 2 3 4 4" xfId="18289" xr:uid="{00000000-0005-0000-0000-00002E2C0000}"/>
    <cellStyle name="Input 2 5 2 2 3 5" xfId="20637" xr:uid="{00000000-0005-0000-0000-00002F2C0000}"/>
    <cellStyle name="Input 2 5 2 2 3 6" xfId="31482" xr:uid="{00000000-0005-0000-0000-0000302C0000}"/>
    <cellStyle name="Input 2 5 2 2 3 7" xfId="12435" xr:uid="{00000000-0005-0000-0000-0000312C0000}"/>
    <cellStyle name="Input 2 5 2 2 4" xfId="2061" xr:uid="{00000000-0005-0000-0000-0000322C0000}"/>
    <cellStyle name="Input 2 5 2 2 4 2" xfId="4914" xr:uid="{00000000-0005-0000-0000-0000332C0000}"/>
    <cellStyle name="Input 2 5 2 2 4 2 2" xfId="23886" xr:uid="{00000000-0005-0000-0000-0000342C0000}"/>
    <cellStyle name="Input 2 5 2 2 4 2 3" xfId="34731" xr:uid="{00000000-0005-0000-0000-0000352C0000}"/>
    <cellStyle name="Input 2 5 2 2 4 2 4" xfId="14758" xr:uid="{00000000-0005-0000-0000-0000362C0000}"/>
    <cellStyle name="Input 2 5 2 2 4 3" xfId="7585" xr:uid="{00000000-0005-0000-0000-0000372C0000}"/>
    <cellStyle name="Input 2 5 2 2 4 3 2" xfId="26557" xr:uid="{00000000-0005-0000-0000-0000382C0000}"/>
    <cellStyle name="Input 2 5 2 2 4 3 3" xfId="37402" xr:uid="{00000000-0005-0000-0000-0000392C0000}"/>
    <cellStyle name="Input 2 5 2 2 4 3 4" xfId="16671" xr:uid="{00000000-0005-0000-0000-00003A2C0000}"/>
    <cellStyle name="Input 2 5 2 2 4 4" xfId="10244" xr:uid="{00000000-0005-0000-0000-00003B2C0000}"/>
    <cellStyle name="Input 2 5 2 2 4 4 2" xfId="29216" xr:uid="{00000000-0005-0000-0000-00003C2C0000}"/>
    <cellStyle name="Input 2 5 2 2 4 4 3" xfId="40061" xr:uid="{00000000-0005-0000-0000-00003D2C0000}"/>
    <cellStyle name="Input 2 5 2 2 4 4 4" xfId="18575" xr:uid="{00000000-0005-0000-0000-00003E2C0000}"/>
    <cellStyle name="Input 2 5 2 2 4 5" xfId="21040" xr:uid="{00000000-0005-0000-0000-00003F2C0000}"/>
    <cellStyle name="Input 2 5 2 2 4 6" xfId="31885" xr:uid="{00000000-0005-0000-0000-0000402C0000}"/>
    <cellStyle name="Input 2 5 2 2 4 7" xfId="12721" xr:uid="{00000000-0005-0000-0000-0000412C0000}"/>
    <cellStyle name="Input 2 5 2 2 5" xfId="2451" xr:uid="{00000000-0005-0000-0000-0000422C0000}"/>
    <cellStyle name="Input 2 5 2 2 5 2" xfId="5303" xr:uid="{00000000-0005-0000-0000-0000432C0000}"/>
    <cellStyle name="Input 2 5 2 2 5 2 2" xfId="24275" xr:uid="{00000000-0005-0000-0000-0000442C0000}"/>
    <cellStyle name="Input 2 5 2 2 5 2 3" xfId="35120" xr:uid="{00000000-0005-0000-0000-0000452C0000}"/>
    <cellStyle name="Input 2 5 2 2 5 2 4" xfId="15037" xr:uid="{00000000-0005-0000-0000-0000462C0000}"/>
    <cellStyle name="Input 2 5 2 2 5 3" xfId="7974" xr:uid="{00000000-0005-0000-0000-0000472C0000}"/>
    <cellStyle name="Input 2 5 2 2 5 3 2" xfId="26946" xr:uid="{00000000-0005-0000-0000-0000482C0000}"/>
    <cellStyle name="Input 2 5 2 2 5 3 3" xfId="37791" xr:uid="{00000000-0005-0000-0000-0000492C0000}"/>
    <cellStyle name="Input 2 5 2 2 5 3 4" xfId="16950" xr:uid="{00000000-0005-0000-0000-00004A2C0000}"/>
    <cellStyle name="Input 2 5 2 2 5 4" xfId="10633" xr:uid="{00000000-0005-0000-0000-00004B2C0000}"/>
    <cellStyle name="Input 2 5 2 2 5 4 2" xfId="29605" xr:uid="{00000000-0005-0000-0000-00004C2C0000}"/>
    <cellStyle name="Input 2 5 2 2 5 4 3" xfId="40450" xr:uid="{00000000-0005-0000-0000-00004D2C0000}"/>
    <cellStyle name="Input 2 5 2 2 5 4 4" xfId="18854" xr:uid="{00000000-0005-0000-0000-00004E2C0000}"/>
    <cellStyle name="Input 2 5 2 2 5 5" xfId="21429" xr:uid="{00000000-0005-0000-0000-00004F2C0000}"/>
    <cellStyle name="Input 2 5 2 2 5 6" xfId="32274" xr:uid="{00000000-0005-0000-0000-0000502C0000}"/>
    <cellStyle name="Input 2 5 2 2 5 7" xfId="13000" xr:uid="{00000000-0005-0000-0000-0000512C0000}"/>
    <cellStyle name="Input 2 5 2 2 6" xfId="2837" xr:uid="{00000000-0005-0000-0000-0000522C0000}"/>
    <cellStyle name="Input 2 5 2 2 6 2" xfId="5688" xr:uid="{00000000-0005-0000-0000-0000532C0000}"/>
    <cellStyle name="Input 2 5 2 2 6 2 2" xfId="24660" xr:uid="{00000000-0005-0000-0000-0000542C0000}"/>
    <cellStyle name="Input 2 5 2 2 6 2 3" xfId="35505" xr:uid="{00000000-0005-0000-0000-0000552C0000}"/>
    <cellStyle name="Input 2 5 2 2 6 2 4" xfId="15313" xr:uid="{00000000-0005-0000-0000-0000562C0000}"/>
    <cellStyle name="Input 2 5 2 2 6 3" xfId="8359" xr:uid="{00000000-0005-0000-0000-0000572C0000}"/>
    <cellStyle name="Input 2 5 2 2 6 3 2" xfId="27331" xr:uid="{00000000-0005-0000-0000-0000582C0000}"/>
    <cellStyle name="Input 2 5 2 2 6 3 3" xfId="38176" xr:uid="{00000000-0005-0000-0000-0000592C0000}"/>
    <cellStyle name="Input 2 5 2 2 6 3 4" xfId="17226" xr:uid="{00000000-0005-0000-0000-00005A2C0000}"/>
    <cellStyle name="Input 2 5 2 2 6 4" xfId="11018" xr:uid="{00000000-0005-0000-0000-00005B2C0000}"/>
    <cellStyle name="Input 2 5 2 2 6 4 2" xfId="29990" xr:uid="{00000000-0005-0000-0000-00005C2C0000}"/>
    <cellStyle name="Input 2 5 2 2 6 4 3" xfId="40835" xr:uid="{00000000-0005-0000-0000-00005D2C0000}"/>
    <cellStyle name="Input 2 5 2 2 6 4 4" xfId="19130" xr:uid="{00000000-0005-0000-0000-00005E2C0000}"/>
    <cellStyle name="Input 2 5 2 2 6 5" xfId="21814" xr:uid="{00000000-0005-0000-0000-00005F2C0000}"/>
    <cellStyle name="Input 2 5 2 2 6 6" xfId="32659" xr:uid="{00000000-0005-0000-0000-0000602C0000}"/>
    <cellStyle name="Input 2 5 2 2 6 7" xfId="13276" xr:uid="{00000000-0005-0000-0000-0000612C0000}"/>
    <cellStyle name="Input 2 5 2 2 7" xfId="3526" xr:uid="{00000000-0005-0000-0000-0000622C0000}"/>
    <cellStyle name="Input 2 5 2 2 7 2" xfId="22498" xr:uid="{00000000-0005-0000-0000-0000632C0000}"/>
    <cellStyle name="Input 2 5 2 2 7 3" xfId="33343" xr:uid="{00000000-0005-0000-0000-0000642C0000}"/>
    <cellStyle name="Input 2 5 2 2 7 4" xfId="13757" xr:uid="{00000000-0005-0000-0000-0000652C0000}"/>
    <cellStyle name="Input 2 5 2 2 8" xfId="6201" xr:uid="{00000000-0005-0000-0000-0000662C0000}"/>
    <cellStyle name="Input 2 5 2 2 8 2" xfId="25173" xr:uid="{00000000-0005-0000-0000-0000672C0000}"/>
    <cellStyle name="Input 2 5 2 2 8 3" xfId="36018" xr:uid="{00000000-0005-0000-0000-0000682C0000}"/>
    <cellStyle name="Input 2 5 2 2 8 4" xfId="15673" xr:uid="{00000000-0005-0000-0000-0000692C0000}"/>
    <cellStyle name="Input 2 5 2 2 9" xfId="8860" xr:uid="{00000000-0005-0000-0000-00006A2C0000}"/>
    <cellStyle name="Input 2 5 2 2 9 2" xfId="27832" xr:uid="{00000000-0005-0000-0000-00006B2C0000}"/>
    <cellStyle name="Input 2 5 2 2 9 3" xfId="38677" xr:uid="{00000000-0005-0000-0000-00006C2C0000}"/>
    <cellStyle name="Input 2 5 2 2 9 4" xfId="17577" xr:uid="{00000000-0005-0000-0000-00006D2C0000}"/>
    <cellStyle name="Input 2 5 2 3" xfId="731" xr:uid="{00000000-0005-0000-0000-00006E2C0000}"/>
    <cellStyle name="Input 2 5 2 3 10" xfId="19716" xr:uid="{00000000-0005-0000-0000-00006F2C0000}"/>
    <cellStyle name="Input 2 5 2 3 11" xfId="30561" xr:uid="{00000000-0005-0000-0000-0000702C0000}"/>
    <cellStyle name="Input 2 5 2 3 12" xfId="11763" xr:uid="{00000000-0005-0000-0000-0000712C0000}"/>
    <cellStyle name="Input 2 5 2 3 2" xfId="1318" xr:uid="{00000000-0005-0000-0000-0000722C0000}"/>
    <cellStyle name="Input 2 5 2 3 2 2" xfId="4171" xr:uid="{00000000-0005-0000-0000-0000732C0000}"/>
    <cellStyle name="Input 2 5 2 3 2 2 2" xfId="23143" xr:uid="{00000000-0005-0000-0000-0000742C0000}"/>
    <cellStyle name="Input 2 5 2 3 2 2 3" xfId="33988" xr:uid="{00000000-0005-0000-0000-0000752C0000}"/>
    <cellStyle name="Input 2 5 2 3 2 2 4" xfId="14224" xr:uid="{00000000-0005-0000-0000-0000762C0000}"/>
    <cellStyle name="Input 2 5 2 3 2 3" xfId="6844" xr:uid="{00000000-0005-0000-0000-0000772C0000}"/>
    <cellStyle name="Input 2 5 2 3 2 3 2" xfId="25816" xr:uid="{00000000-0005-0000-0000-0000782C0000}"/>
    <cellStyle name="Input 2 5 2 3 2 3 3" xfId="36661" xr:uid="{00000000-0005-0000-0000-0000792C0000}"/>
    <cellStyle name="Input 2 5 2 3 2 3 4" xfId="16139" xr:uid="{00000000-0005-0000-0000-00007A2C0000}"/>
    <cellStyle name="Input 2 5 2 3 2 4" xfId="9503" xr:uid="{00000000-0005-0000-0000-00007B2C0000}"/>
    <cellStyle name="Input 2 5 2 3 2 4 2" xfId="28475" xr:uid="{00000000-0005-0000-0000-00007C2C0000}"/>
    <cellStyle name="Input 2 5 2 3 2 4 3" xfId="39320" xr:uid="{00000000-0005-0000-0000-00007D2C0000}"/>
    <cellStyle name="Input 2 5 2 3 2 4 4" xfId="18043" xr:uid="{00000000-0005-0000-0000-00007E2C0000}"/>
    <cellStyle name="Input 2 5 2 3 2 5" xfId="20299" xr:uid="{00000000-0005-0000-0000-00007F2C0000}"/>
    <cellStyle name="Input 2 5 2 3 2 6" xfId="31144" xr:uid="{00000000-0005-0000-0000-0000802C0000}"/>
    <cellStyle name="Input 2 5 2 3 2 7" xfId="12189" xr:uid="{00000000-0005-0000-0000-0000812C0000}"/>
    <cellStyle name="Input 2 5 2 3 3" xfId="1717" xr:uid="{00000000-0005-0000-0000-0000822C0000}"/>
    <cellStyle name="Input 2 5 2 3 3 2" xfId="4570" xr:uid="{00000000-0005-0000-0000-0000832C0000}"/>
    <cellStyle name="Input 2 5 2 3 3 2 2" xfId="23542" xr:uid="{00000000-0005-0000-0000-0000842C0000}"/>
    <cellStyle name="Input 2 5 2 3 3 2 3" xfId="34387" xr:uid="{00000000-0005-0000-0000-0000852C0000}"/>
    <cellStyle name="Input 2 5 2 3 3 2 4" xfId="14511" xr:uid="{00000000-0005-0000-0000-0000862C0000}"/>
    <cellStyle name="Input 2 5 2 3 3 3" xfId="7242" xr:uid="{00000000-0005-0000-0000-0000872C0000}"/>
    <cellStyle name="Input 2 5 2 3 3 3 2" xfId="26214" xr:uid="{00000000-0005-0000-0000-0000882C0000}"/>
    <cellStyle name="Input 2 5 2 3 3 3 3" xfId="37059" xr:uid="{00000000-0005-0000-0000-0000892C0000}"/>
    <cellStyle name="Input 2 5 2 3 3 3 4" xfId="16425" xr:uid="{00000000-0005-0000-0000-00008A2C0000}"/>
    <cellStyle name="Input 2 5 2 3 3 4" xfId="9901" xr:uid="{00000000-0005-0000-0000-00008B2C0000}"/>
    <cellStyle name="Input 2 5 2 3 3 4 2" xfId="28873" xr:uid="{00000000-0005-0000-0000-00008C2C0000}"/>
    <cellStyle name="Input 2 5 2 3 3 4 3" xfId="39718" xr:uid="{00000000-0005-0000-0000-00008D2C0000}"/>
    <cellStyle name="Input 2 5 2 3 3 4 4" xfId="18329" xr:uid="{00000000-0005-0000-0000-00008E2C0000}"/>
    <cellStyle name="Input 2 5 2 3 3 5" xfId="20697" xr:uid="{00000000-0005-0000-0000-00008F2C0000}"/>
    <cellStyle name="Input 2 5 2 3 3 6" xfId="31542" xr:uid="{00000000-0005-0000-0000-0000902C0000}"/>
    <cellStyle name="Input 2 5 2 3 3 7" xfId="12475" xr:uid="{00000000-0005-0000-0000-0000912C0000}"/>
    <cellStyle name="Input 2 5 2 3 4" xfId="2121" xr:uid="{00000000-0005-0000-0000-0000922C0000}"/>
    <cellStyle name="Input 2 5 2 3 4 2" xfId="4974" xr:uid="{00000000-0005-0000-0000-0000932C0000}"/>
    <cellStyle name="Input 2 5 2 3 4 2 2" xfId="23946" xr:uid="{00000000-0005-0000-0000-0000942C0000}"/>
    <cellStyle name="Input 2 5 2 3 4 2 3" xfId="34791" xr:uid="{00000000-0005-0000-0000-0000952C0000}"/>
    <cellStyle name="Input 2 5 2 3 4 2 4" xfId="14798" xr:uid="{00000000-0005-0000-0000-0000962C0000}"/>
    <cellStyle name="Input 2 5 2 3 4 3" xfId="7645" xr:uid="{00000000-0005-0000-0000-0000972C0000}"/>
    <cellStyle name="Input 2 5 2 3 4 3 2" xfId="26617" xr:uid="{00000000-0005-0000-0000-0000982C0000}"/>
    <cellStyle name="Input 2 5 2 3 4 3 3" xfId="37462" xr:uid="{00000000-0005-0000-0000-0000992C0000}"/>
    <cellStyle name="Input 2 5 2 3 4 3 4" xfId="16711" xr:uid="{00000000-0005-0000-0000-00009A2C0000}"/>
    <cellStyle name="Input 2 5 2 3 4 4" xfId="10304" xr:uid="{00000000-0005-0000-0000-00009B2C0000}"/>
    <cellStyle name="Input 2 5 2 3 4 4 2" xfId="29276" xr:uid="{00000000-0005-0000-0000-00009C2C0000}"/>
    <cellStyle name="Input 2 5 2 3 4 4 3" xfId="40121" xr:uid="{00000000-0005-0000-0000-00009D2C0000}"/>
    <cellStyle name="Input 2 5 2 3 4 4 4" xfId="18615" xr:uid="{00000000-0005-0000-0000-00009E2C0000}"/>
    <cellStyle name="Input 2 5 2 3 4 5" xfId="21100" xr:uid="{00000000-0005-0000-0000-00009F2C0000}"/>
    <cellStyle name="Input 2 5 2 3 4 6" xfId="31945" xr:uid="{00000000-0005-0000-0000-0000A02C0000}"/>
    <cellStyle name="Input 2 5 2 3 4 7" xfId="12761" xr:uid="{00000000-0005-0000-0000-0000A12C0000}"/>
    <cellStyle name="Input 2 5 2 3 5" xfId="2511" xr:uid="{00000000-0005-0000-0000-0000A22C0000}"/>
    <cellStyle name="Input 2 5 2 3 5 2" xfId="5363" xr:uid="{00000000-0005-0000-0000-0000A32C0000}"/>
    <cellStyle name="Input 2 5 2 3 5 2 2" xfId="24335" xr:uid="{00000000-0005-0000-0000-0000A42C0000}"/>
    <cellStyle name="Input 2 5 2 3 5 2 3" xfId="35180" xr:uid="{00000000-0005-0000-0000-0000A52C0000}"/>
    <cellStyle name="Input 2 5 2 3 5 2 4" xfId="15077" xr:uid="{00000000-0005-0000-0000-0000A62C0000}"/>
    <cellStyle name="Input 2 5 2 3 5 3" xfId="8034" xr:uid="{00000000-0005-0000-0000-0000A72C0000}"/>
    <cellStyle name="Input 2 5 2 3 5 3 2" xfId="27006" xr:uid="{00000000-0005-0000-0000-0000A82C0000}"/>
    <cellStyle name="Input 2 5 2 3 5 3 3" xfId="37851" xr:uid="{00000000-0005-0000-0000-0000A92C0000}"/>
    <cellStyle name="Input 2 5 2 3 5 3 4" xfId="16990" xr:uid="{00000000-0005-0000-0000-0000AA2C0000}"/>
    <cellStyle name="Input 2 5 2 3 5 4" xfId="10693" xr:uid="{00000000-0005-0000-0000-0000AB2C0000}"/>
    <cellStyle name="Input 2 5 2 3 5 4 2" xfId="29665" xr:uid="{00000000-0005-0000-0000-0000AC2C0000}"/>
    <cellStyle name="Input 2 5 2 3 5 4 3" xfId="40510" xr:uid="{00000000-0005-0000-0000-0000AD2C0000}"/>
    <cellStyle name="Input 2 5 2 3 5 4 4" xfId="18894" xr:uid="{00000000-0005-0000-0000-0000AE2C0000}"/>
    <cellStyle name="Input 2 5 2 3 5 5" xfId="21489" xr:uid="{00000000-0005-0000-0000-0000AF2C0000}"/>
    <cellStyle name="Input 2 5 2 3 5 6" xfId="32334" xr:uid="{00000000-0005-0000-0000-0000B02C0000}"/>
    <cellStyle name="Input 2 5 2 3 5 7" xfId="13040" xr:uid="{00000000-0005-0000-0000-0000B12C0000}"/>
    <cellStyle name="Input 2 5 2 3 6" xfId="2897" xr:uid="{00000000-0005-0000-0000-0000B22C0000}"/>
    <cellStyle name="Input 2 5 2 3 6 2" xfId="5748" xr:uid="{00000000-0005-0000-0000-0000B32C0000}"/>
    <cellStyle name="Input 2 5 2 3 6 2 2" xfId="24720" xr:uid="{00000000-0005-0000-0000-0000B42C0000}"/>
    <cellStyle name="Input 2 5 2 3 6 2 3" xfId="35565" xr:uid="{00000000-0005-0000-0000-0000B52C0000}"/>
    <cellStyle name="Input 2 5 2 3 6 2 4" xfId="15353" xr:uid="{00000000-0005-0000-0000-0000B62C0000}"/>
    <cellStyle name="Input 2 5 2 3 6 3" xfId="8419" xr:uid="{00000000-0005-0000-0000-0000B72C0000}"/>
    <cellStyle name="Input 2 5 2 3 6 3 2" xfId="27391" xr:uid="{00000000-0005-0000-0000-0000B82C0000}"/>
    <cellStyle name="Input 2 5 2 3 6 3 3" xfId="38236" xr:uid="{00000000-0005-0000-0000-0000B92C0000}"/>
    <cellStyle name="Input 2 5 2 3 6 3 4" xfId="17266" xr:uid="{00000000-0005-0000-0000-0000BA2C0000}"/>
    <cellStyle name="Input 2 5 2 3 6 4" xfId="11078" xr:uid="{00000000-0005-0000-0000-0000BB2C0000}"/>
    <cellStyle name="Input 2 5 2 3 6 4 2" xfId="30050" xr:uid="{00000000-0005-0000-0000-0000BC2C0000}"/>
    <cellStyle name="Input 2 5 2 3 6 4 3" xfId="40895" xr:uid="{00000000-0005-0000-0000-0000BD2C0000}"/>
    <cellStyle name="Input 2 5 2 3 6 4 4" xfId="19170" xr:uid="{00000000-0005-0000-0000-0000BE2C0000}"/>
    <cellStyle name="Input 2 5 2 3 6 5" xfId="21874" xr:uid="{00000000-0005-0000-0000-0000BF2C0000}"/>
    <cellStyle name="Input 2 5 2 3 6 6" xfId="32719" xr:uid="{00000000-0005-0000-0000-0000C02C0000}"/>
    <cellStyle name="Input 2 5 2 3 6 7" xfId="13316" xr:uid="{00000000-0005-0000-0000-0000C12C0000}"/>
    <cellStyle name="Input 2 5 2 3 7" xfId="3586" xr:uid="{00000000-0005-0000-0000-0000C22C0000}"/>
    <cellStyle name="Input 2 5 2 3 7 2" xfId="22558" xr:uid="{00000000-0005-0000-0000-0000C32C0000}"/>
    <cellStyle name="Input 2 5 2 3 7 3" xfId="33403" xr:uid="{00000000-0005-0000-0000-0000C42C0000}"/>
    <cellStyle name="Input 2 5 2 3 7 4" xfId="13797" xr:uid="{00000000-0005-0000-0000-0000C52C0000}"/>
    <cellStyle name="Input 2 5 2 3 8" xfId="6261" xr:uid="{00000000-0005-0000-0000-0000C62C0000}"/>
    <cellStyle name="Input 2 5 2 3 8 2" xfId="25233" xr:uid="{00000000-0005-0000-0000-0000C72C0000}"/>
    <cellStyle name="Input 2 5 2 3 8 3" xfId="36078" xr:uid="{00000000-0005-0000-0000-0000C82C0000}"/>
    <cellStyle name="Input 2 5 2 3 8 4" xfId="15713" xr:uid="{00000000-0005-0000-0000-0000C92C0000}"/>
    <cellStyle name="Input 2 5 2 3 9" xfId="8920" xr:uid="{00000000-0005-0000-0000-0000CA2C0000}"/>
    <cellStyle name="Input 2 5 2 3 9 2" xfId="27892" xr:uid="{00000000-0005-0000-0000-0000CB2C0000}"/>
    <cellStyle name="Input 2 5 2 3 9 3" xfId="38737" xr:uid="{00000000-0005-0000-0000-0000CC2C0000}"/>
    <cellStyle name="Input 2 5 2 3 9 4" xfId="17617" xr:uid="{00000000-0005-0000-0000-0000CD2C0000}"/>
    <cellStyle name="Input 2 5 2 4" xfId="791" xr:uid="{00000000-0005-0000-0000-0000CE2C0000}"/>
    <cellStyle name="Input 2 5 2 4 10" xfId="19776" xr:uid="{00000000-0005-0000-0000-0000CF2C0000}"/>
    <cellStyle name="Input 2 5 2 4 11" xfId="30621" xr:uid="{00000000-0005-0000-0000-0000D02C0000}"/>
    <cellStyle name="Input 2 5 2 4 12" xfId="11803" xr:uid="{00000000-0005-0000-0000-0000D12C0000}"/>
    <cellStyle name="Input 2 5 2 4 2" xfId="1378" xr:uid="{00000000-0005-0000-0000-0000D22C0000}"/>
    <cellStyle name="Input 2 5 2 4 2 2" xfId="4231" xr:uid="{00000000-0005-0000-0000-0000D32C0000}"/>
    <cellStyle name="Input 2 5 2 4 2 2 2" xfId="23203" xr:uid="{00000000-0005-0000-0000-0000D42C0000}"/>
    <cellStyle name="Input 2 5 2 4 2 2 3" xfId="34048" xr:uid="{00000000-0005-0000-0000-0000D52C0000}"/>
    <cellStyle name="Input 2 5 2 4 2 2 4" xfId="14264" xr:uid="{00000000-0005-0000-0000-0000D62C0000}"/>
    <cellStyle name="Input 2 5 2 4 2 3" xfId="6904" xr:uid="{00000000-0005-0000-0000-0000D72C0000}"/>
    <cellStyle name="Input 2 5 2 4 2 3 2" xfId="25876" xr:uid="{00000000-0005-0000-0000-0000D82C0000}"/>
    <cellStyle name="Input 2 5 2 4 2 3 3" xfId="36721" xr:uid="{00000000-0005-0000-0000-0000D92C0000}"/>
    <cellStyle name="Input 2 5 2 4 2 3 4" xfId="16179" xr:uid="{00000000-0005-0000-0000-0000DA2C0000}"/>
    <cellStyle name="Input 2 5 2 4 2 4" xfId="9563" xr:uid="{00000000-0005-0000-0000-0000DB2C0000}"/>
    <cellStyle name="Input 2 5 2 4 2 4 2" xfId="28535" xr:uid="{00000000-0005-0000-0000-0000DC2C0000}"/>
    <cellStyle name="Input 2 5 2 4 2 4 3" xfId="39380" xr:uid="{00000000-0005-0000-0000-0000DD2C0000}"/>
    <cellStyle name="Input 2 5 2 4 2 4 4" xfId="18083" xr:uid="{00000000-0005-0000-0000-0000DE2C0000}"/>
    <cellStyle name="Input 2 5 2 4 2 5" xfId="20359" xr:uid="{00000000-0005-0000-0000-0000DF2C0000}"/>
    <cellStyle name="Input 2 5 2 4 2 6" xfId="31204" xr:uid="{00000000-0005-0000-0000-0000E02C0000}"/>
    <cellStyle name="Input 2 5 2 4 2 7" xfId="12229" xr:uid="{00000000-0005-0000-0000-0000E12C0000}"/>
    <cellStyle name="Input 2 5 2 4 3" xfId="1777" xr:uid="{00000000-0005-0000-0000-0000E22C0000}"/>
    <cellStyle name="Input 2 5 2 4 3 2" xfId="4630" xr:uid="{00000000-0005-0000-0000-0000E32C0000}"/>
    <cellStyle name="Input 2 5 2 4 3 2 2" xfId="23602" xr:uid="{00000000-0005-0000-0000-0000E42C0000}"/>
    <cellStyle name="Input 2 5 2 4 3 2 3" xfId="34447" xr:uid="{00000000-0005-0000-0000-0000E52C0000}"/>
    <cellStyle name="Input 2 5 2 4 3 2 4" xfId="14551" xr:uid="{00000000-0005-0000-0000-0000E62C0000}"/>
    <cellStyle name="Input 2 5 2 4 3 3" xfId="7302" xr:uid="{00000000-0005-0000-0000-0000E72C0000}"/>
    <cellStyle name="Input 2 5 2 4 3 3 2" xfId="26274" xr:uid="{00000000-0005-0000-0000-0000E82C0000}"/>
    <cellStyle name="Input 2 5 2 4 3 3 3" xfId="37119" xr:uid="{00000000-0005-0000-0000-0000E92C0000}"/>
    <cellStyle name="Input 2 5 2 4 3 3 4" xfId="16465" xr:uid="{00000000-0005-0000-0000-0000EA2C0000}"/>
    <cellStyle name="Input 2 5 2 4 3 4" xfId="9961" xr:uid="{00000000-0005-0000-0000-0000EB2C0000}"/>
    <cellStyle name="Input 2 5 2 4 3 4 2" xfId="28933" xr:uid="{00000000-0005-0000-0000-0000EC2C0000}"/>
    <cellStyle name="Input 2 5 2 4 3 4 3" xfId="39778" xr:uid="{00000000-0005-0000-0000-0000ED2C0000}"/>
    <cellStyle name="Input 2 5 2 4 3 4 4" xfId="18369" xr:uid="{00000000-0005-0000-0000-0000EE2C0000}"/>
    <cellStyle name="Input 2 5 2 4 3 5" xfId="20757" xr:uid="{00000000-0005-0000-0000-0000EF2C0000}"/>
    <cellStyle name="Input 2 5 2 4 3 6" xfId="31602" xr:uid="{00000000-0005-0000-0000-0000F02C0000}"/>
    <cellStyle name="Input 2 5 2 4 3 7" xfId="12515" xr:uid="{00000000-0005-0000-0000-0000F12C0000}"/>
    <cellStyle name="Input 2 5 2 4 4" xfId="2181" xr:uid="{00000000-0005-0000-0000-0000F22C0000}"/>
    <cellStyle name="Input 2 5 2 4 4 2" xfId="5034" xr:uid="{00000000-0005-0000-0000-0000F32C0000}"/>
    <cellStyle name="Input 2 5 2 4 4 2 2" xfId="24006" xr:uid="{00000000-0005-0000-0000-0000F42C0000}"/>
    <cellStyle name="Input 2 5 2 4 4 2 3" xfId="34851" xr:uid="{00000000-0005-0000-0000-0000F52C0000}"/>
    <cellStyle name="Input 2 5 2 4 4 2 4" xfId="14838" xr:uid="{00000000-0005-0000-0000-0000F62C0000}"/>
    <cellStyle name="Input 2 5 2 4 4 3" xfId="7705" xr:uid="{00000000-0005-0000-0000-0000F72C0000}"/>
    <cellStyle name="Input 2 5 2 4 4 3 2" xfId="26677" xr:uid="{00000000-0005-0000-0000-0000F82C0000}"/>
    <cellStyle name="Input 2 5 2 4 4 3 3" xfId="37522" xr:uid="{00000000-0005-0000-0000-0000F92C0000}"/>
    <cellStyle name="Input 2 5 2 4 4 3 4" xfId="16751" xr:uid="{00000000-0005-0000-0000-0000FA2C0000}"/>
    <cellStyle name="Input 2 5 2 4 4 4" xfId="10364" xr:uid="{00000000-0005-0000-0000-0000FB2C0000}"/>
    <cellStyle name="Input 2 5 2 4 4 4 2" xfId="29336" xr:uid="{00000000-0005-0000-0000-0000FC2C0000}"/>
    <cellStyle name="Input 2 5 2 4 4 4 3" xfId="40181" xr:uid="{00000000-0005-0000-0000-0000FD2C0000}"/>
    <cellStyle name="Input 2 5 2 4 4 4 4" xfId="18655" xr:uid="{00000000-0005-0000-0000-0000FE2C0000}"/>
    <cellStyle name="Input 2 5 2 4 4 5" xfId="21160" xr:uid="{00000000-0005-0000-0000-0000FF2C0000}"/>
    <cellStyle name="Input 2 5 2 4 4 6" xfId="32005" xr:uid="{00000000-0005-0000-0000-0000002D0000}"/>
    <cellStyle name="Input 2 5 2 4 4 7" xfId="12801" xr:uid="{00000000-0005-0000-0000-0000012D0000}"/>
    <cellStyle name="Input 2 5 2 4 5" xfId="2571" xr:uid="{00000000-0005-0000-0000-0000022D0000}"/>
    <cellStyle name="Input 2 5 2 4 5 2" xfId="5423" xr:uid="{00000000-0005-0000-0000-0000032D0000}"/>
    <cellStyle name="Input 2 5 2 4 5 2 2" xfId="24395" xr:uid="{00000000-0005-0000-0000-0000042D0000}"/>
    <cellStyle name="Input 2 5 2 4 5 2 3" xfId="35240" xr:uid="{00000000-0005-0000-0000-0000052D0000}"/>
    <cellStyle name="Input 2 5 2 4 5 2 4" xfId="15117" xr:uid="{00000000-0005-0000-0000-0000062D0000}"/>
    <cellStyle name="Input 2 5 2 4 5 3" xfId="8094" xr:uid="{00000000-0005-0000-0000-0000072D0000}"/>
    <cellStyle name="Input 2 5 2 4 5 3 2" xfId="27066" xr:uid="{00000000-0005-0000-0000-0000082D0000}"/>
    <cellStyle name="Input 2 5 2 4 5 3 3" xfId="37911" xr:uid="{00000000-0005-0000-0000-0000092D0000}"/>
    <cellStyle name="Input 2 5 2 4 5 3 4" xfId="17030" xr:uid="{00000000-0005-0000-0000-00000A2D0000}"/>
    <cellStyle name="Input 2 5 2 4 5 4" xfId="10753" xr:uid="{00000000-0005-0000-0000-00000B2D0000}"/>
    <cellStyle name="Input 2 5 2 4 5 4 2" xfId="29725" xr:uid="{00000000-0005-0000-0000-00000C2D0000}"/>
    <cellStyle name="Input 2 5 2 4 5 4 3" xfId="40570" xr:uid="{00000000-0005-0000-0000-00000D2D0000}"/>
    <cellStyle name="Input 2 5 2 4 5 4 4" xfId="18934" xr:uid="{00000000-0005-0000-0000-00000E2D0000}"/>
    <cellStyle name="Input 2 5 2 4 5 5" xfId="21549" xr:uid="{00000000-0005-0000-0000-00000F2D0000}"/>
    <cellStyle name="Input 2 5 2 4 5 6" xfId="32394" xr:uid="{00000000-0005-0000-0000-0000102D0000}"/>
    <cellStyle name="Input 2 5 2 4 5 7" xfId="13080" xr:uid="{00000000-0005-0000-0000-0000112D0000}"/>
    <cellStyle name="Input 2 5 2 4 6" xfId="2957" xr:uid="{00000000-0005-0000-0000-0000122D0000}"/>
    <cellStyle name="Input 2 5 2 4 6 2" xfId="5808" xr:uid="{00000000-0005-0000-0000-0000132D0000}"/>
    <cellStyle name="Input 2 5 2 4 6 2 2" xfId="24780" xr:uid="{00000000-0005-0000-0000-0000142D0000}"/>
    <cellStyle name="Input 2 5 2 4 6 2 3" xfId="35625" xr:uid="{00000000-0005-0000-0000-0000152D0000}"/>
    <cellStyle name="Input 2 5 2 4 6 2 4" xfId="15393" xr:uid="{00000000-0005-0000-0000-0000162D0000}"/>
    <cellStyle name="Input 2 5 2 4 6 3" xfId="8479" xr:uid="{00000000-0005-0000-0000-0000172D0000}"/>
    <cellStyle name="Input 2 5 2 4 6 3 2" xfId="27451" xr:uid="{00000000-0005-0000-0000-0000182D0000}"/>
    <cellStyle name="Input 2 5 2 4 6 3 3" xfId="38296" xr:uid="{00000000-0005-0000-0000-0000192D0000}"/>
    <cellStyle name="Input 2 5 2 4 6 3 4" xfId="17306" xr:uid="{00000000-0005-0000-0000-00001A2D0000}"/>
    <cellStyle name="Input 2 5 2 4 6 4" xfId="11138" xr:uid="{00000000-0005-0000-0000-00001B2D0000}"/>
    <cellStyle name="Input 2 5 2 4 6 4 2" xfId="30110" xr:uid="{00000000-0005-0000-0000-00001C2D0000}"/>
    <cellStyle name="Input 2 5 2 4 6 4 3" xfId="40955" xr:uid="{00000000-0005-0000-0000-00001D2D0000}"/>
    <cellStyle name="Input 2 5 2 4 6 4 4" xfId="19210" xr:uid="{00000000-0005-0000-0000-00001E2D0000}"/>
    <cellStyle name="Input 2 5 2 4 6 5" xfId="21934" xr:uid="{00000000-0005-0000-0000-00001F2D0000}"/>
    <cellStyle name="Input 2 5 2 4 6 6" xfId="32779" xr:uid="{00000000-0005-0000-0000-0000202D0000}"/>
    <cellStyle name="Input 2 5 2 4 6 7" xfId="13356" xr:uid="{00000000-0005-0000-0000-0000212D0000}"/>
    <cellStyle name="Input 2 5 2 4 7" xfId="3646" xr:uid="{00000000-0005-0000-0000-0000222D0000}"/>
    <cellStyle name="Input 2 5 2 4 7 2" xfId="22618" xr:uid="{00000000-0005-0000-0000-0000232D0000}"/>
    <cellStyle name="Input 2 5 2 4 7 3" xfId="33463" xr:uid="{00000000-0005-0000-0000-0000242D0000}"/>
    <cellStyle name="Input 2 5 2 4 7 4" xfId="13837" xr:uid="{00000000-0005-0000-0000-0000252D0000}"/>
    <cellStyle name="Input 2 5 2 4 8" xfId="6321" xr:uid="{00000000-0005-0000-0000-0000262D0000}"/>
    <cellStyle name="Input 2 5 2 4 8 2" xfId="25293" xr:uid="{00000000-0005-0000-0000-0000272D0000}"/>
    <cellStyle name="Input 2 5 2 4 8 3" xfId="36138" xr:uid="{00000000-0005-0000-0000-0000282D0000}"/>
    <cellStyle name="Input 2 5 2 4 8 4" xfId="15753" xr:uid="{00000000-0005-0000-0000-0000292D0000}"/>
    <cellStyle name="Input 2 5 2 4 9" xfId="8980" xr:uid="{00000000-0005-0000-0000-00002A2D0000}"/>
    <cellStyle name="Input 2 5 2 4 9 2" xfId="27952" xr:uid="{00000000-0005-0000-0000-00002B2D0000}"/>
    <cellStyle name="Input 2 5 2 4 9 3" xfId="38797" xr:uid="{00000000-0005-0000-0000-00002C2D0000}"/>
    <cellStyle name="Input 2 5 2 4 9 4" xfId="17657" xr:uid="{00000000-0005-0000-0000-00002D2D0000}"/>
    <cellStyle name="Input 2 5 2 5" xfId="850" xr:uid="{00000000-0005-0000-0000-00002E2D0000}"/>
    <cellStyle name="Input 2 5 2 5 10" xfId="19835" xr:uid="{00000000-0005-0000-0000-00002F2D0000}"/>
    <cellStyle name="Input 2 5 2 5 11" xfId="30680" xr:uid="{00000000-0005-0000-0000-0000302D0000}"/>
    <cellStyle name="Input 2 5 2 5 12" xfId="11842" xr:uid="{00000000-0005-0000-0000-0000312D0000}"/>
    <cellStyle name="Input 2 5 2 5 2" xfId="1437" xr:uid="{00000000-0005-0000-0000-0000322D0000}"/>
    <cellStyle name="Input 2 5 2 5 2 2" xfId="4290" xr:uid="{00000000-0005-0000-0000-0000332D0000}"/>
    <cellStyle name="Input 2 5 2 5 2 2 2" xfId="23262" xr:uid="{00000000-0005-0000-0000-0000342D0000}"/>
    <cellStyle name="Input 2 5 2 5 2 2 3" xfId="34107" xr:uid="{00000000-0005-0000-0000-0000352D0000}"/>
    <cellStyle name="Input 2 5 2 5 2 2 4" xfId="14303" xr:uid="{00000000-0005-0000-0000-0000362D0000}"/>
    <cellStyle name="Input 2 5 2 5 2 3" xfId="6963" xr:uid="{00000000-0005-0000-0000-0000372D0000}"/>
    <cellStyle name="Input 2 5 2 5 2 3 2" xfId="25935" xr:uid="{00000000-0005-0000-0000-0000382D0000}"/>
    <cellStyle name="Input 2 5 2 5 2 3 3" xfId="36780" xr:uid="{00000000-0005-0000-0000-0000392D0000}"/>
    <cellStyle name="Input 2 5 2 5 2 3 4" xfId="16218" xr:uid="{00000000-0005-0000-0000-00003A2D0000}"/>
    <cellStyle name="Input 2 5 2 5 2 4" xfId="9622" xr:uid="{00000000-0005-0000-0000-00003B2D0000}"/>
    <cellStyle name="Input 2 5 2 5 2 4 2" xfId="28594" xr:uid="{00000000-0005-0000-0000-00003C2D0000}"/>
    <cellStyle name="Input 2 5 2 5 2 4 3" xfId="39439" xr:uid="{00000000-0005-0000-0000-00003D2D0000}"/>
    <cellStyle name="Input 2 5 2 5 2 4 4" xfId="18122" xr:uid="{00000000-0005-0000-0000-00003E2D0000}"/>
    <cellStyle name="Input 2 5 2 5 2 5" xfId="20418" xr:uid="{00000000-0005-0000-0000-00003F2D0000}"/>
    <cellStyle name="Input 2 5 2 5 2 6" xfId="31263" xr:uid="{00000000-0005-0000-0000-0000402D0000}"/>
    <cellStyle name="Input 2 5 2 5 2 7" xfId="12268" xr:uid="{00000000-0005-0000-0000-0000412D0000}"/>
    <cellStyle name="Input 2 5 2 5 3" xfId="1836" xr:uid="{00000000-0005-0000-0000-0000422D0000}"/>
    <cellStyle name="Input 2 5 2 5 3 2" xfId="4689" xr:uid="{00000000-0005-0000-0000-0000432D0000}"/>
    <cellStyle name="Input 2 5 2 5 3 2 2" xfId="23661" xr:uid="{00000000-0005-0000-0000-0000442D0000}"/>
    <cellStyle name="Input 2 5 2 5 3 2 3" xfId="34506" xr:uid="{00000000-0005-0000-0000-0000452D0000}"/>
    <cellStyle name="Input 2 5 2 5 3 2 4" xfId="14590" xr:uid="{00000000-0005-0000-0000-0000462D0000}"/>
    <cellStyle name="Input 2 5 2 5 3 3" xfId="7361" xr:uid="{00000000-0005-0000-0000-0000472D0000}"/>
    <cellStyle name="Input 2 5 2 5 3 3 2" xfId="26333" xr:uid="{00000000-0005-0000-0000-0000482D0000}"/>
    <cellStyle name="Input 2 5 2 5 3 3 3" xfId="37178" xr:uid="{00000000-0005-0000-0000-0000492D0000}"/>
    <cellStyle name="Input 2 5 2 5 3 3 4" xfId="16504" xr:uid="{00000000-0005-0000-0000-00004A2D0000}"/>
    <cellStyle name="Input 2 5 2 5 3 4" xfId="10020" xr:uid="{00000000-0005-0000-0000-00004B2D0000}"/>
    <cellStyle name="Input 2 5 2 5 3 4 2" xfId="28992" xr:uid="{00000000-0005-0000-0000-00004C2D0000}"/>
    <cellStyle name="Input 2 5 2 5 3 4 3" xfId="39837" xr:uid="{00000000-0005-0000-0000-00004D2D0000}"/>
    <cellStyle name="Input 2 5 2 5 3 4 4" xfId="18408" xr:uid="{00000000-0005-0000-0000-00004E2D0000}"/>
    <cellStyle name="Input 2 5 2 5 3 5" xfId="20816" xr:uid="{00000000-0005-0000-0000-00004F2D0000}"/>
    <cellStyle name="Input 2 5 2 5 3 6" xfId="31661" xr:uid="{00000000-0005-0000-0000-0000502D0000}"/>
    <cellStyle name="Input 2 5 2 5 3 7" xfId="12554" xr:uid="{00000000-0005-0000-0000-0000512D0000}"/>
    <cellStyle name="Input 2 5 2 5 4" xfId="2240" xr:uid="{00000000-0005-0000-0000-0000522D0000}"/>
    <cellStyle name="Input 2 5 2 5 4 2" xfId="5093" xr:uid="{00000000-0005-0000-0000-0000532D0000}"/>
    <cellStyle name="Input 2 5 2 5 4 2 2" xfId="24065" xr:uid="{00000000-0005-0000-0000-0000542D0000}"/>
    <cellStyle name="Input 2 5 2 5 4 2 3" xfId="34910" xr:uid="{00000000-0005-0000-0000-0000552D0000}"/>
    <cellStyle name="Input 2 5 2 5 4 2 4" xfId="14877" xr:uid="{00000000-0005-0000-0000-0000562D0000}"/>
    <cellStyle name="Input 2 5 2 5 4 3" xfId="7764" xr:uid="{00000000-0005-0000-0000-0000572D0000}"/>
    <cellStyle name="Input 2 5 2 5 4 3 2" xfId="26736" xr:uid="{00000000-0005-0000-0000-0000582D0000}"/>
    <cellStyle name="Input 2 5 2 5 4 3 3" xfId="37581" xr:uid="{00000000-0005-0000-0000-0000592D0000}"/>
    <cellStyle name="Input 2 5 2 5 4 3 4" xfId="16790" xr:uid="{00000000-0005-0000-0000-00005A2D0000}"/>
    <cellStyle name="Input 2 5 2 5 4 4" xfId="10423" xr:uid="{00000000-0005-0000-0000-00005B2D0000}"/>
    <cellStyle name="Input 2 5 2 5 4 4 2" xfId="29395" xr:uid="{00000000-0005-0000-0000-00005C2D0000}"/>
    <cellStyle name="Input 2 5 2 5 4 4 3" xfId="40240" xr:uid="{00000000-0005-0000-0000-00005D2D0000}"/>
    <cellStyle name="Input 2 5 2 5 4 4 4" xfId="18694" xr:uid="{00000000-0005-0000-0000-00005E2D0000}"/>
    <cellStyle name="Input 2 5 2 5 4 5" xfId="21219" xr:uid="{00000000-0005-0000-0000-00005F2D0000}"/>
    <cellStyle name="Input 2 5 2 5 4 6" xfId="32064" xr:uid="{00000000-0005-0000-0000-0000602D0000}"/>
    <cellStyle name="Input 2 5 2 5 4 7" xfId="12840" xr:uid="{00000000-0005-0000-0000-0000612D0000}"/>
    <cellStyle name="Input 2 5 2 5 5" xfId="2630" xr:uid="{00000000-0005-0000-0000-0000622D0000}"/>
    <cellStyle name="Input 2 5 2 5 5 2" xfId="5482" xr:uid="{00000000-0005-0000-0000-0000632D0000}"/>
    <cellStyle name="Input 2 5 2 5 5 2 2" xfId="24454" xr:uid="{00000000-0005-0000-0000-0000642D0000}"/>
    <cellStyle name="Input 2 5 2 5 5 2 3" xfId="35299" xr:uid="{00000000-0005-0000-0000-0000652D0000}"/>
    <cellStyle name="Input 2 5 2 5 5 2 4" xfId="15156" xr:uid="{00000000-0005-0000-0000-0000662D0000}"/>
    <cellStyle name="Input 2 5 2 5 5 3" xfId="8153" xr:uid="{00000000-0005-0000-0000-0000672D0000}"/>
    <cellStyle name="Input 2 5 2 5 5 3 2" xfId="27125" xr:uid="{00000000-0005-0000-0000-0000682D0000}"/>
    <cellStyle name="Input 2 5 2 5 5 3 3" xfId="37970" xr:uid="{00000000-0005-0000-0000-0000692D0000}"/>
    <cellStyle name="Input 2 5 2 5 5 3 4" xfId="17069" xr:uid="{00000000-0005-0000-0000-00006A2D0000}"/>
    <cellStyle name="Input 2 5 2 5 5 4" xfId="10812" xr:uid="{00000000-0005-0000-0000-00006B2D0000}"/>
    <cellStyle name="Input 2 5 2 5 5 4 2" xfId="29784" xr:uid="{00000000-0005-0000-0000-00006C2D0000}"/>
    <cellStyle name="Input 2 5 2 5 5 4 3" xfId="40629" xr:uid="{00000000-0005-0000-0000-00006D2D0000}"/>
    <cellStyle name="Input 2 5 2 5 5 4 4" xfId="18973" xr:uid="{00000000-0005-0000-0000-00006E2D0000}"/>
    <cellStyle name="Input 2 5 2 5 5 5" xfId="21608" xr:uid="{00000000-0005-0000-0000-00006F2D0000}"/>
    <cellStyle name="Input 2 5 2 5 5 6" xfId="32453" xr:uid="{00000000-0005-0000-0000-0000702D0000}"/>
    <cellStyle name="Input 2 5 2 5 5 7" xfId="13119" xr:uid="{00000000-0005-0000-0000-0000712D0000}"/>
    <cellStyle name="Input 2 5 2 5 6" xfId="3016" xr:uid="{00000000-0005-0000-0000-0000722D0000}"/>
    <cellStyle name="Input 2 5 2 5 6 2" xfId="5867" xr:uid="{00000000-0005-0000-0000-0000732D0000}"/>
    <cellStyle name="Input 2 5 2 5 6 2 2" xfId="24839" xr:uid="{00000000-0005-0000-0000-0000742D0000}"/>
    <cellStyle name="Input 2 5 2 5 6 2 3" xfId="35684" xr:uid="{00000000-0005-0000-0000-0000752D0000}"/>
    <cellStyle name="Input 2 5 2 5 6 2 4" xfId="15432" xr:uid="{00000000-0005-0000-0000-0000762D0000}"/>
    <cellStyle name="Input 2 5 2 5 6 3" xfId="8538" xr:uid="{00000000-0005-0000-0000-0000772D0000}"/>
    <cellStyle name="Input 2 5 2 5 6 3 2" xfId="27510" xr:uid="{00000000-0005-0000-0000-0000782D0000}"/>
    <cellStyle name="Input 2 5 2 5 6 3 3" xfId="38355" xr:uid="{00000000-0005-0000-0000-0000792D0000}"/>
    <cellStyle name="Input 2 5 2 5 6 3 4" xfId="17345" xr:uid="{00000000-0005-0000-0000-00007A2D0000}"/>
    <cellStyle name="Input 2 5 2 5 6 4" xfId="11197" xr:uid="{00000000-0005-0000-0000-00007B2D0000}"/>
    <cellStyle name="Input 2 5 2 5 6 4 2" xfId="30169" xr:uid="{00000000-0005-0000-0000-00007C2D0000}"/>
    <cellStyle name="Input 2 5 2 5 6 4 3" xfId="41014" xr:uid="{00000000-0005-0000-0000-00007D2D0000}"/>
    <cellStyle name="Input 2 5 2 5 6 4 4" xfId="19249" xr:uid="{00000000-0005-0000-0000-00007E2D0000}"/>
    <cellStyle name="Input 2 5 2 5 6 5" xfId="21993" xr:uid="{00000000-0005-0000-0000-00007F2D0000}"/>
    <cellStyle name="Input 2 5 2 5 6 6" xfId="32838" xr:uid="{00000000-0005-0000-0000-0000802D0000}"/>
    <cellStyle name="Input 2 5 2 5 6 7" xfId="13395" xr:uid="{00000000-0005-0000-0000-0000812D0000}"/>
    <cellStyle name="Input 2 5 2 5 7" xfId="3705" xr:uid="{00000000-0005-0000-0000-0000822D0000}"/>
    <cellStyle name="Input 2 5 2 5 7 2" xfId="22677" xr:uid="{00000000-0005-0000-0000-0000832D0000}"/>
    <cellStyle name="Input 2 5 2 5 7 3" xfId="33522" xr:uid="{00000000-0005-0000-0000-0000842D0000}"/>
    <cellStyle name="Input 2 5 2 5 7 4" xfId="13876" xr:uid="{00000000-0005-0000-0000-0000852D0000}"/>
    <cellStyle name="Input 2 5 2 5 8" xfId="6380" xr:uid="{00000000-0005-0000-0000-0000862D0000}"/>
    <cellStyle name="Input 2 5 2 5 8 2" xfId="25352" xr:uid="{00000000-0005-0000-0000-0000872D0000}"/>
    <cellStyle name="Input 2 5 2 5 8 3" xfId="36197" xr:uid="{00000000-0005-0000-0000-0000882D0000}"/>
    <cellStyle name="Input 2 5 2 5 8 4" xfId="15792" xr:uid="{00000000-0005-0000-0000-0000892D0000}"/>
    <cellStyle name="Input 2 5 2 5 9" xfId="9039" xr:uid="{00000000-0005-0000-0000-00008A2D0000}"/>
    <cellStyle name="Input 2 5 2 5 9 2" xfId="28011" xr:uid="{00000000-0005-0000-0000-00008B2D0000}"/>
    <cellStyle name="Input 2 5 2 5 9 3" xfId="38856" xr:uid="{00000000-0005-0000-0000-00008C2D0000}"/>
    <cellStyle name="Input 2 5 2 5 9 4" xfId="17696" xr:uid="{00000000-0005-0000-0000-00008D2D0000}"/>
    <cellStyle name="Input 2 5 2 6" xfId="1072" xr:uid="{00000000-0005-0000-0000-00008E2D0000}"/>
    <cellStyle name="Input 2 5 2 6 2" xfId="3925" xr:uid="{00000000-0005-0000-0000-00008F2D0000}"/>
    <cellStyle name="Input 2 5 2 6 2 2" xfId="22897" xr:uid="{00000000-0005-0000-0000-0000902D0000}"/>
    <cellStyle name="Input 2 5 2 6 2 3" xfId="33742" xr:uid="{00000000-0005-0000-0000-0000912D0000}"/>
    <cellStyle name="Input 2 5 2 6 2 4" xfId="14038" xr:uid="{00000000-0005-0000-0000-0000922D0000}"/>
    <cellStyle name="Input 2 5 2 6 3" xfId="6599" xr:uid="{00000000-0005-0000-0000-0000932D0000}"/>
    <cellStyle name="Input 2 5 2 6 3 2" xfId="25571" xr:uid="{00000000-0005-0000-0000-0000942D0000}"/>
    <cellStyle name="Input 2 5 2 6 3 3" xfId="36416" xr:uid="{00000000-0005-0000-0000-0000952D0000}"/>
    <cellStyle name="Input 2 5 2 6 3 4" xfId="15954" xr:uid="{00000000-0005-0000-0000-0000962D0000}"/>
    <cellStyle name="Input 2 5 2 6 4" xfId="9258" xr:uid="{00000000-0005-0000-0000-0000972D0000}"/>
    <cellStyle name="Input 2 5 2 6 4 2" xfId="28230" xr:uid="{00000000-0005-0000-0000-0000982D0000}"/>
    <cellStyle name="Input 2 5 2 6 4 3" xfId="39075" xr:uid="{00000000-0005-0000-0000-0000992D0000}"/>
    <cellStyle name="Input 2 5 2 6 4 4" xfId="17858" xr:uid="{00000000-0005-0000-0000-00009A2D0000}"/>
    <cellStyle name="Input 2 5 2 6 5" xfId="20054" xr:uid="{00000000-0005-0000-0000-00009B2D0000}"/>
    <cellStyle name="Input 2 5 2 6 6" xfId="30899" xr:uid="{00000000-0005-0000-0000-00009C2D0000}"/>
    <cellStyle name="Input 2 5 2 6 7" xfId="12004" xr:uid="{00000000-0005-0000-0000-00009D2D0000}"/>
    <cellStyle name="Input 2 5 2 7" xfId="913" xr:uid="{00000000-0005-0000-0000-00009E2D0000}"/>
    <cellStyle name="Input 2 5 2 7 2" xfId="3768" xr:uid="{00000000-0005-0000-0000-00009F2D0000}"/>
    <cellStyle name="Input 2 5 2 7 2 2" xfId="22740" xr:uid="{00000000-0005-0000-0000-0000A02D0000}"/>
    <cellStyle name="Input 2 5 2 7 2 3" xfId="33585" xr:uid="{00000000-0005-0000-0000-0000A12D0000}"/>
    <cellStyle name="Input 2 5 2 7 2 4" xfId="13914" xr:uid="{00000000-0005-0000-0000-0000A22D0000}"/>
    <cellStyle name="Input 2 5 2 7 3" xfId="6443" xr:uid="{00000000-0005-0000-0000-0000A32D0000}"/>
    <cellStyle name="Input 2 5 2 7 3 2" xfId="25415" xr:uid="{00000000-0005-0000-0000-0000A42D0000}"/>
    <cellStyle name="Input 2 5 2 7 3 3" xfId="36260" xr:uid="{00000000-0005-0000-0000-0000A52D0000}"/>
    <cellStyle name="Input 2 5 2 7 3 4" xfId="15830" xr:uid="{00000000-0005-0000-0000-0000A62D0000}"/>
    <cellStyle name="Input 2 5 2 7 4" xfId="9102" xr:uid="{00000000-0005-0000-0000-0000A72D0000}"/>
    <cellStyle name="Input 2 5 2 7 4 2" xfId="28074" xr:uid="{00000000-0005-0000-0000-0000A82D0000}"/>
    <cellStyle name="Input 2 5 2 7 4 3" xfId="38919" xr:uid="{00000000-0005-0000-0000-0000A92D0000}"/>
    <cellStyle name="Input 2 5 2 7 4 4" xfId="17734" xr:uid="{00000000-0005-0000-0000-0000AA2D0000}"/>
    <cellStyle name="Input 2 5 2 7 5" xfId="19898" xr:uid="{00000000-0005-0000-0000-0000AB2D0000}"/>
    <cellStyle name="Input 2 5 2 7 6" xfId="30743" xr:uid="{00000000-0005-0000-0000-0000AC2D0000}"/>
    <cellStyle name="Input 2 5 2 7 7" xfId="11880" xr:uid="{00000000-0005-0000-0000-0000AD2D0000}"/>
    <cellStyle name="Input 2 5 2 8" xfId="977" xr:uid="{00000000-0005-0000-0000-0000AE2D0000}"/>
    <cellStyle name="Input 2 5 2 8 2" xfId="3830" xr:uid="{00000000-0005-0000-0000-0000AF2D0000}"/>
    <cellStyle name="Input 2 5 2 8 2 2" xfId="22802" xr:uid="{00000000-0005-0000-0000-0000B02D0000}"/>
    <cellStyle name="Input 2 5 2 8 2 3" xfId="33647" xr:uid="{00000000-0005-0000-0000-0000B12D0000}"/>
    <cellStyle name="Input 2 5 2 8 2 4" xfId="13968" xr:uid="{00000000-0005-0000-0000-0000B22D0000}"/>
    <cellStyle name="Input 2 5 2 8 3" xfId="6505" xr:uid="{00000000-0005-0000-0000-0000B32D0000}"/>
    <cellStyle name="Input 2 5 2 8 3 2" xfId="25477" xr:uid="{00000000-0005-0000-0000-0000B42D0000}"/>
    <cellStyle name="Input 2 5 2 8 3 3" xfId="36322" xr:uid="{00000000-0005-0000-0000-0000B52D0000}"/>
    <cellStyle name="Input 2 5 2 8 3 4" xfId="15884" xr:uid="{00000000-0005-0000-0000-0000B62D0000}"/>
    <cellStyle name="Input 2 5 2 8 4" xfId="9164" xr:uid="{00000000-0005-0000-0000-0000B72D0000}"/>
    <cellStyle name="Input 2 5 2 8 4 2" xfId="28136" xr:uid="{00000000-0005-0000-0000-0000B82D0000}"/>
    <cellStyle name="Input 2 5 2 8 4 3" xfId="38981" xr:uid="{00000000-0005-0000-0000-0000B92D0000}"/>
    <cellStyle name="Input 2 5 2 8 4 4" xfId="17788" xr:uid="{00000000-0005-0000-0000-0000BA2D0000}"/>
    <cellStyle name="Input 2 5 2 8 5" xfId="19960" xr:uid="{00000000-0005-0000-0000-0000BB2D0000}"/>
    <cellStyle name="Input 2 5 2 8 6" xfId="30805" xr:uid="{00000000-0005-0000-0000-0000BC2D0000}"/>
    <cellStyle name="Input 2 5 2 8 7" xfId="11934" xr:uid="{00000000-0005-0000-0000-0000BD2D0000}"/>
    <cellStyle name="Input 2 5 2 9" xfId="1629" xr:uid="{00000000-0005-0000-0000-0000BE2D0000}"/>
    <cellStyle name="Input 2 5 2 9 2" xfId="4482" xr:uid="{00000000-0005-0000-0000-0000BF2D0000}"/>
    <cellStyle name="Input 2 5 2 9 2 2" xfId="23454" xr:uid="{00000000-0005-0000-0000-0000C02D0000}"/>
    <cellStyle name="Input 2 5 2 9 2 3" xfId="34299" xr:uid="{00000000-0005-0000-0000-0000C12D0000}"/>
    <cellStyle name="Input 2 5 2 9 2 4" xfId="14444" xr:uid="{00000000-0005-0000-0000-0000C22D0000}"/>
    <cellStyle name="Input 2 5 2 9 3" xfId="7154" xr:uid="{00000000-0005-0000-0000-0000C32D0000}"/>
    <cellStyle name="Input 2 5 2 9 3 2" xfId="26126" xr:uid="{00000000-0005-0000-0000-0000C42D0000}"/>
    <cellStyle name="Input 2 5 2 9 3 3" xfId="36971" xr:uid="{00000000-0005-0000-0000-0000C52D0000}"/>
    <cellStyle name="Input 2 5 2 9 3 4" xfId="16358" xr:uid="{00000000-0005-0000-0000-0000C62D0000}"/>
    <cellStyle name="Input 2 5 2 9 4" xfId="9813" xr:uid="{00000000-0005-0000-0000-0000C72D0000}"/>
    <cellStyle name="Input 2 5 2 9 4 2" xfId="28785" xr:uid="{00000000-0005-0000-0000-0000C82D0000}"/>
    <cellStyle name="Input 2 5 2 9 4 3" xfId="39630" xr:uid="{00000000-0005-0000-0000-0000C92D0000}"/>
    <cellStyle name="Input 2 5 2 9 4 4" xfId="18262" xr:uid="{00000000-0005-0000-0000-0000CA2D0000}"/>
    <cellStyle name="Input 2 5 2 9 5" xfId="20609" xr:uid="{00000000-0005-0000-0000-0000CB2D0000}"/>
    <cellStyle name="Input 2 5 2 9 6" xfId="31454" xr:uid="{00000000-0005-0000-0000-0000CC2D0000}"/>
    <cellStyle name="Input 2 5 2 9 7" xfId="12408" xr:uid="{00000000-0005-0000-0000-0000CD2D0000}"/>
    <cellStyle name="Input 2 5 3" xfId="554" xr:uid="{00000000-0005-0000-0000-0000CE2D0000}"/>
    <cellStyle name="Input 2 5 3 10" xfId="19564" xr:uid="{00000000-0005-0000-0000-0000CF2D0000}"/>
    <cellStyle name="Input 2 5 3 11" xfId="30409" xr:uid="{00000000-0005-0000-0000-0000D02D0000}"/>
    <cellStyle name="Input 2 5 3 12" xfId="11628" xr:uid="{00000000-0005-0000-0000-0000D12D0000}"/>
    <cellStyle name="Input 2 5 3 2" xfId="1160" xr:uid="{00000000-0005-0000-0000-0000D22D0000}"/>
    <cellStyle name="Input 2 5 3 2 2" xfId="4013" xr:uid="{00000000-0005-0000-0000-0000D32D0000}"/>
    <cellStyle name="Input 2 5 3 2 2 2" xfId="22985" xr:uid="{00000000-0005-0000-0000-0000D42D0000}"/>
    <cellStyle name="Input 2 5 3 2 2 3" xfId="33830" xr:uid="{00000000-0005-0000-0000-0000D52D0000}"/>
    <cellStyle name="Input 2 5 3 2 2 4" xfId="14105" xr:uid="{00000000-0005-0000-0000-0000D62D0000}"/>
    <cellStyle name="Input 2 5 3 2 3" xfId="6686" xr:uid="{00000000-0005-0000-0000-0000D72D0000}"/>
    <cellStyle name="Input 2 5 3 2 3 2" xfId="25658" xr:uid="{00000000-0005-0000-0000-0000D82D0000}"/>
    <cellStyle name="Input 2 5 3 2 3 3" xfId="36503" xr:uid="{00000000-0005-0000-0000-0000D92D0000}"/>
    <cellStyle name="Input 2 5 3 2 3 4" xfId="16020" xr:uid="{00000000-0005-0000-0000-0000DA2D0000}"/>
    <cellStyle name="Input 2 5 3 2 4" xfId="9345" xr:uid="{00000000-0005-0000-0000-0000DB2D0000}"/>
    <cellStyle name="Input 2 5 3 2 4 2" xfId="28317" xr:uid="{00000000-0005-0000-0000-0000DC2D0000}"/>
    <cellStyle name="Input 2 5 3 2 4 3" xfId="39162" xr:uid="{00000000-0005-0000-0000-0000DD2D0000}"/>
    <cellStyle name="Input 2 5 3 2 4 4" xfId="17924" xr:uid="{00000000-0005-0000-0000-0000DE2D0000}"/>
    <cellStyle name="Input 2 5 3 2 5" xfId="20141" xr:uid="{00000000-0005-0000-0000-0000DF2D0000}"/>
    <cellStyle name="Input 2 5 3 2 6" xfId="30986" xr:uid="{00000000-0005-0000-0000-0000E02D0000}"/>
    <cellStyle name="Input 2 5 3 2 7" xfId="12070" xr:uid="{00000000-0005-0000-0000-0000E12D0000}"/>
    <cellStyle name="Input 2 5 3 3" xfId="1557" xr:uid="{00000000-0005-0000-0000-0000E22D0000}"/>
    <cellStyle name="Input 2 5 3 3 2" xfId="4410" xr:uid="{00000000-0005-0000-0000-0000E32D0000}"/>
    <cellStyle name="Input 2 5 3 3 2 2" xfId="23382" xr:uid="{00000000-0005-0000-0000-0000E42D0000}"/>
    <cellStyle name="Input 2 5 3 3 2 3" xfId="34227" xr:uid="{00000000-0005-0000-0000-0000E52D0000}"/>
    <cellStyle name="Input 2 5 3 3 2 4" xfId="14391" xr:uid="{00000000-0005-0000-0000-0000E62D0000}"/>
    <cellStyle name="Input 2 5 3 3 3" xfId="7082" xr:uid="{00000000-0005-0000-0000-0000E72D0000}"/>
    <cellStyle name="Input 2 5 3 3 3 2" xfId="26054" xr:uid="{00000000-0005-0000-0000-0000E82D0000}"/>
    <cellStyle name="Input 2 5 3 3 3 3" xfId="36899" xr:uid="{00000000-0005-0000-0000-0000E92D0000}"/>
    <cellStyle name="Input 2 5 3 3 3 4" xfId="16305" xr:uid="{00000000-0005-0000-0000-0000EA2D0000}"/>
    <cellStyle name="Input 2 5 3 3 4" xfId="9741" xr:uid="{00000000-0005-0000-0000-0000EB2D0000}"/>
    <cellStyle name="Input 2 5 3 3 4 2" xfId="28713" xr:uid="{00000000-0005-0000-0000-0000EC2D0000}"/>
    <cellStyle name="Input 2 5 3 3 4 3" xfId="39558" xr:uid="{00000000-0005-0000-0000-0000ED2D0000}"/>
    <cellStyle name="Input 2 5 3 3 4 4" xfId="18209" xr:uid="{00000000-0005-0000-0000-0000EE2D0000}"/>
    <cellStyle name="Input 2 5 3 3 5" xfId="20537" xr:uid="{00000000-0005-0000-0000-0000EF2D0000}"/>
    <cellStyle name="Input 2 5 3 3 6" xfId="31382" xr:uid="{00000000-0005-0000-0000-0000F02D0000}"/>
    <cellStyle name="Input 2 5 3 3 7" xfId="12355" xr:uid="{00000000-0005-0000-0000-0000F12D0000}"/>
    <cellStyle name="Input 2 5 3 4" xfId="1961" xr:uid="{00000000-0005-0000-0000-0000F22D0000}"/>
    <cellStyle name="Input 2 5 3 4 2" xfId="4814" xr:uid="{00000000-0005-0000-0000-0000F32D0000}"/>
    <cellStyle name="Input 2 5 3 4 2 2" xfId="23786" xr:uid="{00000000-0005-0000-0000-0000F42D0000}"/>
    <cellStyle name="Input 2 5 3 4 2 3" xfId="34631" xr:uid="{00000000-0005-0000-0000-0000F52D0000}"/>
    <cellStyle name="Input 2 5 3 4 2 4" xfId="14679" xr:uid="{00000000-0005-0000-0000-0000F62D0000}"/>
    <cellStyle name="Input 2 5 3 4 3" xfId="7486" xr:uid="{00000000-0005-0000-0000-0000F72D0000}"/>
    <cellStyle name="Input 2 5 3 4 3 2" xfId="26458" xr:uid="{00000000-0005-0000-0000-0000F82D0000}"/>
    <cellStyle name="Input 2 5 3 4 3 3" xfId="37303" xr:uid="{00000000-0005-0000-0000-0000F92D0000}"/>
    <cellStyle name="Input 2 5 3 4 3 4" xfId="16593" xr:uid="{00000000-0005-0000-0000-0000FA2D0000}"/>
    <cellStyle name="Input 2 5 3 4 4" xfId="10145" xr:uid="{00000000-0005-0000-0000-0000FB2D0000}"/>
    <cellStyle name="Input 2 5 3 4 4 2" xfId="29117" xr:uid="{00000000-0005-0000-0000-0000FC2D0000}"/>
    <cellStyle name="Input 2 5 3 4 4 3" xfId="39962" xr:uid="{00000000-0005-0000-0000-0000FD2D0000}"/>
    <cellStyle name="Input 2 5 3 4 4 4" xfId="18497" xr:uid="{00000000-0005-0000-0000-0000FE2D0000}"/>
    <cellStyle name="Input 2 5 3 4 5" xfId="20941" xr:uid="{00000000-0005-0000-0000-0000FF2D0000}"/>
    <cellStyle name="Input 2 5 3 4 6" xfId="31786" xr:uid="{00000000-0005-0000-0000-0000002E0000}"/>
    <cellStyle name="Input 2 5 3 4 7" xfId="12643" xr:uid="{00000000-0005-0000-0000-0000012E0000}"/>
    <cellStyle name="Input 2 5 3 5" xfId="2353" xr:uid="{00000000-0005-0000-0000-0000022E0000}"/>
    <cellStyle name="Input 2 5 3 5 2" xfId="5206" xr:uid="{00000000-0005-0000-0000-0000032E0000}"/>
    <cellStyle name="Input 2 5 3 5 2 2" xfId="24178" xr:uid="{00000000-0005-0000-0000-0000042E0000}"/>
    <cellStyle name="Input 2 5 3 5 2 3" xfId="35023" xr:uid="{00000000-0005-0000-0000-0000052E0000}"/>
    <cellStyle name="Input 2 5 3 5 2 4" xfId="14960" xr:uid="{00000000-0005-0000-0000-0000062E0000}"/>
    <cellStyle name="Input 2 5 3 5 3" xfId="7877" xr:uid="{00000000-0005-0000-0000-0000072E0000}"/>
    <cellStyle name="Input 2 5 3 5 3 2" xfId="26849" xr:uid="{00000000-0005-0000-0000-0000082E0000}"/>
    <cellStyle name="Input 2 5 3 5 3 3" xfId="37694" xr:uid="{00000000-0005-0000-0000-0000092E0000}"/>
    <cellStyle name="Input 2 5 3 5 3 4" xfId="16873" xr:uid="{00000000-0005-0000-0000-00000A2E0000}"/>
    <cellStyle name="Input 2 5 3 5 4" xfId="10536" xr:uid="{00000000-0005-0000-0000-00000B2E0000}"/>
    <cellStyle name="Input 2 5 3 5 4 2" xfId="29508" xr:uid="{00000000-0005-0000-0000-00000C2E0000}"/>
    <cellStyle name="Input 2 5 3 5 4 3" xfId="40353" xr:uid="{00000000-0005-0000-0000-00000D2E0000}"/>
    <cellStyle name="Input 2 5 3 5 4 4" xfId="18777" xr:uid="{00000000-0005-0000-0000-00000E2E0000}"/>
    <cellStyle name="Input 2 5 3 5 5" xfId="21332" xr:uid="{00000000-0005-0000-0000-00000F2E0000}"/>
    <cellStyle name="Input 2 5 3 5 6" xfId="32177" xr:uid="{00000000-0005-0000-0000-0000102E0000}"/>
    <cellStyle name="Input 2 5 3 5 7" xfId="12923" xr:uid="{00000000-0005-0000-0000-0000112E0000}"/>
    <cellStyle name="Input 2 5 3 6" xfId="2742" xr:uid="{00000000-0005-0000-0000-0000122E0000}"/>
    <cellStyle name="Input 2 5 3 6 2" xfId="5594" xr:uid="{00000000-0005-0000-0000-0000132E0000}"/>
    <cellStyle name="Input 2 5 3 6 2 2" xfId="24566" xr:uid="{00000000-0005-0000-0000-0000142E0000}"/>
    <cellStyle name="Input 2 5 3 6 2 3" xfId="35411" xr:uid="{00000000-0005-0000-0000-0000152E0000}"/>
    <cellStyle name="Input 2 5 3 6 2 4" xfId="15238" xr:uid="{00000000-0005-0000-0000-0000162E0000}"/>
    <cellStyle name="Input 2 5 3 6 3" xfId="8265" xr:uid="{00000000-0005-0000-0000-0000172E0000}"/>
    <cellStyle name="Input 2 5 3 6 3 2" xfId="27237" xr:uid="{00000000-0005-0000-0000-0000182E0000}"/>
    <cellStyle name="Input 2 5 3 6 3 3" xfId="38082" xr:uid="{00000000-0005-0000-0000-0000192E0000}"/>
    <cellStyle name="Input 2 5 3 6 3 4" xfId="17151" xr:uid="{00000000-0005-0000-0000-00001A2E0000}"/>
    <cellStyle name="Input 2 5 3 6 4" xfId="10924" xr:uid="{00000000-0005-0000-0000-00001B2E0000}"/>
    <cellStyle name="Input 2 5 3 6 4 2" xfId="29896" xr:uid="{00000000-0005-0000-0000-00001C2E0000}"/>
    <cellStyle name="Input 2 5 3 6 4 3" xfId="40741" xr:uid="{00000000-0005-0000-0000-00001D2E0000}"/>
    <cellStyle name="Input 2 5 3 6 4 4" xfId="19055" xr:uid="{00000000-0005-0000-0000-00001E2E0000}"/>
    <cellStyle name="Input 2 5 3 6 5" xfId="21720" xr:uid="{00000000-0005-0000-0000-00001F2E0000}"/>
    <cellStyle name="Input 2 5 3 6 6" xfId="32565" xr:uid="{00000000-0005-0000-0000-0000202E0000}"/>
    <cellStyle name="Input 2 5 3 6 7" xfId="13201" xr:uid="{00000000-0005-0000-0000-0000212E0000}"/>
    <cellStyle name="Input 2 5 3 7" xfId="3433" xr:uid="{00000000-0005-0000-0000-0000222E0000}"/>
    <cellStyle name="Input 2 5 3 7 2" xfId="22405" xr:uid="{00000000-0005-0000-0000-0000232E0000}"/>
    <cellStyle name="Input 2 5 3 7 3" xfId="33250" xr:uid="{00000000-0005-0000-0000-0000242E0000}"/>
    <cellStyle name="Input 2 5 3 7 4" xfId="13683" xr:uid="{00000000-0005-0000-0000-0000252E0000}"/>
    <cellStyle name="Input 2 5 3 8" xfId="6109" xr:uid="{00000000-0005-0000-0000-0000262E0000}"/>
    <cellStyle name="Input 2 5 3 8 2" xfId="25081" xr:uid="{00000000-0005-0000-0000-0000272E0000}"/>
    <cellStyle name="Input 2 5 3 8 3" xfId="35926" xr:uid="{00000000-0005-0000-0000-0000282E0000}"/>
    <cellStyle name="Input 2 5 3 8 4" xfId="15600" xr:uid="{00000000-0005-0000-0000-0000292E0000}"/>
    <cellStyle name="Input 2 5 3 9" xfId="8768" xr:uid="{00000000-0005-0000-0000-00002A2E0000}"/>
    <cellStyle name="Input 2 5 3 9 2" xfId="27740" xr:uid="{00000000-0005-0000-0000-00002B2E0000}"/>
    <cellStyle name="Input 2 5 3 9 3" xfId="38585" xr:uid="{00000000-0005-0000-0000-00002C2E0000}"/>
    <cellStyle name="Input 2 5 3 9 4" xfId="17504" xr:uid="{00000000-0005-0000-0000-00002D2E0000}"/>
    <cellStyle name="Input 2 5 4" xfId="11452" xr:uid="{00000000-0005-0000-0000-00002E2E0000}"/>
    <cellStyle name="Input 2 6" xfId="101" xr:uid="{00000000-0005-0000-0000-00002F2E0000}"/>
    <cellStyle name="Input 2 6 2" xfId="371" xr:uid="{00000000-0005-0000-0000-0000302E0000}"/>
    <cellStyle name="Input 2 6 2 10" xfId="1240" xr:uid="{00000000-0005-0000-0000-0000312E0000}"/>
    <cellStyle name="Input 2 6 2 10 2" xfId="4093" xr:uid="{00000000-0005-0000-0000-0000322E0000}"/>
    <cellStyle name="Input 2 6 2 10 2 2" xfId="23065" xr:uid="{00000000-0005-0000-0000-0000332E0000}"/>
    <cellStyle name="Input 2 6 2 10 2 3" xfId="33910" xr:uid="{00000000-0005-0000-0000-0000342E0000}"/>
    <cellStyle name="Input 2 6 2 10 2 4" xfId="14166" xr:uid="{00000000-0005-0000-0000-0000352E0000}"/>
    <cellStyle name="Input 2 6 2 10 3" xfId="6766" xr:uid="{00000000-0005-0000-0000-0000362E0000}"/>
    <cellStyle name="Input 2 6 2 10 3 2" xfId="25738" xr:uid="{00000000-0005-0000-0000-0000372E0000}"/>
    <cellStyle name="Input 2 6 2 10 3 3" xfId="36583" xr:uid="{00000000-0005-0000-0000-0000382E0000}"/>
    <cellStyle name="Input 2 6 2 10 3 4" xfId="16081" xr:uid="{00000000-0005-0000-0000-0000392E0000}"/>
    <cellStyle name="Input 2 6 2 10 4" xfId="9425" xr:uid="{00000000-0005-0000-0000-00003A2E0000}"/>
    <cellStyle name="Input 2 6 2 10 4 2" xfId="28397" xr:uid="{00000000-0005-0000-0000-00003B2E0000}"/>
    <cellStyle name="Input 2 6 2 10 4 3" xfId="39242" xr:uid="{00000000-0005-0000-0000-00003C2E0000}"/>
    <cellStyle name="Input 2 6 2 10 4 4" xfId="17985" xr:uid="{00000000-0005-0000-0000-00003D2E0000}"/>
    <cellStyle name="Input 2 6 2 10 5" xfId="20221" xr:uid="{00000000-0005-0000-0000-00003E2E0000}"/>
    <cellStyle name="Input 2 6 2 10 6" xfId="31066" xr:uid="{00000000-0005-0000-0000-00003F2E0000}"/>
    <cellStyle name="Input 2 6 2 10 7" xfId="12131" xr:uid="{00000000-0005-0000-0000-0000402E0000}"/>
    <cellStyle name="Input 2 6 2 11" xfId="926" xr:uid="{00000000-0005-0000-0000-0000412E0000}"/>
    <cellStyle name="Input 2 6 2 11 2" xfId="3781" xr:uid="{00000000-0005-0000-0000-0000422E0000}"/>
    <cellStyle name="Input 2 6 2 11 2 2" xfId="22753" xr:uid="{00000000-0005-0000-0000-0000432E0000}"/>
    <cellStyle name="Input 2 6 2 11 2 3" xfId="33598" xr:uid="{00000000-0005-0000-0000-0000442E0000}"/>
    <cellStyle name="Input 2 6 2 11 2 4" xfId="13927" xr:uid="{00000000-0005-0000-0000-0000452E0000}"/>
    <cellStyle name="Input 2 6 2 11 3" xfId="6456" xr:uid="{00000000-0005-0000-0000-0000462E0000}"/>
    <cellStyle name="Input 2 6 2 11 3 2" xfId="25428" xr:uid="{00000000-0005-0000-0000-0000472E0000}"/>
    <cellStyle name="Input 2 6 2 11 3 3" xfId="36273" xr:uid="{00000000-0005-0000-0000-0000482E0000}"/>
    <cellStyle name="Input 2 6 2 11 3 4" xfId="15843" xr:uid="{00000000-0005-0000-0000-0000492E0000}"/>
    <cellStyle name="Input 2 6 2 11 4" xfId="9115" xr:uid="{00000000-0005-0000-0000-00004A2E0000}"/>
    <cellStyle name="Input 2 6 2 11 4 2" xfId="28087" xr:uid="{00000000-0005-0000-0000-00004B2E0000}"/>
    <cellStyle name="Input 2 6 2 11 4 3" xfId="38932" xr:uid="{00000000-0005-0000-0000-00004C2E0000}"/>
    <cellStyle name="Input 2 6 2 11 4 4" xfId="17747" xr:uid="{00000000-0005-0000-0000-00004D2E0000}"/>
    <cellStyle name="Input 2 6 2 11 5" xfId="19911" xr:uid="{00000000-0005-0000-0000-00004E2E0000}"/>
    <cellStyle name="Input 2 6 2 11 6" xfId="30756" xr:uid="{00000000-0005-0000-0000-00004F2E0000}"/>
    <cellStyle name="Input 2 6 2 11 7" xfId="11893" xr:uid="{00000000-0005-0000-0000-0000502E0000}"/>
    <cellStyle name="Input 2 6 2 12" xfId="3107" xr:uid="{00000000-0005-0000-0000-0000512E0000}"/>
    <cellStyle name="Input 2 6 2 12 2" xfId="5958" xr:uid="{00000000-0005-0000-0000-0000522E0000}"/>
    <cellStyle name="Input 2 6 2 12 2 2" xfId="24930" xr:uid="{00000000-0005-0000-0000-0000532E0000}"/>
    <cellStyle name="Input 2 6 2 12 2 3" xfId="35775" xr:uid="{00000000-0005-0000-0000-0000542E0000}"/>
    <cellStyle name="Input 2 6 2 12 2 4" xfId="15493" xr:uid="{00000000-0005-0000-0000-0000552E0000}"/>
    <cellStyle name="Input 2 6 2 12 3" xfId="8629" xr:uid="{00000000-0005-0000-0000-0000562E0000}"/>
    <cellStyle name="Input 2 6 2 12 3 2" xfId="27601" xr:uid="{00000000-0005-0000-0000-0000572E0000}"/>
    <cellStyle name="Input 2 6 2 12 3 3" xfId="38446" xr:uid="{00000000-0005-0000-0000-0000582E0000}"/>
    <cellStyle name="Input 2 6 2 12 3 4" xfId="17406" xr:uid="{00000000-0005-0000-0000-0000592E0000}"/>
    <cellStyle name="Input 2 6 2 12 4" xfId="11288" xr:uid="{00000000-0005-0000-0000-00005A2E0000}"/>
    <cellStyle name="Input 2 6 2 12 4 2" xfId="30260" xr:uid="{00000000-0005-0000-0000-00005B2E0000}"/>
    <cellStyle name="Input 2 6 2 12 4 3" xfId="41105" xr:uid="{00000000-0005-0000-0000-00005C2E0000}"/>
    <cellStyle name="Input 2 6 2 12 4 4" xfId="19310" xr:uid="{00000000-0005-0000-0000-00005D2E0000}"/>
    <cellStyle name="Input 2 6 2 12 5" xfId="22084" xr:uid="{00000000-0005-0000-0000-00005E2E0000}"/>
    <cellStyle name="Input 2 6 2 12 6" xfId="32929" xr:uid="{00000000-0005-0000-0000-00005F2E0000}"/>
    <cellStyle name="Input 2 6 2 12 7" xfId="13456" xr:uid="{00000000-0005-0000-0000-0000602E0000}"/>
    <cellStyle name="Input 2 6 2 13" xfId="3164" xr:uid="{00000000-0005-0000-0000-0000612E0000}"/>
    <cellStyle name="Input 2 6 2 13 2" xfId="6015" xr:uid="{00000000-0005-0000-0000-0000622E0000}"/>
    <cellStyle name="Input 2 6 2 13 2 2" xfId="24987" xr:uid="{00000000-0005-0000-0000-0000632E0000}"/>
    <cellStyle name="Input 2 6 2 13 2 3" xfId="35832" xr:uid="{00000000-0005-0000-0000-0000642E0000}"/>
    <cellStyle name="Input 2 6 2 13 2 4" xfId="15530" xr:uid="{00000000-0005-0000-0000-0000652E0000}"/>
    <cellStyle name="Input 2 6 2 13 3" xfId="8686" xr:uid="{00000000-0005-0000-0000-0000662E0000}"/>
    <cellStyle name="Input 2 6 2 13 3 2" xfId="27658" xr:uid="{00000000-0005-0000-0000-0000672E0000}"/>
    <cellStyle name="Input 2 6 2 13 3 3" xfId="38503" xr:uid="{00000000-0005-0000-0000-0000682E0000}"/>
    <cellStyle name="Input 2 6 2 13 3 4" xfId="17443" xr:uid="{00000000-0005-0000-0000-0000692E0000}"/>
    <cellStyle name="Input 2 6 2 13 4" xfId="11345" xr:uid="{00000000-0005-0000-0000-00006A2E0000}"/>
    <cellStyle name="Input 2 6 2 13 4 2" xfId="30317" xr:uid="{00000000-0005-0000-0000-00006B2E0000}"/>
    <cellStyle name="Input 2 6 2 13 4 3" xfId="41162" xr:uid="{00000000-0005-0000-0000-00006C2E0000}"/>
    <cellStyle name="Input 2 6 2 13 4 4" xfId="19347" xr:uid="{00000000-0005-0000-0000-00006D2E0000}"/>
    <cellStyle name="Input 2 6 2 13 5" xfId="22141" xr:uid="{00000000-0005-0000-0000-00006E2E0000}"/>
    <cellStyle name="Input 2 6 2 13 6" xfId="32986" xr:uid="{00000000-0005-0000-0000-00006F2E0000}"/>
    <cellStyle name="Input 2 6 2 13 7" xfId="13493" xr:uid="{00000000-0005-0000-0000-0000702E0000}"/>
    <cellStyle name="Input 2 6 2 14" xfId="3330" xr:uid="{00000000-0005-0000-0000-0000712E0000}"/>
    <cellStyle name="Input 2 6 2 14 2" xfId="22304" xr:uid="{00000000-0005-0000-0000-0000722E0000}"/>
    <cellStyle name="Input 2 6 2 14 3" xfId="33149" xr:uid="{00000000-0005-0000-0000-0000732E0000}"/>
    <cellStyle name="Input 2 6 2 14 4" xfId="13610" xr:uid="{00000000-0005-0000-0000-0000742E0000}"/>
    <cellStyle name="Input 2 6 2 15" xfId="3396" xr:uid="{00000000-0005-0000-0000-0000752E0000}"/>
    <cellStyle name="Input 2 6 2 15 2" xfId="22368" xr:uid="{00000000-0005-0000-0000-0000762E0000}"/>
    <cellStyle name="Input 2 6 2 15 3" xfId="33213" xr:uid="{00000000-0005-0000-0000-0000772E0000}"/>
    <cellStyle name="Input 2 6 2 15 4" xfId="13649" xr:uid="{00000000-0005-0000-0000-0000782E0000}"/>
    <cellStyle name="Input 2 6 2 16" xfId="3273" xr:uid="{00000000-0005-0000-0000-0000792E0000}"/>
    <cellStyle name="Input 2 6 2 16 2" xfId="22247" xr:uid="{00000000-0005-0000-0000-00007A2E0000}"/>
    <cellStyle name="Input 2 6 2 16 3" xfId="33092" xr:uid="{00000000-0005-0000-0000-00007B2E0000}"/>
    <cellStyle name="Input 2 6 2 16 4" xfId="13571" xr:uid="{00000000-0005-0000-0000-00007C2E0000}"/>
    <cellStyle name="Input 2 6 2 17" xfId="19461" xr:uid="{00000000-0005-0000-0000-00007D2E0000}"/>
    <cellStyle name="Input 2 6 2 18" xfId="19436" xr:uid="{00000000-0005-0000-0000-00007E2E0000}"/>
    <cellStyle name="Input 2 6 2 19" xfId="11520" xr:uid="{00000000-0005-0000-0000-00007F2E0000}"/>
    <cellStyle name="Input 2 6 2 2" xfId="672" xr:uid="{00000000-0005-0000-0000-0000802E0000}"/>
    <cellStyle name="Input 2 6 2 2 10" xfId="19657" xr:uid="{00000000-0005-0000-0000-0000812E0000}"/>
    <cellStyle name="Input 2 6 2 2 11" xfId="30502" xr:uid="{00000000-0005-0000-0000-0000822E0000}"/>
    <cellStyle name="Input 2 6 2 2 12" xfId="11724" xr:uid="{00000000-0005-0000-0000-0000832E0000}"/>
    <cellStyle name="Input 2 6 2 2 2" xfId="1259" xr:uid="{00000000-0005-0000-0000-0000842E0000}"/>
    <cellStyle name="Input 2 6 2 2 2 2" xfId="4112" xr:uid="{00000000-0005-0000-0000-0000852E0000}"/>
    <cellStyle name="Input 2 6 2 2 2 2 2" xfId="23084" xr:uid="{00000000-0005-0000-0000-0000862E0000}"/>
    <cellStyle name="Input 2 6 2 2 2 2 3" xfId="33929" xr:uid="{00000000-0005-0000-0000-0000872E0000}"/>
    <cellStyle name="Input 2 6 2 2 2 2 4" xfId="14185" xr:uid="{00000000-0005-0000-0000-0000882E0000}"/>
    <cellStyle name="Input 2 6 2 2 2 3" xfId="6785" xr:uid="{00000000-0005-0000-0000-0000892E0000}"/>
    <cellStyle name="Input 2 6 2 2 2 3 2" xfId="25757" xr:uid="{00000000-0005-0000-0000-00008A2E0000}"/>
    <cellStyle name="Input 2 6 2 2 2 3 3" xfId="36602" xr:uid="{00000000-0005-0000-0000-00008B2E0000}"/>
    <cellStyle name="Input 2 6 2 2 2 3 4" xfId="16100" xr:uid="{00000000-0005-0000-0000-00008C2E0000}"/>
    <cellStyle name="Input 2 6 2 2 2 4" xfId="9444" xr:uid="{00000000-0005-0000-0000-00008D2E0000}"/>
    <cellStyle name="Input 2 6 2 2 2 4 2" xfId="28416" xr:uid="{00000000-0005-0000-0000-00008E2E0000}"/>
    <cellStyle name="Input 2 6 2 2 2 4 3" xfId="39261" xr:uid="{00000000-0005-0000-0000-00008F2E0000}"/>
    <cellStyle name="Input 2 6 2 2 2 4 4" xfId="18004" xr:uid="{00000000-0005-0000-0000-0000902E0000}"/>
    <cellStyle name="Input 2 6 2 2 2 5" xfId="20240" xr:uid="{00000000-0005-0000-0000-0000912E0000}"/>
    <cellStyle name="Input 2 6 2 2 2 6" xfId="31085" xr:uid="{00000000-0005-0000-0000-0000922E0000}"/>
    <cellStyle name="Input 2 6 2 2 2 7" xfId="12150" xr:uid="{00000000-0005-0000-0000-0000932E0000}"/>
    <cellStyle name="Input 2 6 2 2 3" xfId="1658" xr:uid="{00000000-0005-0000-0000-0000942E0000}"/>
    <cellStyle name="Input 2 6 2 2 3 2" xfId="4511" xr:uid="{00000000-0005-0000-0000-0000952E0000}"/>
    <cellStyle name="Input 2 6 2 2 3 2 2" xfId="23483" xr:uid="{00000000-0005-0000-0000-0000962E0000}"/>
    <cellStyle name="Input 2 6 2 2 3 2 3" xfId="34328" xr:uid="{00000000-0005-0000-0000-0000972E0000}"/>
    <cellStyle name="Input 2 6 2 2 3 2 4" xfId="14472" xr:uid="{00000000-0005-0000-0000-0000982E0000}"/>
    <cellStyle name="Input 2 6 2 2 3 3" xfId="7183" xr:uid="{00000000-0005-0000-0000-0000992E0000}"/>
    <cellStyle name="Input 2 6 2 2 3 3 2" xfId="26155" xr:uid="{00000000-0005-0000-0000-00009A2E0000}"/>
    <cellStyle name="Input 2 6 2 2 3 3 3" xfId="37000" xr:uid="{00000000-0005-0000-0000-00009B2E0000}"/>
    <cellStyle name="Input 2 6 2 2 3 3 4" xfId="16386" xr:uid="{00000000-0005-0000-0000-00009C2E0000}"/>
    <cellStyle name="Input 2 6 2 2 3 4" xfId="9842" xr:uid="{00000000-0005-0000-0000-00009D2E0000}"/>
    <cellStyle name="Input 2 6 2 2 3 4 2" xfId="28814" xr:uid="{00000000-0005-0000-0000-00009E2E0000}"/>
    <cellStyle name="Input 2 6 2 2 3 4 3" xfId="39659" xr:uid="{00000000-0005-0000-0000-00009F2E0000}"/>
    <cellStyle name="Input 2 6 2 2 3 4 4" xfId="18290" xr:uid="{00000000-0005-0000-0000-0000A02E0000}"/>
    <cellStyle name="Input 2 6 2 2 3 5" xfId="20638" xr:uid="{00000000-0005-0000-0000-0000A12E0000}"/>
    <cellStyle name="Input 2 6 2 2 3 6" xfId="31483" xr:uid="{00000000-0005-0000-0000-0000A22E0000}"/>
    <cellStyle name="Input 2 6 2 2 3 7" xfId="12436" xr:uid="{00000000-0005-0000-0000-0000A32E0000}"/>
    <cellStyle name="Input 2 6 2 2 4" xfId="2062" xr:uid="{00000000-0005-0000-0000-0000A42E0000}"/>
    <cellStyle name="Input 2 6 2 2 4 2" xfId="4915" xr:uid="{00000000-0005-0000-0000-0000A52E0000}"/>
    <cellStyle name="Input 2 6 2 2 4 2 2" xfId="23887" xr:uid="{00000000-0005-0000-0000-0000A62E0000}"/>
    <cellStyle name="Input 2 6 2 2 4 2 3" xfId="34732" xr:uid="{00000000-0005-0000-0000-0000A72E0000}"/>
    <cellStyle name="Input 2 6 2 2 4 2 4" xfId="14759" xr:uid="{00000000-0005-0000-0000-0000A82E0000}"/>
    <cellStyle name="Input 2 6 2 2 4 3" xfId="7586" xr:uid="{00000000-0005-0000-0000-0000A92E0000}"/>
    <cellStyle name="Input 2 6 2 2 4 3 2" xfId="26558" xr:uid="{00000000-0005-0000-0000-0000AA2E0000}"/>
    <cellStyle name="Input 2 6 2 2 4 3 3" xfId="37403" xr:uid="{00000000-0005-0000-0000-0000AB2E0000}"/>
    <cellStyle name="Input 2 6 2 2 4 3 4" xfId="16672" xr:uid="{00000000-0005-0000-0000-0000AC2E0000}"/>
    <cellStyle name="Input 2 6 2 2 4 4" xfId="10245" xr:uid="{00000000-0005-0000-0000-0000AD2E0000}"/>
    <cellStyle name="Input 2 6 2 2 4 4 2" xfId="29217" xr:uid="{00000000-0005-0000-0000-0000AE2E0000}"/>
    <cellStyle name="Input 2 6 2 2 4 4 3" xfId="40062" xr:uid="{00000000-0005-0000-0000-0000AF2E0000}"/>
    <cellStyle name="Input 2 6 2 2 4 4 4" xfId="18576" xr:uid="{00000000-0005-0000-0000-0000B02E0000}"/>
    <cellStyle name="Input 2 6 2 2 4 5" xfId="21041" xr:uid="{00000000-0005-0000-0000-0000B12E0000}"/>
    <cellStyle name="Input 2 6 2 2 4 6" xfId="31886" xr:uid="{00000000-0005-0000-0000-0000B22E0000}"/>
    <cellStyle name="Input 2 6 2 2 4 7" xfId="12722" xr:uid="{00000000-0005-0000-0000-0000B32E0000}"/>
    <cellStyle name="Input 2 6 2 2 5" xfId="2452" xr:uid="{00000000-0005-0000-0000-0000B42E0000}"/>
    <cellStyle name="Input 2 6 2 2 5 2" xfId="5304" xr:uid="{00000000-0005-0000-0000-0000B52E0000}"/>
    <cellStyle name="Input 2 6 2 2 5 2 2" xfId="24276" xr:uid="{00000000-0005-0000-0000-0000B62E0000}"/>
    <cellStyle name="Input 2 6 2 2 5 2 3" xfId="35121" xr:uid="{00000000-0005-0000-0000-0000B72E0000}"/>
    <cellStyle name="Input 2 6 2 2 5 2 4" xfId="15038" xr:uid="{00000000-0005-0000-0000-0000B82E0000}"/>
    <cellStyle name="Input 2 6 2 2 5 3" xfId="7975" xr:uid="{00000000-0005-0000-0000-0000B92E0000}"/>
    <cellStyle name="Input 2 6 2 2 5 3 2" xfId="26947" xr:uid="{00000000-0005-0000-0000-0000BA2E0000}"/>
    <cellStyle name="Input 2 6 2 2 5 3 3" xfId="37792" xr:uid="{00000000-0005-0000-0000-0000BB2E0000}"/>
    <cellStyle name="Input 2 6 2 2 5 3 4" xfId="16951" xr:uid="{00000000-0005-0000-0000-0000BC2E0000}"/>
    <cellStyle name="Input 2 6 2 2 5 4" xfId="10634" xr:uid="{00000000-0005-0000-0000-0000BD2E0000}"/>
    <cellStyle name="Input 2 6 2 2 5 4 2" xfId="29606" xr:uid="{00000000-0005-0000-0000-0000BE2E0000}"/>
    <cellStyle name="Input 2 6 2 2 5 4 3" xfId="40451" xr:uid="{00000000-0005-0000-0000-0000BF2E0000}"/>
    <cellStyle name="Input 2 6 2 2 5 4 4" xfId="18855" xr:uid="{00000000-0005-0000-0000-0000C02E0000}"/>
    <cellStyle name="Input 2 6 2 2 5 5" xfId="21430" xr:uid="{00000000-0005-0000-0000-0000C12E0000}"/>
    <cellStyle name="Input 2 6 2 2 5 6" xfId="32275" xr:uid="{00000000-0005-0000-0000-0000C22E0000}"/>
    <cellStyle name="Input 2 6 2 2 5 7" xfId="13001" xr:uid="{00000000-0005-0000-0000-0000C32E0000}"/>
    <cellStyle name="Input 2 6 2 2 6" xfId="2838" xr:uid="{00000000-0005-0000-0000-0000C42E0000}"/>
    <cellStyle name="Input 2 6 2 2 6 2" xfId="5689" xr:uid="{00000000-0005-0000-0000-0000C52E0000}"/>
    <cellStyle name="Input 2 6 2 2 6 2 2" xfId="24661" xr:uid="{00000000-0005-0000-0000-0000C62E0000}"/>
    <cellStyle name="Input 2 6 2 2 6 2 3" xfId="35506" xr:uid="{00000000-0005-0000-0000-0000C72E0000}"/>
    <cellStyle name="Input 2 6 2 2 6 2 4" xfId="15314" xr:uid="{00000000-0005-0000-0000-0000C82E0000}"/>
    <cellStyle name="Input 2 6 2 2 6 3" xfId="8360" xr:uid="{00000000-0005-0000-0000-0000C92E0000}"/>
    <cellStyle name="Input 2 6 2 2 6 3 2" xfId="27332" xr:uid="{00000000-0005-0000-0000-0000CA2E0000}"/>
    <cellStyle name="Input 2 6 2 2 6 3 3" xfId="38177" xr:uid="{00000000-0005-0000-0000-0000CB2E0000}"/>
    <cellStyle name="Input 2 6 2 2 6 3 4" xfId="17227" xr:uid="{00000000-0005-0000-0000-0000CC2E0000}"/>
    <cellStyle name="Input 2 6 2 2 6 4" xfId="11019" xr:uid="{00000000-0005-0000-0000-0000CD2E0000}"/>
    <cellStyle name="Input 2 6 2 2 6 4 2" xfId="29991" xr:uid="{00000000-0005-0000-0000-0000CE2E0000}"/>
    <cellStyle name="Input 2 6 2 2 6 4 3" xfId="40836" xr:uid="{00000000-0005-0000-0000-0000CF2E0000}"/>
    <cellStyle name="Input 2 6 2 2 6 4 4" xfId="19131" xr:uid="{00000000-0005-0000-0000-0000D02E0000}"/>
    <cellStyle name="Input 2 6 2 2 6 5" xfId="21815" xr:uid="{00000000-0005-0000-0000-0000D12E0000}"/>
    <cellStyle name="Input 2 6 2 2 6 6" xfId="32660" xr:uid="{00000000-0005-0000-0000-0000D22E0000}"/>
    <cellStyle name="Input 2 6 2 2 6 7" xfId="13277" xr:uid="{00000000-0005-0000-0000-0000D32E0000}"/>
    <cellStyle name="Input 2 6 2 2 7" xfId="3527" xr:uid="{00000000-0005-0000-0000-0000D42E0000}"/>
    <cellStyle name="Input 2 6 2 2 7 2" xfId="22499" xr:uid="{00000000-0005-0000-0000-0000D52E0000}"/>
    <cellStyle name="Input 2 6 2 2 7 3" xfId="33344" xr:uid="{00000000-0005-0000-0000-0000D62E0000}"/>
    <cellStyle name="Input 2 6 2 2 7 4" xfId="13758" xr:uid="{00000000-0005-0000-0000-0000D72E0000}"/>
    <cellStyle name="Input 2 6 2 2 8" xfId="6202" xr:uid="{00000000-0005-0000-0000-0000D82E0000}"/>
    <cellStyle name="Input 2 6 2 2 8 2" xfId="25174" xr:uid="{00000000-0005-0000-0000-0000D92E0000}"/>
    <cellStyle name="Input 2 6 2 2 8 3" xfId="36019" xr:uid="{00000000-0005-0000-0000-0000DA2E0000}"/>
    <cellStyle name="Input 2 6 2 2 8 4" xfId="15674" xr:uid="{00000000-0005-0000-0000-0000DB2E0000}"/>
    <cellStyle name="Input 2 6 2 2 9" xfId="8861" xr:uid="{00000000-0005-0000-0000-0000DC2E0000}"/>
    <cellStyle name="Input 2 6 2 2 9 2" xfId="27833" xr:uid="{00000000-0005-0000-0000-0000DD2E0000}"/>
    <cellStyle name="Input 2 6 2 2 9 3" xfId="38678" xr:uid="{00000000-0005-0000-0000-0000DE2E0000}"/>
    <cellStyle name="Input 2 6 2 2 9 4" xfId="17578" xr:uid="{00000000-0005-0000-0000-0000DF2E0000}"/>
    <cellStyle name="Input 2 6 2 3" xfId="732" xr:uid="{00000000-0005-0000-0000-0000E02E0000}"/>
    <cellStyle name="Input 2 6 2 3 10" xfId="19717" xr:uid="{00000000-0005-0000-0000-0000E12E0000}"/>
    <cellStyle name="Input 2 6 2 3 11" xfId="30562" xr:uid="{00000000-0005-0000-0000-0000E22E0000}"/>
    <cellStyle name="Input 2 6 2 3 12" xfId="11764" xr:uid="{00000000-0005-0000-0000-0000E32E0000}"/>
    <cellStyle name="Input 2 6 2 3 2" xfId="1319" xr:uid="{00000000-0005-0000-0000-0000E42E0000}"/>
    <cellStyle name="Input 2 6 2 3 2 2" xfId="4172" xr:uid="{00000000-0005-0000-0000-0000E52E0000}"/>
    <cellStyle name="Input 2 6 2 3 2 2 2" xfId="23144" xr:uid="{00000000-0005-0000-0000-0000E62E0000}"/>
    <cellStyle name="Input 2 6 2 3 2 2 3" xfId="33989" xr:uid="{00000000-0005-0000-0000-0000E72E0000}"/>
    <cellStyle name="Input 2 6 2 3 2 2 4" xfId="14225" xr:uid="{00000000-0005-0000-0000-0000E82E0000}"/>
    <cellStyle name="Input 2 6 2 3 2 3" xfId="6845" xr:uid="{00000000-0005-0000-0000-0000E92E0000}"/>
    <cellStyle name="Input 2 6 2 3 2 3 2" xfId="25817" xr:uid="{00000000-0005-0000-0000-0000EA2E0000}"/>
    <cellStyle name="Input 2 6 2 3 2 3 3" xfId="36662" xr:uid="{00000000-0005-0000-0000-0000EB2E0000}"/>
    <cellStyle name="Input 2 6 2 3 2 3 4" xfId="16140" xr:uid="{00000000-0005-0000-0000-0000EC2E0000}"/>
    <cellStyle name="Input 2 6 2 3 2 4" xfId="9504" xr:uid="{00000000-0005-0000-0000-0000ED2E0000}"/>
    <cellStyle name="Input 2 6 2 3 2 4 2" xfId="28476" xr:uid="{00000000-0005-0000-0000-0000EE2E0000}"/>
    <cellStyle name="Input 2 6 2 3 2 4 3" xfId="39321" xr:uid="{00000000-0005-0000-0000-0000EF2E0000}"/>
    <cellStyle name="Input 2 6 2 3 2 4 4" xfId="18044" xr:uid="{00000000-0005-0000-0000-0000F02E0000}"/>
    <cellStyle name="Input 2 6 2 3 2 5" xfId="20300" xr:uid="{00000000-0005-0000-0000-0000F12E0000}"/>
    <cellStyle name="Input 2 6 2 3 2 6" xfId="31145" xr:uid="{00000000-0005-0000-0000-0000F22E0000}"/>
    <cellStyle name="Input 2 6 2 3 2 7" xfId="12190" xr:uid="{00000000-0005-0000-0000-0000F32E0000}"/>
    <cellStyle name="Input 2 6 2 3 3" xfId="1718" xr:uid="{00000000-0005-0000-0000-0000F42E0000}"/>
    <cellStyle name="Input 2 6 2 3 3 2" xfId="4571" xr:uid="{00000000-0005-0000-0000-0000F52E0000}"/>
    <cellStyle name="Input 2 6 2 3 3 2 2" xfId="23543" xr:uid="{00000000-0005-0000-0000-0000F62E0000}"/>
    <cellStyle name="Input 2 6 2 3 3 2 3" xfId="34388" xr:uid="{00000000-0005-0000-0000-0000F72E0000}"/>
    <cellStyle name="Input 2 6 2 3 3 2 4" xfId="14512" xr:uid="{00000000-0005-0000-0000-0000F82E0000}"/>
    <cellStyle name="Input 2 6 2 3 3 3" xfId="7243" xr:uid="{00000000-0005-0000-0000-0000F92E0000}"/>
    <cellStyle name="Input 2 6 2 3 3 3 2" xfId="26215" xr:uid="{00000000-0005-0000-0000-0000FA2E0000}"/>
    <cellStyle name="Input 2 6 2 3 3 3 3" xfId="37060" xr:uid="{00000000-0005-0000-0000-0000FB2E0000}"/>
    <cellStyle name="Input 2 6 2 3 3 3 4" xfId="16426" xr:uid="{00000000-0005-0000-0000-0000FC2E0000}"/>
    <cellStyle name="Input 2 6 2 3 3 4" xfId="9902" xr:uid="{00000000-0005-0000-0000-0000FD2E0000}"/>
    <cellStyle name="Input 2 6 2 3 3 4 2" xfId="28874" xr:uid="{00000000-0005-0000-0000-0000FE2E0000}"/>
    <cellStyle name="Input 2 6 2 3 3 4 3" xfId="39719" xr:uid="{00000000-0005-0000-0000-0000FF2E0000}"/>
    <cellStyle name="Input 2 6 2 3 3 4 4" xfId="18330" xr:uid="{00000000-0005-0000-0000-0000002F0000}"/>
    <cellStyle name="Input 2 6 2 3 3 5" xfId="20698" xr:uid="{00000000-0005-0000-0000-0000012F0000}"/>
    <cellStyle name="Input 2 6 2 3 3 6" xfId="31543" xr:uid="{00000000-0005-0000-0000-0000022F0000}"/>
    <cellStyle name="Input 2 6 2 3 3 7" xfId="12476" xr:uid="{00000000-0005-0000-0000-0000032F0000}"/>
    <cellStyle name="Input 2 6 2 3 4" xfId="2122" xr:uid="{00000000-0005-0000-0000-0000042F0000}"/>
    <cellStyle name="Input 2 6 2 3 4 2" xfId="4975" xr:uid="{00000000-0005-0000-0000-0000052F0000}"/>
    <cellStyle name="Input 2 6 2 3 4 2 2" xfId="23947" xr:uid="{00000000-0005-0000-0000-0000062F0000}"/>
    <cellStyle name="Input 2 6 2 3 4 2 3" xfId="34792" xr:uid="{00000000-0005-0000-0000-0000072F0000}"/>
    <cellStyle name="Input 2 6 2 3 4 2 4" xfId="14799" xr:uid="{00000000-0005-0000-0000-0000082F0000}"/>
    <cellStyle name="Input 2 6 2 3 4 3" xfId="7646" xr:uid="{00000000-0005-0000-0000-0000092F0000}"/>
    <cellStyle name="Input 2 6 2 3 4 3 2" xfId="26618" xr:uid="{00000000-0005-0000-0000-00000A2F0000}"/>
    <cellStyle name="Input 2 6 2 3 4 3 3" xfId="37463" xr:uid="{00000000-0005-0000-0000-00000B2F0000}"/>
    <cellStyle name="Input 2 6 2 3 4 3 4" xfId="16712" xr:uid="{00000000-0005-0000-0000-00000C2F0000}"/>
    <cellStyle name="Input 2 6 2 3 4 4" xfId="10305" xr:uid="{00000000-0005-0000-0000-00000D2F0000}"/>
    <cellStyle name="Input 2 6 2 3 4 4 2" xfId="29277" xr:uid="{00000000-0005-0000-0000-00000E2F0000}"/>
    <cellStyle name="Input 2 6 2 3 4 4 3" xfId="40122" xr:uid="{00000000-0005-0000-0000-00000F2F0000}"/>
    <cellStyle name="Input 2 6 2 3 4 4 4" xfId="18616" xr:uid="{00000000-0005-0000-0000-0000102F0000}"/>
    <cellStyle name="Input 2 6 2 3 4 5" xfId="21101" xr:uid="{00000000-0005-0000-0000-0000112F0000}"/>
    <cellStyle name="Input 2 6 2 3 4 6" xfId="31946" xr:uid="{00000000-0005-0000-0000-0000122F0000}"/>
    <cellStyle name="Input 2 6 2 3 4 7" xfId="12762" xr:uid="{00000000-0005-0000-0000-0000132F0000}"/>
    <cellStyle name="Input 2 6 2 3 5" xfId="2512" xr:uid="{00000000-0005-0000-0000-0000142F0000}"/>
    <cellStyle name="Input 2 6 2 3 5 2" xfId="5364" xr:uid="{00000000-0005-0000-0000-0000152F0000}"/>
    <cellStyle name="Input 2 6 2 3 5 2 2" xfId="24336" xr:uid="{00000000-0005-0000-0000-0000162F0000}"/>
    <cellStyle name="Input 2 6 2 3 5 2 3" xfId="35181" xr:uid="{00000000-0005-0000-0000-0000172F0000}"/>
    <cellStyle name="Input 2 6 2 3 5 2 4" xfId="15078" xr:uid="{00000000-0005-0000-0000-0000182F0000}"/>
    <cellStyle name="Input 2 6 2 3 5 3" xfId="8035" xr:uid="{00000000-0005-0000-0000-0000192F0000}"/>
    <cellStyle name="Input 2 6 2 3 5 3 2" xfId="27007" xr:uid="{00000000-0005-0000-0000-00001A2F0000}"/>
    <cellStyle name="Input 2 6 2 3 5 3 3" xfId="37852" xr:uid="{00000000-0005-0000-0000-00001B2F0000}"/>
    <cellStyle name="Input 2 6 2 3 5 3 4" xfId="16991" xr:uid="{00000000-0005-0000-0000-00001C2F0000}"/>
    <cellStyle name="Input 2 6 2 3 5 4" xfId="10694" xr:uid="{00000000-0005-0000-0000-00001D2F0000}"/>
    <cellStyle name="Input 2 6 2 3 5 4 2" xfId="29666" xr:uid="{00000000-0005-0000-0000-00001E2F0000}"/>
    <cellStyle name="Input 2 6 2 3 5 4 3" xfId="40511" xr:uid="{00000000-0005-0000-0000-00001F2F0000}"/>
    <cellStyle name="Input 2 6 2 3 5 4 4" xfId="18895" xr:uid="{00000000-0005-0000-0000-0000202F0000}"/>
    <cellStyle name="Input 2 6 2 3 5 5" xfId="21490" xr:uid="{00000000-0005-0000-0000-0000212F0000}"/>
    <cellStyle name="Input 2 6 2 3 5 6" xfId="32335" xr:uid="{00000000-0005-0000-0000-0000222F0000}"/>
    <cellStyle name="Input 2 6 2 3 5 7" xfId="13041" xr:uid="{00000000-0005-0000-0000-0000232F0000}"/>
    <cellStyle name="Input 2 6 2 3 6" xfId="2898" xr:uid="{00000000-0005-0000-0000-0000242F0000}"/>
    <cellStyle name="Input 2 6 2 3 6 2" xfId="5749" xr:uid="{00000000-0005-0000-0000-0000252F0000}"/>
    <cellStyle name="Input 2 6 2 3 6 2 2" xfId="24721" xr:uid="{00000000-0005-0000-0000-0000262F0000}"/>
    <cellStyle name="Input 2 6 2 3 6 2 3" xfId="35566" xr:uid="{00000000-0005-0000-0000-0000272F0000}"/>
    <cellStyle name="Input 2 6 2 3 6 2 4" xfId="15354" xr:uid="{00000000-0005-0000-0000-0000282F0000}"/>
    <cellStyle name="Input 2 6 2 3 6 3" xfId="8420" xr:uid="{00000000-0005-0000-0000-0000292F0000}"/>
    <cellStyle name="Input 2 6 2 3 6 3 2" xfId="27392" xr:uid="{00000000-0005-0000-0000-00002A2F0000}"/>
    <cellStyle name="Input 2 6 2 3 6 3 3" xfId="38237" xr:uid="{00000000-0005-0000-0000-00002B2F0000}"/>
    <cellStyle name="Input 2 6 2 3 6 3 4" xfId="17267" xr:uid="{00000000-0005-0000-0000-00002C2F0000}"/>
    <cellStyle name="Input 2 6 2 3 6 4" xfId="11079" xr:uid="{00000000-0005-0000-0000-00002D2F0000}"/>
    <cellStyle name="Input 2 6 2 3 6 4 2" xfId="30051" xr:uid="{00000000-0005-0000-0000-00002E2F0000}"/>
    <cellStyle name="Input 2 6 2 3 6 4 3" xfId="40896" xr:uid="{00000000-0005-0000-0000-00002F2F0000}"/>
    <cellStyle name="Input 2 6 2 3 6 4 4" xfId="19171" xr:uid="{00000000-0005-0000-0000-0000302F0000}"/>
    <cellStyle name="Input 2 6 2 3 6 5" xfId="21875" xr:uid="{00000000-0005-0000-0000-0000312F0000}"/>
    <cellStyle name="Input 2 6 2 3 6 6" xfId="32720" xr:uid="{00000000-0005-0000-0000-0000322F0000}"/>
    <cellStyle name="Input 2 6 2 3 6 7" xfId="13317" xr:uid="{00000000-0005-0000-0000-0000332F0000}"/>
    <cellStyle name="Input 2 6 2 3 7" xfId="3587" xr:uid="{00000000-0005-0000-0000-0000342F0000}"/>
    <cellStyle name="Input 2 6 2 3 7 2" xfId="22559" xr:uid="{00000000-0005-0000-0000-0000352F0000}"/>
    <cellStyle name="Input 2 6 2 3 7 3" xfId="33404" xr:uid="{00000000-0005-0000-0000-0000362F0000}"/>
    <cellStyle name="Input 2 6 2 3 7 4" xfId="13798" xr:uid="{00000000-0005-0000-0000-0000372F0000}"/>
    <cellStyle name="Input 2 6 2 3 8" xfId="6262" xr:uid="{00000000-0005-0000-0000-0000382F0000}"/>
    <cellStyle name="Input 2 6 2 3 8 2" xfId="25234" xr:uid="{00000000-0005-0000-0000-0000392F0000}"/>
    <cellStyle name="Input 2 6 2 3 8 3" xfId="36079" xr:uid="{00000000-0005-0000-0000-00003A2F0000}"/>
    <cellStyle name="Input 2 6 2 3 8 4" xfId="15714" xr:uid="{00000000-0005-0000-0000-00003B2F0000}"/>
    <cellStyle name="Input 2 6 2 3 9" xfId="8921" xr:uid="{00000000-0005-0000-0000-00003C2F0000}"/>
    <cellStyle name="Input 2 6 2 3 9 2" xfId="27893" xr:uid="{00000000-0005-0000-0000-00003D2F0000}"/>
    <cellStyle name="Input 2 6 2 3 9 3" xfId="38738" xr:uid="{00000000-0005-0000-0000-00003E2F0000}"/>
    <cellStyle name="Input 2 6 2 3 9 4" xfId="17618" xr:uid="{00000000-0005-0000-0000-00003F2F0000}"/>
    <cellStyle name="Input 2 6 2 4" xfId="792" xr:uid="{00000000-0005-0000-0000-0000402F0000}"/>
    <cellStyle name="Input 2 6 2 4 10" xfId="19777" xr:uid="{00000000-0005-0000-0000-0000412F0000}"/>
    <cellStyle name="Input 2 6 2 4 11" xfId="30622" xr:uid="{00000000-0005-0000-0000-0000422F0000}"/>
    <cellStyle name="Input 2 6 2 4 12" xfId="11804" xr:uid="{00000000-0005-0000-0000-0000432F0000}"/>
    <cellStyle name="Input 2 6 2 4 2" xfId="1379" xr:uid="{00000000-0005-0000-0000-0000442F0000}"/>
    <cellStyle name="Input 2 6 2 4 2 2" xfId="4232" xr:uid="{00000000-0005-0000-0000-0000452F0000}"/>
    <cellStyle name="Input 2 6 2 4 2 2 2" xfId="23204" xr:uid="{00000000-0005-0000-0000-0000462F0000}"/>
    <cellStyle name="Input 2 6 2 4 2 2 3" xfId="34049" xr:uid="{00000000-0005-0000-0000-0000472F0000}"/>
    <cellStyle name="Input 2 6 2 4 2 2 4" xfId="14265" xr:uid="{00000000-0005-0000-0000-0000482F0000}"/>
    <cellStyle name="Input 2 6 2 4 2 3" xfId="6905" xr:uid="{00000000-0005-0000-0000-0000492F0000}"/>
    <cellStyle name="Input 2 6 2 4 2 3 2" xfId="25877" xr:uid="{00000000-0005-0000-0000-00004A2F0000}"/>
    <cellStyle name="Input 2 6 2 4 2 3 3" xfId="36722" xr:uid="{00000000-0005-0000-0000-00004B2F0000}"/>
    <cellStyle name="Input 2 6 2 4 2 3 4" xfId="16180" xr:uid="{00000000-0005-0000-0000-00004C2F0000}"/>
    <cellStyle name="Input 2 6 2 4 2 4" xfId="9564" xr:uid="{00000000-0005-0000-0000-00004D2F0000}"/>
    <cellStyle name="Input 2 6 2 4 2 4 2" xfId="28536" xr:uid="{00000000-0005-0000-0000-00004E2F0000}"/>
    <cellStyle name="Input 2 6 2 4 2 4 3" xfId="39381" xr:uid="{00000000-0005-0000-0000-00004F2F0000}"/>
    <cellStyle name="Input 2 6 2 4 2 4 4" xfId="18084" xr:uid="{00000000-0005-0000-0000-0000502F0000}"/>
    <cellStyle name="Input 2 6 2 4 2 5" xfId="20360" xr:uid="{00000000-0005-0000-0000-0000512F0000}"/>
    <cellStyle name="Input 2 6 2 4 2 6" xfId="31205" xr:uid="{00000000-0005-0000-0000-0000522F0000}"/>
    <cellStyle name="Input 2 6 2 4 2 7" xfId="12230" xr:uid="{00000000-0005-0000-0000-0000532F0000}"/>
    <cellStyle name="Input 2 6 2 4 3" xfId="1778" xr:uid="{00000000-0005-0000-0000-0000542F0000}"/>
    <cellStyle name="Input 2 6 2 4 3 2" xfId="4631" xr:uid="{00000000-0005-0000-0000-0000552F0000}"/>
    <cellStyle name="Input 2 6 2 4 3 2 2" xfId="23603" xr:uid="{00000000-0005-0000-0000-0000562F0000}"/>
    <cellStyle name="Input 2 6 2 4 3 2 3" xfId="34448" xr:uid="{00000000-0005-0000-0000-0000572F0000}"/>
    <cellStyle name="Input 2 6 2 4 3 2 4" xfId="14552" xr:uid="{00000000-0005-0000-0000-0000582F0000}"/>
    <cellStyle name="Input 2 6 2 4 3 3" xfId="7303" xr:uid="{00000000-0005-0000-0000-0000592F0000}"/>
    <cellStyle name="Input 2 6 2 4 3 3 2" xfId="26275" xr:uid="{00000000-0005-0000-0000-00005A2F0000}"/>
    <cellStyle name="Input 2 6 2 4 3 3 3" xfId="37120" xr:uid="{00000000-0005-0000-0000-00005B2F0000}"/>
    <cellStyle name="Input 2 6 2 4 3 3 4" xfId="16466" xr:uid="{00000000-0005-0000-0000-00005C2F0000}"/>
    <cellStyle name="Input 2 6 2 4 3 4" xfId="9962" xr:uid="{00000000-0005-0000-0000-00005D2F0000}"/>
    <cellStyle name="Input 2 6 2 4 3 4 2" xfId="28934" xr:uid="{00000000-0005-0000-0000-00005E2F0000}"/>
    <cellStyle name="Input 2 6 2 4 3 4 3" xfId="39779" xr:uid="{00000000-0005-0000-0000-00005F2F0000}"/>
    <cellStyle name="Input 2 6 2 4 3 4 4" xfId="18370" xr:uid="{00000000-0005-0000-0000-0000602F0000}"/>
    <cellStyle name="Input 2 6 2 4 3 5" xfId="20758" xr:uid="{00000000-0005-0000-0000-0000612F0000}"/>
    <cellStyle name="Input 2 6 2 4 3 6" xfId="31603" xr:uid="{00000000-0005-0000-0000-0000622F0000}"/>
    <cellStyle name="Input 2 6 2 4 3 7" xfId="12516" xr:uid="{00000000-0005-0000-0000-0000632F0000}"/>
    <cellStyle name="Input 2 6 2 4 4" xfId="2182" xr:uid="{00000000-0005-0000-0000-0000642F0000}"/>
    <cellStyle name="Input 2 6 2 4 4 2" xfId="5035" xr:uid="{00000000-0005-0000-0000-0000652F0000}"/>
    <cellStyle name="Input 2 6 2 4 4 2 2" xfId="24007" xr:uid="{00000000-0005-0000-0000-0000662F0000}"/>
    <cellStyle name="Input 2 6 2 4 4 2 3" xfId="34852" xr:uid="{00000000-0005-0000-0000-0000672F0000}"/>
    <cellStyle name="Input 2 6 2 4 4 2 4" xfId="14839" xr:uid="{00000000-0005-0000-0000-0000682F0000}"/>
    <cellStyle name="Input 2 6 2 4 4 3" xfId="7706" xr:uid="{00000000-0005-0000-0000-0000692F0000}"/>
    <cellStyle name="Input 2 6 2 4 4 3 2" xfId="26678" xr:uid="{00000000-0005-0000-0000-00006A2F0000}"/>
    <cellStyle name="Input 2 6 2 4 4 3 3" xfId="37523" xr:uid="{00000000-0005-0000-0000-00006B2F0000}"/>
    <cellStyle name="Input 2 6 2 4 4 3 4" xfId="16752" xr:uid="{00000000-0005-0000-0000-00006C2F0000}"/>
    <cellStyle name="Input 2 6 2 4 4 4" xfId="10365" xr:uid="{00000000-0005-0000-0000-00006D2F0000}"/>
    <cellStyle name="Input 2 6 2 4 4 4 2" xfId="29337" xr:uid="{00000000-0005-0000-0000-00006E2F0000}"/>
    <cellStyle name="Input 2 6 2 4 4 4 3" xfId="40182" xr:uid="{00000000-0005-0000-0000-00006F2F0000}"/>
    <cellStyle name="Input 2 6 2 4 4 4 4" xfId="18656" xr:uid="{00000000-0005-0000-0000-0000702F0000}"/>
    <cellStyle name="Input 2 6 2 4 4 5" xfId="21161" xr:uid="{00000000-0005-0000-0000-0000712F0000}"/>
    <cellStyle name="Input 2 6 2 4 4 6" xfId="32006" xr:uid="{00000000-0005-0000-0000-0000722F0000}"/>
    <cellStyle name="Input 2 6 2 4 4 7" xfId="12802" xr:uid="{00000000-0005-0000-0000-0000732F0000}"/>
    <cellStyle name="Input 2 6 2 4 5" xfId="2572" xr:uid="{00000000-0005-0000-0000-0000742F0000}"/>
    <cellStyle name="Input 2 6 2 4 5 2" xfId="5424" xr:uid="{00000000-0005-0000-0000-0000752F0000}"/>
    <cellStyle name="Input 2 6 2 4 5 2 2" xfId="24396" xr:uid="{00000000-0005-0000-0000-0000762F0000}"/>
    <cellStyle name="Input 2 6 2 4 5 2 3" xfId="35241" xr:uid="{00000000-0005-0000-0000-0000772F0000}"/>
    <cellStyle name="Input 2 6 2 4 5 2 4" xfId="15118" xr:uid="{00000000-0005-0000-0000-0000782F0000}"/>
    <cellStyle name="Input 2 6 2 4 5 3" xfId="8095" xr:uid="{00000000-0005-0000-0000-0000792F0000}"/>
    <cellStyle name="Input 2 6 2 4 5 3 2" xfId="27067" xr:uid="{00000000-0005-0000-0000-00007A2F0000}"/>
    <cellStyle name="Input 2 6 2 4 5 3 3" xfId="37912" xr:uid="{00000000-0005-0000-0000-00007B2F0000}"/>
    <cellStyle name="Input 2 6 2 4 5 3 4" xfId="17031" xr:uid="{00000000-0005-0000-0000-00007C2F0000}"/>
    <cellStyle name="Input 2 6 2 4 5 4" xfId="10754" xr:uid="{00000000-0005-0000-0000-00007D2F0000}"/>
    <cellStyle name="Input 2 6 2 4 5 4 2" xfId="29726" xr:uid="{00000000-0005-0000-0000-00007E2F0000}"/>
    <cellStyle name="Input 2 6 2 4 5 4 3" xfId="40571" xr:uid="{00000000-0005-0000-0000-00007F2F0000}"/>
    <cellStyle name="Input 2 6 2 4 5 4 4" xfId="18935" xr:uid="{00000000-0005-0000-0000-0000802F0000}"/>
    <cellStyle name="Input 2 6 2 4 5 5" xfId="21550" xr:uid="{00000000-0005-0000-0000-0000812F0000}"/>
    <cellStyle name="Input 2 6 2 4 5 6" xfId="32395" xr:uid="{00000000-0005-0000-0000-0000822F0000}"/>
    <cellStyle name="Input 2 6 2 4 5 7" xfId="13081" xr:uid="{00000000-0005-0000-0000-0000832F0000}"/>
    <cellStyle name="Input 2 6 2 4 6" xfId="2958" xr:uid="{00000000-0005-0000-0000-0000842F0000}"/>
    <cellStyle name="Input 2 6 2 4 6 2" xfId="5809" xr:uid="{00000000-0005-0000-0000-0000852F0000}"/>
    <cellStyle name="Input 2 6 2 4 6 2 2" xfId="24781" xr:uid="{00000000-0005-0000-0000-0000862F0000}"/>
    <cellStyle name="Input 2 6 2 4 6 2 3" xfId="35626" xr:uid="{00000000-0005-0000-0000-0000872F0000}"/>
    <cellStyle name="Input 2 6 2 4 6 2 4" xfId="15394" xr:uid="{00000000-0005-0000-0000-0000882F0000}"/>
    <cellStyle name="Input 2 6 2 4 6 3" xfId="8480" xr:uid="{00000000-0005-0000-0000-0000892F0000}"/>
    <cellStyle name="Input 2 6 2 4 6 3 2" xfId="27452" xr:uid="{00000000-0005-0000-0000-00008A2F0000}"/>
    <cellStyle name="Input 2 6 2 4 6 3 3" xfId="38297" xr:uid="{00000000-0005-0000-0000-00008B2F0000}"/>
    <cellStyle name="Input 2 6 2 4 6 3 4" xfId="17307" xr:uid="{00000000-0005-0000-0000-00008C2F0000}"/>
    <cellStyle name="Input 2 6 2 4 6 4" xfId="11139" xr:uid="{00000000-0005-0000-0000-00008D2F0000}"/>
    <cellStyle name="Input 2 6 2 4 6 4 2" xfId="30111" xr:uid="{00000000-0005-0000-0000-00008E2F0000}"/>
    <cellStyle name="Input 2 6 2 4 6 4 3" xfId="40956" xr:uid="{00000000-0005-0000-0000-00008F2F0000}"/>
    <cellStyle name="Input 2 6 2 4 6 4 4" xfId="19211" xr:uid="{00000000-0005-0000-0000-0000902F0000}"/>
    <cellStyle name="Input 2 6 2 4 6 5" xfId="21935" xr:uid="{00000000-0005-0000-0000-0000912F0000}"/>
    <cellStyle name="Input 2 6 2 4 6 6" xfId="32780" xr:uid="{00000000-0005-0000-0000-0000922F0000}"/>
    <cellStyle name="Input 2 6 2 4 6 7" xfId="13357" xr:uid="{00000000-0005-0000-0000-0000932F0000}"/>
    <cellStyle name="Input 2 6 2 4 7" xfId="3647" xr:uid="{00000000-0005-0000-0000-0000942F0000}"/>
    <cellStyle name="Input 2 6 2 4 7 2" xfId="22619" xr:uid="{00000000-0005-0000-0000-0000952F0000}"/>
    <cellStyle name="Input 2 6 2 4 7 3" xfId="33464" xr:uid="{00000000-0005-0000-0000-0000962F0000}"/>
    <cellStyle name="Input 2 6 2 4 7 4" xfId="13838" xr:uid="{00000000-0005-0000-0000-0000972F0000}"/>
    <cellStyle name="Input 2 6 2 4 8" xfId="6322" xr:uid="{00000000-0005-0000-0000-0000982F0000}"/>
    <cellStyle name="Input 2 6 2 4 8 2" xfId="25294" xr:uid="{00000000-0005-0000-0000-0000992F0000}"/>
    <cellStyle name="Input 2 6 2 4 8 3" xfId="36139" xr:uid="{00000000-0005-0000-0000-00009A2F0000}"/>
    <cellStyle name="Input 2 6 2 4 8 4" xfId="15754" xr:uid="{00000000-0005-0000-0000-00009B2F0000}"/>
    <cellStyle name="Input 2 6 2 4 9" xfId="8981" xr:uid="{00000000-0005-0000-0000-00009C2F0000}"/>
    <cellStyle name="Input 2 6 2 4 9 2" xfId="27953" xr:uid="{00000000-0005-0000-0000-00009D2F0000}"/>
    <cellStyle name="Input 2 6 2 4 9 3" xfId="38798" xr:uid="{00000000-0005-0000-0000-00009E2F0000}"/>
    <cellStyle name="Input 2 6 2 4 9 4" xfId="17658" xr:uid="{00000000-0005-0000-0000-00009F2F0000}"/>
    <cellStyle name="Input 2 6 2 5" xfId="851" xr:uid="{00000000-0005-0000-0000-0000A02F0000}"/>
    <cellStyle name="Input 2 6 2 5 10" xfId="19836" xr:uid="{00000000-0005-0000-0000-0000A12F0000}"/>
    <cellStyle name="Input 2 6 2 5 11" xfId="30681" xr:uid="{00000000-0005-0000-0000-0000A22F0000}"/>
    <cellStyle name="Input 2 6 2 5 12" xfId="11843" xr:uid="{00000000-0005-0000-0000-0000A32F0000}"/>
    <cellStyle name="Input 2 6 2 5 2" xfId="1438" xr:uid="{00000000-0005-0000-0000-0000A42F0000}"/>
    <cellStyle name="Input 2 6 2 5 2 2" xfId="4291" xr:uid="{00000000-0005-0000-0000-0000A52F0000}"/>
    <cellStyle name="Input 2 6 2 5 2 2 2" xfId="23263" xr:uid="{00000000-0005-0000-0000-0000A62F0000}"/>
    <cellStyle name="Input 2 6 2 5 2 2 3" xfId="34108" xr:uid="{00000000-0005-0000-0000-0000A72F0000}"/>
    <cellStyle name="Input 2 6 2 5 2 2 4" xfId="14304" xr:uid="{00000000-0005-0000-0000-0000A82F0000}"/>
    <cellStyle name="Input 2 6 2 5 2 3" xfId="6964" xr:uid="{00000000-0005-0000-0000-0000A92F0000}"/>
    <cellStyle name="Input 2 6 2 5 2 3 2" xfId="25936" xr:uid="{00000000-0005-0000-0000-0000AA2F0000}"/>
    <cellStyle name="Input 2 6 2 5 2 3 3" xfId="36781" xr:uid="{00000000-0005-0000-0000-0000AB2F0000}"/>
    <cellStyle name="Input 2 6 2 5 2 3 4" xfId="16219" xr:uid="{00000000-0005-0000-0000-0000AC2F0000}"/>
    <cellStyle name="Input 2 6 2 5 2 4" xfId="9623" xr:uid="{00000000-0005-0000-0000-0000AD2F0000}"/>
    <cellStyle name="Input 2 6 2 5 2 4 2" xfId="28595" xr:uid="{00000000-0005-0000-0000-0000AE2F0000}"/>
    <cellStyle name="Input 2 6 2 5 2 4 3" xfId="39440" xr:uid="{00000000-0005-0000-0000-0000AF2F0000}"/>
    <cellStyle name="Input 2 6 2 5 2 4 4" xfId="18123" xr:uid="{00000000-0005-0000-0000-0000B02F0000}"/>
    <cellStyle name="Input 2 6 2 5 2 5" xfId="20419" xr:uid="{00000000-0005-0000-0000-0000B12F0000}"/>
    <cellStyle name="Input 2 6 2 5 2 6" xfId="31264" xr:uid="{00000000-0005-0000-0000-0000B22F0000}"/>
    <cellStyle name="Input 2 6 2 5 2 7" xfId="12269" xr:uid="{00000000-0005-0000-0000-0000B32F0000}"/>
    <cellStyle name="Input 2 6 2 5 3" xfId="1837" xr:uid="{00000000-0005-0000-0000-0000B42F0000}"/>
    <cellStyle name="Input 2 6 2 5 3 2" xfId="4690" xr:uid="{00000000-0005-0000-0000-0000B52F0000}"/>
    <cellStyle name="Input 2 6 2 5 3 2 2" xfId="23662" xr:uid="{00000000-0005-0000-0000-0000B62F0000}"/>
    <cellStyle name="Input 2 6 2 5 3 2 3" xfId="34507" xr:uid="{00000000-0005-0000-0000-0000B72F0000}"/>
    <cellStyle name="Input 2 6 2 5 3 2 4" xfId="14591" xr:uid="{00000000-0005-0000-0000-0000B82F0000}"/>
    <cellStyle name="Input 2 6 2 5 3 3" xfId="7362" xr:uid="{00000000-0005-0000-0000-0000B92F0000}"/>
    <cellStyle name="Input 2 6 2 5 3 3 2" xfId="26334" xr:uid="{00000000-0005-0000-0000-0000BA2F0000}"/>
    <cellStyle name="Input 2 6 2 5 3 3 3" xfId="37179" xr:uid="{00000000-0005-0000-0000-0000BB2F0000}"/>
    <cellStyle name="Input 2 6 2 5 3 3 4" xfId="16505" xr:uid="{00000000-0005-0000-0000-0000BC2F0000}"/>
    <cellStyle name="Input 2 6 2 5 3 4" xfId="10021" xr:uid="{00000000-0005-0000-0000-0000BD2F0000}"/>
    <cellStyle name="Input 2 6 2 5 3 4 2" xfId="28993" xr:uid="{00000000-0005-0000-0000-0000BE2F0000}"/>
    <cellStyle name="Input 2 6 2 5 3 4 3" xfId="39838" xr:uid="{00000000-0005-0000-0000-0000BF2F0000}"/>
    <cellStyle name="Input 2 6 2 5 3 4 4" xfId="18409" xr:uid="{00000000-0005-0000-0000-0000C02F0000}"/>
    <cellStyle name="Input 2 6 2 5 3 5" xfId="20817" xr:uid="{00000000-0005-0000-0000-0000C12F0000}"/>
    <cellStyle name="Input 2 6 2 5 3 6" xfId="31662" xr:uid="{00000000-0005-0000-0000-0000C22F0000}"/>
    <cellStyle name="Input 2 6 2 5 3 7" xfId="12555" xr:uid="{00000000-0005-0000-0000-0000C32F0000}"/>
    <cellStyle name="Input 2 6 2 5 4" xfId="2241" xr:uid="{00000000-0005-0000-0000-0000C42F0000}"/>
    <cellStyle name="Input 2 6 2 5 4 2" xfId="5094" xr:uid="{00000000-0005-0000-0000-0000C52F0000}"/>
    <cellStyle name="Input 2 6 2 5 4 2 2" xfId="24066" xr:uid="{00000000-0005-0000-0000-0000C62F0000}"/>
    <cellStyle name="Input 2 6 2 5 4 2 3" xfId="34911" xr:uid="{00000000-0005-0000-0000-0000C72F0000}"/>
    <cellStyle name="Input 2 6 2 5 4 2 4" xfId="14878" xr:uid="{00000000-0005-0000-0000-0000C82F0000}"/>
    <cellStyle name="Input 2 6 2 5 4 3" xfId="7765" xr:uid="{00000000-0005-0000-0000-0000C92F0000}"/>
    <cellStyle name="Input 2 6 2 5 4 3 2" xfId="26737" xr:uid="{00000000-0005-0000-0000-0000CA2F0000}"/>
    <cellStyle name="Input 2 6 2 5 4 3 3" xfId="37582" xr:uid="{00000000-0005-0000-0000-0000CB2F0000}"/>
    <cellStyle name="Input 2 6 2 5 4 3 4" xfId="16791" xr:uid="{00000000-0005-0000-0000-0000CC2F0000}"/>
    <cellStyle name="Input 2 6 2 5 4 4" xfId="10424" xr:uid="{00000000-0005-0000-0000-0000CD2F0000}"/>
    <cellStyle name="Input 2 6 2 5 4 4 2" xfId="29396" xr:uid="{00000000-0005-0000-0000-0000CE2F0000}"/>
    <cellStyle name="Input 2 6 2 5 4 4 3" xfId="40241" xr:uid="{00000000-0005-0000-0000-0000CF2F0000}"/>
    <cellStyle name="Input 2 6 2 5 4 4 4" xfId="18695" xr:uid="{00000000-0005-0000-0000-0000D02F0000}"/>
    <cellStyle name="Input 2 6 2 5 4 5" xfId="21220" xr:uid="{00000000-0005-0000-0000-0000D12F0000}"/>
    <cellStyle name="Input 2 6 2 5 4 6" xfId="32065" xr:uid="{00000000-0005-0000-0000-0000D22F0000}"/>
    <cellStyle name="Input 2 6 2 5 4 7" xfId="12841" xr:uid="{00000000-0005-0000-0000-0000D32F0000}"/>
    <cellStyle name="Input 2 6 2 5 5" xfId="2631" xr:uid="{00000000-0005-0000-0000-0000D42F0000}"/>
    <cellStyle name="Input 2 6 2 5 5 2" xfId="5483" xr:uid="{00000000-0005-0000-0000-0000D52F0000}"/>
    <cellStyle name="Input 2 6 2 5 5 2 2" xfId="24455" xr:uid="{00000000-0005-0000-0000-0000D62F0000}"/>
    <cellStyle name="Input 2 6 2 5 5 2 3" xfId="35300" xr:uid="{00000000-0005-0000-0000-0000D72F0000}"/>
    <cellStyle name="Input 2 6 2 5 5 2 4" xfId="15157" xr:uid="{00000000-0005-0000-0000-0000D82F0000}"/>
    <cellStyle name="Input 2 6 2 5 5 3" xfId="8154" xr:uid="{00000000-0005-0000-0000-0000D92F0000}"/>
    <cellStyle name="Input 2 6 2 5 5 3 2" xfId="27126" xr:uid="{00000000-0005-0000-0000-0000DA2F0000}"/>
    <cellStyle name="Input 2 6 2 5 5 3 3" xfId="37971" xr:uid="{00000000-0005-0000-0000-0000DB2F0000}"/>
    <cellStyle name="Input 2 6 2 5 5 3 4" xfId="17070" xr:uid="{00000000-0005-0000-0000-0000DC2F0000}"/>
    <cellStyle name="Input 2 6 2 5 5 4" xfId="10813" xr:uid="{00000000-0005-0000-0000-0000DD2F0000}"/>
    <cellStyle name="Input 2 6 2 5 5 4 2" xfId="29785" xr:uid="{00000000-0005-0000-0000-0000DE2F0000}"/>
    <cellStyle name="Input 2 6 2 5 5 4 3" xfId="40630" xr:uid="{00000000-0005-0000-0000-0000DF2F0000}"/>
    <cellStyle name="Input 2 6 2 5 5 4 4" xfId="18974" xr:uid="{00000000-0005-0000-0000-0000E02F0000}"/>
    <cellStyle name="Input 2 6 2 5 5 5" xfId="21609" xr:uid="{00000000-0005-0000-0000-0000E12F0000}"/>
    <cellStyle name="Input 2 6 2 5 5 6" xfId="32454" xr:uid="{00000000-0005-0000-0000-0000E22F0000}"/>
    <cellStyle name="Input 2 6 2 5 5 7" xfId="13120" xr:uid="{00000000-0005-0000-0000-0000E32F0000}"/>
    <cellStyle name="Input 2 6 2 5 6" xfId="3017" xr:uid="{00000000-0005-0000-0000-0000E42F0000}"/>
    <cellStyle name="Input 2 6 2 5 6 2" xfId="5868" xr:uid="{00000000-0005-0000-0000-0000E52F0000}"/>
    <cellStyle name="Input 2 6 2 5 6 2 2" xfId="24840" xr:uid="{00000000-0005-0000-0000-0000E62F0000}"/>
    <cellStyle name="Input 2 6 2 5 6 2 3" xfId="35685" xr:uid="{00000000-0005-0000-0000-0000E72F0000}"/>
    <cellStyle name="Input 2 6 2 5 6 2 4" xfId="15433" xr:uid="{00000000-0005-0000-0000-0000E82F0000}"/>
    <cellStyle name="Input 2 6 2 5 6 3" xfId="8539" xr:uid="{00000000-0005-0000-0000-0000E92F0000}"/>
    <cellStyle name="Input 2 6 2 5 6 3 2" xfId="27511" xr:uid="{00000000-0005-0000-0000-0000EA2F0000}"/>
    <cellStyle name="Input 2 6 2 5 6 3 3" xfId="38356" xr:uid="{00000000-0005-0000-0000-0000EB2F0000}"/>
    <cellStyle name="Input 2 6 2 5 6 3 4" xfId="17346" xr:uid="{00000000-0005-0000-0000-0000EC2F0000}"/>
    <cellStyle name="Input 2 6 2 5 6 4" xfId="11198" xr:uid="{00000000-0005-0000-0000-0000ED2F0000}"/>
    <cellStyle name="Input 2 6 2 5 6 4 2" xfId="30170" xr:uid="{00000000-0005-0000-0000-0000EE2F0000}"/>
    <cellStyle name="Input 2 6 2 5 6 4 3" xfId="41015" xr:uid="{00000000-0005-0000-0000-0000EF2F0000}"/>
    <cellStyle name="Input 2 6 2 5 6 4 4" xfId="19250" xr:uid="{00000000-0005-0000-0000-0000F02F0000}"/>
    <cellStyle name="Input 2 6 2 5 6 5" xfId="21994" xr:uid="{00000000-0005-0000-0000-0000F12F0000}"/>
    <cellStyle name="Input 2 6 2 5 6 6" xfId="32839" xr:uid="{00000000-0005-0000-0000-0000F22F0000}"/>
    <cellStyle name="Input 2 6 2 5 6 7" xfId="13396" xr:uid="{00000000-0005-0000-0000-0000F32F0000}"/>
    <cellStyle name="Input 2 6 2 5 7" xfId="3706" xr:uid="{00000000-0005-0000-0000-0000F42F0000}"/>
    <cellStyle name="Input 2 6 2 5 7 2" xfId="22678" xr:uid="{00000000-0005-0000-0000-0000F52F0000}"/>
    <cellStyle name="Input 2 6 2 5 7 3" xfId="33523" xr:uid="{00000000-0005-0000-0000-0000F62F0000}"/>
    <cellStyle name="Input 2 6 2 5 7 4" xfId="13877" xr:uid="{00000000-0005-0000-0000-0000F72F0000}"/>
    <cellStyle name="Input 2 6 2 5 8" xfId="6381" xr:uid="{00000000-0005-0000-0000-0000F82F0000}"/>
    <cellStyle name="Input 2 6 2 5 8 2" xfId="25353" xr:uid="{00000000-0005-0000-0000-0000F92F0000}"/>
    <cellStyle name="Input 2 6 2 5 8 3" xfId="36198" xr:uid="{00000000-0005-0000-0000-0000FA2F0000}"/>
    <cellStyle name="Input 2 6 2 5 8 4" xfId="15793" xr:uid="{00000000-0005-0000-0000-0000FB2F0000}"/>
    <cellStyle name="Input 2 6 2 5 9" xfId="9040" xr:uid="{00000000-0005-0000-0000-0000FC2F0000}"/>
    <cellStyle name="Input 2 6 2 5 9 2" xfId="28012" xr:uid="{00000000-0005-0000-0000-0000FD2F0000}"/>
    <cellStyle name="Input 2 6 2 5 9 3" xfId="38857" xr:uid="{00000000-0005-0000-0000-0000FE2F0000}"/>
    <cellStyle name="Input 2 6 2 5 9 4" xfId="17697" xr:uid="{00000000-0005-0000-0000-0000FF2F0000}"/>
    <cellStyle name="Input 2 6 2 6" xfId="1073" xr:uid="{00000000-0005-0000-0000-000000300000}"/>
    <cellStyle name="Input 2 6 2 6 2" xfId="3926" xr:uid="{00000000-0005-0000-0000-000001300000}"/>
    <cellStyle name="Input 2 6 2 6 2 2" xfId="22898" xr:uid="{00000000-0005-0000-0000-000002300000}"/>
    <cellStyle name="Input 2 6 2 6 2 3" xfId="33743" xr:uid="{00000000-0005-0000-0000-000003300000}"/>
    <cellStyle name="Input 2 6 2 6 2 4" xfId="14039" xr:uid="{00000000-0005-0000-0000-000004300000}"/>
    <cellStyle name="Input 2 6 2 6 3" xfId="6600" xr:uid="{00000000-0005-0000-0000-000005300000}"/>
    <cellStyle name="Input 2 6 2 6 3 2" xfId="25572" xr:uid="{00000000-0005-0000-0000-000006300000}"/>
    <cellStyle name="Input 2 6 2 6 3 3" xfId="36417" xr:uid="{00000000-0005-0000-0000-000007300000}"/>
    <cellStyle name="Input 2 6 2 6 3 4" xfId="15955" xr:uid="{00000000-0005-0000-0000-000008300000}"/>
    <cellStyle name="Input 2 6 2 6 4" xfId="9259" xr:uid="{00000000-0005-0000-0000-000009300000}"/>
    <cellStyle name="Input 2 6 2 6 4 2" xfId="28231" xr:uid="{00000000-0005-0000-0000-00000A300000}"/>
    <cellStyle name="Input 2 6 2 6 4 3" xfId="39076" xr:uid="{00000000-0005-0000-0000-00000B300000}"/>
    <cellStyle name="Input 2 6 2 6 4 4" xfId="17859" xr:uid="{00000000-0005-0000-0000-00000C300000}"/>
    <cellStyle name="Input 2 6 2 6 5" xfId="20055" xr:uid="{00000000-0005-0000-0000-00000D300000}"/>
    <cellStyle name="Input 2 6 2 6 6" xfId="30900" xr:uid="{00000000-0005-0000-0000-00000E300000}"/>
    <cellStyle name="Input 2 6 2 6 7" xfId="12005" xr:uid="{00000000-0005-0000-0000-00000F300000}"/>
    <cellStyle name="Input 2 6 2 7" xfId="999" xr:uid="{00000000-0005-0000-0000-000010300000}"/>
    <cellStyle name="Input 2 6 2 7 2" xfId="3852" xr:uid="{00000000-0005-0000-0000-000011300000}"/>
    <cellStyle name="Input 2 6 2 7 2 2" xfId="22824" xr:uid="{00000000-0005-0000-0000-000012300000}"/>
    <cellStyle name="Input 2 6 2 7 2 3" xfId="33669" xr:uid="{00000000-0005-0000-0000-000013300000}"/>
    <cellStyle name="Input 2 6 2 7 2 4" xfId="13981" xr:uid="{00000000-0005-0000-0000-000014300000}"/>
    <cellStyle name="Input 2 6 2 7 3" xfId="6527" xr:uid="{00000000-0005-0000-0000-000015300000}"/>
    <cellStyle name="Input 2 6 2 7 3 2" xfId="25499" xr:uid="{00000000-0005-0000-0000-000016300000}"/>
    <cellStyle name="Input 2 6 2 7 3 3" xfId="36344" xr:uid="{00000000-0005-0000-0000-000017300000}"/>
    <cellStyle name="Input 2 6 2 7 3 4" xfId="15897" xr:uid="{00000000-0005-0000-0000-000018300000}"/>
    <cellStyle name="Input 2 6 2 7 4" xfId="9186" xr:uid="{00000000-0005-0000-0000-000019300000}"/>
    <cellStyle name="Input 2 6 2 7 4 2" xfId="28158" xr:uid="{00000000-0005-0000-0000-00001A300000}"/>
    <cellStyle name="Input 2 6 2 7 4 3" xfId="39003" xr:uid="{00000000-0005-0000-0000-00001B300000}"/>
    <cellStyle name="Input 2 6 2 7 4 4" xfId="17801" xr:uid="{00000000-0005-0000-0000-00001C300000}"/>
    <cellStyle name="Input 2 6 2 7 5" xfId="19982" xr:uid="{00000000-0005-0000-0000-00001D300000}"/>
    <cellStyle name="Input 2 6 2 7 6" xfId="30827" xr:uid="{00000000-0005-0000-0000-00001E300000}"/>
    <cellStyle name="Input 2 6 2 7 7" xfId="11947" xr:uid="{00000000-0005-0000-0000-00001F300000}"/>
    <cellStyle name="Input 2 6 2 8" xfId="978" xr:uid="{00000000-0005-0000-0000-000020300000}"/>
    <cellStyle name="Input 2 6 2 8 2" xfId="3831" xr:uid="{00000000-0005-0000-0000-000021300000}"/>
    <cellStyle name="Input 2 6 2 8 2 2" xfId="22803" xr:uid="{00000000-0005-0000-0000-000022300000}"/>
    <cellStyle name="Input 2 6 2 8 2 3" xfId="33648" xr:uid="{00000000-0005-0000-0000-000023300000}"/>
    <cellStyle name="Input 2 6 2 8 2 4" xfId="13969" xr:uid="{00000000-0005-0000-0000-000024300000}"/>
    <cellStyle name="Input 2 6 2 8 3" xfId="6506" xr:uid="{00000000-0005-0000-0000-000025300000}"/>
    <cellStyle name="Input 2 6 2 8 3 2" xfId="25478" xr:uid="{00000000-0005-0000-0000-000026300000}"/>
    <cellStyle name="Input 2 6 2 8 3 3" xfId="36323" xr:uid="{00000000-0005-0000-0000-000027300000}"/>
    <cellStyle name="Input 2 6 2 8 3 4" xfId="15885" xr:uid="{00000000-0005-0000-0000-000028300000}"/>
    <cellStyle name="Input 2 6 2 8 4" xfId="9165" xr:uid="{00000000-0005-0000-0000-000029300000}"/>
    <cellStyle name="Input 2 6 2 8 4 2" xfId="28137" xr:uid="{00000000-0005-0000-0000-00002A300000}"/>
    <cellStyle name="Input 2 6 2 8 4 3" xfId="38982" xr:uid="{00000000-0005-0000-0000-00002B300000}"/>
    <cellStyle name="Input 2 6 2 8 4 4" xfId="17789" xr:uid="{00000000-0005-0000-0000-00002C300000}"/>
    <cellStyle name="Input 2 6 2 8 5" xfId="19961" xr:uid="{00000000-0005-0000-0000-00002D300000}"/>
    <cellStyle name="Input 2 6 2 8 6" xfId="30806" xr:uid="{00000000-0005-0000-0000-00002E300000}"/>
    <cellStyle name="Input 2 6 2 8 7" xfId="11935" xr:uid="{00000000-0005-0000-0000-00002F300000}"/>
    <cellStyle name="Input 2 6 2 9" xfId="1034" xr:uid="{00000000-0005-0000-0000-000030300000}"/>
    <cellStyle name="Input 2 6 2 9 2" xfId="3887" xr:uid="{00000000-0005-0000-0000-000031300000}"/>
    <cellStyle name="Input 2 6 2 9 2 2" xfId="22859" xr:uid="{00000000-0005-0000-0000-000032300000}"/>
    <cellStyle name="Input 2 6 2 9 2 3" xfId="33704" xr:uid="{00000000-0005-0000-0000-000033300000}"/>
    <cellStyle name="Input 2 6 2 9 2 4" xfId="14006" xr:uid="{00000000-0005-0000-0000-000034300000}"/>
    <cellStyle name="Input 2 6 2 9 3" xfId="6561" xr:uid="{00000000-0005-0000-0000-000035300000}"/>
    <cellStyle name="Input 2 6 2 9 3 2" xfId="25533" xr:uid="{00000000-0005-0000-0000-000036300000}"/>
    <cellStyle name="Input 2 6 2 9 3 3" xfId="36378" xr:uid="{00000000-0005-0000-0000-000037300000}"/>
    <cellStyle name="Input 2 6 2 9 3 4" xfId="15922" xr:uid="{00000000-0005-0000-0000-000038300000}"/>
    <cellStyle name="Input 2 6 2 9 4" xfId="9220" xr:uid="{00000000-0005-0000-0000-000039300000}"/>
    <cellStyle name="Input 2 6 2 9 4 2" xfId="28192" xr:uid="{00000000-0005-0000-0000-00003A300000}"/>
    <cellStyle name="Input 2 6 2 9 4 3" xfId="39037" xr:uid="{00000000-0005-0000-0000-00003B300000}"/>
    <cellStyle name="Input 2 6 2 9 4 4" xfId="17826" xr:uid="{00000000-0005-0000-0000-00003C300000}"/>
    <cellStyle name="Input 2 6 2 9 5" xfId="20016" xr:uid="{00000000-0005-0000-0000-00003D300000}"/>
    <cellStyle name="Input 2 6 2 9 6" xfId="30861" xr:uid="{00000000-0005-0000-0000-00003E300000}"/>
    <cellStyle name="Input 2 6 2 9 7" xfId="11972" xr:uid="{00000000-0005-0000-0000-00003F300000}"/>
    <cellStyle name="Input 2 6 3" xfId="555" xr:uid="{00000000-0005-0000-0000-000040300000}"/>
    <cellStyle name="Input 2 6 3 10" xfId="19565" xr:uid="{00000000-0005-0000-0000-000041300000}"/>
    <cellStyle name="Input 2 6 3 11" xfId="30410" xr:uid="{00000000-0005-0000-0000-000042300000}"/>
    <cellStyle name="Input 2 6 3 12" xfId="11629" xr:uid="{00000000-0005-0000-0000-000043300000}"/>
    <cellStyle name="Input 2 6 3 2" xfId="1161" xr:uid="{00000000-0005-0000-0000-000044300000}"/>
    <cellStyle name="Input 2 6 3 2 2" xfId="4014" xr:uid="{00000000-0005-0000-0000-000045300000}"/>
    <cellStyle name="Input 2 6 3 2 2 2" xfId="22986" xr:uid="{00000000-0005-0000-0000-000046300000}"/>
    <cellStyle name="Input 2 6 3 2 2 3" xfId="33831" xr:uid="{00000000-0005-0000-0000-000047300000}"/>
    <cellStyle name="Input 2 6 3 2 2 4" xfId="14106" xr:uid="{00000000-0005-0000-0000-000048300000}"/>
    <cellStyle name="Input 2 6 3 2 3" xfId="6687" xr:uid="{00000000-0005-0000-0000-000049300000}"/>
    <cellStyle name="Input 2 6 3 2 3 2" xfId="25659" xr:uid="{00000000-0005-0000-0000-00004A300000}"/>
    <cellStyle name="Input 2 6 3 2 3 3" xfId="36504" xr:uid="{00000000-0005-0000-0000-00004B300000}"/>
    <cellStyle name="Input 2 6 3 2 3 4" xfId="16021" xr:uid="{00000000-0005-0000-0000-00004C300000}"/>
    <cellStyle name="Input 2 6 3 2 4" xfId="9346" xr:uid="{00000000-0005-0000-0000-00004D300000}"/>
    <cellStyle name="Input 2 6 3 2 4 2" xfId="28318" xr:uid="{00000000-0005-0000-0000-00004E300000}"/>
    <cellStyle name="Input 2 6 3 2 4 3" xfId="39163" xr:uid="{00000000-0005-0000-0000-00004F300000}"/>
    <cellStyle name="Input 2 6 3 2 4 4" xfId="17925" xr:uid="{00000000-0005-0000-0000-000050300000}"/>
    <cellStyle name="Input 2 6 3 2 5" xfId="20142" xr:uid="{00000000-0005-0000-0000-000051300000}"/>
    <cellStyle name="Input 2 6 3 2 6" xfId="30987" xr:uid="{00000000-0005-0000-0000-000052300000}"/>
    <cellStyle name="Input 2 6 3 2 7" xfId="12071" xr:uid="{00000000-0005-0000-0000-000053300000}"/>
    <cellStyle name="Input 2 6 3 3" xfId="1558" xr:uid="{00000000-0005-0000-0000-000054300000}"/>
    <cellStyle name="Input 2 6 3 3 2" xfId="4411" xr:uid="{00000000-0005-0000-0000-000055300000}"/>
    <cellStyle name="Input 2 6 3 3 2 2" xfId="23383" xr:uid="{00000000-0005-0000-0000-000056300000}"/>
    <cellStyle name="Input 2 6 3 3 2 3" xfId="34228" xr:uid="{00000000-0005-0000-0000-000057300000}"/>
    <cellStyle name="Input 2 6 3 3 2 4" xfId="14392" xr:uid="{00000000-0005-0000-0000-000058300000}"/>
    <cellStyle name="Input 2 6 3 3 3" xfId="7083" xr:uid="{00000000-0005-0000-0000-000059300000}"/>
    <cellStyle name="Input 2 6 3 3 3 2" xfId="26055" xr:uid="{00000000-0005-0000-0000-00005A300000}"/>
    <cellStyle name="Input 2 6 3 3 3 3" xfId="36900" xr:uid="{00000000-0005-0000-0000-00005B300000}"/>
    <cellStyle name="Input 2 6 3 3 3 4" xfId="16306" xr:uid="{00000000-0005-0000-0000-00005C300000}"/>
    <cellStyle name="Input 2 6 3 3 4" xfId="9742" xr:uid="{00000000-0005-0000-0000-00005D300000}"/>
    <cellStyle name="Input 2 6 3 3 4 2" xfId="28714" xr:uid="{00000000-0005-0000-0000-00005E300000}"/>
    <cellStyle name="Input 2 6 3 3 4 3" xfId="39559" xr:uid="{00000000-0005-0000-0000-00005F300000}"/>
    <cellStyle name="Input 2 6 3 3 4 4" xfId="18210" xr:uid="{00000000-0005-0000-0000-000060300000}"/>
    <cellStyle name="Input 2 6 3 3 5" xfId="20538" xr:uid="{00000000-0005-0000-0000-000061300000}"/>
    <cellStyle name="Input 2 6 3 3 6" xfId="31383" xr:uid="{00000000-0005-0000-0000-000062300000}"/>
    <cellStyle name="Input 2 6 3 3 7" xfId="12356" xr:uid="{00000000-0005-0000-0000-000063300000}"/>
    <cellStyle name="Input 2 6 3 4" xfId="1962" xr:uid="{00000000-0005-0000-0000-000064300000}"/>
    <cellStyle name="Input 2 6 3 4 2" xfId="4815" xr:uid="{00000000-0005-0000-0000-000065300000}"/>
    <cellStyle name="Input 2 6 3 4 2 2" xfId="23787" xr:uid="{00000000-0005-0000-0000-000066300000}"/>
    <cellStyle name="Input 2 6 3 4 2 3" xfId="34632" xr:uid="{00000000-0005-0000-0000-000067300000}"/>
    <cellStyle name="Input 2 6 3 4 2 4" xfId="14680" xr:uid="{00000000-0005-0000-0000-000068300000}"/>
    <cellStyle name="Input 2 6 3 4 3" xfId="7487" xr:uid="{00000000-0005-0000-0000-000069300000}"/>
    <cellStyle name="Input 2 6 3 4 3 2" xfId="26459" xr:uid="{00000000-0005-0000-0000-00006A300000}"/>
    <cellStyle name="Input 2 6 3 4 3 3" xfId="37304" xr:uid="{00000000-0005-0000-0000-00006B300000}"/>
    <cellStyle name="Input 2 6 3 4 3 4" xfId="16594" xr:uid="{00000000-0005-0000-0000-00006C300000}"/>
    <cellStyle name="Input 2 6 3 4 4" xfId="10146" xr:uid="{00000000-0005-0000-0000-00006D300000}"/>
    <cellStyle name="Input 2 6 3 4 4 2" xfId="29118" xr:uid="{00000000-0005-0000-0000-00006E300000}"/>
    <cellStyle name="Input 2 6 3 4 4 3" xfId="39963" xr:uid="{00000000-0005-0000-0000-00006F300000}"/>
    <cellStyle name="Input 2 6 3 4 4 4" xfId="18498" xr:uid="{00000000-0005-0000-0000-000070300000}"/>
    <cellStyle name="Input 2 6 3 4 5" xfId="20942" xr:uid="{00000000-0005-0000-0000-000071300000}"/>
    <cellStyle name="Input 2 6 3 4 6" xfId="31787" xr:uid="{00000000-0005-0000-0000-000072300000}"/>
    <cellStyle name="Input 2 6 3 4 7" xfId="12644" xr:uid="{00000000-0005-0000-0000-000073300000}"/>
    <cellStyle name="Input 2 6 3 5" xfId="2354" xr:uid="{00000000-0005-0000-0000-000074300000}"/>
    <cellStyle name="Input 2 6 3 5 2" xfId="5207" xr:uid="{00000000-0005-0000-0000-000075300000}"/>
    <cellStyle name="Input 2 6 3 5 2 2" xfId="24179" xr:uid="{00000000-0005-0000-0000-000076300000}"/>
    <cellStyle name="Input 2 6 3 5 2 3" xfId="35024" xr:uid="{00000000-0005-0000-0000-000077300000}"/>
    <cellStyle name="Input 2 6 3 5 2 4" xfId="14961" xr:uid="{00000000-0005-0000-0000-000078300000}"/>
    <cellStyle name="Input 2 6 3 5 3" xfId="7878" xr:uid="{00000000-0005-0000-0000-000079300000}"/>
    <cellStyle name="Input 2 6 3 5 3 2" xfId="26850" xr:uid="{00000000-0005-0000-0000-00007A300000}"/>
    <cellStyle name="Input 2 6 3 5 3 3" xfId="37695" xr:uid="{00000000-0005-0000-0000-00007B300000}"/>
    <cellStyle name="Input 2 6 3 5 3 4" xfId="16874" xr:uid="{00000000-0005-0000-0000-00007C300000}"/>
    <cellStyle name="Input 2 6 3 5 4" xfId="10537" xr:uid="{00000000-0005-0000-0000-00007D300000}"/>
    <cellStyle name="Input 2 6 3 5 4 2" xfId="29509" xr:uid="{00000000-0005-0000-0000-00007E300000}"/>
    <cellStyle name="Input 2 6 3 5 4 3" xfId="40354" xr:uid="{00000000-0005-0000-0000-00007F300000}"/>
    <cellStyle name="Input 2 6 3 5 4 4" xfId="18778" xr:uid="{00000000-0005-0000-0000-000080300000}"/>
    <cellStyle name="Input 2 6 3 5 5" xfId="21333" xr:uid="{00000000-0005-0000-0000-000081300000}"/>
    <cellStyle name="Input 2 6 3 5 6" xfId="32178" xr:uid="{00000000-0005-0000-0000-000082300000}"/>
    <cellStyle name="Input 2 6 3 5 7" xfId="12924" xr:uid="{00000000-0005-0000-0000-000083300000}"/>
    <cellStyle name="Input 2 6 3 6" xfId="2743" xr:uid="{00000000-0005-0000-0000-000084300000}"/>
    <cellStyle name="Input 2 6 3 6 2" xfId="5595" xr:uid="{00000000-0005-0000-0000-000085300000}"/>
    <cellStyle name="Input 2 6 3 6 2 2" xfId="24567" xr:uid="{00000000-0005-0000-0000-000086300000}"/>
    <cellStyle name="Input 2 6 3 6 2 3" xfId="35412" xr:uid="{00000000-0005-0000-0000-000087300000}"/>
    <cellStyle name="Input 2 6 3 6 2 4" xfId="15239" xr:uid="{00000000-0005-0000-0000-000088300000}"/>
    <cellStyle name="Input 2 6 3 6 3" xfId="8266" xr:uid="{00000000-0005-0000-0000-000089300000}"/>
    <cellStyle name="Input 2 6 3 6 3 2" xfId="27238" xr:uid="{00000000-0005-0000-0000-00008A300000}"/>
    <cellStyle name="Input 2 6 3 6 3 3" xfId="38083" xr:uid="{00000000-0005-0000-0000-00008B300000}"/>
    <cellStyle name="Input 2 6 3 6 3 4" xfId="17152" xr:uid="{00000000-0005-0000-0000-00008C300000}"/>
    <cellStyle name="Input 2 6 3 6 4" xfId="10925" xr:uid="{00000000-0005-0000-0000-00008D300000}"/>
    <cellStyle name="Input 2 6 3 6 4 2" xfId="29897" xr:uid="{00000000-0005-0000-0000-00008E300000}"/>
    <cellStyle name="Input 2 6 3 6 4 3" xfId="40742" xr:uid="{00000000-0005-0000-0000-00008F300000}"/>
    <cellStyle name="Input 2 6 3 6 4 4" xfId="19056" xr:uid="{00000000-0005-0000-0000-000090300000}"/>
    <cellStyle name="Input 2 6 3 6 5" xfId="21721" xr:uid="{00000000-0005-0000-0000-000091300000}"/>
    <cellStyle name="Input 2 6 3 6 6" xfId="32566" xr:uid="{00000000-0005-0000-0000-000092300000}"/>
    <cellStyle name="Input 2 6 3 6 7" xfId="13202" xr:uid="{00000000-0005-0000-0000-000093300000}"/>
    <cellStyle name="Input 2 6 3 7" xfId="3434" xr:uid="{00000000-0005-0000-0000-000094300000}"/>
    <cellStyle name="Input 2 6 3 7 2" xfId="22406" xr:uid="{00000000-0005-0000-0000-000095300000}"/>
    <cellStyle name="Input 2 6 3 7 3" xfId="33251" xr:uid="{00000000-0005-0000-0000-000096300000}"/>
    <cellStyle name="Input 2 6 3 7 4" xfId="13684" xr:uid="{00000000-0005-0000-0000-000097300000}"/>
    <cellStyle name="Input 2 6 3 8" xfId="6110" xr:uid="{00000000-0005-0000-0000-000098300000}"/>
    <cellStyle name="Input 2 6 3 8 2" xfId="25082" xr:uid="{00000000-0005-0000-0000-000099300000}"/>
    <cellStyle name="Input 2 6 3 8 3" xfId="35927" xr:uid="{00000000-0005-0000-0000-00009A300000}"/>
    <cellStyle name="Input 2 6 3 8 4" xfId="15601" xr:uid="{00000000-0005-0000-0000-00009B300000}"/>
    <cellStyle name="Input 2 6 3 9" xfId="8769" xr:uid="{00000000-0005-0000-0000-00009C300000}"/>
    <cellStyle name="Input 2 6 3 9 2" xfId="27741" xr:uid="{00000000-0005-0000-0000-00009D300000}"/>
    <cellStyle name="Input 2 6 3 9 3" xfId="38586" xr:uid="{00000000-0005-0000-0000-00009E300000}"/>
    <cellStyle name="Input 2 6 3 9 4" xfId="17505" xr:uid="{00000000-0005-0000-0000-00009F300000}"/>
    <cellStyle name="Input 2 6 4" xfId="11453" xr:uid="{00000000-0005-0000-0000-0000A0300000}"/>
    <cellStyle name="Input 2 7" xfId="102" xr:uid="{00000000-0005-0000-0000-0000A1300000}"/>
    <cellStyle name="Input 2 7 2" xfId="372" xr:uid="{00000000-0005-0000-0000-0000A2300000}"/>
    <cellStyle name="Input 2 7 2 10" xfId="1916" xr:uid="{00000000-0005-0000-0000-0000A3300000}"/>
    <cellStyle name="Input 2 7 2 10 2" xfId="4769" xr:uid="{00000000-0005-0000-0000-0000A4300000}"/>
    <cellStyle name="Input 2 7 2 10 2 2" xfId="23741" xr:uid="{00000000-0005-0000-0000-0000A5300000}"/>
    <cellStyle name="Input 2 7 2 10 2 3" xfId="34586" xr:uid="{00000000-0005-0000-0000-0000A6300000}"/>
    <cellStyle name="Input 2 7 2 10 2 4" xfId="14645" xr:uid="{00000000-0005-0000-0000-0000A7300000}"/>
    <cellStyle name="Input 2 7 2 10 3" xfId="7441" xr:uid="{00000000-0005-0000-0000-0000A8300000}"/>
    <cellStyle name="Input 2 7 2 10 3 2" xfId="26413" xr:uid="{00000000-0005-0000-0000-0000A9300000}"/>
    <cellStyle name="Input 2 7 2 10 3 3" xfId="37258" xr:uid="{00000000-0005-0000-0000-0000AA300000}"/>
    <cellStyle name="Input 2 7 2 10 3 4" xfId="16559" xr:uid="{00000000-0005-0000-0000-0000AB300000}"/>
    <cellStyle name="Input 2 7 2 10 4" xfId="10100" xr:uid="{00000000-0005-0000-0000-0000AC300000}"/>
    <cellStyle name="Input 2 7 2 10 4 2" xfId="29072" xr:uid="{00000000-0005-0000-0000-0000AD300000}"/>
    <cellStyle name="Input 2 7 2 10 4 3" xfId="39917" xr:uid="{00000000-0005-0000-0000-0000AE300000}"/>
    <cellStyle name="Input 2 7 2 10 4 4" xfId="18463" xr:uid="{00000000-0005-0000-0000-0000AF300000}"/>
    <cellStyle name="Input 2 7 2 10 5" xfId="20896" xr:uid="{00000000-0005-0000-0000-0000B0300000}"/>
    <cellStyle name="Input 2 7 2 10 6" xfId="31741" xr:uid="{00000000-0005-0000-0000-0000B1300000}"/>
    <cellStyle name="Input 2 7 2 10 7" xfId="12609" xr:uid="{00000000-0005-0000-0000-0000B2300000}"/>
    <cellStyle name="Input 2 7 2 11" xfId="2310" xr:uid="{00000000-0005-0000-0000-0000B3300000}"/>
    <cellStyle name="Input 2 7 2 11 2" xfId="5163" xr:uid="{00000000-0005-0000-0000-0000B4300000}"/>
    <cellStyle name="Input 2 7 2 11 2 2" xfId="24135" xr:uid="{00000000-0005-0000-0000-0000B5300000}"/>
    <cellStyle name="Input 2 7 2 11 2 3" xfId="34980" xr:uid="{00000000-0005-0000-0000-0000B6300000}"/>
    <cellStyle name="Input 2 7 2 11 2 4" xfId="14927" xr:uid="{00000000-0005-0000-0000-0000B7300000}"/>
    <cellStyle name="Input 2 7 2 11 3" xfId="7834" xr:uid="{00000000-0005-0000-0000-0000B8300000}"/>
    <cellStyle name="Input 2 7 2 11 3 2" xfId="26806" xr:uid="{00000000-0005-0000-0000-0000B9300000}"/>
    <cellStyle name="Input 2 7 2 11 3 3" xfId="37651" xr:uid="{00000000-0005-0000-0000-0000BA300000}"/>
    <cellStyle name="Input 2 7 2 11 3 4" xfId="16840" xr:uid="{00000000-0005-0000-0000-0000BB300000}"/>
    <cellStyle name="Input 2 7 2 11 4" xfId="10493" xr:uid="{00000000-0005-0000-0000-0000BC300000}"/>
    <cellStyle name="Input 2 7 2 11 4 2" xfId="29465" xr:uid="{00000000-0005-0000-0000-0000BD300000}"/>
    <cellStyle name="Input 2 7 2 11 4 3" xfId="40310" xr:uid="{00000000-0005-0000-0000-0000BE300000}"/>
    <cellStyle name="Input 2 7 2 11 4 4" xfId="18744" xr:uid="{00000000-0005-0000-0000-0000BF300000}"/>
    <cellStyle name="Input 2 7 2 11 5" xfId="21289" xr:uid="{00000000-0005-0000-0000-0000C0300000}"/>
    <cellStyle name="Input 2 7 2 11 6" xfId="32134" xr:uid="{00000000-0005-0000-0000-0000C1300000}"/>
    <cellStyle name="Input 2 7 2 11 7" xfId="12890" xr:uid="{00000000-0005-0000-0000-0000C2300000}"/>
    <cellStyle name="Input 2 7 2 12" xfId="3108" xr:uid="{00000000-0005-0000-0000-0000C3300000}"/>
    <cellStyle name="Input 2 7 2 12 2" xfId="5959" xr:uid="{00000000-0005-0000-0000-0000C4300000}"/>
    <cellStyle name="Input 2 7 2 12 2 2" xfId="24931" xr:uid="{00000000-0005-0000-0000-0000C5300000}"/>
    <cellStyle name="Input 2 7 2 12 2 3" xfId="35776" xr:uid="{00000000-0005-0000-0000-0000C6300000}"/>
    <cellStyle name="Input 2 7 2 12 2 4" xfId="15494" xr:uid="{00000000-0005-0000-0000-0000C7300000}"/>
    <cellStyle name="Input 2 7 2 12 3" xfId="8630" xr:uid="{00000000-0005-0000-0000-0000C8300000}"/>
    <cellStyle name="Input 2 7 2 12 3 2" xfId="27602" xr:uid="{00000000-0005-0000-0000-0000C9300000}"/>
    <cellStyle name="Input 2 7 2 12 3 3" xfId="38447" xr:uid="{00000000-0005-0000-0000-0000CA300000}"/>
    <cellStyle name="Input 2 7 2 12 3 4" xfId="17407" xr:uid="{00000000-0005-0000-0000-0000CB300000}"/>
    <cellStyle name="Input 2 7 2 12 4" xfId="11289" xr:uid="{00000000-0005-0000-0000-0000CC300000}"/>
    <cellStyle name="Input 2 7 2 12 4 2" xfId="30261" xr:uid="{00000000-0005-0000-0000-0000CD300000}"/>
    <cellStyle name="Input 2 7 2 12 4 3" xfId="41106" xr:uid="{00000000-0005-0000-0000-0000CE300000}"/>
    <cellStyle name="Input 2 7 2 12 4 4" xfId="19311" xr:uid="{00000000-0005-0000-0000-0000CF300000}"/>
    <cellStyle name="Input 2 7 2 12 5" xfId="22085" xr:uid="{00000000-0005-0000-0000-0000D0300000}"/>
    <cellStyle name="Input 2 7 2 12 6" xfId="32930" xr:uid="{00000000-0005-0000-0000-0000D1300000}"/>
    <cellStyle name="Input 2 7 2 12 7" xfId="13457" xr:uid="{00000000-0005-0000-0000-0000D2300000}"/>
    <cellStyle name="Input 2 7 2 13" xfId="3165" xr:uid="{00000000-0005-0000-0000-0000D3300000}"/>
    <cellStyle name="Input 2 7 2 13 2" xfId="6016" xr:uid="{00000000-0005-0000-0000-0000D4300000}"/>
    <cellStyle name="Input 2 7 2 13 2 2" xfId="24988" xr:uid="{00000000-0005-0000-0000-0000D5300000}"/>
    <cellStyle name="Input 2 7 2 13 2 3" xfId="35833" xr:uid="{00000000-0005-0000-0000-0000D6300000}"/>
    <cellStyle name="Input 2 7 2 13 2 4" xfId="15531" xr:uid="{00000000-0005-0000-0000-0000D7300000}"/>
    <cellStyle name="Input 2 7 2 13 3" xfId="8687" xr:uid="{00000000-0005-0000-0000-0000D8300000}"/>
    <cellStyle name="Input 2 7 2 13 3 2" xfId="27659" xr:uid="{00000000-0005-0000-0000-0000D9300000}"/>
    <cellStyle name="Input 2 7 2 13 3 3" xfId="38504" xr:uid="{00000000-0005-0000-0000-0000DA300000}"/>
    <cellStyle name="Input 2 7 2 13 3 4" xfId="17444" xr:uid="{00000000-0005-0000-0000-0000DB300000}"/>
    <cellStyle name="Input 2 7 2 13 4" xfId="11346" xr:uid="{00000000-0005-0000-0000-0000DC300000}"/>
    <cellStyle name="Input 2 7 2 13 4 2" xfId="30318" xr:uid="{00000000-0005-0000-0000-0000DD300000}"/>
    <cellStyle name="Input 2 7 2 13 4 3" xfId="41163" xr:uid="{00000000-0005-0000-0000-0000DE300000}"/>
    <cellStyle name="Input 2 7 2 13 4 4" xfId="19348" xr:uid="{00000000-0005-0000-0000-0000DF300000}"/>
    <cellStyle name="Input 2 7 2 13 5" xfId="22142" xr:uid="{00000000-0005-0000-0000-0000E0300000}"/>
    <cellStyle name="Input 2 7 2 13 6" xfId="32987" xr:uid="{00000000-0005-0000-0000-0000E1300000}"/>
    <cellStyle name="Input 2 7 2 13 7" xfId="13494" xr:uid="{00000000-0005-0000-0000-0000E2300000}"/>
    <cellStyle name="Input 2 7 2 14" xfId="3331" xr:uid="{00000000-0005-0000-0000-0000E3300000}"/>
    <cellStyle name="Input 2 7 2 14 2" xfId="22305" xr:uid="{00000000-0005-0000-0000-0000E4300000}"/>
    <cellStyle name="Input 2 7 2 14 3" xfId="33150" xr:uid="{00000000-0005-0000-0000-0000E5300000}"/>
    <cellStyle name="Input 2 7 2 14 4" xfId="13611" xr:uid="{00000000-0005-0000-0000-0000E6300000}"/>
    <cellStyle name="Input 2 7 2 15" xfId="3301" xr:uid="{00000000-0005-0000-0000-0000E7300000}"/>
    <cellStyle name="Input 2 7 2 15 2" xfId="22275" xr:uid="{00000000-0005-0000-0000-0000E8300000}"/>
    <cellStyle name="Input 2 7 2 15 3" xfId="33120" xr:uid="{00000000-0005-0000-0000-0000E9300000}"/>
    <cellStyle name="Input 2 7 2 15 4" xfId="13588" xr:uid="{00000000-0005-0000-0000-0000EA300000}"/>
    <cellStyle name="Input 2 7 2 16" xfId="3221" xr:uid="{00000000-0005-0000-0000-0000EB300000}"/>
    <cellStyle name="Input 2 7 2 16 2" xfId="22198" xr:uid="{00000000-0005-0000-0000-0000EC300000}"/>
    <cellStyle name="Input 2 7 2 16 3" xfId="33043" xr:uid="{00000000-0005-0000-0000-0000ED300000}"/>
    <cellStyle name="Input 2 7 2 16 4" xfId="13529" xr:uid="{00000000-0005-0000-0000-0000EE300000}"/>
    <cellStyle name="Input 2 7 2 17" xfId="19462" xr:uid="{00000000-0005-0000-0000-0000EF300000}"/>
    <cellStyle name="Input 2 7 2 18" xfId="19435" xr:uid="{00000000-0005-0000-0000-0000F0300000}"/>
    <cellStyle name="Input 2 7 2 19" xfId="11521" xr:uid="{00000000-0005-0000-0000-0000F1300000}"/>
    <cellStyle name="Input 2 7 2 2" xfId="673" xr:uid="{00000000-0005-0000-0000-0000F2300000}"/>
    <cellStyle name="Input 2 7 2 2 10" xfId="19658" xr:uid="{00000000-0005-0000-0000-0000F3300000}"/>
    <cellStyle name="Input 2 7 2 2 11" xfId="30503" xr:uid="{00000000-0005-0000-0000-0000F4300000}"/>
    <cellStyle name="Input 2 7 2 2 12" xfId="11725" xr:uid="{00000000-0005-0000-0000-0000F5300000}"/>
    <cellStyle name="Input 2 7 2 2 2" xfId="1260" xr:uid="{00000000-0005-0000-0000-0000F6300000}"/>
    <cellStyle name="Input 2 7 2 2 2 2" xfId="4113" xr:uid="{00000000-0005-0000-0000-0000F7300000}"/>
    <cellStyle name="Input 2 7 2 2 2 2 2" xfId="23085" xr:uid="{00000000-0005-0000-0000-0000F8300000}"/>
    <cellStyle name="Input 2 7 2 2 2 2 3" xfId="33930" xr:uid="{00000000-0005-0000-0000-0000F9300000}"/>
    <cellStyle name="Input 2 7 2 2 2 2 4" xfId="14186" xr:uid="{00000000-0005-0000-0000-0000FA300000}"/>
    <cellStyle name="Input 2 7 2 2 2 3" xfId="6786" xr:uid="{00000000-0005-0000-0000-0000FB300000}"/>
    <cellStyle name="Input 2 7 2 2 2 3 2" xfId="25758" xr:uid="{00000000-0005-0000-0000-0000FC300000}"/>
    <cellStyle name="Input 2 7 2 2 2 3 3" xfId="36603" xr:uid="{00000000-0005-0000-0000-0000FD300000}"/>
    <cellStyle name="Input 2 7 2 2 2 3 4" xfId="16101" xr:uid="{00000000-0005-0000-0000-0000FE300000}"/>
    <cellStyle name="Input 2 7 2 2 2 4" xfId="9445" xr:uid="{00000000-0005-0000-0000-0000FF300000}"/>
    <cellStyle name="Input 2 7 2 2 2 4 2" xfId="28417" xr:uid="{00000000-0005-0000-0000-000000310000}"/>
    <cellStyle name="Input 2 7 2 2 2 4 3" xfId="39262" xr:uid="{00000000-0005-0000-0000-000001310000}"/>
    <cellStyle name="Input 2 7 2 2 2 4 4" xfId="18005" xr:uid="{00000000-0005-0000-0000-000002310000}"/>
    <cellStyle name="Input 2 7 2 2 2 5" xfId="20241" xr:uid="{00000000-0005-0000-0000-000003310000}"/>
    <cellStyle name="Input 2 7 2 2 2 6" xfId="31086" xr:uid="{00000000-0005-0000-0000-000004310000}"/>
    <cellStyle name="Input 2 7 2 2 2 7" xfId="12151" xr:uid="{00000000-0005-0000-0000-000005310000}"/>
    <cellStyle name="Input 2 7 2 2 3" xfId="1659" xr:uid="{00000000-0005-0000-0000-000006310000}"/>
    <cellStyle name="Input 2 7 2 2 3 2" xfId="4512" xr:uid="{00000000-0005-0000-0000-000007310000}"/>
    <cellStyle name="Input 2 7 2 2 3 2 2" xfId="23484" xr:uid="{00000000-0005-0000-0000-000008310000}"/>
    <cellStyle name="Input 2 7 2 2 3 2 3" xfId="34329" xr:uid="{00000000-0005-0000-0000-000009310000}"/>
    <cellStyle name="Input 2 7 2 2 3 2 4" xfId="14473" xr:uid="{00000000-0005-0000-0000-00000A310000}"/>
    <cellStyle name="Input 2 7 2 2 3 3" xfId="7184" xr:uid="{00000000-0005-0000-0000-00000B310000}"/>
    <cellStyle name="Input 2 7 2 2 3 3 2" xfId="26156" xr:uid="{00000000-0005-0000-0000-00000C310000}"/>
    <cellStyle name="Input 2 7 2 2 3 3 3" xfId="37001" xr:uid="{00000000-0005-0000-0000-00000D310000}"/>
    <cellStyle name="Input 2 7 2 2 3 3 4" xfId="16387" xr:uid="{00000000-0005-0000-0000-00000E310000}"/>
    <cellStyle name="Input 2 7 2 2 3 4" xfId="9843" xr:uid="{00000000-0005-0000-0000-00000F310000}"/>
    <cellStyle name="Input 2 7 2 2 3 4 2" xfId="28815" xr:uid="{00000000-0005-0000-0000-000010310000}"/>
    <cellStyle name="Input 2 7 2 2 3 4 3" xfId="39660" xr:uid="{00000000-0005-0000-0000-000011310000}"/>
    <cellStyle name="Input 2 7 2 2 3 4 4" xfId="18291" xr:uid="{00000000-0005-0000-0000-000012310000}"/>
    <cellStyle name="Input 2 7 2 2 3 5" xfId="20639" xr:uid="{00000000-0005-0000-0000-000013310000}"/>
    <cellStyle name="Input 2 7 2 2 3 6" xfId="31484" xr:uid="{00000000-0005-0000-0000-000014310000}"/>
    <cellStyle name="Input 2 7 2 2 3 7" xfId="12437" xr:uid="{00000000-0005-0000-0000-000015310000}"/>
    <cellStyle name="Input 2 7 2 2 4" xfId="2063" xr:uid="{00000000-0005-0000-0000-000016310000}"/>
    <cellStyle name="Input 2 7 2 2 4 2" xfId="4916" xr:uid="{00000000-0005-0000-0000-000017310000}"/>
    <cellStyle name="Input 2 7 2 2 4 2 2" xfId="23888" xr:uid="{00000000-0005-0000-0000-000018310000}"/>
    <cellStyle name="Input 2 7 2 2 4 2 3" xfId="34733" xr:uid="{00000000-0005-0000-0000-000019310000}"/>
    <cellStyle name="Input 2 7 2 2 4 2 4" xfId="14760" xr:uid="{00000000-0005-0000-0000-00001A310000}"/>
    <cellStyle name="Input 2 7 2 2 4 3" xfId="7587" xr:uid="{00000000-0005-0000-0000-00001B310000}"/>
    <cellStyle name="Input 2 7 2 2 4 3 2" xfId="26559" xr:uid="{00000000-0005-0000-0000-00001C310000}"/>
    <cellStyle name="Input 2 7 2 2 4 3 3" xfId="37404" xr:uid="{00000000-0005-0000-0000-00001D310000}"/>
    <cellStyle name="Input 2 7 2 2 4 3 4" xfId="16673" xr:uid="{00000000-0005-0000-0000-00001E310000}"/>
    <cellStyle name="Input 2 7 2 2 4 4" xfId="10246" xr:uid="{00000000-0005-0000-0000-00001F310000}"/>
    <cellStyle name="Input 2 7 2 2 4 4 2" xfId="29218" xr:uid="{00000000-0005-0000-0000-000020310000}"/>
    <cellStyle name="Input 2 7 2 2 4 4 3" xfId="40063" xr:uid="{00000000-0005-0000-0000-000021310000}"/>
    <cellStyle name="Input 2 7 2 2 4 4 4" xfId="18577" xr:uid="{00000000-0005-0000-0000-000022310000}"/>
    <cellStyle name="Input 2 7 2 2 4 5" xfId="21042" xr:uid="{00000000-0005-0000-0000-000023310000}"/>
    <cellStyle name="Input 2 7 2 2 4 6" xfId="31887" xr:uid="{00000000-0005-0000-0000-000024310000}"/>
    <cellStyle name="Input 2 7 2 2 4 7" xfId="12723" xr:uid="{00000000-0005-0000-0000-000025310000}"/>
    <cellStyle name="Input 2 7 2 2 5" xfId="2453" xr:uid="{00000000-0005-0000-0000-000026310000}"/>
    <cellStyle name="Input 2 7 2 2 5 2" xfId="5305" xr:uid="{00000000-0005-0000-0000-000027310000}"/>
    <cellStyle name="Input 2 7 2 2 5 2 2" xfId="24277" xr:uid="{00000000-0005-0000-0000-000028310000}"/>
    <cellStyle name="Input 2 7 2 2 5 2 3" xfId="35122" xr:uid="{00000000-0005-0000-0000-000029310000}"/>
    <cellStyle name="Input 2 7 2 2 5 2 4" xfId="15039" xr:uid="{00000000-0005-0000-0000-00002A310000}"/>
    <cellStyle name="Input 2 7 2 2 5 3" xfId="7976" xr:uid="{00000000-0005-0000-0000-00002B310000}"/>
    <cellStyle name="Input 2 7 2 2 5 3 2" xfId="26948" xr:uid="{00000000-0005-0000-0000-00002C310000}"/>
    <cellStyle name="Input 2 7 2 2 5 3 3" xfId="37793" xr:uid="{00000000-0005-0000-0000-00002D310000}"/>
    <cellStyle name="Input 2 7 2 2 5 3 4" xfId="16952" xr:uid="{00000000-0005-0000-0000-00002E310000}"/>
    <cellStyle name="Input 2 7 2 2 5 4" xfId="10635" xr:uid="{00000000-0005-0000-0000-00002F310000}"/>
    <cellStyle name="Input 2 7 2 2 5 4 2" xfId="29607" xr:uid="{00000000-0005-0000-0000-000030310000}"/>
    <cellStyle name="Input 2 7 2 2 5 4 3" xfId="40452" xr:uid="{00000000-0005-0000-0000-000031310000}"/>
    <cellStyle name="Input 2 7 2 2 5 4 4" xfId="18856" xr:uid="{00000000-0005-0000-0000-000032310000}"/>
    <cellStyle name="Input 2 7 2 2 5 5" xfId="21431" xr:uid="{00000000-0005-0000-0000-000033310000}"/>
    <cellStyle name="Input 2 7 2 2 5 6" xfId="32276" xr:uid="{00000000-0005-0000-0000-000034310000}"/>
    <cellStyle name="Input 2 7 2 2 5 7" xfId="13002" xr:uid="{00000000-0005-0000-0000-000035310000}"/>
    <cellStyle name="Input 2 7 2 2 6" xfId="2839" xr:uid="{00000000-0005-0000-0000-000036310000}"/>
    <cellStyle name="Input 2 7 2 2 6 2" xfId="5690" xr:uid="{00000000-0005-0000-0000-000037310000}"/>
    <cellStyle name="Input 2 7 2 2 6 2 2" xfId="24662" xr:uid="{00000000-0005-0000-0000-000038310000}"/>
    <cellStyle name="Input 2 7 2 2 6 2 3" xfId="35507" xr:uid="{00000000-0005-0000-0000-000039310000}"/>
    <cellStyle name="Input 2 7 2 2 6 2 4" xfId="15315" xr:uid="{00000000-0005-0000-0000-00003A310000}"/>
    <cellStyle name="Input 2 7 2 2 6 3" xfId="8361" xr:uid="{00000000-0005-0000-0000-00003B310000}"/>
    <cellStyle name="Input 2 7 2 2 6 3 2" xfId="27333" xr:uid="{00000000-0005-0000-0000-00003C310000}"/>
    <cellStyle name="Input 2 7 2 2 6 3 3" xfId="38178" xr:uid="{00000000-0005-0000-0000-00003D310000}"/>
    <cellStyle name="Input 2 7 2 2 6 3 4" xfId="17228" xr:uid="{00000000-0005-0000-0000-00003E310000}"/>
    <cellStyle name="Input 2 7 2 2 6 4" xfId="11020" xr:uid="{00000000-0005-0000-0000-00003F310000}"/>
    <cellStyle name="Input 2 7 2 2 6 4 2" xfId="29992" xr:uid="{00000000-0005-0000-0000-000040310000}"/>
    <cellStyle name="Input 2 7 2 2 6 4 3" xfId="40837" xr:uid="{00000000-0005-0000-0000-000041310000}"/>
    <cellStyle name="Input 2 7 2 2 6 4 4" xfId="19132" xr:uid="{00000000-0005-0000-0000-000042310000}"/>
    <cellStyle name="Input 2 7 2 2 6 5" xfId="21816" xr:uid="{00000000-0005-0000-0000-000043310000}"/>
    <cellStyle name="Input 2 7 2 2 6 6" xfId="32661" xr:uid="{00000000-0005-0000-0000-000044310000}"/>
    <cellStyle name="Input 2 7 2 2 6 7" xfId="13278" xr:uid="{00000000-0005-0000-0000-000045310000}"/>
    <cellStyle name="Input 2 7 2 2 7" xfId="3528" xr:uid="{00000000-0005-0000-0000-000046310000}"/>
    <cellStyle name="Input 2 7 2 2 7 2" xfId="22500" xr:uid="{00000000-0005-0000-0000-000047310000}"/>
    <cellStyle name="Input 2 7 2 2 7 3" xfId="33345" xr:uid="{00000000-0005-0000-0000-000048310000}"/>
    <cellStyle name="Input 2 7 2 2 7 4" xfId="13759" xr:uid="{00000000-0005-0000-0000-000049310000}"/>
    <cellStyle name="Input 2 7 2 2 8" xfId="6203" xr:uid="{00000000-0005-0000-0000-00004A310000}"/>
    <cellStyle name="Input 2 7 2 2 8 2" xfId="25175" xr:uid="{00000000-0005-0000-0000-00004B310000}"/>
    <cellStyle name="Input 2 7 2 2 8 3" xfId="36020" xr:uid="{00000000-0005-0000-0000-00004C310000}"/>
    <cellStyle name="Input 2 7 2 2 8 4" xfId="15675" xr:uid="{00000000-0005-0000-0000-00004D310000}"/>
    <cellStyle name="Input 2 7 2 2 9" xfId="8862" xr:uid="{00000000-0005-0000-0000-00004E310000}"/>
    <cellStyle name="Input 2 7 2 2 9 2" xfId="27834" xr:uid="{00000000-0005-0000-0000-00004F310000}"/>
    <cellStyle name="Input 2 7 2 2 9 3" xfId="38679" xr:uid="{00000000-0005-0000-0000-000050310000}"/>
    <cellStyle name="Input 2 7 2 2 9 4" xfId="17579" xr:uid="{00000000-0005-0000-0000-000051310000}"/>
    <cellStyle name="Input 2 7 2 3" xfId="733" xr:uid="{00000000-0005-0000-0000-000052310000}"/>
    <cellStyle name="Input 2 7 2 3 10" xfId="19718" xr:uid="{00000000-0005-0000-0000-000053310000}"/>
    <cellStyle name="Input 2 7 2 3 11" xfId="30563" xr:uid="{00000000-0005-0000-0000-000054310000}"/>
    <cellStyle name="Input 2 7 2 3 12" xfId="11765" xr:uid="{00000000-0005-0000-0000-000055310000}"/>
    <cellStyle name="Input 2 7 2 3 2" xfId="1320" xr:uid="{00000000-0005-0000-0000-000056310000}"/>
    <cellStyle name="Input 2 7 2 3 2 2" xfId="4173" xr:uid="{00000000-0005-0000-0000-000057310000}"/>
    <cellStyle name="Input 2 7 2 3 2 2 2" xfId="23145" xr:uid="{00000000-0005-0000-0000-000058310000}"/>
    <cellStyle name="Input 2 7 2 3 2 2 3" xfId="33990" xr:uid="{00000000-0005-0000-0000-000059310000}"/>
    <cellStyle name="Input 2 7 2 3 2 2 4" xfId="14226" xr:uid="{00000000-0005-0000-0000-00005A310000}"/>
    <cellStyle name="Input 2 7 2 3 2 3" xfId="6846" xr:uid="{00000000-0005-0000-0000-00005B310000}"/>
    <cellStyle name="Input 2 7 2 3 2 3 2" xfId="25818" xr:uid="{00000000-0005-0000-0000-00005C310000}"/>
    <cellStyle name="Input 2 7 2 3 2 3 3" xfId="36663" xr:uid="{00000000-0005-0000-0000-00005D310000}"/>
    <cellStyle name="Input 2 7 2 3 2 3 4" xfId="16141" xr:uid="{00000000-0005-0000-0000-00005E310000}"/>
    <cellStyle name="Input 2 7 2 3 2 4" xfId="9505" xr:uid="{00000000-0005-0000-0000-00005F310000}"/>
    <cellStyle name="Input 2 7 2 3 2 4 2" xfId="28477" xr:uid="{00000000-0005-0000-0000-000060310000}"/>
    <cellStyle name="Input 2 7 2 3 2 4 3" xfId="39322" xr:uid="{00000000-0005-0000-0000-000061310000}"/>
    <cellStyle name="Input 2 7 2 3 2 4 4" xfId="18045" xr:uid="{00000000-0005-0000-0000-000062310000}"/>
    <cellStyle name="Input 2 7 2 3 2 5" xfId="20301" xr:uid="{00000000-0005-0000-0000-000063310000}"/>
    <cellStyle name="Input 2 7 2 3 2 6" xfId="31146" xr:uid="{00000000-0005-0000-0000-000064310000}"/>
    <cellStyle name="Input 2 7 2 3 2 7" xfId="12191" xr:uid="{00000000-0005-0000-0000-000065310000}"/>
    <cellStyle name="Input 2 7 2 3 3" xfId="1719" xr:uid="{00000000-0005-0000-0000-000066310000}"/>
    <cellStyle name="Input 2 7 2 3 3 2" xfId="4572" xr:uid="{00000000-0005-0000-0000-000067310000}"/>
    <cellStyle name="Input 2 7 2 3 3 2 2" xfId="23544" xr:uid="{00000000-0005-0000-0000-000068310000}"/>
    <cellStyle name="Input 2 7 2 3 3 2 3" xfId="34389" xr:uid="{00000000-0005-0000-0000-000069310000}"/>
    <cellStyle name="Input 2 7 2 3 3 2 4" xfId="14513" xr:uid="{00000000-0005-0000-0000-00006A310000}"/>
    <cellStyle name="Input 2 7 2 3 3 3" xfId="7244" xr:uid="{00000000-0005-0000-0000-00006B310000}"/>
    <cellStyle name="Input 2 7 2 3 3 3 2" xfId="26216" xr:uid="{00000000-0005-0000-0000-00006C310000}"/>
    <cellStyle name="Input 2 7 2 3 3 3 3" xfId="37061" xr:uid="{00000000-0005-0000-0000-00006D310000}"/>
    <cellStyle name="Input 2 7 2 3 3 3 4" xfId="16427" xr:uid="{00000000-0005-0000-0000-00006E310000}"/>
    <cellStyle name="Input 2 7 2 3 3 4" xfId="9903" xr:uid="{00000000-0005-0000-0000-00006F310000}"/>
    <cellStyle name="Input 2 7 2 3 3 4 2" xfId="28875" xr:uid="{00000000-0005-0000-0000-000070310000}"/>
    <cellStyle name="Input 2 7 2 3 3 4 3" xfId="39720" xr:uid="{00000000-0005-0000-0000-000071310000}"/>
    <cellStyle name="Input 2 7 2 3 3 4 4" xfId="18331" xr:uid="{00000000-0005-0000-0000-000072310000}"/>
    <cellStyle name="Input 2 7 2 3 3 5" xfId="20699" xr:uid="{00000000-0005-0000-0000-000073310000}"/>
    <cellStyle name="Input 2 7 2 3 3 6" xfId="31544" xr:uid="{00000000-0005-0000-0000-000074310000}"/>
    <cellStyle name="Input 2 7 2 3 3 7" xfId="12477" xr:uid="{00000000-0005-0000-0000-000075310000}"/>
    <cellStyle name="Input 2 7 2 3 4" xfId="2123" xr:uid="{00000000-0005-0000-0000-000076310000}"/>
    <cellStyle name="Input 2 7 2 3 4 2" xfId="4976" xr:uid="{00000000-0005-0000-0000-000077310000}"/>
    <cellStyle name="Input 2 7 2 3 4 2 2" xfId="23948" xr:uid="{00000000-0005-0000-0000-000078310000}"/>
    <cellStyle name="Input 2 7 2 3 4 2 3" xfId="34793" xr:uid="{00000000-0005-0000-0000-000079310000}"/>
    <cellStyle name="Input 2 7 2 3 4 2 4" xfId="14800" xr:uid="{00000000-0005-0000-0000-00007A310000}"/>
    <cellStyle name="Input 2 7 2 3 4 3" xfId="7647" xr:uid="{00000000-0005-0000-0000-00007B310000}"/>
    <cellStyle name="Input 2 7 2 3 4 3 2" xfId="26619" xr:uid="{00000000-0005-0000-0000-00007C310000}"/>
    <cellStyle name="Input 2 7 2 3 4 3 3" xfId="37464" xr:uid="{00000000-0005-0000-0000-00007D310000}"/>
    <cellStyle name="Input 2 7 2 3 4 3 4" xfId="16713" xr:uid="{00000000-0005-0000-0000-00007E310000}"/>
    <cellStyle name="Input 2 7 2 3 4 4" xfId="10306" xr:uid="{00000000-0005-0000-0000-00007F310000}"/>
    <cellStyle name="Input 2 7 2 3 4 4 2" xfId="29278" xr:uid="{00000000-0005-0000-0000-000080310000}"/>
    <cellStyle name="Input 2 7 2 3 4 4 3" xfId="40123" xr:uid="{00000000-0005-0000-0000-000081310000}"/>
    <cellStyle name="Input 2 7 2 3 4 4 4" xfId="18617" xr:uid="{00000000-0005-0000-0000-000082310000}"/>
    <cellStyle name="Input 2 7 2 3 4 5" xfId="21102" xr:uid="{00000000-0005-0000-0000-000083310000}"/>
    <cellStyle name="Input 2 7 2 3 4 6" xfId="31947" xr:uid="{00000000-0005-0000-0000-000084310000}"/>
    <cellStyle name="Input 2 7 2 3 4 7" xfId="12763" xr:uid="{00000000-0005-0000-0000-000085310000}"/>
    <cellStyle name="Input 2 7 2 3 5" xfId="2513" xr:uid="{00000000-0005-0000-0000-000086310000}"/>
    <cellStyle name="Input 2 7 2 3 5 2" xfId="5365" xr:uid="{00000000-0005-0000-0000-000087310000}"/>
    <cellStyle name="Input 2 7 2 3 5 2 2" xfId="24337" xr:uid="{00000000-0005-0000-0000-000088310000}"/>
    <cellStyle name="Input 2 7 2 3 5 2 3" xfId="35182" xr:uid="{00000000-0005-0000-0000-000089310000}"/>
    <cellStyle name="Input 2 7 2 3 5 2 4" xfId="15079" xr:uid="{00000000-0005-0000-0000-00008A310000}"/>
    <cellStyle name="Input 2 7 2 3 5 3" xfId="8036" xr:uid="{00000000-0005-0000-0000-00008B310000}"/>
    <cellStyle name="Input 2 7 2 3 5 3 2" xfId="27008" xr:uid="{00000000-0005-0000-0000-00008C310000}"/>
    <cellStyle name="Input 2 7 2 3 5 3 3" xfId="37853" xr:uid="{00000000-0005-0000-0000-00008D310000}"/>
    <cellStyle name="Input 2 7 2 3 5 3 4" xfId="16992" xr:uid="{00000000-0005-0000-0000-00008E310000}"/>
    <cellStyle name="Input 2 7 2 3 5 4" xfId="10695" xr:uid="{00000000-0005-0000-0000-00008F310000}"/>
    <cellStyle name="Input 2 7 2 3 5 4 2" xfId="29667" xr:uid="{00000000-0005-0000-0000-000090310000}"/>
    <cellStyle name="Input 2 7 2 3 5 4 3" xfId="40512" xr:uid="{00000000-0005-0000-0000-000091310000}"/>
    <cellStyle name="Input 2 7 2 3 5 4 4" xfId="18896" xr:uid="{00000000-0005-0000-0000-000092310000}"/>
    <cellStyle name="Input 2 7 2 3 5 5" xfId="21491" xr:uid="{00000000-0005-0000-0000-000093310000}"/>
    <cellStyle name="Input 2 7 2 3 5 6" xfId="32336" xr:uid="{00000000-0005-0000-0000-000094310000}"/>
    <cellStyle name="Input 2 7 2 3 5 7" xfId="13042" xr:uid="{00000000-0005-0000-0000-000095310000}"/>
    <cellStyle name="Input 2 7 2 3 6" xfId="2899" xr:uid="{00000000-0005-0000-0000-000096310000}"/>
    <cellStyle name="Input 2 7 2 3 6 2" xfId="5750" xr:uid="{00000000-0005-0000-0000-000097310000}"/>
    <cellStyle name="Input 2 7 2 3 6 2 2" xfId="24722" xr:uid="{00000000-0005-0000-0000-000098310000}"/>
    <cellStyle name="Input 2 7 2 3 6 2 3" xfId="35567" xr:uid="{00000000-0005-0000-0000-000099310000}"/>
    <cellStyle name="Input 2 7 2 3 6 2 4" xfId="15355" xr:uid="{00000000-0005-0000-0000-00009A310000}"/>
    <cellStyle name="Input 2 7 2 3 6 3" xfId="8421" xr:uid="{00000000-0005-0000-0000-00009B310000}"/>
    <cellStyle name="Input 2 7 2 3 6 3 2" xfId="27393" xr:uid="{00000000-0005-0000-0000-00009C310000}"/>
    <cellStyle name="Input 2 7 2 3 6 3 3" xfId="38238" xr:uid="{00000000-0005-0000-0000-00009D310000}"/>
    <cellStyle name="Input 2 7 2 3 6 3 4" xfId="17268" xr:uid="{00000000-0005-0000-0000-00009E310000}"/>
    <cellStyle name="Input 2 7 2 3 6 4" xfId="11080" xr:uid="{00000000-0005-0000-0000-00009F310000}"/>
    <cellStyle name="Input 2 7 2 3 6 4 2" xfId="30052" xr:uid="{00000000-0005-0000-0000-0000A0310000}"/>
    <cellStyle name="Input 2 7 2 3 6 4 3" xfId="40897" xr:uid="{00000000-0005-0000-0000-0000A1310000}"/>
    <cellStyle name="Input 2 7 2 3 6 4 4" xfId="19172" xr:uid="{00000000-0005-0000-0000-0000A2310000}"/>
    <cellStyle name="Input 2 7 2 3 6 5" xfId="21876" xr:uid="{00000000-0005-0000-0000-0000A3310000}"/>
    <cellStyle name="Input 2 7 2 3 6 6" xfId="32721" xr:uid="{00000000-0005-0000-0000-0000A4310000}"/>
    <cellStyle name="Input 2 7 2 3 6 7" xfId="13318" xr:uid="{00000000-0005-0000-0000-0000A5310000}"/>
    <cellStyle name="Input 2 7 2 3 7" xfId="3588" xr:uid="{00000000-0005-0000-0000-0000A6310000}"/>
    <cellStyle name="Input 2 7 2 3 7 2" xfId="22560" xr:uid="{00000000-0005-0000-0000-0000A7310000}"/>
    <cellStyle name="Input 2 7 2 3 7 3" xfId="33405" xr:uid="{00000000-0005-0000-0000-0000A8310000}"/>
    <cellStyle name="Input 2 7 2 3 7 4" xfId="13799" xr:uid="{00000000-0005-0000-0000-0000A9310000}"/>
    <cellStyle name="Input 2 7 2 3 8" xfId="6263" xr:uid="{00000000-0005-0000-0000-0000AA310000}"/>
    <cellStyle name="Input 2 7 2 3 8 2" xfId="25235" xr:uid="{00000000-0005-0000-0000-0000AB310000}"/>
    <cellStyle name="Input 2 7 2 3 8 3" xfId="36080" xr:uid="{00000000-0005-0000-0000-0000AC310000}"/>
    <cellStyle name="Input 2 7 2 3 8 4" xfId="15715" xr:uid="{00000000-0005-0000-0000-0000AD310000}"/>
    <cellStyle name="Input 2 7 2 3 9" xfId="8922" xr:uid="{00000000-0005-0000-0000-0000AE310000}"/>
    <cellStyle name="Input 2 7 2 3 9 2" xfId="27894" xr:uid="{00000000-0005-0000-0000-0000AF310000}"/>
    <cellStyle name="Input 2 7 2 3 9 3" xfId="38739" xr:uid="{00000000-0005-0000-0000-0000B0310000}"/>
    <cellStyle name="Input 2 7 2 3 9 4" xfId="17619" xr:uid="{00000000-0005-0000-0000-0000B1310000}"/>
    <cellStyle name="Input 2 7 2 4" xfId="793" xr:uid="{00000000-0005-0000-0000-0000B2310000}"/>
    <cellStyle name="Input 2 7 2 4 10" xfId="19778" xr:uid="{00000000-0005-0000-0000-0000B3310000}"/>
    <cellStyle name="Input 2 7 2 4 11" xfId="30623" xr:uid="{00000000-0005-0000-0000-0000B4310000}"/>
    <cellStyle name="Input 2 7 2 4 12" xfId="11805" xr:uid="{00000000-0005-0000-0000-0000B5310000}"/>
    <cellStyle name="Input 2 7 2 4 2" xfId="1380" xr:uid="{00000000-0005-0000-0000-0000B6310000}"/>
    <cellStyle name="Input 2 7 2 4 2 2" xfId="4233" xr:uid="{00000000-0005-0000-0000-0000B7310000}"/>
    <cellStyle name="Input 2 7 2 4 2 2 2" xfId="23205" xr:uid="{00000000-0005-0000-0000-0000B8310000}"/>
    <cellStyle name="Input 2 7 2 4 2 2 3" xfId="34050" xr:uid="{00000000-0005-0000-0000-0000B9310000}"/>
    <cellStyle name="Input 2 7 2 4 2 2 4" xfId="14266" xr:uid="{00000000-0005-0000-0000-0000BA310000}"/>
    <cellStyle name="Input 2 7 2 4 2 3" xfId="6906" xr:uid="{00000000-0005-0000-0000-0000BB310000}"/>
    <cellStyle name="Input 2 7 2 4 2 3 2" xfId="25878" xr:uid="{00000000-0005-0000-0000-0000BC310000}"/>
    <cellStyle name="Input 2 7 2 4 2 3 3" xfId="36723" xr:uid="{00000000-0005-0000-0000-0000BD310000}"/>
    <cellStyle name="Input 2 7 2 4 2 3 4" xfId="16181" xr:uid="{00000000-0005-0000-0000-0000BE310000}"/>
    <cellStyle name="Input 2 7 2 4 2 4" xfId="9565" xr:uid="{00000000-0005-0000-0000-0000BF310000}"/>
    <cellStyle name="Input 2 7 2 4 2 4 2" xfId="28537" xr:uid="{00000000-0005-0000-0000-0000C0310000}"/>
    <cellStyle name="Input 2 7 2 4 2 4 3" xfId="39382" xr:uid="{00000000-0005-0000-0000-0000C1310000}"/>
    <cellStyle name="Input 2 7 2 4 2 4 4" xfId="18085" xr:uid="{00000000-0005-0000-0000-0000C2310000}"/>
    <cellStyle name="Input 2 7 2 4 2 5" xfId="20361" xr:uid="{00000000-0005-0000-0000-0000C3310000}"/>
    <cellStyle name="Input 2 7 2 4 2 6" xfId="31206" xr:uid="{00000000-0005-0000-0000-0000C4310000}"/>
    <cellStyle name="Input 2 7 2 4 2 7" xfId="12231" xr:uid="{00000000-0005-0000-0000-0000C5310000}"/>
    <cellStyle name="Input 2 7 2 4 3" xfId="1779" xr:uid="{00000000-0005-0000-0000-0000C6310000}"/>
    <cellStyle name="Input 2 7 2 4 3 2" xfId="4632" xr:uid="{00000000-0005-0000-0000-0000C7310000}"/>
    <cellStyle name="Input 2 7 2 4 3 2 2" xfId="23604" xr:uid="{00000000-0005-0000-0000-0000C8310000}"/>
    <cellStyle name="Input 2 7 2 4 3 2 3" xfId="34449" xr:uid="{00000000-0005-0000-0000-0000C9310000}"/>
    <cellStyle name="Input 2 7 2 4 3 2 4" xfId="14553" xr:uid="{00000000-0005-0000-0000-0000CA310000}"/>
    <cellStyle name="Input 2 7 2 4 3 3" xfId="7304" xr:uid="{00000000-0005-0000-0000-0000CB310000}"/>
    <cellStyle name="Input 2 7 2 4 3 3 2" xfId="26276" xr:uid="{00000000-0005-0000-0000-0000CC310000}"/>
    <cellStyle name="Input 2 7 2 4 3 3 3" xfId="37121" xr:uid="{00000000-0005-0000-0000-0000CD310000}"/>
    <cellStyle name="Input 2 7 2 4 3 3 4" xfId="16467" xr:uid="{00000000-0005-0000-0000-0000CE310000}"/>
    <cellStyle name="Input 2 7 2 4 3 4" xfId="9963" xr:uid="{00000000-0005-0000-0000-0000CF310000}"/>
    <cellStyle name="Input 2 7 2 4 3 4 2" xfId="28935" xr:uid="{00000000-0005-0000-0000-0000D0310000}"/>
    <cellStyle name="Input 2 7 2 4 3 4 3" xfId="39780" xr:uid="{00000000-0005-0000-0000-0000D1310000}"/>
    <cellStyle name="Input 2 7 2 4 3 4 4" xfId="18371" xr:uid="{00000000-0005-0000-0000-0000D2310000}"/>
    <cellStyle name="Input 2 7 2 4 3 5" xfId="20759" xr:uid="{00000000-0005-0000-0000-0000D3310000}"/>
    <cellStyle name="Input 2 7 2 4 3 6" xfId="31604" xr:uid="{00000000-0005-0000-0000-0000D4310000}"/>
    <cellStyle name="Input 2 7 2 4 3 7" xfId="12517" xr:uid="{00000000-0005-0000-0000-0000D5310000}"/>
    <cellStyle name="Input 2 7 2 4 4" xfId="2183" xr:uid="{00000000-0005-0000-0000-0000D6310000}"/>
    <cellStyle name="Input 2 7 2 4 4 2" xfId="5036" xr:uid="{00000000-0005-0000-0000-0000D7310000}"/>
    <cellStyle name="Input 2 7 2 4 4 2 2" xfId="24008" xr:uid="{00000000-0005-0000-0000-0000D8310000}"/>
    <cellStyle name="Input 2 7 2 4 4 2 3" xfId="34853" xr:uid="{00000000-0005-0000-0000-0000D9310000}"/>
    <cellStyle name="Input 2 7 2 4 4 2 4" xfId="14840" xr:uid="{00000000-0005-0000-0000-0000DA310000}"/>
    <cellStyle name="Input 2 7 2 4 4 3" xfId="7707" xr:uid="{00000000-0005-0000-0000-0000DB310000}"/>
    <cellStyle name="Input 2 7 2 4 4 3 2" xfId="26679" xr:uid="{00000000-0005-0000-0000-0000DC310000}"/>
    <cellStyle name="Input 2 7 2 4 4 3 3" xfId="37524" xr:uid="{00000000-0005-0000-0000-0000DD310000}"/>
    <cellStyle name="Input 2 7 2 4 4 3 4" xfId="16753" xr:uid="{00000000-0005-0000-0000-0000DE310000}"/>
    <cellStyle name="Input 2 7 2 4 4 4" xfId="10366" xr:uid="{00000000-0005-0000-0000-0000DF310000}"/>
    <cellStyle name="Input 2 7 2 4 4 4 2" xfId="29338" xr:uid="{00000000-0005-0000-0000-0000E0310000}"/>
    <cellStyle name="Input 2 7 2 4 4 4 3" xfId="40183" xr:uid="{00000000-0005-0000-0000-0000E1310000}"/>
    <cellStyle name="Input 2 7 2 4 4 4 4" xfId="18657" xr:uid="{00000000-0005-0000-0000-0000E2310000}"/>
    <cellStyle name="Input 2 7 2 4 4 5" xfId="21162" xr:uid="{00000000-0005-0000-0000-0000E3310000}"/>
    <cellStyle name="Input 2 7 2 4 4 6" xfId="32007" xr:uid="{00000000-0005-0000-0000-0000E4310000}"/>
    <cellStyle name="Input 2 7 2 4 4 7" xfId="12803" xr:uid="{00000000-0005-0000-0000-0000E5310000}"/>
    <cellStyle name="Input 2 7 2 4 5" xfId="2573" xr:uid="{00000000-0005-0000-0000-0000E6310000}"/>
    <cellStyle name="Input 2 7 2 4 5 2" xfId="5425" xr:uid="{00000000-0005-0000-0000-0000E7310000}"/>
    <cellStyle name="Input 2 7 2 4 5 2 2" xfId="24397" xr:uid="{00000000-0005-0000-0000-0000E8310000}"/>
    <cellStyle name="Input 2 7 2 4 5 2 3" xfId="35242" xr:uid="{00000000-0005-0000-0000-0000E9310000}"/>
    <cellStyle name="Input 2 7 2 4 5 2 4" xfId="15119" xr:uid="{00000000-0005-0000-0000-0000EA310000}"/>
    <cellStyle name="Input 2 7 2 4 5 3" xfId="8096" xr:uid="{00000000-0005-0000-0000-0000EB310000}"/>
    <cellStyle name="Input 2 7 2 4 5 3 2" xfId="27068" xr:uid="{00000000-0005-0000-0000-0000EC310000}"/>
    <cellStyle name="Input 2 7 2 4 5 3 3" xfId="37913" xr:uid="{00000000-0005-0000-0000-0000ED310000}"/>
    <cellStyle name="Input 2 7 2 4 5 3 4" xfId="17032" xr:uid="{00000000-0005-0000-0000-0000EE310000}"/>
    <cellStyle name="Input 2 7 2 4 5 4" xfId="10755" xr:uid="{00000000-0005-0000-0000-0000EF310000}"/>
    <cellStyle name="Input 2 7 2 4 5 4 2" xfId="29727" xr:uid="{00000000-0005-0000-0000-0000F0310000}"/>
    <cellStyle name="Input 2 7 2 4 5 4 3" xfId="40572" xr:uid="{00000000-0005-0000-0000-0000F1310000}"/>
    <cellStyle name="Input 2 7 2 4 5 4 4" xfId="18936" xr:uid="{00000000-0005-0000-0000-0000F2310000}"/>
    <cellStyle name="Input 2 7 2 4 5 5" xfId="21551" xr:uid="{00000000-0005-0000-0000-0000F3310000}"/>
    <cellStyle name="Input 2 7 2 4 5 6" xfId="32396" xr:uid="{00000000-0005-0000-0000-0000F4310000}"/>
    <cellStyle name="Input 2 7 2 4 5 7" xfId="13082" xr:uid="{00000000-0005-0000-0000-0000F5310000}"/>
    <cellStyle name="Input 2 7 2 4 6" xfId="2959" xr:uid="{00000000-0005-0000-0000-0000F6310000}"/>
    <cellStyle name="Input 2 7 2 4 6 2" xfId="5810" xr:uid="{00000000-0005-0000-0000-0000F7310000}"/>
    <cellStyle name="Input 2 7 2 4 6 2 2" xfId="24782" xr:uid="{00000000-0005-0000-0000-0000F8310000}"/>
    <cellStyle name="Input 2 7 2 4 6 2 3" xfId="35627" xr:uid="{00000000-0005-0000-0000-0000F9310000}"/>
    <cellStyle name="Input 2 7 2 4 6 2 4" xfId="15395" xr:uid="{00000000-0005-0000-0000-0000FA310000}"/>
    <cellStyle name="Input 2 7 2 4 6 3" xfId="8481" xr:uid="{00000000-0005-0000-0000-0000FB310000}"/>
    <cellStyle name="Input 2 7 2 4 6 3 2" xfId="27453" xr:uid="{00000000-0005-0000-0000-0000FC310000}"/>
    <cellStyle name="Input 2 7 2 4 6 3 3" xfId="38298" xr:uid="{00000000-0005-0000-0000-0000FD310000}"/>
    <cellStyle name="Input 2 7 2 4 6 3 4" xfId="17308" xr:uid="{00000000-0005-0000-0000-0000FE310000}"/>
    <cellStyle name="Input 2 7 2 4 6 4" xfId="11140" xr:uid="{00000000-0005-0000-0000-0000FF310000}"/>
    <cellStyle name="Input 2 7 2 4 6 4 2" xfId="30112" xr:uid="{00000000-0005-0000-0000-000000320000}"/>
    <cellStyle name="Input 2 7 2 4 6 4 3" xfId="40957" xr:uid="{00000000-0005-0000-0000-000001320000}"/>
    <cellStyle name="Input 2 7 2 4 6 4 4" xfId="19212" xr:uid="{00000000-0005-0000-0000-000002320000}"/>
    <cellStyle name="Input 2 7 2 4 6 5" xfId="21936" xr:uid="{00000000-0005-0000-0000-000003320000}"/>
    <cellStyle name="Input 2 7 2 4 6 6" xfId="32781" xr:uid="{00000000-0005-0000-0000-000004320000}"/>
    <cellStyle name="Input 2 7 2 4 6 7" xfId="13358" xr:uid="{00000000-0005-0000-0000-000005320000}"/>
    <cellStyle name="Input 2 7 2 4 7" xfId="3648" xr:uid="{00000000-0005-0000-0000-000006320000}"/>
    <cellStyle name="Input 2 7 2 4 7 2" xfId="22620" xr:uid="{00000000-0005-0000-0000-000007320000}"/>
    <cellStyle name="Input 2 7 2 4 7 3" xfId="33465" xr:uid="{00000000-0005-0000-0000-000008320000}"/>
    <cellStyle name="Input 2 7 2 4 7 4" xfId="13839" xr:uid="{00000000-0005-0000-0000-000009320000}"/>
    <cellStyle name="Input 2 7 2 4 8" xfId="6323" xr:uid="{00000000-0005-0000-0000-00000A320000}"/>
    <cellStyle name="Input 2 7 2 4 8 2" xfId="25295" xr:uid="{00000000-0005-0000-0000-00000B320000}"/>
    <cellStyle name="Input 2 7 2 4 8 3" xfId="36140" xr:uid="{00000000-0005-0000-0000-00000C320000}"/>
    <cellStyle name="Input 2 7 2 4 8 4" xfId="15755" xr:uid="{00000000-0005-0000-0000-00000D320000}"/>
    <cellStyle name="Input 2 7 2 4 9" xfId="8982" xr:uid="{00000000-0005-0000-0000-00000E320000}"/>
    <cellStyle name="Input 2 7 2 4 9 2" xfId="27954" xr:uid="{00000000-0005-0000-0000-00000F320000}"/>
    <cellStyle name="Input 2 7 2 4 9 3" xfId="38799" xr:uid="{00000000-0005-0000-0000-000010320000}"/>
    <cellStyle name="Input 2 7 2 4 9 4" xfId="17659" xr:uid="{00000000-0005-0000-0000-000011320000}"/>
    <cellStyle name="Input 2 7 2 5" xfId="852" xr:uid="{00000000-0005-0000-0000-000012320000}"/>
    <cellStyle name="Input 2 7 2 5 10" xfId="19837" xr:uid="{00000000-0005-0000-0000-000013320000}"/>
    <cellStyle name="Input 2 7 2 5 11" xfId="30682" xr:uid="{00000000-0005-0000-0000-000014320000}"/>
    <cellStyle name="Input 2 7 2 5 12" xfId="11844" xr:uid="{00000000-0005-0000-0000-000015320000}"/>
    <cellStyle name="Input 2 7 2 5 2" xfId="1439" xr:uid="{00000000-0005-0000-0000-000016320000}"/>
    <cellStyle name="Input 2 7 2 5 2 2" xfId="4292" xr:uid="{00000000-0005-0000-0000-000017320000}"/>
    <cellStyle name="Input 2 7 2 5 2 2 2" xfId="23264" xr:uid="{00000000-0005-0000-0000-000018320000}"/>
    <cellStyle name="Input 2 7 2 5 2 2 3" xfId="34109" xr:uid="{00000000-0005-0000-0000-000019320000}"/>
    <cellStyle name="Input 2 7 2 5 2 2 4" xfId="14305" xr:uid="{00000000-0005-0000-0000-00001A320000}"/>
    <cellStyle name="Input 2 7 2 5 2 3" xfId="6965" xr:uid="{00000000-0005-0000-0000-00001B320000}"/>
    <cellStyle name="Input 2 7 2 5 2 3 2" xfId="25937" xr:uid="{00000000-0005-0000-0000-00001C320000}"/>
    <cellStyle name="Input 2 7 2 5 2 3 3" xfId="36782" xr:uid="{00000000-0005-0000-0000-00001D320000}"/>
    <cellStyle name="Input 2 7 2 5 2 3 4" xfId="16220" xr:uid="{00000000-0005-0000-0000-00001E320000}"/>
    <cellStyle name="Input 2 7 2 5 2 4" xfId="9624" xr:uid="{00000000-0005-0000-0000-00001F320000}"/>
    <cellStyle name="Input 2 7 2 5 2 4 2" xfId="28596" xr:uid="{00000000-0005-0000-0000-000020320000}"/>
    <cellStyle name="Input 2 7 2 5 2 4 3" xfId="39441" xr:uid="{00000000-0005-0000-0000-000021320000}"/>
    <cellStyle name="Input 2 7 2 5 2 4 4" xfId="18124" xr:uid="{00000000-0005-0000-0000-000022320000}"/>
    <cellStyle name="Input 2 7 2 5 2 5" xfId="20420" xr:uid="{00000000-0005-0000-0000-000023320000}"/>
    <cellStyle name="Input 2 7 2 5 2 6" xfId="31265" xr:uid="{00000000-0005-0000-0000-000024320000}"/>
    <cellStyle name="Input 2 7 2 5 2 7" xfId="12270" xr:uid="{00000000-0005-0000-0000-000025320000}"/>
    <cellStyle name="Input 2 7 2 5 3" xfId="1838" xr:uid="{00000000-0005-0000-0000-000026320000}"/>
    <cellStyle name="Input 2 7 2 5 3 2" xfId="4691" xr:uid="{00000000-0005-0000-0000-000027320000}"/>
    <cellStyle name="Input 2 7 2 5 3 2 2" xfId="23663" xr:uid="{00000000-0005-0000-0000-000028320000}"/>
    <cellStyle name="Input 2 7 2 5 3 2 3" xfId="34508" xr:uid="{00000000-0005-0000-0000-000029320000}"/>
    <cellStyle name="Input 2 7 2 5 3 2 4" xfId="14592" xr:uid="{00000000-0005-0000-0000-00002A320000}"/>
    <cellStyle name="Input 2 7 2 5 3 3" xfId="7363" xr:uid="{00000000-0005-0000-0000-00002B320000}"/>
    <cellStyle name="Input 2 7 2 5 3 3 2" xfId="26335" xr:uid="{00000000-0005-0000-0000-00002C320000}"/>
    <cellStyle name="Input 2 7 2 5 3 3 3" xfId="37180" xr:uid="{00000000-0005-0000-0000-00002D320000}"/>
    <cellStyle name="Input 2 7 2 5 3 3 4" xfId="16506" xr:uid="{00000000-0005-0000-0000-00002E320000}"/>
    <cellStyle name="Input 2 7 2 5 3 4" xfId="10022" xr:uid="{00000000-0005-0000-0000-00002F320000}"/>
    <cellStyle name="Input 2 7 2 5 3 4 2" xfId="28994" xr:uid="{00000000-0005-0000-0000-000030320000}"/>
    <cellStyle name="Input 2 7 2 5 3 4 3" xfId="39839" xr:uid="{00000000-0005-0000-0000-000031320000}"/>
    <cellStyle name="Input 2 7 2 5 3 4 4" xfId="18410" xr:uid="{00000000-0005-0000-0000-000032320000}"/>
    <cellStyle name="Input 2 7 2 5 3 5" xfId="20818" xr:uid="{00000000-0005-0000-0000-000033320000}"/>
    <cellStyle name="Input 2 7 2 5 3 6" xfId="31663" xr:uid="{00000000-0005-0000-0000-000034320000}"/>
    <cellStyle name="Input 2 7 2 5 3 7" xfId="12556" xr:uid="{00000000-0005-0000-0000-000035320000}"/>
    <cellStyle name="Input 2 7 2 5 4" xfId="2242" xr:uid="{00000000-0005-0000-0000-000036320000}"/>
    <cellStyle name="Input 2 7 2 5 4 2" xfId="5095" xr:uid="{00000000-0005-0000-0000-000037320000}"/>
    <cellStyle name="Input 2 7 2 5 4 2 2" xfId="24067" xr:uid="{00000000-0005-0000-0000-000038320000}"/>
    <cellStyle name="Input 2 7 2 5 4 2 3" xfId="34912" xr:uid="{00000000-0005-0000-0000-000039320000}"/>
    <cellStyle name="Input 2 7 2 5 4 2 4" xfId="14879" xr:uid="{00000000-0005-0000-0000-00003A320000}"/>
    <cellStyle name="Input 2 7 2 5 4 3" xfId="7766" xr:uid="{00000000-0005-0000-0000-00003B320000}"/>
    <cellStyle name="Input 2 7 2 5 4 3 2" xfId="26738" xr:uid="{00000000-0005-0000-0000-00003C320000}"/>
    <cellStyle name="Input 2 7 2 5 4 3 3" xfId="37583" xr:uid="{00000000-0005-0000-0000-00003D320000}"/>
    <cellStyle name="Input 2 7 2 5 4 3 4" xfId="16792" xr:uid="{00000000-0005-0000-0000-00003E320000}"/>
    <cellStyle name="Input 2 7 2 5 4 4" xfId="10425" xr:uid="{00000000-0005-0000-0000-00003F320000}"/>
    <cellStyle name="Input 2 7 2 5 4 4 2" xfId="29397" xr:uid="{00000000-0005-0000-0000-000040320000}"/>
    <cellStyle name="Input 2 7 2 5 4 4 3" xfId="40242" xr:uid="{00000000-0005-0000-0000-000041320000}"/>
    <cellStyle name="Input 2 7 2 5 4 4 4" xfId="18696" xr:uid="{00000000-0005-0000-0000-000042320000}"/>
    <cellStyle name="Input 2 7 2 5 4 5" xfId="21221" xr:uid="{00000000-0005-0000-0000-000043320000}"/>
    <cellStyle name="Input 2 7 2 5 4 6" xfId="32066" xr:uid="{00000000-0005-0000-0000-000044320000}"/>
    <cellStyle name="Input 2 7 2 5 4 7" xfId="12842" xr:uid="{00000000-0005-0000-0000-000045320000}"/>
    <cellStyle name="Input 2 7 2 5 5" xfId="2632" xr:uid="{00000000-0005-0000-0000-000046320000}"/>
    <cellStyle name="Input 2 7 2 5 5 2" xfId="5484" xr:uid="{00000000-0005-0000-0000-000047320000}"/>
    <cellStyle name="Input 2 7 2 5 5 2 2" xfId="24456" xr:uid="{00000000-0005-0000-0000-000048320000}"/>
    <cellStyle name="Input 2 7 2 5 5 2 3" xfId="35301" xr:uid="{00000000-0005-0000-0000-000049320000}"/>
    <cellStyle name="Input 2 7 2 5 5 2 4" xfId="15158" xr:uid="{00000000-0005-0000-0000-00004A320000}"/>
    <cellStyle name="Input 2 7 2 5 5 3" xfId="8155" xr:uid="{00000000-0005-0000-0000-00004B320000}"/>
    <cellStyle name="Input 2 7 2 5 5 3 2" xfId="27127" xr:uid="{00000000-0005-0000-0000-00004C320000}"/>
    <cellStyle name="Input 2 7 2 5 5 3 3" xfId="37972" xr:uid="{00000000-0005-0000-0000-00004D320000}"/>
    <cellStyle name="Input 2 7 2 5 5 3 4" xfId="17071" xr:uid="{00000000-0005-0000-0000-00004E320000}"/>
    <cellStyle name="Input 2 7 2 5 5 4" xfId="10814" xr:uid="{00000000-0005-0000-0000-00004F320000}"/>
    <cellStyle name="Input 2 7 2 5 5 4 2" xfId="29786" xr:uid="{00000000-0005-0000-0000-000050320000}"/>
    <cellStyle name="Input 2 7 2 5 5 4 3" xfId="40631" xr:uid="{00000000-0005-0000-0000-000051320000}"/>
    <cellStyle name="Input 2 7 2 5 5 4 4" xfId="18975" xr:uid="{00000000-0005-0000-0000-000052320000}"/>
    <cellStyle name="Input 2 7 2 5 5 5" xfId="21610" xr:uid="{00000000-0005-0000-0000-000053320000}"/>
    <cellStyle name="Input 2 7 2 5 5 6" xfId="32455" xr:uid="{00000000-0005-0000-0000-000054320000}"/>
    <cellStyle name="Input 2 7 2 5 5 7" xfId="13121" xr:uid="{00000000-0005-0000-0000-000055320000}"/>
    <cellStyle name="Input 2 7 2 5 6" xfId="3018" xr:uid="{00000000-0005-0000-0000-000056320000}"/>
    <cellStyle name="Input 2 7 2 5 6 2" xfId="5869" xr:uid="{00000000-0005-0000-0000-000057320000}"/>
    <cellStyle name="Input 2 7 2 5 6 2 2" xfId="24841" xr:uid="{00000000-0005-0000-0000-000058320000}"/>
    <cellStyle name="Input 2 7 2 5 6 2 3" xfId="35686" xr:uid="{00000000-0005-0000-0000-000059320000}"/>
    <cellStyle name="Input 2 7 2 5 6 2 4" xfId="15434" xr:uid="{00000000-0005-0000-0000-00005A320000}"/>
    <cellStyle name="Input 2 7 2 5 6 3" xfId="8540" xr:uid="{00000000-0005-0000-0000-00005B320000}"/>
    <cellStyle name="Input 2 7 2 5 6 3 2" xfId="27512" xr:uid="{00000000-0005-0000-0000-00005C320000}"/>
    <cellStyle name="Input 2 7 2 5 6 3 3" xfId="38357" xr:uid="{00000000-0005-0000-0000-00005D320000}"/>
    <cellStyle name="Input 2 7 2 5 6 3 4" xfId="17347" xr:uid="{00000000-0005-0000-0000-00005E320000}"/>
    <cellStyle name="Input 2 7 2 5 6 4" xfId="11199" xr:uid="{00000000-0005-0000-0000-00005F320000}"/>
    <cellStyle name="Input 2 7 2 5 6 4 2" xfId="30171" xr:uid="{00000000-0005-0000-0000-000060320000}"/>
    <cellStyle name="Input 2 7 2 5 6 4 3" xfId="41016" xr:uid="{00000000-0005-0000-0000-000061320000}"/>
    <cellStyle name="Input 2 7 2 5 6 4 4" xfId="19251" xr:uid="{00000000-0005-0000-0000-000062320000}"/>
    <cellStyle name="Input 2 7 2 5 6 5" xfId="21995" xr:uid="{00000000-0005-0000-0000-000063320000}"/>
    <cellStyle name="Input 2 7 2 5 6 6" xfId="32840" xr:uid="{00000000-0005-0000-0000-000064320000}"/>
    <cellStyle name="Input 2 7 2 5 6 7" xfId="13397" xr:uid="{00000000-0005-0000-0000-000065320000}"/>
    <cellStyle name="Input 2 7 2 5 7" xfId="3707" xr:uid="{00000000-0005-0000-0000-000066320000}"/>
    <cellStyle name="Input 2 7 2 5 7 2" xfId="22679" xr:uid="{00000000-0005-0000-0000-000067320000}"/>
    <cellStyle name="Input 2 7 2 5 7 3" xfId="33524" xr:uid="{00000000-0005-0000-0000-000068320000}"/>
    <cellStyle name="Input 2 7 2 5 7 4" xfId="13878" xr:uid="{00000000-0005-0000-0000-000069320000}"/>
    <cellStyle name="Input 2 7 2 5 8" xfId="6382" xr:uid="{00000000-0005-0000-0000-00006A320000}"/>
    <cellStyle name="Input 2 7 2 5 8 2" xfId="25354" xr:uid="{00000000-0005-0000-0000-00006B320000}"/>
    <cellStyle name="Input 2 7 2 5 8 3" xfId="36199" xr:uid="{00000000-0005-0000-0000-00006C320000}"/>
    <cellStyle name="Input 2 7 2 5 8 4" xfId="15794" xr:uid="{00000000-0005-0000-0000-00006D320000}"/>
    <cellStyle name="Input 2 7 2 5 9" xfId="9041" xr:uid="{00000000-0005-0000-0000-00006E320000}"/>
    <cellStyle name="Input 2 7 2 5 9 2" xfId="28013" xr:uid="{00000000-0005-0000-0000-00006F320000}"/>
    <cellStyle name="Input 2 7 2 5 9 3" xfId="38858" xr:uid="{00000000-0005-0000-0000-000070320000}"/>
    <cellStyle name="Input 2 7 2 5 9 4" xfId="17698" xr:uid="{00000000-0005-0000-0000-000071320000}"/>
    <cellStyle name="Input 2 7 2 6" xfId="1074" xr:uid="{00000000-0005-0000-0000-000072320000}"/>
    <cellStyle name="Input 2 7 2 6 2" xfId="3927" xr:uid="{00000000-0005-0000-0000-000073320000}"/>
    <cellStyle name="Input 2 7 2 6 2 2" xfId="22899" xr:uid="{00000000-0005-0000-0000-000074320000}"/>
    <cellStyle name="Input 2 7 2 6 2 3" xfId="33744" xr:uid="{00000000-0005-0000-0000-000075320000}"/>
    <cellStyle name="Input 2 7 2 6 2 4" xfId="14040" xr:uid="{00000000-0005-0000-0000-000076320000}"/>
    <cellStyle name="Input 2 7 2 6 3" xfId="6601" xr:uid="{00000000-0005-0000-0000-000077320000}"/>
    <cellStyle name="Input 2 7 2 6 3 2" xfId="25573" xr:uid="{00000000-0005-0000-0000-000078320000}"/>
    <cellStyle name="Input 2 7 2 6 3 3" xfId="36418" xr:uid="{00000000-0005-0000-0000-000079320000}"/>
    <cellStyle name="Input 2 7 2 6 3 4" xfId="15956" xr:uid="{00000000-0005-0000-0000-00007A320000}"/>
    <cellStyle name="Input 2 7 2 6 4" xfId="9260" xr:uid="{00000000-0005-0000-0000-00007B320000}"/>
    <cellStyle name="Input 2 7 2 6 4 2" xfId="28232" xr:uid="{00000000-0005-0000-0000-00007C320000}"/>
    <cellStyle name="Input 2 7 2 6 4 3" xfId="39077" xr:uid="{00000000-0005-0000-0000-00007D320000}"/>
    <cellStyle name="Input 2 7 2 6 4 4" xfId="17860" xr:uid="{00000000-0005-0000-0000-00007E320000}"/>
    <cellStyle name="Input 2 7 2 6 5" xfId="20056" xr:uid="{00000000-0005-0000-0000-00007F320000}"/>
    <cellStyle name="Input 2 7 2 6 6" xfId="30901" xr:uid="{00000000-0005-0000-0000-000080320000}"/>
    <cellStyle name="Input 2 7 2 6 7" xfId="12006" xr:uid="{00000000-0005-0000-0000-000081320000}"/>
    <cellStyle name="Input 2 7 2 7" xfId="998" xr:uid="{00000000-0005-0000-0000-000082320000}"/>
    <cellStyle name="Input 2 7 2 7 2" xfId="3851" xr:uid="{00000000-0005-0000-0000-000083320000}"/>
    <cellStyle name="Input 2 7 2 7 2 2" xfId="22823" xr:uid="{00000000-0005-0000-0000-000084320000}"/>
    <cellStyle name="Input 2 7 2 7 2 3" xfId="33668" xr:uid="{00000000-0005-0000-0000-000085320000}"/>
    <cellStyle name="Input 2 7 2 7 2 4" xfId="13980" xr:uid="{00000000-0005-0000-0000-000086320000}"/>
    <cellStyle name="Input 2 7 2 7 3" xfId="6526" xr:uid="{00000000-0005-0000-0000-000087320000}"/>
    <cellStyle name="Input 2 7 2 7 3 2" xfId="25498" xr:uid="{00000000-0005-0000-0000-000088320000}"/>
    <cellStyle name="Input 2 7 2 7 3 3" xfId="36343" xr:uid="{00000000-0005-0000-0000-000089320000}"/>
    <cellStyle name="Input 2 7 2 7 3 4" xfId="15896" xr:uid="{00000000-0005-0000-0000-00008A320000}"/>
    <cellStyle name="Input 2 7 2 7 4" xfId="9185" xr:uid="{00000000-0005-0000-0000-00008B320000}"/>
    <cellStyle name="Input 2 7 2 7 4 2" xfId="28157" xr:uid="{00000000-0005-0000-0000-00008C320000}"/>
    <cellStyle name="Input 2 7 2 7 4 3" xfId="39002" xr:uid="{00000000-0005-0000-0000-00008D320000}"/>
    <cellStyle name="Input 2 7 2 7 4 4" xfId="17800" xr:uid="{00000000-0005-0000-0000-00008E320000}"/>
    <cellStyle name="Input 2 7 2 7 5" xfId="19981" xr:uid="{00000000-0005-0000-0000-00008F320000}"/>
    <cellStyle name="Input 2 7 2 7 6" xfId="30826" xr:uid="{00000000-0005-0000-0000-000090320000}"/>
    <cellStyle name="Input 2 7 2 7 7" xfId="11946" xr:uid="{00000000-0005-0000-0000-000091320000}"/>
    <cellStyle name="Input 2 7 2 8" xfId="923" xr:uid="{00000000-0005-0000-0000-000092320000}"/>
    <cellStyle name="Input 2 7 2 8 2" xfId="3778" xr:uid="{00000000-0005-0000-0000-000093320000}"/>
    <cellStyle name="Input 2 7 2 8 2 2" xfId="22750" xr:uid="{00000000-0005-0000-0000-000094320000}"/>
    <cellStyle name="Input 2 7 2 8 2 3" xfId="33595" xr:uid="{00000000-0005-0000-0000-000095320000}"/>
    <cellStyle name="Input 2 7 2 8 2 4" xfId="13924" xr:uid="{00000000-0005-0000-0000-000096320000}"/>
    <cellStyle name="Input 2 7 2 8 3" xfId="6453" xr:uid="{00000000-0005-0000-0000-000097320000}"/>
    <cellStyle name="Input 2 7 2 8 3 2" xfId="25425" xr:uid="{00000000-0005-0000-0000-000098320000}"/>
    <cellStyle name="Input 2 7 2 8 3 3" xfId="36270" xr:uid="{00000000-0005-0000-0000-000099320000}"/>
    <cellStyle name="Input 2 7 2 8 3 4" xfId="15840" xr:uid="{00000000-0005-0000-0000-00009A320000}"/>
    <cellStyle name="Input 2 7 2 8 4" xfId="9112" xr:uid="{00000000-0005-0000-0000-00009B320000}"/>
    <cellStyle name="Input 2 7 2 8 4 2" xfId="28084" xr:uid="{00000000-0005-0000-0000-00009C320000}"/>
    <cellStyle name="Input 2 7 2 8 4 3" xfId="38929" xr:uid="{00000000-0005-0000-0000-00009D320000}"/>
    <cellStyle name="Input 2 7 2 8 4 4" xfId="17744" xr:uid="{00000000-0005-0000-0000-00009E320000}"/>
    <cellStyle name="Input 2 7 2 8 5" xfId="19908" xr:uid="{00000000-0005-0000-0000-00009F320000}"/>
    <cellStyle name="Input 2 7 2 8 6" xfId="30753" xr:uid="{00000000-0005-0000-0000-0000A0320000}"/>
    <cellStyle name="Input 2 7 2 8 7" xfId="11890" xr:uid="{00000000-0005-0000-0000-0000A1320000}"/>
    <cellStyle name="Input 2 7 2 9" xfId="1018" xr:uid="{00000000-0005-0000-0000-0000A2320000}"/>
    <cellStyle name="Input 2 7 2 9 2" xfId="3871" xr:uid="{00000000-0005-0000-0000-0000A3320000}"/>
    <cellStyle name="Input 2 7 2 9 2 2" xfId="22843" xr:uid="{00000000-0005-0000-0000-0000A4320000}"/>
    <cellStyle name="Input 2 7 2 9 2 3" xfId="33688" xr:uid="{00000000-0005-0000-0000-0000A5320000}"/>
    <cellStyle name="Input 2 7 2 9 2 4" xfId="13994" xr:uid="{00000000-0005-0000-0000-0000A6320000}"/>
    <cellStyle name="Input 2 7 2 9 3" xfId="6545" xr:uid="{00000000-0005-0000-0000-0000A7320000}"/>
    <cellStyle name="Input 2 7 2 9 3 2" xfId="25517" xr:uid="{00000000-0005-0000-0000-0000A8320000}"/>
    <cellStyle name="Input 2 7 2 9 3 3" xfId="36362" xr:uid="{00000000-0005-0000-0000-0000A9320000}"/>
    <cellStyle name="Input 2 7 2 9 3 4" xfId="15910" xr:uid="{00000000-0005-0000-0000-0000AA320000}"/>
    <cellStyle name="Input 2 7 2 9 4" xfId="9204" xr:uid="{00000000-0005-0000-0000-0000AB320000}"/>
    <cellStyle name="Input 2 7 2 9 4 2" xfId="28176" xr:uid="{00000000-0005-0000-0000-0000AC320000}"/>
    <cellStyle name="Input 2 7 2 9 4 3" xfId="39021" xr:uid="{00000000-0005-0000-0000-0000AD320000}"/>
    <cellStyle name="Input 2 7 2 9 4 4" xfId="17814" xr:uid="{00000000-0005-0000-0000-0000AE320000}"/>
    <cellStyle name="Input 2 7 2 9 5" xfId="20000" xr:uid="{00000000-0005-0000-0000-0000AF320000}"/>
    <cellStyle name="Input 2 7 2 9 6" xfId="30845" xr:uid="{00000000-0005-0000-0000-0000B0320000}"/>
    <cellStyle name="Input 2 7 2 9 7" xfId="11960" xr:uid="{00000000-0005-0000-0000-0000B1320000}"/>
    <cellStyle name="Input 2 7 3" xfId="556" xr:uid="{00000000-0005-0000-0000-0000B2320000}"/>
    <cellStyle name="Input 2 7 3 10" xfId="19566" xr:uid="{00000000-0005-0000-0000-0000B3320000}"/>
    <cellStyle name="Input 2 7 3 11" xfId="30411" xr:uid="{00000000-0005-0000-0000-0000B4320000}"/>
    <cellStyle name="Input 2 7 3 12" xfId="11630" xr:uid="{00000000-0005-0000-0000-0000B5320000}"/>
    <cellStyle name="Input 2 7 3 2" xfId="1162" xr:uid="{00000000-0005-0000-0000-0000B6320000}"/>
    <cellStyle name="Input 2 7 3 2 2" xfId="4015" xr:uid="{00000000-0005-0000-0000-0000B7320000}"/>
    <cellStyle name="Input 2 7 3 2 2 2" xfId="22987" xr:uid="{00000000-0005-0000-0000-0000B8320000}"/>
    <cellStyle name="Input 2 7 3 2 2 3" xfId="33832" xr:uid="{00000000-0005-0000-0000-0000B9320000}"/>
    <cellStyle name="Input 2 7 3 2 2 4" xfId="14107" xr:uid="{00000000-0005-0000-0000-0000BA320000}"/>
    <cellStyle name="Input 2 7 3 2 3" xfId="6688" xr:uid="{00000000-0005-0000-0000-0000BB320000}"/>
    <cellStyle name="Input 2 7 3 2 3 2" xfId="25660" xr:uid="{00000000-0005-0000-0000-0000BC320000}"/>
    <cellStyle name="Input 2 7 3 2 3 3" xfId="36505" xr:uid="{00000000-0005-0000-0000-0000BD320000}"/>
    <cellStyle name="Input 2 7 3 2 3 4" xfId="16022" xr:uid="{00000000-0005-0000-0000-0000BE320000}"/>
    <cellStyle name="Input 2 7 3 2 4" xfId="9347" xr:uid="{00000000-0005-0000-0000-0000BF320000}"/>
    <cellStyle name="Input 2 7 3 2 4 2" xfId="28319" xr:uid="{00000000-0005-0000-0000-0000C0320000}"/>
    <cellStyle name="Input 2 7 3 2 4 3" xfId="39164" xr:uid="{00000000-0005-0000-0000-0000C1320000}"/>
    <cellStyle name="Input 2 7 3 2 4 4" xfId="17926" xr:uid="{00000000-0005-0000-0000-0000C2320000}"/>
    <cellStyle name="Input 2 7 3 2 5" xfId="20143" xr:uid="{00000000-0005-0000-0000-0000C3320000}"/>
    <cellStyle name="Input 2 7 3 2 6" xfId="30988" xr:uid="{00000000-0005-0000-0000-0000C4320000}"/>
    <cellStyle name="Input 2 7 3 2 7" xfId="12072" xr:uid="{00000000-0005-0000-0000-0000C5320000}"/>
    <cellStyle name="Input 2 7 3 3" xfId="1559" xr:uid="{00000000-0005-0000-0000-0000C6320000}"/>
    <cellStyle name="Input 2 7 3 3 2" xfId="4412" xr:uid="{00000000-0005-0000-0000-0000C7320000}"/>
    <cellStyle name="Input 2 7 3 3 2 2" xfId="23384" xr:uid="{00000000-0005-0000-0000-0000C8320000}"/>
    <cellStyle name="Input 2 7 3 3 2 3" xfId="34229" xr:uid="{00000000-0005-0000-0000-0000C9320000}"/>
    <cellStyle name="Input 2 7 3 3 2 4" xfId="14393" xr:uid="{00000000-0005-0000-0000-0000CA320000}"/>
    <cellStyle name="Input 2 7 3 3 3" xfId="7084" xr:uid="{00000000-0005-0000-0000-0000CB320000}"/>
    <cellStyle name="Input 2 7 3 3 3 2" xfId="26056" xr:uid="{00000000-0005-0000-0000-0000CC320000}"/>
    <cellStyle name="Input 2 7 3 3 3 3" xfId="36901" xr:uid="{00000000-0005-0000-0000-0000CD320000}"/>
    <cellStyle name="Input 2 7 3 3 3 4" xfId="16307" xr:uid="{00000000-0005-0000-0000-0000CE320000}"/>
    <cellStyle name="Input 2 7 3 3 4" xfId="9743" xr:uid="{00000000-0005-0000-0000-0000CF320000}"/>
    <cellStyle name="Input 2 7 3 3 4 2" xfId="28715" xr:uid="{00000000-0005-0000-0000-0000D0320000}"/>
    <cellStyle name="Input 2 7 3 3 4 3" xfId="39560" xr:uid="{00000000-0005-0000-0000-0000D1320000}"/>
    <cellStyle name="Input 2 7 3 3 4 4" xfId="18211" xr:uid="{00000000-0005-0000-0000-0000D2320000}"/>
    <cellStyle name="Input 2 7 3 3 5" xfId="20539" xr:uid="{00000000-0005-0000-0000-0000D3320000}"/>
    <cellStyle name="Input 2 7 3 3 6" xfId="31384" xr:uid="{00000000-0005-0000-0000-0000D4320000}"/>
    <cellStyle name="Input 2 7 3 3 7" xfId="12357" xr:uid="{00000000-0005-0000-0000-0000D5320000}"/>
    <cellStyle name="Input 2 7 3 4" xfId="1963" xr:uid="{00000000-0005-0000-0000-0000D6320000}"/>
    <cellStyle name="Input 2 7 3 4 2" xfId="4816" xr:uid="{00000000-0005-0000-0000-0000D7320000}"/>
    <cellStyle name="Input 2 7 3 4 2 2" xfId="23788" xr:uid="{00000000-0005-0000-0000-0000D8320000}"/>
    <cellStyle name="Input 2 7 3 4 2 3" xfId="34633" xr:uid="{00000000-0005-0000-0000-0000D9320000}"/>
    <cellStyle name="Input 2 7 3 4 2 4" xfId="14681" xr:uid="{00000000-0005-0000-0000-0000DA320000}"/>
    <cellStyle name="Input 2 7 3 4 3" xfId="7488" xr:uid="{00000000-0005-0000-0000-0000DB320000}"/>
    <cellStyle name="Input 2 7 3 4 3 2" xfId="26460" xr:uid="{00000000-0005-0000-0000-0000DC320000}"/>
    <cellStyle name="Input 2 7 3 4 3 3" xfId="37305" xr:uid="{00000000-0005-0000-0000-0000DD320000}"/>
    <cellStyle name="Input 2 7 3 4 3 4" xfId="16595" xr:uid="{00000000-0005-0000-0000-0000DE320000}"/>
    <cellStyle name="Input 2 7 3 4 4" xfId="10147" xr:uid="{00000000-0005-0000-0000-0000DF320000}"/>
    <cellStyle name="Input 2 7 3 4 4 2" xfId="29119" xr:uid="{00000000-0005-0000-0000-0000E0320000}"/>
    <cellStyle name="Input 2 7 3 4 4 3" xfId="39964" xr:uid="{00000000-0005-0000-0000-0000E1320000}"/>
    <cellStyle name="Input 2 7 3 4 4 4" xfId="18499" xr:uid="{00000000-0005-0000-0000-0000E2320000}"/>
    <cellStyle name="Input 2 7 3 4 5" xfId="20943" xr:uid="{00000000-0005-0000-0000-0000E3320000}"/>
    <cellStyle name="Input 2 7 3 4 6" xfId="31788" xr:uid="{00000000-0005-0000-0000-0000E4320000}"/>
    <cellStyle name="Input 2 7 3 4 7" xfId="12645" xr:uid="{00000000-0005-0000-0000-0000E5320000}"/>
    <cellStyle name="Input 2 7 3 5" xfId="2355" xr:uid="{00000000-0005-0000-0000-0000E6320000}"/>
    <cellStyle name="Input 2 7 3 5 2" xfId="5208" xr:uid="{00000000-0005-0000-0000-0000E7320000}"/>
    <cellStyle name="Input 2 7 3 5 2 2" xfId="24180" xr:uid="{00000000-0005-0000-0000-0000E8320000}"/>
    <cellStyle name="Input 2 7 3 5 2 3" xfId="35025" xr:uid="{00000000-0005-0000-0000-0000E9320000}"/>
    <cellStyle name="Input 2 7 3 5 2 4" xfId="14962" xr:uid="{00000000-0005-0000-0000-0000EA320000}"/>
    <cellStyle name="Input 2 7 3 5 3" xfId="7879" xr:uid="{00000000-0005-0000-0000-0000EB320000}"/>
    <cellStyle name="Input 2 7 3 5 3 2" xfId="26851" xr:uid="{00000000-0005-0000-0000-0000EC320000}"/>
    <cellStyle name="Input 2 7 3 5 3 3" xfId="37696" xr:uid="{00000000-0005-0000-0000-0000ED320000}"/>
    <cellStyle name="Input 2 7 3 5 3 4" xfId="16875" xr:uid="{00000000-0005-0000-0000-0000EE320000}"/>
    <cellStyle name="Input 2 7 3 5 4" xfId="10538" xr:uid="{00000000-0005-0000-0000-0000EF320000}"/>
    <cellStyle name="Input 2 7 3 5 4 2" xfId="29510" xr:uid="{00000000-0005-0000-0000-0000F0320000}"/>
    <cellStyle name="Input 2 7 3 5 4 3" xfId="40355" xr:uid="{00000000-0005-0000-0000-0000F1320000}"/>
    <cellStyle name="Input 2 7 3 5 4 4" xfId="18779" xr:uid="{00000000-0005-0000-0000-0000F2320000}"/>
    <cellStyle name="Input 2 7 3 5 5" xfId="21334" xr:uid="{00000000-0005-0000-0000-0000F3320000}"/>
    <cellStyle name="Input 2 7 3 5 6" xfId="32179" xr:uid="{00000000-0005-0000-0000-0000F4320000}"/>
    <cellStyle name="Input 2 7 3 5 7" xfId="12925" xr:uid="{00000000-0005-0000-0000-0000F5320000}"/>
    <cellStyle name="Input 2 7 3 6" xfId="2744" xr:uid="{00000000-0005-0000-0000-0000F6320000}"/>
    <cellStyle name="Input 2 7 3 6 2" xfId="5596" xr:uid="{00000000-0005-0000-0000-0000F7320000}"/>
    <cellStyle name="Input 2 7 3 6 2 2" xfId="24568" xr:uid="{00000000-0005-0000-0000-0000F8320000}"/>
    <cellStyle name="Input 2 7 3 6 2 3" xfId="35413" xr:uid="{00000000-0005-0000-0000-0000F9320000}"/>
    <cellStyle name="Input 2 7 3 6 2 4" xfId="15240" xr:uid="{00000000-0005-0000-0000-0000FA320000}"/>
    <cellStyle name="Input 2 7 3 6 3" xfId="8267" xr:uid="{00000000-0005-0000-0000-0000FB320000}"/>
    <cellStyle name="Input 2 7 3 6 3 2" xfId="27239" xr:uid="{00000000-0005-0000-0000-0000FC320000}"/>
    <cellStyle name="Input 2 7 3 6 3 3" xfId="38084" xr:uid="{00000000-0005-0000-0000-0000FD320000}"/>
    <cellStyle name="Input 2 7 3 6 3 4" xfId="17153" xr:uid="{00000000-0005-0000-0000-0000FE320000}"/>
    <cellStyle name="Input 2 7 3 6 4" xfId="10926" xr:uid="{00000000-0005-0000-0000-0000FF320000}"/>
    <cellStyle name="Input 2 7 3 6 4 2" xfId="29898" xr:uid="{00000000-0005-0000-0000-000000330000}"/>
    <cellStyle name="Input 2 7 3 6 4 3" xfId="40743" xr:uid="{00000000-0005-0000-0000-000001330000}"/>
    <cellStyle name="Input 2 7 3 6 4 4" xfId="19057" xr:uid="{00000000-0005-0000-0000-000002330000}"/>
    <cellStyle name="Input 2 7 3 6 5" xfId="21722" xr:uid="{00000000-0005-0000-0000-000003330000}"/>
    <cellStyle name="Input 2 7 3 6 6" xfId="32567" xr:uid="{00000000-0005-0000-0000-000004330000}"/>
    <cellStyle name="Input 2 7 3 6 7" xfId="13203" xr:uid="{00000000-0005-0000-0000-000005330000}"/>
    <cellStyle name="Input 2 7 3 7" xfId="3435" xr:uid="{00000000-0005-0000-0000-000006330000}"/>
    <cellStyle name="Input 2 7 3 7 2" xfId="22407" xr:uid="{00000000-0005-0000-0000-000007330000}"/>
    <cellStyle name="Input 2 7 3 7 3" xfId="33252" xr:uid="{00000000-0005-0000-0000-000008330000}"/>
    <cellStyle name="Input 2 7 3 7 4" xfId="13685" xr:uid="{00000000-0005-0000-0000-000009330000}"/>
    <cellStyle name="Input 2 7 3 8" xfId="6111" xr:uid="{00000000-0005-0000-0000-00000A330000}"/>
    <cellStyle name="Input 2 7 3 8 2" xfId="25083" xr:uid="{00000000-0005-0000-0000-00000B330000}"/>
    <cellStyle name="Input 2 7 3 8 3" xfId="35928" xr:uid="{00000000-0005-0000-0000-00000C330000}"/>
    <cellStyle name="Input 2 7 3 8 4" xfId="15602" xr:uid="{00000000-0005-0000-0000-00000D330000}"/>
    <cellStyle name="Input 2 7 3 9" xfId="8770" xr:uid="{00000000-0005-0000-0000-00000E330000}"/>
    <cellStyle name="Input 2 7 3 9 2" xfId="27742" xr:uid="{00000000-0005-0000-0000-00000F330000}"/>
    <cellStyle name="Input 2 7 3 9 3" xfId="38587" xr:uid="{00000000-0005-0000-0000-000010330000}"/>
    <cellStyle name="Input 2 7 3 9 4" xfId="17506" xr:uid="{00000000-0005-0000-0000-000011330000}"/>
    <cellStyle name="Input 2 7 4" xfId="11454" xr:uid="{00000000-0005-0000-0000-000012330000}"/>
    <cellStyle name="Input 2 8" xfId="103" xr:uid="{00000000-0005-0000-0000-000013330000}"/>
    <cellStyle name="Input 2 8 2" xfId="373" xr:uid="{00000000-0005-0000-0000-000014330000}"/>
    <cellStyle name="Input 2 8 2 10" xfId="949" xr:uid="{00000000-0005-0000-0000-000015330000}"/>
    <cellStyle name="Input 2 8 2 10 2" xfId="3802" xr:uid="{00000000-0005-0000-0000-000016330000}"/>
    <cellStyle name="Input 2 8 2 10 2 2" xfId="22774" xr:uid="{00000000-0005-0000-0000-000017330000}"/>
    <cellStyle name="Input 2 8 2 10 2 3" xfId="33619" xr:uid="{00000000-0005-0000-0000-000018330000}"/>
    <cellStyle name="Input 2 8 2 10 2 4" xfId="13947" xr:uid="{00000000-0005-0000-0000-000019330000}"/>
    <cellStyle name="Input 2 8 2 10 3" xfId="6477" xr:uid="{00000000-0005-0000-0000-00001A330000}"/>
    <cellStyle name="Input 2 8 2 10 3 2" xfId="25449" xr:uid="{00000000-0005-0000-0000-00001B330000}"/>
    <cellStyle name="Input 2 8 2 10 3 3" xfId="36294" xr:uid="{00000000-0005-0000-0000-00001C330000}"/>
    <cellStyle name="Input 2 8 2 10 3 4" xfId="15863" xr:uid="{00000000-0005-0000-0000-00001D330000}"/>
    <cellStyle name="Input 2 8 2 10 4" xfId="9136" xr:uid="{00000000-0005-0000-0000-00001E330000}"/>
    <cellStyle name="Input 2 8 2 10 4 2" xfId="28108" xr:uid="{00000000-0005-0000-0000-00001F330000}"/>
    <cellStyle name="Input 2 8 2 10 4 3" xfId="38953" xr:uid="{00000000-0005-0000-0000-000020330000}"/>
    <cellStyle name="Input 2 8 2 10 4 4" xfId="17767" xr:uid="{00000000-0005-0000-0000-000021330000}"/>
    <cellStyle name="Input 2 8 2 10 5" xfId="19932" xr:uid="{00000000-0005-0000-0000-000022330000}"/>
    <cellStyle name="Input 2 8 2 10 6" xfId="30777" xr:uid="{00000000-0005-0000-0000-000023330000}"/>
    <cellStyle name="Input 2 8 2 10 7" xfId="11913" xr:uid="{00000000-0005-0000-0000-000024330000}"/>
    <cellStyle name="Input 2 8 2 11" xfId="936" xr:uid="{00000000-0005-0000-0000-000025330000}"/>
    <cellStyle name="Input 2 8 2 11 2" xfId="3790" xr:uid="{00000000-0005-0000-0000-000026330000}"/>
    <cellStyle name="Input 2 8 2 11 2 2" xfId="22762" xr:uid="{00000000-0005-0000-0000-000027330000}"/>
    <cellStyle name="Input 2 8 2 11 2 3" xfId="33607" xr:uid="{00000000-0005-0000-0000-000028330000}"/>
    <cellStyle name="Input 2 8 2 11 2 4" xfId="13935" xr:uid="{00000000-0005-0000-0000-000029330000}"/>
    <cellStyle name="Input 2 8 2 11 3" xfId="6465" xr:uid="{00000000-0005-0000-0000-00002A330000}"/>
    <cellStyle name="Input 2 8 2 11 3 2" xfId="25437" xr:uid="{00000000-0005-0000-0000-00002B330000}"/>
    <cellStyle name="Input 2 8 2 11 3 3" xfId="36282" xr:uid="{00000000-0005-0000-0000-00002C330000}"/>
    <cellStyle name="Input 2 8 2 11 3 4" xfId="15851" xr:uid="{00000000-0005-0000-0000-00002D330000}"/>
    <cellStyle name="Input 2 8 2 11 4" xfId="9124" xr:uid="{00000000-0005-0000-0000-00002E330000}"/>
    <cellStyle name="Input 2 8 2 11 4 2" xfId="28096" xr:uid="{00000000-0005-0000-0000-00002F330000}"/>
    <cellStyle name="Input 2 8 2 11 4 3" xfId="38941" xr:uid="{00000000-0005-0000-0000-000030330000}"/>
    <cellStyle name="Input 2 8 2 11 4 4" xfId="17755" xr:uid="{00000000-0005-0000-0000-000031330000}"/>
    <cellStyle name="Input 2 8 2 11 5" xfId="19920" xr:uid="{00000000-0005-0000-0000-000032330000}"/>
    <cellStyle name="Input 2 8 2 11 6" xfId="30765" xr:uid="{00000000-0005-0000-0000-000033330000}"/>
    <cellStyle name="Input 2 8 2 11 7" xfId="11901" xr:uid="{00000000-0005-0000-0000-000034330000}"/>
    <cellStyle name="Input 2 8 2 12" xfId="3109" xr:uid="{00000000-0005-0000-0000-000035330000}"/>
    <cellStyle name="Input 2 8 2 12 2" xfId="5960" xr:uid="{00000000-0005-0000-0000-000036330000}"/>
    <cellStyle name="Input 2 8 2 12 2 2" xfId="24932" xr:uid="{00000000-0005-0000-0000-000037330000}"/>
    <cellStyle name="Input 2 8 2 12 2 3" xfId="35777" xr:uid="{00000000-0005-0000-0000-000038330000}"/>
    <cellStyle name="Input 2 8 2 12 2 4" xfId="15495" xr:uid="{00000000-0005-0000-0000-000039330000}"/>
    <cellStyle name="Input 2 8 2 12 3" xfId="8631" xr:uid="{00000000-0005-0000-0000-00003A330000}"/>
    <cellStyle name="Input 2 8 2 12 3 2" xfId="27603" xr:uid="{00000000-0005-0000-0000-00003B330000}"/>
    <cellStyle name="Input 2 8 2 12 3 3" xfId="38448" xr:uid="{00000000-0005-0000-0000-00003C330000}"/>
    <cellStyle name="Input 2 8 2 12 3 4" xfId="17408" xr:uid="{00000000-0005-0000-0000-00003D330000}"/>
    <cellStyle name="Input 2 8 2 12 4" xfId="11290" xr:uid="{00000000-0005-0000-0000-00003E330000}"/>
    <cellStyle name="Input 2 8 2 12 4 2" xfId="30262" xr:uid="{00000000-0005-0000-0000-00003F330000}"/>
    <cellStyle name="Input 2 8 2 12 4 3" xfId="41107" xr:uid="{00000000-0005-0000-0000-000040330000}"/>
    <cellStyle name="Input 2 8 2 12 4 4" xfId="19312" xr:uid="{00000000-0005-0000-0000-000041330000}"/>
    <cellStyle name="Input 2 8 2 12 5" xfId="22086" xr:uid="{00000000-0005-0000-0000-000042330000}"/>
    <cellStyle name="Input 2 8 2 12 6" xfId="32931" xr:uid="{00000000-0005-0000-0000-000043330000}"/>
    <cellStyle name="Input 2 8 2 12 7" xfId="13458" xr:uid="{00000000-0005-0000-0000-000044330000}"/>
    <cellStyle name="Input 2 8 2 13" xfId="3166" xr:uid="{00000000-0005-0000-0000-000045330000}"/>
    <cellStyle name="Input 2 8 2 13 2" xfId="6017" xr:uid="{00000000-0005-0000-0000-000046330000}"/>
    <cellStyle name="Input 2 8 2 13 2 2" xfId="24989" xr:uid="{00000000-0005-0000-0000-000047330000}"/>
    <cellStyle name="Input 2 8 2 13 2 3" xfId="35834" xr:uid="{00000000-0005-0000-0000-000048330000}"/>
    <cellStyle name="Input 2 8 2 13 2 4" xfId="15532" xr:uid="{00000000-0005-0000-0000-000049330000}"/>
    <cellStyle name="Input 2 8 2 13 3" xfId="8688" xr:uid="{00000000-0005-0000-0000-00004A330000}"/>
    <cellStyle name="Input 2 8 2 13 3 2" xfId="27660" xr:uid="{00000000-0005-0000-0000-00004B330000}"/>
    <cellStyle name="Input 2 8 2 13 3 3" xfId="38505" xr:uid="{00000000-0005-0000-0000-00004C330000}"/>
    <cellStyle name="Input 2 8 2 13 3 4" xfId="17445" xr:uid="{00000000-0005-0000-0000-00004D330000}"/>
    <cellStyle name="Input 2 8 2 13 4" xfId="11347" xr:uid="{00000000-0005-0000-0000-00004E330000}"/>
    <cellStyle name="Input 2 8 2 13 4 2" xfId="30319" xr:uid="{00000000-0005-0000-0000-00004F330000}"/>
    <cellStyle name="Input 2 8 2 13 4 3" xfId="41164" xr:uid="{00000000-0005-0000-0000-000050330000}"/>
    <cellStyle name="Input 2 8 2 13 4 4" xfId="19349" xr:uid="{00000000-0005-0000-0000-000051330000}"/>
    <cellStyle name="Input 2 8 2 13 5" xfId="22143" xr:uid="{00000000-0005-0000-0000-000052330000}"/>
    <cellStyle name="Input 2 8 2 13 6" xfId="32988" xr:uid="{00000000-0005-0000-0000-000053330000}"/>
    <cellStyle name="Input 2 8 2 13 7" xfId="13495" xr:uid="{00000000-0005-0000-0000-000054330000}"/>
    <cellStyle name="Input 2 8 2 14" xfId="3332" xr:uid="{00000000-0005-0000-0000-000055330000}"/>
    <cellStyle name="Input 2 8 2 14 2" xfId="22306" xr:uid="{00000000-0005-0000-0000-000056330000}"/>
    <cellStyle name="Input 2 8 2 14 3" xfId="33151" xr:uid="{00000000-0005-0000-0000-000057330000}"/>
    <cellStyle name="Input 2 8 2 14 4" xfId="13612" xr:uid="{00000000-0005-0000-0000-000058330000}"/>
    <cellStyle name="Input 2 8 2 15" xfId="3252" xr:uid="{00000000-0005-0000-0000-000059330000}"/>
    <cellStyle name="Input 2 8 2 15 2" xfId="22228" xr:uid="{00000000-0005-0000-0000-00005A330000}"/>
    <cellStyle name="Input 2 8 2 15 3" xfId="33073" xr:uid="{00000000-0005-0000-0000-00005B330000}"/>
    <cellStyle name="Input 2 8 2 15 4" xfId="13554" xr:uid="{00000000-0005-0000-0000-00005C330000}"/>
    <cellStyle name="Input 2 8 2 16" xfId="3312" xr:uid="{00000000-0005-0000-0000-00005D330000}"/>
    <cellStyle name="Input 2 8 2 16 2" xfId="22286" xr:uid="{00000000-0005-0000-0000-00005E330000}"/>
    <cellStyle name="Input 2 8 2 16 3" xfId="33131" xr:uid="{00000000-0005-0000-0000-00005F330000}"/>
    <cellStyle name="Input 2 8 2 16 4" xfId="13596" xr:uid="{00000000-0005-0000-0000-000060330000}"/>
    <cellStyle name="Input 2 8 2 17" xfId="19463" xr:uid="{00000000-0005-0000-0000-000061330000}"/>
    <cellStyle name="Input 2 8 2 18" xfId="19417" xr:uid="{00000000-0005-0000-0000-000062330000}"/>
    <cellStyle name="Input 2 8 2 19" xfId="11522" xr:uid="{00000000-0005-0000-0000-000063330000}"/>
    <cellStyle name="Input 2 8 2 2" xfId="674" xr:uid="{00000000-0005-0000-0000-000064330000}"/>
    <cellStyle name="Input 2 8 2 2 10" xfId="19659" xr:uid="{00000000-0005-0000-0000-000065330000}"/>
    <cellStyle name="Input 2 8 2 2 11" xfId="30504" xr:uid="{00000000-0005-0000-0000-000066330000}"/>
    <cellStyle name="Input 2 8 2 2 12" xfId="11726" xr:uid="{00000000-0005-0000-0000-000067330000}"/>
    <cellStyle name="Input 2 8 2 2 2" xfId="1261" xr:uid="{00000000-0005-0000-0000-000068330000}"/>
    <cellStyle name="Input 2 8 2 2 2 2" xfId="4114" xr:uid="{00000000-0005-0000-0000-000069330000}"/>
    <cellStyle name="Input 2 8 2 2 2 2 2" xfId="23086" xr:uid="{00000000-0005-0000-0000-00006A330000}"/>
    <cellStyle name="Input 2 8 2 2 2 2 3" xfId="33931" xr:uid="{00000000-0005-0000-0000-00006B330000}"/>
    <cellStyle name="Input 2 8 2 2 2 2 4" xfId="14187" xr:uid="{00000000-0005-0000-0000-00006C330000}"/>
    <cellStyle name="Input 2 8 2 2 2 3" xfId="6787" xr:uid="{00000000-0005-0000-0000-00006D330000}"/>
    <cellStyle name="Input 2 8 2 2 2 3 2" xfId="25759" xr:uid="{00000000-0005-0000-0000-00006E330000}"/>
    <cellStyle name="Input 2 8 2 2 2 3 3" xfId="36604" xr:uid="{00000000-0005-0000-0000-00006F330000}"/>
    <cellStyle name="Input 2 8 2 2 2 3 4" xfId="16102" xr:uid="{00000000-0005-0000-0000-000070330000}"/>
    <cellStyle name="Input 2 8 2 2 2 4" xfId="9446" xr:uid="{00000000-0005-0000-0000-000071330000}"/>
    <cellStyle name="Input 2 8 2 2 2 4 2" xfId="28418" xr:uid="{00000000-0005-0000-0000-000072330000}"/>
    <cellStyle name="Input 2 8 2 2 2 4 3" xfId="39263" xr:uid="{00000000-0005-0000-0000-000073330000}"/>
    <cellStyle name="Input 2 8 2 2 2 4 4" xfId="18006" xr:uid="{00000000-0005-0000-0000-000074330000}"/>
    <cellStyle name="Input 2 8 2 2 2 5" xfId="20242" xr:uid="{00000000-0005-0000-0000-000075330000}"/>
    <cellStyle name="Input 2 8 2 2 2 6" xfId="31087" xr:uid="{00000000-0005-0000-0000-000076330000}"/>
    <cellStyle name="Input 2 8 2 2 2 7" xfId="12152" xr:uid="{00000000-0005-0000-0000-000077330000}"/>
    <cellStyle name="Input 2 8 2 2 3" xfId="1660" xr:uid="{00000000-0005-0000-0000-000078330000}"/>
    <cellStyle name="Input 2 8 2 2 3 2" xfId="4513" xr:uid="{00000000-0005-0000-0000-000079330000}"/>
    <cellStyle name="Input 2 8 2 2 3 2 2" xfId="23485" xr:uid="{00000000-0005-0000-0000-00007A330000}"/>
    <cellStyle name="Input 2 8 2 2 3 2 3" xfId="34330" xr:uid="{00000000-0005-0000-0000-00007B330000}"/>
    <cellStyle name="Input 2 8 2 2 3 2 4" xfId="14474" xr:uid="{00000000-0005-0000-0000-00007C330000}"/>
    <cellStyle name="Input 2 8 2 2 3 3" xfId="7185" xr:uid="{00000000-0005-0000-0000-00007D330000}"/>
    <cellStyle name="Input 2 8 2 2 3 3 2" xfId="26157" xr:uid="{00000000-0005-0000-0000-00007E330000}"/>
    <cellStyle name="Input 2 8 2 2 3 3 3" xfId="37002" xr:uid="{00000000-0005-0000-0000-00007F330000}"/>
    <cellStyle name="Input 2 8 2 2 3 3 4" xfId="16388" xr:uid="{00000000-0005-0000-0000-000080330000}"/>
    <cellStyle name="Input 2 8 2 2 3 4" xfId="9844" xr:uid="{00000000-0005-0000-0000-000081330000}"/>
    <cellStyle name="Input 2 8 2 2 3 4 2" xfId="28816" xr:uid="{00000000-0005-0000-0000-000082330000}"/>
    <cellStyle name="Input 2 8 2 2 3 4 3" xfId="39661" xr:uid="{00000000-0005-0000-0000-000083330000}"/>
    <cellStyle name="Input 2 8 2 2 3 4 4" xfId="18292" xr:uid="{00000000-0005-0000-0000-000084330000}"/>
    <cellStyle name="Input 2 8 2 2 3 5" xfId="20640" xr:uid="{00000000-0005-0000-0000-000085330000}"/>
    <cellStyle name="Input 2 8 2 2 3 6" xfId="31485" xr:uid="{00000000-0005-0000-0000-000086330000}"/>
    <cellStyle name="Input 2 8 2 2 3 7" xfId="12438" xr:uid="{00000000-0005-0000-0000-000087330000}"/>
    <cellStyle name="Input 2 8 2 2 4" xfId="2064" xr:uid="{00000000-0005-0000-0000-000088330000}"/>
    <cellStyle name="Input 2 8 2 2 4 2" xfId="4917" xr:uid="{00000000-0005-0000-0000-000089330000}"/>
    <cellStyle name="Input 2 8 2 2 4 2 2" xfId="23889" xr:uid="{00000000-0005-0000-0000-00008A330000}"/>
    <cellStyle name="Input 2 8 2 2 4 2 3" xfId="34734" xr:uid="{00000000-0005-0000-0000-00008B330000}"/>
    <cellStyle name="Input 2 8 2 2 4 2 4" xfId="14761" xr:uid="{00000000-0005-0000-0000-00008C330000}"/>
    <cellStyle name="Input 2 8 2 2 4 3" xfId="7588" xr:uid="{00000000-0005-0000-0000-00008D330000}"/>
    <cellStyle name="Input 2 8 2 2 4 3 2" xfId="26560" xr:uid="{00000000-0005-0000-0000-00008E330000}"/>
    <cellStyle name="Input 2 8 2 2 4 3 3" xfId="37405" xr:uid="{00000000-0005-0000-0000-00008F330000}"/>
    <cellStyle name="Input 2 8 2 2 4 3 4" xfId="16674" xr:uid="{00000000-0005-0000-0000-000090330000}"/>
    <cellStyle name="Input 2 8 2 2 4 4" xfId="10247" xr:uid="{00000000-0005-0000-0000-000091330000}"/>
    <cellStyle name="Input 2 8 2 2 4 4 2" xfId="29219" xr:uid="{00000000-0005-0000-0000-000092330000}"/>
    <cellStyle name="Input 2 8 2 2 4 4 3" xfId="40064" xr:uid="{00000000-0005-0000-0000-000093330000}"/>
    <cellStyle name="Input 2 8 2 2 4 4 4" xfId="18578" xr:uid="{00000000-0005-0000-0000-000094330000}"/>
    <cellStyle name="Input 2 8 2 2 4 5" xfId="21043" xr:uid="{00000000-0005-0000-0000-000095330000}"/>
    <cellStyle name="Input 2 8 2 2 4 6" xfId="31888" xr:uid="{00000000-0005-0000-0000-000096330000}"/>
    <cellStyle name="Input 2 8 2 2 4 7" xfId="12724" xr:uid="{00000000-0005-0000-0000-000097330000}"/>
    <cellStyle name="Input 2 8 2 2 5" xfId="2454" xr:uid="{00000000-0005-0000-0000-000098330000}"/>
    <cellStyle name="Input 2 8 2 2 5 2" xfId="5306" xr:uid="{00000000-0005-0000-0000-000099330000}"/>
    <cellStyle name="Input 2 8 2 2 5 2 2" xfId="24278" xr:uid="{00000000-0005-0000-0000-00009A330000}"/>
    <cellStyle name="Input 2 8 2 2 5 2 3" xfId="35123" xr:uid="{00000000-0005-0000-0000-00009B330000}"/>
    <cellStyle name="Input 2 8 2 2 5 2 4" xfId="15040" xr:uid="{00000000-0005-0000-0000-00009C330000}"/>
    <cellStyle name="Input 2 8 2 2 5 3" xfId="7977" xr:uid="{00000000-0005-0000-0000-00009D330000}"/>
    <cellStyle name="Input 2 8 2 2 5 3 2" xfId="26949" xr:uid="{00000000-0005-0000-0000-00009E330000}"/>
    <cellStyle name="Input 2 8 2 2 5 3 3" xfId="37794" xr:uid="{00000000-0005-0000-0000-00009F330000}"/>
    <cellStyle name="Input 2 8 2 2 5 3 4" xfId="16953" xr:uid="{00000000-0005-0000-0000-0000A0330000}"/>
    <cellStyle name="Input 2 8 2 2 5 4" xfId="10636" xr:uid="{00000000-0005-0000-0000-0000A1330000}"/>
    <cellStyle name="Input 2 8 2 2 5 4 2" xfId="29608" xr:uid="{00000000-0005-0000-0000-0000A2330000}"/>
    <cellStyle name="Input 2 8 2 2 5 4 3" xfId="40453" xr:uid="{00000000-0005-0000-0000-0000A3330000}"/>
    <cellStyle name="Input 2 8 2 2 5 4 4" xfId="18857" xr:uid="{00000000-0005-0000-0000-0000A4330000}"/>
    <cellStyle name="Input 2 8 2 2 5 5" xfId="21432" xr:uid="{00000000-0005-0000-0000-0000A5330000}"/>
    <cellStyle name="Input 2 8 2 2 5 6" xfId="32277" xr:uid="{00000000-0005-0000-0000-0000A6330000}"/>
    <cellStyle name="Input 2 8 2 2 5 7" xfId="13003" xr:uid="{00000000-0005-0000-0000-0000A7330000}"/>
    <cellStyle name="Input 2 8 2 2 6" xfId="2840" xr:uid="{00000000-0005-0000-0000-0000A8330000}"/>
    <cellStyle name="Input 2 8 2 2 6 2" xfId="5691" xr:uid="{00000000-0005-0000-0000-0000A9330000}"/>
    <cellStyle name="Input 2 8 2 2 6 2 2" xfId="24663" xr:uid="{00000000-0005-0000-0000-0000AA330000}"/>
    <cellStyle name="Input 2 8 2 2 6 2 3" xfId="35508" xr:uid="{00000000-0005-0000-0000-0000AB330000}"/>
    <cellStyle name="Input 2 8 2 2 6 2 4" xfId="15316" xr:uid="{00000000-0005-0000-0000-0000AC330000}"/>
    <cellStyle name="Input 2 8 2 2 6 3" xfId="8362" xr:uid="{00000000-0005-0000-0000-0000AD330000}"/>
    <cellStyle name="Input 2 8 2 2 6 3 2" xfId="27334" xr:uid="{00000000-0005-0000-0000-0000AE330000}"/>
    <cellStyle name="Input 2 8 2 2 6 3 3" xfId="38179" xr:uid="{00000000-0005-0000-0000-0000AF330000}"/>
    <cellStyle name="Input 2 8 2 2 6 3 4" xfId="17229" xr:uid="{00000000-0005-0000-0000-0000B0330000}"/>
    <cellStyle name="Input 2 8 2 2 6 4" xfId="11021" xr:uid="{00000000-0005-0000-0000-0000B1330000}"/>
    <cellStyle name="Input 2 8 2 2 6 4 2" xfId="29993" xr:uid="{00000000-0005-0000-0000-0000B2330000}"/>
    <cellStyle name="Input 2 8 2 2 6 4 3" xfId="40838" xr:uid="{00000000-0005-0000-0000-0000B3330000}"/>
    <cellStyle name="Input 2 8 2 2 6 4 4" xfId="19133" xr:uid="{00000000-0005-0000-0000-0000B4330000}"/>
    <cellStyle name="Input 2 8 2 2 6 5" xfId="21817" xr:uid="{00000000-0005-0000-0000-0000B5330000}"/>
    <cellStyle name="Input 2 8 2 2 6 6" xfId="32662" xr:uid="{00000000-0005-0000-0000-0000B6330000}"/>
    <cellStyle name="Input 2 8 2 2 6 7" xfId="13279" xr:uid="{00000000-0005-0000-0000-0000B7330000}"/>
    <cellStyle name="Input 2 8 2 2 7" xfId="3529" xr:uid="{00000000-0005-0000-0000-0000B8330000}"/>
    <cellStyle name="Input 2 8 2 2 7 2" xfId="22501" xr:uid="{00000000-0005-0000-0000-0000B9330000}"/>
    <cellStyle name="Input 2 8 2 2 7 3" xfId="33346" xr:uid="{00000000-0005-0000-0000-0000BA330000}"/>
    <cellStyle name="Input 2 8 2 2 7 4" xfId="13760" xr:uid="{00000000-0005-0000-0000-0000BB330000}"/>
    <cellStyle name="Input 2 8 2 2 8" xfId="6204" xr:uid="{00000000-0005-0000-0000-0000BC330000}"/>
    <cellStyle name="Input 2 8 2 2 8 2" xfId="25176" xr:uid="{00000000-0005-0000-0000-0000BD330000}"/>
    <cellStyle name="Input 2 8 2 2 8 3" xfId="36021" xr:uid="{00000000-0005-0000-0000-0000BE330000}"/>
    <cellStyle name="Input 2 8 2 2 8 4" xfId="15676" xr:uid="{00000000-0005-0000-0000-0000BF330000}"/>
    <cellStyle name="Input 2 8 2 2 9" xfId="8863" xr:uid="{00000000-0005-0000-0000-0000C0330000}"/>
    <cellStyle name="Input 2 8 2 2 9 2" xfId="27835" xr:uid="{00000000-0005-0000-0000-0000C1330000}"/>
    <cellStyle name="Input 2 8 2 2 9 3" xfId="38680" xr:uid="{00000000-0005-0000-0000-0000C2330000}"/>
    <cellStyle name="Input 2 8 2 2 9 4" xfId="17580" xr:uid="{00000000-0005-0000-0000-0000C3330000}"/>
    <cellStyle name="Input 2 8 2 3" xfId="734" xr:uid="{00000000-0005-0000-0000-0000C4330000}"/>
    <cellStyle name="Input 2 8 2 3 10" xfId="19719" xr:uid="{00000000-0005-0000-0000-0000C5330000}"/>
    <cellStyle name="Input 2 8 2 3 11" xfId="30564" xr:uid="{00000000-0005-0000-0000-0000C6330000}"/>
    <cellStyle name="Input 2 8 2 3 12" xfId="11766" xr:uid="{00000000-0005-0000-0000-0000C7330000}"/>
    <cellStyle name="Input 2 8 2 3 2" xfId="1321" xr:uid="{00000000-0005-0000-0000-0000C8330000}"/>
    <cellStyle name="Input 2 8 2 3 2 2" xfId="4174" xr:uid="{00000000-0005-0000-0000-0000C9330000}"/>
    <cellStyle name="Input 2 8 2 3 2 2 2" xfId="23146" xr:uid="{00000000-0005-0000-0000-0000CA330000}"/>
    <cellStyle name="Input 2 8 2 3 2 2 3" xfId="33991" xr:uid="{00000000-0005-0000-0000-0000CB330000}"/>
    <cellStyle name="Input 2 8 2 3 2 2 4" xfId="14227" xr:uid="{00000000-0005-0000-0000-0000CC330000}"/>
    <cellStyle name="Input 2 8 2 3 2 3" xfId="6847" xr:uid="{00000000-0005-0000-0000-0000CD330000}"/>
    <cellStyle name="Input 2 8 2 3 2 3 2" xfId="25819" xr:uid="{00000000-0005-0000-0000-0000CE330000}"/>
    <cellStyle name="Input 2 8 2 3 2 3 3" xfId="36664" xr:uid="{00000000-0005-0000-0000-0000CF330000}"/>
    <cellStyle name="Input 2 8 2 3 2 3 4" xfId="16142" xr:uid="{00000000-0005-0000-0000-0000D0330000}"/>
    <cellStyle name="Input 2 8 2 3 2 4" xfId="9506" xr:uid="{00000000-0005-0000-0000-0000D1330000}"/>
    <cellStyle name="Input 2 8 2 3 2 4 2" xfId="28478" xr:uid="{00000000-0005-0000-0000-0000D2330000}"/>
    <cellStyle name="Input 2 8 2 3 2 4 3" xfId="39323" xr:uid="{00000000-0005-0000-0000-0000D3330000}"/>
    <cellStyle name="Input 2 8 2 3 2 4 4" xfId="18046" xr:uid="{00000000-0005-0000-0000-0000D4330000}"/>
    <cellStyle name="Input 2 8 2 3 2 5" xfId="20302" xr:uid="{00000000-0005-0000-0000-0000D5330000}"/>
    <cellStyle name="Input 2 8 2 3 2 6" xfId="31147" xr:uid="{00000000-0005-0000-0000-0000D6330000}"/>
    <cellStyle name="Input 2 8 2 3 2 7" xfId="12192" xr:uid="{00000000-0005-0000-0000-0000D7330000}"/>
    <cellStyle name="Input 2 8 2 3 3" xfId="1720" xr:uid="{00000000-0005-0000-0000-0000D8330000}"/>
    <cellStyle name="Input 2 8 2 3 3 2" xfId="4573" xr:uid="{00000000-0005-0000-0000-0000D9330000}"/>
    <cellStyle name="Input 2 8 2 3 3 2 2" xfId="23545" xr:uid="{00000000-0005-0000-0000-0000DA330000}"/>
    <cellStyle name="Input 2 8 2 3 3 2 3" xfId="34390" xr:uid="{00000000-0005-0000-0000-0000DB330000}"/>
    <cellStyle name="Input 2 8 2 3 3 2 4" xfId="14514" xr:uid="{00000000-0005-0000-0000-0000DC330000}"/>
    <cellStyle name="Input 2 8 2 3 3 3" xfId="7245" xr:uid="{00000000-0005-0000-0000-0000DD330000}"/>
    <cellStyle name="Input 2 8 2 3 3 3 2" xfId="26217" xr:uid="{00000000-0005-0000-0000-0000DE330000}"/>
    <cellStyle name="Input 2 8 2 3 3 3 3" xfId="37062" xr:uid="{00000000-0005-0000-0000-0000DF330000}"/>
    <cellStyle name="Input 2 8 2 3 3 3 4" xfId="16428" xr:uid="{00000000-0005-0000-0000-0000E0330000}"/>
    <cellStyle name="Input 2 8 2 3 3 4" xfId="9904" xr:uid="{00000000-0005-0000-0000-0000E1330000}"/>
    <cellStyle name="Input 2 8 2 3 3 4 2" xfId="28876" xr:uid="{00000000-0005-0000-0000-0000E2330000}"/>
    <cellStyle name="Input 2 8 2 3 3 4 3" xfId="39721" xr:uid="{00000000-0005-0000-0000-0000E3330000}"/>
    <cellStyle name="Input 2 8 2 3 3 4 4" xfId="18332" xr:uid="{00000000-0005-0000-0000-0000E4330000}"/>
    <cellStyle name="Input 2 8 2 3 3 5" xfId="20700" xr:uid="{00000000-0005-0000-0000-0000E5330000}"/>
    <cellStyle name="Input 2 8 2 3 3 6" xfId="31545" xr:uid="{00000000-0005-0000-0000-0000E6330000}"/>
    <cellStyle name="Input 2 8 2 3 3 7" xfId="12478" xr:uid="{00000000-0005-0000-0000-0000E7330000}"/>
    <cellStyle name="Input 2 8 2 3 4" xfId="2124" xr:uid="{00000000-0005-0000-0000-0000E8330000}"/>
    <cellStyle name="Input 2 8 2 3 4 2" xfId="4977" xr:uid="{00000000-0005-0000-0000-0000E9330000}"/>
    <cellStyle name="Input 2 8 2 3 4 2 2" xfId="23949" xr:uid="{00000000-0005-0000-0000-0000EA330000}"/>
    <cellStyle name="Input 2 8 2 3 4 2 3" xfId="34794" xr:uid="{00000000-0005-0000-0000-0000EB330000}"/>
    <cellStyle name="Input 2 8 2 3 4 2 4" xfId="14801" xr:uid="{00000000-0005-0000-0000-0000EC330000}"/>
    <cellStyle name="Input 2 8 2 3 4 3" xfId="7648" xr:uid="{00000000-0005-0000-0000-0000ED330000}"/>
    <cellStyle name="Input 2 8 2 3 4 3 2" xfId="26620" xr:uid="{00000000-0005-0000-0000-0000EE330000}"/>
    <cellStyle name="Input 2 8 2 3 4 3 3" xfId="37465" xr:uid="{00000000-0005-0000-0000-0000EF330000}"/>
    <cellStyle name="Input 2 8 2 3 4 3 4" xfId="16714" xr:uid="{00000000-0005-0000-0000-0000F0330000}"/>
    <cellStyle name="Input 2 8 2 3 4 4" xfId="10307" xr:uid="{00000000-0005-0000-0000-0000F1330000}"/>
    <cellStyle name="Input 2 8 2 3 4 4 2" xfId="29279" xr:uid="{00000000-0005-0000-0000-0000F2330000}"/>
    <cellStyle name="Input 2 8 2 3 4 4 3" xfId="40124" xr:uid="{00000000-0005-0000-0000-0000F3330000}"/>
    <cellStyle name="Input 2 8 2 3 4 4 4" xfId="18618" xr:uid="{00000000-0005-0000-0000-0000F4330000}"/>
    <cellStyle name="Input 2 8 2 3 4 5" xfId="21103" xr:uid="{00000000-0005-0000-0000-0000F5330000}"/>
    <cellStyle name="Input 2 8 2 3 4 6" xfId="31948" xr:uid="{00000000-0005-0000-0000-0000F6330000}"/>
    <cellStyle name="Input 2 8 2 3 4 7" xfId="12764" xr:uid="{00000000-0005-0000-0000-0000F7330000}"/>
    <cellStyle name="Input 2 8 2 3 5" xfId="2514" xr:uid="{00000000-0005-0000-0000-0000F8330000}"/>
    <cellStyle name="Input 2 8 2 3 5 2" xfId="5366" xr:uid="{00000000-0005-0000-0000-0000F9330000}"/>
    <cellStyle name="Input 2 8 2 3 5 2 2" xfId="24338" xr:uid="{00000000-0005-0000-0000-0000FA330000}"/>
    <cellStyle name="Input 2 8 2 3 5 2 3" xfId="35183" xr:uid="{00000000-0005-0000-0000-0000FB330000}"/>
    <cellStyle name="Input 2 8 2 3 5 2 4" xfId="15080" xr:uid="{00000000-0005-0000-0000-0000FC330000}"/>
    <cellStyle name="Input 2 8 2 3 5 3" xfId="8037" xr:uid="{00000000-0005-0000-0000-0000FD330000}"/>
    <cellStyle name="Input 2 8 2 3 5 3 2" xfId="27009" xr:uid="{00000000-0005-0000-0000-0000FE330000}"/>
    <cellStyle name="Input 2 8 2 3 5 3 3" xfId="37854" xr:uid="{00000000-0005-0000-0000-0000FF330000}"/>
    <cellStyle name="Input 2 8 2 3 5 3 4" xfId="16993" xr:uid="{00000000-0005-0000-0000-000000340000}"/>
    <cellStyle name="Input 2 8 2 3 5 4" xfId="10696" xr:uid="{00000000-0005-0000-0000-000001340000}"/>
    <cellStyle name="Input 2 8 2 3 5 4 2" xfId="29668" xr:uid="{00000000-0005-0000-0000-000002340000}"/>
    <cellStyle name="Input 2 8 2 3 5 4 3" xfId="40513" xr:uid="{00000000-0005-0000-0000-000003340000}"/>
    <cellStyle name="Input 2 8 2 3 5 4 4" xfId="18897" xr:uid="{00000000-0005-0000-0000-000004340000}"/>
    <cellStyle name="Input 2 8 2 3 5 5" xfId="21492" xr:uid="{00000000-0005-0000-0000-000005340000}"/>
    <cellStyle name="Input 2 8 2 3 5 6" xfId="32337" xr:uid="{00000000-0005-0000-0000-000006340000}"/>
    <cellStyle name="Input 2 8 2 3 5 7" xfId="13043" xr:uid="{00000000-0005-0000-0000-000007340000}"/>
    <cellStyle name="Input 2 8 2 3 6" xfId="2900" xr:uid="{00000000-0005-0000-0000-000008340000}"/>
    <cellStyle name="Input 2 8 2 3 6 2" xfId="5751" xr:uid="{00000000-0005-0000-0000-000009340000}"/>
    <cellStyle name="Input 2 8 2 3 6 2 2" xfId="24723" xr:uid="{00000000-0005-0000-0000-00000A340000}"/>
    <cellStyle name="Input 2 8 2 3 6 2 3" xfId="35568" xr:uid="{00000000-0005-0000-0000-00000B340000}"/>
    <cellStyle name="Input 2 8 2 3 6 2 4" xfId="15356" xr:uid="{00000000-0005-0000-0000-00000C340000}"/>
    <cellStyle name="Input 2 8 2 3 6 3" xfId="8422" xr:uid="{00000000-0005-0000-0000-00000D340000}"/>
    <cellStyle name="Input 2 8 2 3 6 3 2" xfId="27394" xr:uid="{00000000-0005-0000-0000-00000E340000}"/>
    <cellStyle name="Input 2 8 2 3 6 3 3" xfId="38239" xr:uid="{00000000-0005-0000-0000-00000F340000}"/>
    <cellStyle name="Input 2 8 2 3 6 3 4" xfId="17269" xr:uid="{00000000-0005-0000-0000-000010340000}"/>
    <cellStyle name="Input 2 8 2 3 6 4" xfId="11081" xr:uid="{00000000-0005-0000-0000-000011340000}"/>
    <cellStyle name="Input 2 8 2 3 6 4 2" xfId="30053" xr:uid="{00000000-0005-0000-0000-000012340000}"/>
    <cellStyle name="Input 2 8 2 3 6 4 3" xfId="40898" xr:uid="{00000000-0005-0000-0000-000013340000}"/>
    <cellStyle name="Input 2 8 2 3 6 4 4" xfId="19173" xr:uid="{00000000-0005-0000-0000-000014340000}"/>
    <cellStyle name="Input 2 8 2 3 6 5" xfId="21877" xr:uid="{00000000-0005-0000-0000-000015340000}"/>
    <cellStyle name="Input 2 8 2 3 6 6" xfId="32722" xr:uid="{00000000-0005-0000-0000-000016340000}"/>
    <cellStyle name="Input 2 8 2 3 6 7" xfId="13319" xr:uid="{00000000-0005-0000-0000-000017340000}"/>
    <cellStyle name="Input 2 8 2 3 7" xfId="3589" xr:uid="{00000000-0005-0000-0000-000018340000}"/>
    <cellStyle name="Input 2 8 2 3 7 2" xfId="22561" xr:uid="{00000000-0005-0000-0000-000019340000}"/>
    <cellStyle name="Input 2 8 2 3 7 3" xfId="33406" xr:uid="{00000000-0005-0000-0000-00001A340000}"/>
    <cellStyle name="Input 2 8 2 3 7 4" xfId="13800" xr:uid="{00000000-0005-0000-0000-00001B340000}"/>
    <cellStyle name="Input 2 8 2 3 8" xfId="6264" xr:uid="{00000000-0005-0000-0000-00001C340000}"/>
    <cellStyle name="Input 2 8 2 3 8 2" xfId="25236" xr:uid="{00000000-0005-0000-0000-00001D340000}"/>
    <cellStyle name="Input 2 8 2 3 8 3" xfId="36081" xr:uid="{00000000-0005-0000-0000-00001E340000}"/>
    <cellStyle name="Input 2 8 2 3 8 4" xfId="15716" xr:uid="{00000000-0005-0000-0000-00001F340000}"/>
    <cellStyle name="Input 2 8 2 3 9" xfId="8923" xr:uid="{00000000-0005-0000-0000-000020340000}"/>
    <cellStyle name="Input 2 8 2 3 9 2" xfId="27895" xr:uid="{00000000-0005-0000-0000-000021340000}"/>
    <cellStyle name="Input 2 8 2 3 9 3" xfId="38740" xr:uid="{00000000-0005-0000-0000-000022340000}"/>
    <cellStyle name="Input 2 8 2 3 9 4" xfId="17620" xr:uid="{00000000-0005-0000-0000-000023340000}"/>
    <cellStyle name="Input 2 8 2 4" xfId="794" xr:uid="{00000000-0005-0000-0000-000024340000}"/>
    <cellStyle name="Input 2 8 2 4 10" xfId="19779" xr:uid="{00000000-0005-0000-0000-000025340000}"/>
    <cellStyle name="Input 2 8 2 4 11" xfId="30624" xr:uid="{00000000-0005-0000-0000-000026340000}"/>
    <cellStyle name="Input 2 8 2 4 12" xfId="11806" xr:uid="{00000000-0005-0000-0000-000027340000}"/>
    <cellStyle name="Input 2 8 2 4 2" xfId="1381" xr:uid="{00000000-0005-0000-0000-000028340000}"/>
    <cellStyle name="Input 2 8 2 4 2 2" xfId="4234" xr:uid="{00000000-0005-0000-0000-000029340000}"/>
    <cellStyle name="Input 2 8 2 4 2 2 2" xfId="23206" xr:uid="{00000000-0005-0000-0000-00002A340000}"/>
    <cellStyle name="Input 2 8 2 4 2 2 3" xfId="34051" xr:uid="{00000000-0005-0000-0000-00002B340000}"/>
    <cellStyle name="Input 2 8 2 4 2 2 4" xfId="14267" xr:uid="{00000000-0005-0000-0000-00002C340000}"/>
    <cellStyle name="Input 2 8 2 4 2 3" xfId="6907" xr:uid="{00000000-0005-0000-0000-00002D340000}"/>
    <cellStyle name="Input 2 8 2 4 2 3 2" xfId="25879" xr:uid="{00000000-0005-0000-0000-00002E340000}"/>
    <cellStyle name="Input 2 8 2 4 2 3 3" xfId="36724" xr:uid="{00000000-0005-0000-0000-00002F340000}"/>
    <cellStyle name="Input 2 8 2 4 2 3 4" xfId="16182" xr:uid="{00000000-0005-0000-0000-000030340000}"/>
    <cellStyle name="Input 2 8 2 4 2 4" xfId="9566" xr:uid="{00000000-0005-0000-0000-000031340000}"/>
    <cellStyle name="Input 2 8 2 4 2 4 2" xfId="28538" xr:uid="{00000000-0005-0000-0000-000032340000}"/>
    <cellStyle name="Input 2 8 2 4 2 4 3" xfId="39383" xr:uid="{00000000-0005-0000-0000-000033340000}"/>
    <cellStyle name="Input 2 8 2 4 2 4 4" xfId="18086" xr:uid="{00000000-0005-0000-0000-000034340000}"/>
    <cellStyle name="Input 2 8 2 4 2 5" xfId="20362" xr:uid="{00000000-0005-0000-0000-000035340000}"/>
    <cellStyle name="Input 2 8 2 4 2 6" xfId="31207" xr:uid="{00000000-0005-0000-0000-000036340000}"/>
    <cellStyle name="Input 2 8 2 4 2 7" xfId="12232" xr:uid="{00000000-0005-0000-0000-000037340000}"/>
    <cellStyle name="Input 2 8 2 4 3" xfId="1780" xr:uid="{00000000-0005-0000-0000-000038340000}"/>
    <cellStyle name="Input 2 8 2 4 3 2" xfId="4633" xr:uid="{00000000-0005-0000-0000-000039340000}"/>
    <cellStyle name="Input 2 8 2 4 3 2 2" xfId="23605" xr:uid="{00000000-0005-0000-0000-00003A340000}"/>
    <cellStyle name="Input 2 8 2 4 3 2 3" xfId="34450" xr:uid="{00000000-0005-0000-0000-00003B340000}"/>
    <cellStyle name="Input 2 8 2 4 3 2 4" xfId="14554" xr:uid="{00000000-0005-0000-0000-00003C340000}"/>
    <cellStyle name="Input 2 8 2 4 3 3" xfId="7305" xr:uid="{00000000-0005-0000-0000-00003D340000}"/>
    <cellStyle name="Input 2 8 2 4 3 3 2" xfId="26277" xr:uid="{00000000-0005-0000-0000-00003E340000}"/>
    <cellStyle name="Input 2 8 2 4 3 3 3" xfId="37122" xr:uid="{00000000-0005-0000-0000-00003F340000}"/>
    <cellStyle name="Input 2 8 2 4 3 3 4" xfId="16468" xr:uid="{00000000-0005-0000-0000-000040340000}"/>
    <cellStyle name="Input 2 8 2 4 3 4" xfId="9964" xr:uid="{00000000-0005-0000-0000-000041340000}"/>
    <cellStyle name="Input 2 8 2 4 3 4 2" xfId="28936" xr:uid="{00000000-0005-0000-0000-000042340000}"/>
    <cellStyle name="Input 2 8 2 4 3 4 3" xfId="39781" xr:uid="{00000000-0005-0000-0000-000043340000}"/>
    <cellStyle name="Input 2 8 2 4 3 4 4" xfId="18372" xr:uid="{00000000-0005-0000-0000-000044340000}"/>
    <cellStyle name="Input 2 8 2 4 3 5" xfId="20760" xr:uid="{00000000-0005-0000-0000-000045340000}"/>
    <cellStyle name="Input 2 8 2 4 3 6" xfId="31605" xr:uid="{00000000-0005-0000-0000-000046340000}"/>
    <cellStyle name="Input 2 8 2 4 3 7" xfId="12518" xr:uid="{00000000-0005-0000-0000-000047340000}"/>
    <cellStyle name="Input 2 8 2 4 4" xfId="2184" xr:uid="{00000000-0005-0000-0000-000048340000}"/>
    <cellStyle name="Input 2 8 2 4 4 2" xfId="5037" xr:uid="{00000000-0005-0000-0000-000049340000}"/>
    <cellStyle name="Input 2 8 2 4 4 2 2" xfId="24009" xr:uid="{00000000-0005-0000-0000-00004A340000}"/>
    <cellStyle name="Input 2 8 2 4 4 2 3" xfId="34854" xr:uid="{00000000-0005-0000-0000-00004B340000}"/>
    <cellStyle name="Input 2 8 2 4 4 2 4" xfId="14841" xr:uid="{00000000-0005-0000-0000-00004C340000}"/>
    <cellStyle name="Input 2 8 2 4 4 3" xfId="7708" xr:uid="{00000000-0005-0000-0000-00004D340000}"/>
    <cellStyle name="Input 2 8 2 4 4 3 2" xfId="26680" xr:uid="{00000000-0005-0000-0000-00004E340000}"/>
    <cellStyle name="Input 2 8 2 4 4 3 3" xfId="37525" xr:uid="{00000000-0005-0000-0000-00004F340000}"/>
    <cellStyle name="Input 2 8 2 4 4 3 4" xfId="16754" xr:uid="{00000000-0005-0000-0000-000050340000}"/>
    <cellStyle name="Input 2 8 2 4 4 4" xfId="10367" xr:uid="{00000000-0005-0000-0000-000051340000}"/>
    <cellStyle name="Input 2 8 2 4 4 4 2" xfId="29339" xr:uid="{00000000-0005-0000-0000-000052340000}"/>
    <cellStyle name="Input 2 8 2 4 4 4 3" xfId="40184" xr:uid="{00000000-0005-0000-0000-000053340000}"/>
    <cellStyle name="Input 2 8 2 4 4 4 4" xfId="18658" xr:uid="{00000000-0005-0000-0000-000054340000}"/>
    <cellStyle name="Input 2 8 2 4 4 5" xfId="21163" xr:uid="{00000000-0005-0000-0000-000055340000}"/>
    <cellStyle name="Input 2 8 2 4 4 6" xfId="32008" xr:uid="{00000000-0005-0000-0000-000056340000}"/>
    <cellStyle name="Input 2 8 2 4 4 7" xfId="12804" xr:uid="{00000000-0005-0000-0000-000057340000}"/>
    <cellStyle name="Input 2 8 2 4 5" xfId="2574" xr:uid="{00000000-0005-0000-0000-000058340000}"/>
    <cellStyle name="Input 2 8 2 4 5 2" xfId="5426" xr:uid="{00000000-0005-0000-0000-000059340000}"/>
    <cellStyle name="Input 2 8 2 4 5 2 2" xfId="24398" xr:uid="{00000000-0005-0000-0000-00005A340000}"/>
    <cellStyle name="Input 2 8 2 4 5 2 3" xfId="35243" xr:uid="{00000000-0005-0000-0000-00005B340000}"/>
    <cellStyle name="Input 2 8 2 4 5 2 4" xfId="15120" xr:uid="{00000000-0005-0000-0000-00005C340000}"/>
    <cellStyle name="Input 2 8 2 4 5 3" xfId="8097" xr:uid="{00000000-0005-0000-0000-00005D340000}"/>
    <cellStyle name="Input 2 8 2 4 5 3 2" xfId="27069" xr:uid="{00000000-0005-0000-0000-00005E340000}"/>
    <cellStyle name="Input 2 8 2 4 5 3 3" xfId="37914" xr:uid="{00000000-0005-0000-0000-00005F340000}"/>
    <cellStyle name="Input 2 8 2 4 5 3 4" xfId="17033" xr:uid="{00000000-0005-0000-0000-000060340000}"/>
    <cellStyle name="Input 2 8 2 4 5 4" xfId="10756" xr:uid="{00000000-0005-0000-0000-000061340000}"/>
    <cellStyle name="Input 2 8 2 4 5 4 2" xfId="29728" xr:uid="{00000000-0005-0000-0000-000062340000}"/>
    <cellStyle name="Input 2 8 2 4 5 4 3" xfId="40573" xr:uid="{00000000-0005-0000-0000-000063340000}"/>
    <cellStyle name="Input 2 8 2 4 5 4 4" xfId="18937" xr:uid="{00000000-0005-0000-0000-000064340000}"/>
    <cellStyle name="Input 2 8 2 4 5 5" xfId="21552" xr:uid="{00000000-0005-0000-0000-000065340000}"/>
    <cellStyle name="Input 2 8 2 4 5 6" xfId="32397" xr:uid="{00000000-0005-0000-0000-000066340000}"/>
    <cellStyle name="Input 2 8 2 4 5 7" xfId="13083" xr:uid="{00000000-0005-0000-0000-000067340000}"/>
    <cellStyle name="Input 2 8 2 4 6" xfId="2960" xr:uid="{00000000-0005-0000-0000-000068340000}"/>
    <cellStyle name="Input 2 8 2 4 6 2" xfId="5811" xr:uid="{00000000-0005-0000-0000-000069340000}"/>
    <cellStyle name="Input 2 8 2 4 6 2 2" xfId="24783" xr:uid="{00000000-0005-0000-0000-00006A340000}"/>
    <cellStyle name="Input 2 8 2 4 6 2 3" xfId="35628" xr:uid="{00000000-0005-0000-0000-00006B340000}"/>
    <cellStyle name="Input 2 8 2 4 6 2 4" xfId="15396" xr:uid="{00000000-0005-0000-0000-00006C340000}"/>
    <cellStyle name="Input 2 8 2 4 6 3" xfId="8482" xr:uid="{00000000-0005-0000-0000-00006D340000}"/>
    <cellStyle name="Input 2 8 2 4 6 3 2" xfId="27454" xr:uid="{00000000-0005-0000-0000-00006E340000}"/>
    <cellStyle name="Input 2 8 2 4 6 3 3" xfId="38299" xr:uid="{00000000-0005-0000-0000-00006F340000}"/>
    <cellStyle name="Input 2 8 2 4 6 3 4" xfId="17309" xr:uid="{00000000-0005-0000-0000-000070340000}"/>
    <cellStyle name="Input 2 8 2 4 6 4" xfId="11141" xr:uid="{00000000-0005-0000-0000-000071340000}"/>
    <cellStyle name="Input 2 8 2 4 6 4 2" xfId="30113" xr:uid="{00000000-0005-0000-0000-000072340000}"/>
    <cellStyle name="Input 2 8 2 4 6 4 3" xfId="40958" xr:uid="{00000000-0005-0000-0000-000073340000}"/>
    <cellStyle name="Input 2 8 2 4 6 4 4" xfId="19213" xr:uid="{00000000-0005-0000-0000-000074340000}"/>
    <cellStyle name="Input 2 8 2 4 6 5" xfId="21937" xr:uid="{00000000-0005-0000-0000-000075340000}"/>
    <cellStyle name="Input 2 8 2 4 6 6" xfId="32782" xr:uid="{00000000-0005-0000-0000-000076340000}"/>
    <cellStyle name="Input 2 8 2 4 6 7" xfId="13359" xr:uid="{00000000-0005-0000-0000-000077340000}"/>
    <cellStyle name="Input 2 8 2 4 7" xfId="3649" xr:uid="{00000000-0005-0000-0000-000078340000}"/>
    <cellStyle name="Input 2 8 2 4 7 2" xfId="22621" xr:uid="{00000000-0005-0000-0000-000079340000}"/>
    <cellStyle name="Input 2 8 2 4 7 3" xfId="33466" xr:uid="{00000000-0005-0000-0000-00007A340000}"/>
    <cellStyle name="Input 2 8 2 4 7 4" xfId="13840" xr:uid="{00000000-0005-0000-0000-00007B340000}"/>
    <cellStyle name="Input 2 8 2 4 8" xfId="6324" xr:uid="{00000000-0005-0000-0000-00007C340000}"/>
    <cellStyle name="Input 2 8 2 4 8 2" xfId="25296" xr:uid="{00000000-0005-0000-0000-00007D340000}"/>
    <cellStyle name="Input 2 8 2 4 8 3" xfId="36141" xr:uid="{00000000-0005-0000-0000-00007E340000}"/>
    <cellStyle name="Input 2 8 2 4 8 4" xfId="15756" xr:uid="{00000000-0005-0000-0000-00007F340000}"/>
    <cellStyle name="Input 2 8 2 4 9" xfId="8983" xr:uid="{00000000-0005-0000-0000-000080340000}"/>
    <cellStyle name="Input 2 8 2 4 9 2" xfId="27955" xr:uid="{00000000-0005-0000-0000-000081340000}"/>
    <cellStyle name="Input 2 8 2 4 9 3" xfId="38800" xr:uid="{00000000-0005-0000-0000-000082340000}"/>
    <cellStyle name="Input 2 8 2 4 9 4" xfId="17660" xr:uid="{00000000-0005-0000-0000-000083340000}"/>
    <cellStyle name="Input 2 8 2 5" xfId="853" xr:uid="{00000000-0005-0000-0000-000084340000}"/>
    <cellStyle name="Input 2 8 2 5 10" xfId="19838" xr:uid="{00000000-0005-0000-0000-000085340000}"/>
    <cellStyle name="Input 2 8 2 5 11" xfId="30683" xr:uid="{00000000-0005-0000-0000-000086340000}"/>
    <cellStyle name="Input 2 8 2 5 12" xfId="11845" xr:uid="{00000000-0005-0000-0000-000087340000}"/>
    <cellStyle name="Input 2 8 2 5 2" xfId="1440" xr:uid="{00000000-0005-0000-0000-000088340000}"/>
    <cellStyle name="Input 2 8 2 5 2 2" xfId="4293" xr:uid="{00000000-0005-0000-0000-000089340000}"/>
    <cellStyle name="Input 2 8 2 5 2 2 2" xfId="23265" xr:uid="{00000000-0005-0000-0000-00008A340000}"/>
    <cellStyle name="Input 2 8 2 5 2 2 3" xfId="34110" xr:uid="{00000000-0005-0000-0000-00008B340000}"/>
    <cellStyle name="Input 2 8 2 5 2 2 4" xfId="14306" xr:uid="{00000000-0005-0000-0000-00008C340000}"/>
    <cellStyle name="Input 2 8 2 5 2 3" xfId="6966" xr:uid="{00000000-0005-0000-0000-00008D340000}"/>
    <cellStyle name="Input 2 8 2 5 2 3 2" xfId="25938" xr:uid="{00000000-0005-0000-0000-00008E340000}"/>
    <cellStyle name="Input 2 8 2 5 2 3 3" xfId="36783" xr:uid="{00000000-0005-0000-0000-00008F340000}"/>
    <cellStyle name="Input 2 8 2 5 2 3 4" xfId="16221" xr:uid="{00000000-0005-0000-0000-000090340000}"/>
    <cellStyle name="Input 2 8 2 5 2 4" xfId="9625" xr:uid="{00000000-0005-0000-0000-000091340000}"/>
    <cellStyle name="Input 2 8 2 5 2 4 2" xfId="28597" xr:uid="{00000000-0005-0000-0000-000092340000}"/>
    <cellStyle name="Input 2 8 2 5 2 4 3" xfId="39442" xr:uid="{00000000-0005-0000-0000-000093340000}"/>
    <cellStyle name="Input 2 8 2 5 2 4 4" xfId="18125" xr:uid="{00000000-0005-0000-0000-000094340000}"/>
    <cellStyle name="Input 2 8 2 5 2 5" xfId="20421" xr:uid="{00000000-0005-0000-0000-000095340000}"/>
    <cellStyle name="Input 2 8 2 5 2 6" xfId="31266" xr:uid="{00000000-0005-0000-0000-000096340000}"/>
    <cellStyle name="Input 2 8 2 5 2 7" xfId="12271" xr:uid="{00000000-0005-0000-0000-000097340000}"/>
    <cellStyle name="Input 2 8 2 5 3" xfId="1839" xr:uid="{00000000-0005-0000-0000-000098340000}"/>
    <cellStyle name="Input 2 8 2 5 3 2" xfId="4692" xr:uid="{00000000-0005-0000-0000-000099340000}"/>
    <cellStyle name="Input 2 8 2 5 3 2 2" xfId="23664" xr:uid="{00000000-0005-0000-0000-00009A340000}"/>
    <cellStyle name="Input 2 8 2 5 3 2 3" xfId="34509" xr:uid="{00000000-0005-0000-0000-00009B340000}"/>
    <cellStyle name="Input 2 8 2 5 3 2 4" xfId="14593" xr:uid="{00000000-0005-0000-0000-00009C340000}"/>
    <cellStyle name="Input 2 8 2 5 3 3" xfId="7364" xr:uid="{00000000-0005-0000-0000-00009D340000}"/>
    <cellStyle name="Input 2 8 2 5 3 3 2" xfId="26336" xr:uid="{00000000-0005-0000-0000-00009E340000}"/>
    <cellStyle name="Input 2 8 2 5 3 3 3" xfId="37181" xr:uid="{00000000-0005-0000-0000-00009F340000}"/>
    <cellStyle name="Input 2 8 2 5 3 3 4" xfId="16507" xr:uid="{00000000-0005-0000-0000-0000A0340000}"/>
    <cellStyle name="Input 2 8 2 5 3 4" xfId="10023" xr:uid="{00000000-0005-0000-0000-0000A1340000}"/>
    <cellStyle name="Input 2 8 2 5 3 4 2" xfId="28995" xr:uid="{00000000-0005-0000-0000-0000A2340000}"/>
    <cellStyle name="Input 2 8 2 5 3 4 3" xfId="39840" xr:uid="{00000000-0005-0000-0000-0000A3340000}"/>
    <cellStyle name="Input 2 8 2 5 3 4 4" xfId="18411" xr:uid="{00000000-0005-0000-0000-0000A4340000}"/>
    <cellStyle name="Input 2 8 2 5 3 5" xfId="20819" xr:uid="{00000000-0005-0000-0000-0000A5340000}"/>
    <cellStyle name="Input 2 8 2 5 3 6" xfId="31664" xr:uid="{00000000-0005-0000-0000-0000A6340000}"/>
    <cellStyle name="Input 2 8 2 5 3 7" xfId="12557" xr:uid="{00000000-0005-0000-0000-0000A7340000}"/>
    <cellStyle name="Input 2 8 2 5 4" xfId="2243" xr:uid="{00000000-0005-0000-0000-0000A8340000}"/>
    <cellStyle name="Input 2 8 2 5 4 2" xfId="5096" xr:uid="{00000000-0005-0000-0000-0000A9340000}"/>
    <cellStyle name="Input 2 8 2 5 4 2 2" xfId="24068" xr:uid="{00000000-0005-0000-0000-0000AA340000}"/>
    <cellStyle name="Input 2 8 2 5 4 2 3" xfId="34913" xr:uid="{00000000-0005-0000-0000-0000AB340000}"/>
    <cellStyle name="Input 2 8 2 5 4 2 4" xfId="14880" xr:uid="{00000000-0005-0000-0000-0000AC340000}"/>
    <cellStyle name="Input 2 8 2 5 4 3" xfId="7767" xr:uid="{00000000-0005-0000-0000-0000AD340000}"/>
    <cellStyle name="Input 2 8 2 5 4 3 2" xfId="26739" xr:uid="{00000000-0005-0000-0000-0000AE340000}"/>
    <cellStyle name="Input 2 8 2 5 4 3 3" xfId="37584" xr:uid="{00000000-0005-0000-0000-0000AF340000}"/>
    <cellStyle name="Input 2 8 2 5 4 3 4" xfId="16793" xr:uid="{00000000-0005-0000-0000-0000B0340000}"/>
    <cellStyle name="Input 2 8 2 5 4 4" xfId="10426" xr:uid="{00000000-0005-0000-0000-0000B1340000}"/>
    <cellStyle name="Input 2 8 2 5 4 4 2" xfId="29398" xr:uid="{00000000-0005-0000-0000-0000B2340000}"/>
    <cellStyle name="Input 2 8 2 5 4 4 3" xfId="40243" xr:uid="{00000000-0005-0000-0000-0000B3340000}"/>
    <cellStyle name="Input 2 8 2 5 4 4 4" xfId="18697" xr:uid="{00000000-0005-0000-0000-0000B4340000}"/>
    <cellStyle name="Input 2 8 2 5 4 5" xfId="21222" xr:uid="{00000000-0005-0000-0000-0000B5340000}"/>
    <cellStyle name="Input 2 8 2 5 4 6" xfId="32067" xr:uid="{00000000-0005-0000-0000-0000B6340000}"/>
    <cellStyle name="Input 2 8 2 5 4 7" xfId="12843" xr:uid="{00000000-0005-0000-0000-0000B7340000}"/>
    <cellStyle name="Input 2 8 2 5 5" xfId="2633" xr:uid="{00000000-0005-0000-0000-0000B8340000}"/>
    <cellStyle name="Input 2 8 2 5 5 2" xfId="5485" xr:uid="{00000000-0005-0000-0000-0000B9340000}"/>
    <cellStyle name="Input 2 8 2 5 5 2 2" xfId="24457" xr:uid="{00000000-0005-0000-0000-0000BA340000}"/>
    <cellStyle name="Input 2 8 2 5 5 2 3" xfId="35302" xr:uid="{00000000-0005-0000-0000-0000BB340000}"/>
    <cellStyle name="Input 2 8 2 5 5 2 4" xfId="15159" xr:uid="{00000000-0005-0000-0000-0000BC340000}"/>
    <cellStyle name="Input 2 8 2 5 5 3" xfId="8156" xr:uid="{00000000-0005-0000-0000-0000BD340000}"/>
    <cellStyle name="Input 2 8 2 5 5 3 2" xfId="27128" xr:uid="{00000000-0005-0000-0000-0000BE340000}"/>
    <cellStyle name="Input 2 8 2 5 5 3 3" xfId="37973" xr:uid="{00000000-0005-0000-0000-0000BF340000}"/>
    <cellStyle name="Input 2 8 2 5 5 3 4" xfId="17072" xr:uid="{00000000-0005-0000-0000-0000C0340000}"/>
    <cellStyle name="Input 2 8 2 5 5 4" xfId="10815" xr:uid="{00000000-0005-0000-0000-0000C1340000}"/>
    <cellStyle name="Input 2 8 2 5 5 4 2" xfId="29787" xr:uid="{00000000-0005-0000-0000-0000C2340000}"/>
    <cellStyle name="Input 2 8 2 5 5 4 3" xfId="40632" xr:uid="{00000000-0005-0000-0000-0000C3340000}"/>
    <cellStyle name="Input 2 8 2 5 5 4 4" xfId="18976" xr:uid="{00000000-0005-0000-0000-0000C4340000}"/>
    <cellStyle name="Input 2 8 2 5 5 5" xfId="21611" xr:uid="{00000000-0005-0000-0000-0000C5340000}"/>
    <cellStyle name="Input 2 8 2 5 5 6" xfId="32456" xr:uid="{00000000-0005-0000-0000-0000C6340000}"/>
    <cellStyle name="Input 2 8 2 5 5 7" xfId="13122" xr:uid="{00000000-0005-0000-0000-0000C7340000}"/>
    <cellStyle name="Input 2 8 2 5 6" xfId="3019" xr:uid="{00000000-0005-0000-0000-0000C8340000}"/>
    <cellStyle name="Input 2 8 2 5 6 2" xfId="5870" xr:uid="{00000000-0005-0000-0000-0000C9340000}"/>
    <cellStyle name="Input 2 8 2 5 6 2 2" xfId="24842" xr:uid="{00000000-0005-0000-0000-0000CA340000}"/>
    <cellStyle name="Input 2 8 2 5 6 2 3" xfId="35687" xr:uid="{00000000-0005-0000-0000-0000CB340000}"/>
    <cellStyle name="Input 2 8 2 5 6 2 4" xfId="15435" xr:uid="{00000000-0005-0000-0000-0000CC340000}"/>
    <cellStyle name="Input 2 8 2 5 6 3" xfId="8541" xr:uid="{00000000-0005-0000-0000-0000CD340000}"/>
    <cellStyle name="Input 2 8 2 5 6 3 2" xfId="27513" xr:uid="{00000000-0005-0000-0000-0000CE340000}"/>
    <cellStyle name="Input 2 8 2 5 6 3 3" xfId="38358" xr:uid="{00000000-0005-0000-0000-0000CF340000}"/>
    <cellStyle name="Input 2 8 2 5 6 3 4" xfId="17348" xr:uid="{00000000-0005-0000-0000-0000D0340000}"/>
    <cellStyle name="Input 2 8 2 5 6 4" xfId="11200" xr:uid="{00000000-0005-0000-0000-0000D1340000}"/>
    <cellStyle name="Input 2 8 2 5 6 4 2" xfId="30172" xr:uid="{00000000-0005-0000-0000-0000D2340000}"/>
    <cellStyle name="Input 2 8 2 5 6 4 3" xfId="41017" xr:uid="{00000000-0005-0000-0000-0000D3340000}"/>
    <cellStyle name="Input 2 8 2 5 6 4 4" xfId="19252" xr:uid="{00000000-0005-0000-0000-0000D4340000}"/>
    <cellStyle name="Input 2 8 2 5 6 5" xfId="21996" xr:uid="{00000000-0005-0000-0000-0000D5340000}"/>
    <cellStyle name="Input 2 8 2 5 6 6" xfId="32841" xr:uid="{00000000-0005-0000-0000-0000D6340000}"/>
    <cellStyle name="Input 2 8 2 5 6 7" xfId="13398" xr:uid="{00000000-0005-0000-0000-0000D7340000}"/>
    <cellStyle name="Input 2 8 2 5 7" xfId="3708" xr:uid="{00000000-0005-0000-0000-0000D8340000}"/>
    <cellStyle name="Input 2 8 2 5 7 2" xfId="22680" xr:uid="{00000000-0005-0000-0000-0000D9340000}"/>
    <cellStyle name="Input 2 8 2 5 7 3" xfId="33525" xr:uid="{00000000-0005-0000-0000-0000DA340000}"/>
    <cellStyle name="Input 2 8 2 5 7 4" xfId="13879" xr:uid="{00000000-0005-0000-0000-0000DB340000}"/>
    <cellStyle name="Input 2 8 2 5 8" xfId="6383" xr:uid="{00000000-0005-0000-0000-0000DC340000}"/>
    <cellStyle name="Input 2 8 2 5 8 2" xfId="25355" xr:uid="{00000000-0005-0000-0000-0000DD340000}"/>
    <cellStyle name="Input 2 8 2 5 8 3" xfId="36200" xr:uid="{00000000-0005-0000-0000-0000DE340000}"/>
    <cellStyle name="Input 2 8 2 5 8 4" xfId="15795" xr:uid="{00000000-0005-0000-0000-0000DF340000}"/>
    <cellStyle name="Input 2 8 2 5 9" xfId="9042" xr:uid="{00000000-0005-0000-0000-0000E0340000}"/>
    <cellStyle name="Input 2 8 2 5 9 2" xfId="28014" xr:uid="{00000000-0005-0000-0000-0000E1340000}"/>
    <cellStyle name="Input 2 8 2 5 9 3" xfId="38859" xr:uid="{00000000-0005-0000-0000-0000E2340000}"/>
    <cellStyle name="Input 2 8 2 5 9 4" xfId="17699" xr:uid="{00000000-0005-0000-0000-0000E3340000}"/>
    <cellStyle name="Input 2 8 2 6" xfId="1075" xr:uid="{00000000-0005-0000-0000-0000E4340000}"/>
    <cellStyle name="Input 2 8 2 6 2" xfId="3928" xr:uid="{00000000-0005-0000-0000-0000E5340000}"/>
    <cellStyle name="Input 2 8 2 6 2 2" xfId="22900" xr:uid="{00000000-0005-0000-0000-0000E6340000}"/>
    <cellStyle name="Input 2 8 2 6 2 3" xfId="33745" xr:uid="{00000000-0005-0000-0000-0000E7340000}"/>
    <cellStyle name="Input 2 8 2 6 2 4" xfId="14041" xr:uid="{00000000-0005-0000-0000-0000E8340000}"/>
    <cellStyle name="Input 2 8 2 6 3" xfId="6602" xr:uid="{00000000-0005-0000-0000-0000E9340000}"/>
    <cellStyle name="Input 2 8 2 6 3 2" xfId="25574" xr:uid="{00000000-0005-0000-0000-0000EA340000}"/>
    <cellStyle name="Input 2 8 2 6 3 3" xfId="36419" xr:uid="{00000000-0005-0000-0000-0000EB340000}"/>
    <cellStyle name="Input 2 8 2 6 3 4" xfId="15957" xr:uid="{00000000-0005-0000-0000-0000EC340000}"/>
    <cellStyle name="Input 2 8 2 6 4" xfId="9261" xr:uid="{00000000-0005-0000-0000-0000ED340000}"/>
    <cellStyle name="Input 2 8 2 6 4 2" xfId="28233" xr:uid="{00000000-0005-0000-0000-0000EE340000}"/>
    <cellStyle name="Input 2 8 2 6 4 3" xfId="39078" xr:uid="{00000000-0005-0000-0000-0000EF340000}"/>
    <cellStyle name="Input 2 8 2 6 4 4" xfId="17861" xr:uid="{00000000-0005-0000-0000-0000F0340000}"/>
    <cellStyle name="Input 2 8 2 6 5" xfId="20057" xr:uid="{00000000-0005-0000-0000-0000F1340000}"/>
    <cellStyle name="Input 2 8 2 6 6" xfId="30902" xr:uid="{00000000-0005-0000-0000-0000F2340000}"/>
    <cellStyle name="Input 2 8 2 6 7" xfId="12007" xr:uid="{00000000-0005-0000-0000-0000F3340000}"/>
    <cellStyle name="Input 2 8 2 7" xfId="982" xr:uid="{00000000-0005-0000-0000-0000F4340000}"/>
    <cellStyle name="Input 2 8 2 7 2" xfId="3835" xr:uid="{00000000-0005-0000-0000-0000F5340000}"/>
    <cellStyle name="Input 2 8 2 7 2 2" xfId="22807" xr:uid="{00000000-0005-0000-0000-0000F6340000}"/>
    <cellStyle name="Input 2 8 2 7 2 3" xfId="33652" xr:uid="{00000000-0005-0000-0000-0000F7340000}"/>
    <cellStyle name="Input 2 8 2 7 2 4" xfId="13970" xr:uid="{00000000-0005-0000-0000-0000F8340000}"/>
    <cellStyle name="Input 2 8 2 7 3" xfId="6510" xr:uid="{00000000-0005-0000-0000-0000F9340000}"/>
    <cellStyle name="Input 2 8 2 7 3 2" xfId="25482" xr:uid="{00000000-0005-0000-0000-0000FA340000}"/>
    <cellStyle name="Input 2 8 2 7 3 3" xfId="36327" xr:uid="{00000000-0005-0000-0000-0000FB340000}"/>
    <cellStyle name="Input 2 8 2 7 3 4" xfId="15886" xr:uid="{00000000-0005-0000-0000-0000FC340000}"/>
    <cellStyle name="Input 2 8 2 7 4" xfId="9169" xr:uid="{00000000-0005-0000-0000-0000FD340000}"/>
    <cellStyle name="Input 2 8 2 7 4 2" xfId="28141" xr:uid="{00000000-0005-0000-0000-0000FE340000}"/>
    <cellStyle name="Input 2 8 2 7 4 3" xfId="38986" xr:uid="{00000000-0005-0000-0000-0000FF340000}"/>
    <cellStyle name="Input 2 8 2 7 4 4" xfId="17790" xr:uid="{00000000-0005-0000-0000-000000350000}"/>
    <cellStyle name="Input 2 8 2 7 5" xfId="19965" xr:uid="{00000000-0005-0000-0000-000001350000}"/>
    <cellStyle name="Input 2 8 2 7 6" xfId="30810" xr:uid="{00000000-0005-0000-0000-000002350000}"/>
    <cellStyle name="Input 2 8 2 7 7" xfId="11936" xr:uid="{00000000-0005-0000-0000-000003350000}"/>
    <cellStyle name="Input 2 8 2 8" xfId="1042" xr:uid="{00000000-0005-0000-0000-000004350000}"/>
    <cellStyle name="Input 2 8 2 8 2" xfId="3895" xr:uid="{00000000-0005-0000-0000-000005350000}"/>
    <cellStyle name="Input 2 8 2 8 2 2" xfId="22867" xr:uid="{00000000-0005-0000-0000-000006350000}"/>
    <cellStyle name="Input 2 8 2 8 2 3" xfId="33712" xr:uid="{00000000-0005-0000-0000-000007350000}"/>
    <cellStyle name="Input 2 8 2 8 2 4" xfId="14012" xr:uid="{00000000-0005-0000-0000-000008350000}"/>
    <cellStyle name="Input 2 8 2 8 3" xfId="6569" xr:uid="{00000000-0005-0000-0000-000009350000}"/>
    <cellStyle name="Input 2 8 2 8 3 2" xfId="25541" xr:uid="{00000000-0005-0000-0000-00000A350000}"/>
    <cellStyle name="Input 2 8 2 8 3 3" xfId="36386" xr:uid="{00000000-0005-0000-0000-00000B350000}"/>
    <cellStyle name="Input 2 8 2 8 3 4" xfId="15928" xr:uid="{00000000-0005-0000-0000-00000C350000}"/>
    <cellStyle name="Input 2 8 2 8 4" xfId="9228" xr:uid="{00000000-0005-0000-0000-00000D350000}"/>
    <cellStyle name="Input 2 8 2 8 4 2" xfId="28200" xr:uid="{00000000-0005-0000-0000-00000E350000}"/>
    <cellStyle name="Input 2 8 2 8 4 3" xfId="39045" xr:uid="{00000000-0005-0000-0000-00000F350000}"/>
    <cellStyle name="Input 2 8 2 8 4 4" xfId="17832" xr:uid="{00000000-0005-0000-0000-000010350000}"/>
    <cellStyle name="Input 2 8 2 8 5" xfId="20024" xr:uid="{00000000-0005-0000-0000-000011350000}"/>
    <cellStyle name="Input 2 8 2 8 6" xfId="30869" xr:uid="{00000000-0005-0000-0000-000012350000}"/>
    <cellStyle name="Input 2 8 2 8 7" xfId="11978" xr:uid="{00000000-0005-0000-0000-000013350000}"/>
    <cellStyle name="Input 2 8 2 9" xfId="1228" xr:uid="{00000000-0005-0000-0000-000014350000}"/>
    <cellStyle name="Input 2 8 2 9 2" xfId="4081" xr:uid="{00000000-0005-0000-0000-000015350000}"/>
    <cellStyle name="Input 2 8 2 9 2 2" xfId="23053" xr:uid="{00000000-0005-0000-0000-000016350000}"/>
    <cellStyle name="Input 2 8 2 9 2 3" xfId="33898" xr:uid="{00000000-0005-0000-0000-000017350000}"/>
    <cellStyle name="Input 2 8 2 9 2 4" xfId="14154" xr:uid="{00000000-0005-0000-0000-000018350000}"/>
    <cellStyle name="Input 2 8 2 9 3" xfId="6754" xr:uid="{00000000-0005-0000-0000-000019350000}"/>
    <cellStyle name="Input 2 8 2 9 3 2" xfId="25726" xr:uid="{00000000-0005-0000-0000-00001A350000}"/>
    <cellStyle name="Input 2 8 2 9 3 3" xfId="36571" xr:uid="{00000000-0005-0000-0000-00001B350000}"/>
    <cellStyle name="Input 2 8 2 9 3 4" xfId="16069" xr:uid="{00000000-0005-0000-0000-00001C350000}"/>
    <cellStyle name="Input 2 8 2 9 4" xfId="9413" xr:uid="{00000000-0005-0000-0000-00001D350000}"/>
    <cellStyle name="Input 2 8 2 9 4 2" xfId="28385" xr:uid="{00000000-0005-0000-0000-00001E350000}"/>
    <cellStyle name="Input 2 8 2 9 4 3" xfId="39230" xr:uid="{00000000-0005-0000-0000-00001F350000}"/>
    <cellStyle name="Input 2 8 2 9 4 4" xfId="17973" xr:uid="{00000000-0005-0000-0000-000020350000}"/>
    <cellStyle name="Input 2 8 2 9 5" xfId="20209" xr:uid="{00000000-0005-0000-0000-000021350000}"/>
    <cellStyle name="Input 2 8 2 9 6" xfId="31054" xr:uid="{00000000-0005-0000-0000-000022350000}"/>
    <cellStyle name="Input 2 8 2 9 7" xfId="12119" xr:uid="{00000000-0005-0000-0000-000023350000}"/>
    <cellStyle name="Input 2 8 3" xfId="557" xr:uid="{00000000-0005-0000-0000-000024350000}"/>
    <cellStyle name="Input 2 8 3 10" xfId="19567" xr:uid="{00000000-0005-0000-0000-000025350000}"/>
    <cellStyle name="Input 2 8 3 11" xfId="30412" xr:uid="{00000000-0005-0000-0000-000026350000}"/>
    <cellStyle name="Input 2 8 3 12" xfId="11631" xr:uid="{00000000-0005-0000-0000-000027350000}"/>
    <cellStyle name="Input 2 8 3 2" xfId="1163" xr:uid="{00000000-0005-0000-0000-000028350000}"/>
    <cellStyle name="Input 2 8 3 2 2" xfId="4016" xr:uid="{00000000-0005-0000-0000-000029350000}"/>
    <cellStyle name="Input 2 8 3 2 2 2" xfId="22988" xr:uid="{00000000-0005-0000-0000-00002A350000}"/>
    <cellStyle name="Input 2 8 3 2 2 3" xfId="33833" xr:uid="{00000000-0005-0000-0000-00002B350000}"/>
    <cellStyle name="Input 2 8 3 2 2 4" xfId="14108" xr:uid="{00000000-0005-0000-0000-00002C350000}"/>
    <cellStyle name="Input 2 8 3 2 3" xfId="6689" xr:uid="{00000000-0005-0000-0000-00002D350000}"/>
    <cellStyle name="Input 2 8 3 2 3 2" xfId="25661" xr:uid="{00000000-0005-0000-0000-00002E350000}"/>
    <cellStyle name="Input 2 8 3 2 3 3" xfId="36506" xr:uid="{00000000-0005-0000-0000-00002F350000}"/>
    <cellStyle name="Input 2 8 3 2 3 4" xfId="16023" xr:uid="{00000000-0005-0000-0000-000030350000}"/>
    <cellStyle name="Input 2 8 3 2 4" xfId="9348" xr:uid="{00000000-0005-0000-0000-000031350000}"/>
    <cellStyle name="Input 2 8 3 2 4 2" xfId="28320" xr:uid="{00000000-0005-0000-0000-000032350000}"/>
    <cellStyle name="Input 2 8 3 2 4 3" xfId="39165" xr:uid="{00000000-0005-0000-0000-000033350000}"/>
    <cellStyle name="Input 2 8 3 2 4 4" xfId="17927" xr:uid="{00000000-0005-0000-0000-000034350000}"/>
    <cellStyle name="Input 2 8 3 2 5" xfId="20144" xr:uid="{00000000-0005-0000-0000-000035350000}"/>
    <cellStyle name="Input 2 8 3 2 6" xfId="30989" xr:uid="{00000000-0005-0000-0000-000036350000}"/>
    <cellStyle name="Input 2 8 3 2 7" xfId="12073" xr:uid="{00000000-0005-0000-0000-000037350000}"/>
    <cellStyle name="Input 2 8 3 3" xfId="1560" xr:uid="{00000000-0005-0000-0000-000038350000}"/>
    <cellStyle name="Input 2 8 3 3 2" xfId="4413" xr:uid="{00000000-0005-0000-0000-000039350000}"/>
    <cellStyle name="Input 2 8 3 3 2 2" xfId="23385" xr:uid="{00000000-0005-0000-0000-00003A350000}"/>
    <cellStyle name="Input 2 8 3 3 2 3" xfId="34230" xr:uid="{00000000-0005-0000-0000-00003B350000}"/>
    <cellStyle name="Input 2 8 3 3 2 4" xfId="14394" xr:uid="{00000000-0005-0000-0000-00003C350000}"/>
    <cellStyle name="Input 2 8 3 3 3" xfId="7085" xr:uid="{00000000-0005-0000-0000-00003D350000}"/>
    <cellStyle name="Input 2 8 3 3 3 2" xfId="26057" xr:uid="{00000000-0005-0000-0000-00003E350000}"/>
    <cellStyle name="Input 2 8 3 3 3 3" xfId="36902" xr:uid="{00000000-0005-0000-0000-00003F350000}"/>
    <cellStyle name="Input 2 8 3 3 3 4" xfId="16308" xr:uid="{00000000-0005-0000-0000-000040350000}"/>
    <cellStyle name="Input 2 8 3 3 4" xfId="9744" xr:uid="{00000000-0005-0000-0000-000041350000}"/>
    <cellStyle name="Input 2 8 3 3 4 2" xfId="28716" xr:uid="{00000000-0005-0000-0000-000042350000}"/>
    <cellStyle name="Input 2 8 3 3 4 3" xfId="39561" xr:uid="{00000000-0005-0000-0000-000043350000}"/>
    <cellStyle name="Input 2 8 3 3 4 4" xfId="18212" xr:uid="{00000000-0005-0000-0000-000044350000}"/>
    <cellStyle name="Input 2 8 3 3 5" xfId="20540" xr:uid="{00000000-0005-0000-0000-000045350000}"/>
    <cellStyle name="Input 2 8 3 3 6" xfId="31385" xr:uid="{00000000-0005-0000-0000-000046350000}"/>
    <cellStyle name="Input 2 8 3 3 7" xfId="12358" xr:uid="{00000000-0005-0000-0000-000047350000}"/>
    <cellStyle name="Input 2 8 3 4" xfId="1964" xr:uid="{00000000-0005-0000-0000-000048350000}"/>
    <cellStyle name="Input 2 8 3 4 2" xfId="4817" xr:uid="{00000000-0005-0000-0000-000049350000}"/>
    <cellStyle name="Input 2 8 3 4 2 2" xfId="23789" xr:uid="{00000000-0005-0000-0000-00004A350000}"/>
    <cellStyle name="Input 2 8 3 4 2 3" xfId="34634" xr:uid="{00000000-0005-0000-0000-00004B350000}"/>
    <cellStyle name="Input 2 8 3 4 2 4" xfId="14682" xr:uid="{00000000-0005-0000-0000-00004C350000}"/>
    <cellStyle name="Input 2 8 3 4 3" xfId="7489" xr:uid="{00000000-0005-0000-0000-00004D350000}"/>
    <cellStyle name="Input 2 8 3 4 3 2" xfId="26461" xr:uid="{00000000-0005-0000-0000-00004E350000}"/>
    <cellStyle name="Input 2 8 3 4 3 3" xfId="37306" xr:uid="{00000000-0005-0000-0000-00004F350000}"/>
    <cellStyle name="Input 2 8 3 4 3 4" xfId="16596" xr:uid="{00000000-0005-0000-0000-000050350000}"/>
    <cellStyle name="Input 2 8 3 4 4" xfId="10148" xr:uid="{00000000-0005-0000-0000-000051350000}"/>
    <cellStyle name="Input 2 8 3 4 4 2" xfId="29120" xr:uid="{00000000-0005-0000-0000-000052350000}"/>
    <cellStyle name="Input 2 8 3 4 4 3" xfId="39965" xr:uid="{00000000-0005-0000-0000-000053350000}"/>
    <cellStyle name="Input 2 8 3 4 4 4" xfId="18500" xr:uid="{00000000-0005-0000-0000-000054350000}"/>
    <cellStyle name="Input 2 8 3 4 5" xfId="20944" xr:uid="{00000000-0005-0000-0000-000055350000}"/>
    <cellStyle name="Input 2 8 3 4 6" xfId="31789" xr:uid="{00000000-0005-0000-0000-000056350000}"/>
    <cellStyle name="Input 2 8 3 4 7" xfId="12646" xr:uid="{00000000-0005-0000-0000-000057350000}"/>
    <cellStyle name="Input 2 8 3 5" xfId="2356" xr:uid="{00000000-0005-0000-0000-000058350000}"/>
    <cellStyle name="Input 2 8 3 5 2" xfId="5209" xr:uid="{00000000-0005-0000-0000-000059350000}"/>
    <cellStyle name="Input 2 8 3 5 2 2" xfId="24181" xr:uid="{00000000-0005-0000-0000-00005A350000}"/>
    <cellStyle name="Input 2 8 3 5 2 3" xfId="35026" xr:uid="{00000000-0005-0000-0000-00005B350000}"/>
    <cellStyle name="Input 2 8 3 5 2 4" xfId="14963" xr:uid="{00000000-0005-0000-0000-00005C350000}"/>
    <cellStyle name="Input 2 8 3 5 3" xfId="7880" xr:uid="{00000000-0005-0000-0000-00005D350000}"/>
    <cellStyle name="Input 2 8 3 5 3 2" xfId="26852" xr:uid="{00000000-0005-0000-0000-00005E350000}"/>
    <cellStyle name="Input 2 8 3 5 3 3" xfId="37697" xr:uid="{00000000-0005-0000-0000-00005F350000}"/>
    <cellStyle name="Input 2 8 3 5 3 4" xfId="16876" xr:uid="{00000000-0005-0000-0000-000060350000}"/>
    <cellStyle name="Input 2 8 3 5 4" xfId="10539" xr:uid="{00000000-0005-0000-0000-000061350000}"/>
    <cellStyle name="Input 2 8 3 5 4 2" xfId="29511" xr:uid="{00000000-0005-0000-0000-000062350000}"/>
    <cellStyle name="Input 2 8 3 5 4 3" xfId="40356" xr:uid="{00000000-0005-0000-0000-000063350000}"/>
    <cellStyle name="Input 2 8 3 5 4 4" xfId="18780" xr:uid="{00000000-0005-0000-0000-000064350000}"/>
    <cellStyle name="Input 2 8 3 5 5" xfId="21335" xr:uid="{00000000-0005-0000-0000-000065350000}"/>
    <cellStyle name="Input 2 8 3 5 6" xfId="32180" xr:uid="{00000000-0005-0000-0000-000066350000}"/>
    <cellStyle name="Input 2 8 3 5 7" xfId="12926" xr:uid="{00000000-0005-0000-0000-000067350000}"/>
    <cellStyle name="Input 2 8 3 6" xfId="2745" xr:uid="{00000000-0005-0000-0000-000068350000}"/>
    <cellStyle name="Input 2 8 3 6 2" xfId="5597" xr:uid="{00000000-0005-0000-0000-000069350000}"/>
    <cellStyle name="Input 2 8 3 6 2 2" xfId="24569" xr:uid="{00000000-0005-0000-0000-00006A350000}"/>
    <cellStyle name="Input 2 8 3 6 2 3" xfId="35414" xr:uid="{00000000-0005-0000-0000-00006B350000}"/>
    <cellStyle name="Input 2 8 3 6 2 4" xfId="15241" xr:uid="{00000000-0005-0000-0000-00006C350000}"/>
    <cellStyle name="Input 2 8 3 6 3" xfId="8268" xr:uid="{00000000-0005-0000-0000-00006D350000}"/>
    <cellStyle name="Input 2 8 3 6 3 2" xfId="27240" xr:uid="{00000000-0005-0000-0000-00006E350000}"/>
    <cellStyle name="Input 2 8 3 6 3 3" xfId="38085" xr:uid="{00000000-0005-0000-0000-00006F350000}"/>
    <cellStyle name="Input 2 8 3 6 3 4" xfId="17154" xr:uid="{00000000-0005-0000-0000-000070350000}"/>
    <cellStyle name="Input 2 8 3 6 4" xfId="10927" xr:uid="{00000000-0005-0000-0000-000071350000}"/>
    <cellStyle name="Input 2 8 3 6 4 2" xfId="29899" xr:uid="{00000000-0005-0000-0000-000072350000}"/>
    <cellStyle name="Input 2 8 3 6 4 3" xfId="40744" xr:uid="{00000000-0005-0000-0000-000073350000}"/>
    <cellStyle name="Input 2 8 3 6 4 4" xfId="19058" xr:uid="{00000000-0005-0000-0000-000074350000}"/>
    <cellStyle name="Input 2 8 3 6 5" xfId="21723" xr:uid="{00000000-0005-0000-0000-000075350000}"/>
    <cellStyle name="Input 2 8 3 6 6" xfId="32568" xr:uid="{00000000-0005-0000-0000-000076350000}"/>
    <cellStyle name="Input 2 8 3 6 7" xfId="13204" xr:uid="{00000000-0005-0000-0000-000077350000}"/>
    <cellStyle name="Input 2 8 3 7" xfId="3436" xr:uid="{00000000-0005-0000-0000-000078350000}"/>
    <cellStyle name="Input 2 8 3 7 2" xfId="22408" xr:uid="{00000000-0005-0000-0000-000079350000}"/>
    <cellStyle name="Input 2 8 3 7 3" xfId="33253" xr:uid="{00000000-0005-0000-0000-00007A350000}"/>
    <cellStyle name="Input 2 8 3 7 4" xfId="13686" xr:uid="{00000000-0005-0000-0000-00007B350000}"/>
    <cellStyle name="Input 2 8 3 8" xfId="6112" xr:uid="{00000000-0005-0000-0000-00007C350000}"/>
    <cellStyle name="Input 2 8 3 8 2" xfId="25084" xr:uid="{00000000-0005-0000-0000-00007D350000}"/>
    <cellStyle name="Input 2 8 3 8 3" xfId="35929" xr:uid="{00000000-0005-0000-0000-00007E350000}"/>
    <cellStyle name="Input 2 8 3 8 4" xfId="15603" xr:uid="{00000000-0005-0000-0000-00007F350000}"/>
    <cellStyle name="Input 2 8 3 9" xfId="8771" xr:uid="{00000000-0005-0000-0000-000080350000}"/>
    <cellStyle name="Input 2 8 3 9 2" xfId="27743" xr:uid="{00000000-0005-0000-0000-000081350000}"/>
    <cellStyle name="Input 2 8 3 9 3" xfId="38588" xr:uid="{00000000-0005-0000-0000-000082350000}"/>
    <cellStyle name="Input 2 8 3 9 4" xfId="17507" xr:uid="{00000000-0005-0000-0000-000083350000}"/>
    <cellStyle name="Input 2 8 4" xfId="11455" xr:uid="{00000000-0005-0000-0000-000084350000}"/>
    <cellStyle name="Input 2 9" xfId="366" xr:uid="{00000000-0005-0000-0000-000085350000}"/>
    <cellStyle name="Input 2 9 10" xfId="930" xr:uid="{00000000-0005-0000-0000-000086350000}"/>
    <cellStyle name="Input 2 9 10 2" xfId="3784" xr:uid="{00000000-0005-0000-0000-000087350000}"/>
    <cellStyle name="Input 2 9 10 2 2" xfId="22756" xr:uid="{00000000-0005-0000-0000-000088350000}"/>
    <cellStyle name="Input 2 9 10 2 3" xfId="33601" xr:uid="{00000000-0005-0000-0000-000089350000}"/>
    <cellStyle name="Input 2 9 10 2 4" xfId="13930" xr:uid="{00000000-0005-0000-0000-00008A350000}"/>
    <cellStyle name="Input 2 9 10 3" xfId="6459" xr:uid="{00000000-0005-0000-0000-00008B350000}"/>
    <cellStyle name="Input 2 9 10 3 2" xfId="25431" xr:uid="{00000000-0005-0000-0000-00008C350000}"/>
    <cellStyle name="Input 2 9 10 3 3" xfId="36276" xr:uid="{00000000-0005-0000-0000-00008D350000}"/>
    <cellStyle name="Input 2 9 10 3 4" xfId="15846" xr:uid="{00000000-0005-0000-0000-00008E350000}"/>
    <cellStyle name="Input 2 9 10 4" xfId="9118" xr:uid="{00000000-0005-0000-0000-00008F350000}"/>
    <cellStyle name="Input 2 9 10 4 2" xfId="28090" xr:uid="{00000000-0005-0000-0000-000090350000}"/>
    <cellStyle name="Input 2 9 10 4 3" xfId="38935" xr:uid="{00000000-0005-0000-0000-000091350000}"/>
    <cellStyle name="Input 2 9 10 4 4" xfId="17750" xr:uid="{00000000-0005-0000-0000-000092350000}"/>
    <cellStyle name="Input 2 9 10 5" xfId="19914" xr:uid="{00000000-0005-0000-0000-000093350000}"/>
    <cellStyle name="Input 2 9 10 6" xfId="30759" xr:uid="{00000000-0005-0000-0000-000094350000}"/>
    <cellStyle name="Input 2 9 10 7" xfId="11896" xr:uid="{00000000-0005-0000-0000-000095350000}"/>
    <cellStyle name="Input 2 9 11" xfId="1023" xr:uid="{00000000-0005-0000-0000-000096350000}"/>
    <cellStyle name="Input 2 9 11 2" xfId="3876" xr:uid="{00000000-0005-0000-0000-000097350000}"/>
    <cellStyle name="Input 2 9 11 2 2" xfId="22848" xr:uid="{00000000-0005-0000-0000-000098350000}"/>
    <cellStyle name="Input 2 9 11 2 3" xfId="33693" xr:uid="{00000000-0005-0000-0000-000099350000}"/>
    <cellStyle name="Input 2 9 11 2 4" xfId="13998" xr:uid="{00000000-0005-0000-0000-00009A350000}"/>
    <cellStyle name="Input 2 9 11 3" xfId="6550" xr:uid="{00000000-0005-0000-0000-00009B350000}"/>
    <cellStyle name="Input 2 9 11 3 2" xfId="25522" xr:uid="{00000000-0005-0000-0000-00009C350000}"/>
    <cellStyle name="Input 2 9 11 3 3" xfId="36367" xr:uid="{00000000-0005-0000-0000-00009D350000}"/>
    <cellStyle name="Input 2 9 11 3 4" xfId="15914" xr:uid="{00000000-0005-0000-0000-00009E350000}"/>
    <cellStyle name="Input 2 9 11 4" xfId="9209" xr:uid="{00000000-0005-0000-0000-00009F350000}"/>
    <cellStyle name="Input 2 9 11 4 2" xfId="28181" xr:uid="{00000000-0005-0000-0000-0000A0350000}"/>
    <cellStyle name="Input 2 9 11 4 3" xfId="39026" xr:uid="{00000000-0005-0000-0000-0000A1350000}"/>
    <cellStyle name="Input 2 9 11 4 4" xfId="17818" xr:uid="{00000000-0005-0000-0000-0000A2350000}"/>
    <cellStyle name="Input 2 9 11 5" xfId="20005" xr:uid="{00000000-0005-0000-0000-0000A3350000}"/>
    <cellStyle name="Input 2 9 11 6" xfId="30850" xr:uid="{00000000-0005-0000-0000-0000A4350000}"/>
    <cellStyle name="Input 2 9 11 7" xfId="11964" xr:uid="{00000000-0005-0000-0000-0000A5350000}"/>
    <cellStyle name="Input 2 9 12" xfId="1135" xr:uid="{00000000-0005-0000-0000-0000A6350000}"/>
    <cellStyle name="Input 2 9 12 2" xfId="3988" xr:uid="{00000000-0005-0000-0000-0000A7350000}"/>
    <cellStyle name="Input 2 9 12 2 2" xfId="22960" xr:uid="{00000000-0005-0000-0000-0000A8350000}"/>
    <cellStyle name="Input 2 9 12 2 3" xfId="33805" xr:uid="{00000000-0005-0000-0000-0000A9350000}"/>
    <cellStyle name="Input 2 9 12 2 4" xfId="14080" xr:uid="{00000000-0005-0000-0000-0000AA350000}"/>
    <cellStyle name="Input 2 9 12 3" xfId="6661" xr:uid="{00000000-0005-0000-0000-0000AB350000}"/>
    <cellStyle name="Input 2 9 12 3 2" xfId="25633" xr:uid="{00000000-0005-0000-0000-0000AC350000}"/>
    <cellStyle name="Input 2 9 12 3 3" xfId="36478" xr:uid="{00000000-0005-0000-0000-0000AD350000}"/>
    <cellStyle name="Input 2 9 12 3 4" xfId="15995" xr:uid="{00000000-0005-0000-0000-0000AE350000}"/>
    <cellStyle name="Input 2 9 12 4" xfId="9320" xr:uid="{00000000-0005-0000-0000-0000AF350000}"/>
    <cellStyle name="Input 2 9 12 4 2" xfId="28292" xr:uid="{00000000-0005-0000-0000-0000B0350000}"/>
    <cellStyle name="Input 2 9 12 4 3" xfId="39137" xr:uid="{00000000-0005-0000-0000-0000B1350000}"/>
    <cellStyle name="Input 2 9 12 4 4" xfId="17899" xr:uid="{00000000-0005-0000-0000-0000B2350000}"/>
    <cellStyle name="Input 2 9 12 5" xfId="20116" xr:uid="{00000000-0005-0000-0000-0000B3350000}"/>
    <cellStyle name="Input 2 9 12 6" xfId="30961" xr:uid="{00000000-0005-0000-0000-0000B4350000}"/>
    <cellStyle name="Input 2 9 12 7" xfId="12045" xr:uid="{00000000-0005-0000-0000-0000B5350000}"/>
    <cellStyle name="Input 2 9 13" xfId="1510" xr:uid="{00000000-0005-0000-0000-0000B6350000}"/>
    <cellStyle name="Input 2 9 13 2" xfId="4363" xr:uid="{00000000-0005-0000-0000-0000B7350000}"/>
    <cellStyle name="Input 2 9 13 2 2" xfId="23335" xr:uid="{00000000-0005-0000-0000-0000B8350000}"/>
    <cellStyle name="Input 2 9 13 2 3" xfId="34180" xr:uid="{00000000-0005-0000-0000-0000B9350000}"/>
    <cellStyle name="Input 2 9 13 2 4" xfId="14355" xr:uid="{00000000-0005-0000-0000-0000BA350000}"/>
    <cellStyle name="Input 2 9 13 3" xfId="7036" xr:uid="{00000000-0005-0000-0000-0000BB350000}"/>
    <cellStyle name="Input 2 9 13 3 2" xfId="26008" xr:uid="{00000000-0005-0000-0000-0000BC350000}"/>
    <cellStyle name="Input 2 9 13 3 3" xfId="36853" xr:uid="{00000000-0005-0000-0000-0000BD350000}"/>
    <cellStyle name="Input 2 9 13 3 4" xfId="16270" xr:uid="{00000000-0005-0000-0000-0000BE350000}"/>
    <cellStyle name="Input 2 9 13 4" xfId="9695" xr:uid="{00000000-0005-0000-0000-0000BF350000}"/>
    <cellStyle name="Input 2 9 13 4 2" xfId="28667" xr:uid="{00000000-0005-0000-0000-0000C0350000}"/>
    <cellStyle name="Input 2 9 13 4 3" xfId="39512" xr:uid="{00000000-0005-0000-0000-0000C1350000}"/>
    <cellStyle name="Input 2 9 13 4 4" xfId="18174" xr:uid="{00000000-0005-0000-0000-0000C2350000}"/>
    <cellStyle name="Input 2 9 13 5" xfId="20491" xr:uid="{00000000-0005-0000-0000-0000C3350000}"/>
    <cellStyle name="Input 2 9 13 6" xfId="31336" xr:uid="{00000000-0005-0000-0000-0000C4350000}"/>
    <cellStyle name="Input 2 9 13 7" xfId="12320" xr:uid="{00000000-0005-0000-0000-0000C5350000}"/>
    <cellStyle name="Input 2 9 14" xfId="3262" xr:uid="{00000000-0005-0000-0000-0000C6350000}"/>
    <cellStyle name="Input 2 9 14 2" xfId="22237" xr:uid="{00000000-0005-0000-0000-0000C7350000}"/>
    <cellStyle name="Input 2 9 14 3" xfId="33082" xr:uid="{00000000-0005-0000-0000-0000C8350000}"/>
    <cellStyle name="Input 2 9 14 4" xfId="13563" xr:uid="{00000000-0005-0000-0000-0000C9350000}"/>
    <cellStyle name="Input 2 9 15" xfId="485" xr:uid="{00000000-0005-0000-0000-0000CA350000}"/>
    <cellStyle name="Input 2 9 15 2" xfId="19526" xr:uid="{00000000-0005-0000-0000-0000CB350000}"/>
    <cellStyle name="Input 2 9 15 3" xfId="30371" xr:uid="{00000000-0005-0000-0000-0000CC350000}"/>
    <cellStyle name="Input 2 9 15 4" xfId="11570" xr:uid="{00000000-0005-0000-0000-0000CD350000}"/>
    <cellStyle name="Input 2 9 16" xfId="3240" xr:uid="{00000000-0005-0000-0000-0000CE350000}"/>
    <cellStyle name="Input 2 9 16 2" xfId="22217" xr:uid="{00000000-0005-0000-0000-0000CF350000}"/>
    <cellStyle name="Input 2 9 16 3" xfId="33062" xr:uid="{00000000-0005-0000-0000-0000D0350000}"/>
    <cellStyle name="Input 2 9 16 4" xfId="13544" xr:uid="{00000000-0005-0000-0000-0000D1350000}"/>
    <cellStyle name="Input 2 9 17" xfId="19456" xr:uid="{00000000-0005-0000-0000-0000D2350000}"/>
    <cellStyle name="Input 2 9 18" xfId="19437" xr:uid="{00000000-0005-0000-0000-0000D3350000}"/>
    <cellStyle name="Input 2 9 19" xfId="11515" xr:uid="{00000000-0005-0000-0000-0000D4350000}"/>
    <cellStyle name="Input 2 9 2" xfId="667" xr:uid="{00000000-0005-0000-0000-0000D5350000}"/>
    <cellStyle name="Input 2 9 2 10" xfId="19652" xr:uid="{00000000-0005-0000-0000-0000D6350000}"/>
    <cellStyle name="Input 2 9 2 11" xfId="30497" xr:uid="{00000000-0005-0000-0000-0000D7350000}"/>
    <cellStyle name="Input 2 9 2 12" xfId="11719" xr:uid="{00000000-0005-0000-0000-0000D8350000}"/>
    <cellStyle name="Input 2 9 2 2" xfId="1254" xr:uid="{00000000-0005-0000-0000-0000D9350000}"/>
    <cellStyle name="Input 2 9 2 2 2" xfId="4107" xr:uid="{00000000-0005-0000-0000-0000DA350000}"/>
    <cellStyle name="Input 2 9 2 2 2 2" xfId="23079" xr:uid="{00000000-0005-0000-0000-0000DB350000}"/>
    <cellStyle name="Input 2 9 2 2 2 3" xfId="33924" xr:uid="{00000000-0005-0000-0000-0000DC350000}"/>
    <cellStyle name="Input 2 9 2 2 2 4" xfId="14180" xr:uid="{00000000-0005-0000-0000-0000DD350000}"/>
    <cellStyle name="Input 2 9 2 2 3" xfId="6780" xr:uid="{00000000-0005-0000-0000-0000DE350000}"/>
    <cellStyle name="Input 2 9 2 2 3 2" xfId="25752" xr:uid="{00000000-0005-0000-0000-0000DF350000}"/>
    <cellStyle name="Input 2 9 2 2 3 3" xfId="36597" xr:uid="{00000000-0005-0000-0000-0000E0350000}"/>
    <cellStyle name="Input 2 9 2 2 3 4" xfId="16095" xr:uid="{00000000-0005-0000-0000-0000E1350000}"/>
    <cellStyle name="Input 2 9 2 2 4" xfId="9439" xr:uid="{00000000-0005-0000-0000-0000E2350000}"/>
    <cellStyle name="Input 2 9 2 2 4 2" xfId="28411" xr:uid="{00000000-0005-0000-0000-0000E3350000}"/>
    <cellStyle name="Input 2 9 2 2 4 3" xfId="39256" xr:uid="{00000000-0005-0000-0000-0000E4350000}"/>
    <cellStyle name="Input 2 9 2 2 4 4" xfId="17999" xr:uid="{00000000-0005-0000-0000-0000E5350000}"/>
    <cellStyle name="Input 2 9 2 2 5" xfId="20235" xr:uid="{00000000-0005-0000-0000-0000E6350000}"/>
    <cellStyle name="Input 2 9 2 2 6" xfId="31080" xr:uid="{00000000-0005-0000-0000-0000E7350000}"/>
    <cellStyle name="Input 2 9 2 2 7" xfId="12145" xr:uid="{00000000-0005-0000-0000-0000E8350000}"/>
    <cellStyle name="Input 2 9 2 3" xfId="1653" xr:uid="{00000000-0005-0000-0000-0000E9350000}"/>
    <cellStyle name="Input 2 9 2 3 2" xfId="4506" xr:uid="{00000000-0005-0000-0000-0000EA350000}"/>
    <cellStyle name="Input 2 9 2 3 2 2" xfId="23478" xr:uid="{00000000-0005-0000-0000-0000EB350000}"/>
    <cellStyle name="Input 2 9 2 3 2 3" xfId="34323" xr:uid="{00000000-0005-0000-0000-0000EC350000}"/>
    <cellStyle name="Input 2 9 2 3 2 4" xfId="14467" xr:uid="{00000000-0005-0000-0000-0000ED350000}"/>
    <cellStyle name="Input 2 9 2 3 3" xfId="7178" xr:uid="{00000000-0005-0000-0000-0000EE350000}"/>
    <cellStyle name="Input 2 9 2 3 3 2" xfId="26150" xr:uid="{00000000-0005-0000-0000-0000EF350000}"/>
    <cellStyle name="Input 2 9 2 3 3 3" xfId="36995" xr:uid="{00000000-0005-0000-0000-0000F0350000}"/>
    <cellStyle name="Input 2 9 2 3 3 4" xfId="16381" xr:uid="{00000000-0005-0000-0000-0000F1350000}"/>
    <cellStyle name="Input 2 9 2 3 4" xfId="9837" xr:uid="{00000000-0005-0000-0000-0000F2350000}"/>
    <cellStyle name="Input 2 9 2 3 4 2" xfId="28809" xr:uid="{00000000-0005-0000-0000-0000F3350000}"/>
    <cellStyle name="Input 2 9 2 3 4 3" xfId="39654" xr:uid="{00000000-0005-0000-0000-0000F4350000}"/>
    <cellStyle name="Input 2 9 2 3 4 4" xfId="18285" xr:uid="{00000000-0005-0000-0000-0000F5350000}"/>
    <cellStyle name="Input 2 9 2 3 5" xfId="20633" xr:uid="{00000000-0005-0000-0000-0000F6350000}"/>
    <cellStyle name="Input 2 9 2 3 6" xfId="31478" xr:uid="{00000000-0005-0000-0000-0000F7350000}"/>
    <cellStyle name="Input 2 9 2 3 7" xfId="12431" xr:uid="{00000000-0005-0000-0000-0000F8350000}"/>
    <cellStyle name="Input 2 9 2 4" xfId="2057" xr:uid="{00000000-0005-0000-0000-0000F9350000}"/>
    <cellStyle name="Input 2 9 2 4 2" xfId="4910" xr:uid="{00000000-0005-0000-0000-0000FA350000}"/>
    <cellStyle name="Input 2 9 2 4 2 2" xfId="23882" xr:uid="{00000000-0005-0000-0000-0000FB350000}"/>
    <cellStyle name="Input 2 9 2 4 2 3" xfId="34727" xr:uid="{00000000-0005-0000-0000-0000FC350000}"/>
    <cellStyle name="Input 2 9 2 4 2 4" xfId="14754" xr:uid="{00000000-0005-0000-0000-0000FD350000}"/>
    <cellStyle name="Input 2 9 2 4 3" xfId="7581" xr:uid="{00000000-0005-0000-0000-0000FE350000}"/>
    <cellStyle name="Input 2 9 2 4 3 2" xfId="26553" xr:uid="{00000000-0005-0000-0000-0000FF350000}"/>
    <cellStyle name="Input 2 9 2 4 3 3" xfId="37398" xr:uid="{00000000-0005-0000-0000-000000360000}"/>
    <cellStyle name="Input 2 9 2 4 3 4" xfId="16667" xr:uid="{00000000-0005-0000-0000-000001360000}"/>
    <cellStyle name="Input 2 9 2 4 4" xfId="10240" xr:uid="{00000000-0005-0000-0000-000002360000}"/>
    <cellStyle name="Input 2 9 2 4 4 2" xfId="29212" xr:uid="{00000000-0005-0000-0000-000003360000}"/>
    <cellStyle name="Input 2 9 2 4 4 3" xfId="40057" xr:uid="{00000000-0005-0000-0000-000004360000}"/>
    <cellStyle name="Input 2 9 2 4 4 4" xfId="18571" xr:uid="{00000000-0005-0000-0000-000005360000}"/>
    <cellStyle name="Input 2 9 2 4 5" xfId="21036" xr:uid="{00000000-0005-0000-0000-000006360000}"/>
    <cellStyle name="Input 2 9 2 4 6" xfId="31881" xr:uid="{00000000-0005-0000-0000-000007360000}"/>
    <cellStyle name="Input 2 9 2 4 7" xfId="12717" xr:uid="{00000000-0005-0000-0000-000008360000}"/>
    <cellStyle name="Input 2 9 2 5" xfId="2447" xr:uid="{00000000-0005-0000-0000-000009360000}"/>
    <cellStyle name="Input 2 9 2 5 2" xfId="5299" xr:uid="{00000000-0005-0000-0000-00000A360000}"/>
    <cellStyle name="Input 2 9 2 5 2 2" xfId="24271" xr:uid="{00000000-0005-0000-0000-00000B360000}"/>
    <cellStyle name="Input 2 9 2 5 2 3" xfId="35116" xr:uid="{00000000-0005-0000-0000-00000C360000}"/>
    <cellStyle name="Input 2 9 2 5 2 4" xfId="15033" xr:uid="{00000000-0005-0000-0000-00000D360000}"/>
    <cellStyle name="Input 2 9 2 5 3" xfId="7970" xr:uid="{00000000-0005-0000-0000-00000E360000}"/>
    <cellStyle name="Input 2 9 2 5 3 2" xfId="26942" xr:uid="{00000000-0005-0000-0000-00000F360000}"/>
    <cellStyle name="Input 2 9 2 5 3 3" xfId="37787" xr:uid="{00000000-0005-0000-0000-000010360000}"/>
    <cellStyle name="Input 2 9 2 5 3 4" xfId="16946" xr:uid="{00000000-0005-0000-0000-000011360000}"/>
    <cellStyle name="Input 2 9 2 5 4" xfId="10629" xr:uid="{00000000-0005-0000-0000-000012360000}"/>
    <cellStyle name="Input 2 9 2 5 4 2" xfId="29601" xr:uid="{00000000-0005-0000-0000-000013360000}"/>
    <cellStyle name="Input 2 9 2 5 4 3" xfId="40446" xr:uid="{00000000-0005-0000-0000-000014360000}"/>
    <cellStyle name="Input 2 9 2 5 4 4" xfId="18850" xr:uid="{00000000-0005-0000-0000-000015360000}"/>
    <cellStyle name="Input 2 9 2 5 5" xfId="21425" xr:uid="{00000000-0005-0000-0000-000016360000}"/>
    <cellStyle name="Input 2 9 2 5 6" xfId="32270" xr:uid="{00000000-0005-0000-0000-000017360000}"/>
    <cellStyle name="Input 2 9 2 5 7" xfId="12996" xr:uid="{00000000-0005-0000-0000-000018360000}"/>
    <cellStyle name="Input 2 9 2 6" xfId="2833" xr:uid="{00000000-0005-0000-0000-000019360000}"/>
    <cellStyle name="Input 2 9 2 6 2" xfId="5684" xr:uid="{00000000-0005-0000-0000-00001A360000}"/>
    <cellStyle name="Input 2 9 2 6 2 2" xfId="24656" xr:uid="{00000000-0005-0000-0000-00001B360000}"/>
    <cellStyle name="Input 2 9 2 6 2 3" xfId="35501" xr:uid="{00000000-0005-0000-0000-00001C360000}"/>
    <cellStyle name="Input 2 9 2 6 2 4" xfId="15309" xr:uid="{00000000-0005-0000-0000-00001D360000}"/>
    <cellStyle name="Input 2 9 2 6 3" xfId="8355" xr:uid="{00000000-0005-0000-0000-00001E360000}"/>
    <cellStyle name="Input 2 9 2 6 3 2" xfId="27327" xr:uid="{00000000-0005-0000-0000-00001F360000}"/>
    <cellStyle name="Input 2 9 2 6 3 3" xfId="38172" xr:uid="{00000000-0005-0000-0000-000020360000}"/>
    <cellStyle name="Input 2 9 2 6 3 4" xfId="17222" xr:uid="{00000000-0005-0000-0000-000021360000}"/>
    <cellStyle name="Input 2 9 2 6 4" xfId="11014" xr:uid="{00000000-0005-0000-0000-000022360000}"/>
    <cellStyle name="Input 2 9 2 6 4 2" xfId="29986" xr:uid="{00000000-0005-0000-0000-000023360000}"/>
    <cellStyle name="Input 2 9 2 6 4 3" xfId="40831" xr:uid="{00000000-0005-0000-0000-000024360000}"/>
    <cellStyle name="Input 2 9 2 6 4 4" xfId="19126" xr:uid="{00000000-0005-0000-0000-000025360000}"/>
    <cellStyle name="Input 2 9 2 6 5" xfId="21810" xr:uid="{00000000-0005-0000-0000-000026360000}"/>
    <cellStyle name="Input 2 9 2 6 6" xfId="32655" xr:uid="{00000000-0005-0000-0000-000027360000}"/>
    <cellStyle name="Input 2 9 2 6 7" xfId="13272" xr:uid="{00000000-0005-0000-0000-000028360000}"/>
    <cellStyle name="Input 2 9 2 7" xfId="3522" xr:uid="{00000000-0005-0000-0000-000029360000}"/>
    <cellStyle name="Input 2 9 2 7 2" xfId="22494" xr:uid="{00000000-0005-0000-0000-00002A360000}"/>
    <cellStyle name="Input 2 9 2 7 3" xfId="33339" xr:uid="{00000000-0005-0000-0000-00002B360000}"/>
    <cellStyle name="Input 2 9 2 7 4" xfId="13753" xr:uid="{00000000-0005-0000-0000-00002C360000}"/>
    <cellStyle name="Input 2 9 2 8" xfId="6197" xr:uid="{00000000-0005-0000-0000-00002D360000}"/>
    <cellStyle name="Input 2 9 2 8 2" xfId="25169" xr:uid="{00000000-0005-0000-0000-00002E360000}"/>
    <cellStyle name="Input 2 9 2 8 3" xfId="36014" xr:uid="{00000000-0005-0000-0000-00002F360000}"/>
    <cellStyle name="Input 2 9 2 8 4" xfId="15669" xr:uid="{00000000-0005-0000-0000-000030360000}"/>
    <cellStyle name="Input 2 9 2 9" xfId="8856" xr:uid="{00000000-0005-0000-0000-000031360000}"/>
    <cellStyle name="Input 2 9 2 9 2" xfId="27828" xr:uid="{00000000-0005-0000-0000-000032360000}"/>
    <cellStyle name="Input 2 9 2 9 3" xfId="38673" xr:uid="{00000000-0005-0000-0000-000033360000}"/>
    <cellStyle name="Input 2 9 2 9 4" xfId="17573" xr:uid="{00000000-0005-0000-0000-000034360000}"/>
    <cellStyle name="Input 2 9 3" xfId="727" xr:uid="{00000000-0005-0000-0000-000035360000}"/>
    <cellStyle name="Input 2 9 3 10" xfId="19712" xr:uid="{00000000-0005-0000-0000-000036360000}"/>
    <cellStyle name="Input 2 9 3 11" xfId="30557" xr:uid="{00000000-0005-0000-0000-000037360000}"/>
    <cellStyle name="Input 2 9 3 12" xfId="11759" xr:uid="{00000000-0005-0000-0000-000038360000}"/>
    <cellStyle name="Input 2 9 3 2" xfId="1314" xr:uid="{00000000-0005-0000-0000-000039360000}"/>
    <cellStyle name="Input 2 9 3 2 2" xfId="4167" xr:uid="{00000000-0005-0000-0000-00003A360000}"/>
    <cellStyle name="Input 2 9 3 2 2 2" xfId="23139" xr:uid="{00000000-0005-0000-0000-00003B360000}"/>
    <cellStyle name="Input 2 9 3 2 2 3" xfId="33984" xr:uid="{00000000-0005-0000-0000-00003C360000}"/>
    <cellStyle name="Input 2 9 3 2 2 4" xfId="14220" xr:uid="{00000000-0005-0000-0000-00003D360000}"/>
    <cellStyle name="Input 2 9 3 2 3" xfId="6840" xr:uid="{00000000-0005-0000-0000-00003E360000}"/>
    <cellStyle name="Input 2 9 3 2 3 2" xfId="25812" xr:uid="{00000000-0005-0000-0000-00003F360000}"/>
    <cellStyle name="Input 2 9 3 2 3 3" xfId="36657" xr:uid="{00000000-0005-0000-0000-000040360000}"/>
    <cellStyle name="Input 2 9 3 2 3 4" xfId="16135" xr:uid="{00000000-0005-0000-0000-000041360000}"/>
    <cellStyle name="Input 2 9 3 2 4" xfId="9499" xr:uid="{00000000-0005-0000-0000-000042360000}"/>
    <cellStyle name="Input 2 9 3 2 4 2" xfId="28471" xr:uid="{00000000-0005-0000-0000-000043360000}"/>
    <cellStyle name="Input 2 9 3 2 4 3" xfId="39316" xr:uid="{00000000-0005-0000-0000-000044360000}"/>
    <cellStyle name="Input 2 9 3 2 4 4" xfId="18039" xr:uid="{00000000-0005-0000-0000-000045360000}"/>
    <cellStyle name="Input 2 9 3 2 5" xfId="20295" xr:uid="{00000000-0005-0000-0000-000046360000}"/>
    <cellStyle name="Input 2 9 3 2 6" xfId="31140" xr:uid="{00000000-0005-0000-0000-000047360000}"/>
    <cellStyle name="Input 2 9 3 2 7" xfId="12185" xr:uid="{00000000-0005-0000-0000-000048360000}"/>
    <cellStyle name="Input 2 9 3 3" xfId="1713" xr:uid="{00000000-0005-0000-0000-000049360000}"/>
    <cellStyle name="Input 2 9 3 3 2" xfId="4566" xr:uid="{00000000-0005-0000-0000-00004A360000}"/>
    <cellStyle name="Input 2 9 3 3 2 2" xfId="23538" xr:uid="{00000000-0005-0000-0000-00004B360000}"/>
    <cellStyle name="Input 2 9 3 3 2 3" xfId="34383" xr:uid="{00000000-0005-0000-0000-00004C360000}"/>
    <cellStyle name="Input 2 9 3 3 2 4" xfId="14507" xr:uid="{00000000-0005-0000-0000-00004D360000}"/>
    <cellStyle name="Input 2 9 3 3 3" xfId="7238" xr:uid="{00000000-0005-0000-0000-00004E360000}"/>
    <cellStyle name="Input 2 9 3 3 3 2" xfId="26210" xr:uid="{00000000-0005-0000-0000-00004F360000}"/>
    <cellStyle name="Input 2 9 3 3 3 3" xfId="37055" xr:uid="{00000000-0005-0000-0000-000050360000}"/>
    <cellStyle name="Input 2 9 3 3 3 4" xfId="16421" xr:uid="{00000000-0005-0000-0000-000051360000}"/>
    <cellStyle name="Input 2 9 3 3 4" xfId="9897" xr:uid="{00000000-0005-0000-0000-000052360000}"/>
    <cellStyle name="Input 2 9 3 3 4 2" xfId="28869" xr:uid="{00000000-0005-0000-0000-000053360000}"/>
    <cellStyle name="Input 2 9 3 3 4 3" xfId="39714" xr:uid="{00000000-0005-0000-0000-000054360000}"/>
    <cellStyle name="Input 2 9 3 3 4 4" xfId="18325" xr:uid="{00000000-0005-0000-0000-000055360000}"/>
    <cellStyle name="Input 2 9 3 3 5" xfId="20693" xr:uid="{00000000-0005-0000-0000-000056360000}"/>
    <cellStyle name="Input 2 9 3 3 6" xfId="31538" xr:uid="{00000000-0005-0000-0000-000057360000}"/>
    <cellStyle name="Input 2 9 3 3 7" xfId="12471" xr:uid="{00000000-0005-0000-0000-000058360000}"/>
    <cellStyle name="Input 2 9 3 4" xfId="2117" xr:uid="{00000000-0005-0000-0000-000059360000}"/>
    <cellStyle name="Input 2 9 3 4 2" xfId="4970" xr:uid="{00000000-0005-0000-0000-00005A360000}"/>
    <cellStyle name="Input 2 9 3 4 2 2" xfId="23942" xr:uid="{00000000-0005-0000-0000-00005B360000}"/>
    <cellStyle name="Input 2 9 3 4 2 3" xfId="34787" xr:uid="{00000000-0005-0000-0000-00005C360000}"/>
    <cellStyle name="Input 2 9 3 4 2 4" xfId="14794" xr:uid="{00000000-0005-0000-0000-00005D360000}"/>
    <cellStyle name="Input 2 9 3 4 3" xfId="7641" xr:uid="{00000000-0005-0000-0000-00005E360000}"/>
    <cellStyle name="Input 2 9 3 4 3 2" xfId="26613" xr:uid="{00000000-0005-0000-0000-00005F360000}"/>
    <cellStyle name="Input 2 9 3 4 3 3" xfId="37458" xr:uid="{00000000-0005-0000-0000-000060360000}"/>
    <cellStyle name="Input 2 9 3 4 3 4" xfId="16707" xr:uid="{00000000-0005-0000-0000-000061360000}"/>
    <cellStyle name="Input 2 9 3 4 4" xfId="10300" xr:uid="{00000000-0005-0000-0000-000062360000}"/>
    <cellStyle name="Input 2 9 3 4 4 2" xfId="29272" xr:uid="{00000000-0005-0000-0000-000063360000}"/>
    <cellStyle name="Input 2 9 3 4 4 3" xfId="40117" xr:uid="{00000000-0005-0000-0000-000064360000}"/>
    <cellStyle name="Input 2 9 3 4 4 4" xfId="18611" xr:uid="{00000000-0005-0000-0000-000065360000}"/>
    <cellStyle name="Input 2 9 3 4 5" xfId="21096" xr:uid="{00000000-0005-0000-0000-000066360000}"/>
    <cellStyle name="Input 2 9 3 4 6" xfId="31941" xr:uid="{00000000-0005-0000-0000-000067360000}"/>
    <cellStyle name="Input 2 9 3 4 7" xfId="12757" xr:uid="{00000000-0005-0000-0000-000068360000}"/>
    <cellStyle name="Input 2 9 3 5" xfId="2507" xr:uid="{00000000-0005-0000-0000-000069360000}"/>
    <cellStyle name="Input 2 9 3 5 2" xfId="5359" xr:uid="{00000000-0005-0000-0000-00006A360000}"/>
    <cellStyle name="Input 2 9 3 5 2 2" xfId="24331" xr:uid="{00000000-0005-0000-0000-00006B360000}"/>
    <cellStyle name="Input 2 9 3 5 2 3" xfId="35176" xr:uid="{00000000-0005-0000-0000-00006C360000}"/>
    <cellStyle name="Input 2 9 3 5 2 4" xfId="15073" xr:uid="{00000000-0005-0000-0000-00006D360000}"/>
    <cellStyle name="Input 2 9 3 5 3" xfId="8030" xr:uid="{00000000-0005-0000-0000-00006E360000}"/>
    <cellStyle name="Input 2 9 3 5 3 2" xfId="27002" xr:uid="{00000000-0005-0000-0000-00006F360000}"/>
    <cellStyle name="Input 2 9 3 5 3 3" xfId="37847" xr:uid="{00000000-0005-0000-0000-000070360000}"/>
    <cellStyle name="Input 2 9 3 5 3 4" xfId="16986" xr:uid="{00000000-0005-0000-0000-000071360000}"/>
    <cellStyle name="Input 2 9 3 5 4" xfId="10689" xr:uid="{00000000-0005-0000-0000-000072360000}"/>
    <cellStyle name="Input 2 9 3 5 4 2" xfId="29661" xr:uid="{00000000-0005-0000-0000-000073360000}"/>
    <cellStyle name="Input 2 9 3 5 4 3" xfId="40506" xr:uid="{00000000-0005-0000-0000-000074360000}"/>
    <cellStyle name="Input 2 9 3 5 4 4" xfId="18890" xr:uid="{00000000-0005-0000-0000-000075360000}"/>
    <cellStyle name="Input 2 9 3 5 5" xfId="21485" xr:uid="{00000000-0005-0000-0000-000076360000}"/>
    <cellStyle name="Input 2 9 3 5 6" xfId="32330" xr:uid="{00000000-0005-0000-0000-000077360000}"/>
    <cellStyle name="Input 2 9 3 5 7" xfId="13036" xr:uid="{00000000-0005-0000-0000-000078360000}"/>
    <cellStyle name="Input 2 9 3 6" xfId="2893" xr:uid="{00000000-0005-0000-0000-000079360000}"/>
    <cellStyle name="Input 2 9 3 6 2" xfId="5744" xr:uid="{00000000-0005-0000-0000-00007A360000}"/>
    <cellStyle name="Input 2 9 3 6 2 2" xfId="24716" xr:uid="{00000000-0005-0000-0000-00007B360000}"/>
    <cellStyle name="Input 2 9 3 6 2 3" xfId="35561" xr:uid="{00000000-0005-0000-0000-00007C360000}"/>
    <cellStyle name="Input 2 9 3 6 2 4" xfId="15349" xr:uid="{00000000-0005-0000-0000-00007D360000}"/>
    <cellStyle name="Input 2 9 3 6 3" xfId="8415" xr:uid="{00000000-0005-0000-0000-00007E360000}"/>
    <cellStyle name="Input 2 9 3 6 3 2" xfId="27387" xr:uid="{00000000-0005-0000-0000-00007F360000}"/>
    <cellStyle name="Input 2 9 3 6 3 3" xfId="38232" xr:uid="{00000000-0005-0000-0000-000080360000}"/>
    <cellStyle name="Input 2 9 3 6 3 4" xfId="17262" xr:uid="{00000000-0005-0000-0000-000081360000}"/>
    <cellStyle name="Input 2 9 3 6 4" xfId="11074" xr:uid="{00000000-0005-0000-0000-000082360000}"/>
    <cellStyle name="Input 2 9 3 6 4 2" xfId="30046" xr:uid="{00000000-0005-0000-0000-000083360000}"/>
    <cellStyle name="Input 2 9 3 6 4 3" xfId="40891" xr:uid="{00000000-0005-0000-0000-000084360000}"/>
    <cellStyle name="Input 2 9 3 6 4 4" xfId="19166" xr:uid="{00000000-0005-0000-0000-000085360000}"/>
    <cellStyle name="Input 2 9 3 6 5" xfId="21870" xr:uid="{00000000-0005-0000-0000-000086360000}"/>
    <cellStyle name="Input 2 9 3 6 6" xfId="32715" xr:uid="{00000000-0005-0000-0000-000087360000}"/>
    <cellStyle name="Input 2 9 3 6 7" xfId="13312" xr:uid="{00000000-0005-0000-0000-000088360000}"/>
    <cellStyle name="Input 2 9 3 7" xfId="3582" xr:uid="{00000000-0005-0000-0000-000089360000}"/>
    <cellStyle name="Input 2 9 3 7 2" xfId="22554" xr:uid="{00000000-0005-0000-0000-00008A360000}"/>
    <cellStyle name="Input 2 9 3 7 3" xfId="33399" xr:uid="{00000000-0005-0000-0000-00008B360000}"/>
    <cellStyle name="Input 2 9 3 7 4" xfId="13793" xr:uid="{00000000-0005-0000-0000-00008C360000}"/>
    <cellStyle name="Input 2 9 3 8" xfId="6257" xr:uid="{00000000-0005-0000-0000-00008D360000}"/>
    <cellStyle name="Input 2 9 3 8 2" xfId="25229" xr:uid="{00000000-0005-0000-0000-00008E360000}"/>
    <cellStyle name="Input 2 9 3 8 3" xfId="36074" xr:uid="{00000000-0005-0000-0000-00008F360000}"/>
    <cellStyle name="Input 2 9 3 8 4" xfId="15709" xr:uid="{00000000-0005-0000-0000-000090360000}"/>
    <cellStyle name="Input 2 9 3 9" xfId="8916" xr:uid="{00000000-0005-0000-0000-000091360000}"/>
    <cellStyle name="Input 2 9 3 9 2" xfId="27888" xr:uid="{00000000-0005-0000-0000-000092360000}"/>
    <cellStyle name="Input 2 9 3 9 3" xfId="38733" xr:uid="{00000000-0005-0000-0000-000093360000}"/>
    <cellStyle name="Input 2 9 3 9 4" xfId="17613" xr:uid="{00000000-0005-0000-0000-000094360000}"/>
    <cellStyle name="Input 2 9 4" xfId="787" xr:uid="{00000000-0005-0000-0000-000095360000}"/>
    <cellStyle name="Input 2 9 4 10" xfId="19772" xr:uid="{00000000-0005-0000-0000-000096360000}"/>
    <cellStyle name="Input 2 9 4 11" xfId="30617" xr:uid="{00000000-0005-0000-0000-000097360000}"/>
    <cellStyle name="Input 2 9 4 12" xfId="11799" xr:uid="{00000000-0005-0000-0000-000098360000}"/>
    <cellStyle name="Input 2 9 4 2" xfId="1374" xr:uid="{00000000-0005-0000-0000-000099360000}"/>
    <cellStyle name="Input 2 9 4 2 2" xfId="4227" xr:uid="{00000000-0005-0000-0000-00009A360000}"/>
    <cellStyle name="Input 2 9 4 2 2 2" xfId="23199" xr:uid="{00000000-0005-0000-0000-00009B360000}"/>
    <cellStyle name="Input 2 9 4 2 2 3" xfId="34044" xr:uid="{00000000-0005-0000-0000-00009C360000}"/>
    <cellStyle name="Input 2 9 4 2 2 4" xfId="14260" xr:uid="{00000000-0005-0000-0000-00009D360000}"/>
    <cellStyle name="Input 2 9 4 2 3" xfId="6900" xr:uid="{00000000-0005-0000-0000-00009E360000}"/>
    <cellStyle name="Input 2 9 4 2 3 2" xfId="25872" xr:uid="{00000000-0005-0000-0000-00009F360000}"/>
    <cellStyle name="Input 2 9 4 2 3 3" xfId="36717" xr:uid="{00000000-0005-0000-0000-0000A0360000}"/>
    <cellStyle name="Input 2 9 4 2 3 4" xfId="16175" xr:uid="{00000000-0005-0000-0000-0000A1360000}"/>
    <cellStyle name="Input 2 9 4 2 4" xfId="9559" xr:uid="{00000000-0005-0000-0000-0000A2360000}"/>
    <cellStyle name="Input 2 9 4 2 4 2" xfId="28531" xr:uid="{00000000-0005-0000-0000-0000A3360000}"/>
    <cellStyle name="Input 2 9 4 2 4 3" xfId="39376" xr:uid="{00000000-0005-0000-0000-0000A4360000}"/>
    <cellStyle name="Input 2 9 4 2 4 4" xfId="18079" xr:uid="{00000000-0005-0000-0000-0000A5360000}"/>
    <cellStyle name="Input 2 9 4 2 5" xfId="20355" xr:uid="{00000000-0005-0000-0000-0000A6360000}"/>
    <cellStyle name="Input 2 9 4 2 6" xfId="31200" xr:uid="{00000000-0005-0000-0000-0000A7360000}"/>
    <cellStyle name="Input 2 9 4 2 7" xfId="12225" xr:uid="{00000000-0005-0000-0000-0000A8360000}"/>
    <cellStyle name="Input 2 9 4 3" xfId="1773" xr:uid="{00000000-0005-0000-0000-0000A9360000}"/>
    <cellStyle name="Input 2 9 4 3 2" xfId="4626" xr:uid="{00000000-0005-0000-0000-0000AA360000}"/>
    <cellStyle name="Input 2 9 4 3 2 2" xfId="23598" xr:uid="{00000000-0005-0000-0000-0000AB360000}"/>
    <cellStyle name="Input 2 9 4 3 2 3" xfId="34443" xr:uid="{00000000-0005-0000-0000-0000AC360000}"/>
    <cellStyle name="Input 2 9 4 3 2 4" xfId="14547" xr:uid="{00000000-0005-0000-0000-0000AD360000}"/>
    <cellStyle name="Input 2 9 4 3 3" xfId="7298" xr:uid="{00000000-0005-0000-0000-0000AE360000}"/>
    <cellStyle name="Input 2 9 4 3 3 2" xfId="26270" xr:uid="{00000000-0005-0000-0000-0000AF360000}"/>
    <cellStyle name="Input 2 9 4 3 3 3" xfId="37115" xr:uid="{00000000-0005-0000-0000-0000B0360000}"/>
    <cellStyle name="Input 2 9 4 3 3 4" xfId="16461" xr:uid="{00000000-0005-0000-0000-0000B1360000}"/>
    <cellStyle name="Input 2 9 4 3 4" xfId="9957" xr:uid="{00000000-0005-0000-0000-0000B2360000}"/>
    <cellStyle name="Input 2 9 4 3 4 2" xfId="28929" xr:uid="{00000000-0005-0000-0000-0000B3360000}"/>
    <cellStyle name="Input 2 9 4 3 4 3" xfId="39774" xr:uid="{00000000-0005-0000-0000-0000B4360000}"/>
    <cellStyle name="Input 2 9 4 3 4 4" xfId="18365" xr:uid="{00000000-0005-0000-0000-0000B5360000}"/>
    <cellStyle name="Input 2 9 4 3 5" xfId="20753" xr:uid="{00000000-0005-0000-0000-0000B6360000}"/>
    <cellStyle name="Input 2 9 4 3 6" xfId="31598" xr:uid="{00000000-0005-0000-0000-0000B7360000}"/>
    <cellStyle name="Input 2 9 4 3 7" xfId="12511" xr:uid="{00000000-0005-0000-0000-0000B8360000}"/>
    <cellStyle name="Input 2 9 4 4" xfId="2177" xr:uid="{00000000-0005-0000-0000-0000B9360000}"/>
    <cellStyle name="Input 2 9 4 4 2" xfId="5030" xr:uid="{00000000-0005-0000-0000-0000BA360000}"/>
    <cellStyle name="Input 2 9 4 4 2 2" xfId="24002" xr:uid="{00000000-0005-0000-0000-0000BB360000}"/>
    <cellStyle name="Input 2 9 4 4 2 3" xfId="34847" xr:uid="{00000000-0005-0000-0000-0000BC360000}"/>
    <cellStyle name="Input 2 9 4 4 2 4" xfId="14834" xr:uid="{00000000-0005-0000-0000-0000BD360000}"/>
    <cellStyle name="Input 2 9 4 4 3" xfId="7701" xr:uid="{00000000-0005-0000-0000-0000BE360000}"/>
    <cellStyle name="Input 2 9 4 4 3 2" xfId="26673" xr:uid="{00000000-0005-0000-0000-0000BF360000}"/>
    <cellStyle name="Input 2 9 4 4 3 3" xfId="37518" xr:uid="{00000000-0005-0000-0000-0000C0360000}"/>
    <cellStyle name="Input 2 9 4 4 3 4" xfId="16747" xr:uid="{00000000-0005-0000-0000-0000C1360000}"/>
    <cellStyle name="Input 2 9 4 4 4" xfId="10360" xr:uid="{00000000-0005-0000-0000-0000C2360000}"/>
    <cellStyle name="Input 2 9 4 4 4 2" xfId="29332" xr:uid="{00000000-0005-0000-0000-0000C3360000}"/>
    <cellStyle name="Input 2 9 4 4 4 3" xfId="40177" xr:uid="{00000000-0005-0000-0000-0000C4360000}"/>
    <cellStyle name="Input 2 9 4 4 4 4" xfId="18651" xr:uid="{00000000-0005-0000-0000-0000C5360000}"/>
    <cellStyle name="Input 2 9 4 4 5" xfId="21156" xr:uid="{00000000-0005-0000-0000-0000C6360000}"/>
    <cellStyle name="Input 2 9 4 4 6" xfId="32001" xr:uid="{00000000-0005-0000-0000-0000C7360000}"/>
    <cellStyle name="Input 2 9 4 4 7" xfId="12797" xr:uid="{00000000-0005-0000-0000-0000C8360000}"/>
    <cellStyle name="Input 2 9 4 5" xfId="2567" xr:uid="{00000000-0005-0000-0000-0000C9360000}"/>
    <cellStyle name="Input 2 9 4 5 2" xfId="5419" xr:uid="{00000000-0005-0000-0000-0000CA360000}"/>
    <cellStyle name="Input 2 9 4 5 2 2" xfId="24391" xr:uid="{00000000-0005-0000-0000-0000CB360000}"/>
    <cellStyle name="Input 2 9 4 5 2 3" xfId="35236" xr:uid="{00000000-0005-0000-0000-0000CC360000}"/>
    <cellStyle name="Input 2 9 4 5 2 4" xfId="15113" xr:uid="{00000000-0005-0000-0000-0000CD360000}"/>
    <cellStyle name="Input 2 9 4 5 3" xfId="8090" xr:uid="{00000000-0005-0000-0000-0000CE360000}"/>
    <cellStyle name="Input 2 9 4 5 3 2" xfId="27062" xr:uid="{00000000-0005-0000-0000-0000CF360000}"/>
    <cellStyle name="Input 2 9 4 5 3 3" xfId="37907" xr:uid="{00000000-0005-0000-0000-0000D0360000}"/>
    <cellStyle name="Input 2 9 4 5 3 4" xfId="17026" xr:uid="{00000000-0005-0000-0000-0000D1360000}"/>
    <cellStyle name="Input 2 9 4 5 4" xfId="10749" xr:uid="{00000000-0005-0000-0000-0000D2360000}"/>
    <cellStyle name="Input 2 9 4 5 4 2" xfId="29721" xr:uid="{00000000-0005-0000-0000-0000D3360000}"/>
    <cellStyle name="Input 2 9 4 5 4 3" xfId="40566" xr:uid="{00000000-0005-0000-0000-0000D4360000}"/>
    <cellStyle name="Input 2 9 4 5 4 4" xfId="18930" xr:uid="{00000000-0005-0000-0000-0000D5360000}"/>
    <cellStyle name="Input 2 9 4 5 5" xfId="21545" xr:uid="{00000000-0005-0000-0000-0000D6360000}"/>
    <cellStyle name="Input 2 9 4 5 6" xfId="32390" xr:uid="{00000000-0005-0000-0000-0000D7360000}"/>
    <cellStyle name="Input 2 9 4 5 7" xfId="13076" xr:uid="{00000000-0005-0000-0000-0000D8360000}"/>
    <cellStyle name="Input 2 9 4 6" xfId="2953" xr:uid="{00000000-0005-0000-0000-0000D9360000}"/>
    <cellStyle name="Input 2 9 4 6 2" xfId="5804" xr:uid="{00000000-0005-0000-0000-0000DA360000}"/>
    <cellStyle name="Input 2 9 4 6 2 2" xfId="24776" xr:uid="{00000000-0005-0000-0000-0000DB360000}"/>
    <cellStyle name="Input 2 9 4 6 2 3" xfId="35621" xr:uid="{00000000-0005-0000-0000-0000DC360000}"/>
    <cellStyle name="Input 2 9 4 6 2 4" xfId="15389" xr:uid="{00000000-0005-0000-0000-0000DD360000}"/>
    <cellStyle name="Input 2 9 4 6 3" xfId="8475" xr:uid="{00000000-0005-0000-0000-0000DE360000}"/>
    <cellStyle name="Input 2 9 4 6 3 2" xfId="27447" xr:uid="{00000000-0005-0000-0000-0000DF360000}"/>
    <cellStyle name="Input 2 9 4 6 3 3" xfId="38292" xr:uid="{00000000-0005-0000-0000-0000E0360000}"/>
    <cellStyle name="Input 2 9 4 6 3 4" xfId="17302" xr:uid="{00000000-0005-0000-0000-0000E1360000}"/>
    <cellStyle name="Input 2 9 4 6 4" xfId="11134" xr:uid="{00000000-0005-0000-0000-0000E2360000}"/>
    <cellStyle name="Input 2 9 4 6 4 2" xfId="30106" xr:uid="{00000000-0005-0000-0000-0000E3360000}"/>
    <cellStyle name="Input 2 9 4 6 4 3" xfId="40951" xr:uid="{00000000-0005-0000-0000-0000E4360000}"/>
    <cellStyle name="Input 2 9 4 6 4 4" xfId="19206" xr:uid="{00000000-0005-0000-0000-0000E5360000}"/>
    <cellStyle name="Input 2 9 4 6 5" xfId="21930" xr:uid="{00000000-0005-0000-0000-0000E6360000}"/>
    <cellStyle name="Input 2 9 4 6 6" xfId="32775" xr:uid="{00000000-0005-0000-0000-0000E7360000}"/>
    <cellStyle name="Input 2 9 4 6 7" xfId="13352" xr:uid="{00000000-0005-0000-0000-0000E8360000}"/>
    <cellStyle name="Input 2 9 4 7" xfId="3642" xr:uid="{00000000-0005-0000-0000-0000E9360000}"/>
    <cellStyle name="Input 2 9 4 7 2" xfId="22614" xr:uid="{00000000-0005-0000-0000-0000EA360000}"/>
    <cellStyle name="Input 2 9 4 7 3" xfId="33459" xr:uid="{00000000-0005-0000-0000-0000EB360000}"/>
    <cellStyle name="Input 2 9 4 7 4" xfId="13833" xr:uid="{00000000-0005-0000-0000-0000EC360000}"/>
    <cellStyle name="Input 2 9 4 8" xfId="6317" xr:uid="{00000000-0005-0000-0000-0000ED360000}"/>
    <cellStyle name="Input 2 9 4 8 2" xfId="25289" xr:uid="{00000000-0005-0000-0000-0000EE360000}"/>
    <cellStyle name="Input 2 9 4 8 3" xfId="36134" xr:uid="{00000000-0005-0000-0000-0000EF360000}"/>
    <cellStyle name="Input 2 9 4 8 4" xfId="15749" xr:uid="{00000000-0005-0000-0000-0000F0360000}"/>
    <cellStyle name="Input 2 9 4 9" xfId="8976" xr:uid="{00000000-0005-0000-0000-0000F1360000}"/>
    <cellStyle name="Input 2 9 4 9 2" xfId="27948" xr:uid="{00000000-0005-0000-0000-0000F2360000}"/>
    <cellStyle name="Input 2 9 4 9 3" xfId="38793" xr:uid="{00000000-0005-0000-0000-0000F3360000}"/>
    <cellStyle name="Input 2 9 4 9 4" xfId="17653" xr:uid="{00000000-0005-0000-0000-0000F4360000}"/>
    <cellStyle name="Input 2 9 5" xfId="846" xr:uid="{00000000-0005-0000-0000-0000F5360000}"/>
    <cellStyle name="Input 2 9 5 10" xfId="19831" xr:uid="{00000000-0005-0000-0000-0000F6360000}"/>
    <cellStyle name="Input 2 9 5 11" xfId="30676" xr:uid="{00000000-0005-0000-0000-0000F7360000}"/>
    <cellStyle name="Input 2 9 5 12" xfId="11838" xr:uid="{00000000-0005-0000-0000-0000F8360000}"/>
    <cellStyle name="Input 2 9 5 2" xfId="1433" xr:uid="{00000000-0005-0000-0000-0000F9360000}"/>
    <cellStyle name="Input 2 9 5 2 2" xfId="4286" xr:uid="{00000000-0005-0000-0000-0000FA360000}"/>
    <cellStyle name="Input 2 9 5 2 2 2" xfId="23258" xr:uid="{00000000-0005-0000-0000-0000FB360000}"/>
    <cellStyle name="Input 2 9 5 2 2 3" xfId="34103" xr:uid="{00000000-0005-0000-0000-0000FC360000}"/>
    <cellStyle name="Input 2 9 5 2 2 4" xfId="14299" xr:uid="{00000000-0005-0000-0000-0000FD360000}"/>
    <cellStyle name="Input 2 9 5 2 3" xfId="6959" xr:uid="{00000000-0005-0000-0000-0000FE360000}"/>
    <cellStyle name="Input 2 9 5 2 3 2" xfId="25931" xr:uid="{00000000-0005-0000-0000-0000FF360000}"/>
    <cellStyle name="Input 2 9 5 2 3 3" xfId="36776" xr:uid="{00000000-0005-0000-0000-000000370000}"/>
    <cellStyle name="Input 2 9 5 2 3 4" xfId="16214" xr:uid="{00000000-0005-0000-0000-000001370000}"/>
    <cellStyle name="Input 2 9 5 2 4" xfId="9618" xr:uid="{00000000-0005-0000-0000-000002370000}"/>
    <cellStyle name="Input 2 9 5 2 4 2" xfId="28590" xr:uid="{00000000-0005-0000-0000-000003370000}"/>
    <cellStyle name="Input 2 9 5 2 4 3" xfId="39435" xr:uid="{00000000-0005-0000-0000-000004370000}"/>
    <cellStyle name="Input 2 9 5 2 4 4" xfId="18118" xr:uid="{00000000-0005-0000-0000-000005370000}"/>
    <cellStyle name="Input 2 9 5 2 5" xfId="20414" xr:uid="{00000000-0005-0000-0000-000006370000}"/>
    <cellStyle name="Input 2 9 5 2 6" xfId="31259" xr:uid="{00000000-0005-0000-0000-000007370000}"/>
    <cellStyle name="Input 2 9 5 2 7" xfId="12264" xr:uid="{00000000-0005-0000-0000-000008370000}"/>
    <cellStyle name="Input 2 9 5 3" xfId="1832" xr:uid="{00000000-0005-0000-0000-000009370000}"/>
    <cellStyle name="Input 2 9 5 3 2" xfId="4685" xr:uid="{00000000-0005-0000-0000-00000A370000}"/>
    <cellStyle name="Input 2 9 5 3 2 2" xfId="23657" xr:uid="{00000000-0005-0000-0000-00000B370000}"/>
    <cellStyle name="Input 2 9 5 3 2 3" xfId="34502" xr:uid="{00000000-0005-0000-0000-00000C370000}"/>
    <cellStyle name="Input 2 9 5 3 2 4" xfId="14586" xr:uid="{00000000-0005-0000-0000-00000D370000}"/>
    <cellStyle name="Input 2 9 5 3 3" xfId="7357" xr:uid="{00000000-0005-0000-0000-00000E370000}"/>
    <cellStyle name="Input 2 9 5 3 3 2" xfId="26329" xr:uid="{00000000-0005-0000-0000-00000F370000}"/>
    <cellStyle name="Input 2 9 5 3 3 3" xfId="37174" xr:uid="{00000000-0005-0000-0000-000010370000}"/>
    <cellStyle name="Input 2 9 5 3 3 4" xfId="16500" xr:uid="{00000000-0005-0000-0000-000011370000}"/>
    <cellStyle name="Input 2 9 5 3 4" xfId="10016" xr:uid="{00000000-0005-0000-0000-000012370000}"/>
    <cellStyle name="Input 2 9 5 3 4 2" xfId="28988" xr:uid="{00000000-0005-0000-0000-000013370000}"/>
    <cellStyle name="Input 2 9 5 3 4 3" xfId="39833" xr:uid="{00000000-0005-0000-0000-000014370000}"/>
    <cellStyle name="Input 2 9 5 3 4 4" xfId="18404" xr:uid="{00000000-0005-0000-0000-000015370000}"/>
    <cellStyle name="Input 2 9 5 3 5" xfId="20812" xr:uid="{00000000-0005-0000-0000-000016370000}"/>
    <cellStyle name="Input 2 9 5 3 6" xfId="31657" xr:uid="{00000000-0005-0000-0000-000017370000}"/>
    <cellStyle name="Input 2 9 5 3 7" xfId="12550" xr:uid="{00000000-0005-0000-0000-000018370000}"/>
    <cellStyle name="Input 2 9 5 4" xfId="2236" xr:uid="{00000000-0005-0000-0000-000019370000}"/>
    <cellStyle name="Input 2 9 5 4 2" xfId="5089" xr:uid="{00000000-0005-0000-0000-00001A370000}"/>
    <cellStyle name="Input 2 9 5 4 2 2" xfId="24061" xr:uid="{00000000-0005-0000-0000-00001B370000}"/>
    <cellStyle name="Input 2 9 5 4 2 3" xfId="34906" xr:uid="{00000000-0005-0000-0000-00001C370000}"/>
    <cellStyle name="Input 2 9 5 4 2 4" xfId="14873" xr:uid="{00000000-0005-0000-0000-00001D370000}"/>
    <cellStyle name="Input 2 9 5 4 3" xfId="7760" xr:uid="{00000000-0005-0000-0000-00001E370000}"/>
    <cellStyle name="Input 2 9 5 4 3 2" xfId="26732" xr:uid="{00000000-0005-0000-0000-00001F370000}"/>
    <cellStyle name="Input 2 9 5 4 3 3" xfId="37577" xr:uid="{00000000-0005-0000-0000-000020370000}"/>
    <cellStyle name="Input 2 9 5 4 3 4" xfId="16786" xr:uid="{00000000-0005-0000-0000-000021370000}"/>
    <cellStyle name="Input 2 9 5 4 4" xfId="10419" xr:uid="{00000000-0005-0000-0000-000022370000}"/>
    <cellStyle name="Input 2 9 5 4 4 2" xfId="29391" xr:uid="{00000000-0005-0000-0000-000023370000}"/>
    <cellStyle name="Input 2 9 5 4 4 3" xfId="40236" xr:uid="{00000000-0005-0000-0000-000024370000}"/>
    <cellStyle name="Input 2 9 5 4 4 4" xfId="18690" xr:uid="{00000000-0005-0000-0000-000025370000}"/>
    <cellStyle name="Input 2 9 5 4 5" xfId="21215" xr:uid="{00000000-0005-0000-0000-000026370000}"/>
    <cellStyle name="Input 2 9 5 4 6" xfId="32060" xr:uid="{00000000-0005-0000-0000-000027370000}"/>
    <cellStyle name="Input 2 9 5 4 7" xfId="12836" xr:uid="{00000000-0005-0000-0000-000028370000}"/>
    <cellStyle name="Input 2 9 5 5" xfId="2626" xr:uid="{00000000-0005-0000-0000-000029370000}"/>
    <cellStyle name="Input 2 9 5 5 2" xfId="5478" xr:uid="{00000000-0005-0000-0000-00002A370000}"/>
    <cellStyle name="Input 2 9 5 5 2 2" xfId="24450" xr:uid="{00000000-0005-0000-0000-00002B370000}"/>
    <cellStyle name="Input 2 9 5 5 2 3" xfId="35295" xr:uid="{00000000-0005-0000-0000-00002C370000}"/>
    <cellStyle name="Input 2 9 5 5 2 4" xfId="15152" xr:uid="{00000000-0005-0000-0000-00002D370000}"/>
    <cellStyle name="Input 2 9 5 5 3" xfId="8149" xr:uid="{00000000-0005-0000-0000-00002E370000}"/>
    <cellStyle name="Input 2 9 5 5 3 2" xfId="27121" xr:uid="{00000000-0005-0000-0000-00002F370000}"/>
    <cellStyle name="Input 2 9 5 5 3 3" xfId="37966" xr:uid="{00000000-0005-0000-0000-000030370000}"/>
    <cellStyle name="Input 2 9 5 5 3 4" xfId="17065" xr:uid="{00000000-0005-0000-0000-000031370000}"/>
    <cellStyle name="Input 2 9 5 5 4" xfId="10808" xr:uid="{00000000-0005-0000-0000-000032370000}"/>
    <cellStyle name="Input 2 9 5 5 4 2" xfId="29780" xr:uid="{00000000-0005-0000-0000-000033370000}"/>
    <cellStyle name="Input 2 9 5 5 4 3" xfId="40625" xr:uid="{00000000-0005-0000-0000-000034370000}"/>
    <cellStyle name="Input 2 9 5 5 4 4" xfId="18969" xr:uid="{00000000-0005-0000-0000-000035370000}"/>
    <cellStyle name="Input 2 9 5 5 5" xfId="21604" xr:uid="{00000000-0005-0000-0000-000036370000}"/>
    <cellStyle name="Input 2 9 5 5 6" xfId="32449" xr:uid="{00000000-0005-0000-0000-000037370000}"/>
    <cellStyle name="Input 2 9 5 5 7" xfId="13115" xr:uid="{00000000-0005-0000-0000-000038370000}"/>
    <cellStyle name="Input 2 9 5 6" xfId="3012" xr:uid="{00000000-0005-0000-0000-000039370000}"/>
    <cellStyle name="Input 2 9 5 6 2" xfId="5863" xr:uid="{00000000-0005-0000-0000-00003A370000}"/>
    <cellStyle name="Input 2 9 5 6 2 2" xfId="24835" xr:uid="{00000000-0005-0000-0000-00003B370000}"/>
    <cellStyle name="Input 2 9 5 6 2 3" xfId="35680" xr:uid="{00000000-0005-0000-0000-00003C370000}"/>
    <cellStyle name="Input 2 9 5 6 2 4" xfId="15428" xr:uid="{00000000-0005-0000-0000-00003D370000}"/>
    <cellStyle name="Input 2 9 5 6 3" xfId="8534" xr:uid="{00000000-0005-0000-0000-00003E370000}"/>
    <cellStyle name="Input 2 9 5 6 3 2" xfId="27506" xr:uid="{00000000-0005-0000-0000-00003F370000}"/>
    <cellStyle name="Input 2 9 5 6 3 3" xfId="38351" xr:uid="{00000000-0005-0000-0000-000040370000}"/>
    <cellStyle name="Input 2 9 5 6 3 4" xfId="17341" xr:uid="{00000000-0005-0000-0000-000041370000}"/>
    <cellStyle name="Input 2 9 5 6 4" xfId="11193" xr:uid="{00000000-0005-0000-0000-000042370000}"/>
    <cellStyle name="Input 2 9 5 6 4 2" xfId="30165" xr:uid="{00000000-0005-0000-0000-000043370000}"/>
    <cellStyle name="Input 2 9 5 6 4 3" xfId="41010" xr:uid="{00000000-0005-0000-0000-000044370000}"/>
    <cellStyle name="Input 2 9 5 6 4 4" xfId="19245" xr:uid="{00000000-0005-0000-0000-000045370000}"/>
    <cellStyle name="Input 2 9 5 6 5" xfId="21989" xr:uid="{00000000-0005-0000-0000-000046370000}"/>
    <cellStyle name="Input 2 9 5 6 6" xfId="32834" xr:uid="{00000000-0005-0000-0000-000047370000}"/>
    <cellStyle name="Input 2 9 5 6 7" xfId="13391" xr:uid="{00000000-0005-0000-0000-000048370000}"/>
    <cellStyle name="Input 2 9 5 7" xfId="3701" xr:uid="{00000000-0005-0000-0000-000049370000}"/>
    <cellStyle name="Input 2 9 5 7 2" xfId="22673" xr:uid="{00000000-0005-0000-0000-00004A370000}"/>
    <cellStyle name="Input 2 9 5 7 3" xfId="33518" xr:uid="{00000000-0005-0000-0000-00004B370000}"/>
    <cellStyle name="Input 2 9 5 7 4" xfId="13872" xr:uid="{00000000-0005-0000-0000-00004C370000}"/>
    <cellStyle name="Input 2 9 5 8" xfId="6376" xr:uid="{00000000-0005-0000-0000-00004D370000}"/>
    <cellStyle name="Input 2 9 5 8 2" xfId="25348" xr:uid="{00000000-0005-0000-0000-00004E370000}"/>
    <cellStyle name="Input 2 9 5 8 3" xfId="36193" xr:uid="{00000000-0005-0000-0000-00004F370000}"/>
    <cellStyle name="Input 2 9 5 8 4" xfId="15788" xr:uid="{00000000-0005-0000-0000-000050370000}"/>
    <cellStyle name="Input 2 9 5 9" xfId="9035" xr:uid="{00000000-0005-0000-0000-000051370000}"/>
    <cellStyle name="Input 2 9 5 9 2" xfId="28007" xr:uid="{00000000-0005-0000-0000-000052370000}"/>
    <cellStyle name="Input 2 9 5 9 3" xfId="38852" xr:uid="{00000000-0005-0000-0000-000053370000}"/>
    <cellStyle name="Input 2 9 5 9 4" xfId="17692" xr:uid="{00000000-0005-0000-0000-000054370000}"/>
    <cellStyle name="Input 2 9 6" xfId="1068" xr:uid="{00000000-0005-0000-0000-000055370000}"/>
    <cellStyle name="Input 2 9 6 2" xfId="3921" xr:uid="{00000000-0005-0000-0000-000056370000}"/>
    <cellStyle name="Input 2 9 6 2 2" xfId="22893" xr:uid="{00000000-0005-0000-0000-000057370000}"/>
    <cellStyle name="Input 2 9 6 2 3" xfId="33738" xr:uid="{00000000-0005-0000-0000-000058370000}"/>
    <cellStyle name="Input 2 9 6 2 4" xfId="14034" xr:uid="{00000000-0005-0000-0000-000059370000}"/>
    <cellStyle name="Input 2 9 6 3" xfId="6595" xr:uid="{00000000-0005-0000-0000-00005A370000}"/>
    <cellStyle name="Input 2 9 6 3 2" xfId="25567" xr:uid="{00000000-0005-0000-0000-00005B370000}"/>
    <cellStyle name="Input 2 9 6 3 3" xfId="36412" xr:uid="{00000000-0005-0000-0000-00005C370000}"/>
    <cellStyle name="Input 2 9 6 3 4" xfId="15950" xr:uid="{00000000-0005-0000-0000-00005D370000}"/>
    <cellStyle name="Input 2 9 6 4" xfId="9254" xr:uid="{00000000-0005-0000-0000-00005E370000}"/>
    <cellStyle name="Input 2 9 6 4 2" xfId="28226" xr:uid="{00000000-0005-0000-0000-00005F370000}"/>
    <cellStyle name="Input 2 9 6 4 3" xfId="39071" xr:uid="{00000000-0005-0000-0000-000060370000}"/>
    <cellStyle name="Input 2 9 6 4 4" xfId="17854" xr:uid="{00000000-0005-0000-0000-000061370000}"/>
    <cellStyle name="Input 2 9 6 5" xfId="20050" xr:uid="{00000000-0005-0000-0000-000062370000}"/>
    <cellStyle name="Input 2 9 6 6" xfId="30895" xr:uid="{00000000-0005-0000-0000-000063370000}"/>
    <cellStyle name="Input 2 9 6 7" xfId="12000" xr:uid="{00000000-0005-0000-0000-000064370000}"/>
    <cellStyle name="Input 2 9 7" xfId="1001" xr:uid="{00000000-0005-0000-0000-000065370000}"/>
    <cellStyle name="Input 2 9 7 2" xfId="3854" xr:uid="{00000000-0005-0000-0000-000066370000}"/>
    <cellStyle name="Input 2 9 7 2 2" xfId="22826" xr:uid="{00000000-0005-0000-0000-000067370000}"/>
    <cellStyle name="Input 2 9 7 2 3" xfId="33671" xr:uid="{00000000-0005-0000-0000-000068370000}"/>
    <cellStyle name="Input 2 9 7 2 4" xfId="13983" xr:uid="{00000000-0005-0000-0000-000069370000}"/>
    <cellStyle name="Input 2 9 7 3" xfId="6529" xr:uid="{00000000-0005-0000-0000-00006A370000}"/>
    <cellStyle name="Input 2 9 7 3 2" xfId="25501" xr:uid="{00000000-0005-0000-0000-00006B370000}"/>
    <cellStyle name="Input 2 9 7 3 3" xfId="36346" xr:uid="{00000000-0005-0000-0000-00006C370000}"/>
    <cellStyle name="Input 2 9 7 3 4" xfId="15899" xr:uid="{00000000-0005-0000-0000-00006D370000}"/>
    <cellStyle name="Input 2 9 7 4" xfId="9188" xr:uid="{00000000-0005-0000-0000-00006E370000}"/>
    <cellStyle name="Input 2 9 7 4 2" xfId="28160" xr:uid="{00000000-0005-0000-0000-00006F370000}"/>
    <cellStyle name="Input 2 9 7 4 3" xfId="39005" xr:uid="{00000000-0005-0000-0000-000070370000}"/>
    <cellStyle name="Input 2 9 7 4 4" xfId="17803" xr:uid="{00000000-0005-0000-0000-000071370000}"/>
    <cellStyle name="Input 2 9 7 5" xfId="19984" xr:uid="{00000000-0005-0000-0000-000072370000}"/>
    <cellStyle name="Input 2 9 7 6" xfId="30829" xr:uid="{00000000-0005-0000-0000-000073370000}"/>
    <cellStyle name="Input 2 9 7 7" xfId="11949" xr:uid="{00000000-0005-0000-0000-000074370000}"/>
    <cellStyle name="Input 2 9 8" xfId="976" xr:uid="{00000000-0005-0000-0000-000075370000}"/>
    <cellStyle name="Input 2 9 8 2" xfId="3829" xr:uid="{00000000-0005-0000-0000-000076370000}"/>
    <cellStyle name="Input 2 9 8 2 2" xfId="22801" xr:uid="{00000000-0005-0000-0000-000077370000}"/>
    <cellStyle name="Input 2 9 8 2 3" xfId="33646" xr:uid="{00000000-0005-0000-0000-000078370000}"/>
    <cellStyle name="Input 2 9 8 2 4" xfId="13967" xr:uid="{00000000-0005-0000-0000-000079370000}"/>
    <cellStyle name="Input 2 9 8 3" xfId="6504" xr:uid="{00000000-0005-0000-0000-00007A370000}"/>
    <cellStyle name="Input 2 9 8 3 2" xfId="25476" xr:uid="{00000000-0005-0000-0000-00007B370000}"/>
    <cellStyle name="Input 2 9 8 3 3" xfId="36321" xr:uid="{00000000-0005-0000-0000-00007C370000}"/>
    <cellStyle name="Input 2 9 8 3 4" xfId="15883" xr:uid="{00000000-0005-0000-0000-00007D370000}"/>
    <cellStyle name="Input 2 9 8 4" xfId="9163" xr:uid="{00000000-0005-0000-0000-00007E370000}"/>
    <cellStyle name="Input 2 9 8 4 2" xfId="28135" xr:uid="{00000000-0005-0000-0000-00007F370000}"/>
    <cellStyle name="Input 2 9 8 4 3" xfId="38980" xr:uid="{00000000-0005-0000-0000-000080370000}"/>
    <cellStyle name="Input 2 9 8 4 4" xfId="17787" xr:uid="{00000000-0005-0000-0000-000081370000}"/>
    <cellStyle name="Input 2 9 8 5" xfId="19959" xr:uid="{00000000-0005-0000-0000-000082370000}"/>
    <cellStyle name="Input 2 9 8 6" xfId="30804" xr:uid="{00000000-0005-0000-0000-000083370000}"/>
    <cellStyle name="Input 2 9 8 7" xfId="11933" xr:uid="{00000000-0005-0000-0000-000084370000}"/>
    <cellStyle name="Input 2 9 9" xfId="1497" xr:uid="{00000000-0005-0000-0000-000085370000}"/>
    <cellStyle name="Input 2 9 9 2" xfId="4350" xr:uid="{00000000-0005-0000-0000-000086370000}"/>
    <cellStyle name="Input 2 9 9 2 2" xfId="23322" xr:uid="{00000000-0005-0000-0000-000087370000}"/>
    <cellStyle name="Input 2 9 9 2 3" xfId="34167" xr:uid="{00000000-0005-0000-0000-000088370000}"/>
    <cellStyle name="Input 2 9 9 2 4" xfId="14343" xr:uid="{00000000-0005-0000-0000-000089370000}"/>
    <cellStyle name="Input 2 9 9 3" xfId="7023" xr:uid="{00000000-0005-0000-0000-00008A370000}"/>
    <cellStyle name="Input 2 9 9 3 2" xfId="25995" xr:uid="{00000000-0005-0000-0000-00008B370000}"/>
    <cellStyle name="Input 2 9 9 3 3" xfId="36840" xr:uid="{00000000-0005-0000-0000-00008C370000}"/>
    <cellStyle name="Input 2 9 9 3 4" xfId="16258" xr:uid="{00000000-0005-0000-0000-00008D370000}"/>
    <cellStyle name="Input 2 9 9 4" xfId="9682" xr:uid="{00000000-0005-0000-0000-00008E370000}"/>
    <cellStyle name="Input 2 9 9 4 2" xfId="28654" xr:uid="{00000000-0005-0000-0000-00008F370000}"/>
    <cellStyle name="Input 2 9 9 4 3" xfId="39499" xr:uid="{00000000-0005-0000-0000-000090370000}"/>
    <cellStyle name="Input 2 9 9 4 4" xfId="18162" xr:uid="{00000000-0005-0000-0000-000091370000}"/>
    <cellStyle name="Input 2 9 9 5" xfId="20478" xr:uid="{00000000-0005-0000-0000-000092370000}"/>
    <cellStyle name="Input 2 9 9 6" xfId="31323" xr:uid="{00000000-0005-0000-0000-000093370000}"/>
    <cellStyle name="Input 2 9 9 7" xfId="12308" xr:uid="{00000000-0005-0000-0000-000094370000}"/>
    <cellStyle name="Input 2_2012 AR ELEC BCR Eval Eval - 012913" xfId="104" xr:uid="{00000000-0005-0000-0000-000095370000}"/>
    <cellStyle name="Input 3" xfId="105" xr:uid="{00000000-0005-0000-0000-000096370000}"/>
    <cellStyle name="Input 3 2" xfId="374" xr:uid="{00000000-0005-0000-0000-000097370000}"/>
    <cellStyle name="Input 3 2 10" xfId="1638" xr:uid="{00000000-0005-0000-0000-000098370000}"/>
    <cellStyle name="Input 3 2 10 2" xfId="4491" xr:uid="{00000000-0005-0000-0000-000099370000}"/>
    <cellStyle name="Input 3 2 10 2 2" xfId="23463" xr:uid="{00000000-0005-0000-0000-00009A370000}"/>
    <cellStyle name="Input 3 2 10 2 3" xfId="34308" xr:uid="{00000000-0005-0000-0000-00009B370000}"/>
    <cellStyle name="Input 3 2 10 2 4" xfId="14453" xr:uid="{00000000-0005-0000-0000-00009C370000}"/>
    <cellStyle name="Input 3 2 10 3" xfId="7163" xr:uid="{00000000-0005-0000-0000-00009D370000}"/>
    <cellStyle name="Input 3 2 10 3 2" xfId="26135" xr:uid="{00000000-0005-0000-0000-00009E370000}"/>
    <cellStyle name="Input 3 2 10 3 3" xfId="36980" xr:uid="{00000000-0005-0000-0000-00009F370000}"/>
    <cellStyle name="Input 3 2 10 3 4" xfId="16367" xr:uid="{00000000-0005-0000-0000-0000A0370000}"/>
    <cellStyle name="Input 3 2 10 4" xfId="9822" xr:uid="{00000000-0005-0000-0000-0000A1370000}"/>
    <cellStyle name="Input 3 2 10 4 2" xfId="28794" xr:uid="{00000000-0005-0000-0000-0000A2370000}"/>
    <cellStyle name="Input 3 2 10 4 3" xfId="39639" xr:uid="{00000000-0005-0000-0000-0000A3370000}"/>
    <cellStyle name="Input 3 2 10 4 4" xfId="18271" xr:uid="{00000000-0005-0000-0000-0000A4370000}"/>
    <cellStyle name="Input 3 2 10 5" xfId="20618" xr:uid="{00000000-0005-0000-0000-0000A5370000}"/>
    <cellStyle name="Input 3 2 10 6" xfId="31463" xr:uid="{00000000-0005-0000-0000-0000A6370000}"/>
    <cellStyle name="Input 3 2 10 7" xfId="12417" xr:uid="{00000000-0005-0000-0000-0000A7370000}"/>
    <cellStyle name="Input 3 2 11" xfId="2028" xr:uid="{00000000-0005-0000-0000-0000A8370000}"/>
    <cellStyle name="Input 3 2 11 2" xfId="4881" xr:uid="{00000000-0005-0000-0000-0000A9370000}"/>
    <cellStyle name="Input 3 2 11 2 2" xfId="23853" xr:uid="{00000000-0005-0000-0000-0000AA370000}"/>
    <cellStyle name="Input 3 2 11 2 3" xfId="34698" xr:uid="{00000000-0005-0000-0000-0000AB370000}"/>
    <cellStyle name="Input 3 2 11 2 4" xfId="14727" xr:uid="{00000000-0005-0000-0000-0000AC370000}"/>
    <cellStyle name="Input 3 2 11 3" xfId="7553" xr:uid="{00000000-0005-0000-0000-0000AD370000}"/>
    <cellStyle name="Input 3 2 11 3 2" xfId="26525" xr:uid="{00000000-0005-0000-0000-0000AE370000}"/>
    <cellStyle name="Input 3 2 11 3 3" xfId="37370" xr:uid="{00000000-0005-0000-0000-0000AF370000}"/>
    <cellStyle name="Input 3 2 11 3 4" xfId="16641" xr:uid="{00000000-0005-0000-0000-0000B0370000}"/>
    <cellStyle name="Input 3 2 11 4" xfId="10212" xr:uid="{00000000-0005-0000-0000-0000B1370000}"/>
    <cellStyle name="Input 3 2 11 4 2" xfId="29184" xr:uid="{00000000-0005-0000-0000-0000B2370000}"/>
    <cellStyle name="Input 3 2 11 4 3" xfId="40029" xr:uid="{00000000-0005-0000-0000-0000B3370000}"/>
    <cellStyle name="Input 3 2 11 4 4" xfId="18545" xr:uid="{00000000-0005-0000-0000-0000B4370000}"/>
    <cellStyle name="Input 3 2 11 5" xfId="21008" xr:uid="{00000000-0005-0000-0000-0000B5370000}"/>
    <cellStyle name="Input 3 2 11 6" xfId="31853" xr:uid="{00000000-0005-0000-0000-0000B6370000}"/>
    <cellStyle name="Input 3 2 11 7" xfId="12691" xr:uid="{00000000-0005-0000-0000-0000B7370000}"/>
    <cellStyle name="Input 3 2 12" xfId="3110" xr:uid="{00000000-0005-0000-0000-0000B8370000}"/>
    <cellStyle name="Input 3 2 12 2" xfId="5961" xr:uid="{00000000-0005-0000-0000-0000B9370000}"/>
    <cellStyle name="Input 3 2 12 2 2" xfId="24933" xr:uid="{00000000-0005-0000-0000-0000BA370000}"/>
    <cellStyle name="Input 3 2 12 2 3" xfId="35778" xr:uid="{00000000-0005-0000-0000-0000BB370000}"/>
    <cellStyle name="Input 3 2 12 2 4" xfId="15496" xr:uid="{00000000-0005-0000-0000-0000BC370000}"/>
    <cellStyle name="Input 3 2 12 3" xfId="8632" xr:uid="{00000000-0005-0000-0000-0000BD370000}"/>
    <cellStyle name="Input 3 2 12 3 2" xfId="27604" xr:uid="{00000000-0005-0000-0000-0000BE370000}"/>
    <cellStyle name="Input 3 2 12 3 3" xfId="38449" xr:uid="{00000000-0005-0000-0000-0000BF370000}"/>
    <cellStyle name="Input 3 2 12 3 4" xfId="17409" xr:uid="{00000000-0005-0000-0000-0000C0370000}"/>
    <cellStyle name="Input 3 2 12 4" xfId="11291" xr:uid="{00000000-0005-0000-0000-0000C1370000}"/>
    <cellStyle name="Input 3 2 12 4 2" xfId="30263" xr:uid="{00000000-0005-0000-0000-0000C2370000}"/>
    <cellStyle name="Input 3 2 12 4 3" xfId="41108" xr:uid="{00000000-0005-0000-0000-0000C3370000}"/>
    <cellStyle name="Input 3 2 12 4 4" xfId="19313" xr:uid="{00000000-0005-0000-0000-0000C4370000}"/>
    <cellStyle name="Input 3 2 12 5" xfId="22087" xr:uid="{00000000-0005-0000-0000-0000C5370000}"/>
    <cellStyle name="Input 3 2 12 6" xfId="32932" xr:uid="{00000000-0005-0000-0000-0000C6370000}"/>
    <cellStyle name="Input 3 2 12 7" xfId="13459" xr:uid="{00000000-0005-0000-0000-0000C7370000}"/>
    <cellStyle name="Input 3 2 13" xfId="3167" xr:uid="{00000000-0005-0000-0000-0000C8370000}"/>
    <cellStyle name="Input 3 2 13 2" xfId="6018" xr:uid="{00000000-0005-0000-0000-0000C9370000}"/>
    <cellStyle name="Input 3 2 13 2 2" xfId="24990" xr:uid="{00000000-0005-0000-0000-0000CA370000}"/>
    <cellStyle name="Input 3 2 13 2 3" xfId="35835" xr:uid="{00000000-0005-0000-0000-0000CB370000}"/>
    <cellStyle name="Input 3 2 13 2 4" xfId="15533" xr:uid="{00000000-0005-0000-0000-0000CC370000}"/>
    <cellStyle name="Input 3 2 13 3" xfId="8689" xr:uid="{00000000-0005-0000-0000-0000CD370000}"/>
    <cellStyle name="Input 3 2 13 3 2" xfId="27661" xr:uid="{00000000-0005-0000-0000-0000CE370000}"/>
    <cellStyle name="Input 3 2 13 3 3" xfId="38506" xr:uid="{00000000-0005-0000-0000-0000CF370000}"/>
    <cellStyle name="Input 3 2 13 3 4" xfId="17446" xr:uid="{00000000-0005-0000-0000-0000D0370000}"/>
    <cellStyle name="Input 3 2 13 4" xfId="11348" xr:uid="{00000000-0005-0000-0000-0000D1370000}"/>
    <cellStyle name="Input 3 2 13 4 2" xfId="30320" xr:uid="{00000000-0005-0000-0000-0000D2370000}"/>
    <cellStyle name="Input 3 2 13 4 3" xfId="41165" xr:uid="{00000000-0005-0000-0000-0000D3370000}"/>
    <cellStyle name="Input 3 2 13 4 4" xfId="19350" xr:uid="{00000000-0005-0000-0000-0000D4370000}"/>
    <cellStyle name="Input 3 2 13 5" xfId="22144" xr:uid="{00000000-0005-0000-0000-0000D5370000}"/>
    <cellStyle name="Input 3 2 13 6" xfId="32989" xr:uid="{00000000-0005-0000-0000-0000D6370000}"/>
    <cellStyle name="Input 3 2 13 7" xfId="13496" xr:uid="{00000000-0005-0000-0000-0000D7370000}"/>
    <cellStyle name="Input 3 2 14" xfId="3333" xr:uid="{00000000-0005-0000-0000-0000D8370000}"/>
    <cellStyle name="Input 3 2 14 2" xfId="22307" xr:uid="{00000000-0005-0000-0000-0000D9370000}"/>
    <cellStyle name="Input 3 2 14 3" xfId="33152" xr:uid="{00000000-0005-0000-0000-0000DA370000}"/>
    <cellStyle name="Input 3 2 14 4" xfId="13613" xr:uid="{00000000-0005-0000-0000-0000DB370000}"/>
    <cellStyle name="Input 3 2 15" xfId="3272" xr:uid="{00000000-0005-0000-0000-0000DC370000}"/>
    <cellStyle name="Input 3 2 15 2" xfId="22246" xr:uid="{00000000-0005-0000-0000-0000DD370000}"/>
    <cellStyle name="Input 3 2 15 3" xfId="33091" xr:uid="{00000000-0005-0000-0000-0000DE370000}"/>
    <cellStyle name="Input 3 2 15 4" xfId="13570" xr:uid="{00000000-0005-0000-0000-0000DF370000}"/>
    <cellStyle name="Input 3 2 16" xfId="6077" xr:uid="{00000000-0005-0000-0000-0000E0370000}"/>
    <cellStyle name="Input 3 2 16 2" xfId="25049" xr:uid="{00000000-0005-0000-0000-0000E1370000}"/>
    <cellStyle name="Input 3 2 16 3" xfId="35894" xr:uid="{00000000-0005-0000-0000-0000E2370000}"/>
    <cellStyle name="Input 3 2 16 4" xfId="15569" xr:uid="{00000000-0005-0000-0000-0000E3370000}"/>
    <cellStyle name="Input 3 2 17" xfId="19464" xr:uid="{00000000-0005-0000-0000-0000E4370000}"/>
    <cellStyle name="Input 3 2 18" xfId="19401" xr:uid="{00000000-0005-0000-0000-0000E5370000}"/>
    <cellStyle name="Input 3 2 19" xfId="11523" xr:uid="{00000000-0005-0000-0000-0000E6370000}"/>
    <cellStyle name="Input 3 2 2" xfId="675" xr:uid="{00000000-0005-0000-0000-0000E7370000}"/>
    <cellStyle name="Input 3 2 2 10" xfId="19660" xr:uid="{00000000-0005-0000-0000-0000E8370000}"/>
    <cellStyle name="Input 3 2 2 11" xfId="30505" xr:uid="{00000000-0005-0000-0000-0000E9370000}"/>
    <cellStyle name="Input 3 2 2 12" xfId="11727" xr:uid="{00000000-0005-0000-0000-0000EA370000}"/>
    <cellStyle name="Input 3 2 2 2" xfId="1262" xr:uid="{00000000-0005-0000-0000-0000EB370000}"/>
    <cellStyle name="Input 3 2 2 2 2" xfId="4115" xr:uid="{00000000-0005-0000-0000-0000EC370000}"/>
    <cellStyle name="Input 3 2 2 2 2 2" xfId="23087" xr:uid="{00000000-0005-0000-0000-0000ED370000}"/>
    <cellStyle name="Input 3 2 2 2 2 3" xfId="33932" xr:uid="{00000000-0005-0000-0000-0000EE370000}"/>
    <cellStyle name="Input 3 2 2 2 2 4" xfId="14188" xr:uid="{00000000-0005-0000-0000-0000EF370000}"/>
    <cellStyle name="Input 3 2 2 2 3" xfId="6788" xr:uid="{00000000-0005-0000-0000-0000F0370000}"/>
    <cellStyle name="Input 3 2 2 2 3 2" xfId="25760" xr:uid="{00000000-0005-0000-0000-0000F1370000}"/>
    <cellStyle name="Input 3 2 2 2 3 3" xfId="36605" xr:uid="{00000000-0005-0000-0000-0000F2370000}"/>
    <cellStyle name="Input 3 2 2 2 3 4" xfId="16103" xr:uid="{00000000-0005-0000-0000-0000F3370000}"/>
    <cellStyle name="Input 3 2 2 2 4" xfId="9447" xr:uid="{00000000-0005-0000-0000-0000F4370000}"/>
    <cellStyle name="Input 3 2 2 2 4 2" xfId="28419" xr:uid="{00000000-0005-0000-0000-0000F5370000}"/>
    <cellStyle name="Input 3 2 2 2 4 3" xfId="39264" xr:uid="{00000000-0005-0000-0000-0000F6370000}"/>
    <cellStyle name="Input 3 2 2 2 4 4" xfId="18007" xr:uid="{00000000-0005-0000-0000-0000F7370000}"/>
    <cellStyle name="Input 3 2 2 2 5" xfId="20243" xr:uid="{00000000-0005-0000-0000-0000F8370000}"/>
    <cellStyle name="Input 3 2 2 2 6" xfId="31088" xr:uid="{00000000-0005-0000-0000-0000F9370000}"/>
    <cellStyle name="Input 3 2 2 2 7" xfId="12153" xr:uid="{00000000-0005-0000-0000-0000FA370000}"/>
    <cellStyle name="Input 3 2 2 3" xfId="1661" xr:uid="{00000000-0005-0000-0000-0000FB370000}"/>
    <cellStyle name="Input 3 2 2 3 2" xfId="4514" xr:uid="{00000000-0005-0000-0000-0000FC370000}"/>
    <cellStyle name="Input 3 2 2 3 2 2" xfId="23486" xr:uid="{00000000-0005-0000-0000-0000FD370000}"/>
    <cellStyle name="Input 3 2 2 3 2 3" xfId="34331" xr:uid="{00000000-0005-0000-0000-0000FE370000}"/>
    <cellStyle name="Input 3 2 2 3 2 4" xfId="14475" xr:uid="{00000000-0005-0000-0000-0000FF370000}"/>
    <cellStyle name="Input 3 2 2 3 3" xfId="7186" xr:uid="{00000000-0005-0000-0000-000000380000}"/>
    <cellStyle name="Input 3 2 2 3 3 2" xfId="26158" xr:uid="{00000000-0005-0000-0000-000001380000}"/>
    <cellStyle name="Input 3 2 2 3 3 3" xfId="37003" xr:uid="{00000000-0005-0000-0000-000002380000}"/>
    <cellStyle name="Input 3 2 2 3 3 4" xfId="16389" xr:uid="{00000000-0005-0000-0000-000003380000}"/>
    <cellStyle name="Input 3 2 2 3 4" xfId="9845" xr:uid="{00000000-0005-0000-0000-000004380000}"/>
    <cellStyle name="Input 3 2 2 3 4 2" xfId="28817" xr:uid="{00000000-0005-0000-0000-000005380000}"/>
    <cellStyle name="Input 3 2 2 3 4 3" xfId="39662" xr:uid="{00000000-0005-0000-0000-000006380000}"/>
    <cellStyle name="Input 3 2 2 3 4 4" xfId="18293" xr:uid="{00000000-0005-0000-0000-000007380000}"/>
    <cellStyle name="Input 3 2 2 3 5" xfId="20641" xr:uid="{00000000-0005-0000-0000-000008380000}"/>
    <cellStyle name="Input 3 2 2 3 6" xfId="31486" xr:uid="{00000000-0005-0000-0000-000009380000}"/>
    <cellStyle name="Input 3 2 2 3 7" xfId="12439" xr:uid="{00000000-0005-0000-0000-00000A380000}"/>
    <cellStyle name="Input 3 2 2 4" xfId="2065" xr:uid="{00000000-0005-0000-0000-00000B380000}"/>
    <cellStyle name="Input 3 2 2 4 2" xfId="4918" xr:uid="{00000000-0005-0000-0000-00000C380000}"/>
    <cellStyle name="Input 3 2 2 4 2 2" xfId="23890" xr:uid="{00000000-0005-0000-0000-00000D380000}"/>
    <cellStyle name="Input 3 2 2 4 2 3" xfId="34735" xr:uid="{00000000-0005-0000-0000-00000E380000}"/>
    <cellStyle name="Input 3 2 2 4 2 4" xfId="14762" xr:uid="{00000000-0005-0000-0000-00000F380000}"/>
    <cellStyle name="Input 3 2 2 4 3" xfId="7589" xr:uid="{00000000-0005-0000-0000-000010380000}"/>
    <cellStyle name="Input 3 2 2 4 3 2" xfId="26561" xr:uid="{00000000-0005-0000-0000-000011380000}"/>
    <cellStyle name="Input 3 2 2 4 3 3" xfId="37406" xr:uid="{00000000-0005-0000-0000-000012380000}"/>
    <cellStyle name="Input 3 2 2 4 3 4" xfId="16675" xr:uid="{00000000-0005-0000-0000-000013380000}"/>
    <cellStyle name="Input 3 2 2 4 4" xfId="10248" xr:uid="{00000000-0005-0000-0000-000014380000}"/>
    <cellStyle name="Input 3 2 2 4 4 2" xfId="29220" xr:uid="{00000000-0005-0000-0000-000015380000}"/>
    <cellStyle name="Input 3 2 2 4 4 3" xfId="40065" xr:uid="{00000000-0005-0000-0000-000016380000}"/>
    <cellStyle name="Input 3 2 2 4 4 4" xfId="18579" xr:uid="{00000000-0005-0000-0000-000017380000}"/>
    <cellStyle name="Input 3 2 2 4 5" xfId="21044" xr:uid="{00000000-0005-0000-0000-000018380000}"/>
    <cellStyle name="Input 3 2 2 4 6" xfId="31889" xr:uid="{00000000-0005-0000-0000-000019380000}"/>
    <cellStyle name="Input 3 2 2 4 7" xfId="12725" xr:uid="{00000000-0005-0000-0000-00001A380000}"/>
    <cellStyle name="Input 3 2 2 5" xfId="2455" xr:uid="{00000000-0005-0000-0000-00001B380000}"/>
    <cellStyle name="Input 3 2 2 5 2" xfId="5307" xr:uid="{00000000-0005-0000-0000-00001C380000}"/>
    <cellStyle name="Input 3 2 2 5 2 2" xfId="24279" xr:uid="{00000000-0005-0000-0000-00001D380000}"/>
    <cellStyle name="Input 3 2 2 5 2 3" xfId="35124" xr:uid="{00000000-0005-0000-0000-00001E380000}"/>
    <cellStyle name="Input 3 2 2 5 2 4" xfId="15041" xr:uid="{00000000-0005-0000-0000-00001F380000}"/>
    <cellStyle name="Input 3 2 2 5 3" xfId="7978" xr:uid="{00000000-0005-0000-0000-000020380000}"/>
    <cellStyle name="Input 3 2 2 5 3 2" xfId="26950" xr:uid="{00000000-0005-0000-0000-000021380000}"/>
    <cellStyle name="Input 3 2 2 5 3 3" xfId="37795" xr:uid="{00000000-0005-0000-0000-000022380000}"/>
    <cellStyle name="Input 3 2 2 5 3 4" xfId="16954" xr:uid="{00000000-0005-0000-0000-000023380000}"/>
    <cellStyle name="Input 3 2 2 5 4" xfId="10637" xr:uid="{00000000-0005-0000-0000-000024380000}"/>
    <cellStyle name="Input 3 2 2 5 4 2" xfId="29609" xr:uid="{00000000-0005-0000-0000-000025380000}"/>
    <cellStyle name="Input 3 2 2 5 4 3" xfId="40454" xr:uid="{00000000-0005-0000-0000-000026380000}"/>
    <cellStyle name="Input 3 2 2 5 4 4" xfId="18858" xr:uid="{00000000-0005-0000-0000-000027380000}"/>
    <cellStyle name="Input 3 2 2 5 5" xfId="21433" xr:uid="{00000000-0005-0000-0000-000028380000}"/>
    <cellStyle name="Input 3 2 2 5 6" xfId="32278" xr:uid="{00000000-0005-0000-0000-000029380000}"/>
    <cellStyle name="Input 3 2 2 5 7" xfId="13004" xr:uid="{00000000-0005-0000-0000-00002A380000}"/>
    <cellStyle name="Input 3 2 2 6" xfId="2841" xr:uid="{00000000-0005-0000-0000-00002B380000}"/>
    <cellStyle name="Input 3 2 2 6 2" xfId="5692" xr:uid="{00000000-0005-0000-0000-00002C380000}"/>
    <cellStyle name="Input 3 2 2 6 2 2" xfId="24664" xr:uid="{00000000-0005-0000-0000-00002D380000}"/>
    <cellStyle name="Input 3 2 2 6 2 3" xfId="35509" xr:uid="{00000000-0005-0000-0000-00002E380000}"/>
    <cellStyle name="Input 3 2 2 6 2 4" xfId="15317" xr:uid="{00000000-0005-0000-0000-00002F380000}"/>
    <cellStyle name="Input 3 2 2 6 3" xfId="8363" xr:uid="{00000000-0005-0000-0000-000030380000}"/>
    <cellStyle name="Input 3 2 2 6 3 2" xfId="27335" xr:uid="{00000000-0005-0000-0000-000031380000}"/>
    <cellStyle name="Input 3 2 2 6 3 3" xfId="38180" xr:uid="{00000000-0005-0000-0000-000032380000}"/>
    <cellStyle name="Input 3 2 2 6 3 4" xfId="17230" xr:uid="{00000000-0005-0000-0000-000033380000}"/>
    <cellStyle name="Input 3 2 2 6 4" xfId="11022" xr:uid="{00000000-0005-0000-0000-000034380000}"/>
    <cellStyle name="Input 3 2 2 6 4 2" xfId="29994" xr:uid="{00000000-0005-0000-0000-000035380000}"/>
    <cellStyle name="Input 3 2 2 6 4 3" xfId="40839" xr:uid="{00000000-0005-0000-0000-000036380000}"/>
    <cellStyle name="Input 3 2 2 6 4 4" xfId="19134" xr:uid="{00000000-0005-0000-0000-000037380000}"/>
    <cellStyle name="Input 3 2 2 6 5" xfId="21818" xr:uid="{00000000-0005-0000-0000-000038380000}"/>
    <cellStyle name="Input 3 2 2 6 6" xfId="32663" xr:uid="{00000000-0005-0000-0000-000039380000}"/>
    <cellStyle name="Input 3 2 2 6 7" xfId="13280" xr:uid="{00000000-0005-0000-0000-00003A380000}"/>
    <cellStyle name="Input 3 2 2 7" xfId="3530" xr:uid="{00000000-0005-0000-0000-00003B380000}"/>
    <cellStyle name="Input 3 2 2 7 2" xfId="22502" xr:uid="{00000000-0005-0000-0000-00003C380000}"/>
    <cellStyle name="Input 3 2 2 7 3" xfId="33347" xr:uid="{00000000-0005-0000-0000-00003D380000}"/>
    <cellStyle name="Input 3 2 2 7 4" xfId="13761" xr:uid="{00000000-0005-0000-0000-00003E380000}"/>
    <cellStyle name="Input 3 2 2 8" xfId="6205" xr:uid="{00000000-0005-0000-0000-00003F380000}"/>
    <cellStyle name="Input 3 2 2 8 2" xfId="25177" xr:uid="{00000000-0005-0000-0000-000040380000}"/>
    <cellStyle name="Input 3 2 2 8 3" xfId="36022" xr:uid="{00000000-0005-0000-0000-000041380000}"/>
    <cellStyle name="Input 3 2 2 8 4" xfId="15677" xr:uid="{00000000-0005-0000-0000-000042380000}"/>
    <cellStyle name="Input 3 2 2 9" xfId="8864" xr:uid="{00000000-0005-0000-0000-000043380000}"/>
    <cellStyle name="Input 3 2 2 9 2" xfId="27836" xr:uid="{00000000-0005-0000-0000-000044380000}"/>
    <cellStyle name="Input 3 2 2 9 3" xfId="38681" xr:uid="{00000000-0005-0000-0000-000045380000}"/>
    <cellStyle name="Input 3 2 2 9 4" xfId="17581" xr:uid="{00000000-0005-0000-0000-000046380000}"/>
    <cellStyle name="Input 3 2 20" xfId="41375" xr:uid="{00000000-0005-0000-0000-000047380000}"/>
    <cellStyle name="Input 3 2 3" xfId="735" xr:uid="{00000000-0005-0000-0000-000048380000}"/>
    <cellStyle name="Input 3 2 3 10" xfId="19720" xr:uid="{00000000-0005-0000-0000-000049380000}"/>
    <cellStyle name="Input 3 2 3 11" xfId="30565" xr:uid="{00000000-0005-0000-0000-00004A380000}"/>
    <cellStyle name="Input 3 2 3 12" xfId="11767" xr:uid="{00000000-0005-0000-0000-00004B380000}"/>
    <cellStyle name="Input 3 2 3 2" xfId="1322" xr:uid="{00000000-0005-0000-0000-00004C380000}"/>
    <cellStyle name="Input 3 2 3 2 2" xfId="4175" xr:uid="{00000000-0005-0000-0000-00004D380000}"/>
    <cellStyle name="Input 3 2 3 2 2 2" xfId="23147" xr:uid="{00000000-0005-0000-0000-00004E380000}"/>
    <cellStyle name="Input 3 2 3 2 2 3" xfId="33992" xr:uid="{00000000-0005-0000-0000-00004F380000}"/>
    <cellStyle name="Input 3 2 3 2 2 4" xfId="14228" xr:uid="{00000000-0005-0000-0000-000050380000}"/>
    <cellStyle name="Input 3 2 3 2 3" xfId="6848" xr:uid="{00000000-0005-0000-0000-000051380000}"/>
    <cellStyle name="Input 3 2 3 2 3 2" xfId="25820" xr:uid="{00000000-0005-0000-0000-000052380000}"/>
    <cellStyle name="Input 3 2 3 2 3 3" xfId="36665" xr:uid="{00000000-0005-0000-0000-000053380000}"/>
    <cellStyle name="Input 3 2 3 2 3 4" xfId="16143" xr:uid="{00000000-0005-0000-0000-000054380000}"/>
    <cellStyle name="Input 3 2 3 2 4" xfId="9507" xr:uid="{00000000-0005-0000-0000-000055380000}"/>
    <cellStyle name="Input 3 2 3 2 4 2" xfId="28479" xr:uid="{00000000-0005-0000-0000-000056380000}"/>
    <cellStyle name="Input 3 2 3 2 4 3" xfId="39324" xr:uid="{00000000-0005-0000-0000-000057380000}"/>
    <cellStyle name="Input 3 2 3 2 4 4" xfId="18047" xr:uid="{00000000-0005-0000-0000-000058380000}"/>
    <cellStyle name="Input 3 2 3 2 5" xfId="20303" xr:uid="{00000000-0005-0000-0000-000059380000}"/>
    <cellStyle name="Input 3 2 3 2 6" xfId="31148" xr:uid="{00000000-0005-0000-0000-00005A380000}"/>
    <cellStyle name="Input 3 2 3 2 7" xfId="12193" xr:uid="{00000000-0005-0000-0000-00005B380000}"/>
    <cellStyle name="Input 3 2 3 3" xfId="1721" xr:uid="{00000000-0005-0000-0000-00005C380000}"/>
    <cellStyle name="Input 3 2 3 3 2" xfId="4574" xr:uid="{00000000-0005-0000-0000-00005D380000}"/>
    <cellStyle name="Input 3 2 3 3 2 2" xfId="23546" xr:uid="{00000000-0005-0000-0000-00005E380000}"/>
    <cellStyle name="Input 3 2 3 3 2 3" xfId="34391" xr:uid="{00000000-0005-0000-0000-00005F380000}"/>
    <cellStyle name="Input 3 2 3 3 2 4" xfId="14515" xr:uid="{00000000-0005-0000-0000-000060380000}"/>
    <cellStyle name="Input 3 2 3 3 3" xfId="7246" xr:uid="{00000000-0005-0000-0000-000061380000}"/>
    <cellStyle name="Input 3 2 3 3 3 2" xfId="26218" xr:uid="{00000000-0005-0000-0000-000062380000}"/>
    <cellStyle name="Input 3 2 3 3 3 3" xfId="37063" xr:uid="{00000000-0005-0000-0000-000063380000}"/>
    <cellStyle name="Input 3 2 3 3 3 4" xfId="16429" xr:uid="{00000000-0005-0000-0000-000064380000}"/>
    <cellStyle name="Input 3 2 3 3 4" xfId="9905" xr:uid="{00000000-0005-0000-0000-000065380000}"/>
    <cellStyle name="Input 3 2 3 3 4 2" xfId="28877" xr:uid="{00000000-0005-0000-0000-000066380000}"/>
    <cellStyle name="Input 3 2 3 3 4 3" xfId="39722" xr:uid="{00000000-0005-0000-0000-000067380000}"/>
    <cellStyle name="Input 3 2 3 3 4 4" xfId="18333" xr:uid="{00000000-0005-0000-0000-000068380000}"/>
    <cellStyle name="Input 3 2 3 3 5" xfId="20701" xr:uid="{00000000-0005-0000-0000-000069380000}"/>
    <cellStyle name="Input 3 2 3 3 6" xfId="31546" xr:uid="{00000000-0005-0000-0000-00006A380000}"/>
    <cellStyle name="Input 3 2 3 3 7" xfId="12479" xr:uid="{00000000-0005-0000-0000-00006B380000}"/>
    <cellStyle name="Input 3 2 3 4" xfId="2125" xr:uid="{00000000-0005-0000-0000-00006C380000}"/>
    <cellStyle name="Input 3 2 3 4 2" xfId="4978" xr:uid="{00000000-0005-0000-0000-00006D380000}"/>
    <cellStyle name="Input 3 2 3 4 2 2" xfId="23950" xr:uid="{00000000-0005-0000-0000-00006E380000}"/>
    <cellStyle name="Input 3 2 3 4 2 3" xfId="34795" xr:uid="{00000000-0005-0000-0000-00006F380000}"/>
    <cellStyle name="Input 3 2 3 4 2 4" xfId="14802" xr:uid="{00000000-0005-0000-0000-000070380000}"/>
    <cellStyle name="Input 3 2 3 4 3" xfId="7649" xr:uid="{00000000-0005-0000-0000-000071380000}"/>
    <cellStyle name="Input 3 2 3 4 3 2" xfId="26621" xr:uid="{00000000-0005-0000-0000-000072380000}"/>
    <cellStyle name="Input 3 2 3 4 3 3" xfId="37466" xr:uid="{00000000-0005-0000-0000-000073380000}"/>
    <cellStyle name="Input 3 2 3 4 3 4" xfId="16715" xr:uid="{00000000-0005-0000-0000-000074380000}"/>
    <cellStyle name="Input 3 2 3 4 4" xfId="10308" xr:uid="{00000000-0005-0000-0000-000075380000}"/>
    <cellStyle name="Input 3 2 3 4 4 2" xfId="29280" xr:uid="{00000000-0005-0000-0000-000076380000}"/>
    <cellStyle name="Input 3 2 3 4 4 3" xfId="40125" xr:uid="{00000000-0005-0000-0000-000077380000}"/>
    <cellStyle name="Input 3 2 3 4 4 4" xfId="18619" xr:uid="{00000000-0005-0000-0000-000078380000}"/>
    <cellStyle name="Input 3 2 3 4 5" xfId="21104" xr:uid="{00000000-0005-0000-0000-000079380000}"/>
    <cellStyle name="Input 3 2 3 4 6" xfId="31949" xr:uid="{00000000-0005-0000-0000-00007A380000}"/>
    <cellStyle name="Input 3 2 3 4 7" xfId="12765" xr:uid="{00000000-0005-0000-0000-00007B380000}"/>
    <cellStyle name="Input 3 2 3 5" xfId="2515" xr:uid="{00000000-0005-0000-0000-00007C380000}"/>
    <cellStyle name="Input 3 2 3 5 2" xfId="5367" xr:uid="{00000000-0005-0000-0000-00007D380000}"/>
    <cellStyle name="Input 3 2 3 5 2 2" xfId="24339" xr:uid="{00000000-0005-0000-0000-00007E380000}"/>
    <cellStyle name="Input 3 2 3 5 2 3" xfId="35184" xr:uid="{00000000-0005-0000-0000-00007F380000}"/>
    <cellStyle name="Input 3 2 3 5 2 4" xfId="15081" xr:uid="{00000000-0005-0000-0000-000080380000}"/>
    <cellStyle name="Input 3 2 3 5 3" xfId="8038" xr:uid="{00000000-0005-0000-0000-000081380000}"/>
    <cellStyle name="Input 3 2 3 5 3 2" xfId="27010" xr:uid="{00000000-0005-0000-0000-000082380000}"/>
    <cellStyle name="Input 3 2 3 5 3 3" xfId="37855" xr:uid="{00000000-0005-0000-0000-000083380000}"/>
    <cellStyle name="Input 3 2 3 5 3 4" xfId="16994" xr:uid="{00000000-0005-0000-0000-000084380000}"/>
    <cellStyle name="Input 3 2 3 5 4" xfId="10697" xr:uid="{00000000-0005-0000-0000-000085380000}"/>
    <cellStyle name="Input 3 2 3 5 4 2" xfId="29669" xr:uid="{00000000-0005-0000-0000-000086380000}"/>
    <cellStyle name="Input 3 2 3 5 4 3" xfId="40514" xr:uid="{00000000-0005-0000-0000-000087380000}"/>
    <cellStyle name="Input 3 2 3 5 4 4" xfId="18898" xr:uid="{00000000-0005-0000-0000-000088380000}"/>
    <cellStyle name="Input 3 2 3 5 5" xfId="21493" xr:uid="{00000000-0005-0000-0000-000089380000}"/>
    <cellStyle name="Input 3 2 3 5 6" xfId="32338" xr:uid="{00000000-0005-0000-0000-00008A380000}"/>
    <cellStyle name="Input 3 2 3 5 7" xfId="13044" xr:uid="{00000000-0005-0000-0000-00008B380000}"/>
    <cellStyle name="Input 3 2 3 6" xfId="2901" xr:uid="{00000000-0005-0000-0000-00008C380000}"/>
    <cellStyle name="Input 3 2 3 6 2" xfId="5752" xr:uid="{00000000-0005-0000-0000-00008D380000}"/>
    <cellStyle name="Input 3 2 3 6 2 2" xfId="24724" xr:uid="{00000000-0005-0000-0000-00008E380000}"/>
    <cellStyle name="Input 3 2 3 6 2 3" xfId="35569" xr:uid="{00000000-0005-0000-0000-00008F380000}"/>
    <cellStyle name="Input 3 2 3 6 2 4" xfId="15357" xr:uid="{00000000-0005-0000-0000-000090380000}"/>
    <cellStyle name="Input 3 2 3 6 3" xfId="8423" xr:uid="{00000000-0005-0000-0000-000091380000}"/>
    <cellStyle name="Input 3 2 3 6 3 2" xfId="27395" xr:uid="{00000000-0005-0000-0000-000092380000}"/>
    <cellStyle name="Input 3 2 3 6 3 3" xfId="38240" xr:uid="{00000000-0005-0000-0000-000093380000}"/>
    <cellStyle name="Input 3 2 3 6 3 4" xfId="17270" xr:uid="{00000000-0005-0000-0000-000094380000}"/>
    <cellStyle name="Input 3 2 3 6 4" xfId="11082" xr:uid="{00000000-0005-0000-0000-000095380000}"/>
    <cellStyle name="Input 3 2 3 6 4 2" xfId="30054" xr:uid="{00000000-0005-0000-0000-000096380000}"/>
    <cellStyle name="Input 3 2 3 6 4 3" xfId="40899" xr:uid="{00000000-0005-0000-0000-000097380000}"/>
    <cellStyle name="Input 3 2 3 6 4 4" xfId="19174" xr:uid="{00000000-0005-0000-0000-000098380000}"/>
    <cellStyle name="Input 3 2 3 6 5" xfId="21878" xr:uid="{00000000-0005-0000-0000-000099380000}"/>
    <cellStyle name="Input 3 2 3 6 6" xfId="32723" xr:uid="{00000000-0005-0000-0000-00009A380000}"/>
    <cellStyle name="Input 3 2 3 6 7" xfId="13320" xr:uid="{00000000-0005-0000-0000-00009B380000}"/>
    <cellStyle name="Input 3 2 3 7" xfId="3590" xr:uid="{00000000-0005-0000-0000-00009C380000}"/>
    <cellStyle name="Input 3 2 3 7 2" xfId="22562" xr:uid="{00000000-0005-0000-0000-00009D380000}"/>
    <cellStyle name="Input 3 2 3 7 3" xfId="33407" xr:uid="{00000000-0005-0000-0000-00009E380000}"/>
    <cellStyle name="Input 3 2 3 7 4" xfId="13801" xr:uid="{00000000-0005-0000-0000-00009F380000}"/>
    <cellStyle name="Input 3 2 3 8" xfId="6265" xr:uid="{00000000-0005-0000-0000-0000A0380000}"/>
    <cellStyle name="Input 3 2 3 8 2" xfId="25237" xr:uid="{00000000-0005-0000-0000-0000A1380000}"/>
    <cellStyle name="Input 3 2 3 8 3" xfId="36082" xr:uid="{00000000-0005-0000-0000-0000A2380000}"/>
    <cellStyle name="Input 3 2 3 8 4" xfId="15717" xr:uid="{00000000-0005-0000-0000-0000A3380000}"/>
    <cellStyle name="Input 3 2 3 9" xfId="8924" xr:uid="{00000000-0005-0000-0000-0000A4380000}"/>
    <cellStyle name="Input 3 2 3 9 2" xfId="27896" xr:uid="{00000000-0005-0000-0000-0000A5380000}"/>
    <cellStyle name="Input 3 2 3 9 3" xfId="38741" xr:uid="{00000000-0005-0000-0000-0000A6380000}"/>
    <cellStyle name="Input 3 2 3 9 4" xfId="17621" xr:uid="{00000000-0005-0000-0000-0000A7380000}"/>
    <cellStyle name="Input 3 2 4" xfId="795" xr:uid="{00000000-0005-0000-0000-0000A8380000}"/>
    <cellStyle name="Input 3 2 4 10" xfId="19780" xr:uid="{00000000-0005-0000-0000-0000A9380000}"/>
    <cellStyle name="Input 3 2 4 11" xfId="30625" xr:uid="{00000000-0005-0000-0000-0000AA380000}"/>
    <cellStyle name="Input 3 2 4 12" xfId="11807" xr:uid="{00000000-0005-0000-0000-0000AB380000}"/>
    <cellStyle name="Input 3 2 4 2" xfId="1382" xr:uid="{00000000-0005-0000-0000-0000AC380000}"/>
    <cellStyle name="Input 3 2 4 2 2" xfId="4235" xr:uid="{00000000-0005-0000-0000-0000AD380000}"/>
    <cellStyle name="Input 3 2 4 2 2 2" xfId="23207" xr:uid="{00000000-0005-0000-0000-0000AE380000}"/>
    <cellStyle name="Input 3 2 4 2 2 3" xfId="34052" xr:uid="{00000000-0005-0000-0000-0000AF380000}"/>
    <cellStyle name="Input 3 2 4 2 2 4" xfId="14268" xr:uid="{00000000-0005-0000-0000-0000B0380000}"/>
    <cellStyle name="Input 3 2 4 2 3" xfId="6908" xr:uid="{00000000-0005-0000-0000-0000B1380000}"/>
    <cellStyle name="Input 3 2 4 2 3 2" xfId="25880" xr:uid="{00000000-0005-0000-0000-0000B2380000}"/>
    <cellStyle name="Input 3 2 4 2 3 3" xfId="36725" xr:uid="{00000000-0005-0000-0000-0000B3380000}"/>
    <cellStyle name="Input 3 2 4 2 3 4" xfId="16183" xr:uid="{00000000-0005-0000-0000-0000B4380000}"/>
    <cellStyle name="Input 3 2 4 2 4" xfId="9567" xr:uid="{00000000-0005-0000-0000-0000B5380000}"/>
    <cellStyle name="Input 3 2 4 2 4 2" xfId="28539" xr:uid="{00000000-0005-0000-0000-0000B6380000}"/>
    <cellStyle name="Input 3 2 4 2 4 3" xfId="39384" xr:uid="{00000000-0005-0000-0000-0000B7380000}"/>
    <cellStyle name="Input 3 2 4 2 4 4" xfId="18087" xr:uid="{00000000-0005-0000-0000-0000B8380000}"/>
    <cellStyle name="Input 3 2 4 2 5" xfId="20363" xr:uid="{00000000-0005-0000-0000-0000B9380000}"/>
    <cellStyle name="Input 3 2 4 2 6" xfId="31208" xr:uid="{00000000-0005-0000-0000-0000BA380000}"/>
    <cellStyle name="Input 3 2 4 2 7" xfId="12233" xr:uid="{00000000-0005-0000-0000-0000BB380000}"/>
    <cellStyle name="Input 3 2 4 3" xfId="1781" xr:uid="{00000000-0005-0000-0000-0000BC380000}"/>
    <cellStyle name="Input 3 2 4 3 2" xfId="4634" xr:uid="{00000000-0005-0000-0000-0000BD380000}"/>
    <cellStyle name="Input 3 2 4 3 2 2" xfId="23606" xr:uid="{00000000-0005-0000-0000-0000BE380000}"/>
    <cellStyle name="Input 3 2 4 3 2 3" xfId="34451" xr:uid="{00000000-0005-0000-0000-0000BF380000}"/>
    <cellStyle name="Input 3 2 4 3 2 4" xfId="14555" xr:uid="{00000000-0005-0000-0000-0000C0380000}"/>
    <cellStyle name="Input 3 2 4 3 3" xfId="7306" xr:uid="{00000000-0005-0000-0000-0000C1380000}"/>
    <cellStyle name="Input 3 2 4 3 3 2" xfId="26278" xr:uid="{00000000-0005-0000-0000-0000C2380000}"/>
    <cellStyle name="Input 3 2 4 3 3 3" xfId="37123" xr:uid="{00000000-0005-0000-0000-0000C3380000}"/>
    <cellStyle name="Input 3 2 4 3 3 4" xfId="16469" xr:uid="{00000000-0005-0000-0000-0000C4380000}"/>
    <cellStyle name="Input 3 2 4 3 4" xfId="9965" xr:uid="{00000000-0005-0000-0000-0000C5380000}"/>
    <cellStyle name="Input 3 2 4 3 4 2" xfId="28937" xr:uid="{00000000-0005-0000-0000-0000C6380000}"/>
    <cellStyle name="Input 3 2 4 3 4 3" xfId="39782" xr:uid="{00000000-0005-0000-0000-0000C7380000}"/>
    <cellStyle name="Input 3 2 4 3 4 4" xfId="18373" xr:uid="{00000000-0005-0000-0000-0000C8380000}"/>
    <cellStyle name="Input 3 2 4 3 5" xfId="20761" xr:uid="{00000000-0005-0000-0000-0000C9380000}"/>
    <cellStyle name="Input 3 2 4 3 6" xfId="31606" xr:uid="{00000000-0005-0000-0000-0000CA380000}"/>
    <cellStyle name="Input 3 2 4 3 7" xfId="12519" xr:uid="{00000000-0005-0000-0000-0000CB380000}"/>
    <cellStyle name="Input 3 2 4 4" xfId="2185" xr:uid="{00000000-0005-0000-0000-0000CC380000}"/>
    <cellStyle name="Input 3 2 4 4 2" xfId="5038" xr:uid="{00000000-0005-0000-0000-0000CD380000}"/>
    <cellStyle name="Input 3 2 4 4 2 2" xfId="24010" xr:uid="{00000000-0005-0000-0000-0000CE380000}"/>
    <cellStyle name="Input 3 2 4 4 2 3" xfId="34855" xr:uid="{00000000-0005-0000-0000-0000CF380000}"/>
    <cellStyle name="Input 3 2 4 4 2 4" xfId="14842" xr:uid="{00000000-0005-0000-0000-0000D0380000}"/>
    <cellStyle name="Input 3 2 4 4 3" xfId="7709" xr:uid="{00000000-0005-0000-0000-0000D1380000}"/>
    <cellStyle name="Input 3 2 4 4 3 2" xfId="26681" xr:uid="{00000000-0005-0000-0000-0000D2380000}"/>
    <cellStyle name="Input 3 2 4 4 3 3" xfId="37526" xr:uid="{00000000-0005-0000-0000-0000D3380000}"/>
    <cellStyle name="Input 3 2 4 4 3 4" xfId="16755" xr:uid="{00000000-0005-0000-0000-0000D4380000}"/>
    <cellStyle name="Input 3 2 4 4 4" xfId="10368" xr:uid="{00000000-0005-0000-0000-0000D5380000}"/>
    <cellStyle name="Input 3 2 4 4 4 2" xfId="29340" xr:uid="{00000000-0005-0000-0000-0000D6380000}"/>
    <cellStyle name="Input 3 2 4 4 4 3" xfId="40185" xr:uid="{00000000-0005-0000-0000-0000D7380000}"/>
    <cellStyle name="Input 3 2 4 4 4 4" xfId="18659" xr:uid="{00000000-0005-0000-0000-0000D8380000}"/>
    <cellStyle name="Input 3 2 4 4 5" xfId="21164" xr:uid="{00000000-0005-0000-0000-0000D9380000}"/>
    <cellStyle name="Input 3 2 4 4 6" xfId="32009" xr:uid="{00000000-0005-0000-0000-0000DA380000}"/>
    <cellStyle name="Input 3 2 4 4 7" xfId="12805" xr:uid="{00000000-0005-0000-0000-0000DB380000}"/>
    <cellStyle name="Input 3 2 4 5" xfId="2575" xr:uid="{00000000-0005-0000-0000-0000DC380000}"/>
    <cellStyle name="Input 3 2 4 5 2" xfId="5427" xr:uid="{00000000-0005-0000-0000-0000DD380000}"/>
    <cellStyle name="Input 3 2 4 5 2 2" xfId="24399" xr:uid="{00000000-0005-0000-0000-0000DE380000}"/>
    <cellStyle name="Input 3 2 4 5 2 3" xfId="35244" xr:uid="{00000000-0005-0000-0000-0000DF380000}"/>
    <cellStyle name="Input 3 2 4 5 2 4" xfId="15121" xr:uid="{00000000-0005-0000-0000-0000E0380000}"/>
    <cellStyle name="Input 3 2 4 5 3" xfId="8098" xr:uid="{00000000-0005-0000-0000-0000E1380000}"/>
    <cellStyle name="Input 3 2 4 5 3 2" xfId="27070" xr:uid="{00000000-0005-0000-0000-0000E2380000}"/>
    <cellStyle name="Input 3 2 4 5 3 3" xfId="37915" xr:uid="{00000000-0005-0000-0000-0000E3380000}"/>
    <cellStyle name="Input 3 2 4 5 3 4" xfId="17034" xr:uid="{00000000-0005-0000-0000-0000E4380000}"/>
    <cellStyle name="Input 3 2 4 5 4" xfId="10757" xr:uid="{00000000-0005-0000-0000-0000E5380000}"/>
    <cellStyle name="Input 3 2 4 5 4 2" xfId="29729" xr:uid="{00000000-0005-0000-0000-0000E6380000}"/>
    <cellStyle name="Input 3 2 4 5 4 3" xfId="40574" xr:uid="{00000000-0005-0000-0000-0000E7380000}"/>
    <cellStyle name="Input 3 2 4 5 4 4" xfId="18938" xr:uid="{00000000-0005-0000-0000-0000E8380000}"/>
    <cellStyle name="Input 3 2 4 5 5" xfId="21553" xr:uid="{00000000-0005-0000-0000-0000E9380000}"/>
    <cellStyle name="Input 3 2 4 5 6" xfId="32398" xr:uid="{00000000-0005-0000-0000-0000EA380000}"/>
    <cellStyle name="Input 3 2 4 5 7" xfId="13084" xr:uid="{00000000-0005-0000-0000-0000EB380000}"/>
    <cellStyle name="Input 3 2 4 6" xfId="2961" xr:uid="{00000000-0005-0000-0000-0000EC380000}"/>
    <cellStyle name="Input 3 2 4 6 2" xfId="5812" xr:uid="{00000000-0005-0000-0000-0000ED380000}"/>
    <cellStyle name="Input 3 2 4 6 2 2" xfId="24784" xr:uid="{00000000-0005-0000-0000-0000EE380000}"/>
    <cellStyle name="Input 3 2 4 6 2 3" xfId="35629" xr:uid="{00000000-0005-0000-0000-0000EF380000}"/>
    <cellStyle name="Input 3 2 4 6 2 4" xfId="15397" xr:uid="{00000000-0005-0000-0000-0000F0380000}"/>
    <cellStyle name="Input 3 2 4 6 3" xfId="8483" xr:uid="{00000000-0005-0000-0000-0000F1380000}"/>
    <cellStyle name="Input 3 2 4 6 3 2" xfId="27455" xr:uid="{00000000-0005-0000-0000-0000F2380000}"/>
    <cellStyle name="Input 3 2 4 6 3 3" xfId="38300" xr:uid="{00000000-0005-0000-0000-0000F3380000}"/>
    <cellStyle name="Input 3 2 4 6 3 4" xfId="17310" xr:uid="{00000000-0005-0000-0000-0000F4380000}"/>
    <cellStyle name="Input 3 2 4 6 4" xfId="11142" xr:uid="{00000000-0005-0000-0000-0000F5380000}"/>
    <cellStyle name="Input 3 2 4 6 4 2" xfId="30114" xr:uid="{00000000-0005-0000-0000-0000F6380000}"/>
    <cellStyle name="Input 3 2 4 6 4 3" xfId="40959" xr:uid="{00000000-0005-0000-0000-0000F7380000}"/>
    <cellStyle name="Input 3 2 4 6 4 4" xfId="19214" xr:uid="{00000000-0005-0000-0000-0000F8380000}"/>
    <cellStyle name="Input 3 2 4 6 5" xfId="21938" xr:uid="{00000000-0005-0000-0000-0000F9380000}"/>
    <cellStyle name="Input 3 2 4 6 6" xfId="32783" xr:uid="{00000000-0005-0000-0000-0000FA380000}"/>
    <cellStyle name="Input 3 2 4 6 7" xfId="13360" xr:uid="{00000000-0005-0000-0000-0000FB380000}"/>
    <cellStyle name="Input 3 2 4 7" xfId="3650" xr:uid="{00000000-0005-0000-0000-0000FC380000}"/>
    <cellStyle name="Input 3 2 4 7 2" xfId="22622" xr:uid="{00000000-0005-0000-0000-0000FD380000}"/>
    <cellStyle name="Input 3 2 4 7 3" xfId="33467" xr:uid="{00000000-0005-0000-0000-0000FE380000}"/>
    <cellStyle name="Input 3 2 4 7 4" xfId="13841" xr:uid="{00000000-0005-0000-0000-0000FF380000}"/>
    <cellStyle name="Input 3 2 4 8" xfId="6325" xr:uid="{00000000-0005-0000-0000-000000390000}"/>
    <cellStyle name="Input 3 2 4 8 2" xfId="25297" xr:uid="{00000000-0005-0000-0000-000001390000}"/>
    <cellStyle name="Input 3 2 4 8 3" xfId="36142" xr:uid="{00000000-0005-0000-0000-000002390000}"/>
    <cellStyle name="Input 3 2 4 8 4" xfId="15757" xr:uid="{00000000-0005-0000-0000-000003390000}"/>
    <cellStyle name="Input 3 2 4 9" xfId="8984" xr:uid="{00000000-0005-0000-0000-000004390000}"/>
    <cellStyle name="Input 3 2 4 9 2" xfId="27956" xr:uid="{00000000-0005-0000-0000-000005390000}"/>
    <cellStyle name="Input 3 2 4 9 3" xfId="38801" xr:uid="{00000000-0005-0000-0000-000006390000}"/>
    <cellStyle name="Input 3 2 4 9 4" xfId="17661" xr:uid="{00000000-0005-0000-0000-000007390000}"/>
    <cellStyle name="Input 3 2 5" xfId="854" xr:uid="{00000000-0005-0000-0000-000008390000}"/>
    <cellStyle name="Input 3 2 5 10" xfId="19839" xr:uid="{00000000-0005-0000-0000-000009390000}"/>
    <cellStyle name="Input 3 2 5 11" xfId="30684" xr:uid="{00000000-0005-0000-0000-00000A390000}"/>
    <cellStyle name="Input 3 2 5 12" xfId="11846" xr:uid="{00000000-0005-0000-0000-00000B390000}"/>
    <cellStyle name="Input 3 2 5 2" xfId="1441" xr:uid="{00000000-0005-0000-0000-00000C390000}"/>
    <cellStyle name="Input 3 2 5 2 2" xfId="4294" xr:uid="{00000000-0005-0000-0000-00000D390000}"/>
    <cellStyle name="Input 3 2 5 2 2 2" xfId="23266" xr:uid="{00000000-0005-0000-0000-00000E390000}"/>
    <cellStyle name="Input 3 2 5 2 2 3" xfId="34111" xr:uid="{00000000-0005-0000-0000-00000F390000}"/>
    <cellStyle name="Input 3 2 5 2 2 4" xfId="14307" xr:uid="{00000000-0005-0000-0000-000010390000}"/>
    <cellStyle name="Input 3 2 5 2 3" xfId="6967" xr:uid="{00000000-0005-0000-0000-000011390000}"/>
    <cellStyle name="Input 3 2 5 2 3 2" xfId="25939" xr:uid="{00000000-0005-0000-0000-000012390000}"/>
    <cellStyle name="Input 3 2 5 2 3 3" xfId="36784" xr:uid="{00000000-0005-0000-0000-000013390000}"/>
    <cellStyle name="Input 3 2 5 2 3 4" xfId="16222" xr:uid="{00000000-0005-0000-0000-000014390000}"/>
    <cellStyle name="Input 3 2 5 2 4" xfId="9626" xr:uid="{00000000-0005-0000-0000-000015390000}"/>
    <cellStyle name="Input 3 2 5 2 4 2" xfId="28598" xr:uid="{00000000-0005-0000-0000-000016390000}"/>
    <cellStyle name="Input 3 2 5 2 4 3" xfId="39443" xr:uid="{00000000-0005-0000-0000-000017390000}"/>
    <cellStyle name="Input 3 2 5 2 4 4" xfId="18126" xr:uid="{00000000-0005-0000-0000-000018390000}"/>
    <cellStyle name="Input 3 2 5 2 5" xfId="20422" xr:uid="{00000000-0005-0000-0000-000019390000}"/>
    <cellStyle name="Input 3 2 5 2 6" xfId="31267" xr:uid="{00000000-0005-0000-0000-00001A390000}"/>
    <cellStyle name="Input 3 2 5 2 7" xfId="12272" xr:uid="{00000000-0005-0000-0000-00001B390000}"/>
    <cellStyle name="Input 3 2 5 3" xfId="1840" xr:uid="{00000000-0005-0000-0000-00001C390000}"/>
    <cellStyle name="Input 3 2 5 3 2" xfId="4693" xr:uid="{00000000-0005-0000-0000-00001D390000}"/>
    <cellStyle name="Input 3 2 5 3 2 2" xfId="23665" xr:uid="{00000000-0005-0000-0000-00001E390000}"/>
    <cellStyle name="Input 3 2 5 3 2 3" xfId="34510" xr:uid="{00000000-0005-0000-0000-00001F390000}"/>
    <cellStyle name="Input 3 2 5 3 2 4" xfId="14594" xr:uid="{00000000-0005-0000-0000-000020390000}"/>
    <cellStyle name="Input 3 2 5 3 3" xfId="7365" xr:uid="{00000000-0005-0000-0000-000021390000}"/>
    <cellStyle name="Input 3 2 5 3 3 2" xfId="26337" xr:uid="{00000000-0005-0000-0000-000022390000}"/>
    <cellStyle name="Input 3 2 5 3 3 3" xfId="37182" xr:uid="{00000000-0005-0000-0000-000023390000}"/>
    <cellStyle name="Input 3 2 5 3 3 4" xfId="16508" xr:uid="{00000000-0005-0000-0000-000024390000}"/>
    <cellStyle name="Input 3 2 5 3 4" xfId="10024" xr:uid="{00000000-0005-0000-0000-000025390000}"/>
    <cellStyle name="Input 3 2 5 3 4 2" xfId="28996" xr:uid="{00000000-0005-0000-0000-000026390000}"/>
    <cellStyle name="Input 3 2 5 3 4 3" xfId="39841" xr:uid="{00000000-0005-0000-0000-000027390000}"/>
    <cellStyle name="Input 3 2 5 3 4 4" xfId="18412" xr:uid="{00000000-0005-0000-0000-000028390000}"/>
    <cellStyle name="Input 3 2 5 3 5" xfId="20820" xr:uid="{00000000-0005-0000-0000-000029390000}"/>
    <cellStyle name="Input 3 2 5 3 6" xfId="31665" xr:uid="{00000000-0005-0000-0000-00002A390000}"/>
    <cellStyle name="Input 3 2 5 3 7" xfId="12558" xr:uid="{00000000-0005-0000-0000-00002B390000}"/>
    <cellStyle name="Input 3 2 5 4" xfId="2244" xr:uid="{00000000-0005-0000-0000-00002C390000}"/>
    <cellStyle name="Input 3 2 5 4 2" xfId="5097" xr:uid="{00000000-0005-0000-0000-00002D390000}"/>
    <cellStyle name="Input 3 2 5 4 2 2" xfId="24069" xr:uid="{00000000-0005-0000-0000-00002E390000}"/>
    <cellStyle name="Input 3 2 5 4 2 3" xfId="34914" xr:uid="{00000000-0005-0000-0000-00002F390000}"/>
    <cellStyle name="Input 3 2 5 4 2 4" xfId="14881" xr:uid="{00000000-0005-0000-0000-000030390000}"/>
    <cellStyle name="Input 3 2 5 4 3" xfId="7768" xr:uid="{00000000-0005-0000-0000-000031390000}"/>
    <cellStyle name="Input 3 2 5 4 3 2" xfId="26740" xr:uid="{00000000-0005-0000-0000-000032390000}"/>
    <cellStyle name="Input 3 2 5 4 3 3" xfId="37585" xr:uid="{00000000-0005-0000-0000-000033390000}"/>
    <cellStyle name="Input 3 2 5 4 3 4" xfId="16794" xr:uid="{00000000-0005-0000-0000-000034390000}"/>
    <cellStyle name="Input 3 2 5 4 4" xfId="10427" xr:uid="{00000000-0005-0000-0000-000035390000}"/>
    <cellStyle name="Input 3 2 5 4 4 2" xfId="29399" xr:uid="{00000000-0005-0000-0000-000036390000}"/>
    <cellStyle name="Input 3 2 5 4 4 3" xfId="40244" xr:uid="{00000000-0005-0000-0000-000037390000}"/>
    <cellStyle name="Input 3 2 5 4 4 4" xfId="18698" xr:uid="{00000000-0005-0000-0000-000038390000}"/>
    <cellStyle name="Input 3 2 5 4 5" xfId="21223" xr:uid="{00000000-0005-0000-0000-000039390000}"/>
    <cellStyle name="Input 3 2 5 4 6" xfId="32068" xr:uid="{00000000-0005-0000-0000-00003A390000}"/>
    <cellStyle name="Input 3 2 5 4 7" xfId="12844" xr:uid="{00000000-0005-0000-0000-00003B390000}"/>
    <cellStyle name="Input 3 2 5 5" xfId="2634" xr:uid="{00000000-0005-0000-0000-00003C390000}"/>
    <cellStyle name="Input 3 2 5 5 2" xfId="5486" xr:uid="{00000000-0005-0000-0000-00003D390000}"/>
    <cellStyle name="Input 3 2 5 5 2 2" xfId="24458" xr:uid="{00000000-0005-0000-0000-00003E390000}"/>
    <cellStyle name="Input 3 2 5 5 2 3" xfId="35303" xr:uid="{00000000-0005-0000-0000-00003F390000}"/>
    <cellStyle name="Input 3 2 5 5 2 4" xfId="15160" xr:uid="{00000000-0005-0000-0000-000040390000}"/>
    <cellStyle name="Input 3 2 5 5 3" xfId="8157" xr:uid="{00000000-0005-0000-0000-000041390000}"/>
    <cellStyle name="Input 3 2 5 5 3 2" xfId="27129" xr:uid="{00000000-0005-0000-0000-000042390000}"/>
    <cellStyle name="Input 3 2 5 5 3 3" xfId="37974" xr:uid="{00000000-0005-0000-0000-000043390000}"/>
    <cellStyle name="Input 3 2 5 5 3 4" xfId="17073" xr:uid="{00000000-0005-0000-0000-000044390000}"/>
    <cellStyle name="Input 3 2 5 5 4" xfId="10816" xr:uid="{00000000-0005-0000-0000-000045390000}"/>
    <cellStyle name="Input 3 2 5 5 4 2" xfId="29788" xr:uid="{00000000-0005-0000-0000-000046390000}"/>
    <cellStyle name="Input 3 2 5 5 4 3" xfId="40633" xr:uid="{00000000-0005-0000-0000-000047390000}"/>
    <cellStyle name="Input 3 2 5 5 4 4" xfId="18977" xr:uid="{00000000-0005-0000-0000-000048390000}"/>
    <cellStyle name="Input 3 2 5 5 5" xfId="21612" xr:uid="{00000000-0005-0000-0000-000049390000}"/>
    <cellStyle name="Input 3 2 5 5 6" xfId="32457" xr:uid="{00000000-0005-0000-0000-00004A390000}"/>
    <cellStyle name="Input 3 2 5 5 7" xfId="13123" xr:uid="{00000000-0005-0000-0000-00004B390000}"/>
    <cellStyle name="Input 3 2 5 6" xfId="3020" xr:uid="{00000000-0005-0000-0000-00004C390000}"/>
    <cellStyle name="Input 3 2 5 6 2" xfId="5871" xr:uid="{00000000-0005-0000-0000-00004D390000}"/>
    <cellStyle name="Input 3 2 5 6 2 2" xfId="24843" xr:uid="{00000000-0005-0000-0000-00004E390000}"/>
    <cellStyle name="Input 3 2 5 6 2 3" xfId="35688" xr:uid="{00000000-0005-0000-0000-00004F390000}"/>
    <cellStyle name="Input 3 2 5 6 2 4" xfId="15436" xr:uid="{00000000-0005-0000-0000-000050390000}"/>
    <cellStyle name="Input 3 2 5 6 3" xfId="8542" xr:uid="{00000000-0005-0000-0000-000051390000}"/>
    <cellStyle name="Input 3 2 5 6 3 2" xfId="27514" xr:uid="{00000000-0005-0000-0000-000052390000}"/>
    <cellStyle name="Input 3 2 5 6 3 3" xfId="38359" xr:uid="{00000000-0005-0000-0000-000053390000}"/>
    <cellStyle name="Input 3 2 5 6 3 4" xfId="17349" xr:uid="{00000000-0005-0000-0000-000054390000}"/>
    <cellStyle name="Input 3 2 5 6 4" xfId="11201" xr:uid="{00000000-0005-0000-0000-000055390000}"/>
    <cellStyle name="Input 3 2 5 6 4 2" xfId="30173" xr:uid="{00000000-0005-0000-0000-000056390000}"/>
    <cellStyle name="Input 3 2 5 6 4 3" xfId="41018" xr:uid="{00000000-0005-0000-0000-000057390000}"/>
    <cellStyle name="Input 3 2 5 6 4 4" xfId="19253" xr:uid="{00000000-0005-0000-0000-000058390000}"/>
    <cellStyle name="Input 3 2 5 6 5" xfId="21997" xr:uid="{00000000-0005-0000-0000-000059390000}"/>
    <cellStyle name="Input 3 2 5 6 6" xfId="32842" xr:uid="{00000000-0005-0000-0000-00005A390000}"/>
    <cellStyle name="Input 3 2 5 6 7" xfId="13399" xr:uid="{00000000-0005-0000-0000-00005B390000}"/>
    <cellStyle name="Input 3 2 5 7" xfId="3709" xr:uid="{00000000-0005-0000-0000-00005C390000}"/>
    <cellStyle name="Input 3 2 5 7 2" xfId="22681" xr:uid="{00000000-0005-0000-0000-00005D390000}"/>
    <cellStyle name="Input 3 2 5 7 3" xfId="33526" xr:uid="{00000000-0005-0000-0000-00005E390000}"/>
    <cellStyle name="Input 3 2 5 7 4" xfId="13880" xr:uid="{00000000-0005-0000-0000-00005F390000}"/>
    <cellStyle name="Input 3 2 5 8" xfId="6384" xr:uid="{00000000-0005-0000-0000-000060390000}"/>
    <cellStyle name="Input 3 2 5 8 2" xfId="25356" xr:uid="{00000000-0005-0000-0000-000061390000}"/>
    <cellStyle name="Input 3 2 5 8 3" xfId="36201" xr:uid="{00000000-0005-0000-0000-000062390000}"/>
    <cellStyle name="Input 3 2 5 8 4" xfId="15796" xr:uid="{00000000-0005-0000-0000-000063390000}"/>
    <cellStyle name="Input 3 2 5 9" xfId="9043" xr:uid="{00000000-0005-0000-0000-000064390000}"/>
    <cellStyle name="Input 3 2 5 9 2" xfId="28015" xr:uid="{00000000-0005-0000-0000-000065390000}"/>
    <cellStyle name="Input 3 2 5 9 3" xfId="38860" xr:uid="{00000000-0005-0000-0000-000066390000}"/>
    <cellStyle name="Input 3 2 5 9 4" xfId="17700" xr:uid="{00000000-0005-0000-0000-000067390000}"/>
    <cellStyle name="Input 3 2 6" xfId="1076" xr:uid="{00000000-0005-0000-0000-000068390000}"/>
    <cellStyle name="Input 3 2 6 2" xfId="3929" xr:uid="{00000000-0005-0000-0000-000069390000}"/>
    <cellStyle name="Input 3 2 6 2 2" xfId="22901" xr:uid="{00000000-0005-0000-0000-00006A390000}"/>
    <cellStyle name="Input 3 2 6 2 3" xfId="33746" xr:uid="{00000000-0005-0000-0000-00006B390000}"/>
    <cellStyle name="Input 3 2 6 2 4" xfId="14042" xr:uid="{00000000-0005-0000-0000-00006C390000}"/>
    <cellStyle name="Input 3 2 6 3" xfId="6603" xr:uid="{00000000-0005-0000-0000-00006D390000}"/>
    <cellStyle name="Input 3 2 6 3 2" xfId="25575" xr:uid="{00000000-0005-0000-0000-00006E390000}"/>
    <cellStyle name="Input 3 2 6 3 3" xfId="36420" xr:uid="{00000000-0005-0000-0000-00006F390000}"/>
    <cellStyle name="Input 3 2 6 3 4" xfId="15958" xr:uid="{00000000-0005-0000-0000-000070390000}"/>
    <cellStyle name="Input 3 2 6 4" xfId="9262" xr:uid="{00000000-0005-0000-0000-000071390000}"/>
    <cellStyle name="Input 3 2 6 4 2" xfId="28234" xr:uid="{00000000-0005-0000-0000-000072390000}"/>
    <cellStyle name="Input 3 2 6 4 3" xfId="39079" xr:uid="{00000000-0005-0000-0000-000073390000}"/>
    <cellStyle name="Input 3 2 6 4 4" xfId="17862" xr:uid="{00000000-0005-0000-0000-000074390000}"/>
    <cellStyle name="Input 3 2 6 5" xfId="20058" xr:uid="{00000000-0005-0000-0000-000075390000}"/>
    <cellStyle name="Input 3 2 6 6" xfId="30903" xr:uid="{00000000-0005-0000-0000-000076390000}"/>
    <cellStyle name="Input 3 2 6 7" xfId="12008" xr:uid="{00000000-0005-0000-0000-000077390000}"/>
    <cellStyle name="Input 3 2 7" xfId="912" xr:uid="{00000000-0005-0000-0000-000078390000}"/>
    <cellStyle name="Input 3 2 7 2" xfId="3767" xr:uid="{00000000-0005-0000-0000-000079390000}"/>
    <cellStyle name="Input 3 2 7 2 2" xfId="22739" xr:uid="{00000000-0005-0000-0000-00007A390000}"/>
    <cellStyle name="Input 3 2 7 2 3" xfId="33584" xr:uid="{00000000-0005-0000-0000-00007B390000}"/>
    <cellStyle name="Input 3 2 7 2 4" xfId="13913" xr:uid="{00000000-0005-0000-0000-00007C390000}"/>
    <cellStyle name="Input 3 2 7 3" xfId="6442" xr:uid="{00000000-0005-0000-0000-00007D390000}"/>
    <cellStyle name="Input 3 2 7 3 2" xfId="25414" xr:uid="{00000000-0005-0000-0000-00007E390000}"/>
    <cellStyle name="Input 3 2 7 3 3" xfId="36259" xr:uid="{00000000-0005-0000-0000-00007F390000}"/>
    <cellStyle name="Input 3 2 7 3 4" xfId="15829" xr:uid="{00000000-0005-0000-0000-000080390000}"/>
    <cellStyle name="Input 3 2 7 4" xfId="9101" xr:uid="{00000000-0005-0000-0000-000081390000}"/>
    <cellStyle name="Input 3 2 7 4 2" xfId="28073" xr:uid="{00000000-0005-0000-0000-000082390000}"/>
    <cellStyle name="Input 3 2 7 4 3" xfId="38918" xr:uid="{00000000-0005-0000-0000-000083390000}"/>
    <cellStyle name="Input 3 2 7 4 4" xfId="17733" xr:uid="{00000000-0005-0000-0000-000084390000}"/>
    <cellStyle name="Input 3 2 7 5" xfId="19897" xr:uid="{00000000-0005-0000-0000-000085390000}"/>
    <cellStyle name="Input 3 2 7 6" xfId="30742" xr:uid="{00000000-0005-0000-0000-000086390000}"/>
    <cellStyle name="Input 3 2 7 7" xfId="11879" xr:uid="{00000000-0005-0000-0000-000087390000}"/>
    <cellStyle name="Input 3 2 8" xfId="924" xr:uid="{00000000-0005-0000-0000-000088390000}"/>
    <cellStyle name="Input 3 2 8 2" xfId="3779" xr:uid="{00000000-0005-0000-0000-000089390000}"/>
    <cellStyle name="Input 3 2 8 2 2" xfId="22751" xr:uid="{00000000-0005-0000-0000-00008A390000}"/>
    <cellStyle name="Input 3 2 8 2 3" xfId="33596" xr:uid="{00000000-0005-0000-0000-00008B390000}"/>
    <cellStyle name="Input 3 2 8 2 4" xfId="13925" xr:uid="{00000000-0005-0000-0000-00008C390000}"/>
    <cellStyle name="Input 3 2 8 3" xfId="6454" xr:uid="{00000000-0005-0000-0000-00008D390000}"/>
    <cellStyle name="Input 3 2 8 3 2" xfId="25426" xr:uid="{00000000-0005-0000-0000-00008E390000}"/>
    <cellStyle name="Input 3 2 8 3 3" xfId="36271" xr:uid="{00000000-0005-0000-0000-00008F390000}"/>
    <cellStyle name="Input 3 2 8 3 4" xfId="15841" xr:uid="{00000000-0005-0000-0000-000090390000}"/>
    <cellStyle name="Input 3 2 8 4" xfId="9113" xr:uid="{00000000-0005-0000-0000-000091390000}"/>
    <cellStyle name="Input 3 2 8 4 2" xfId="28085" xr:uid="{00000000-0005-0000-0000-000092390000}"/>
    <cellStyle name="Input 3 2 8 4 3" xfId="38930" xr:uid="{00000000-0005-0000-0000-000093390000}"/>
    <cellStyle name="Input 3 2 8 4 4" xfId="17745" xr:uid="{00000000-0005-0000-0000-000094390000}"/>
    <cellStyle name="Input 3 2 8 5" xfId="19909" xr:uid="{00000000-0005-0000-0000-000095390000}"/>
    <cellStyle name="Input 3 2 8 6" xfId="30754" xr:uid="{00000000-0005-0000-0000-000096390000}"/>
    <cellStyle name="Input 3 2 8 7" xfId="11891" xr:uid="{00000000-0005-0000-0000-000097390000}"/>
    <cellStyle name="Input 3 2 9" xfId="1017" xr:uid="{00000000-0005-0000-0000-000098390000}"/>
    <cellStyle name="Input 3 2 9 2" xfId="3870" xr:uid="{00000000-0005-0000-0000-000099390000}"/>
    <cellStyle name="Input 3 2 9 2 2" xfId="22842" xr:uid="{00000000-0005-0000-0000-00009A390000}"/>
    <cellStyle name="Input 3 2 9 2 3" xfId="33687" xr:uid="{00000000-0005-0000-0000-00009B390000}"/>
    <cellStyle name="Input 3 2 9 2 4" xfId="13993" xr:uid="{00000000-0005-0000-0000-00009C390000}"/>
    <cellStyle name="Input 3 2 9 3" xfId="6544" xr:uid="{00000000-0005-0000-0000-00009D390000}"/>
    <cellStyle name="Input 3 2 9 3 2" xfId="25516" xr:uid="{00000000-0005-0000-0000-00009E390000}"/>
    <cellStyle name="Input 3 2 9 3 3" xfId="36361" xr:uid="{00000000-0005-0000-0000-00009F390000}"/>
    <cellStyle name="Input 3 2 9 3 4" xfId="15909" xr:uid="{00000000-0005-0000-0000-0000A0390000}"/>
    <cellStyle name="Input 3 2 9 4" xfId="9203" xr:uid="{00000000-0005-0000-0000-0000A1390000}"/>
    <cellStyle name="Input 3 2 9 4 2" xfId="28175" xr:uid="{00000000-0005-0000-0000-0000A2390000}"/>
    <cellStyle name="Input 3 2 9 4 3" xfId="39020" xr:uid="{00000000-0005-0000-0000-0000A3390000}"/>
    <cellStyle name="Input 3 2 9 4 4" xfId="17813" xr:uid="{00000000-0005-0000-0000-0000A4390000}"/>
    <cellStyle name="Input 3 2 9 5" xfId="19999" xr:uid="{00000000-0005-0000-0000-0000A5390000}"/>
    <cellStyle name="Input 3 2 9 6" xfId="30844" xr:uid="{00000000-0005-0000-0000-0000A6390000}"/>
    <cellStyle name="Input 3 2 9 7" xfId="11959" xr:uid="{00000000-0005-0000-0000-0000A7390000}"/>
    <cellStyle name="Input 3 3" xfId="558" xr:uid="{00000000-0005-0000-0000-0000A8390000}"/>
    <cellStyle name="Input 3 3 10" xfId="19568" xr:uid="{00000000-0005-0000-0000-0000A9390000}"/>
    <cellStyle name="Input 3 3 11" xfId="30413" xr:uid="{00000000-0005-0000-0000-0000AA390000}"/>
    <cellStyle name="Input 3 3 12" xfId="11632" xr:uid="{00000000-0005-0000-0000-0000AB390000}"/>
    <cellStyle name="Input 3 3 13" xfId="41376" xr:uid="{00000000-0005-0000-0000-0000AC390000}"/>
    <cellStyle name="Input 3 3 2" xfId="1164" xr:uid="{00000000-0005-0000-0000-0000AD390000}"/>
    <cellStyle name="Input 3 3 2 2" xfId="4017" xr:uid="{00000000-0005-0000-0000-0000AE390000}"/>
    <cellStyle name="Input 3 3 2 2 2" xfId="22989" xr:uid="{00000000-0005-0000-0000-0000AF390000}"/>
    <cellStyle name="Input 3 3 2 2 3" xfId="33834" xr:uid="{00000000-0005-0000-0000-0000B0390000}"/>
    <cellStyle name="Input 3 3 2 2 4" xfId="14109" xr:uid="{00000000-0005-0000-0000-0000B1390000}"/>
    <cellStyle name="Input 3 3 2 3" xfId="6690" xr:uid="{00000000-0005-0000-0000-0000B2390000}"/>
    <cellStyle name="Input 3 3 2 3 2" xfId="25662" xr:uid="{00000000-0005-0000-0000-0000B3390000}"/>
    <cellStyle name="Input 3 3 2 3 3" xfId="36507" xr:uid="{00000000-0005-0000-0000-0000B4390000}"/>
    <cellStyle name="Input 3 3 2 3 4" xfId="16024" xr:uid="{00000000-0005-0000-0000-0000B5390000}"/>
    <cellStyle name="Input 3 3 2 4" xfId="9349" xr:uid="{00000000-0005-0000-0000-0000B6390000}"/>
    <cellStyle name="Input 3 3 2 4 2" xfId="28321" xr:uid="{00000000-0005-0000-0000-0000B7390000}"/>
    <cellStyle name="Input 3 3 2 4 3" xfId="39166" xr:uid="{00000000-0005-0000-0000-0000B8390000}"/>
    <cellStyle name="Input 3 3 2 4 4" xfId="17928" xr:uid="{00000000-0005-0000-0000-0000B9390000}"/>
    <cellStyle name="Input 3 3 2 5" xfId="20145" xr:uid="{00000000-0005-0000-0000-0000BA390000}"/>
    <cellStyle name="Input 3 3 2 6" xfId="30990" xr:uid="{00000000-0005-0000-0000-0000BB390000}"/>
    <cellStyle name="Input 3 3 2 7" xfId="12074" xr:uid="{00000000-0005-0000-0000-0000BC390000}"/>
    <cellStyle name="Input 3 3 3" xfId="1561" xr:uid="{00000000-0005-0000-0000-0000BD390000}"/>
    <cellStyle name="Input 3 3 3 2" xfId="4414" xr:uid="{00000000-0005-0000-0000-0000BE390000}"/>
    <cellStyle name="Input 3 3 3 2 2" xfId="23386" xr:uid="{00000000-0005-0000-0000-0000BF390000}"/>
    <cellStyle name="Input 3 3 3 2 3" xfId="34231" xr:uid="{00000000-0005-0000-0000-0000C0390000}"/>
    <cellStyle name="Input 3 3 3 2 4" xfId="14395" xr:uid="{00000000-0005-0000-0000-0000C1390000}"/>
    <cellStyle name="Input 3 3 3 3" xfId="7086" xr:uid="{00000000-0005-0000-0000-0000C2390000}"/>
    <cellStyle name="Input 3 3 3 3 2" xfId="26058" xr:uid="{00000000-0005-0000-0000-0000C3390000}"/>
    <cellStyle name="Input 3 3 3 3 3" xfId="36903" xr:uid="{00000000-0005-0000-0000-0000C4390000}"/>
    <cellStyle name="Input 3 3 3 3 4" xfId="16309" xr:uid="{00000000-0005-0000-0000-0000C5390000}"/>
    <cellStyle name="Input 3 3 3 4" xfId="9745" xr:uid="{00000000-0005-0000-0000-0000C6390000}"/>
    <cellStyle name="Input 3 3 3 4 2" xfId="28717" xr:uid="{00000000-0005-0000-0000-0000C7390000}"/>
    <cellStyle name="Input 3 3 3 4 3" xfId="39562" xr:uid="{00000000-0005-0000-0000-0000C8390000}"/>
    <cellStyle name="Input 3 3 3 4 4" xfId="18213" xr:uid="{00000000-0005-0000-0000-0000C9390000}"/>
    <cellStyle name="Input 3 3 3 5" xfId="20541" xr:uid="{00000000-0005-0000-0000-0000CA390000}"/>
    <cellStyle name="Input 3 3 3 6" xfId="31386" xr:uid="{00000000-0005-0000-0000-0000CB390000}"/>
    <cellStyle name="Input 3 3 3 7" xfId="12359" xr:uid="{00000000-0005-0000-0000-0000CC390000}"/>
    <cellStyle name="Input 3 3 4" xfId="1965" xr:uid="{00000000-0005-0000-0000-0000CD390000}"/>
    <cellStyle name="Input 3 3 4 2" xfId="4818" xr:uid="{00000000-0005-0000-0000-0000CE390000}"/>
    <cellStyle name="Input 3 3 4 2 2" xfId="23790" xr:uid="{00000000-0005-0000-0000-0000CF390000}"/>
    <cellStyle name="Input 3 3 4 2 3" xfId="34635" xr:uid="{00000000-0005-0000-0000-0000D0390000}"/>
    <cellStyle name="Input 3 3 4 2 4" xfId="14683" xr:uid="{00000000-0005-0000-0000-0000D1390000}"/>
    <cellStyle name="Input 3 3 4 3" xfId="7490" xr:uid="{00000000-0005-0000-0000-0000D2390000}"/>
    <cellStyle name="Input 3 3 4 3 2" xfId="26462" xr:uid="{00000000-0005-0000-0000-0000D3390000}"/>
    <cellStyle name="Input 3 3 4 3 3" xfId="37307" xr:uid="{00000000-0005-0000-0000-0000D4390000}"/>
    <cellStyle name="Input 3 3 4 3 4" xfId="16597" xr:uid="{00000000-0005-0000-0000-0000D5390000}"/>
    <cellStyle name="Input 3 3 4 4" xfId="10149" xr:uid="{00000000-0005-0000-0000-0000D6390000}"/>
    <cellStyle name="Input 3 3 4 4 2" xfId="29121" xr:uid="{00000000-0005-0000-0000-0000D7390000}"/>
    <cellStyle name="Input 3 3 4 4 3" xfId="39966" xr:uid="{00000000-0005-0000-0000-0000D8390000}"/>
    <cellStyle name="Input 3 3 4 4 4" xfId="18501" xr:uid="{00000000-0005-0000-0000-0000D9390000}"/>
    <cellStyle name="Input 3 3 4 5" xfId="20945" xr:uid="{00000000-0005-0000-0000-0000DA390000}"/>
    <cellStyle name="Input 3 3 4 6" xfId="31790" xr:uid="{00000000-0005-0000-0000-0000DB390000}"/>
    <cellStyle name="Input 3 3 4 7" xfId="12647" xr:uid="{00000000-0005-0000-0000-0000DC390000}"/>
    <cellStyle name="Input 3 3 5" xfId="2357" xr:uid="{00000000-0005-0000-0000-0000DD390000}"/>
    <cellStyle name="Input 3 3 5 2" xfId="5210" xr:uid="{00000000-0005-0000-0000-0000DE390000}"/>
    <cellStyle name="Input 3 3 5 2 2" xfId="24182" xr:uid="{00000000-0005-0000-0000-0000DF390000}"/>
    <cellStyle name="Input 3 3 5 2 3" xfId="35027" xr:uid="{00000000-0005-0000-0000-0000E0390000}"/>
    <cellStyle name="Input 3 3 5 2 4" xfId="14964" xr:uid="{00000000-0005-0000-0000-0000E1390000}"/>
    <cellStyle name="Input 3 3 5 3" xfId="7881" xr:uid="{00000000-0005-0000-0000-0000E2390000}"/>
    <cellStyle name="Input 3 3 5 3 2" xfId="26853" xr:uid="{00000000-0005-0000-0000-0000E3390000}"/>
    <cellStyle name="Input 3 3 5 3 3" xfId="37698" xr:uid="{00000000-0005-0000-0000-0000E4390000}"/>
    <cellStyle name="Input 3 3 5 3 4" xfId="16877" xr:uid="{00000000-0005-0000-0000-0000E5390000}"/>
    <cellStyle name="Input 3 3 5 4" xfId="10540" xr:uid="{00000000-0005-0000-0000-0000E6390000}"/>
    <cellStyle name="Input 3 3 5 4 2" xfId="29512" xr:uid="{00000000-0005-0000-0000-0000E7390000}"/>
    <cellStyle name="Input 3 3 5 4 3" xfId="40357" xr:uid="{00000000-0005-0000-0000-0000E8390000}"/>
    <cellStyle name="Input 3 3 5 4 4" xfId="18781" xr:uid="{00000000-0005-0000-0000-0000E9390000}"/>
    <cellStyle name="Input 3 3 5 5" xfId="21336" xr:uid="{00000000-0005-0000-0000-0000EA390000}"/>
    <cellStyle name="Input 3 3 5 6" xfId="32181" xr:uid="{00000000-0005-0000-0000-0000EB390000}"/>
    <cellStyle name="Input 3 3 5 7" xfId="12927" xr:uid="{00000000-0005-0000-0000-0000EC390000}"/>
    <cellStyle name="Input 3 3 6" xfId="2746" xr:uid="{00000000-0005-0000-0000-0000ED390000}"/>
    <cellStyle name="Input 3 3 6 2" xfId="5598" xr:uid="{00000000-0005-0000-0000-0000EE390000}"/>
    <cellStyle name="Input 3 3 6 2 2" xfId="24570" xr:uid="{00000000-0005-0000-0000-0000EF390000}"/>
    <cellStyle name="Input 3 3 6 2 3" xfId="35415" xr:uid="{00000000-0005-0000-0000-0000F0390000}"/>
    <cellStyle name="Input 3 3 6 2 4" xfId="15242" xr:uid="{00000000-0005-0000-0000-0000F1390000}"/>
    <cellStyle name="Input 3 3 6 3" xfId="8269" xr:uid="{00000000-0005-0000-0000-0000F2390000}"/>
    <cellStyle name="Input 3 3 6 3 2" xfId="27241" xr:uid="{00000000-0005-0000-0000-0000F3390000}"/>
    <cellStyle name="Input 3 3 6 3 3" xfId="38086" xr:uid="{00000000-0005-0000-0000-0000F4390000}"/>
    <cellStyle name="Input 3 3 6 3 4" xfId="17155" xr:uid="{00000000-0005-0000-0000-0000F5390000}"/>
    <cellStyle name="Input 3 3 6 4" xfId="10928" xr:uid="{00000000-0005-0000-0000-0000F6390000}"/>
    <cellStyle name="Input 3 3 6 4 2" xfId="29900" xr:uid="{00000000-0005-0000-0000-0000F7390000}"/>
    <cellStyle name="Input 3 3 6 4 3" xfId="40745" xr:uid="{00000000-0005-0000-0000-0000F8390000}"/>
    <cellStyle name="Input 3 3 6 4 4" xfId="19059" xr:uid="{00000000-0005-0000-0000-0000F9390000}"/>
    <cellStyle name="Input 3 3 6 5" xfId="21724" xr:uid="{00000000-0005-0000-0000-0000FA390000}"/>
    <cellStyle name="Input 3 3 6 6" xfId="32569" xr:uid="{00000000-0005-0000-0000-0000FB390000}"/>
    <cellStyle name="Input 3 3 6 7" xfId="13205" xr:uid="{00000000-0005-0000-0000-0000FC390000}"/>
    <cellStyle name="Input 3 3 7" xfId="3437" xr:uid="{00000000-0005-0000-0000-0000FD390000}"/>
    <cellStyle name="Input 3 3 7 2" xfId="22409" xr:uid="{00000000-0005-0000-0000-0000FE390000}"/>
    <cellStyle name="Input 3 3 7 3" xfId="33254" xr:uid="{00000000-0005-0000-0000-0000FF390000}"/>
    <cellStyle name="Input 3 3 7 4" xfId="13687" xr:uid="{00000000-0005-0000-0000-0000003A0000}"/>
    <cellStyle name="Input 3 3 8" xfId="6113" xr:uid="{00000000-0005-0000-0000-0000013A0000}"/>
    <cellStyle name="Input 3 3 8 2" xfId="25085" xr:uid="{00000000-0005-0000-0000-0000023A0000}"/>
    <cellStyle name="Input 3 3 8 3" xfId="35930" xr:uid="{00000000-0005-0000-0000-0000033A0000}"/>
    <cellStyle name="Input 3 3 8 4" xfId="15604" xr:uid="{00000000-0005-0000-0000-0000043A0000}"/>
    <cellStyle name="Input 3 3 9" xfId="8772" xr:uid="{00000000-0005-0000-0000-0000053A0000}"/>
    <cellStyle name="Input 3 3 9 2" xfId="27744" xr:uid="{00000000-0005-0000-0000-0000063A0000}"/>
    <cellStyle name="Input 3 3 9 3" xfId="38589" xr:uid="{00000000-0005-0000-0000-0000073A0000}"/>
    <cellStyle name="Input 3 3 9 4" xfId="17508" xr:uid="{00000000-0005-0000-0000-0000083A0000}"/>
    <cellStyle name="Input 3 4" xfId="11456" xr:uid="{00000000-0005-0000-0000-0000093A0000}"/>
    <cellStyle name="Input 3 4 2" xfId="41377" xr:uid="{00000000-0005-0000-0000-00000A3A0000}"/>
    <cellStyle name="Input 3 5" xfId="41378" xr:uid="{00000000-0005-0000-0000-00000B3A0000}"/>
    <cellStyle name="Input 4" xfId="106" xr:uid="{00000000-0005-0000-0000-00000C3A0000}"/>
    <cellStyle name="Input 4 2" xfId="375" xr:uid="{00000000-0005-0000-0000-00000D3A0000}"/>
    <cellStyle name="Input 4 2 10" xfId="931" xr:uid="{00000000-0005-0000-0000-00000E3A0000}"/>
    <cellStyle name="Input 4 2 10 2" xfId="3785" xr:uid="{00000000-0005-0000-0000-00000F3A0000}"/>
    <cellStyle name="Input 4 2 10 2 2" xfId="22757" xr:uid="{00000000-0005-0000-0000-0000103A0000}"/>
    <cellStyle name="Input 4 2 10 2 3" xfId="33602" xr:uid="{00000000-0005-0000-0000-0000113A0000}"/>
    <cellStyle name="Input 4 2 10 2 4" xfId="13931" xr:uid="{00000000-0005-0000-0000-0000123A0000}"/>
    <cellStyle name="Input 4 2 10 3" xfId="6460" xr:uid="{00000000-0005-0000-0000-0000133A0000}"/>
    <cellStyle name="Input 4 2 10 3 2" xfId="25432" xr:uid="{00000000-0005-0000-0000-0000143A0000}"/>
    <cellStyle name="Input 4 2 10 3 3" xfId="36277" xr:uid="{00000000-0005-0000-0000-0000153A0000}"/>
    <cellStyle name="Input 4 2 10 3 4" xfId="15847" xr:uid="{00000000-0005-0000-0000-0000163A0000}"/>
    <cellStyle name="Input 4 2 10 4" xfId="9119" xr:uid="{00000000-0005-0000-0000-0000173A0000}"/>
    <cellStyle name="Input 4 2 10 4 2" xfId="28091" xr:uid="{00000000-0005-0000-0000-0000183A0000}"/>
    <cellStyle name="Input 4 2 10 4 3" xfId="38936" xr:uid="{00000000-0005-0000-0000-0000193A0000}"/>
    <cellStyle name="Input 4 2 10 4 4" xfId="17751" xr:uid="{00000000-0005-0000-0000-00001A3A0000}"/>
    <cellStyle name="Input 4 2 10 5" xfId="19915" xr:uid="{00000000-0005-0000-0000-00001B3A0000}"/>
    <cellStyle name="Input 4 2 10 6" xfId="30760" xr:uid="{00000000-0005-0000-0000-00001C3A0000}"/>
    <cellStyle name="Input 4 2 10 7" xfId="11897" xr:uid="{00000000-0005-0000-0000-00001D3A0000}"/>
    <cellStyle name="Input 4 2 11" xfId="1530" xr:uid="{00000000-0005-0000-0000-00001E3A0000}"/>
    <cellStyle name="Input 4 2 11 2" xfId="4383" xr:uid="{00000000-0005-0000-0000-00001F3A0000}"/>
    <cellStyle name="Input 4 2 11 2 2" xfId="23355" xr:uid="{00000000-0005-0000-0000-0000203A0000}"/>
    <cellStyle name="Input 4 2 11 2 3" xfId="34200" xr:uid="{00000000-0005-0000-0000-0000213A0000}"/>
    <cellStyle name="Input 4 2 11 2 4" xfId="14365" xr:uid="{00000000-0005-0000-0000-0000223A0000}"/>
    <cellStyle name="Input 4 2 11 3" xfId="7056" xr:uid="{00000000-0005-0000-0000-0000233A0000}"/>
    <cellStyle name="Input 4 2 11 3 2" xfId="26028" xr:uid="{00000000-0005-0000-0000-0000243A0000}"/>
    <cellStyle name="Input 4 2 11 3 3" xfId="36873" xr:uid="{00000000-0005-0000-0000-0000253A0000}"/>
    <cellStyle name="Input 4 2 11 3 4" xfId="16280" xr:uid="{00000000-0005-0000-0000-0000263A0000}"/>
    <cellStyle name="Input 4 2 11 4" xfId="9715" xr:uid="{00000000-0005-0000-0000-0000273A0000}"/>
    <cellStyle name="Input 4 2 11 4 2" xfId="28687" xr:uid="{00000000-0005-0000-0000-0000283A0000}"/>
    <cellStyle name="Input 4 2 11 4 3" xfId="39532" xr:uid="{00000000-0005-0000-0000-0000293A0000}"/>
    <cellStyle name="Input 4 2 11 4 4" xfId="18184" xr:uid="{00000000-0005-0000-0000-00002A3A0000}"/>
    <cellStyle name="Input 4 2 11 5" xfId="20511" xr:uid="{00000000-0005-0000-0000-00002B3A0000}"/>
    <cellStyle name="Input 4 2 11 6" xfId="31356" xr:uid="{00000000-0005-0000-0000-00002C3A0000}"/>
    <cellStyle name="Input 4 2 11 7" xfId="12330" xr:uid="{00000000-0005-0000-0000-00002D3A0000}"/>
    <cellStyle name="Input 4 2 12" xfId="3111" xr:uid="{00000000-0005-0000-0000-00002E3A0000}"/>
    <cellStyle name="Input 4 2 12 2" xfId="5962" xr:uid="{00000000-0005-0000-0000-00002F3A0000}"/>
    <cellStyle name="Input 4 2 12 2 2" xfId="24934" xr:uid="{00000000-0005-0000-0000-0000303A0000}"/>
    <cellStyle name="Input 4 2 12 2 3" xfId="35779" xr:uid="{00000000-0005-0000-0000-0000313A0000}"/>
    <cellStyle name="Input 4 2 12 2 4" xfId="15497" xr:uid="{00000000-0005-0000-0000-0000323A0000}"/>
    <cellStyle name="Input 4 2 12 3" xfId="8633" xr:uid="{00000000-0005-0000-0000-0000333A0000}"/>
    <cellStyle name="Input 4 2 12 3 2" xfId="27605" xr:uid="{00000000-0005-0000-0000-0000343A0000}"/>
    <cellStyle name="Input 4 2 12 3 3" xfId="38450" xr:uid="{00000000-0005-0000-0000-0000353A0000}"/>
    <cellStyle name="Input 4 2 12 3 4" xfId="17410" xr:uid="{00000000-0005-0000-0000-0000363A0000}"/>
    <cellStyle name="Input 4 2 12 4" xfId="11292" xr:uid="{00000000-0005-0000-0000-0000373A0000}"/>
    <cellStyle name="Input 4 2 12 4 2" xfId="30264" xr:uid="{00000000-0005-0000-0000-0000383A0000}"/>
    <cellStyle name="Input 4 2 12 4 3" xfId="41109" xr:uid="{00000000-0005-0000-0000-0000393A0000}"/>
    <cellStyle name="Input 4 2 12 4 4" xfId="19314" xr:uid="{00000000-0005-0000-0000-00003A3A0000}"/>
    <cellStyle name="Input 4 2 12 5" xfId="22088" xr:uid="{00000000-0005-0000-0000-00003B3A0000}"/>
    <cellStyle name="Input 4 2 12 6" xfId="32933" xr:uid="{00000000-0005-0000-0000-00003C3A0000}"/>
    <cellStyle name="Input 4 2 12 7" xfId="13460" xr:uid="{00000000-0005-0000-0000-00003D3A0000}"/>
    <cellStyle name="Input 4 2 13" xfId="3168" xr:uid="{00000000-0005-0000-0000-00003E3A0000}"/>
    <cellStyle name="Input 4 2 13 2" xfId="6019" xr:uid="{00000000-0005-0000-0000-00003F3A0000}"/>
    <cellStyle name="Input 4 2 13 2 2" xfId="24991" xr:uid="{00000000-0005-0000-0000-0000403A0000}"/>
    <cellStyle name="Input 4 2 13 2 3" xfId="35836" xr:uid="{00000000-0005-0000-0000-0000413A0000}"/>
    <cellStyle name="Input 4 2 13 2 4" xfId="15534" xr:uid="{00000000-0005-0000-0000-0000423A0000}"/>
    <cellStyle name="Input 4 2 13 3" xfId="8690" xr:uid="{00000000-0005-0000-0000-0000433A0000}"/>
    <cellStyle name="Input 4 2 13 3 2" xfId="27662" xr:uid="{00000000-0005-0000-0000-0000443A0000}"/>
    <cellStyle name="Input 4 2 13 3 3" xfId="38507" xr:uid="{00000000-0005-0000-0000-0000453A0000}"/>
    <cellStyle name="Input 4 2 13 3 4" xfId="17447" xr:uid="{00000000-0005-0000-0000-0000463A0000}"/>
    <cellStyle name="Input 4 2 13 4" xfId="11349" xr:uid="{00000000-0005-0000-0000-0000473A0000}"/>
    <cellStyle name="Input 4 2 13 4 2" xfId="30321" xr:uid="{00000000-0005-0000-0000-0000483A0000}"/>
    <cellStyle name="Input 4 2 13 4 3" xfId="41166" xr:uid="{00000000-0005-0000-0000-0000493A0000}"/>
    <cellStyle name="Input 4 2 13 4 4" xfId="19351" xr:uid="{00000000-0005-0000-0000-00004A3A0000}"/>
    <cellStyle name="Input 4 2 13 5" xfId="22145" xr:uid="{00000000-0005-0000-0000-00004B3A0000}"/>
    <cellStyle name="Input 4 2 13 6" xfId="32990" xr:uid="{00000000-0005-0000-0000-00004C3A0000}"/>
    <cellStyle name="Input 4 2 13 7" xfId="13497" xr:uid="{00000000-0005-0000-0000-00004D3A0000}"/>
    <cellStyle name="Input 4 2 14" xfId="3334" xr:uid="{00000000-0005-0000-0000-00004E3A0000}"/>
    <cellStyle name="Input 4 2 14 2" xfId="22308" xr:uid="{00000000-0005-0000-0000-00004F3A0000}"/>
    <cellStyle name="Input 4 2 14 3" xfId="33153" xr:uid="{00000000-0005-0000-0000-0000503A0000}"/>
    <cellStyle name="Input 4 2 14 4" xfId="13614" xr:uid="{00000000-0005-0000-0000-0000513A0000}"/>
    <cellStyle name="Input 4 2 15" xfId="3395" xr:uid="{00000000-0005-0000-0000-0000523A0000}"/>
    <cellStyle name="Input 4 2 15 2" xfId="22367" xr:uid="{00000000-0005-0000-0000-0000533A0000}"/>
    <cellStyle name="Input 4 2 15 3" xfId="33212" xr:uid="{00000000-0005-0000-0000-0000543A0000}"/>
    <cellStyle name="Input 4 2 15 4" xfId="13648" xr:uid="{00000000-0005-0000-0000-0000553A0000}"/>
    <cellStyle name="Input 4 2 16" xfId="3255" xr:uid="{00000000-0005-0000-0000-0000563A0000}"/>
    <cellStyle name="Input 4 2 16 2" xfId="22230" xr:uid="{00000000-0005-0000-0000-0000573A0000}"/>
    <cellStyle name="Input 4 2 16 3" xfId="33075" xr:uid="{00000000-0005-0000-0000-0000583A0000}"/>
    <cellStyle name="Input 4 2 16 4" xfId="13556" xr:uid="{00000000-0005-0000-0000-0000593A0000}"/>
    <cellStyle name="Input 4 2 17" xfId="19465" xr:uid="{00000000-0005-0000-0000-00005A3A0000}"/>
    <cellStyle name="Input 4 2 18" xfId="19400" xr:uid="{00000000-0005-0000-0000-00005B3A0000}"/>
    <cellStyle name="Input 4 2 19" xfId="11524" xr:uid="{00000000-0005-0000-0000-00005C3A0000}"/>
    <cellStyle name="Input 4 2 2" xfId="676" xr:uid="{00000000-0005-0000-0000-00005D3A0000}"/>
    <cellStyle name="Input 4 2 2 10" xfId="19661" xr:uid="{00000000-0005-0000-0000-00005E3A0000}"/>
    <cellStyle name="Input 4 2 2 11" xfId="30506" xr:uid="{00000000-0005-0000-0000-00005F3A0000}"/>
    <cellStyle name="Input 4 2 2 12" xfId="11728" xr:uid="{00000000-0005-0000-0000-0000603A0000}"/>
    <cellStyle name="Input 4 2 2 2" xfId="1263" xr:uid="{00000000-0005-0000-0000-0000613A0000}"/>
    <cellStyle name="Input 4 2 2 2 2" xfId="4116" xr:uid="{00000000-0005-0000-0000-0000623A0000}"/>
    <cellStyle name="Input 4 2 2 2 2 2" xfId="23088" xr:uid="{00000000-0005-0000-0000-0000633A0000}"/>
    <cellStyle name="Input 4 2 2 2 2 3" xfId="33933" xr:uid="{00000000-0005-0000-0000-0000643A0000}"/>
    <cellStyle name="Input 4 2 2 2 2 4" xfId="14189" xr:uid="{00000000-0005-0000-0000-0000653A0000}"/>
    <cellStyle name="Input 4 2 2 2 3" xfId="6789" xr:uid="{00000000-0005-0000-0000-0000663A0000}"/>
    <cellStyle name="Input 4 2 2 2 3 2" xfId="25761" xr:uid="{00000000-0005-0000-0000-0000673A0000}"/>
    <cellStyle name="Input 4 2 2 2 3 3" xfId="36606" xr:uid="{00000000-0005-0000-0000-0000683A0000}"/>
    <cellStyle name="Input 4 2 2 2 3 4" xfId="16104" xr:uid="{00000000-0005-0000-0000-0000693A0000}"/>
    <cellStyle name="Input 4 2 2 2 4" xfId="9448" xr:uid="{00000000-0005-0000-0000-00006A3A0000}"/>
    <cellStyle name="Input 4 2 2 2 4 2" xfId="28420" xr:uid="{00000000-0005-0000-0000-00006B3A0000}"/>
    <cellStyle name="Input 4 2 2 2 4 3" xfId="39265" xr:uid="{00000000-0005-0000-0000-00006C3A0000}"/>
    <cellStyle name="Input 4 2 2 2 4 4" xfId="18008" xr:uid="{00000000-0005-0000-0000-00006D3A0000}"/>
    <cellStyle name="Input 4 2 2 2 5" xfId="20244" xr:uid="{00000000-0005-0000-0000-00006E3A0000}"/>
    <cellStyle name="Input 4 2 2 2 6" xfId="31089" xr:uid="{00000000-0005-0000-0000-00006F3A0000}"/>
    <cellStyle name="Input 4 2 2 2 7" xfId="12154" xr:uid="{00000000-0005-0000-0000-0000703A0000}"/>
    <cellStyle name="Input 4 2 2 3" xfId="1662" xr:uid="{00000000-0005-0000-0000-0000713A0000}"/>
    <cellStyle name="Input 4 2 2 3 2" xfId="4515" xr:uid="{00000000-0005-0000-0000-0000723A0000}"/>
    <cellStyle name="Input 4 2 2 3 2 2" xfId="23487" xr:uid="{00000000-0005-0000-0000-0000733A0000}"/>
    <cellStyle name="Input 4 2 2 3 2 3" xfId="34332" xr:uid="{00000000-0005-0000-0000-0000743A0000}"/>
    <cellStyle name="Input 4 2 2 3 2 4" xfId="14476" xr:uid="{00000000-0005-0000-0000-0000753A0000}"/>
    <cellStyle name="Input 4 2 2 3 3" xfId="7187" xr:uid="{00000000-0005-0000-0000-0000763A0000}"/>
    <cellStyle name="Input 4 2 2 3 3 2" xfId="26159" xr:uid="{00000000-0005-0000-0000-0000773A0000}"/>
    <cellStyle name="Input 4 2 2 3 3 3" xfId="37004" xr:uid="{00000000-0005-0000-0000-0000783A0000}"/>
    <cellStyle name="Input 4 2 2 3 3 4" xfId="16390" xr:uid="{00000000-0005-0000-0000-0000793A0000}"/>
    <cellStyle name="Input 4 2 2 3 4" xfId="9846" xr:uid="{00000000-0005-0000-0000-00007A3A0000}"/>
    <cellStyle name="Input 4 2 2 3 4 2" xfId="28818" xr:uid="{00000000-0005-0000-0000-00007B3A0000}"/>
    <cellStyle name="Input 4 2 2 3 4 3" xfId="39663" xr:uid="{00000000-0005-0000-0000-00007C3A0000}"/>
    <cellStyle name="Input 4 2 2 3 4 4" xfId="18294" xr:uid="{00000000-0005-0000-0000-00007D3A0000}"/>
    <cellStyle name="Input 4 2 2 3 5" xfId="20642" xr:uid="{00000000-0005-0000-0000-00007E3A0000}"/>
    <cellStyle name="Input 4 2 2 3 6" xfId="31487" xr:uid="{00000000-0005-0000-0000-00007F3A0000}"/>
    <cellStyle name="Input 4 2 2 3 7" xfId="12440" xr:uid="{00000000-0005-0000-0000-0000803A0000}"/>
    <cellStyle name="Input 4 2 2 4" xfId="2066" xr:uid="{00000000-0005-0000-0000-0000813A0000}"/>
    <cellStyle name="Input 4 2 2 4 2" xfId="4919" xr:uid="{00000000-0005-0000-0000-0000823A0000}"/>
    <cellStyle name="Input 4 2 2 4 2 2" xfId="23891" xr:uid="{00000000-0005-0000-0000-0000833A0000}"/>
    <cellStyle name="Input 4 2 2 4 2 3" xfId="34736" xr:uid="{00000000-0005-0000-0000-0000843A0000}"/>
    <cellStyle name="Input 4 2 2 4 2 4" xfId="14763" xr:uid="{00000000-0005-0000-0000-0000853A0000}"/>
    <cellStyle name="Input 4 2 2 4 3" xfId="7590" xr:uid="{00000000-0005-0000-0000-0000863A0000}"/>
    <cellStyle name="Input 4 2 2 4 3 2" xfId="26562" xr:uid="{00000000-0005-0000-0000-0000873A0000}"/>
    <cellStyle name="Input 4 2 2 4 3 3" xfId="37407" xr:uid="{00000000-0005-0000-0000-0000883A0000}"/>
    <cellStyle name="Input 4 2 2 4 3 4" xfId="16676" xr:uid="{00000000-0005-0000-0000-0000893A0000}"/>
    <cellStyle name="Input 4 2 2 4 4" xfId="10249" xr:uid="{00000000-0005-0000-0000-00008A3A0000}"/>
    <cellStyle name="Input 4 2 2 4 4 2" xfId="29221" xr:uid="{00000000-0005-0000-0000-00008B3A0000}"/>
    <cellStyle name="Input 4 2 2 4 4 3" xfId="40066" xr:uid="{00000000-0005-0000-0000-00008C3A0000}"/>
    <cellStyle name="Input 4 2 2 4 4 4" xfId="18580" xr:uid="{00000000-0005-0000-0000-00008D3A0000}"/>
    <cellStyle name="Input 4 2 2 4 5" xfId="21045" xr:uid="{00000000-0005-0000-0000-00008E3A0000}"/>
    <cellStyle name="Input 4 2 2 4 6" xfId="31890" xr:uid="{00000000-0005-0000-0000-00008F3A0000}"/>
    <cellStyle name="Input 4 2 2 4 7" xfId="12726" xr:uid="{00000000-0005-0000-0000-0000903A0000}"/>
    <cellStyle name="Input 4 2 2 5" xfId="2456" xr:uid="{00000000-0005-0000-0000-0000913A0000}"/>
    <cellStyle name="Input 4 2 2 5 2" xfId="5308" xr:uid="{00000000-0005-0000-0000-0000923A0000}"/>
    <cellStyle name="Input 4 2 2 5 2 2" xfId="24280" xr:uid="{00000000-0005-0000-0000-0000933A0000}"/>
    <cellStyle name="Input 4 2 2 5 2 3" xfId="35125" xr:uid="{00000000-0005-0000-0000-0000943A0000}"/>
    <cellStyle name="Input 4 2 2 5 2 4" xfId="15042" xr:uid="{00000000-0005-0000-0000-0000953A0000}"/>
    <cellStyle name="Input 4 2 2 5 3" xfId="7979" xr:uid="{00000000-0005-0000-0000-0000963A0000}"/>
    <cellStyle name="Input 4 2 2 5 3 2" xfId="26951" xr:uid="{00000000-0005-0000-0000-0000973A0000}"/>
    <cellStyle name="Input 4 2 2 5 3 3" xfId="37796" xr:uid="{00000000-0005-0000-0000-0000983A0000}"/>
    <cellStyle name="Input 4 2 2 5 3 4" xfId="16955" xr:uid="{00000000-0005-0000-0000-0000993A0000}"/>
    <cellStyle name="Input 4 2 2 5 4" xfId="10638" xr:uid="{00000000-0005-0000-0000-00009A3A0000}"/>
    <cellStyle name="Input 4 2 2 5 4 2" xfId="29610" xr:uid="{00000000-0005-0000-0000-00009B3A0000}"/>
    <cellStyle name="Input 4 2 2 5 4 3" xfId="40455" xr:uid="{00000000-0005-0000-0000-00009C3A0000}"/>
    <cellStyle name="Input 4 2 2 5 4 4" xfId="18859" xr:uid="{00000000-0005-0000-0000-00009D3A0000}"/>
    <cellStyle name="Input 4 2 2 5 5" xfId="21434" xr:uid="{00000000-0005-0000-0000-00009E3A0000}"/>
    <cellStyle name="Input 4 2 2 5 6" xfId="32279" xr:uid="{00000000-0005-0000-0000-00009F3A0000}"/>
    <cellStyle name="Input 4 2 2 5 7" xfId="13005" xr:uid="{00000000-0005-0000-0000-0000A03A0000}"/>
    <cellStyle name="Input 4 2 2 6" xfId="2842" xr:uid="{00000000-0005-0000-0000-0000A13A0000}"/>
    <cellStyle name="Input 4 2 2 6 2" xfId="5693" xr:uid="{00000000-0005-0000-0000-0000A23A0000}"/>
    <cellStyle name="Input 4 2 2 6 2 2" xfId="24665" xr:uid="{00000000-0005-0000-0000-0000A33A0000}"/>
    <cellStyle name="Input 4 2 2 6 2 3" xfId="35510" xr:uid="{00000000-0005-0000-0000-0000A43A0000}"/>
    <cellStyle name="Input 4 2 2 6 2 4" xfId="15318" xr:uid="{00000000-0005-0000-0000-0000A53A0000}"/>
    <cellStyle name="Input 4 2 2 6 3" xfId="8364" xr:uid="{00000000-0005-0000-0000-0000A63A0000}"/>
    <cellStyle name="Input 4 2 2 6 3 2" xfId="27336" xr:uid="{00000000-0005-0000-0000-0000A73A0000}"/>
    <cellStyle name="Input 4 2 2 6 3 3" xfId="38181" xr:uid="{00000000-0005-0000-0000-0000A83A0000}"/>
    <cellStyle name="Input 4 2 2 6 3 4" xfId="17231" xr:uid="{00000000-0005-0000-0000-0000A93A0000}"/>
    <cellStyle name="Input 4 2 2 6 4" xfId="11023" xr:uid="{00000000-0005-0000-0000-0000AA3A0000}"/>
    <cellStyle name="Input 4 2 2 6 4 2" xfId="29995" xr:uid="{00000000-0005-0000-0000-0000AB3A0000}"/>
    <cellStyle name="Input 4 2 2 6 4 3" xfId="40840" xr:uid="{00000000-0005-0000-0000-0000AC3A0000}"/>
    <cellStyle name="Input 4 2 2 6 4 4" xfId="19135" xr:uid="{00000000-0005-0000-0000-0000AD3A0000}"/>
    <cellStyle name="Input 4 2 2 6 5" xfId="21819" xr:uid="{00000000-0005-0000-0000-0000AE3A0000}"/>
    <cellStyle name="Input 4 2 2 6 6" xfId="32664" xr:uid="{00000000-0005-0000-0000-0000AF3A0000}"/>
    <cellStyle name="Input 4 2 2 6 7" xfId="13281" xr:uid="{00000000-0005-0000-0000-0000B03A0000}"/>
    <cellStyle name="Input 4 2 2 7" xfId="3531" xr:uid="{00000000-0005-0000-0000-0000B13A0000}"/>
    <cellStyle name="Input 4 2 2 7 2" xfId="22503" xr:uid="{00000000-0005-0000-0000-0000B23A0000}"/>
    <cellStyle name="Input 4 2 2 7 3" xfId="33348" xr:uid="{00000000-0005-0000-0000-0000B33A0000}"/>
    <cellStyle name="Input 4 2 2 7 4" xfId="13762" xr:uid="{00000000-0005-0000-0000-0000B43A0000}"/>
    <cellStyle name="Input 4 2 2 8" xfId="6206" xr:uid="{00000000-0005-0000-0000-0000B53A0000}"/>
    <cellStyle name="Input 4 2 2 8 2" xfId="25178" xr:uid="{00000000-0005-0000-0000-0000B63A0000}"/>
    <cellStyle name="Input 4 2 2 8 3" xfId="36023" xr:uid="{00000000-0005-0000-0000-0000B73A0000}"/>
    <cellStyle name="Input 4 2 2 8 4" xfId="15678" xr:uid="{00000000-0005-0000-0000-0000B83A0000}"/>
    <cellStyle name="Input 4 2 2 9" xfId="8865" xr:uid="{00000000-0005-0000-0000-0000B93A0000}"/>
    <cellStyle name="Input 4 2 2 9 2" xfId="27837" xr:uid="{00000000-0005-0000-0000-0000BA3A0000}"/>
    <cellStyle name="Input 4 2 2 9 3" xfId="38682" xr:uid="{00000000-0005-0000-0000-0000BB3A0000}"/>
    <cellStyle name="Input 4 2 2 9 4" xfId="17582" xr:uid="{00000000-0005-0000-0000-0000BC3A0000}"/>
    <cellStyle name="Input 4 2 3" xfId="736" xr:uid="{00000000-0005-0000-0000-0000BD3A0000}"/>
    <cellStyle name="Input 4 2 3 10" xfId="19721" xr:uid="{00000000-0005-0000-0000-0000BE3A0000}"/>
    <cellStyle name="Input 4 2 3 11" xfId="30566" xr:uid="{00000000-0005-0000-0000-0000BF3A0000}"/>
    <cellStyle name="Input 4 2 3 12" xfId="11768" xr:uid="{00000000-0005-0000-0000-0000C03A0000}"/>
    <cellStyle name="Input 4 2 3 2" xfId="1323" xr:uid="{00000000-0005-0000-0000-0000C13A0000}"/>
    <cellStyle name="Input 4 2 3 2 2" xfId="4176" xr:uid="{00000000-0005-0000-0000-0000C23A0000}"/>
    <cellStyle name="Input 4 2 3 2 2 2" xfId="23148" xr:uid="{00000000-0005-0000-0000-0000C33A0000}"/>
    <cellStyle name="Input 4 2 3 2 2 3" xfId="33993" xr:uid="{00000000-0005-0000-0000-0000C43A0000}"/>
    <cellStyle name="Input 4 2 3 2 2 4" xfId="14229" xr:uid="{00000000-0005-0000-0000-0000C53A0000}"/>
    <cellStyle name="Input 4 2 3 2 3" xfId="6849" xr:uid="{00000000-0005-0000-0000-0000C63A0000}"/>
    <cellStyle name="Input 4 2 3 2 3 2" xfId="25821" xr:uid="{00000000-0005-0000-0000-0000C73A0000}"/>
    <cellStyle name="Input 4 2 3 2 3 3" xfId="36666" xr:uid="{00000000-0005-0000-0000-0000C83A0000}"/>
    <cellStyle name="Input 4 2 3 2 3 4" xfId="16144" xr:uid="{00000000-0005-0000-0000-0000C93A0000}"/>
    <cellStyle name="Input 4 2 3 2 4" xfId="9508" xr:uid="{00000000-0005-0000-0000-0000CA3A0000}"/>
    <cellStyle name="Input 4 2 3 2 4 2" xfId="28480" xr:uid="{00000000-0005-0000-0000-0000CB3A0000}"/>
    <cellStyle name="Input 4 2 3 2 4 3" xfId="39325" xr:uid="{00000000-0005-0000-0000-0000CC3A0000}"/>
    <cellStyle name="Input 4 2 3 2 4 4" xfId="18048" xr:uid="{00000000-0005-0000-0000-0000CD3A0000}"/>
    <cellStyle name="Input 4 2 3 2 5" xfId="20304" xr:uid="{00000000-0005-0000-0000-0000CE3A0000}"/>
    <cellStyle name="Input 4 2 3 2 6" xfId="31149" xr:uid="{00000000-0005-0000-0000-0000CF3A0000}"/>
    <cellStyle name="Input 4 2 3 2 7" xfId="12194" xr:uid="{00000000-0005-0000-0000-0000D03A0000}"/>
    <cellStyle name="Input 4 2 3 3" xfId="1722" xr:uid="{00000000-0005-0000-0000-0000D13A0000}"/>
    <cellStyle name="Input 4 2 3 3 2" xfId="4575" xr:uid="{00000000-0005-0000-0000-0000D23A0000}"/>
    <cellStyle name="Input 4 2 3 3 2 2" xfId="23547" xr:uid="{00000000-0005-0000-0000-0000D33A0000}"/>
    <cellStyle name="Input 4 2 3 3 2 3" xfId="34392" xr:uid="{00000000-0005-0000-0000-0000D43A0000}"/>
    <cellStyle name="Input 4 2 3 3 2 4" xfId="14516" xr:uid="{00000000-0005-0000-0000-0000D53A0000}"/>
    <cellStyle name="Input 4 2 3 3 3" xfId="7247" xr:uid="{00000000-0005-0000-0000-0000D63A0000}"/>
    <cellStyle name="Input 4 2 3 3 3 2" xfId="26219" xr:uid="{00000000-0005-0000-0000-0000D73A0000}"/>
    <cellStyle name="Input 4 2 3 3 3 3" xfId="37064" xr:uid="{00000000-0005-0000-0000-0000D83A0000}"/>
    <cellStyle name="Input 4 2 3 3 3 4" xfId="16430" xr:uid="{00000000-0005-0000-0000-0000D93A0000}"/>
    <cellStyle name="Input 4 2 3 3 4" xfId="9906" xr:uid="{00000000-0005-0000-0000-0000DA3A0000}"/>
    <cellStyle name="Input 4 2 3 3 4 2" xfId="28878" xr:uid="{00000000-0005-0000-0000-0000DB3A0000}"/>
    <cellStyle name="Input 4 2 3 3 4 3" xfId="39723" xr:uid="{00000000-0005-0000-0000-0000DC3A0000}"/>
    <cellStyle name="Input 4 2 3 3 4 4" xfId="18334" xr:uid="{00000000-0005-0000-0000-0000DD3A0000}"/>
    <cellStyle name="Input 4 2 3 3 5" xfId="20702" xr:uid="{00000000-0005-0000-0000-0000DE3A0000}"/>
    <cellStyle name="Input 4 2 3 3 6" xfId="31547" xr:uid="{00000000-0005-0000-0000-0000DF3A0000}"/>
    <cellStyle name="Input 4 2 3 3 7" xfId="12480" xr:uid="{00000000-0005-0000-0000-0000E03A0000}"/>
    <cellStyle name="Input 4 2 3 4" xfId="2126" xr:uid="{00000000-0005-0000-0000-0000E13A0000}"/>
    <cellStyle name="Input 4 2 3 4 2" xfId="4979" xr:uid="{00000000-0005-0000-0000-0000E23A0000}"/>
    <cellStyle name="Input 4 2 3 4 2 2" xfId="23951" xr:uid="{00000000-0005-0000-0000-0000E33A0000}"/>
    <cellStyle name="Input 4 2 3 4 2 3" xfId="34796" xr:uid="{00000000-0005-0000-0000-0000E43A0000}"/>
    <cellStyle name="Input 4 2 3 4 2 4" xfId="14803" xr:uid="{00000000-0005-0000-0000-0000E53A0000}"/>
    <cellStyle name="Input 4 2 3 4 3" xfId="7650" xr:uid="{00000000-0005-0000-0000-0000E63A0000}"/>
    <cellStyle name="Input 4 2 3 4 3 2" xfId="26622" xr:uid="{00000000-0005-0000-0000-0000E73A0000}"/>
    <cellStyle name="Input 4 2 3 4 3 3" xfId="37467" xr:uid="{00000000-0005-0000-0000-0000E83A0000}"/>
    <cellStyle name="Input 4 2 3 4 3 4" xfId="16716" xr:uid="{00000000-0005-0000-0000-0000E93A0000}"/>
    <cellStyle name="Input 4 2 3 4 4" xfId="10309" xr:uid="{00000000-0005-0000-0000-0000EA3A0000}"/>
    <cellStyle name="Input 4 2 3 4 4 2" xfId="29281" xr:uid="{00000000-0005-0000-0000-0000EB3A0000}"/>
    <cellStyle name="Input 4 2 3 4 4 3" xfId="40126" xr:uid="{00000000-0005-0000-0000-0000EC3A0000}"/>
    <cellStyle name="Input 4 2 3 4 4 4" xfId="18620" xr:uid="{00000000-0005-0000-0000-0000ED3A0000}"/>
    <cellStyle name="Input 4 2 3 4 5" xfId="21105" xr:uid="{00000000-0005-0000-0000-0000EE3A0000}"/>
    <cellStyle name="Input 4 2 3 4 6" xfId="31950" xr:uid="{00000000-0005-0000-0000-0000EF3A0000}"/>
    <cellStyle name="Input 4 2 3 4 7" xfId="12766" xr:uid="{00000000-0005-0000-0000-0000F03A0000}"/>
    <cellStyle name="Input 4 2 3 5" xfId="2516" xr:uid="{00000000-0005-0000-0000-0000F13A0000}"/>
    <cellStyle name="Input 4 2 3 5 2" xfId="5368" xr:uid="{00000000-0005-0000-0000-0000F23A0000}"/>
    <cellStyle name="Input 4 2 3 5 2 2" xfId="24340" xr:uid="{00000000-0005-0000-0000-0000F33A0000}"/>
    <cellStyle name="Input 4 2 3 5 2 3" xfId="35185" xr:uid="{00000000-0005-0000-0000-0000F43A0000}"/>
    <cellStyle name="Input 4 2 3 5 2 4" xfId="15082" xr:uid="{00000000-0005-0000-0000-0000F53A0000}"/>
    <cellStyle name="Input 4 2 3 5 3" xfId="8039" xr:uid="{00000000-0005-0000-0000-0000F63A0000}"/>
    <cellStyle name="Input 4 2 3 5 3 2" xfId="27011" xr:uid="{00000000-0005-0000-0000-0000F73A0000}"/>
    <cellStyle name="Input 4 2 3 5 3 3" xfId="37856" xr:uid="{00000000-0005-0000-0000-0000F83A0000}"/>
    <cellStyle name="Input 4 2 3 5 3 4" xfId="16995" xr:uid="{00000000-0005-0000-0000-0000F93A0000}"/>
    <cellStyle name="Input 4 2 3 5 4" xfId="10698" xr:uid="{00000000-0005-0000-0000-0000FA3A0000}"/>
    <cellStyle name="Input 4 2 3 5 4 2" xfId="29670" xr:uid="{00000000-0005-0000-0000-0000FB3A0000}"/>
    <cellStyle name="Input 4 2 3 5 4 3" xfId="40515" xr:uid="{00000000-0005-0000-0000-0000FC3A0000}"/>
    <cellStyle name="Input 4 2 3 5 4 4" xfId="18899" xr:uid="{00000000-0005-0000-0000-0000FD3A0000}"/>
    <cellStyle name="Input 4 2 3 5 5" xfId="21494" xr:uid="{00000000-0005-0000-0000-0000FE3A0000}"/>
    <cellStyle name="Input 4 2 3 5 6" xfId="32339" xr:uid="{00000000-0005-0000-0000-0000FF3A0000}"/>
    <cellStyle name="Input 4 2 3 5 7" xfId="13045" xr:uid="{00000000-0005-0000-0000-0000003B0000}"/>
    <cellStyle name="Input 4 2 3 6" xfId="2902" xr:uid="{00000000-0005-0000-0000-0000013B0000}"/>
    <cellStyle name="Input 4 2 3 6 2" xfId="5753" xr:uid="{00000000-0005-0000-0000-0000023B0000}"/>
    <cellStyle name="Input 4 2 3 6 2 2" xfId="24725" xr:uid="{00000000-0005-0000-0000-0000033B0000}"/>
    <cellStyle name="Input 4 2 3 6 2 3" xfId="35570" xr:uid="{00000000-0005-0000-0000-0000043B0000}"/>
    <cellStyle name="Input 4 2 3 6 2 4" xfId="15358" xr:uid="{00000000-0005-0000-0000-0000053B0000}"/>
    <cellStyle name="Input 4 2 3 6 3" xfId="8424" xr:uid="{00000000-0005-0000-0000-0000063B0000}"/>
    <cellStyle name="Input 4 2 3 6 3 2" xfId="27396" xr:uid="{00000000-0005-0000-0000-0000073B0000}"/>
    <cellStyle name="Input 4 2 3 6 3 3" xfId="38241" xr:uid="{00000000-0005-0000-0000-0000083B0000}"/>
    <cellStyle name="Input 4 2 3 6 3 4" xfId="17271" xr:uid="{00000000-0005-0000-0000-0000093B0000}"/>
    <cellStyle name="Input 4 2 3 6 4" xfId="11083" xr:uid="{00000000-0005-0000-0000-00000A3B0000}"/>
    <cellStyle name="Input 4 2 3 6 4 2" xfId="30055" xr:uid="{00000000-0005-0000-0000-00000B3B0000}"/>
    <cellStyle name="Input 4 2 3 6 4 3" xfId="40900" xr:uid="{00000000-0005-0000-0000-00000C3B0000}"/>
    <cellStyle name="Input 4 2 3 6 4 4" xfId="19175" xr:uid="{00000000-0005-0000-0000-00000D3B0000}"/>
    <cellStyle name="Input 4 2 3 6 5" xfId="21879" xr:uid="{00000000-0005-0000-0000-00000E3B0000}"/>
    <cellStyle name="Input 4 2 3 6 6" xfId="32724" xr:uid="{00000000-0005-0000-0000-00000F3B0000}"/>
    <cellStyle name="Input 4 2 3 6 7" xfId="13321" xr:uid="{00000000-0005-0000-0000-0000103B0000}"/>
    <cellStyle name="Input 4 2 3 7" xfId="3591" xr:uid="{00000000-0005-0000-0000-0000113B0000}"/>
    <cellStyle name="Input 4 2 3 7 2" xfId="22563" xr:uid="{00000000-0005-0000-0000-0000123B0000}"/>
    <cellStyle name="Input 4 2 3 7 3" xfId="33408" xr:uid="{00000000-0005-0000-0000-0000133B0000}"/>
    <cellStyle name="Input 4 2 3 7 4" xfId="13802" xr:uid="{00000000-0005-0000-0000-0000143B0000}"/>
    <cellStyle name="Input 4 2 3 8" xfId="6266" xr:uid="{00000000-0005-0000-0000-0000153B0000}"/>
    <cellStyle name="Input 4 2 3 8 2" xfId="25238" xr:uid="{00000000-0005-0000-0000-0000163B0000}"/>
    <cellStyle name="Input 4 2 3 8 3" xfId="36083" xr:uid="{00000000-0005-0000-0000-0000173B0000}"/>
    <cellStyle name="Input 4 2 3 8 4" xfId="15718" xr:uid="{00000000-0005-0000-0000-0000183B0000}"/>
    <cellStyle name="Input 4 2 3 9" xfId="8925" xr:uid="{00000000-0005-0000-0000-0000193B0000}"/>
    <cellStyle name="Input 4 2 3 9 2" xfId="27897" xr:uid="{00000000-0005-0000-0000-00001A3B0000}"/>
    <cellStyle name="Input 4 2 3 9 3" xfId="38742" xr:uid="{00000000-0005-0000-0000-00001B3B0000}"/>
    <cellStyle name="Input 4 2 3 9 4" xfId="17622" xr:uid="{00000000-0005-0000-0000-00001C3B0000}"/>
    <cellStyle name="Input 4 2 4" xfId="796" xr:uid="{00000000-0005-0000-0000-00001D3B0000}"/>
    <cellStyle name="Input 4 2 4 10" xfId="19781" xr:uid="{00000000-0005-0000-0000-00001E3B0000}"/>
    <cellStyle name="Input 4 2 4 11" xfId="30626" xr:uid="{00000000-0005-0000-0000-00001F3B0000}"/>
    <cellStyle name="Input 4 2 4 12" xfId="11808" xr:uid="{00000000-0005-0000-0000-0000203B0000}"/>
    <cellStyle name="Input 4 2 4 2" xfId="1383" xr:uid="{00000000-0005-0000-0000-0000213B0000}"/>
    <cellStyle name="Input 4 2 4 2 2" xfId="4236" xr:uid="{00000000-0005-0000-0000-0000223B0000}"/>
    <cellStyle name="Input 4 2 4 2 2 2" xfId="23208" xr:uid="{00000000-0005-0000-0000-0000233B0000}"/>
    <cellStyle name="Input 4 2 4 2 2 3" xfId="34053" xr:uid="{00000000-0005-0000-0000-0000243B0000}"/>
    <cellStyle name="Input 4 2 4 2 2 4" xfId="14269" xr:uid="{00000000-0005-0000-0000-0000253B0000}"/>
    <cellStyle name="Input 4 2 4 2 3" xfId="6909" xr:uid="{00000000-0005-0000-0000-0000263B0000}"/>
    <cellStyle name="Input 4 2 4 2 3 2" xfId="25881" xr:uid="{00000000-0005-0000-0000-0000273B0000}"/>
    <cellStyle name="Input 4 2 4 2 3 3" xfId="36726" xr:uid="{00000000-0005-0000-0000-0000283B0000}"/>
    <cellStyle name="Input 4 2 4 2 3 4" xfId="16184" xr:uid="{00000000-0005-0000-0000-0000293B0000}"/>
    <cellStyle name="Input 4 2 4 2 4" xfId="9568" xr:uid="{00000000-0005-0000-0000-00002A3B0000}"/>
    <cellStyle name="Input 4 2 4 2 4 2" xfId="28540" xr:uid="{00000000-0005-0000-0000-00002B3B0000}"/>
    <cellStyle name="Input 4 2 4 2 4 3" xfId="39385" xr:uid="{00000000-0005-0000-0000-00002C3B0000}"/>
    <cellStyle name="Input 4 2 4 2 4 4" xfId="18088" xr:uid="{00000000-0005-0000-0000-00002D3B0000}"/>
    <cellStyle name="Input 4 2 4 2 5" xfId="20364" xr:uid="{00000000-0005-0000-0000-00002E3B0000}"/>
    <cellStyle name="Input 4 2 4 2 6" xfId="31209" xr:uid="{00000000-0005-0000-0000-00002F3B0000}"/>
    <cellStyle name="Input 4 2 4 2 7" xfId="12234" xr:uid="{00000000-0005-0000-0000-0000303B0000}"/>
    <cellStyle name="Input 4 2 4 3" xfId="1782" xr:uid="{00000000-0005-0000-0000-0000313B0000}"/>
    <cellStyle name="Input 4 2 4 3 2" xfId="4635" xr:uid="{00000000-0005-0000-0000-0000323B0000}"/>
    <cellStyle name="Input 4 2 4 3 2 2" xfId="23607" xr:uid="{00000000-0005-0000-0000-0000333B0000}"/>
    <cellStyle name="Input 4 2 4 3 2 3" xfId="34452" xr:uid="{00000000-0005-0000-0000-0000343B0000}"/>
    <cellStyle name="Input 4 2 4 3 2 4" xfId="14556" xr:uid="{00000000-0005-0000-0000-0000353B0000}"/>
    <cellStyle name="Input 4 2 4 3 3" xfId="7307" xr:uid="{00000000-0005-0000-0000-0000363B0000}"/>
    <cellStyle name="Input 4 2 4 3 3 2" xfId="26279" xr:uid="{00000000-0005-0000-0000-0000373B0000}"/>
    <cellStyle name="Input 4 2 4 3 3 3" xfId="37124" xr:uid="{00000000-0005-0000-0000-0000383B0000}"/>
    <cellStyle name="Input 4 2 4 3 3 4" xfId="16470" xr:uid="{00000000-0005-0000-0000-0000393B0000}"/>
    <cellStyle name="Input 4 2 4 3 4" xfId="9966" xr:uid="{00000000-0005-0000-0000-00003A3B0000}"/>
    <cellStyle name="Input 4 2 4 3 4 2" xfId="28938" xr:uid="{00000000-0005-0000-0000-00003B3B0000}"/>
    <cellStyle name="Input 4 2 4 3 4 3" xfId="39783" xr:uid="{00000000-0005-0000-0000-00003C3B0000}"/>
    <cellStyle name="Input 4 2 4 3 4 4" xfId="18374" xr:uid="{00000000-0005-0000-0000-00003D3B0000}"/>
    <cellStyle name="Input 4 2 4 3 5" xfId="20762" xr:uid="{00000000-0005-0000-0000-00003E3B0000}"/>
    <cellStyle name="Input 4 2 4 3 6" xfId="31607" xr:uid="{00000000-0005-0000-0000-00003F3B0000}"/>
    <cellStyle name="Input 4 2 4 3 7" xfId="12520" xr:uid="{00000000-0005-0000-0000-0000403B0000}"/>
    <cellStyle name="Input 4 2 4 4" xfId="2186" xr:uid="{00000000-0005-0000-0000-0000413B0000}"/>
    <cellStyle name="Input 4 2 4 4 2" xfId="5039" xr:uid="{00000000-0005-0000-0000-0000423B0000}"/>
    <cellStyle name="Input 4 2 4 4 2 2" xfId="24011" xr:uid="{00000000-0005-0000-0000-0000433B0000}"/>
    <cellStyle name="Input 4 2 4 4 2 3" xfId="34856" xr:uid="{00000000-0005-0000-0000-0000443B0000}"/>
    <cellStyle name="Input 4 2 4 4 2 4" xfId="14843" xr:uid="{00000000-0005-0000-0000-0000453B0000}"/>
    <cellStyle name="Input 4 2 4 4 3" xfId="7710" xr:uid="{00000000-0005-0000-0000-0000463B0000}"/>
    <cellStyle name="Input 4 2 4 4 3 2" xfId="26682" xr:uid="{00000000-0005-0000-0000-0000473B0000}"/>
    <cellStyle name="Input 4 2 4 4 3 3" xfId="37527" xr:uid="{00000000-0005-0000-0000-0000483B0000}"/>
    <cellStyle name="Input 4 2 4 4 3 4" xfId="16756" xr:uid="{00000000-0005-0000-0000-0000493B0000}"/>
    <cellStyle name="Input 4 2 4 4 4" xfId="10369" xr:uid="{00000000-0005-0000-0000-00004A3B0000}"/>
    <cellStyle name="Input 4 2 4 4 4 2" xfId="29341" xr:uid="{00000000-0005-0000-0000-00004B3B0000}"/>
    <cellStyle name="Input 4 2 4 4 4 3" xfId="40186" xr:uid="{00000000-0005-0000-0000-00004C3B0000}"/>
    <cellStyle name="Input 4 2 4 4 4 4" xfId="18660" xr:uid="{00000000-0005-0000-0000-00004D3B0000}"/>
    <cellStyle name="Input 4 2 4 4 5" xfId="21165" xr:uid="{00000000-0005-0000-0000-00004E3B0000}"/>
    <cellStyle name="Input 4 2 4 4 6" xfId="32010" xr:uid="{00000000-0005-0000-0000-00004F3B0000}"/>
    <cellStyle name="Input 4 2 4 4 7" xfId="12806" xr:uid="{00000000-0005-0000-0000-0000503B0000}"/>
    <cellStyle name="Input 4 2 4 5" xfId="2576" xr:uid="{00000000-0005-0000-0000-0000513B0000}"/>
    <cellStyle name="Input 4 2 4 5 2" xfId="5428" xr:uid="{00000000-0005-0000-0000-0000523B0000}"/>
    <cellStyle name="Input 4 2 4 5 2 2" xfId="24400" xr:uid="{00000000-0005-0000-0000-0000533B0000}"/>
    <cellStyle name="Input 4 2 4 5 2 3" xfId="35245" xr:uid="{00000000-0005-0000-0000-0000543B0000}"/>
    <cellStyle name="Input 4 2 4 5 2 4" xfId="15122" xr:uid="{00000000-0005-0000-0000-0000553B0000}"/>
    <cellStyle name="Input 4 2 4 5 3" xfId="8099" xr:uid="{00000000-0005-0000-0000-0000563B0000}"/>
    <cellStyle name="Input 4 2 4 5 3 2" xfId="27071" xr:uid="{00000000-0005-0000-0000-0000573B0000}"/>
    <cellStyle name="Input 4 2 4 5 3 3" xfId="37916" xr:uid="{00000000-0005-0000-0000-0000583B0000}"/>
    <cellStyle name="Input 4 2 4 5 3 4" xfId="17035" xr:uid="{00000000-0005-0000-0000-0000593B0000}"/>
    <cellStyle name="Input 4 2 4 5 4" xfId="10758" xr:uid="{00000000-0005-0000-0000-00005A3B0000}"/>
    <cellStyle name="Input 4 2 4 5 4 2" xfId="29730" xr:uid="{00000000-0005-0000-0000-00005B3B0000}"/>
    <cellStyle name="Input 4 2 4 5 4 3" xfId="40575" xr:uid="{00000000-0005-0000-0000-00005C3B0000}"/>
    <cellStyle name="Input 4 2 4 5 4 4" xfId="18939" xr:uid="{00000000-0005-0000-0000-00005D3B0000}"/>
    <cellStyle name="Input 4 2 4 5 5" xfId="21554" xr:uid="{00000000-0005-0000-0000-00005E3B0000}"/>
    <cellStyle name="Input 4 2 4 5 6" xfId="32399" xr:uid="{00000000-0005-0000-0000-00005F3B0000}"/>
    <cellStyle name="Input 4 2 4 5 7" xfId="13085" xr:uid="{00000000-0005-0000-0000-0000603B0000}"/>
    <cellStyle name="Input 4 2 4 6" xfId="2962" xr:uid="{00000000-0005-0000-0000-0000613B0000}"/>
    <cellStyle name="Input 4 2 4 6 2" xfId="5813" xr:uid="{00000000-0005-0000-0000-0000623B0000}"/>
    <cellStyle name="Input 4 2 4 6 2 2" xfId="24785" xr:uid="{00000000-0005-0000-0000-0000633B0000}"/>
    <cellStyle name="Input 4 2 4 6 2 3" xfId="35630" xr:uid="{00000000-0005-0000-0000-0000643B0000}"/>
    <cellStyle name="Input 4 2 4 6 2 4" xfId="15398" xr:uid="{00000000-0005-0000-0000-0000653B0000}"/>
    <cellStyle name="Input 4 2 4 6 3" xfId="8484" xr:uid="{00000000-0005-0000-0000-0000663B0000}"/>
    <cellStyle name="Input 4 2 4 6 3 2" xfId="27456" xr:uid="{00000000-0005-0000-0000-0000673B0000}"/>
    <cellStyle name="Input 4 2 4 6 3 3" xfId="38301" xr:uid="{00000000-0005-0000-0000-0000683B0000}"/>
    <cellStyle name="Input 4 2 4 6 3 4" xfId="17311" xr:uid="{00000000-0005-0000-0000-0000693B0000}"/>
    <cellStyle name="Input 4 2 4 6 4" xfId="11143" xr:uid="{00000000-0005-0000-0000-00006A3B0000}"/>
    <cellStyle name="Input 4 2 4 6 4 2" xfId="30115" xr:uid="{00000000-0005-0000-0000-00006B3B0000}"/>
    <cellStyle name="Input 4 2 4 6 4 3" xfId="40960" xr:uid="{00000000-0005-0000-0000-00006C3B0000}"/>
    <cellStyle name="Input 4 2 4 6 4 4" xfId="19215" xr:uid="{00000000-0005-0000-0000-00006D3B0000}"/>
    <cellStyle name="Input 4 2 4 6 5" xfId="21939" xr:uid="{00000000-0005-0000-0000-00006E3B0000}"/>
    <cellStyle name="Input 4 2 4 6 6" xfId="32784" xr:uid="{00000000-0005-0000-0000-00006F3B0000}"/>
    <cellStyle name="Input 4 2 4 6 7" xfId="13361" xr:uid="{00000000-0005-0000-0000-0000703B0000}"/>
    <cellStyle name="Input 4 2 4 7" xfId="3651" xr:uid="{00000000-0005-0000-0000-0000713B0000}"/>
    <cellStyle name="Input 4 2 4 7 2" xfId="22623" xr:uid="{00000000-0005-0000-0000-0000723B0000}"/>
    <cellStyle name="Input 4 2 4 7 3" xfId="33468" xr:uid="{00000000-0005-0000-0000-0000733B0000}"/>
    <cellStyle name="Input 4 2 4 7 4" xfId="13842" xr:uid="{00000000-0005-0000-0000-0000743B0000}"/>
    <cellStyle name="Input 4 2 4 8" xfId="6326" xr:uid="{00000000-0005-0000-0000-0000753B0000}"/>
    <cellStyle name="Input 4 2 4 8 2" xfId="25298" xr:uid="{00000000-0005-0000-0000-0000763B0000}"/>
    <cellStyle name="Input 4 2 4 8 3" xfId="36143" xr:uid="{00000000-0005-0000-0000-0000773B0000}"/>
    <cellStyle name="Input 4 2 4 8 4" xfId="15758" xr:uid="{00000000-0005-0000-0000-0000783B0000}"/>
    <cellStyle name="Input 4 2 4 9" xfId="8985" xr:uid="{00000000-0005-0000-0000-0000793B0000}"/>
    <cellStyle name="Input 4 2 4 9 2" xfId="27957" xr:uid="{00000000-0005-0000-0000-00007A3B0000}"/>
    <cellStyle name="Input 4 2 4 9 3" xfId="38802" xr:uid="{00000000-0005-0000-0000-00007B3B0000}"/>
    <cellStyle name="Input 4 2 4 9 4" xfId="17662" xr:uid="{00000000-0005-0000-0000-00007C3B0000}"/>
    <cellStyle name="Input 4 2 5" xfId="855" xr:uid="{00000000-0005-0000-0000-00007D3B0000}"/>
    <cellStyle name="Input 4 2 5 10" xfId="19840" xr:uid="{00000000-0005-0000-0000-00007E3B0000}"/>
    <cellStyle name="Input 4 2 5 11" xfId="30685" xr:uid="{00000000-0005-0000-0000-00007F3B0000}"/>
    <cellStyle name="Input 4 2 5 12" xfId="11847" xr:uid="{00000000-0005-0000-0000-0000803B0000}"/>
    <cellStyle name="Input 4 2 5 2" xfId="1442" xr:uid="{00000000-0005-0000-0000-0000813B0000}"/>
    <cellStyle name="Input 4 2 5 2 2" xfId="4295" xr:uid="{00000000-0005-0000-0000-0000823B0000}"/>
    <cellStyle name="Input 4 2 5 2 2 2" xfId="23267" xr:uid="{00000000-0005-0000-0000-0000833B0000}"/>
    <cellStyle name="Input 4 2 5 2 2 3" xfId="34112" xr:uid="{00000000-0005-0000-0000-0000843B0000}"/>
    <cellStyle name="Input 4 2 5 2 2 4" xfId="14308" xr:uid="{00000000-0005-0000-0000-0000853B0000}"/>
    <cellStyle name="Input 4 2 5 2 3" xfId="6968" xr:uid="{00000000-0005-0000-0000-0000863B0000}"/>
    <cellStyle name="Input 4 2 5 2 3 2" xfId="25940" xr:uid="{00000000-0005-0000-0000-0000873B0000}"/>
    <cellStyle name="Input 4 2 5 2 3 3" xfId="36785" xr:uid="{00000000-0005-0000-0000-0000883B0000}"/>
    <cellStyle name="Input 4 2 5 2 3 4" xfId="16223" xr:uid="{00000000-0005-0000-0000-0000893B0000}"/>
    <cellStyle name="Input 4 2 5 2 4" xfId="9627" xr:uid="{00000000-0005-0000-0000-00008A3B0000}"/>
    <cellStyle name="Input 4 2 5 2 4 2" xfId="28599" xr:uid="{00000000-0005-0000-0000-00008B3B0000}"/>
    <cellStyle name="Input 4 2 5 2 4 3" xfId="39444" xr:uid="{00000000-0005-0000-0000-00008C3B0000}"/>
    <cellStyle name="Input 4 2 5 2 4 4" xfId="18127" xr:uid="{00000000-0005-0000-0000-00008D3B0000}"/>
    <cellStyle name="Input 4 2 5 2 5" xfId="20423" xr:uid="{00000000-0005-0000-0000-00008E3B0000}"/>
    <cellStyle name="Input 4 2 5 2 6" xfId="31268" xr:uid="{00000000-0005-0000-0000-00008F3B0000}"/>
    <cellStyle name="Input 4 2 5 2 7" xfId="12273" xr:uid="{00000000-0005-0000-0000-0000903B0000}"/>
    <cellStyle name="Input 4 2 5 3" xfId="1841" xr:uid="{00000000-0005-0000-0000-0000913B0000}"/>
    <cellStyle name="Input 4 2 5 3 2" xfId="4694" xr:uid="{00000000-0005-0000-0000-0000923B0000}"/>
    <cellStyle name="Input 4 2 5 3 2 2" xfId="23666" xr:uid="{00000000-0005-0000-0000-0000933B0000}"/>
    <cellStyle name="Input 4 2 5 3 2 3" xfId="34511" xr:uid="{00000000-0005-0000-0000-0000943B0000}"/>
    <cellStyle name="Input 4 2 5 3 2 4" xfId="14595" xr:uid="{00000000-0005-0000-0000-0000953B0000}"/>
    <cellStyle name="Input 4 2 5 3 3" xfId="7366" xr:uid="{00000000-0005-0000-0000-0000963B0000}"/>
    <cellStyle name="Input 4 2 5 3 3 2" xfId="26338" xr:uid="{00000000-0005-0000-0000-0000973B0000}"/>
    <cellStyle name="Input 4 2 5 3 3 3" xfId="37183" xr:uid="{00000000-0005-0000-0000-0000983B0000}"/>
    <cellStyle name="Input 4 2 5 3 3 4" xfId="16509" xr:uid="{00000000-0005-0000-0000-0000993B0000}"/>
    <cellStyle name="Input 4 2 5 3 4" xfId="10025" xr:uid="{00000000-0005-0000-0000-00009A3B0000}"/>
    <cellStyle name="Input 4 2 5 3 4 2" xfId="28997" xr:uid="{00000000-0005-0000-0000-00009B3B0000}"/>
    <cellStyle name="Input 4 2 5 3 4 3" xfId="39842" xr:uid="{00000000-0005-0000-0000-00009C3B0000}"/>
    <cellStyle name="Input 4 2 5 3 4 4" xfId="18413" xr:uid="{00000000-0005-0000-0000-00009D3B0000}"/>
    <cellStyle name="Input 4 2 5 3 5" xfId="20821" xr:uid="{00000000-0005-0000-0000-00009E3B0000}"/>
    <cellStyle name="Input 4 2 5 3 6" xfId="31666" xr:uid="{00000000-0005-0000-0000-00009F3B0000}"/>
    <cellStyle name="Input 4 2 5 3 7" xfId="12559" xr:uid="{00000000-0005-0000-0000-0000A03B0000}"/>
    <cellStyle name="Input 4 2 5 4" xfId="2245" xr:uid="{00000000-0005-0000-0000-0000A13B0000}"/>
    <cellStyle name="Input 4 2 5 4 2" xfId="5098" xr:uid="{00000000-0005-0000-0000-0000A23B0000}"/>
    <cellStyle name="Input 4 2 5 4 2 2" xfId="24070" xr:uid="{00000000-0005-0000-0000-0000A33B0000}"/>
    <cellStyle name="Input 4 2 5 4 2 3" xfId="34915" xr:uid="{00000000-0005-0000-0000-0000A43B0000}"/>
    <cellStyle name="Input 4 2 5 4 2 4" xfId="14882" xr:uid="{00000000-0005-0000-0000-0000A53B0000}"/>
    <cellStyle name="Input 4 2 5 4 3" xfId="7769" xr:uid="{00000000-0005-0000-0000-0000A63B0000}"/>
    <cellStyle name="Input 4 2 5 4 3 2" xfId="26741" xr:uid="{00000000-0005-0000-0000-0000A73B0000}"/>
    <cellStyle name="Input 4 2 5 4 3 3" xfId="37586" xr:uid="{00000000-0005-0000-0000-0000A83B0000}"/>
    <cellStyle name="Input 4 2 5 4 3 4" xfId="16795" xr:uid="{00000000-0005-0000-0000-0000A93B0000}"/>
    <cellStyle name="Input 4 2 5 4 4" xfId="10428" xr:uid="{00000000-0005-0000-0000-0000AA3B0000}"/>
    <cellStyle name="Input 4 2 5 4 4 2" xfId="29400" xr:uid="{00000000-0005-0000-0000-0000AB3B0000}"/>
    <cellStyle name="Input 4 2 5 4 4 3" xfId="40245" xr:uid="{00000000-0005-0000-0000-0000AC3B0000}"/>
    <cellStyle name="Input 4 2 5 4 4 4" xfId="18699" xr:uid="{00000000-0005-0000-0000-0000AD3B0000}"/>
    <cellStyle name="Input 4 2 5 4 5" xfId="21224" xr:uid="{00000000-0005-0000-0000-0000AE3B0000}"/>
    <cellStyle name="Input 4 2 5 4 6" xfId="32069" xr:uid="{00000000-0005-0000-0000-0000AF3B0000}"/>
    <cellStyle name="Input 4 2 5 4 7" xfId="12845" xr:uid="{00000000-0005-0000-0000-0000B03B0000}"/>
    <cellStyle name="Input 4 2 5 5" xfId="2635" xr:uid="{00000000-0005-0000-0000-0000B13B0000}"/>
    <cellStyle name="Input 4 2 5 5 2" xfId="5487" xr:uid="{00000000-0005-0000-0000-0000B23B0000}"/>
    <cellStyle name="Input 4 2 5 5 2 2" xfId="24459" xr:uid="{00000000-0005-0000-0000-0000B33B0000}"/>
    <cellStyle name="Input 4 2 5 5 2 3" xfId="35304" xr:uid="{00000000-0005-0000-0000-0000B43B0000}"/>
    <cellStyle name="Input 4 2 5 5 2 4" xfId="15161" xr:uid="{00000000-0005-0000-0000-0000B53B0000}"/>
    <cellStyle name="Input 4 2 5 5 3" xfId="8158" xr:uid="{00000000-0005-0000-0000-0000B63B0000}"/>
    <cellStyle name="Input 4 2 5 5 3 2" xfId="27130" xr:uid="{00000000-0005-0000-0000-0000B73B0000}"/>
    <cellStyle name="Input 4 2 5 5 3 3" xfId="37975" xr:uid="{00000000-0005-0000-0000-0000B83B0000}"/>
    <cellStyle name="Input 4 2 5 5 3 4" xfId="17074" xr:uid="{00000000-0005-0000-0000-0000B93B0000}"/>
    <cellStyle name="Input 4 2 5 5 4" xfId="10817" xr:uid="{00000000-0005-0000-0000-0000BA3B0000}"/>
    <cellStyle name="Input 4 2 5 5 4 2" xfId="29789" xr:uid="{00000000-0005-0000-0000-0000BB3B0000}"/>
    <cellStyle name="Input 4 2 5 5 4 3" xfId="40634" xr:uid="{00000000-0005-0000-0000-0000BC3B0000}"/>
    <cellStyle name="Input 4 2 5 5 4 4" xfId="18978" xr:uid="{00000000-0005-0000-0000-0000BD3B0000}"/>
    <cellStyle name="Input 4 2 5 5 5" xfId="21613" xr:uid="{00000000-0005-0000-0000-0000BE3B0000}"/>
    <cellStyle name="Input 4 2 5 5 6" xfId="32458" xr:uid="{00000000-0005-0000-0000-0000BF3B0000}"/>
    <cellStyle name="Input 4 2 5 5 7" xfId="13124" xr:uid="{00000000-0005-0000-0000-0000C03B0000}"/>
    <cellStyle name="Input 4 2 5 6" xfId="3021" xr:uid="{00000000-0005-0000-0000-0000C13B0000}"/>
    <cellStyle name="Input 4 2 5 6 2" xfId="5872" xr:uid="{00000000-0005-0000-0000-0000C23B0000}"/>
    <cellStyle name="Input 4 2 5 6 2 2" xfId="24844" xr:uid="{00000000-0005-0000-0000-0000C33B0000}"/>
    <cellStyle name="Input 4 2 5 6 2 3" xfId="35689" xr:uid="{00000000-0005-0000-0000-0000C43B0000}"/>
    <cellStyle name="Input 4 2 5 6 2 4" xfId="15437" xr:uid="{00000000-0005-0000-0000-0000C53B0000}"/>
    <cellStyle name="Input 4 2 5 6 3" xfId="8543" xr:uid="{00000000-0005-0000-0000-0000C63B0000}"/>
    <cellStyle name="Input 4 2 5 6 3 2" xfId="27515" xr:uid="{00000000-0005-0000-0000-0000C73B0000}"/>
    <cellStyle name="Input 4 2 5 6 3 3" xfId="38360" xr:uid="{00000000-0005-0000-0000-0000C83B0000}"/>
    <cellStyle name="Input 4 2 5 6 3 4" xfId="17350" xr:uid="{00000000-0005-0000-0000-0000C93B0000}"/>
    <cellStyle name="Input 4 2 5 6 4" xfId="11202" xr:uid="{00000000-0005-0000-0000-0000CA3B0000}"/>
    <cellStyle name="Input 4 2 5 6 4 2" xfId="30174" xr:uid="{00000000-0005-0000-0000-0000CB3B0000}"/>
    <cellStyle name="Input 4 2 5 6 4 3" xfId="41019" xr:uid="{00000000-0005-0000-0000-0000CC3B0000}"/>
    <cellStyle name="Input 4 2 5 6 4 4" xfId="19254" xr:uid="{00000000-0005-0000-0000-0000CD3B0000}"/>
    <cellStyle name="Input 4 2 5 6 5" xfId="21998" xr:uid="{00000000-0005-0000-0000-0000CE3B0000}"/>
    <cellStyle name="Input 4 2 5 6 6" xfId="32843" xr:uid="{00000000-0005-0000-0000-0000CF3B0000}"/>
    <cellStyle name="Input 4 2 5 6 7" xfId="13400" xr:uid="{00000000-0005-0000-0000-0000D03B0000}"/>
    <cellStyle name="Input 4 2 5 7" xfId="3710" xr:uid="{00000000-0005-0000-0000-0000D13B0000}"/>
    <cellStyle name="Input 4 2 5 7 2" xfId="22682" xr:uid="{00000000-0005-0000-0000-0000D23B0000}"/>
    <cellStyle name="Input 4 2 5 7 3" xfId="33527" xr:uid="{00000000-0005-0000-0000-0000D33B0000}"/>
    <cellStyle name="Input 4 2 5 7 4" xfId="13881" xr:uid="{00000000-0005-0000-0000-0000D43B0000}"/>
    <cellStyle name="Input 4 2 5 8" xfId="6385" xr:uid="{00000000-0005-0000-0000-0000D53B0000}"/>
    <cellStyle name="Input 4 2 5 8 2" xfId="25357" xr:uid="{00000000-0005-0000-0000-0000D63B0000}"/>
    <cellStyle name="Input 4 2 5 8 3" xfId="36202" xr:uid="{00000000-0005-0000-0000-0000D73B0000}"/>
    <cellStyle name="Input 4 2 5 8 4" xfId="15797" xr:uid="{00000000-0005-0000-0000-0000D83B0000}"/>
    <cellStyle name="Input 4 2 5 9" xfId="9044" xr:uid="{00000000-0005-0000-0000-0000D93B0000}"/>
    <cellStyle name="Input 4 2 5 9 2" xfId="28016" xr:uid="{00000000-0005-0000-0000-0000DA3B0000}"/>
    <cellStyle name="Input 4 2 5 9 3" xfId="38861" xr:uid="{00000000-0005-0000-0000-0000DB3B0000}"/>
    <cellStyle name="Input 4 2 5 9 4" xfId="17701" xr:uid="{00000000-0005-0000-0000-0000DC3B0000}"/>
    <cellStyle name="Input 4 2 6" xfId="1077" xr:uid="{00000000-0005-0000-0000-0000DD3B0000}"/>
    <cellStyle name="Input 4 2 6 2" xfId="3930" xr:uid="{00000000-0005-0000-0000-0000DE3B0000}"/>
    <cellStyle name="Input 4 2 6 2 2" xfId="22902" xr:uid="{00000000-0005-0000-0000-0000DF3B0000}"/>
    <cellStyle name="Input 4 2 6 2 3" xfId="33747" xr:uid="{00000000-0005-0000-0000-0000E03B0000}"/>
    <cellStyle name="Input 4 2 6 2 4" xfId="14043" xr:uid="{00000000-0005-0000-0000-0000E13B0000}"/>
    <cellStyle name="Input 4 2 6 3" xfId="6604" xr:uid="{00000000-0005-0000-0000-0000E23B0000}"/>
    <cellStyle name="Input 4 2 6 3 2" xfId="25576" xr:uid="{00000000-0005-0000-0000-0000E33B0000}"/>
    <cellStyle name="Input 4 2 6 3 3" xfId="36421" xr:uid="{00000000-0005-0000-0000-0000E43B0000}"/>
    <cellStyle name="Input 4 2 6 3 4" xfId="15959" xr:uid="{00000000-0005-0000-0000-0000E53B0000}"/>
    <cellStyle name="Input 4 2 6 4" xfId="9263" xr:uid="{00000000-0005-0000-0000-0000E63B0000}"/>
    <cellStyle name="Input 4 2 6 4 2" xfId="28235" xr:uid="{00000000-0005-0000-0000-0000E73B0000}"/>
    <cellStyle name="Input 4 2 6 4 3" xfId="39080" xr:uid="{00000000-0005-0000-0000-0000E83B0000}"/>
    <cellStyle name="Input 4 2 6 4 4" xfId="17863" xr:uid="{00000000-0005-0000-0000-0000E93B0000}"/>
    <cellStyle name="Input 4 2 6 5" xfId="20059" xr:uid="{00000000-0005-0000-0000-0000EA3B0000}"/>
    <cellStyle name="Input 4 2 6 6" xfId="30904" xr:uid="{00000000-0005-0000-0000-0000EB3B0000}"/>
    <cellStyle name="Input 4 2 6 7" xfId="12009" xr:uid="{00000000-0005-0000-0000-0000EC3B0000}"/>
    <cellStyle name="Input 4 2 7" xfId="911" xr:uid="{00000000-0005-0000-0000-0000ED3B0000}"/>
    <cellStyle name="Input 4 2 7 2" xfId="3766" xr:uid="{00000000-0005-0000-0000-0000EE3B0000}"/>
    <cellStyle name="Input 4 2 7 2 2" xfId="22738" xr:uid="{00000000-0005-0000-0000-0000EF3B0000}"/>
    <cellStyle name="Input 4 2 7 2 3" xfId="33583" xr:uid="{00000000-0005-0000-0000-0000F03B0000}"/>
    <cellStyle name="Input 4 2 7 2 4" xfId="13912" xr:uid="{00000000-0005-0000-0000-0000F13B0000}"/>
    <cellStyle name="Input 4 2 7 3" xfId="6441" xr:uid="{00000000-0005-0000-0000-0000F23B0000}"/>
    <cellStyle name="Input 4 2 7 3 2" xfId="25413" xr:uid="{00000000-0005-0000-0000-0000F33B0000}"/>
    <cellStyle name="Input 4 2 7 3 3" xfId="36258" xr:uid="{00000000-0005-0000-0000-0000F43B0000}"/>
    <cellStyle name="Input 4 2 7 3 4" xfId="15828" xr:uid="{00000000-0005-0000-0000-0000F53B0000}"/>
    <cellStyle name="Input 4 2 7 4" xfId="9100" xr:uid="{00000000-0005-0000-0000-0000F63B0000}"/>
    <cellStyle name="Input 4 2 7 4 2" xfId="28072" xr:uid="{00000000-0005-0000-0000-0000F73B0000}"/>
    <cellStyle name="Input 4 2 7 4 3" xfId="38917" xr:uid="{00000000-0005-0000-0000-0000F83B0000}"/>
    <cellStyle name="Input 4 2 7 4 4" xfId="17732" xr:uid="{00000000-0005-0000-0000-0000F93B0000}"/>
    <cellStyle name="Input 4 2 7 5" xfId="19896" xr:uid="{00000000-0005-0000-0000-0000FA3B0000}"/>
    <cellStyle name="Input 4 2 7 6" xfId="30741" xr:uid="{00000000-0005-0000-0000-0000FB3B0000}"/>
    <cellStyle name="Input 4 2 7 7" xfId="11878" xr:uid="{00000000-0005-0000-0000-0000FC3B0000}"/>
    <cellStyle name="Input 4 2 8" xfId="1043" xr:uid="{00000000-0005-0000-0000-0000FD3B0000}"/>
    <cellStyle name="Input 4 2 8 2" xfId="3896" xr:uid="{00000000-0005-0000-0000-0000FE3B0000}"/>
    <cellStyle name="Input 4 2 8 2 2" xfId="22868" xr:uid="{00000000-0005-0000-0000-0000FF3B0000}"/>
    <cellStyle name="Input 4 2 8 2 3" xfId="33713" xr:uid="{00000000-0005-0000-0000-0000003C0000}"/>
    <cellStyle name="Input 4 2 8 2 4" xfId="14013" xr:uid="{00000000-0005-0000-0000-0000013C0000}"/>
    <cellStyle name="Input 4 2 8 3" xfId="6570" xr:uid="{00000000-0005-0000-0000-0000023C0000}"/>
    <cellStyle name="Input 4 2 8 3 2" xfId="25542" xr:uid="{00000000-0005-0000-0000-0000033C0000}"/>
    <cellStyle name="Input 4 2 8 3 3" xfId="36387" xr:uid="{00000000-0005-0000-0000-0000043C0000}"/>
    <cellStyle name="Input 4 2 8 3 4" xfId="15929" xr:uid="{00000000-0005-0000-0000-0000053C0000}"/>
    <cellStyle name="Input 4 2 8 4" xfId="9229" xr:uid="{00000000-0005-0000-0000-0000063C0000}"/>
    <cellStyle name="Input 4 2 8 4 2" xfId="28201" xr:uid="{00000000-0005-0000-0000-0000073C0000}"/>
    <cellStyle name="Input 4 2 8 4 3" xfId="39046" xr:uid="{00000000-0005-0000-0000-0000083C0000}"/>
    <cellStyle name="Input 4 2 8 4 4" xfId="17833" xr:uid="{00000000-0005-0000-0000-0000093C0000}"/>
    <cellStyle name="Input 4 2 8 5" xfId="20025" xr:uid="{00000000-0005-0000-0000-00000A3C0000}"/>
    <cellStyle name="Input 4 2 8 6" xfId="30870" xr:uid="{00000000-0005-0000-0000-00000B3C0000}"/>
    <cellStyle name="Input 4 2 8 7" xfId="11979" xr:uid="{00000000-0005-0000-0000-00000C3C0000}"/>
    <cellStyle name="Input 4 2 9" xfId="989" xr:uid="{00000000-0005-0000-0000-00000D3C0000}"/>
    <cellStyle name="Input 4 2 9 2" xfId="3842" xr:uid="{00000000-0005-0000-0000-00000E3C0000}"/>
    <cellStyle name="Input 4 2 9 2 2" xfId="22814" xr:uid="{00000000-0005-0000-0000-00000F3C0000}"/>
    <cellStyle name="Input 4 2 9 2 3" xfId="33659" xr:uid="{00000000-0005-0000-0000-0000103C0000}"/>
    <cellStyle name="Input 4 2 9 2 4" xfId="13975" xr:uid="{00000000-0005-0000-0000-0000113C0000}"/>
    <cellStyle name="Input 4 2 9 3" xfId="6517" xr:uid="{00000000-0005-0000-0000-0000123C0000}"/>
    <cellStyle name="Input 4 2 9 3 2" xfId="25489" xr:uid="{00000000-0005-0000-0000-0000133C0000}"/>
    <cellStyle name="Input 4 2 9 3 3" xfId="36334" xr:uid="{00000000-0005-0000-0000-0000143C0000}"/>
    <cellStyle name="Input 4 2 9 3 4" xfId="15891" xr:uid="{00000000-0005-0000-0000-0000153C0000}"/>
    <cellStyle name="Input 4 2 9 4" xfId="9176" xr:uid="{00000000-0005-0000-0000-0000163C0000}"/>
    <cellStyle name="Input 4 2 9 4 2" xfId="28148" xr:uid="{00000000-0005-0000-0000-0000173C0000}"/>
    <cellStyle name="Input 4 2 9 4 3" xfId="38993" xr:uid="{00000000-0005-0000-0000-0000183C0000}"/>
    <cellStyle name="Input 4 2 9 4 4" xfId="17795" xr:uid="{00000000-0005-0000-0000-0000193C0000}"/>
    <cellStyle name="Input 4 2 9 5" xfId="19972" xr:uid="{00000000-0005-0000-0000-00001A3C0000}"/>
    <cellStyle name="Input 4 2 9 6" xfId="30817" xr:uid="{00000000-0005-0000-0000-00001B3C0000}"/>
    <cellStyle name="Input 4 2 9 7" xfId="11941" xr:uid="{00000000-0005-0000-0000-00001C3C0000}"/>
    <cellStyle name="Input 4 3" xfId="559" xr:uid="{00000000-0005-0000-0000-00001D3C0000}"/>
    <cellStyle name="Input 4 3 10" xfId="19569" xr:uid="{00000000-0005-0000-0000-00001E3C0000}"/>
    <cellStyle name="Input 4 3 11" xfId="30414" xr:uid="{00000000-0005-0000-0000-00001F3C0000}"/>
    <cellStyle name="Input 4 3 12" xfId="11633" xr:uid="{00000000-0005-0000-0000-0000203C0000}"/>
    <cellStyle name="Input 4 3 2" xfId="1165" xr:uid="{00000000-0005-0000-0000-0000213C0000}"/>
    <cellStyle name="Input 4 3 2 2" xfId="4018" xr:uid="{00000000-0005-0000-0000-0000223C0000}"/>
    <cellStyle name="Input 4 3 2 2 2" xfId="22990" xr:uid="{00000000-0005-0000-0000-0000233C0000}"/>
    <cellStyle name="Input 4 3 2 2 3" xfId="33835" xr:uid="{00000000-0005-0000-0000-0000243C0000}"/>
    <cellStyle name="Input 4 3 2 2 4" xfId="14110" xr:uid="{00000000-0005-0000-0000-0000253C0000}"/>
    <cellStyle name="Input 4 3 2 3" xfId="6691" xr:uid="{00000000-0005-0000-0000-0000263C0000}"/>
    <cellStyle name="Input 4 3 2 3 2" xfId="25663" xr:uid="{00000000-0005-0000-0000-0000273C0000}"/>
    <cellStyle name="Input 4 3 2 3 3" xfId="36508" xr:uid="{00000000-0005-0000-0000-0000283C0000}"/>
    <cellStyle name="Input 4 3 2 3 4" xfId="16025" xr:uid="{00000000-0005-0000-0000-0000293C0000}"/>
    <cellStyle name="Input 4 3 2 4" xfId="9350" xr:uid="{00000000-0005-0000-0000-00002A3C0000}"/>
    <cellStyle name="Input 4 3 2 4 2" xfId="28322" xr:uid="{00000000-0005-0000-0000-00002B3C0000}"/>
    <cellStyle name="Input 4 3 2 4 3" xfId="39167" xr:uid="{00000000-0005-0000-0000-00002C3C0000}"/>
    <cellStyle name="Input 4 3 2 4 4" xfId="17929" xr:uid="{00000000-0005-0000-0000-00002D3C0000}"/>
    <cellStyle name="Input 4 3 2 5" xfId="20146" xr:uid="{00000000-0005-0000-0000-00002E3C0000}"/>
    <cellStyle name="Input 4 3 2 6" xfId="30991" xr:uid="{00000000-0005-0000-0000-00002F3C0000}"/>
    <cellStyle name="Input 4 3 2 7" xfId="12075" xr:uid="{00000000-0005-0000-0000-0000303C0000}"/>
    <cellStyle name="Input 4 3 3" xfId="1562" xr:uid="{00000000-0005-0000-0000-0000313C0000}"/>
    <cellStyle name="Input 4 3 3 2" xfId="4415" xr:uid="{00000000-0005-0000-0000-0000323C0000}"/>
    <cellStyle name="Input 4 3 3 2 2" xfId="23387" xr:uid="{00000000-0005-0000-0000-0000333C0000}"/>
    <cellStyle name="Input 4 3 3 2 3" xfId="34232" xr:uid="{00000000-0005-0000-0000-0000343C0000}"/>
    <cellStyle name="Input 4 3 3 2 4" xfId="14396" xr:uid="{00000000-0005-0000-0000-0000353C0000}"/>
    <cellStyle name="Input 4 3 3 3" xfId="7087" xr:uid="{00000000-0005-0000-0000-0000363C0000}"/>
    <cellStyle name="Input 4 3 3 3 2" xfId="26059" xr:uid="{00000000-0005-0000-0000-0000373C0000}"/>
    <cellStyle name="Input 4 3 3 3 3" xfId="36904" xr:uid="{00000000-0005-0000-0000-0000383C0000}"/>
    <cellStyle name="Input 4 3 3 3 4" xfId="16310" xr:uid="{00000000-0005-0000-0000-0000393C0000}"/>
    <cellStyle name="Input 4 3 3 4" xfId="9746" xr:uid="{00000000-0005-0000-0000-00003A3C0000}"/>
    <cellStyle name="Input 4 3 3 4 2" xfId="28718" xr:uid="{00000000-0005-0000-0000-00003B3C0000}"/>
    <cellStyle name="Input 4 3 3 4 3" xfId="39563" xr:uid="{00000000-0005-0000-0000-00003C3C0000}"/>
    <cellStyle name="Input 4 3 3 4 4" xfId="18214" xr:uid="{00000000-0005-0000-0000-00003D3C0000}"/>
    <cellStyle name="Input 4 3 3 5" xfId="20542" xr:uid="{00000000-0005-0000-0000-00003E3C0000}"/>
    <cellStyle name="Input 4 3 3 6" xfId="31387" xr:uid="{00000000-0005-0000-0000-00003F3C0000}"/>
    <cellStyle name="Input 4 3 3 7" xfId="12360" xr:uid="{00000000-0005-0000-0000-0000403C0000}"/>
    <cellStyle name="Input 4 3 4" xfId="1966" xr:uid="{00000000-0005-0000-0000-0000413C0000}"/>
    <cellStyle name="Input 4 3 4 2" xfId="4819" xr:uid="{00000000-0005-0000-0000-0000423C0000}"/>
    <cellStyle name="Input 4 3 4 2 2" xfId="23791" xr:uid="{00000000-0005-0000-0000-0000433C0000}"/>
    <cellStyle name="Input 4 3 4 2 3" xfId="34636" xr:uid="{00000000-0005-0000-0000-0000443C0000}"/>
    <cellStyle name="Input 4 3 4 2 4" xfId="14684" xr:uid="{00000000-0005-0000-0000-0000453C0000}"/>
    <cellStyle name="Input 4 3 4 3" xfId="7491" xr:uid="{00000000-0005-0000-0000-0000463C0000}"/>
    <cellStyle name="Input 4 3 4 3 2" xfId="26463" xr:uid="{00000000-0005-0000-0000-0000473C0000}"/>
    <cellStyle name="Input 4 3 4 3 3" xfId="37308" xr:uid="{00000000-0005-0000-0000-0000483C0000}"/>
    <cellStyle name="Input 4 3 4 3 4" xfId="16598" xr:uid="{00000000-0005-0000-0000-0000493C0000}"/>
    <cellStyle name="Input 4 3 4 4" xfId="10150" xr:uid="{00000000-0005-0000-0000-00004A3C0000}"/>
    <cellStyle name="Input 4 3 4 4 2" xfId="29122" xr:uid="{00000000-0005-0000-0000-00004B3C0000}"/>
    <cellStyle name="Input 4 3 4 4 3" xfId="39967" xr:uid="{00000000-0005-0000-0000-00004C3C0000}"/>
    <cellStyle name="Input 4 3 4 4 4" xfId="18502" xr:uid="{00000000-0005-0000-0000-00004D3C0000}"/>
    <cellStyle name="Input 4 3 4 5" xfId="20946" xr:uid="{00000000-0005-0000-0000-00004E3C0000}"/>
    <cellStyle name="Input 4 3 4 6" xfId="31791" xr:uid="{00000000-0005-0000-0000-00004F3C0000}"/>
    <cellStyle name="Input 4 3 4 7" xfId="12648" xr:uid="{00000000-0005-0000-0000-0000503C0000}"/>
    <cellStyle name="Input 4 3 5" xfId="2358" xr:uid="{00000000-0005-0000-0000-0000513C0000}"/>
    <cellStyle name="Input 4 3 5 2" xfId="5211" xr:uid="{00000000-0005-0000-0000-0000523C0000}"/>
    <cellStyle name="Input 4 3 5 2 2" xfId="24183" xr:uid="{00000000-0005-0000-0000-0000533C0000}"/>
    <cellStyle name="Input 4 3 5 2 3" xfId="35028" xr:uid="{00000000-0005-0000-0000-0000543C0000}"/>
    <cellStyle name="Input 4 3 5 2 4" xfId="14965" xr:uid="{00000000-0005-0000-0000-0000553C0000}"/>
    <cellStyle name="Input 4 3 5 3" xfId="7882" xr:uid="{00000000-0005-0000-0000-0000563C0000}"/>
    <cellStyle name="Input 4 3 5 3 2" xfId="26854" xr:uid="{00000000-0005-0000-0000-0000573C0000}"/>
    <cellStyle name="Input 4 3 5 3 3" xfId="37699" xr:uid="{00000000-0005-0000-0000-0000583C0000}"/>
    <cellStyle name="Input 4 3 5 3 4" xfId="16878" xr:uid="{00000000-0005-0000-0000-0000593C0000}"/>
    <cellStyle name="Input 4 3 5 4" xfId="10541" xr:uid="{00000000-0005-0000-0000-00005A3C0000}"/>
    <cellStyle name="Input 4 3 5 4 2" xfId="29513" xr:uid="{00000000-0005-0000-0000-00005B3C0000}"/>
    <cellStyle name="Input 4 3 5 4 3" xfId="40358" xr:uid="{00000000-0005-0000-0000-00005C3C0000}"/>
    <cellStyle name="Input 4 3 5 4 4" xfId="18782" xr:uid="{00000000-0005-0000-0000-00005D3C0000}"/>
    <cellStyle name="Input 4 3 5 5" xfId="21337" xr:uid="{00000000-0005-0000-0000-00005E3C0000}"/>
    <cellStyle name="Input 4 3 5 6" xfId="32182" xr:uid="{00000000-0005-0000-0000-00005F3C0000}"/>
    <cellStyle name="Input 4 3 5 7" xfId="12928" xr:uid="{00000000-0005-0000-0000-0000603C0000}"/>
    <cellStyle name="Input 4 3 6" xfId="2747" xr:uid="{00000000-0005-0000-0000-0000613C0000}"/>
    <cellStyle name="Input 4 3 6 2" xfId="5599" xr:uid="{00000000-0005-0000-0000-0000623C0000}"/>
    <cellStyle name="Input 4 3 6 2 2" xfId="24571" xr:uid="{00000000-0005-0000-0000-0000633C0000}"/>
    <cellStyle name="Input 4 3 6 2 3" xfId="35416" xr:uid="{00000000-0005-0000-0000-0000643C0000}"/>
    <cellStyle name="Input 4 3 6 2 4" xfId="15243" xr:uid="{00000000-0005-0000-0000-0000653C0000}"/>
    <cellStyle name="Input 4 3 6 3" xfId="8270" xr:uid="{00000000-0005-0000-0000-0000663C0000}"/>
    <cellStyle name="Input 4 3 6 3 2" xfId="27242" xr:uid="{00000000-0005-0000-0000-0000673C0000}"/>
    <cellStyle name="Input 4 3 6 3 3" xfId="38087" xr:uid="{00000000-0005-0000-0000-0000683C0000}"/>
    <cellStyle name="Input 4 3 6 3 4" xfId="17156" xr:uid="{00000000-0005-0000-0000-0000693C0000}"/>
    <cellStyle name="Input 4 3 6 4" xfId="10929" xr:uid="{00000000-0005-0000-0000-00006A3C0000}"/>
    <cellStyle name="Input 4 3 6 4 2" xfId="29901" xr:uid="{00000000-0005-0000-0000-00006B3C0000}"/>
    <cellStyle name="Input 4 3 6 4 3" xfId="40746" xr:uid="{00000000-0005-0000-0000-00006C3C0000}"/>
    <cellStyle name="Input 4 3 6 4 4" xfId="19060" xr:uid="{00000000-0005-0000-0000-00006D3C0000}"/>
    <cellStyle name="Input 4 3 6 5" xfId="21725" xr:uid="{00000000-0005-0000-0000-00006E3C0000}"/>
    <cellStyle name="Input 4 3 6 6" xfId="32570" xr:uid="{00000000-0005-0000-0000-00006F3C0000}"/>
    <cellStyle name="Input 4 3 6 7" xfId="13206" xr:uid="{00000000-0005-0000-0000-0000703C0000}"/>
    <cellStyle name="Input 4 3 7" xfId="3438" xr:uid="{00000000-0005-0000-0000-0000713C0000}"/>
    <cellStyle name="Input 4 3 7 2" xfId="22410" xr:uid="{00000000-0005-0000-0000-0000723C0000}"/>
    <cellStyle name="Input 4 3 7 3" xfId="33255" xr:uid="{00000000-0005-0000-0000-0000733C0000}"/>
    <cellStyle name="Input 4 3 7 4" xfId="13688" xr:uid="{00000000-0005-0000-0000-0000743C0000}"/>
    <cellStyle name="Input 4 3 8" xfId="6114" xr:uid="{00000000-0005-0000-0000-0000753C0000}"/>
    <cellStyle name="Input 4 3 8 2" xfId="25086" xr:uid="{00000000-0005-0000-0000-0000763C0000}"/>
    <cellStyle name="Input 4 3 8 3" xfId="35931" xr:uid="{00000000-0005-0000-0000-0000773C0000}"/>
    <cellStyle name="Input 4 3 8 4" xfId="15605" xr:uid="{00000000-0005-0000-0000-0000783C0000}"/>
    <cellStyle name="Input 4 3 9" xfId="8773" xr:uid="{00000000-0005-0000-0000-0000793C0000}"/>
    <cellStyle name="Input 4 3 9 2" xfId="27745" xr:uid="{00000000-0005-0000-0000-00007A3C0000}"/>
    <cellStyle name="Input 4 3 9 3" xfId="38590" xr:uid="{00000000-0005-0000-0000-00007B3C0000}"/>
    <cellStyle name="Input 4 3 9 4" xfId="17509" xr:uid="{00000000-0005-0000-0000-00007C3C0000}"/>
    <cellStyle name="Input 4 4" xfId="11457" xr:uid="{00000000-0005-0000-0000-00007D3C0000}"/>
    <cellStyle name="Input 5" xfId="302" xr:uid="{00000000-0005-0000-0000-00007E3C0000}"/>
    <cellStyle name="Input 5 2" xfId="423" xr:uid="{00000000-0005-0000-0000-00007F3C0000}"/>
    <cellStyle name="Input 5 2 10" xfId="2705" xr:uid="{00000000-0005-0000-0000-0000803C0000}"/>
    <cellStyle name="Input 5 2 10 2" xfId="5557" xr:uid="{00000000-0005-0000-0000-0000813C0000}"/>
    <cellStyle name="Input 5 2 10 2 2" xfId="24529" xr:uid="{00000000-0005-0000-0000-0000823C0000}"/>
    <cellStyle name="Input 5 2 10 2 3" xfId="35374" xr:uid="{00000000-0005-0000-0000-0000833C0000}"/>
    <cellStyle name="Input 5 2 10 2 4" xfId="15208" xr:uid="{00000000-0005-0000-0000-0000843C0000}"/>
    <cellStyle name="Input 5 2 10 3" xfId="8228" xr:uid="{00000000-0005-0000-0000-0000853C0000}"/>
    <cellStyle name="Input 5 2 10 3 2" xfId="27200" xr:uid="{00000000-0005-0000-0000-0000863C0000}"/>
    <cellStyle name="Input 5 2 10 3 3" xfId="38045" xr:uid="{00000000-0005-0000-0000-0000873C0000}"/>
    <cellStyle name="Input 5 2 10 3 4" xfId="17121" xr:uid="{00000000-0005-0000-0000-0000883C0000}"/>
    <cellStyle name="Input 5 2 10 4" xfId="10887" xr:uid="{00000000-0005-0000-0000-0000893C0000}"/>
    <cellStyle name="Input 5 2 10 4 2" xfId="29859" xr:uid="{00000000-0005-0000-0000-00008A3C0000}"/>
    <cellStyle name="Input 5 2 10 4 3" xfId="40704" xr:uid="{00000000-0005-0000-0000-00008B3C0000}"/>
    <cellStyle name="Input 5 2 10 4 4" xfId="19025" xr:uid="{00000000-0005-0000-0000-00008C3C0000}"/>
    <cellStyle name="Input 5 2 10 5" xfId="21683" xr:uid="{00000000-0005-0000-0000-00008D3C0000}"/>
    <cellStyle name="Input 5 2 10 6" xfId="32528" xr:uid="{00000000-0005-0000-0000-00008E3C0000}"/>
    <cellStyle name="Input 5 2 10 7" xfId="13171" xr:uid="{00000000-0005-0000-0000-00008F3C0000}"/>
    <cellStyle name="Input 5 2 11" xfId="3090" xr:uid="{00000000-0005-0000-0000-0000903C0000}"/>
    <cellStyle name="Input 5 2 11 2" xfId="5941" xr:uid="{00000000-0005-0000-0000-0000913C0000}"/>
    <cellStyle name="Input 5 2 11 2 2" xfId="24913" xr:uid="{00000000-0005-0000-0000-0000923C0000}"/>
    <cellStyle name="Input 5 2 11 2 3" xfId="35758" xr:uid="{00000000-0005-0000-0000-0000933C0000}"/>
    <cellStyle name="Input 5 2 11 2 4" xfId="15483" xr:uid="{00000000-0005-0000-0000-0000943C0000}"/>
    <cellStyle name="Input 5 2 11 3" xfId="8612" xr:uid="{00000000-0005-0000-0000-0000953C0000}"/>
    <cellStyle name="Input 5 2 11 3 2" xfId="27584" xr:uid="{00000000-0005-0000-0000-0000963C0000}"/>
    <cellStyle name="Input 5 2 11 3 3" xfId="38429" xr:uid="{00000000-0005-0000-0000-0000973C0000}"/>
    <cellStyle name="Input 5 2 11 3 4" xfId="17396" xr:uid="{00000000-0005-0000-0000-0000983C0000}"/>
    <cellStyle name="Input 5 2 11 4" xfId="11271" xr:uid="{00000000-0005-0000-0000-0000993C0000}"/>
    <cellStyle name="Input 5 2 11 4 2" xfId="30243" xr:uid="{00000000-0005-0000-0000-00009A3C0000}"/>
    <cellStyle name="Input 5 2 11 4 3" xfId="41088" xr:uid="{00000000-0005-0000-0000-00009B3C0000}"/>
    <cellStyle name="Input 5 2 11 4 4" xfId="19300" xr:uid="{00000000-0005-0000-0000-00009C3C0000}"/>
    <cellStyle name="Input 5 2 11 5" xfId="22067" xr:uid="{00000000-0005-0000-0000-00009D3C0000}"/>
    <cellStyle name="Input 5 2 11 6" xfId="32912" xr:uid="{00000000-0005-0000-0000-00009E3C0000}"/>
    <cellStyle name="Input 5 2 11 7" xfId="13446" xr:uid="{00000000-0005-0000-0000-00009F3C0000}"/>
    <cellStyle name="Input 5 2 12" xfId="3147" xr:uid="{00000000-0005-0000-0000-0000A03C0000}"/>
    <cellStyle name="Input 5 2 12 2" xfId="5998" xr:uid="{00000000-0005-0000-0000-0000A13C0000}"/>
    <cellStyle name="Input 5 2 12 2 2" xfId="24970" xr:uid="{00000000-0005-0000-0000-0000A23C0000}"/>
    <cellStyle name="Input 5 2 12 2 3" xfId="35815" xr:uid="{00000000-0005-0000-0000-0000A33C0000}"/>
    <cellStyle name="Input 5 2 12 2 4" xfId="15520" xr:uid="{00000000-0005-0000-0000-0000A43C0000}"/>
    <cellStyle name="Input 5 2 12 3" xfId="8669" xr:uid="{00000000-0005-0000-0000-0000A53C0000}"/>
    <cellStyle name="Input 5 2 12 3 2" xfId="27641" xr:uid="{00000000-0005-0000-0000-0000A63C0000}"/>
    <cellStyle name="Input 5 2 12 3 3" xfId="38486" xr:uid="{00000000-0005-0000-0000-0000A73C0000}"/>
    <cellStyle name="Input 5 2 12 3 4" xfId="17433" xr:uid="{00000000-0005-0000-0000-0000A83C0000}"/>
    <cellStyle name="Input 5 2 12 4" xfId="11328" xr:uid="{00000000-0005-0000-0000-0000A93C0000}"/>
    <cellStyle name="Input 5 2 12 4 2" xfId="30300" xr:uid="{00000000-0005-0000-0000-0000AA3C0000}"/>
    <cellStyle name="Input 5 2 12 4 3" xfId="41145" xr:uid="{00000000-0005-0000-0000-0000AB3C0000}"/>
    <cellStyle name="Input 5 2 12 4 4" xfId="19337" xr:uid="{00000000-0005-0000-0000-0000AC3C0000}"/>
    <cellStyle name="Input 5 2 12 5" xfId="22124" xr:uid="{00000000-0005-0000-0000-0000AD3C0000}"/>
    <cellStyle name="Input 5 2 12 6" xfId="32969" xr:uid="{00000000-0005-0000-0000-0000AE3C0000}"/>
    <cellStyle name="Input 5 2 12 7" xfId="13483" xr:uid="{00000000-0005-0000-0000-0000AF3C0000}"/>
    <cellStyle name="Input 5 2 13" xfId="3204" xr:uid="{00000000-0005-0000-0000-0000B03C0000}"/>
    <cellStyle name="Input 5 2 13 2" xfId="6055" xr:uid="{00000000-0005-0000-0000-0000B13C0000}"/>
    <cellStyle name="Input 5 2 13 2 2" xfId="25027" xr:uid="{00000000-0005-0000-0000-0000B23C0000}"/>
    <cellStyle name="Input 5 2 13 2 3" xfId="35872" xr:uid="{00000000-0005-0000-0000-0000B33C0000}"/>
    <cellStyle name="Input 5 2 13 2 4" xfId="15557" xr:uid="{00000000-0005-0000-0000-0000B43C0000}"/>
    <cellStyle name="Input 5 2 13 3" xfId="8726" xr:uid="{00000000-0005-0000-0000-0000B53C0000}"/>
    <cellStyle name="Input 5 2 13 3 2" xfId="27698" xr:uid="{00000000-0005-0000-0000-0000B63C0000}"/>
    <cellStyle name="Input 5 2 13 3 3" xfId="38543" xr:uid="{00000000-0005-0000-0000-0000B73C0000}"/>
    <cellStyle name="Input 5 2 13 3 4" xfId="17470" xr:uid="{00000000-0005-0000-0000-0000B83C0000}"/>
    <cellStyle name="Input 5 2 13 4" xfId="11385" xr:uid="{00000000-0005-0000-0000-0000B93C0000}"/>
    <cellStyle name="Input 5 2 13 4 2" xfId="30357" xr:uid="{00000000-0005-0000-0000-0000BA3C0000}"/>
    <cellStyle name="Input 5 2 13 4 3" xfId="41202" xr:uid="{00000000-0005-0000-0000-0000BB3C0000}"/>
    <cellStyle name="Input 5 2 13 4 4" xfId="19374" xr:uid="{00000000-0005-0000-0000-0000BC3C0000}"/>
    <cellStyle name="Input 5 2 13 5" xfId="22181" xr:uid="{00000000-0005-0000-0000-0000BD3C0000}"/>
    <cellStyle name="Input 5 2 13 6" xfId="33026" xr:uid="{00000000-0005-0000-0000-0000BE3C0000}"/>
    <cellStyle name="Input 5 2 13 7" xfId="13520" xr:uid="{00000000-0005-0000-0000-0000BF3C0000}"/>
    <cellStyle name="Input 5 2 14" xfId="3373" xr:uid="{00000000-0005-0000-0000-0000C03C0000}"/>
    <cellStyle name="Input 5 2 14 2" xfId="22347" xr:uid="{00000000-0005-0000-0000-0000C13C0000}"/>
    <cellStyle name="Input 5 2 14 3" xfId="33192" xr:uid="{00000000-0005-0000-0000-0000C23C0000}"/>
    <cellStyle name="Input 5 2 14 4" xfId="13637" xr:uid="{00000000-0005-0000-0000-0000C33C0000}"/>
    <cellStyle name="Input 5 2 15" xfId="3388" xr:uid="{00000000-0005-0000-0000-0000C43C0000}"/>
    <cellStyle name="Input 5 2 15 2" xfId="22360" xr:uid="{00000000-0005-0000-0000-0000C53C0000}"/>
    <cellStyle name="Input 5 2 15 3" xfId="33205" xr:uid="{00000000-0005-0000-0000-0000C63C0000}"/>
    <cellStyle name="Input 5 2 15 4" xfId="13643" xr:uid="{00000000-0005-0000-0000-0000C73C0000}"/>
    <cellStyle name="Input 5 2 16" xfId="3251" xr:uid="{00000000-0005-0000-0000-0000C83C0000}"/>
    <cellStyle name="Input 5 2 16 2" xfId="22227" xr:uid="{00000000-0005-0000-0000-0000C93C0000}"/>
    <cellStyle name="Input 5 2 16 3" xfId="33072" xr:uid="{00000000-0005-0000-0000-0000CA3C0000}"/>
    <cellStyle name="Input 5 2 16 4" xfId="13553" xr:uid="{00000000-0005-0000-0000-0000CB3C0000}"/>
    <cellStyle name="Input 5 2 17" xfId="19501" xr:uid="{00000000-0005-0000-0000-0000CC3C0000}"/>
    <cellStyle name="Input 5 2 18" xfId="19385" xr:uid="{00000000-0005-0000-0000-0000CD3C0000}"/>
    <cellStyle name="Input 5 2 19" xfId="11550" xr:uid="{00000000-0005-0000-0000-0000CE3C0000}"/>
    <cellStyle name="Input 5 2 2" xfId="714" xr:uid="{00000000-0005-0000-0000-0000CF3C0000}"/>
    <cellStyle name="Input 5 2 2 10" xfId="19699" xr:uid="{00000000-0005-0000-0000-0000D03C0000}"/>
    <cellStyle name="Input 5 2 2 11" xfId="30544" xr:uid="{00000000-0005-0000-0000-0000D13C0000}"/>
    <cellStyle name="Input 5 2 2 12" xfId="11753" xr:uid="{00000000-0005-0000-0000-0000D23C0000}"/>
    <cellStyle name="Input 5 2 2 2" xfId="1301" xr:uid="{00000000-0005-0000-0000-0000D33C0000}"/>
    <cellStyle name="Input 5 2 2 2 2" xfId="4154" xr:uid="{00000000-0005-0000-0000-0000D43C0000}"/>
    <cellStyle name="Input 5 2 2 2 2 2" xfId="23126" xr:uid="{00000000-0005-0000-0000-0000D53C0000}"/>
    <cellStyle name="Input 5 2 2 2 2 3" xfId="33971" xr:uid="{00000000-0005-0000-0000-0000D63C0000}"/>
    <cellStyle name="Input 5 2 2 2 2 4" xfId="14214" xr:uid="{00000000-0005-0000-0000-0000D73C0000}"/>
    <cellStyle name="Input 5 2 2 2 3" xfId="6827" xr:uid="{00000000-0005-0000-0000-0000D83C0000}"/>
    <cellStyle name="Input 5 2 2 2 3 2" xfId="25799" xr:uid="{00000000-0005-0000-0000-0000D93C0000}"/>
    <cellStyle name="Input 5 2 2 2 3 3" xfId="36644" xr:uid="{00000000-0005-0000-0000-0000DA3C0000}"/>
    <cellStyle name="Input 5 2 2 2 3 4" xfId="16129" xr:uid="{00000000-0005-0000-0000-0000DB3C0000}"/>
    <cellStyle name="Input 5 2 2 2 4" xfId="9486" xr:uid="{00000000-0005-0000-0000-0000DC3C0000}"/>
    <cellStyle name="Input 5 2 2 2 4 2" xfId="28458" xr:uid="{00000000-0005-0000-0000-0000DD3C0000}"/>
    <cellStyle name="Input 5 2 2 2 4 3" xfId="39303" xr:uid="{00000000-0005-0000-0000-0000DE3C0000}"/>
    <cellStyle name="Input 5 2 2 2 4 4" xfId="18033" xr:uid="{00000000-0005-0000-0000-0000DF3C0000}"/>
    <cellStyle name="Input 5 2 2 2 5" xfId="20282" xr:uid="{00000000-0005-0000-0000-0000E03C0000}"/>
    <cellStyle name="Input 5 2 2 2 6" xfId="31127" xr:uid="{00000000-0005-0000-0000-0000E13C0000}"/>
    <cellStyle name="Input 5 2 2 2 7" xfId="12179" xr:uid="{00000000-0005-0000-0000-0000E23C0000}"/>
    <cellStyle name="Input 5 2 2 3" xfId="1700" xr:uid="{00000000-0005-0000-0000-0000E33C0000}"/>
    <cellStyle name="Input 5 2 2 3 2" xfId="4553" xr:uid="{00000000-0005-0000-0000-0000E43C0000}"/>
    <cellStyle name="Input 5 2 2 3 2 2" xfId="23525" xr:uid="{00000000-0005-0000-0000-0000E53C0000}"/>
    <cellStyle name="Input 5 2 2 3 2 3" xfId="34370" xr:uid="{00000000-0005-0000-0000-0000E63C0000}"/>
    <cellStyle name="Input 5 2 2 3 2 4" xfId="14501" xr:uid="{00000000-0005-0000-0000-0000E73C0000}"/>
    <cellStyle name="Input 5 2 2 3 3" xfId="7225" xr:uid="{00000000-0005-0000-0000-0000E83C0000}"/>
    <cellStyle name="Input 5 2 2 3 3 2" xfId="26197" xr:uid="{00000000-0005-0000-0000-0000E93C0000}"/>
    <cellStyle name="Input 5 2 2 3 3 3" xfId="37042" xr:uid="{00000000-0005-0000-0000-0000EA3C0000}"/>
    <cellStyle name="Input 5 2 2 3 3 4" xfId="16415" xr:uid="{00000000-0005-0000-0000-0000EB3C0000}"/>
    <cellStyle name="Input 5 2 2 3 4" xfId="9884" xr:uid="{00000000-0005-0000-0000-0000EC3C0000}"/>
    <cellStyle name="Input 5 2 2 3 4 2" xfId="28856" xr:uid="{00000000-0005-0000-0000-0000ED3C0000}"/>
    <cellStyle name="Input 5 2 2 3 4 3" xfId="39701" xr:uid="{00000000-0005-0000-0000-0000EE3C0000}"/>
    <cellStyle name="Input 5 2 2 3 4 4" xfId="18319" xr:uid="{00000000-0005-0000-0000-0000EF3C0000}"/>
    <cellStyle name="Input 5 2 2 3 5" xfId="20680" xr:uid="{00000000-0005-0000-0000-0000F03C0000}"/>
    <cellStyle name="Input 5 2 2 3 6" xfId="31525" xr:uid="{00000000-0005-0000-0000-0000F13C0000}"/>
    <cellStyle name="Input 5 2 2 3 7" xfId="12465" xr:uid="{00000000-0005-0000-0000-0000F23C0000}"/>
    <cellStyle name="Input 5 2 2 4" xfId="2104" xr:uid="{00000000-0005-0000-0000-0000F33C0000}"/>
    <cellStyle name="Input 5 2 2 4 2" xfId="4957" xr:uid="{00000000-0005-0000-0000-0000F43C0000}"/>
    <cellStyle name="Input 5 2 2 4 2 2" xfId="23929" xr:uid="{00000000-0005-0000-0000-0000F53C0000}"/>
    <cellStyle name="Input 5 2 2 4 2 3" xfId="34774" xr:uid="{00000000-0005-0000-0000-0000F63C0000}"/>
    <cellStyle name="Input 5 2 2 4 2 4" xfId="14788" xr:uid="{00000000-0005-0000-0000-0000F73C0000}"/>
    <cellStyle name="Input 5 2 2 4 3" xfId="7628" xr:uid="{00000000-0005-0000-0000-0000F83C0000}"/>
    <cellStyle name="Input 5 2 2 4 3 2" xfId="26600" xr:uid="{00000000-0005-0000-0000-0000F93C0000}"/>
    <cellStyle name="Input 5 2 2 4 3 3" xfId="37445" xr:uid="{00000000-0005-0000-0000-0000FA3C0000}"/>
    <cellStyle name="Input 5 2 2 4 3 4" xfId="16701" xr:uid="{00000000-0005-0000-0000-0000FB3C0000}"/>
    <cellStyle name="Input 5 2 2 4 4" xfId="10287" xr:uid="{00000000-0005-0000-0000-0000FC3C0000}"/>
    <cellStyle name="Input 5 2 2 4 4 2" xfId="29259" xr:uid="{00000000-0005-0000-0000-0000FD3C0000}"/>
    <cellStyle name="Input 5 2 2 4 4 3" xfId="40104" xr:uid="{00000000-0005-0000-0000-0000FE3C0000}"/>
    <cellStyle name="Input 5 2 2 4 4 4" xfId="18605" xr:uid="{00000000-0005-0000-0000-0000FF3C0000}"/>
    <cellStyle name="Input 5 2 2 4 5" xfId="21083" xr:uid="{00000000-0005-0000-0000-0000003D0000}"/>
    <cellStyle name="Input 5 2 2 4 6" xfId="31928" xr:uid="{00000000-0005-0000-0000-0000013D0000}"/>
    <cellStyle name="Input 5 2 2 4 7" xfId="12751" xr:uid="{00000000-0005-0000-0000-0000023D0000}"/>
    <cellStyle name="Input 5 2 2 5" xfId="2494" xr:uid="{00000000-0005-0000-0000-0000033D0000}"/>
    <cellStyle name="Input 5 2 2 5 2" xfId="5346" xr:uid="{00000000-0005-0000-0000-0000043D0000}"/>
    <cellStyle name="Input 5 2 2 5 2 2" xfId="24318" xr:uid="{00000000-0005-0000-0000-0000053D0000}"/>
    <cellStyle name="Input 5 2 2 5 2 3" xfId="35163" xr:uid="{00000000-0005-0000-0000-0000063D0000}"/>
    <cellStyle name="Input 5 2 2 5 2 4" xfId="15067" xr:uid="{00000000-0005-0000-0000-0000073D0000}"/>
    <cellStyle name="Input 5 2 2 5 3" xfId="8017" xr:uid="{00000000-0005-0000-0000-0000083D0000}"/>
    <cellStyle name="Input 5 2 2 5 3 2" xfId="26989" xr:uid="{00000000-0005-0000-0000-0000093D0000}"/>
    <cellStyle name="Input 5 2 2 5 3 3" xfId="37834" xr:uid="{00000000-0005-0000-0000-00000A3D0000}"/>
    <cellStyle name="Input 5 2 2 5 3 4" xfId="16980" xr:uid="{00000000-0005-0000-0000-00000B3D0000}"/>
    <cellStyle name="Input 5 2 2 5 4" xfId="10676" xr:uid="{00000000-0005-0000-0000-00000C3D0000}"/>
    <cellStyle name="Input 5 2 2 5 4 2" xfId="29648" xr:uid="{00000000-0005-0000-0000-00000D3D0000}"/>
    <cellStyle name="Input 5 2 2 5 4 3" xfId="40493" xr:uid="{00000000-0005-0000-0000-00000E3D0000}"/>
    <cellStyle name="Input 5 2 2 5 4 4" xfId="18884" xr:uid="{00000000-0005-0000-0000-00000F3D0000}"/>
    <cellStyle name="Input 5 2 2 5 5" xfId="21472" xr:uid="{00000000-0005-0000-0000-0000103D0000}"/>
    <cellStyle name="Input 5 2 2 5 6" xfId="32317" xr:uid="{00000000-0005-0000-0000-0000113D0000}"/>
    <cellStyle name="Input 5 2 2 5 7" xfId="13030" xr:uid="{00000000-0005-0000-0000-0000123D0000}"/>
    <cellStyle name="Input 5 2 2 6" xfId="2880" xr:uid="{00000000-0005-0000-0000-0000133D0000}"/>
    <cellStyle name="Input 5 2 2 6 2" xfId="5731" xr:uid="{00000000-0005-0000-0000-0000143D0000}"/>
    <cellStyle name="Input 5 2 2 6 2 2" xfId="24703" xr:uid="{00000000-0005-0000-0000-0000153D0000}"/>
    <cellStyle name="Input 5 2 2 6 2 3" xfId="35548" xr:uid="{00000000-0005-0000-0000-0000163D0000}"/>
    <cellStyle name="Input 5 2 2 6 2 4" xfId="15343" xr:uid="{00000000-0005-0000-0000-0000173D0000}"/>
    <cellStyle name="Input 5 2 2 6 3" xfId="8402" xr:uid="{00000000-0005-0000-0000-0000183D0000}"/>
    <cellStyle name="Input 5 2 2 6 3 2" xfId="27374" xr:uid="{00000000-0005-0000-0000-0000193D0000}"/>
    <cellStyle name="Input 5 2 2 6 3 3" xfId="38219" xr:uid="{00000000-0005-0000-0000-00001A3D0000}"/>
    <cellStyle name="Input 5 2 2 6 3 4" xfId="17256" xr:uid="{00000000-0005-0000-0000-00001B3D0000}"/>
    <cellStyle name="Input 5 2 2 6 4" xfId="11061" xr:uid="{00000000-0005-0000-0000-00001C3D0000}"/>
    <cellStyle name="Input 5 2 2 6 4 2" xfId="30033" xr:uid="{00000000-0005-0000-0000-00001D3D0000}"/>
    <cellStyle name="Input 5 2 2 6 4 3" xfId="40878" xr:uid="{00000000-0005-0000-0000-00001E3D0000}"/>
    <cellStyle name="Input 5 2 2 6 4 4" xfId="19160" xr:uid="{00000000-0005-0000-0000-00001F3D0000}"/>
    <cellStyle name="Input 5 2 2 6 5" xfId="21857" xr:uid="{00000000-0005-0000-0000-0000203D0000}"/>
    <cellStyle name="Input 5 2 2 6 6" xfId="32702" xr:uid="{00000000-0005-0000-0000-0000213D0000}"/>
    <cellStyle name="Input 5 2 2 6 7" xfId="13306" xr:uid="{00000000-0005-0000-0000-0000223D0000}"/>
    <cellStyle name="Input 5 2 2 7" xfId="3569" xr:uid="{00000000-0005-0000-0000-0000233D0000}"/>
    <cellStyle name="Input 5 2 2 7 2" xfId="22541" xr:uid="{00000000-0005-0000-0000-0000243D0000}"/>
    <cellStyle name="Input 5 2 2 7 3" xfId="33386" xr:uid="{00000000-0005-0000-0000-0000253D0000}"/>
    <cellStyle name="Input 5 2 2 7 4" xfId="13787" xr:uid="{00000000-0005-0000-0000-0000263D0000}"/>
    <cellStyle name="Input 5 2 2 8" xfId="6244" xr:uid="{00000000-0005-0000-0000-0000273D0000}"/>
    <cellStyle name="Input 5 2 2 8 2" xfId="25216" xr:uid="{00000000-0005-0000-0000-0000283D0000}"/>
    <cellStyle name="Input 5 2 2 8 3" xfId="36061" xr:uid="{00000000-0005-0000-0000-0000293D0000}"/>
    <cellStyle name="Input 5 2 2 8 4" xfId="15703" xr:uid="{00000000-0005-0000-0000-00002A3D0000}"/>
    <cellStyle name="Input 5 2 2 9" xfId="8903" xr:uid="{00000000-0005-0000-0000-00002B3D0000}"/>
    <cellStyle name="Input 5 2 2 9 2" xfId="27875" xr:uid="{00000000-0005-0000-0000-00002C3D0000}"/>
    <cellStyle name="Input 5 2 2 9 3" xfId="38720" xr:uid="{00000000-0005-0000-0000-00002D3D0000}"/>
    <cellStyle name="Input 5 2 2 9 4" xfId="17607" xr:uid="{00000000-0005-0000-0000-00002E3D0000}"/>
    <cellStyle name="Input 5 2 3" xfId="773" xr:uid="{00000000-0005-0000-0000-00002F3D0000}"/>
    <cellStyle name="Input 5 2 3 10" xfId="19758" xr:uid="{00000000-0005-0000-0000-0000303D0000}"/>
    <cellStyle name="Input 5 2 3 11" xfId="30603" xr:uid="{00000000-0005-0000-0000-0000313D0000}"/>
    <cellStyle name="Input 5 2 3 12" xfId="11792" xr:uid="{00000000-0005-0000-0000-0000323D0000}"/>
    <cellStyle name="Input 5 2 3 2" xfId="1360" xr:uid="{00000000-0005-0000-0000-0000333D0000}"/>
    <cellStyle name="Input 5 2 3 2 2" xfId="4213" xr:uid="{00000000-0005-0000-0000-0000343D0000}"/>
    <cellStyle name="Input 5 2 3 2 2 2" xfId="23185" xr:uid="{00000000-0005-0000-0000-0000353D0000}"/>
    <cellStyle name="Input 5 2 3 2 2 3" xfId="34030" xr:uid="{00000000-0005-0000-0000-0000363D0000}"/>
    <cellStyle name="Input 5 2 3 2 2 4" xfId="14253" xr:uid="{00000000-0005-0000-0000-0000373D0000}"/>
    <cellStyle name="Input 5 2 3 2 3" xfId="6886" xr:uid="{00000000-0005-0000-0000-0000383D0000}"/>
    <cellStyle name="Input 5 2 3 2 3 2" xfId="25858" xr:uid="{00000000-0005-0000-0000-0000393D0000}"/>
    <cellStyle name="Input 5 2 3 2 3 3" xfId="36703" xr:uid="{00000000-0005-0000-0000-00003A3D0000}"/>
    <cellStyle name="Input 5 2 3 2 3 4" xfId="16168" xr:uid="{00000000-0005-0000-0000-00003B3D0000}"/>
    <cellStyle name="Input 5 2 3 2 4" xfId="9545" xr:uid="{00000000-0005-0000-0000-00003C3D0000}"/>
    <cellStyle name="Input 5 2 3 2 4 2" xfId="28517" xr:uid="{00000000-0005-0000-0000-00003D3D0000}"/>
    <cellStyle name="Input 5 2 3 2 4 3" xfId="39362" xr:uid="{00000000-0005-0000-0000-00003E3D0000}"/>
    <cellStyle name="Input 5 2 3 2 4 4" xfId="18072" xr:uid="{00000000-0005-0000-0000-00003F3D0000}"/>
    <cellStyle name="Input 5 2 3 2 5" xfId="20341" xr:uid="{00000000-0005-0000-0000-0000403D0000}"/>
    <cellStyle name="Input 5 2 3 2 6" xfId="31186" xr:uid="{00000000-0005-0000-0000-0000413D0000}"/>
    <cellStyle name="Input 5 2 3 2 7" xfId="12218" xr:uid="{00000000-0005-0000-0000-0000423D0000}"/>
    <cellStyle name="Input 5 2 3 3" xfId="1759" xr:uid="{00000000-0005-0000-0000-0000433D0000}"/>
    <cellStyle name="Input 5 2 3 3 2" xfId="4612" xr:uid="{00000000-0005-0000-0000-0000443D0000}"/>
    <cellStyle name="Input 5 2 3 3 2 2" xfId="23584" xr:uid="{00000000-0005-0000-0000-0000453D0000}"/>
    <cellStyle name="Input 5 2 3 3 2 3" xfId="34429" xr:uid="{00000000-0005-0000-0000-0000463D0000}"/>
    <cellStyle name="Input 5 2 3 3 2 4" xfId="14540" xr:uid="{00000000-0005-0000-0000-0000473D0000}"/>
    <cellStyle name="Input 5 2 3 3 3" xfId="7284" xr:uid="{00000000-0005-0000-0000-0000483D0000}"/>
    <cellStyle name="Input 5 2 3 3 3 2" xfId="26256" xr:uid="{00000000-0005-0000-0000-0000493D0000}"/>
    <cellStyle name="Input 5 2 3 3 3 3" xfId="37101" xr:uid="{00000000-0005-0000-0000-00004A3D0000}"/>
    <cellStyle name="Input 5 2 3 3 3 4" xfId="16454" xr:uid="{00000000-0005-0000-0000-00004B3D0000}"/>
    <cellStyle name="Input 5 2 3 3 4" xfId="9943" xr:uid="{00000000-0005-0000-0000-00004C3D0000}"/>
    <cellStyle name="Input 5 2 3 3 4 2" xfId="28915" xr:uid="{00000000-0005-0000-0000-00004D3D0000}"/>
    <cellStyle name="Input 5 2 3 3 4 3" xfId="39760" xr:uid="{00000000-0005-0000-0000-00004E3D0000}"/>
    <cellStyle name="Input 5 2 3 3 4 4" xfId="18358" xr:uid="{00000000-0005-0000-0000-00004F3D0000}"/>
    <cellStyle name="Input 5 2 3 3 5" xfId="20739" xr:uid="{00000000-0005-0000-0000-0000503D0000}"/>
    <cellStyle name="Input 5 2 3 3 6" xfId="31584" xr:uid="{00000000-0005-0000-0000-0000513D0000}"/>
    <cellStyle name="Input 5 2 3 3 7" xfId="12504" xr:uid="{00000000-0005-0000-0000-0000523D0000}"/>
    <cellStyle name="Input 5 2 3 4" xfId="2163" xr:uid="{00000000-0005-0000-0000-0000533D0000}"/>
    <cellStyle name="Input 5 2 3 4 2" xfId="5016" xr:uid="{00000000-0005-0000-0000-0000543D0000}"/>
    <cellStyle name="Input 5 2 3 4 2 2" xfId="23988" xr:uid="{00000000-0005-0000-0000-0000553D0000}"/>
    <cellStyle name="Input 5 2 3 4 2 3" xfId="34833" xr:uid="{00000000-0005-0000-0000-0000563D0000}"/>
    <cellStyle name="Input 5 2 3 4 2 4" xfId="14827" xr:uid="{00000000-0005-0000-0000-0000573D0000}"/>
    <cellStyle name="Input 5 2 3 4 3" xfId="7687" xr:uid="{00000000-0005-0000-0000-0000583D0000}"/>
    <cellStyle name="Input 5 2 3 4 3 2" xfId="26659" xr:uid="{00000000-0005-0000-0000-0000593D0000}"/>
    <cellStyle name="Input 5 2 3 4 3 3" xfId="37504" xr:uid="{00000000-0005-0000-0000-00005A3D0000}"/>
    <cellStyle name="Input 5 2 3 4 3 4" xfId="16740" xr:uid="{00000000-0005-0000-0000-00005B3D0000}"/>
    <cellStyle name="Input 5 2 3 4 4" xfId="10346" xr:uid="{00000000-0005-0000-0000-00005C3D0000}"/>
    <cellStyle name="Input 5 2 3 4 4 2" xfId="29318" xr:uid="{00000000-0005-0000-0000-00005D3D0000}"/>
    <cellStyle name="Input 5 2 3 4 4 3" xfId="40163" xr:uid="{00000000-0005-0000-0000-00005E3D0000}"/>
    <cellStyle name="Input 5 2 3 4 4 4" xfId="18644" xr:uid="{00000000-0005-0000-0000-00005F3D0000}"/>
    <cellStyle name="Input 5 2 3 4 5" xfId="21142" xr:uid="{00000000-0005-0000-0000-0000603D0000}"/>
    <cellStyle name="Input 5 2 3 4 6" xfId="31987" xr:uid="{00000000-0005-0000-0000-0000613D0000}"/>
    <cellStyle name="Input 5 2 3 4 7" xfId="12790" xr:uid="{00000000-0005-0000-0000-0000623D0000}"/>
    <cellStyle name="Input 5 2 3 5" xfId="2553" xr:uid="{00000000-0005-0000-0000-0000633D0000}"/>
    <cellStyle name="Input 5 2 3 5 2" xfId="5405" xr:uid="{00000000-0005-0000-0000-0000643D0000}"/>
    <cellStyle name="Input 5 2 3 5 2 2" xfId="24377" xr:uid="{00000000-0005-0000-0000-0000653D0000}"/>
    <cellStyle name="Input 5 2 3 5 2 3" xfId="35222" xr:uid="{00000000-0005-0000-0000-0000663D0000}"/>
    <cellStyle name="Input 5 2 3 5 2 4" xfId="15106" xr:uid="{00000000-0005-0000-0000-0000673D0000}"/>
    <cellStyle name="Input 5 2 3 5 3" xfId="8076" xr:uid="{00000000-0005-0000-0000-0000683D0000}"/>
    <cellStyle name="Input 5 2 3 5 3 2" xfId="27048" xr:uid="{00000000-0005-0000-0000-0000693D0000}"/>
    <cellStyle name="Input 5 2 3 5 3 3" xfId="37893" xr:uid="{00000000-0005-0000-0000-00006A3D0000}"/>
    <cellStyle name="Input 5 2 3 5 3 4" xfId="17019" xr:uid="{00000000-0005-0000-0000-00006B3D0000}"/>
    <cellStyle name="Input 5 2 3 5 4" xfId="10735" xr:uid="{00000000-0005-0000-0000-00006C3D0000}"/>
    <cellStyle name="Input 5 2 3 5 4 2" xfId="29707" xr:uid="{00000000-0005-0000-0000-00006D3D0000}"/>
    <cellStyle name="Input 5 2 3 5 4 3" xfId="40552" xr:uid="{00000000-0005-0000-0000-00006E3D0000}"/>
    <cellStyle name="Input 5 2 3 5 4 4" xfId="18923" xr:uid="{00000000-0005-0000-0000-00006F3D0000}"/>
    <cellStyle name="Input 5 2 3 5 5" xfId="21531" xr:uid="{00000000-0005-0000-0000-0000703D0000}"/>
    <cellStyle name="Input 5 2 3 5 6" xfId="32376" xr:uid="{00000000-0005-0000-0000-0000713D0000}"/>
    <cellStyle name="Input 5 2 3 5 7" xfId="13069" xr:uid="{00000000-0005-0000-0000-0000723D0000}"/>
    <cellStyle name="Input 5 2 3 6" xfId="2939" xr:uid="{00000000-0005-0000-0000-0000733D0000}"/>
    <cellStyle name="Input 5 2 3 6 2" xfId="5790" xr:uid="{00000000-0005-0000-0000-0000743D0000}"/>
    <cellStyle name="Input 5 2 3 6 2 2" xfId="24762" xr:uid="{00000000-0005-0000-0000-0000753D0000}"/>
    <cellStyle name="Input 5 2 3 6 2 3" xfId="35607" xr:uid="{00000000-0005-0000-0000-0000763D0000}"/>
    <cellStyle name="Input 5 2 3 6 2 4" xfId="15382" xr:uid="{00000000-0005-0000-0000-0000773D0000}"/>
    <cellStyle name="Input 5 2 3 6 3" xfId="8461" xr:uid="{00000000-0005-0000-0000-0000783D0000}"/>
    <cellStyle name="Input 5 2 3 6 3 2" xfId="27433" xr:uid="{00000000-0005-0000-0000-0000793D0000}"/>
    <cellStyle name="Input 5 2 3 6 3 3" xfId="38278" xr:uid="{00000000-0005-0000-0000-00007A3D0000}"/>
    <cellStyle name="Input 5 2 3 6 3 4" xfId="17295" xr:uid="{00000000-0005-0000-0000-00007B3D0000}"/>
    <cellStyle name="Input 5 2 3 6 4" xfId="11120" xr:uid="{00000000-0005-0000-0000-00007C3D0000}"/>
    <cellStyle name="Input 5 2 3 6 4 2" xfId="30092" xr:uid="{00000000-0005-0000-0000-00007D3D0000}"/>
    <cellStyle name="Input 5 2 3 6 4 3" xfId="40937" xr:uid="{00000000-0005-0000-0000-00007E3D0000}"/>
    <cellStyle name="Input 5 2 3 6 4 4" xfId="19199" xr:uid="{00000000-0005-0000-0000-00007F3D0000}"/>
    <cellStyle name="Input 5 2 3 6 5" xfId="21916" xr:uid="{00000000-0005-0000-0000-0000803D0000}"/>
    <cellStyle name="Input 5 2 3 6 6" xfId="32761" xr:uid="{00000000-0005-0000-0000-0000813D0000}"/>
    <cellStyle name="Input 5 2 3 6 7" xfId="13345" xr:uid="{00000000-0005-0000-0000-0000823D0000}"/>
    <cellStyle name="Input 5 2 3 7" xfId="3628" xr:uid="{00000000-0005-0000-0000-0000833D0000}"/>
    <cellStyle name="Input 5 2 3 7 2" xfId="22600" xr:uid="{00000000-0005-0000-0000-0000843D0000}"/>
    <cellStyle name="Input 5 2 3 7 3" xfId="33445" xr:uid="{00000000-0005-0000-0000-0000853D0000}"/>
    <cellStyle name="Input 5 2 3 7 4" xfId="13826" xr:uid="{00000000-0005-0000-0000-0000863D0000}"/>
    <cellStyle name="Input 5 2 3 8" xfId="6303" xr:uid="{00000000-0005-0000-0000-0000873D0000}"/>
    <cellStyle name="Input 5 2 3 8 2" xfId="25275" xr:uid="{00000000-0005-0000-0000-0000883D0000}"/>
    <cellStyle name="Input 5 2 3 8 3" xfId="36120" xr:uid="{00000000-0005-0000-0000-0000893D0000}"/>
    <cellStyle name="Input 5 2 3 8 4" xfId="15742" xr:uid="{00000000-0005-0000-0000-00008A3D0000}"/>
    <cellStyle name="Input 5 2 3 9" xfId="8962" xr:uid="{00000000-0005-0000-0000-00008B3D0000}"/>
    <cellStyle name="Input 5 2 3 9 2" xfId="27934" xr:uid="{00000000-0005-0000-0000-00008C3D0000}"/>
    <cellStyle name="Input 5 2 3 9 3" xfId="38779" xr:uid="{00000000-0005-0000-0000-00008D3D0000}"/>
    <cellStyle name="Input 5 2 3 9 4" xfId="17646" xr:uid="{00000000-0005-0000-0000-00008E3D0000}"/>
    <cellStyle name="Input 5 2 4" xfId="832" xr:uid="{00000000-0005-0000-0000-00008F3D0000}"/>
    <cellStyle name="Input 5 2 4 10" xfId="19817" xr:uid="{00000000-0005-0000-0000-0000903D0000}"/>
    <cellStyle name="Input 5 2 4 11" xfId="30662" xr:uid="{00000000-0005-0000-0000-0000913D0000}"/>
    <cellStyle name="Input 5 2 4 12" xfId="11831" xr:uid="{00000000-0005-0000-0000-0000923D0000}"/>
    <cellStyle name="Input 5 2 4 2" xfId="1419" xr:uid="{00000000-0005-0000-0000-0000933D0000}"/>
    <cellStyle name="Input 5 2 4 2 2" xfId="4272" xr:uid="{00000000-0005-0000-0000-0000943D0000}"/>
    <cellStyle name="Input 5 2 4 2 2 2" xfId="23244" xr:uid="{00000000-0005-0000-0000-0000953D0000}"/>
    <cellStyle name="Input 5 2 4 2 2 3" xfId="34089" xr:uid="{00000000-0005-0000-0000-0000963D0000}"/>
    <cellStyle name="Input 5 2 4 2 2 4" xfId="14292" xr:uid="{00000000-0005-0000-0000-0000973D0000}"/>
    <cellStyle name="Input 5 2 4 2 3" xfId="6945" xr:uid="{00000000-0005-0000-0000-0000983D0000}"/>
    <cellStyle name="Input 5 2 4 2 3 2" xfId="25917" xr:uid="{00000000-0005-0000-0000-0000993D0000}"/>
    <cellStyle name="Input 5 2 4 2 3 3" xfId="36762" xr:uid="{00000000-0005-0000-0000-00009A3D0000}"/>
    <cellStyle name="Input 5 2 4 2 3 4" xfId="16207" xr:uid="{00000000-0005-0000-0000-00009B3D0000}"/>
    <cellStyle name="Input 5 2 4 2 4" xfId="9604" xr:uid="{00000000-0005-0000-0000-00009C3D0000}"/>
    <cellStyle name="Input 5 2 4 2 4 2" xfId="28576" xr:uid="{00000000-0005-0000-0000-00009D3D0000}"/>
    <cellStyle name="Input 5 2 4 2 4 3" xfId="39421" xr:uid="{00000000-0005-0000-0000-00009E3D0000}"/>
    <cellStyle name="Input 5 2 4 2 4 4" xfId="18111" xr:uid="{00000000-0005-0000-0000-00009F3D0000}"/>
    <cellStyle name="Input 5 2 4 2 5" xfId="20400" xr:uid="{00000000-0005-0000-0000-0000A03D0000}"/>
    <cellStyle name="Input 5 2 4 2 6" xfId="31245" xr:uid="{00000000-0005-0000-0000-0000A13D0000}"/>
    <cellStyle name="Input 5 2 4 2 7" xfId="12257" xr:uid="{00000000-0005-0000-0000-0000A23D0000}"/>
    <cellStyle name="Input 5 2 4 3" xfId="1818" xr:uid="{00000000-0005-0000-0000-0000A33D0000}"/>
    <cellStyle name="Input 5 2 4 3 2" xfId="4671" xr:uid="{00000000-0005-0000-0000-0000A43D0000}"/>
    <cellStyle name="Input 5 2 4 3 2 2" xfId="23643" xr:uid="{00000000-0005-0000-0000-0000A53D0000}"/>
    <cellStyle name="Input 5 2 4 3 2 3" xfId="34488" xr:uid="{00000000-0005-0000-0000-0000A63D0000}"/>
    <cellStyle name="Input 5 2 4 3 2 4" xfId="14579" xr:uid="{00000000-0005-0000-0000-0000A73D0000}"/>
    <cellStyle name="Input 5 2 4 3 3" xfId="7343" xr:uid="{00000000-0005-0000-0000-0000A83D0000}"/>
    <cellStyle name="Input 5 2 4 3 3 2" xfId="26315" xr:uid="{00000000-0005-0000-0000-0000A93D0000}"/>
    <cellStyle name="Input 5 2 4 3 3 3" xfId="37160" xr:uid="{00000000-0005-0000-0000-0000AA3D0000}"/>
    <cellStyle name="Input 5 2 4 3 3 4" xfId="16493" xr:uid="{00000000-0005-0000-0000-0000AB3D0000}"/>
    <cellStyle name="Input 5 2 4 3 4" xfId="10002" xr:uid="{00000000-0005-0000-0000-0000AC3D0000}"/>
    <cellStyle name="Input 5 2 4 3 4 2" xfId="28974" xr:uid="{00000000-0005-0000-0000-0000AD3D0000}"/>
    <cellStyle name="Input 5 2 4 3 4 3" xfId="39819" xr:uid="{00000000-0005-0000-0000-0000AE3D0000}"/>
    <cellStyle name="Input 5 2 4 3 4 4" xfId="18397" xr:uid="{00000000-0005-0000-0000-0000AF3D0000}"/>
    <cellStyle name="Input 5 2 4 3 5" xfId="20798" xr:uid="{00000000-0005-0000-0000-0000B03D0000}"/>
    <cellStyle name="Input 5 2 4 3 6" xfId="31643" xr:uid="{00000000-0005-0000-0000-0000B13D0000}"/>
    <cellStyle name="Input 5 2 4 3 7" xfId="12543" xr:uid="{00000000-0005-0000-0000-0000B23D0000}"/>
    <cellStyle name="Input 5 2 4 4" xfId="2222" xr:uid="{00000000-0005-0000-0000-0000B33D0000}"/>
    <cellStyle name="Input 5 2 4 4 2" xfId="5075" xr:uid="{00000000-0005-0000-0000-0000B43D0000}"/>
    <cellStyle name="Input 5 2 4 4 2 2" xfId="24047" xr:uid="{00000000-0005-0000-0000-0000B53D0000}"/>
    <cellStyle name="Input 5 2 4 4 2 3" xfId="34892" xr:uid="{00000000-0005-0000-0000-0000B63D0000}"/>
    <cellStyle name="Input 5 2 4 4 2 4" xfId="14866" xr:uid="{00000000-0005-0000-0000-0000B73D0000}"/>
    <cellStyle name="Input 5 2 4 4 3" xfId="7746" xr:uid="{00000000-0005-0000-0000-0000B83D0000}"/>
    <cellStyle name="Input 5 2 4 4 3 2" xfId="26718" xr:uid="{00000000-0005-0000-0000-0000B93D0000}"/>
    <cellStyle name="Input 5 2 4 4 3 3" xfId="37563" xr:uid="{00000000-0005-0000-0000-0000BA3D0000}"/>
    <cellStyle name="Input 5 2 4 4 3 4" xfId="16779" xr:uid="{00000000-0005-0000-0000-0000BB3D0000}"/>
    <cellStyle name="Input 5 2 4 4 4" xfId="10405" xr:uid="{00000000-0005-0000-0000-0000BC3D0000}"/>
    <cellStyle name="Input 5 2 4 4 4 2" xfId="29377" xr:uid="{00000000-0005-0000-0000-0000BD3D0000}"/>
    <cellStyle name="Input 5 2 4 4 4 3" xfId="40222" xr:uid="{00000000-0005-0000-0000-0000BE3D0000}"/>
    <cellStyle name="Input 5 2 4 4 4 4" xfId="18683" xr:uid="{00000000-0005-0000-0000-0000BF3D0000}"/>
    <cellStyle name="Input 5 2 4 4 5" xfId="21201" xr:uid="{00000000-0005-0000-0000-0000C03D0000}"/>
    <cellStyle name="Input 5 2 4 4 6" xfId="32046" xr:uid="{00000000-0005-0000-0000-0000C13D0000}"/>
    <cellStyle name="Input 5 2 4 4 7" xfId="12829" xr:uid="{00000000-0005-0000-0000-0000C23D0000}"/>
    <cellStyle name="Input 5 2 4 5" xfId="2612" xr:uid="{00000000-0005-0000-0000-0000C33D0000}"/>
    <cellStyle name="Input 5 2 4 5 2" xfId="5464" xr:uid="{00000000-0005-0000-0000-0000C43D0000}"/>
    <cellStyle name="Input 5 2 4 5 2 2" xfId="24436" xr:uid="{00000000-0005-0000-0000-0000C53D0000}"/>
    <cellStyle name="Input 5 2 4 5 2 3" xfId="35281" xr:uid="{00000000-0005-0000-0000-0000C63D0000}"/>
    <cellStyle name="Input 5 2 4 5 2 4" xfId="15145" xr:uid="{00000000-0005-0000-0000-0000C73D0000}"/>
    <cellStyle name="Input 5 2 4 5 3" xfId="8135" xr:uid="{00000000-0005-0000-0000-0000C83D0000}"/>
    <cellStyle name="Input 5 2 4 5 3 2" xfId="27107" xr:uid="{00000000-0005-0000-0000-0000C93D0000}"/>
    <cellStyle name="Input 5 2 4 5 3 3" xfId="37952" xr:uid="{00000000-0005-0000-0000-0000CA3D0000}"/>
    <cellStyle name="Input 5 2 4 5 3 4" xfId="17058" xr:uid="{00000000-0005-0000-0000-0000CB3D0000}"/>
    <cellStyle name="Input 5 2 4 5 4" xfId="10794" xr:uid="{00000000-0005-0000-0000-0000CC3D0000}"/>
    <cellStyle name="Input 5 2 4 5 4 2" xfId="29766" xr:uid="{00000000-0005-0000-0000-0000CD3D0000}"/>
    <cellStyle name="Input 5 2 4 5 4 3" xfId="40611" xr:uid="{00000000-0005-0000-0000-0000CE3D0000}"/>
    <cellStyle name="Input 5 2 4 5 4 4" xfId="18962" xr:uid="{00000000-0005-0000-0000-0000CF3D0000}"/>
    <cellStyle name="Input 5 2 4 5 5" xfId="21590" xr:uid="{00000000-0005-0000-0000-0000D03D0000}"/>
    <cellStyle name="Input 5 2 4 5 6" xfId="32435" xr:uid="{00000000-0005-0000-0000-0000D13D0000}"/>
    <cellStyle name="Input 5 2 4 5 7" xfId="13108" xr:uid="{00000000-0005-0000-0000-0000D23D0000}"/>
    <cellStyle name="Input 5 2 4 6" xfId="2998" xr:uid="{00000000-0005-0000-0000-0000D33D0000}"/>
    <cellStyle name="Input 5 2 4 6 2" xfId="5849" xr:uid="{00000000-0005-0000-0000-0000D43D0000}"/>
    <cellStyle name="Input 5 2 4 6 2 2" xfId="24821" xr:uid="{00000000-0005-0000-0000-0000D53D0000}"/>
    <cellStyle name="Input 5 2 4 6 2 3" xfId="35666" xr:uid="{00000000-0005-0000-0000-0000D63D0000}"/>
    <cellStyle name="Input 5 2 4 6 2 4" xfId="15421" xr:uid="{00000000-0005-0000-0000-0000D73D0000}"/>
    <cellStyle name="Input 5 2 4 6 3" xfId="8520" xr:uid="{00000000-0005-0000-0000-0000D83D0000}"/>
    <cellStyle name="Input 5 2 4 6 3 2" xfId="27492" xr:uid="{00000000-0005-0000-0000-0000D93D0000}"/>
    <cellStyle name="Input 5 2 4 6 3 3" xfId="38337" xr:uid="{00000000-0005-0000-0000-0000DA3D0000}"/>
    <cellStyle name="Input 5 2 4 6 3 4" xfId="17334" xr:uid="{00000000-0005-0000-0000-0000DB3D0000}"/>
    <cellStyle name="Input 5 2 4 6 4" xfId="11179" xr:uid="{00000000-0005-0000-0000-0000DC3D0000}"/>
    <cellStyle name="Input 5 2 4 6 4 2" xfId="30151" xr:uid="{00000000-0005-0000-0000-0000DD3D0000}"/>
    <cellStyle name="Input 5 2 4 6 4 3" xfId="40996" xr:uid="{00000000-0005-0000-0000-0000DE3D0000}"/>
    <cellStyle name="Input 5 2 4 6 4 4" xfId="19238" xr:uid="{00000000-0005-0000-0000-0000DF3D0000}"/>
    <cellStyle name="Input 5 2 4 6 5" xfId="21975" xr:uid="{00000000-0005-0000-0000-0000E03D0000}"/>
    <cellStyle name="Input 5 2 4 6 6" xfId="32820" xr:uid="{00000000-0005-0000-0000-0000E13D0000}"/>
    <cellStyle name="Input 5 2 4 6 7" xfId="13384" xr:uid="{00000000-0005-0000-0000-0000E23D0000}"/>
    <cellStyle name="Input 5 2 4 7" xfId="3687" xr:uid="{00000000-0005-0000-0000-0000E33D0000}"/>
    <cellStyle name="Input 5 2 4 7 2" xfId="22659" xr:uid="{00000000-0005-0000-0000-0000E43D0000}"/>
    <cellStyle name="Input 5 2 4 7 3" xfId="33504" xr:uid="{00000000-0005-0000-0000-0000E53D0000}"/>
    <cellStyle name="Input 5 2 4 7 4" xfId="13865" xr:uid="{00000000-0005-0000-0000-0000E63D0000}"/>
    <cellStyle name="Input 5 2 4 8" xfId="6362" xr:uid="{00000000-0005-0000-0000-0000E73D0000}"/>
    <cellStyle name="Input 5 2 4 8 2" xfId="25334" xr:uid="{00000000-0005-0000-0000-0000E83D0000}"/>
    <cellStyle name="Input 5 2 4 8 3" xfId="36179" xr:uid="{00000000-0005-0000-0000-0000E93D0000}"/>
    <cellStyle name="Input 5 2 4 8 4" xfId="15781" xr:uid="{00000000-0005-0000-0000-0000EA3D0000}"/>
    <cellStyle name="Input 5 2 4 9" xfId="9021" xr:uid="{00000000-0005-0000-0000-0000EB3D0000}"/>
    <cellStyle name="Input 5 2 4 9 2" xfId="27993" xr:uid="{00000000-0005-0000-0000-0000EC3D0000}"/>
    <cellStyle name="Input 5 2 4 9 3" xfId="38838" xr:uid="{00000000-0005-0000-0000-0000ED3D0000}"/>
    <cellStyle name="Input 5 2 4 9 4" xfId="17685" xr:uid="{00000000-0005-0000-0000-0000EE3D0000}"/>
    <cellStyle name="Input 5 2 5" xfId="891" xr:uid="{00000000-0005-0000-0000-0000EF3D0000}"/>
    <cellStyle name="Input 5 2 5 10" xfId="19876" xr:uid="{00000000-0005-0000-0000-0000F03D0000}"/>
    <cellStyle name="Input 5 2 5 11" xfId="30721" xr:uid="{00000000-0005-0000-0000-0000F13D0000}"/>
    <cellStyle name="Input 5 2 5 12" xfId="11870" xr:uid="{00000000-0005-0000-0000-0000F23D0000}"/>
    <cellStyle name="Input 5 2 5 2" xfId="1478" xr:uid="{00000000-0005-0000-0000-0000F33D0000}"/>
    <cellStyle name="Input 5 2 5 2 2" xfId="4331" xr:uid="{00000000-0005-0000-0000-0000F43D0000}"/>
    <cellStyle name="Input 5 2 5 2 2 2" xfId="23303" xr:uid="{00000000-0005-0000-0000-0000F53D0000}"/>
    <cellStyle name="Input 5 2 5 2 2 3" xfId="34148" xr:uid="{00000000-0005-0000-0000-0000F63D0000}"/>
    <cellStyle name="Input 5 2 5 2 2 4" xfId="14331" xr:uid="{00000000-0005-0000-0000-0000F73D0000}"/>
    <cellStyle name="Input 5 2 5 2 3" xfId="7004" xr:uid="{00000000-0005-0000-0000-0000F83D0000}"/>
    <cellStyle name="Input 5 2 5 2 3 2" xfId="25976" xr:uid="{00000000-0005-0000-0000-0000F93D0000}"/>
    <cellStyle name="Input 5 2 5 2 3 3" xfId="36821" xr:uid="{00000000-0005-0000-0000-0000FA3D0000}"/>
    <cellStyle name="Input 5 2 5 2 3 4" xfId="16246" xr:uid="{00000000-0005-0000-0000-0000FB3D0000}"/>
    <cellStyle name="Input 5 2 5 2 4" xfId="9663" xr:uid="{00000000-0005-0000-0000-0000FC3D0000}"/>
    <cellStyle name="Input 5 2 5 2 4 2" xfId="28635" xr:uid="{00000000-0005-0000-0000-0000FD3D0000}"/>
    <cellStyle name="Input 5 2 5 2 4 3" xfId="39480" xr:uid="{00000000-0005-0000-0000-0000FE3D0000}"/>
    <cellStyle name="Input 5 2 5 2 4 4" xfId="18150" xr:uid="{00000000-0005-0000-0000-0000FF3D0000}"/>
    <cellStyle name="Input 5 2 5 2 5" xfId="20459" xr:uid="{00000000-0005-0000-0000-0000003E0000}"/>
    <cellStyle name="Input 5 2 5 2 6" xfId="31304" xr:uid="{00000000-0005-0000-0000-0000013E0000}"/>
    <cellStyle name="Input 5 2 5 2 7" xfId="12296" xr:uid="{00000000-0005-0000-0000-0000023E0000}"/>
    <cellStyle name="Input 5 2 5 3" xfId="1877" xr:uid="{00000000-0005-0000-0000-0000033E0000}"/>
    <cellStyle name="Input 5 2 5 3 2" xfId="4730" xr:uid="{00000000-0005-0000-0000-0000043E0000}"/>
    <cellStyle name="Input 5 2 5 3 2 2" xfId="23702" xr:uid="{00000000-0005-0000-0000-0000053E0000}"/>
    <cellStyle name="Input 5 2 5 3 2 3" xfId="34547" xr:uid="{00000000-0005-0000-0000-0000063E0000}"/>
    <cellStyle name="Input 5 2 5 3 2 4" xfId="14618" xr:uid="{00000000-0005-0000-0000-0000073E0000}"/>
    <cellStyle name="Input 5 2 5 3 3" xfId="7402" xr:uid="{00000000-0005-0000-0000-0000083E0000}"/>
    <cellStyle name="Input 5 2 5 3 3 2" xfId="26374" xr:uid="{00000000-0005-0000-0000-0000093E0000}"/>
    <cellStyle name="Input 5 2 5 3 3 3" xfId="37219" xr:uid="{00000000-0005-0000-0000-00000A3E0000}"/>
    <cellStyle name="Input 5 2 5 3 3 4" xfId="16532" xr:uid="{00000000-0005-0000-0000-00000B3E0000}"/>
    <cellStyle name="Input 5 2 5 3 4" xfId="10061" xr:uid="{00000000-0005-0000-0000-00000C3E0000}"/>
    <cellStyle name="Input 5 2 5 3 4 2" xfId="29033" xr:uid="{00000000-0005-0000-0000-00000D3E0000}"/>
    <cellStyle name="Input 5 2 5 3 4 3" xfId="39878" xr:uid="{00000000-0005-0000-0000-00000E3E0000}"/>
    <cellStyle name="Input 5 2 5 3 4 4" xfId="18436" xr:uid="{00000000-0005-0000-0000-00000F3E0000}"/>
    <cellStyle name="Input 5 2 5 3 5" xfId="20857" xr:uid="{00000000-0005-0000-0000-0000103E0000}"/>
    <cellStyle name="Input 5 2 5 3 6" xfId="31702" xr:uid="{00000000-0005-0000-0000-0000113E0000}"/>
    <cellStyle name="Input 5 2 5 3 7" xfId="12582" xr:uid="{00000000-0005-0000-0000-0000123E0000}"/>
    <cellStyle name="Input 5 2 5 4" xfId="2281" xr:uid="{00000000-0005-0000-0000-0000133E0000}"/>
    <cellStyle name="Input 5 2 5 4 2" xfId="5134" xr:uid="{00000000-0005-0000-0000-0000143E0000}"/>
    <cellStyle name="Input 5 2 5 4 2 2" xfId="24106" xr:uid="{00000000-0005-0000-0000-0000153E0000}"/>
    <cellStyle name="Input 5 2 5 4 2 3" xfId="34951" xr:uid="{00000000-0005-0000-0000-0000163E0000}"/>
    <cellStyle name="Input 5 2 5 4 2 4" xfId="14905" xr:uid="{00000000-0005-0000-0000-0000173E0000}"/>
    <cellStyle name="Input 5 2 5 4 3" xfId="7805" xr:uid="{00000000-0005-0000-0000-0000183E0000}"/>
    <cellStyle name="Input 5 2 5 4 3 2" xfId="26777" xr:uid="{00000000-0005-0000-0000-0000193E0000}"/>
    <cellStyle name="Input 5 2 5 4 3 3" xfId="37622" xr:uid="{00000000-0005-0000-0000-00001A3E0000}"/>
    <cellStyle name="Input 5 2 5 4 3 4" xfId="16818" xr:uid="{00000000-0005-0000-0000-00001B3E0000}"/>
    <cellStyle name="Input 5 2 5 4 4" xfId="10464" xr:uid="{00000000-0005-0000-0000-00001C3E0000}"/>
    <cellStyle name="Input 5 2 5 4 4 2" xfId="29436" xr:uid="{00000000-0005-0000-0000-00001D3E0000}"/>
    <cellStyle name="Input 5 2 5 4 4 3" xfId="40281" xr:uid="{00000000-0005-0000-0000-00001E3E0000}"/>
    <cellStyle name="Input 5 2 5 4 4 4" xfId="18722" xr:uid="{00000000-0005-0000-0000-00001F3E0000}"/>
    <cellStyle name="Input 5 2 5 4 5" xfId="21260" xr:uid="{00000000-0005-0000-0000-0000203E0000}"/>
    <cellStyle name="Input 5 2 5 4 6" xfId="32105" xr:uid="{00000000-0005-0000-0000-0000213E0000}"/>
    <cellStyle name="Input 5 2 5 4 7" xfId="12868" xr:uid="{00000000-0005-0000-0000-0000223E0000}"/>
    <cellStyle name="Input 5 2 5 5" xfId="2671" xr:uid="{00000000-0005-0000-0000-0000233E0000}"/>
    <cellStyle name="Input 5 2 5 5 2" xfId="5523" xr:uid="{00000000-0005-0000-0000-0000243E0000}"/>
    <cellStyle name="Input 5 2 5 5 2 2" xfId="24495" xr:uid="{00000000-0005-0000-0000-0000253E0000}"/>
    <cellStyle name="Input 5 2 5 5 2 3" xfId="35340" xr:uid="{00000000-0005-0000-0000-0000263E0000}"/>
    <cellStyle name="Input 5 2 5 5 2 4" xfId="15184" xr:uid="{00000000-0005-0000-0000-0000273E0000}"/>
    <cellStyle name="Input 5 2 5 5 3" xfId="8194" xr:uid="{00000000-0005-0000-0000-0000283E0000}"/>
    <cellStyle name="Input 5 2 5 5 3 2" xfId="27166" xr:uid="{00000000-0005-0000-0000-0000293E0000}"/>
    <cellStyle name="Input 5 2 5 5 3 3" xfId="38011" xr:uid="{00000000-0005-0000-0000-00002A3E0000}"/>
    <cellStyle name="Input 5 2 5 5 3 4" xfId="17097" xr:uid="{00000000-0005-0000-0000-00002B3E0000}"/>
    <cellStyle name="Input 5 2 5 5 4" xfId="10853" xr:uid="{00000000-0005-0000-0000-00002C3E0000}"/>
    <cellStyle name="Input 5 2 5 5 4 2" xfId="29825" xr:uid="{00000000-0005-0000-0000-00002D3E0000}"/>
    <cellStyle name="Input 5 2 5 5 4 3" xfId="40670" xr:uid="{00000000-0005-0000-0000-00002E3E0000}"/>
    <cellStyle name="Input 5 2 5 5 4 4" xfId="19001" xr:uid="{00000000-0005-0000-0000-00002F3E0000}"/>
    <cellStyle name="Input 5 2 5 5 5" xfId="21649" xr:uid="{00000000-0005-0000-0000-0000303E0000}"/>
    <cellStyle name="Input 5 2 5 5 6" xfId="32494" xr:uid="{00000000-0005-0000-0000-0000313E0000}"/>
    <cellStyle name="Input 5 2 5 5 7" xfId="13147" xr:uid="{00000000-0005-0000-0000-0000323E0000}"/>
    <cellStyle name="Input 5 2 5 6" xfId="3057" xr:uid="{00000000-0005-0000-0000-0000333E0000}"/>
    <cellStyle name="Input 5 2 5 6 2" xfId="5908" xr:uid="{00000000-0005-0000-0000-0000343E0000}"/>
    <cellStyle name="Input 5 2 5 6 2 2" xfId="24880" xr:uid="{00000000-0005-0000-0000-0000353E0000}"/>
    <cellStyle name="Input 5 2 5 6 2 3" xfId="35725" xr:uid="{00000000-0005-0000-0000-0000363E0000}"/>
    <cellStyle name="Input 5 2 5 6 2 4" xfId="15460" xr:uid="{00000000-0005-0000-0000-0000373E0000}"/>
    <cellStyle name="Input 5 2 5 6 3" xfId="8579" xr:uid="{00000000-0005-0000-0000-0000383E0000}"/>
    <cellStyle name="Input 5 2 5 6 3 2" xfId="27551" xr:uid="{00000000-0005-0000-0000-0000393E0000}"/>
    <cellStyle name="Input 5 2 5 6 3 3" xfId="38396" xr:uid="{00000000-0005-0000-0000-00003A3E0000}"/>
    <cellStyle name="Input 5 2 5 6 3 4" xfId="17373" xr:uid="{00000000-0005-0000-0000-00003B3E0000}"/>
    <cellStyle name="Input 5 2 5 6 4" xfId="11238" xr:uid="{00000000-0005-0000-0000-00003C3E0000}"/>
    <cellStyle name="Input 5 2 5 6 4 2" xfId="30210" xr:uid="{00000000-0005-0000-0000-00003D3E0000}"/>
    <cellStyle name="Input 5 2 5 6 4 3" xfId="41055" xr:uid="{00000000-0005-0000-0000-00003E3E0000}"/>
    <cellStyle name="Input 5 2 5 6 4 4" xfId="19277" xr:uid="{00000000-0005-0000-0000-00003F3E0000}"/>
    <cellStyle name="Input 5 2 5 6 5" xfId="22034" xr:uid="{00000000-0005-0000-0000-0000403E0000}"/>
    <cellStyle name="Input 5 2 5 6 6" xfId="32879" xr:uid="{00000000-0005-0000-0000-0000413E0000}"/>
    <cellStyle name="Input 5 2 5 6 7" xfId="13423" xr:uid="{00000000-0005-0000-0000-0000423E0000}"/>
    <cellStyle name="Input 5 2 5 7" xfId="3746" xr:uid="{00000000-0005-0000-0000-0000433E0000}"/>
    <cellStyle name="Input 5 2 5 7 2" xfId="22718" xr:uid="{00000000-0005-0000-0000-0000443E0000}"/>
    <cellStyle name="Input 5 2 5 7 3" xfId="33563" xr:uid="{00000000-0005-0000-0000-0000453E0000}"/>
    <cellStyle name="Input 5 2 5 7 4" xfId="13904" xr:uid="{00000000-0005-0000-0000-0000463E0000}"/>
    <cellStyle name="Input 5 2 5 8" xfId="6421" xr:uid="{00000000-0005-0000-0000-0000473E0000}"/>
    <cellStyle name="Input 5 2 5 8 2" xfId="25393" xr:uid="{00000000-0005-0000-0000-0000483E0000}"/>
    <cellStyle name="Input 5 2 5 8 3" xfId="36238" xr:uid="{00000000-0005-0000-0000-0000493E0000}"/>
    <cellStyle name="Input 5 2 5 8 4" xfId="15820" xr:uid="{00000000-0005-0000-0000-00004A3E0000}"/>
    <cellStyle name="Input 5 2 5 9" xfId="9080" xr:uid="{00000000-0005-0000-0000-00004B3E0000}"/>
    <cellStyle name="Input 5 2 5 9 2" xfId="28052" xr:uid="{00000000-0005-0000-0000-00004C3E0000}"/>
    <cellStyle name="Input 5 2 5 9 3" xfId="38897" xr:uid="{00000000-0005-0000-0000-00004D3E0000}"/>
    <cellStyle name="Input 5 2 5 9 4" xfId="17724" xr:uid="{00000000-0005-0000-0000-00004E3E0000}"/>
    <cellStyle name="Input 5 2 6" xfId="1121" xr:uid="{00000000-0005-0000-0000-00004F3E0000}"/>
    <cellStyle name="Input 5 2 6 2" xfId="3974" xr:uid="{00000000-0005-0000-0000-0000503E0000}"/>
    <cellStyle name="Input 5 2 6 2 2" xfId="22946" xr:uid="{00000000-0005-0000-0000-0000513E0000}"/>
    <cellStyle name="Input 5 2 6 2 3" xfId="33791" xr:uid="{00000000-0005-0000-0000-0000523E0000}"/>
    <cellStyle name="Input 5 2 6 2 4" xfId="14073" xr:uid="{00000000-0005-0000-0000-0000533E0000}"/>
    <cellStyle name="Input 5 2 6 3" xfId="6647" xr:uid="{00000000-0005-0000-0000-0000543E0000}"/>
    <cellStyle name="Input 5 2 6 3 2" xfId="25619" xr:uid="{00000000-0005-0000-0000-0000553E0000}"/>
    <cellStyle name="Input 5 2 6 3 3" xfId="36464" xr:uid="{00000000-0005-0000-0000-0000563E0000}"/>
    <cellStyle name="Input 5 2 6 3 4" xfId="15988" xr:uid="{00000000-0005-0000-0000-0000573E0000}"/>
    <cellStyle name="Input 5 2 6 4" xfId="9306" xr:uid="{00000000-0005-0000-0000-0000583E0000}"/>
    <cellStyle name="Input 5 2 6 4 2" xfId="28278" xr:uid="{00000000-0005-0000-0000-0000593E0000}"/>
    <cellStyle name="Input 5 2 6 4 3" xfId="39123" xr:uid="{00000000-0005-0000-0000-00005A3E0000}"/>
    <cellStyle name="Input 5 2 6 4 4" xfId="17892" xr:uid="{00000000-0005-0000-0000-00005B3E0000}"/>
    <cellStyle name="Input 5 2 6 5" xfId="20102" xr:uid="{00000000-0005-0000-0000-00005C3E0000}"/>
    <cellStyle name="Input 5 2 6 6" xfId="30947" xr:uid="{00000000-0005-0000-0000-00005D3E0000}"/>
    <cellStyle name="Input 5 2 6 7" xfId="12038" xr:uid="{00000000-0005-0000-0000-00005E3E0000}"/>
    <cellStyle name="Input 5 2 7" xfId="1517" xr:uid="{00000000-0005-0000-0000-00005F3E0000}"/>
    <cellStyle name="Input 5 2 7 2" xfId="4370" xr:uid="{00000000-0005-0000-0000-0000603E0000}"/>
    <cellStyle name="Input 5 2 7 2 2" xfId="23342" xr:uid="{00000000-0005-0000-0000-0000613E0000}"/>
    <cellStyle name="Input 5 2 7 2 3" xfId="34187" xr:uid="{00000000-0005-0000-0000-0000623E0000}"/>
    <cellStyle name="Input 5 2 7 2 4" xfId="14359" xr:uid="{00000000-0005-0000-0000-0000633E0000}"/>
    <cellStyle name="Input 5 2 7 3" xfId="7043" xr:uid="{00000000-0005-0000-0000-0000643E0000}"/>
    <cellStyle name="Input 5 2 7 3 2" xfId="26015" xr:uid="{00000000-0005-0000-0000-0000653E0000}"/>
    <cellStyle name="Input 5 2 7 3 3" xfId="36860" xr:uid="{00000000-0005-0000-0000-0000663E0000}"/>
    <cellStyle name="Input 5 2 7 3 4" xfId="16274" xr:uid="{00000000-0005-0000-0000-0000673E0000}"/>
    <cellStyle name="Input 5 2 7 4" xfId="9702" xr:uid="{00000000-0005-0000-0000-0000683E0000}"/>
    <cellStyle name="Input 5 2 7 4 2" xfId="28674" xr:uid="{00000000-0005-0000-0000-0000693E0000}"/>
    <cellStyle name="Input 5 2 7 4 3" xfId="39519" xr:uid="{00000000-0005-0000-0000-00006A3E0000}"/>
    <cellStyle name="Input 5 2 7 4 4" xfId="18178" xr:uid="{00000000-0005-0000-0000-00006B3E0000}"/>
    <cellStyle name="Input 5 2 7 5" xfId="20498" xr:uid="{00000000-0005-0000-0000-00006C3E0000}"/>
    <cellStyle name="Input 5 2 7 6" xfId="31343" xr:uid="{00000000-0005-0000-0000-00006D3E0000}"/>
    <cellStyle name="Input 5 2 7 7" xfId="12324" xr:uid="{00000000-0005-0000-0000-00006E3E0000}"/>
    <cellStyle name="Input 5 2 8" xfId="1923" xr:uid="{00000000-0005-0000-0000-00006F3E0000}"/>
    <cellStyle name="Input 5 2 8 2" xfId="4776" xr:uid="{00000000-0005-0000-0000-0000703E0000}"/>
    <cellStyle name="Input 5 2 8 2 2" xfId="23748" xr:uid="{00000000-0005-0000-0000-0000713E0000}"/>
    <cellStyle name="Input 5 2 8 2 3" xfId="34593" xr:uid="{00000000-0005-0000-0000-0000723E0000}"/>
    <cellStyle name="Input 5 2 8 2 4" xfId="14648" xr:uid="{00000000-0005-0000-0000-0000733E0000}"/>
    <cellStyle name="Input 5 2 8 3" xfId="7448" xr:uid="{00000000-0005-0000-0000-0000743E0000}"/>
    <cellStyle name="Input 5 2 8 3 2" xfId="26420" xr:uid="{00000000-0005-0000-0000-0000753E0000}"/>
    <cellStyle name="Input 5 2 8 3 3" xfId="37265" xr:uid="{00000000-0005-0000-0000-0000763E0000}"/>
    <cellStyle name="Input 5 2 8 3 4" xfId="16562" xr:uid="{00000000-0005-0000-0000-0000773E0000}"/>
    <cellStyle name="Input 5 2 8 4" xfId="10107" xr:uid="{00000000-0005-0000-0000-0000783E0000}"/>
    <cellStyle name="Input 5 2 8 4 2" xfId="29079" xr:uid="{00000000-0005-0000-0000-0000793E0000}"/>
    <cellStyle name="Input 5 2 8 4 3" xfId="39924" xr:uid="{00000000-0005-0000-0000-00007A3E0000}"/>
    <cellStyle name="Input 5 2 8 4 4" xfId="18466" xr:uid="{00000000-0005-0000-0000-00007B3E0000}"/>
    <cellStyle name="Input 5 2 8 5" xfId="20903" xr:uid="{00000000-0005-0000-0000-00007C3E0000}"/>
    <cellStyle name="Input 5 2 8 6" xfId="31748" xr:uid="{00000000-0005-0000-0000-00007D3E0000}"/>
    <cellStyle name="Input 5 2 8 7" xfId="12612" xr:uid="{00000000-0005-0000-0000-00007E3E0000}"/>
    <cellStyle name="Input 5 2 9" xfId="2316" xr:uid="{00000000-0005-0000-0000-00007F3E0000}"/>
    <cellStyle name="Input 5 2 9 2" xfId="5169" xr:uid="{00000000-0005-0000-0000-0000803E0000}"/>
    <cellStyle name="Input 5 2 9 2 2" xfId="24141" xr:uid="{00000000-0005-0000-0000-0000813E0000}"/>
    <cellStyle name="Input 5 2 9 2 3" xfId="34986" xr:uid="{00000000-0005-0000-0000-0000823E0000}"/>
    <cellStyle name="Input 5 2 9 2 4" xfId="14930" xr:uid="{00000000-0005-0000-0000-0000833E0000}"/>
    <cellStyle name="Input 5 2 9 3" xfId="7840" xr:uid="{00000000-0005-0000-0000-0000843E0000}"/>
    <cellStyle name="Input 5 2 9 3 2" xfId="26812" xr:uid="{00000000-0005-0000-0000-0000853E0000}"/>
    <cellStyle name="Input 5 2 9 3 3" xfId="37657" xr:uid="{00000000-0005-0000-0000-0000863E0000}"/>
    <cellStyle name="Input 5 2 9 3 4" xfId="16843" xr:uid="{00000000-0005-0000-0000-0000873E0000}"/>
    <cellStyle name="Input 5 2 9 4" xfId="10499" xr:uid="{00000000-0005-0000-0000-0000883E0000}"/>
    <cellStyle name="Input 5 2 9 4 2" xfId="29471" xr:uid="{00000000-0005-0000-0000-0000893E0000}"/>
    <cellStyle name="Input 5 2 9 4 3" xfId="40316" xr:uid="{00000000-0005-0000-0000-00008A3E0000}"/>
    <cellStyle name="Input 5 2 9 4 4" xfId="18747" xr:uid="{00000000-0005-0000-0000-00008B3E0000}"/>
    <cellStyle name="Input 5 2 9 5" xfId="21295" xr:uid="{00000000-0005-0000-0000-00008C3E0000}"/>
    <cellStyle name="Input 5 2 9 6" xfId="32140" xr:uid="{00000000-0005-0000-0000-00008D3E0000}"/>
    <cellStyle name="Input 5 2 9 7" xfId="12893" xr:uid="{00000000-0005-0000-0000-00008E3E0000}"/>
    <cellStyle name="Input 5 3" xfId="611" xr:uid="{00000000-0005-0000-0000-00008F3E0000}"/>
    <cellStyle name="Input 5 3 10" xfId="19618" xr:uid="{00000000-0005-0000-0000-0000903E0000}"/>
    <cellStyle name="Input 5 3 11" xfId="30463" xr:uid="{00000000-0005-0000-0000-0000913E0000}"/>
    <cellStyle name="Input 5 3 12" xfId="11673" xr:uid="{00000000-0005-0000-0000-0000923E0000}"/>
    <cellStyle name="Input 5 3 2" xfId="1215" xr:uid="{00000000-0005-0000-0000-0000933E0000}"/>
    <cellStyle name="Input 5 3 2 2" xfId="4068" xr:uid="{00000000-0005-0000-0000-0000943E0000}"/>
    <cellStyle name="Input 5 3 2 2 2" xfId="23040" xr:uid="{00000000-0005-0000-0000-0000953E0000}"/>
    <cellStyle name="Input 5 3 2 2 3" xfId="33885" xr:uid="{00000000-0005-0000-0000-0000963E0000}"/>
    <cellStyle name="Input 5 3 2 2 4" xfId="14148" xr:uid="{00000000-0005-0000-0000-0000973E0000}"/>
    <cellStyle name="Input 5 3 2 3" xfId="6741" xr:uid="{00000000-0005-0000-0000-0000983E0000}"/>
    <cellStyle name="Input 5 3 2 3 2" xfId="25713" xr:uid="{00000000-0005-0000-0000-0000993E0000}"/>
    <cellStyle name="Input 5 3 2 3 3" xfId="36558" xr:uid="{00000000-0005-0000-0000-00009A3E0000}"/>
    <cellStyle name="Input 5 3 2 3 4" xfId="16063" xr:uid="{00000000-0005-0000-0000-00009B3E0000}"/>
    <cellStyle name="Input 5 3 2 4" xfId="9400" xr:uid="{00000000-0005-0000-0000-00009C3E0000}"/>
    <cellStyle name="Input 5 3 2 4 2" xfId="28372" xr:uid="{00000000-0005-0000-0000-00009D3E0000}"/>
    <cellStyle name="Input 5 3 2 4 3" xfId="39217" xr:uid="{00000000-0005-0000-0000-00009E3E0000}"/>
    <cellStyle name="Input 5 3 2 4 4" xfId="17967" xr:uid="{00000000-0005-0000-0000-00009F3E0000}"/>
    <cellStyle name="Input 5 3 2 5" xfId="20196" xr:uid="{00000000-0005-0000-0000-0000A03E0000}"/>
    <cellStyle name="Input 5 3 2 6" xfId="31041" xr:uid="{00000000-0005-0000-0000-0000A13E0000}"/>
    <cellStyle name="Input 5 3 2 7" xfId="12113" xr:uid="{00000000-0005-0000-0000-0000A23E0000}"/>
    <cellStyle name="Input 5 3 3" xfId="1613" xr:uid="{00000000-0005-0000-0000-0000A33E0000}"/>
    <cellStyle name="Input 5 3 3 2" xfId="4466" xr:uid="{00000000-0005-0000-0000-0000A43E0000}"/>
    <cellStyle name="Input 5 3 3 2 2" xfId="23438" xr:uid="{00000000-0005-0000-0000-0000A53E0000}"/>
    <cellStyle name="Input 5 3 3 2 3" xfId="34283" xr:uid="{00000000-0005-0000-0000-0000A63E0000}"/>
    <cellStyle name="Input 5 3 3 2 4" xfId="14435" xr:uid="{00000000-0005-0000-0000-0000A73E0000}"/>
    <cellStyle name="Input 5 3 3 3" xfId="7138" xr:uid="{00000000-0005-0000-0000-0000A83E0000}"/>
    <cellStyle name="Input 5 3 3 3 2" xfId="26110" xr:uid="{00000000-0005-0000-0000-0000A93E0000}"/>
    <cellStyle name="Input 5 3 3 3 3" xfId="36955" xr:uid="{00000000-0005-0000-0000-0000AA3E0000}"/>
    <cellStyle name="Input 5 3 3 3 4" xfId="16349" xr:uid="{00000000-0005-0000-0000-0000AB3E0000}"/>
    <cellStyle name="Input 5 3 3 4" xfId="9797" xr:uid="{00000000-0005-0000-0000-0000AC3E0000}"/>
    <cellStyle name="Input 5 3 3 4 2" xfId="28769" xr:uid="{00000000-0005-0000-0000-0000AD3E0000}"/>
    <cellStyle name="Input 5 3 3 4 3" xfId="39614" xr:uid="{00000000-0005-0000-0000-0000AE3E0000}"/>
    <cellStyle name="Input 5 3 3 4 4" xfId="18253" xr:uid="{00000000-0005-0000-0000-0000AF3E0000}"/>
    <cellStyle name="Input 5 3 3 5" xfId="20593" xr:uid="{00000000-0005-0000-0000-0000B03E0000}"/>
    <cellStyle name="Input 5 3 3 6" xfId="31438" xr:uid="{00000000-0005-0000-0000-0000B13E0000}"/>
    <cellStyle name="Input 5 3 3 7" xfId="12399" xr:uid="{00000000-0005-0000-0000-0000B23E0000}"/>
    <cellStyle name="Input 5 3 4" xfId="2015" xr:uid="{00000000-0005-0000-0000-0000B33E0000}"/>
    <cellStyle name="Input 5 3 4 2" xfId="4868" xr:uid="{00000000-0005-0000-0000-0000B43E0000}"/>
    <cellStyle name="Input 5 3 4 2 2" xfId="23840" xr:uid="{00000000-0005-0000-0000-0000B53E0000}"/>
    <cellStyle name="Input 5 3 4 2 3" xfId="34685" xr:uid="{00000000-0005-0000-0000-0000B63E0000}"/>
    <cellStyle name="Input 5 3 4 2 4" xfId="14721" xr:uid="{00000000-0005-0000-0000-0000B73E0000}"/>
    <cellStyle name="Input 5 3 4 3" xfId="7540" xr:uid="{00000000-0005-0000-0000-0000B83E0000}"/>
    <cellStyle name="Input 5 3 4 3 2" xfId="26512" xr:uid="{00000000-0005-0000-0000-0000B93E0000}"/>
    <cellStyle name="Input 5 3 4 3 3" xfId="37357" xr:uid="{00000000-0005-0000-0000-0000BA3E0000}"/>
    <cellStyle name="Input 5 3 4 3 4" xfId="16635" xr:uid="{00000000-0005-0000-0000-0000BB3E0000}"/>
    <cellStyle name="Input 5 3 4 4" xfId="10199" xr:uid="{00000000-0005-0000-0000-0000BC3E0000}"/>
    <cellStyle name="Input 5 3 4 4 2" xfId="29171" xr:uid="{00000000-0005-0000-0000-0000BD3E0000}"/>
    <cellStyle name="Input 5 3 4 4 3" xfId="40016" xr:uid="{00000000-0005-0000-0000-0000BE3E0000}"/>
    <cellStyle name="Input 5 3 4 4 4" xfId="18539" xr:uid="{00000000-0005-0000-0000-0000BF3E0000}"/>
    <cellStyle name="Input 5 3 4 5" xfId="20995" xr:uid="{00000000-0005-0000-0000-0000C03E0000}"/>
    <cellStyle name="Input 5 3 4 6" xfId="31840" xr:uid="{00000000-0005-0000-0000-0000C13E0000}"/>
    <cellStyle name="Input 5 3 4 7" xfId="12685" xr:uid="{00000000-0005-0000-0000-0000C23E0000}"/>
    <cellStyle name="Input 5 3 5" xfId="2407" xr:uid="{00000000-0005-0000-0000-0000C33E0000}"/>
    <cellStyle name="Input 5 3 5 2" xfId="5260" xr:uid="{00000000-0005-0000-0000-0000C43E0000}"/>
    <cellStyle name="Input 5 3 5 2 2" xfId="24232" xr:uid="{00000000-0005-0000-0000-0000C53E0000}"/>
    <cellStyle name="Input 5 3 5 2 3" xfId="35077" xr:uid="{00000000-0005-0000-0000-0000C63E0000}"/>
    <cellStyle name="Input 5 3 5 2 4" xfId="15002" xr:uid="{00000000-0005-0000-0000-0000C73E0000}"/>
    <cellStyle name="Input 5 3 5 3" xfId="7931" xr:uid="{00000000-0005-0000-0000-0000C83E0000}"/>
    <cellStyle name="Input 5 3 5 3 2" xfId="26903" xr:uid="{00000000-0005-0000-0000-0000C93E0000}"/>
    <cellStyle name="Input 5 3 5 3 3" xfId="37748" xr:uid="{00000000-0005-0000-0000-0000CA3E0000}"/>
    <cellStyle name="Input 5 3 5 3 4" xfId="16915" xr:uid="{00000000-0005-0000-0000-0000CB3E0000}"/>
    <cellStyle name="Input 5 3 5 4" xfId="10590" xr:uid="{00000000-0005-0000-0000-0000CC3E0000}"/>
    <cellStyle name="Input 5 3 5 4 2" xfId="29562" xr:uid="{00000000-0005-0000-0000-0000CD3E0000}"/>
    <cellStyle name="Input 5 3 5 4 3" xfId="40407" xr:uid="{00000000-0005-0000-0000-0000CE3E0000}"/>
    <cellStyle name="Input 5 3 5 4 4" xfId="18819" xr:uid="{00000000-0005-0000-0000-0000CF3E0000}"/>
    <cellStyle name="Input 5 3 5 5" xfId="21386" xr:uid="{00000000-0005-0000-0000-0000D03E0000}"/>
    <cellStyle name="Input 5 3 5 6" xfId="32231" xr:uid="{00000000-0005-0000-0000-0000D13E0000}"/>
    <cellStyle name="Input 5 3 5 7" xfId="12965" xr:uid="{00000000-0005-0000-0000-0000D23E0000}"/>
    <cellStyle name="Input 5 3 6" xfId="2796" xr:uid="{00000000-0005-0000-0000-0000D33E0000}"/>
    <cellStyle name="Input 5 3 6 2" xfId="5648" xr:uid="{00000000-0005-0000-0000-0000D43E0000}"/>
    <cellStyle name="Input 5 3 6 2 2" xfId="24620" xr:uid="{00000000-0005-0000-0000-0000D53E0000}"/>
    <cellStyle name="Input 5 3 6 2 3" xfId="35465" xr:uid="{00000000-0005-0000-0000-0000D63E0000}"/>
    <cellStyle name="Input 5 3 6 2 4" xfId="15280" xr:uid="{00000000-0005-0000-0000-0000D73E0000}"/>
    <cellStyle name="Input 5 3 6 3" xfId="8319" xr:uid="{00000000-0005-0000-0000-0000D83E0000}"/>
    <cellStyle name="Input 5 3 6 3 2" xfId="27291" xr:uid="{00000000-0005-0000-0000-0000D93E0000}"/>
    <cellStyle name="Input 5 3 6 3 3" xfId="38136" xr:uid="{00000000-0005-0000-0000-0000DA3E0000}"/>
    <cellStyle name="Input 5 3 6 3 4" xfId="17193" xr:uid="{00000000-0005-0000-0000-0000DB3E0000}"/>
    <cellStyle name="Input 5 3 6 4" xfId="10978" xr:uid="{00000000-0005-0000-0000-0000DC3E0000}"/>
    <cellStyle name="Input 5 3 6 4 2" xfId="29950" xr:uid="{00000000-0005-0000-0000-0000DD3E0000}"/>
    <cellStyle name="Input 5 3 6 4 3" xfId="40795" xr:uid="{00000000-0005-0000-0000-0000DE3E0000}"/>
    <cellStyle name="Input 5 3 6 4 4" xfId="19097" xr:uid="{00000000-0005-0000-0000-0000DF3E0000}"/>
    <cellStyle name="Input 5 3 6 5" xfId="21774" xr:uid="{00000000-0005-0000-0000-0000E03E0000}"/>
    <cellStyle name="Input 5 3 6 6" xfId="32619" xr:uid="{00000000-0005-0000-0000-0000E13E0000}"/>
    <cellStyle name="Input 5 3 6 7" xfId="13243" xr:uid="{00000000-0005-0000-0000-0000E23E0000}"/>
    <cellStyle name="Input 5 3 7" xfId="3487" xr:uid="{00000000-0005-0000-0000-0000E33E0000}"/>
    <cellStyle name="Input 5 3 7 2" xfId="22459" xr:uid="{00000000-0005-0000-0000-0000E43E0000}"/>
    <cellStyle name="Input 5 3 7 3" xfId="33304" xr:uid="{00000000-0005-0000-0000-0000E53E0000}"/>
    <cellStyle name="Input 5 3 7 4" xfId="13725" xr:uid="{00000000-0005-0000-0000-0000E63E0000}"/>
    <cellStyle name="Input 5 3 8" xfId="6163" xr:uid="{00000000-0005-0000-0000-0000E73E0000}"/>
    <cellStyle name="Input 5 3 8 2" xfId="25135" xr:uid="{00000000-0005-0000-0000-0000E83E0000}"/>
    <cellStyle name="Input 5 3 8 3" xfId="35980" xr:uid="{00000000-0005-0000-0000-0000E93E0000}"/>
    <cellStyle name="Input 5 3 8 4" xfId="15642" xr:uid="{00000000-0005-0000-0000-0000EA3E0000}"/>
    <cellStyle name="Input 5 3 9" xfId="8822" xr:uid="{00000000-0005-0000-0000-0000EB3E0000}"/>
    <cellStyle name="Input 5 3 9 2" xfId="27794" xr:uid="{00000000-0005-0000-0000-0000EC3E0000}"/>
    <cellStyle name="Input 5 3 9 3" xfId="38639" xr:uid="{00000000-0005-0000-0000-0000ED3E0000}"/>
    <cellStyle name="Input 5 3 9 4" xfId="17546" xr:uid="{00000000-0005-0000-0000-0000EE3E0000}"/>
    <cellStyle name="Input 5 4" xfId="11489" xr:uid="{00000000-0005-0000-0000-0000EF3E0000}"/>
    <cellStyle name="Input 6" xfId="365" xr:uid="{00000000-0005-0000-0000-0000F03E0000}"/>
    <cellStyle name="Input 6 10" xfId="1046" xr:uid="{00000000-0005-0000-0000-0000F13E0000}"/>
    <cellStyle name="Input 6 10 2" xfId="3899" xr:uid="{00000000-0005-0000-0000-0000F23E0000}"/>
    <cellStyle name="Input 6 10 2 2" xfId="22871" xr:uid="{00000000-0005-0000-0000-0000F33E0000}"/>
    <cellStyle name="Input 6 10 2 3" xfId="33716" xr:uid="{00000000-0005-0000-0000-0000F43E0000}"/>
    <cellStyle name="Input 6 10 2 4" xfId="14015" xr:uid="{00000000-0005-0000-0000-0000F53E0000}"/>
    <cellStyle name="Input 6 10 3" xfId="6573" xr:uid="{00000000-0005-0000-0000-0000F63E0000}"/>
    <cellStyle name="Input 6 10 3 2" xfId="25545" xr:uid="{00000000-0005-0000-0000-0000F73E0000}"/>
    <cellStyle name="Input 6 10 3 3" xfId="36390" xr:uid="{00000000-0005-0000-0000-0000F83E0000}"/>
    <cellStyle name="Input 6 10 3 4" xfId="15931" xr:uid="{00000000-0005-0000-0000-0000F93E0000}"/>
    <cellStyle name="Input 6 10 4" xfId="9232" xr:uid="{00000000-0005-0000-0000-0000FA3E0000}"/>
    <cellStyle name="Input 6 10 4 2" xfId="28204" xr:uid="{00000000-0005-0000-0000-0000FB3E0000}"/>
    <cellStyle name="Input 6 10 4 3" xfId="39049" xr:uid="{00000000-0005-0000-0000-0000FC3E0000}"/>
    <cellStyle name="Input 6 10 4 4" xfId="17835" xr:uid="{00000000-0005-0000-0000-0000FD3E0000}"/>
    <cellStyle name="Input 6 10 5" xfId="20028" xr:uid="{00000000-0005-0000-0000-0000FE3E0000}"/>
    <cellStyle name="Input 6 10 6" xfId="30873" xr:uid="{00000000-0005-0000-0000-0000FF3E0000}"/>
    <cellStyle name="Input 6 10 7" xfId="11981" xr:uid="{00000000-0005-0000-0000-0000003F0000}"/>
    <cellStyle name="Input 6 11" xfId="1202" xr:uid="{00000000-0005-0000-0000-0000013F0000}"/>
    <cellStyle name="Input 6 11 2" xfId="4055" xr:uid="{00000000-0005-0000-0000-0000023F0000}"/>
    <cellStyle name="Input 6 11 2 2" xfId="23027" xr:uid="{00000000-0005-0000-0000-0000033F0000}"/>
    <cellStyle name="Input 6 11 2 3" xfId="33872" xr:uid="{00000000-0005-0000-0000-0000043F0000}"/>
    <cellStyle name="Input 6 11 2 4" xfId="14135" xr:uid="{00000000-0005-0000-0000-0000053F0000}"/>
    <cellStyle name="Input 6 11 3" xfId="6728" xr:uid="{00000000-0005-0000-0000-0000063F0000}"/>
    <cellStyle name="Input 6 11 3 2" xfId="25700" xr:uid="{00000000-0005-0000-0000-0000073F0000}"/>
    <cellStyle name="Input 6 11 3 3" xfId="36545" xr:uid="{00000000-0005-0000-0000-0000083F0000}"/>
    <cellStyle name="Input 6 11 3 4" xfId="16050" xr:uid="{00000000-0005-0000-0000-0000093F0000}"/>
    <cellStyle name="Input 6 11 4" xfId="9387" xr:uid="{00000000-0005-0000-0000-00000A3F0000}"/>
    <cellStyle name="Input 6 11 4 2" xfId="28359" xr:uid="{00000000-0005-0000-0000-00000B3F0000}"/>
    <cellStyle name="Input 6 11 4 3" xfId="39204" xr:uid="{00000000-0005-0000-0000-00000C3F0000}"/>
    <cellStyle name="Input 6 11 4 4" xfId="17954" xr:uid="{00000000-0005-0000-0000-00000D3F0000}"/>
    <cellStyle name="Input 6 11 5" xfId="20183" xr:uid="{00000000-0005-0000-0000-00000E3F0000}"/>
    <cellStyle name="Input 6 11 6" xfId="31028" xr:uid="{00000000-0005-0000-0000-00000F3F0000}"/>
    <cellStyle name="Input 6 11 7" xfId="12100" xr:uid="{00000000-0005-0000-0000-0000103F0000}"/>
    <cellStyle name="Input 6 12" xfId="942" xr:uid="{00000000-0005-0000-0000-0000113F0000}"/>
    <cellStyle name="Input 6 12 2" xfId="3796" xr:uid="{00000000-0005-0000-0000-0000123F0000}"/>
    <cellStyle name="Input 6 12 2 2" xfId="22768" xr:uid="{00000000-0005-0000-0000-0000133F0000}"/>
    <cellStyle name="Input 6 12 2 3" xfId="33613" xr:uid="{00000000-0005-0000-0000-0000143F0000}"/>
    <cellStyle name="Input 6 12 2 4" xfId="13941" xr:uid="{00000000-0005-0000-0000-0000153F0000}"/>
    <cellStyle name="Input 6 12 3" xfId="6471" xr:uid="{00000000-0005-0000-0000-0000163F0000}"/>
    <cellStyle name="Input 6 12 3 2" xfId="25443" xr:uid="{00000000-0005-0000-0000-0000173F0000}"/>
    <cellStyle name="Input 6 12 3 3" xfId="36288" xr:uid="{00000000-0005-0000-0000-0000183F0000}"/>
    <cellStyle name="Input 6 12 3 4" xfId="15857" xr:uid="{00000000-0005-0000-0000-0000193F0000}"/>
    <cellStyle name="Input 6 12 4" xfId="9130" xr:uid="{00000000-0005-0000-0000-00001A3F0000}"/>
    <cellStyle name="Input 6 12 4 2" xfId="28102" xr:uid="{00000000-0005-0000-0000-00001B3F0000}"/>
    <cellStyle name="Input 6 12 4 3" xfId="38947" xr:uid="{00000000-0005-0000-0000-00001C3F0000}"/>
    <cellStyle name="Input 6 12 4 4" xfId="17761" xr:uid="{00000000-0005-0000-0000-00001D3F0000}"/>
    <cellStyle name="Input 6 12 5" xfId="19926" xr:uid="{00000000-0005-0000-0000-00001E3F0000}"/>
    <cellStyle name="Input 6 12 6" xfId="30771" xr:uid="{00000000-0005-0000-0000-00001F3F0000}"/>
    <cellStyle name="Input 6 12 7" xfId="11907" xr:uid="{00000000-0005-0000-0000-0000203F0000}"/>
    <cellStyle name="Input 6 13" xfId="967" xr:uid="{00000000-0005-0000-0000-0000213F0000}"/>
    <cellStyle name="Input 6 13 2" xfId="3820" xr:uid="{00000000-0005-0000-0000-0000223F0000}"/>
    <cellStyle name="Input 6 13 2 2" xfId="22792" xr:uid="{00000000-0005-0000-0000-0000233F0000}"/>
    <cellStyle name="Input 6 13 2 3" xfId="33637" xr:uid="{00000000-0005-0000-0000-0000243F0000}"/>
    <cellStyle name="Input 6 13 2 4" xfId="13961" xr:uid="{00000000-0005-0000-0000-0000253F0000}"/>
    <cellStyle name="Input 6 13 3" xfId="6495" xr:uid="{00000000-0005-0000-0000-0000263F0000}"/>
    <cellStyle name="Input 6 13 3 2" xfId="25467" xr:uid="{00000000-0005-0000-0000-0000273F0000}"/>
    <cellStyle name="Input 6 13 3 3" xfId="36312" xr:uid="{00000000-0005-0000-0000-0000283F0000}"/>
    <cellStyle name="Input 6 13 3 4" xfId="15877" xr:uid="{00000000-0005-0000-0000-0000293F0000}"/>
    <cellStyle name="Input 6 13 4" xfId="9154" xr:uid="{00000000-0005-0000-0000-00002A3F0000}"/>
    <cellStyle name="Input 6 13 4 2" xfId="28126" xr:uid="{00000000-0005-0000-0000-00002B3F0000}"/>
    <cellStyle name="Input 6 13 4 3" xfId="38971" xr:uid="{00000000-0005-0000-0000-00002C3F0000}"/>
    <cellStyle name="Input 6 13 4 4" xfId="17781" xr:uid="{00000000-0005-0000-0000-00002D3F0000}"/>
    <cellStyle name="Input 6 13 5" xfId="19950" xr:uid="{00000000-0005-0000-0000-00002E3F0000}"/>
    <cellStyle name="Input 6 13 6" xfId="30795" xr:uid="{00000000-0005-0000-0000-00002F3F0000}"/>
    <cellStyle name="Input 6 13 7" xfId="11927" xr:uid="{00000000-0005-0000-0000-0000303F0000}"/>
    <cellStyle name="Input 6 14" xfId="3254" xr:uid="{00000000-0005-0000-0000-0000313F0000}"/>
    <cellStyle name="Input 6 14 2" xfId="22229" xr:uid="{00000000-0005-0000-0000-0000323F0000}"/>
    <cellStyle name="Input 6 14 3" xfId="33074" xr:uid="{00000000-0005-0000-0000-0000333F0000}"/>
    <cellStyle name="Input 6 14 4" xfId="13555" xr:uid="{00000000-0005-0000-0000-0000343F0000}"/>
    <cellStyle name="Input 6 15" xfId="3397" xr:uid="{00000000-0005-0000-0000-0000353F0000}"/>
    <cellStyle name="Input 6 15 2" xfId="22369" xr:uid="{00000000-0005-0000-0000-0000363F0000}"/>
    <cellStyle name="Input 6 15 3" xfId="33214" xr:uid="{00000000-0005-0000-0000-0000373F0000}"/>
    <cellStyle name="Input 6 15 4" xfId="13650" xr:uid="{00000000-0005-0000-0000-0000383F0000}"/>
    <cellStyle name="Input 6 16" xfId="3227" xr:uid="{00000000-0005-0000-0000-0000393F0000}"/>
    <cellStyle name="Input 6 16 2" xfId="22204" xr:uid="{00000000-0005-0000-0000-00003A3F0000}"/>
    <cellStyle name="Input 6 16 3" xfId="33049" xr:uid="{00000000-0005-0000-0000-00003B3F0000}"/>
    <cellStyle name="Input 6 16 4" xfId="13535" xr:uid="{00000000-0005-0000-0000-00003C3F0000}"/>
    <cellStyle name="Input 6 17" xfId="19455" xr:uid="{00000000-0005-0000-0000-00003D3F0000}"/>
    <cellStyle name="Input 6 18" xfId="19438" xr:uid="{00000000-0005-0000-0000-00003E3F0000}"/>
    <cellStyle name="Input 6 19" xfId="11514" xr:uid="{00000000-0005-0000-0000-00003F3F0000}"/>
    <cellStyle name="Input 6 2" xfId="666" xr:uid="{00000000-0005-0000-0000-0000403F0000}"/>
    <cellStyle name="Input 6 2 10" xfId="19651" xr:uid="{00000000-0005-0000-0000-0000413F0000}"/>
    <cellStyle name="Input 6 2 11" xfId="30496" xr:uid="{00000000-0005-0000-0000-0000423F0000}"/>
    <cellStyle name="Input 6 2 12" xfId="11718" xr:uid="{00000000-0005-0000-0000-0000433F0000}"/>
    <cellStyle name="Input 6 2 2" xfId="1253" xr:uid="{00000000-0005-0000-0000-0000443F0000}"/>
    <cellStyle name="Input 6 2 2 2" xfId="4106" xr:uid="{00000000-0005-0000-0000-0000453F0000}"/>
    <cellStyle name="Input 6 2 2 2 2" xfId="23078" xr:uid="{00000000-0005-0000-0000-0000463F0000}"/>
    <cellStyle name="Input 6 2 2 2 3" xfId="33923" xr:uid="{00000000-0005-0000-0000-0000473F0000}"/>
    <cellStyle name="Input 6 2 2 2 4" xfId="14179" xr:uid="{00000000-0005-0000-0000-0000483F0000}"/>
    <cellStyle name="Input 6 2 2 3" xfId="6779" xr:uid="{00000000-0005-0000-0000-0000493F0000}"/>
    <cellStyle name="Input 6 2 2 3 2" xfId="25751" xr:uid="{00000000-0005-0000-0000-00004A3F0000}"/>
    <cellStyle name="Input 6 2 2 3 3" xfId="36596" xr:uid="{00000000-0005-0000-0000-00004B3F0000}"/>
    <cellStyle name="Input 6 2 2 3 4" xfId="16094" xr:uid="{00000000-0005-0000-0000-00004C3F0000}"/>
    <cellStyle name="Input 6 2 2 4" xfId="9438" xr:uid="{00000000-0005-0000-0000-00004D3F0000}"/>
    <cellStyle name="Input 6 2 2 4 2" xfId="28410" xr:uid="{00000000-0005-0000-0000-00004E3F0000}"/>
    <cellStyle name="Input 6 2 2 4 3" xfId="39255" xr:uid="{00000000-0005-0000-0000-00004F3F0000}"/>
    <cellStyle name="Input 6 2 2 4 4" xfId="17998" xr:uid="{00000000-0005-0000-0000-0000503F0000}"/>
    <cellStyle name="Input 6 2 2 5" xfId="20234" xr:uid="{00000000-0005-0000-0000-0000513F0000}"/>
    <cellStyle name="Input 6 2 2 6" xfId="31079" xr:uid="{00000000-0005-0000-0000-0000523F0000}"/>
    <cellStyle name="Input 6 2 2 7" xfId="12144" xr:uid="{00000000-0005-0000-0000-0000533F0000}"/>
    <cellStyle name="Input 6 2 3" xfId="1652" xr:uid="{00000000-0005-0000-0000-0000543F0000}"/>
    <cellStyle name="Input 6 2 3 2" xfId="4505" xr:uid="{00000000-0005-0000-0000-0000553F0000}"/>
    <cellStyle name="Input 6 2 3 2 2" xfId="23477" xr:uid="{00000000-0005-0000-0000-0000563F0000}"/>
    <cellStyle name="Input 6 2 3 2 3" xfId="34322" xr:uid="{00000000-0005-0000-0000-0000573F0000}"/>
    <cellStyle name="Input 6 2 3 2 4" xfId="14466" xr:uid="{00000000-0005-0000-0000-0000583F0000}"/>
    <cellStyle name="Input 6 2 3 3" xfId="7177" xr:uid="{00000000-0005-0000-0000-0000593F0000}"/>
    <cellStyle name="Input 6 2 3 3 2" xfId="26149" xr:uid="{00000000-0005-0000-0000-00005A3F0000}"/>
    <cellStyle name="Input 6 2 3 3 3" xfId="36994" xr:uid="{00000000-0005-0000-0000-00005B3F0000}"/>
    <cellStyle name="Input 6 2 3 3 4" xfId="16380" xr:uid="{00000000-0005-0000-0000-00005C3F0000}"/>
    <cellStyle name="Input 6 2 3 4" xfId="9836" xr:uid="{00000000-0005-0000-0000-00005D3F0000}"/>
    <cellStyle name="Input 6 2 3 4 2" xfId="28808" xr:uid="{00000000-0005-0000-0000-00005E3F0000}"/>
    <cellStyle name="Input 6 2 3 4 3" xfId="39653" xr:uid="{00000000-0005-0000-0000-00005F3F0000}"/>
    <cellStyle name="Input 6 2 3 4 4" xfId="18284" xr:uid="{00000000-0005-0000-0000-0000603F0000}"/>
    <cellStyle name="Input 6 2 3 5" xfId="20632" xr:uid="{00000000-0005-0000-0000-0000613F0000}"/>
    <cellStyle name="Input 6 2 3 6" xfId="31477" xr:uid="{00000000-0005-0000-0000-0000623F0000}"/>
    <cellStyle name="Input 6 2 3 7" xfId="12430" xr:uid="{00000000-0005-0000-0000-0000633F0000}"/>
    <cellStyle name="Input 6 2 4" xfId="2056" xr:uid="{00000000-0005-0000-0000-0000643F0000}"/>
    <cellStyle name="Input 6 2 4 2" xfId="4909" xr:uid="{00000000-0005-0000-0000-0000653F0000}"/>
    <cellStyle name="Input 6 2 4 2 2" xfId="23881" xr:uid="{00000000-0005-0000-0000-0000663F0000}"/>
    <cellStyle name="Input 6 2 4 2 3" xfId="34726" xr:uid="{00000000-0005-0000-0000-0000673F0000}"/>
    <cellStyle name="Input 6 2 4 2 4" xfId="14753" xr:uid="{00000000-0005-0000-0000-0000683F0000}"/>
    <cellStyle name="Input 6 2 4 3" xfId="7580" xr:uid="{00000000-0005-0000-0000-0000693F0000}"/>
    <cellStyle name="Input 6 2 4 3 2" xfId="26552" xr:uid="{00000000-0005-0000-0000-00006A3F0000}"/>
    <cellStyle name="Input 6 2 4 3 3" xfId="37397" xr:uid="{00000000-0005-0000-0000-00006B3F0000}"/>
    <cellStyle name="Input 6 2 4 3 4" xfId="16666" xr:uid="{00000000-0005-0000-0000-00006C3F0000}"/>
    <cellStyle name="Input 6 2 4 4" xfId="10239" xr:uid="{00000000-0005-0000-0000-00006D3F0000}"/>
    <cellStyle name="Input 6 2 4 4 2" xfId="29211" xr:uid="{00000000-0005-0000-0000-00006E3F0000}"/>
    <cellStyle name="Input 6 2 4 4 3" xfId="40056" xr:uid="{00000000-0005-0000-0000-00006F3F0000}"/>
    <cellStyle name="Input 6 2 4 4 4" xfId="18570" xr:uid="{00000000-0005-0000-0000-0000703F0000}"/>
    <cellStyle name="Input 6 2 4 5" xfId="21035" xr:uid="{00000000-0005-0000-0000-0000713F0000}"/>
    <cellStyle name="Input 6 2 4 6" xfId="31880" xr:uid="{00000000-0005-0000-0000-0000723F0000}"/>
    <cellStyle name="Input 6 2 4 7" xfId="12716" xr:uid="{00000000-0005-0000-0000-0000733F0000}"/>
    <cellStyle name="Input 6 2 5" xfId="2446" xr:uid="{00000000-0005-0000-0000-0000743F0000}"/>
    <cellStyle name="Input 6 2 5 2" xfId="5298" xr:uid="{00000000-0005-0000-0000-0000753F0000}"/>
    <cellStyle name="Input 6 2 5 2 2" xfId="24270" xr:uid="{00000000-0005-0000-0000-0000763F0000}"/>
    <cellStyle name="Input 6 2 5 2 3" xfId="35115" xr:uid="{00000000-0005-0000-0000-0000773F0000}"/>
    <cellStyle name="Input 6 2 5 2 4" xfId="15032" xr:uid="{00000000-0005-0000-0000-0000783F0000}"/>
    <cellStyle name="Input 6 2 5 3" xfId="7969" xr:uid="{00000000-0005-0000-0000-0000793F0000}"/>
    <cellStyle name="Input 6 2 5 3 2" xfId="26941" xr:uid="{00000000-0005-0000-0000-00007A3F0000}"/>
    <cellStyle name="Input 6 2 5 3 3" xfId="37786" xr:uid="{00000000-0005-0000-0000-00007B3F0000}"/>
    <cellStyle name="Input 6 2 5 3 4" xfId="16945" xr:uid="{00000000-0005-0000-0000-00007C3F0000}"/>
    <cellStyle name="Input 6 2 5 4" xfId="10628" xr:uid="{00000000-0005-0000-0000-00007D3F0000}"/>
    <cellStyle name="Input 6 2 5 4 2" xfId="29600" xr:uid="{00000000-0005-0000-0000-00007E3F0000}"/>
    <cellStyle name="Input 6 2 5 4 3" xfId="40445" xr:uid="{00000000-0005-0000-0000-00007F3F0000}"/>
    <cellStyle name="Input 6 2 5 4 4" xfId="18849" xr:uid="{00000000-0005-0000-0000-0000803F0000}"/>
    <cellStyle name="Input 6 2 5 5" xfId="21424" xr:uid="{00000000-0005-0000-0000-0000813F0000}"/>
    <cellStyle name="Input 6 2 5 6" xfId="32269" xr:uid="{00000000-0005-0000-0000-0000823F0000}"/>
    <cellStyle name="Input 6 2 5 7" xfId="12995" xr:uid="{00000000-0005-0000-0000-0000833F0000}"/>
    <cellStyle name="Input 6 2 6" xfId="2832" xr:uid="{00000000-0005-0000-0000-0000843F0000}"/>
    <cellStyle name="Input 6 2 6 2" xfId="5683" xr:uid="{00000000-0005-0000-0000-0000853F0000}"/>
    <cellStyle name="Input 6 2 6 2 2" xfId="24655" xr:uid="{00000000-0005-0000-0000-0000863F0000}"/>
    <cellStyle name="Input 6 2 6 2 3" xfId="35500" xr:uid="{00000000-0005-0000-0000-0000873F0000}"/>
    <cellStyle name="Input 6 2 6 2 4" xfId="15308" xr:uid="{00000000-0005-0000-0000-0000883F0000}"/>
    <cellStyle name="Input 6 2 6 3" xfId="8354" xr:uid="{00000000-0005-0000-0000-0000893F0000}"/>
    <cellStyle name="Input 6 2 6 3 2" xfId="27326" xr:uid="{00000000-0005-0000-0000-00008A3F0000}"/>
    <cellStyle name="Input 6 2 6 3 3" xfId="38171" xr:uid="{00000000-0005-0000-0000-00008B3F0000}"/>
    <cellStyle name="Input 6 2 6 3 4" xfId="17221" xr:uid="{00000000-0005-0000-0000-00008C3F0000}"/>
    <cellStyle name="Input 6 2 6 4" xfId="11013" xr:uid="{00000000-0005-0000-0000-00008D3F0000}"/>
    <cellStyle name="Input 6 2 6 4 2" xfId="29985" xr:uid="{00000000-0005-0000-0000-00008E3F0000}"/>
    <cellStyle name="Input 6 2 6 4 3" xfId="40830" xr:uid="{00000000-0005-0000-0000-00008F3F0000}"/>
    <cellStyle name="Input 6 2 6 4 4" xfId="19125" xr:uid="{00000000-0005-0000-0000-0000903F0000}"/>
    <cellStyle name="Input 6 2 6 5" xfId="21809" xr:uid="{00000000-0005-0000-0000-0000913F0000}"/>
    <cellStyle name="Input 6 2 6 6" xfId="32654" xr:uid="{00000000-0005-0000-0000-0000923F0000}"/>
    <cellStyle name="Input 6 2 6 7" xfId="13271" xr:uid="{00000000-0005-0000-0000-0000933F0000}"/>
    <cellStyle name="Input 6 2 7" xfId="3521" xr:uid="{00000000-0005-0000-0000-0000943F0000}"/>
    <cellStyle name="Input 6 2 7 2" xfId="22493" xr:uid="{00000000-0005-0000-0000-0000953F0000}"/>
    <cellStyle name="Input 6 2 7 3" xfId="33338" xr:uid="{00000000-0005-0000-0000-0000963F0000}"/>
    <cellStyle name="Input 6 2 7 4" xfId="13752" xr:uid="{00000000-0005-0000-0000-0000973F0000}"/>
    <cellStyle name="Input 6 2 8" xfId="6196" xr:uid="{00000000-0005-0000-0000-0000983F0000}"/>
    <cellStyle name="Input 6 2 8 2" xfId="25168" xr:uid="{00000000-0005-0000-0000-0000993F0000}"/>
    <cellStyle name="Input 6 2 8 3" xfId="36013" xr:uid="{00000000-0005-0000-0000-00009A3F0000}"/>
    <cellStyle name="Input 6 2 8 4" xfId="15668" xr:uid="{00000000-0005-0000-0000-00009B3F0000}"/>
    <cellStyle name="Input 6 2 9" xfId="8855" xr:uid="{00000000-0005-0000-0000-00009C3F0000}"/>
    <cellStyle name="Input 6 2 9 2" xfId="27827" xr:uid="{00000000-0005-0000-0000-00009D3F0000}"/>
    <cellStyle name="Input 6 2 9 3" xfId="38672" xr:uid="{00000000-0005-0000-0000-00009E3F0000}"/>
    <cellStyle name="Input 6 2 9 4" xfId="17572" xr:uid="{00000000-0005-0000-0000-00009F3F0000}"/>
    <cellStyle name="Input 6 3" xfId="590" xr:uid="{00000000-0005-0000-0000-0000A03F0000}"/>
    <cellStyle name="Input 6 3 10" xfId="19600" xr:uid="{00000000-0005-0000-0000-0000A13F0000}"/>
    <cellStyle name="Input 6 3 11" xfId="30445" xr:uid="{00000000-0005-0000-0000-0000A23F0000}"/>
    <cellStyle name="Input 6 3 12" xfId="11654" xr:uid="{00000000-0005-0000-0000-0000A33F0000}"/>
    <cellStyle name="Input 6 3 2" xfId="1196" xr:uid="{00000000-0005-0000-0000-0000A43F0000}"/>
    <cellStyle name="Input 6 3 2 2" xfId="4049" xr:uid="{00000000-0005-0000-0000-0000A53F0000}"/>
    <cellStyle name="Input 6 3 2 2 2" xfId="23021" xr:uid="{00000000-0005-0000-0000-0000A63F0000}"/>
    <cellStyle name="Input 6 3 2 2 3" xfId="33866" xr:uid="{00000000-0005-0000-0000-0000A73F0000}"/>
    <cellStyle name="Input 6 3 2 2 4" xfId="14131" xr:uid="{00000000-0005-0000-0000-0000A83F0000}"/>
    <cellStyle name="Input 6 3 2 3" xfId="6722" xr:uid="{00000000-0005-0000-0000-0000A93F0000}"/>
    <cellStyle name="Input 6 3 2 3 2" xfId="25694" xr:uid="{00000000-0005-0000-0000-0000AA3F0000}"/>
    <cellStyle name="Input 6 3 2 3 3" xfId="36539" xr:uid="{00000000-0005-0000-0000-0000AB3F0000}"/>
    <cellStyle name="Input 6 3 2 3 4" xfId="16046" xr:uid="{00000000-0005-0000-0000-0000AC3F0000}"/>
    <cellStyle name="Input 6 3 2 4" xfId="9381" xr:uid="{00000000-0005-0000-0000-0000AD3F0000}"/>
    <cellStyle name="Input 6 3 2 4 2" xfId="28353" xr:uid="{00000000-0005-0000-0000-0000AE3F0000}"/>
    <cellStyle name="Input 6 3 2 4 3" xfId="39198" xr:uid="{00000000-0005-0000-0000-0000AF3F0000}"/>
    <cellStyle name="Input 6 3 2 4 4" xfId="17950" xr:uid="{00000000-0005-0000-0000-0000B03F0000}"/>
    <cellStyle name="Input 6 3 2 5" xfId="20177" xr:uid="{00000000-0005-0000-0000-0000B13F0000}"/>
    <cellStyle name="Input 6 3 2 6" xfId="31022" xr:uid="{00000000-0005-0000-0000-0000B23F0000}"/>
    <cellStyle name="Input 6 3 2 7" xfId="12096" xr:uid="{00000000-0005-0000-0000-0000B33F0000}"/>
    <cellStyle name="Input 6 3 3" xfId="1593" xr:uid="{00000000-0005-0000-0000-0000B43F0000}"/>
    <cellStyle name="Input 6 3 3 2" xfId="4446" xr:uid="{00000000-0005-0000-0000-0000B53F0000}"/>
    <cellStyle name="Input 6 3 3 2 2" xfId="23418" xr:uid="{00000000-0005-0000-0000-0000B63F0000}"/>
    <cellStyle name="Input 6 3 3 2 3" xfId="34263" xr:uid="{00000000-0005-0000-0000-0000B73F0000}"/>
    <cellStyle name="Input 6 3 3 2 4" xfId="14417" xr:uid="{00000000-0005-0000-0000-0000B83F0000}"/>
    <cellStyle name="Input 6 3 3 3" xfId="7118" xr:uid="{00000000-0005-0000-0000-0000B93F0000}"/>
    <cellStyle name="Input 6 3 3 3 2" xfId="26090" xr:uid="{00000000-0005-0000-0000-0000BA3F0000}"/>
    <cellStyle name="Input 6 3 3 3 3" xfId="36935" xr:uid="{00000000-0005-0000-0000-0000BB3F0000}"/>
    <cellStyle name="Input 6 3 3 3 4" xfId="16331" xr:uid="{00000000-0005-0000-0000-0000BC3F0000}"/>
    <cellStyle name="Input 6 3 3 4" xfId="9777" xr:uid="{00000000-0005-0000-0000-0000BD3F0000}"/>
    <cellStyle name="Input 6 3 3 4 2" xfId="28749" xr:uid="{00000000-0005-0000-0000-0000BE3F0000}"/>
    <cellStyle name="Input 6 3 3 4 3" xfId="39594" xr:uid="{00000000-0005-0000-0000-0000BF3F0000}"/>
    <cellStyle name="Input 6 3 3 4 4" xfId="18235" xr:uid="{00000000-0005-0000-0000-0000C03F0000}"/>
    <cellStyle name="Input 6 3 3 5" xfId="20573" xr:uid="{00000000-0005-0000-0000-0000C13F0000}"/>
    <cellStyle name="Input 6 3 3 6" xfId="31418" xr:uid="{00000000-0005-0000-0000-0000C23F0000}"/>
    <cellStyle name="Input 6 3 3 7" xfId="12381" xr:uid="{00000000-0005-0000-0000-0000C33F0000}"/>
    <cellStyle name="Input 6 3 4" xfId="1997" xr:uid="{00000000-0005-0000-0000-0000C43F0000}"/>
    <cellStyle name="Input 6 3 4 2" xfId="4850" xr:uid="{00000000-0005-0000-0000-0000C53F0000}"/>
    <cellStyle name="Input 6 3 4 2 2" xfId="23822" xr:uid="{00000000-0005-0000-0000-0000C63F0000}"/>
    <cellStyle name="Input 6 3 4 2 3" xfId="34667" xr:uid="{00000000-0005-0000-0000-0000C73F0000}"/>
    <cellStyle name="Input 6 3 4 2 4" xfId="14705" xr:uid="{00000000-0005-0000-0000-0000C83F0000}"/>
    <cellStyle name="Input 6 3 4 3" xfId="7522" xr:uid="{00000000-0005-0000-0000-0000C93F0000}"/>
    <cellStyle name="Input 6 3 4 3 2" xfId="26494" xr:uid="{00000000-0005-0000-0000-0000CA3F0000}"/>
    <cellStyle name="Input 6 3 4 3 3" xfId="37339" xr:uid="{00000000-0005-0000-0000-0000CB3F0000}"/>
    <cellStyle name="Input 6 3 4 3 4" xfId="16619" xr:uid="{00000000-0005-0000-0000-0000CC3F0000}"/>
    <cellStyle name="Input 6 3 4 4" xfId="10181" xr:uid="{00000000-0005-0000-0000-0000CD3F0000}"/>
    <cellStyle name="Input 6 3 4 4 2" xfId="29153" xr:uid="{00000000-0005-0000-0000-0000CE3F0000}"/>
    <cellStyle name="Input 6 3 4 4 3" xfId="39998" xr:uid="{00000000-0005-0000-0000-0000CF3F0000}"/>
    <cellStyle name="Input 6 3 4 4 4" xfId="18523" xr:uid="{00000000-0005-0000-0000-0000D03F0000}"/>
    <cellStyle name="Input 6 3 4 5" xfId="20977" xr:uid="{00000000-0005-0000-0000-0000D13F0000}"/>
    <cellStyle name="Input 6 3 4 6" xfId="31822" xr:uid="{00000000-0005-0000-0000-0000D23F0000}"/>
    <cellStyle name="Input 6 3 4 7" xfId="12669" xr:uid="{00000000-0005-0000-0000-0000D33F0000}"/>
    <cellStyle name="Input 6 3 5" xfId="2389" xr:uid="{00000000-0005-0000-0000-0000D43F0000}"/>
    <cellStyle name="Input 6 3 5 2" xfId="5242" xr:uid="{00000000-0005-0000-0000-0000D53F0000}"/>
    <cellStyle name="Input 6 3 5 2 2" xfId="24214" xr:uid="{00000000-0005-0000-0000-0000D63F0000}"/>
    <cellStyle name="Input 6 3 5 2 3" xfId="35059" xr:uid="{00000000-0005-0000-0000-0000D73F0000}"/>
    <cellStyle name="Input 6 3 5 2 4" xfId="14986" xr:uid="{00000000-0005-0000-0000-0000D83F0000}"/>
    <cellStyle name="Input 6 3 5 3" xfId="7913" xr:uid="{00000000-0005-0000-0000-0000D93F0000}"/>
    <cellStyle name="Input 6 3 5 3 2" xfId="26885" xr:uid="{00000000-0005-0000-0000-0000DA3F0000}"/>
    <cellStyle name="Input 6 3 5 3 3" xfId="37730" xr:uid="{00000000-0005-0000-0000-0000DB3F0000}"/>
    <cellStyle name="Input 6 3 5 3 4" xfId="16899" xr:uid="{00000000-0005-0000-0000-0000DC3F0000}"/>
    <cellStyle name="Input 6 3 5 4" xfId="10572" xr:uid="{00000000-0005-0000-0000-0000DD3F0000}"/>
    <cellStyle name="Input 6 3 5 4 2" xfId="29544" xr:uid="{00000000-0005-0000-0000-0000DE3F0000}"/>
    <cellStyle name="Input 6 3 5 4 3" xfId="40389" xr:uid="{00000000-0005-0000-0000-0000DF3F0000}"/>
    <cellStyle name="Input 6 3 5 4 4" xfId="18803" xr:uid="{00000000-0005-0000-0000-0000E03F0000}"/>
    <cellStyle name="Input 6 3 5 5" xfId="21368" xr:uid="{00000000-0005-0000-0000-0000E13F0000}"/>
    <cellStyle name="Input 6 3 5 6" xfId="32213" xr:uid="{00000000-0005-0000-0000-0000E23F0000}"/>
    <cellStyle name="Input 6 3 5 7" xfId="12949" xr:uid="{00000000-0005-0000-0000-0000E33F0000}"/>
    <cellStyle name="Input 6 3 6" xfId="2778" xr:uid="{00000000-0005-0000-0000-0000E43F0000}"/>
    <cellStyle name="Input 6 3 6 2" xfId="5630" xr:uid="{00000000-0005-0000-0000-0000E53F0000}"/>
    <cellStyle name="Input 6 3 6 2 2" xfId="24602" xr:uid="{00000000-0005-0000-0000-0000E63F0000}"/>
    <cellStyle name="Input 6 3 6 2 3" xfId="35447" xr:uid="{00000000-0005-0000-0000-0000E73F0000}"/>
    <cellStyle name="Input 6 3 6 2 4" xfId="15264" xr:uid="{00000000-0005-0000-0000-0000E83F0000}"/>
    <cellStyle name="Input 6 3 6 3" xfId="8301" xr:uid="{00000000-0005-0000-0000-0000E93F0000}"/>
    <cellStyle name="Input 6 3 6 3 2" xfId="27273" xr:uid="{00000000-0005-0000-0000-0000EA3F0000}"/>
    <cellStyle name="Input 6 3 6 3 3" xfId="38118" xr:uid="{00000000-0005-0000-0000-0000EB3F0000}"/>
    <cellStyle name="Input 6 3 6 3 4" xfId="17177" xr:uid="{00000000-0005-0000-0000-0000EC3F0000}"/>
    <cellStyle name="Input 6 3 6 4" xfId="10960" xr:uid="{00000000-0005-0000-0000-0000ED3F0000}"/>
    <cellStyle name="Input 6 3 6 4 2" xfId="29932" xr:uid="{00000000-0005-0000-0000-0000EE3F0000}"/>
    <cellStyle name="Input 6 3 6 4 3" xfId="40777" xr:uid="{00000000-0005-0000-0000-0000EF3F0000}"/>
    <cellStyle name="Input 6 3 6 4 4" xfId="19081" xr:uid="{00000000-0005-0000-0000-0000F03F0000}"/>
    <cellStyle name="Input 6 3 6 5" xfId="21756" xr:uid="{00000000-0005-0000-0000-0000F13F0000}"/>
    <cellStyle name="Input 6 3 6 6" xfId="32601" xr:uid="{00000000-0005-0000-0000-0000F23F0000}"/>
    <cellStyle name="Input 6 3 6 7" xfId="13227" xr:uid="{00000000-0005-0000-0000-0000F33F0000}"/>
    <cellStyle name="Input 6 3 7" xfId="3469" xr:uid="{00000000-0005-0000-0000-0000F43F0000}"/>
    <cellStyle name="Input 6 3 7 2" xfId="22441" xr:uid="{00000000-0005-0000-0000-0000F53F0000}"/>
    <cellStyle name="Input 6 3 7 3" xfId="33286" xr:uid="{00000000-0005-0000-0000-0000F63F0000}"/>
    <cellStyle name="Input 6 3 7 4" xfId="13709" xr:uid="{00000000-0005-0000-0000-0000F73F0000}"/>
    <cellStyle name="Input 6 3 8" xfId="6145" xr:uid="{00000000-0005-0000-0000-0000F83F0000}"/>
    <cellStyle name="Input 6 3 8 2" xfId="25117" xr:uid="{00000000-0005-0000-0000-0000F93F0000}"/>
    <cellStyle name="Input 6 3 8 3" xfId="35962" xr:uid="{00000000-0005-0000-0000-0000FA3F0000}"/>
    <cellStyle name="Input 6 3 8 4" xfId="15626" xr:uid="{00000000-0005-0000-0000-0000FB3F0000}"/>
    <cellStyle name="Input 6 3 9" xfId="8804" xr:uid="{00000000-0005-0000-0000-0000FC3F0000}"/>
    <cellStyle name="Input 6 3 9 2" xfId="27776" xr:uid="{00000000-0005-0000-0000-0000FD3F0000}"/>
    <cellStyle name="Input 6 3 9 3" xfId="38621" xr:uid="{00000000-0005-0000-0000-0000FE3F0000}"/>
    <cellStyle name="Input 6 3 9 4" xfId="17530" xr:uid="{00000000-0005-0000-0000-0000FF3F0000}"/>
    <cellStyle name="Input 6 4" xfId="786" xr:uid="{00000000-0005-0000-0000-000000400000}"/>
    <cellStyle name="Input 6 4 10" xfId="19771" xr:uid="{00000000-0005-0000-0000-000001400000}"/>
    <cellStyle name="Input 6 4 11" xfId="30616" xr:uid="{00000000-0005-0000-0000-000002400000}"/>
    <cellStyle name="Input 6 4 12" xfId="11798" xr:uid="{00000000-0005-0000-0000-000003400000}"/>
    <cellStyle name="Input 6 4 2" xfId="1373" xr:uid="{00000000-0005-0000-0000-000004400000}"/>
    <cellStyle name="Input 6 4 2 2" xfId="4226" xr:uid="{00000000-0005-0000-0000-000005400000}"/>
    <cellStyle name="Input 6 4 2 2 2" xfId="23198" xr:uid="{00000000-0005-0000-0000-000006400000}"/>
    <cellStyle name="Input 6 4 2 2 3" xfId="34043" xr:uid="{00000000-0005-0000-0000-000007400000}"/>
    <cellStyle name="Input 6 4 2 2 4" xfId="14259" xr:uid="{00000000-0005-0000-0000-000008400000}"/>
    <cellStyle name="Input 6 4 2 3" xfId="6899" xr:uid="{00000000-0005-0000-0000-000009400000}"/>
    <cellStyle name="Input 6 4 2 3 2" xfId="25871" xr:uid="{00000000-0005-0000-0000-00000A400000}"/>
    <cellStyle name="Input 6 4 2 3 3" xfId="36716" xr:uid="{00000000-0005-0000-0000-00000B400000}"/>
    <cellStyle name="Input 6 4 2 3 4" xfId="16174" xr:uid="{00000000-0005-0000-0000-00000C400000}"/>
    <cellStyle name="Input 6 4 2 4" xfId="9558" xr:uid="{00000000-0005-0000-0000-00000D400000}"/>
    <cellStyle name="Input 6 4 2 4 2" xfId="28530" xr:uid="{00000000-0005-0000-0000-00000E400000}"/>
    <cellStyle name="Input 6 4 2 4 3" xfId="39375" xr:uid="{00000000-0005-0000-0000-00000F400000}"/>
    <cellStyle name="Input 6 4 2 4 4" xfId="18078" xr:uid="{00000000-0005-0000-0000-000010400000}"/>
    <cellStyle name="Input 6 4 2 5" xfId="20354" xr:uid="{00000000-0005-0000-0000-000011400000}"/>
    <cellStyle name="Input 6 4 2 6" xfId="31199" xr:uid="{00000000-0005-0000-0000-000012400000}"/>
    <cellStyle name="Input 6 4 2 7" xfId="12224" xr:uid="{00000000-0005-0000-0000-000013400000}"/>
    <cellStyle name="Input 6 4 3" xfId="1772" xr:uid="{00000000-0005-0000-0000-000014400000}"/>
    <cellStyle name="Input 6 4 3 2" xfId="4625" xr:uid="{00000000-0005-0000-0000-000015400000}"/>
    <cellStyle name="Input 6 4 3 2 2" xfId="23597" xr:uid="{00000000-0005-0000-0000-000016400000}"/>
    <cellStyle name="Input 6 4 3 2 3" xfId="34442" xr:uid="{00000000-0005-0000-0000-000017400000}"/>
    <cellStyle name="Input 6 4 3 2 4" xfId="14546" xr:uid="{00000000-0005-0000-0000-000018400000}"/>
    <cellStyle name="Input 6 4 3 3" xfId="7297" xr:uid="{00000000-0005-0000-0000-000019400000}"/>
    <cellStyle name="Input 6 4 3 3 2" xfId="26269" xr:uid="{00000000-0005-0000-0000-00001A400000}"/>
    <cellStyle name="Input 6 4 3 3 3" xfId="37114" xr:uid="{00000000-0005-0000-0000-00001B400000}"/>
    <cellStyle name="Input 6 4 3 3 4" xfId="16460" xr:uid="{00000000-0005-0000-0000-00001C400000}"/>
    <cellStyle name="Input 6 4 3 4" xfId="9956" xr:uid="{00000000-0005-0000-0000-00001D400000}"/>
    <cellStyle name="Input 6 4 3 4 2" xfId="28928" xr:uid="{00000000-0005-0000-0000-00001E400000}"/>
    <cellStyle name="Input 6 4 3 4 3" xfId="39773" xr:uid="{00000000-0005-0000-0000-00001F400000}"/>
    <cellStyle name="Input 6 4 3 4 4" xfId="18364" xr:uid="{00000000-0005-0000-0000-000020400000}"/>
    <cellStyle name="Input 6 4 3 5" xfId="20752" xr:uid="{00000000-0005-0000-0000-000021400000}"/>
    <cellStyle name="Input 6 4 3 6" xfId="31597" xr:uid="{00000000-0005-0000-0000-000022400000}"/>
    <cellStyle name="Input 6 4 3 7" xfId="12510" xr:uid="{00000000-0005-0000-0000-000023400000}"/>
    <cellStyle name="Input 6 4 4" xfId="2176" xr:uid="{00000000-0005-0000-0000-000024400000}"/>
    <cellStyle name="Input 6 4 4 2" xfId="5029" xr:uid="{00000000-0005-0000-0000-000025400000}"/>
    <cellStyle name="Input 6 4 4 2 2" xfId="24001" xr:uid="{00000000-0005-0000-0000-000026400000}"/>
    <cellStyle name="Input 6 4 4 2 3" xfId="34846" xr:uid="{00000000-0005-0000-0000-000027400000}"/>
    <cellStyle name="Input 6 4 4 2 4" xfId="14833" xr:uid="{00000000-0005-0000-0000-000028400000}"/>
    <cellStyle name="Input 6 4 4 3" xfId="7700" xr:uid="{00000000-0005-0000-0000-000029400000}"/>
    <cellStyle name="Input 6 4 4 3 2" xfId="26672" xr:uid="{00000000-0005-0000-0000-00002A400000}"/>
    <cellStyle name="Input 6 4 4 3 3" xfId="37517" xr:uid="{00000000-0005-0000-0000-00002B400000}"/>
    <cellStyle name="Input 6 4 4 3 4" xfId="16746" xr:uid="{00000000-0005-0000-0000-00002C400000}"/>
    <cellStyle name="Input 6 4 4 4" xfId="10359" xr:uid="{00000000-0005-0000-0000-00002D400000}"/>
    <cellStyle name="Input 6 4 4 4 2" xfId="29331" xr:uid="{00000000-0005-0000-0000-00002E400000}"/>
    <cellStyle name="Input 6 4 4 4 3" xfId="40176" xr:uid="{00000000-0005-0000-0000-00002F400000}"/>
    <cellStyle name="Input 6 4 4 4 4" xfId="18650" xr:uid="{00000000-0005-0000-0000-000030400000}"/>
    <cellStyle name="Input 6 4 4 5" xfId="21155" xr:uid="{00000000-0005-0000-0000-000031400000}"/>
    <cellStyle name="Input 6 4 4 6" xfId="32000" xr:uid="{00000000-0005-0000-0000-000032400000}"/>
    <cellStyle name="Input 6 4 4 7" xfId="12796" xr:uid="{00000000-0005-0000-0000-000033400000}"/>
    <cellStyle name="Input 6 4 5" xfId="2566" xr:uid="{00000000-0005-0000-0000-000034400000}"/>
    <cellStyle name="Input 6 4 5 2" xfId="5418" xr:uid="{00000000-0005-0000-0000-000035400000}"/>
    <cellStyle name="Input 6 4 5 2 2" xfId="24390" xr:uid="{00000000-0005-0000-0000-000036400000}"/>
    <cellStyle name="Input 6 4 5 2 3" xfId="35235" xr:uid="{00000000-0005-0000-0000-000037400000}"/>
    <cellStyle name="Input 6 4 5 2 4" xfId="15112" xr:uid="{00000000-0005-0000-0000-000038400000}"/>
    <cellStyle name="Input 6 4 5 3" xfId="8089" xr:uid="{00000000-0005-0000-0000-000039400000}"/>
    <cellStyle name="Input 6 4 5 3 2" xfId="27061" xr:uid="{00000000-0005-0000-0000-00003A400000}"/>
    <cellStyle name="Input 6 4 5 3 3" xfId="37906" xr:uid="{00000000-0005-0000-0000-00003B400000}"/>
    <cellStyle name="Input 6 4 5 3 4" xfId="17025" xr:uid="{00000000-0005-0000-0000-00003C400000}"/>
    <cellStyle name="Input 6 4 5 4" xfId="10748" xr:uid="{00000000-0005-0000-0000-00003D400000}"/>
    <cellStyle name="Input 6 4 5 4 2" xfId="29720" xr:uid="{00000000-0005-0000-0000-00003E400000}"/>
    <cellStyle name="Input 6 4 5 4 3" xfId="40565" xr:uid="{00000000-0005-0000-0000-00003F400000}"/>
    <cellStyle name="Input 6 4 5 4 4" xfId="18929" xr:uid="{00000000-0005-0000-0000-000040400000}"/>
    <cellStyle name="Input 6 4 5 5" xfId="21544" xr:uid="{00000000-0005-0000-0000-000041400000}"/>
    <cellStyle name="Input 6 4 5 6" xfId="32389" xr:uid="{00000000-0005-0000-0000-000042400000}"/>
    <cellStyle name="Input 6 4 5 7" xfId="13075" xr:uid="{00000000-0005-0000-0000-000043400000}"/>
    <cellStyle name="Input 6 4 6" xfId="2952" xr:uid="{00000000-0005-0000-0000-000044400000}"/>
    <cellStyle name="Input 6 4 6 2" xfId="5803" xr:uid="{00000000-0005-0000-0000-000045400000}"/>
    <cellStyle name="Input 6 4 6 2 2" xfId="24775" xr:uid="{00000000-0005-0000-0000-000046400000}"/>
    <cellStyle name="Input 6 4 6 2 3" xfId="35620" xr:uid="{00000000-0005-0000-0000-000047400000}"/>
    <cellStyle name="Input 6 4 6 2 4" xfId="15388" xr:uid="{00000000-0005-0000-0000-000048400000}"/>
    <cellStyle name="Input 6 4 6 3" xfId="8474" xr:uid="{00000000-0005-0000-0000-000049400000}"/>
    <cellStyle name="Input 6 4 6 3 2" xfId="27446" xr:uid="{00000000-0005-0000-0000-00004A400000}"/>
    <cellStyle name="Input 6 4 6 3 3" xfId="38291" xr:uid="{00000000-0005-0000-0000-00004B400000}"/>
    <cellStyle name="Input 6 4 6 3 4" xfId="17301" xr:uid="{00000000-0005-0000-0000-00004C400000}"/>
    <cellStyle name="Input 6 4 6 4" xfId="11133" xr:uid="{00000000-0005-0000-0000-00004D400000}"/>
    <cellStyle name="Input 6 4 6 4 2" xfId="30105" xr:uid="{00000000-0005-0000-0000-00004E400000}"/>
    <cellStyle name="Input 6 4 6 4 3" xfId="40950" xr:uid="{00000000-0005-0000-0000-00004F400000}"/>
    <cellStyle name="Input 6 4 6 4 4" xfId="19205" xr:uid="{00000000-0005-0000-0000-000050400000}"/>
    <cellStyle name="Input 6 4 6 5" xfId="21929" xr:uid="{00000000-0005-0000-0000-000051400000}"/>
    <cellStyle name="Input 6 4 6 6" xfId="32774" xr:uid="{00000000-0005-0000-0000-000052400000}"/>
    <cellStyle name="Input 6 4 6 7" xfId="13351" xr:uid="{00000000-0005-0000-0000-000053400000}"/>
    <cellStyle name="Input 6 4 7" xfId="3641" xr:uid="{00000000-0005-0000-0000-000054400000}"/>
    <cellStyle name="Input 6 4 7 2" xfId="22613" xr:uid="{00000000-0005-0000-0000-000055400000}"/>
    <cellStyle name="Input 6 4 7 3" xfId="33458" xr:uid="{00000000-0005-0000-0000-000056400000}"/>
    <cellStyle name="Input 6 4 7 4" xfId="13832" xr:uid="{00000000-0005-0000-0000-000057400000}"/>
    <cellStyle name="Input 6 4 8" xfId="6316" xr:uid="{00000000-0005-0000-0000-000058400000}"/>
    <cellStyle name="Input 6 4 8 2" xfId="25288" xr:uid="{00000000-0005-0000-0000-000059400000}"/>
    <cellStyle name="Input 6 4 8 3" xfId="36133" xr:uid="{00000000-0005-0000-0000-00005A400000}"/>
    <cellStyle name="Input 6 4 8 4" xfId="15748" xr:uid="{00000000-0005-0000-0000-00005B400000}"/>
    <cellStyle name="Input 6 4 9" xfId="8975" xr:uid="{00000000-0005-0000-0000-00005C400000}"/>
    <cellStyle name="Input 6 4 9 2" xfId="27947" xr:uid="{00000000-0005-0000-0000-00005D400000}"/>
    <cellStyle name="Input 6 4 9 3" xfId="38792" xr:uid="{00000000-0005-0000-0000-00005E400000}"/>
    <cellStyle name="Input 6 4 9 4" xfId="17652" xr:uid="{00000000-0005-0000-0000-00005F400000}"/>
    <cellStyle name="Input 6 5" xfId="845" xr:uid="{00000000-0005-0000-0000-000060400000}"/>
    <cellStyle name="Input 6 5 10" xfId="19830" xr:uid="{00000000-0005-0000-0000-000061400000}"/>
    <cellStyle name="Input 6 5 11" xfId="30675" xr:uid="{00000000-0005-0000-0000-000062400000}"/>
    <cellStyle name="Input 6 5 12" xfId="11837" xr:uid="{00000000-0005-0000-0000-000063400000}"/>
    <cellStyle name="Input 6 5 2" xfId="1432" xr:uid="{00000000-0005-0000-0000-000064400000}"/>
    <cellStyle name="Input 6 5 2 2" xfId="4285" xr:uid="{00000000-0005-0000-0000-000065400000}"/>
    <cellStyle name="Input 6 5 2 2 2" xfId="23257" xr:uid="{00000000-0005-0000-0000-000066400000}"/>
    <cellStyle name="Input 6 5 2 2 3" xfId="34102" xr:uid="{00000000-0005-0000-0000-000067400000}"/>
    <cellStyle name="Input 6 5 2 2 4" xfId="14298" xr:uid="{00000000-0005-0000-0000-000068400000}"/>
    <cellStyle name="Input 6 5 2 3" xfId="6958" xr:uid="{00000000-0005-0000-0000-000069400000}"/>
    <cellStyle name="Input 6 5 2 3 2" xfId="25930" xr:uid="{00000000-0005-0000-0000-00006A400000}"/>
    <cellStyle name="Input 6 5 2 3 3" xfId="36775" xr:uid="{00000000-0005-0000-0000-00006B400000}"/>
    <cellStyle name="Input 6 5 2 3 4" xfId="16213" xr:uid="{00000000-0005-0000-0000-00006C400000}"/>
    <cellStyle name="Input 6 5 2 4" xfId="9617" xr:uid="{00000000-0005-0000-0000-00006D400000}"/>
    <cellStyle name="Input 6 5 2 4 2" xfId="28589" xr:uid="{00000000-0005-0000-0000-00006E400000}"/>
    <cellStyle name="Input 6 5 2 4 3" xfId="39434" xr:uid="{00000000-0005-0000-0000-00006F400000}"/>
    <cellStyle name="Input 6 5 2 4 4" xfId="18117" xr:uid="{00000000-0005-0000-0000-000070400000}"/>
    <cellStyle name="Input 6 5 2 5" xfId="20413" xr:uid="{00000000-0005-0000-0000-000071400000}"/>
    <cellStyle name="Input 6 5 2 6" xfId="31258" xr:uid="{00000000-0005-0000-0000-000072400000}"/>
    <cellStyle name="Input 6 5 2 7" xfId="12263" xr:uid="{00000000-0005-0000-0000-000073400000}"/>
    <cellStyle name="Input 6 5 3" xfId="1831" xr:uid="{00000000-0005-0000-0000-000074400000}"/>
    <cellStyle name="Input 6 5 3 2" xfId="4684" xr:uid="{00000000-0005-0000-0000-000075400000}"/>
    <cellStyle name="Input 6 5 3 2 2" xfId="23656" xr:uid="{00000000-0005-0000-0000-000076400000}"/>
    <cellStyle name="Input 6 5 3 2 3" xfId="34501" xr:uid="{00000000-0005-0000-0000-000077400000}"/>
    <cellStyle name="Input 6 5 3 2 4" xfId="14585" xr:uid="{00000000-0005-0000-0000-000078400000}"/>
    <cellStyle name="Input 6 5 3 3" xfId="7356" xr:uid="{00000000-0005-0000-0000-000079400000}"/>
    <cellStyle name="Input 6 5 3 3 2" xfId="26328" xr:uid="{00000000-0005-0000-0000-00007A400000}"/>
    <cellStyle name="Input 6 5 3 3 3" xfId="37173" xr:uid="{00000000-0005-0000-0000-00007B400000}"/>
    <cellStyle name="Input 6 5 3 3 4" xfId="16499" xr:uid="{00000000-0005-0000-0000-00007C400000}"/>
    <cellStyle name="Input 6 5 3 4" xfId="10015" xr:uid="{00000000-0005-0000-0000-00007D400000}"/>
    <cellStyle name="Input 6 5 3 4 2" xfId="28987" xr:uid="{00000000-0005-0000-0000-00007E400000}"/>
    <cellStyle name="Input 6 5 3 4 3" xfId="39832" xr:uid="{00000000-0005-0000-0000-00007F400000}"/>
    <cellStyle name="Input 6 5 3 4 4" xfId="18403" xr:uid="{00000000-0005-0000-0000-000080400000}"/>
    <cellStyle name="Input 6 5 3 5" xfId="20811" xr:uid="{00000000-0005-0000-0000-000081400000}"/>
    <cellStyle name="Input 6 5 3 6" xfId="31656" xr:uid="{00000000-0005-0000-0000-000082400000}"/>
    <cellStyle name="Input 6 5 3 7" xfId="12549" xr:uid="{00000000-0005-0000-0000-000083400000}"/>
    <cellStyle name="Input 6 5 4" xfId="2235" xr:uid="{00000000-0005-0000-0000-000084400000}"/>
    <cellStyle name="Input 6 5 4 2" xfId="5088" xr:uid="{00000000-0005-0000-0000-000085400000}"/>
    <cellStyle name="Input 6 5 4 2 2" xfId="24060" xr:uid="{00000000-0005-0000-0000-000086400000}"/>
    <cellStyle name="Input 6 5 4 2 3" xfId="34905" xr:uid="{00000000-0005-0000-0000-000087400000}"/>
    <cellStyle name="Input 6 5 4 2 4" xfId="14872" xr:uid="{00000000-0005-0000-0000-000088400000}"/>
    <cellStyle name="Input 6 5 4 3" xfId="7759" xr:uid="{00000000-0005-0000-0000-000089400000}"/>
    <cellStyle name="Input 6 5 4 3 2" xfId="26731" xr:uid="{00000000-0005-0000-0000-00008A400000}"/>
    <cellStyle name="Input 6 5 4 3 3" xfId="37576" xr:uid="{00000000-0005-0000-0000-00008B400000}"/>
    <cellStyle name="Input 6 5 4 3 4" xfId="16785" xr:uid="{00000000-0005-0000-0000-00008C400000}"/>
    <cellStyle name="Input 6 5 4 4" xfId="10418" xr:uid="{00000000-0005-0000-0000-00008D400000}"/>
    <cellStyle name="Input 6 5 4 4 2" xfId="29390" xr:uid="{00000000-0005-0000-0000-00008E400000}"/>
    <cellStyle name="Input 6 5 4 4 3" xfId="40235" xr:uid="{00000000-0005-0000-0000-00008F400000}"/>
    <cellStyle name="Input 6 5 4 4 4" xfId="18689" xr:uid="{00000000-0005-0000-0000-000090400000}"/>
    <cellStyle name="Input 6 5 4 5" xfId="21214" xr:uid="{00000000-0005-0000-0000-000091400000}"/>
    <cellStyle name="Input 6 5 4 6" xfId="32059" xr:uid="{00000000-0005-0000-0000-000092400000}"/>
    <cellStyle name="Input 6 5 4 7" xfId="12835" xr:uid="{00000000-0005-0000-0000-000093400000}"/>
    <cellStyle name="Input 6 5 5" xfId="2625" xr:uid="{00000000-0005-0000-0000-000094400000}"/>
    <cellStyle name="Input 6 5 5 2" xfId="5477" xr:uid="{00000000-0005-0000-0000-000095400000}"/>
    <cellStyle name="Input 6 5 5 2 2" xfId="24449" xr:uid="{00000000-0005-0000-0000-000096400000}"/>
    <cellStyle name="Input 6 5 5 2 3" xfId="35294" xr:uid="{00000000-0005-0000-0000-000097400000}"/>
    <cellStyle name="Input 6 5 5 2 4" xfId="15151" xr:uid="{00000000-0005-0000-0000-000098400000}"/>
    <cellStyle name="Input 6 5 5 3" xfId="8148" xr:uid="{00000000-0005-0000-0000-000099400000}"/>
    <cellStyle name="Input 6 5 5 3 2" xfId="27120" xr:uid="{00000000-0005-0000-0000-00009A400000}"/>
    <cellStyle name="Input 6 5 5 3 3" xfId="37965" xr:uid="{00000000-0005-0000-0000-00009B400000}"/>
    <cellStyle name="Input 6 5 5 3 4" xfId="17064" xr:uid="{00000000-0005-0000-0000-00009C400000}"/>
    <cellStyle name="Input 6 5 5 4" xfId="10807" xr:uid="{00000000-0005-0000-0000-00009D400000}"/>
    <cellStyle name="Input 6 5 5 4 2" xfId="29779" xr:uid="{00000000-0005-0000-0000-00009E400000}"/>
    <cellStyle name="Input 6 5 5 4 3" xfId="40624" xr:uid="{00000000-0005-0000-0000-00009F400000}"/>
    <cellStyle name="Input 6 5 5 4 4" xfId="18968" xr:uid="{00000000-0005-0000-0000-0000A0400000}"/>
    <cellStyle name="Input 6 5 5 5" xfId="21603" xr:uid="{00000000-0005-0000-0000-0000A1400000}"/>
    <cellStyle name="Input 6 5 5 6" xfId="32448" xr:uid="{00000000-0005-0000-0000-0000A2400000}"/>
    <cellStyle name="Input 6 5 5 7" xfId="13114" xr:uid="{00000000-0005-0000-0000-0000A3400000}"/>
    <cellStyle name="Input 6 5 6" xfId="3011" xr:uid="{00000000-0005-0000-0000-0000A4400000}"/>
    <cellStyle name="Input 6 5 6 2" xfId="5862" xr:uid="{00000000-0005-0000-0000-0000A5400000}"/>
    <cellStyle name="Input 6 5 6 2 2" xfId="24834" xr:uid="{00000000-0005-0000-0000-0000A6400000}"/>
    <cellStyle name="Input 6 5 6 2 3" xfId="35679" xr:uid="{00000000-0005-0000-0000-0000A7400000}"/>
    <cellStyle name="Input 6 5 6 2 4" xfId="15427" xr:uid="{00000000-0005-0000-0000-0000A8400000}"/>
    <cellStyle name="Input 6 5 6 3" xfId="8533" xr:uid="{00000000-0005-0000-0000-0000A9400000}"/>
    <cellStyle name="Input 6 5 6 3 2" xfId="27505" xr:uid="{00000000-0005-0000-0000-0000AA400000}"/>
    <cellStyle name="Input 6 5 6 3 3" xfId="38350" xr:uid="{00000000-0005-0000-0000-0000AB400000}"/>
    <cellStyle name="Input 6 5 6 3 4" xfId="17340" xr:uid="{00000000-0005-0000-0000-0000AC400000}"/>
    <cellStyle name="Input 6 5 6 4" xfId="11192" xr:uid="{00000000-0005-0000-0000-0000AD400000}"/>
    <cellStyle name="Input 6 5 6 4 2" xfId="30164" xr:uid="{00000000-0005-0000-0000-0000AE400000}"/>
    <cellStyle name="Input 6 5 6 4 3" xfId="41009" xr:uid="{00000000-0005-0000-0000-0000AF400000}"/>
    <cellStyle name="Input 6 5 6 4 4" xfId="19244" xr:uid="{00000000-0005-0000-0000-0000B0400000}"/>
    <cellStyle name="Input 6 5 6 5" xfId="21988" xr:uid="{00000000-0005-0000-0000-0000B1400000}"/>
    <cellStyle name="Input 6 5 6 6" xfId="32833" xr:uid="{00000000-0005-0000-0000-0000B2400000}"/>
    <cellStyle name="Input 6 5 6 7" xfId="13390" xr:uid="{00000000-0005-0000-0000-0000B3400000}"/>
    <cellStyle name="Input 6 5 7" xfId="3700" xr:uid="{00000000-0005-0000-0000-0000B4400000}"/>
    <cellStyle name="Input 6 5 7 2" xfId="22672" xr:uid="{00000000-0005-0000-0000-0000B5400000}"/>
    <cellStyle name="Input 6 5 7 3" xfId="33517" xr:uid="{00000000-0005-0000-0000-0000B6400000}"/>
    <cellStyle name="Input 6 5 7 4" xfId="13871" xr:uid="{00000000-0005-0000-0000-0000B7400000}"/>
    <cellStyle name="Input 6 5 8" xfId="6375" xr:uid="{00000000-0005-0000-0000-0000B8400000}"/>
    <cellStyle name="Input 6 5 8 2" xfId="25347" xr:uid="{00000000-0005-0000-0000-0000B9400000}"/>
    <cellStyle name="Input 6 5 8 3" xfId="36192" xr:uid="{00000000-0005-0000-0000-0000BA400000}"/>
    <cellStyle name="Input 6 5 8 4" xfId="15787" xr:uid="{00000000-0005-0000-0000-0000BB400000}"/>
    <cellStyle name="Input 6 5 9" xfId="9034" xr:uid="{00000000-0005-0000-0000-0000BC400000}"/>
    <cellStyle name="Input 6 5 9 2" xfId="28006" xr:uid="{00000000-0005-0000-0000-0000BD400000}"/>
    <cellStyle name="Input 6 5 9 3" xfId="38851" xr:uid="{00000000-0005-0000-0000-0000BE400000}"/>
    <cellStyle name="Input 6 5 9 4" xfId="17691" xr:uid="{00000000-0005-0000-0000-0000BF400000}"/>
    <cellStyle name="Input 6 6" xfId="1067" xr:uid="{00000000-0005-0000-0000-0000C0400000}"/>
    <cellStyle name="Input 6 6 2" xfId="3920" xr:uid="{00000000-0005-0000-0000-0000C1400000}"/>
    <cellStyle name="Input 6 6 2 2" xfId="22892" xr:uid="{00000000-0005-0000-0000-0000C2400000}"/>
    <cellStyle name="Input 6 6 2 3" xfId="33737" xr:uid="{00000000-0005-0000-0000-0000C3400000}"/>
    <cellStyle name="Input 6 6 2 4" xfId="14033" xr:uid="{00000000-0005-0000-0000-0000C4400000}"/>
    <cellStyle name="Input 6 6 3" xfId="6594" xr:uid="{00000000-0005-0000-0000-0000C5400000}"/>
    <cellStyle name="Input 6 6 3 2" xfId="25566" xr:uid="{00000000-0005-0000-0000-0000C6400000}"/>
    <cellStyle name="Input 6 6 3 3" xfId="36411" xr:uid="{00000000-0005-0000-0000-0000C7400000}"/>
    <cellStyle name="Input 6 6 3 4" xfId="15949" xr:uid="{00000000-0005-0000-0000-0000C8400000}"/>
    <cellStyle name="Input 6 6 4" xfId="9253" xr:uid="{00000000-0005-0000-0000-0000C9400000}"/>
    <cellStyle name="Input 6 6 4 2" xfId="28225" xr:uid="{00000000-0005-0000-0000-0000CA400000}"/>
    <cellStyle name="Input 6 6 4 3" xfId="39070" xr:uid="{00000000-0005-0000-0000-0000CB400000}"/>
    <cellStyle name="Input 6 6 4 4" xfId="17853" xr:uid="{00000000-0005-0000-0000-0000CC400000}"/>
    <cellStyle name="Input 6 6 5" xfId="20049" xr:uid="{00000000-0005-0000-0000-0000CD400000}"/>
    <cellStyle name="Input 6 6 6" xfId="30894" xr:uid="{00000000-0005-0000-0000-0000CE400000}"/>
    <cellStyle name="Input 6 6 7" xfId="11999" xr:uid="{00000000-0005-0000-0000-0000CF400000}"/>
    <cellStyle name="Input 6 7" xfId="915" xr:uid="{00000000-0005-0000-0000-0000D0400000}"/>
    <cellStyle name="Input 6 7 2" xfId="3770" xr:uid="{00000000-0005-0000-0000-0000D1400000}"/>
    <cellStyle name="Input 6 7 2 2" xfId="22742" xr:uid="{00000000-0005-0000-0000-0000D2400000}"/>
    <cellStyle name="Input 6 7 2 3" xfId="33587" xr:uid="{00000000-0005-0000-0000-0000D3400000}"/>
    <cellStyle name="Input 6 7 2 4" xfId="13916" xr:uid="{00000000-0005-0000-0000-0000D4400000}"/>
    <cellStyle name="Input 6 7 3" xfId="6445" xr:uid="{00000000-0005-0000-0000-0000D5400000}"/>
    <cellStyle name="Input 6 7 3 2" xfId="25417" xr:uid="{00000000-0005-0000-0000-0000D6400000}"/>
    <cellStyle name="Input 6 7 3 3" xfId="36262" xr:uid="{00000000-0005-0000-0000-0000D7400000}"/>
    <cellStyle name="Input 6 7 3 4" xfId="15832" xr:uid="{00000000-0005-0000-0000-0000D8400000}"/>
    <cellStyle name="Input 6 7 4" xfId="9104" xr:uid="{00000000-0005-0000-0000-0000D9400000}"/>
    <cellStyle name="Input 6 7 4 2" xfId="28076" xr:uid="{00000000-0005-0000-0000-0000DA400000}"/>
    <cellStyle name="Input 6 7 4 3" xfId="38921" xr:uid="{00000000-0005-0000-0000-0000DB400000}"/>
    <cellStyle name="Input 6 7 4 4" xfId="17736" xr:uid="{00000000-0005-0000-0000-0000DC400000}"/>
    <cellStyle name="Input 6 7 5" xfId="19900" xr:uid="{00000000-0005-0000-0000-0000DD400000}"/>
    <cellStyle name="Input 6 7 6" xfId="30745" xr:uid="{00000000-0005-0000-0000-0000DE400000}"/>
    <cellStyle name="Input 6 7 7" xfId="11882" xr:uid="{00000000-0005-0000-0000-0000DF400000}"/>
    <cellStyle name="Input 6 8" xfId="975" xr:uid="{00000000-0005-0000-0000-0000E0400000}"/>
    <cellStyle name="Input 6 8 2" xfId="3828" xr:uid="{00000000-0005-0000-0000-0000E1400000}"/>
    <cellStyle name="Input 6 8 2 2" xfId="22800" xr:uid="{00000000-0005-0000-0000-0000E2400000}"/>
    <cellStyle name="Input 6 8 2 3" xfId="33645" xr:uid="{00000000-0005-0000-0000-0000E3400000}"/>
    <cellStyle name="Input 6 8 2 4" xfId="13966" xr:uid="{00000000-0005-0000-0000-0000E4400000}"/>
    <cellStyle name="Input 6 8 3" xfId="6503" xr:uid="{00000000-0005-0000-0000-0000E5400000}"/>
    <cellStyle name="Input 6 8 3 2" xfId="25475" xr:uid="{00000000-0005-0000-0000-0000E6400000}"/>
    <cellStyle name="Input 6 8 3 3" xfId="36320" xr:uid="{00000000-0005-0000-0000-0000E7400000}"/>
    <cellStyle name="Input 6 8 3 4" xfId="15882" xr:uid="{00000000-0005-0000-0000-0000E8400000}"/>
    <cellStyle name="Input 6 8 4" xfId="9162" xr:uid="{00000000-0005-0000-0000-0000E9400000}"/>
    <cellStyle name="Input 6 8 4 2" xfId="28134" xr:uid="{00000000-0005-0000-0000-0000EA400000}"/>
    <cellStyle name="Input 6 8 4 3" xfId="38979" xr:uid="{00000000-0005-0000-0000-0000EB400000}"/>
    <cellStyle name="Input 6 8 4 4" xfId="17786" xr:uid="{00000000-0005-0000-0000-0000EC400000}"/>
    <cellStyle name="Input 6 8 5" xfId="19958" xr:uid="{00000000-0005-0000-0000-0000ED400000}"/>
    <cellStyle name="Input 6 8 6" xfId="30803" xr:uid="{00000000-0005-0000-0000-0000EE400000}"/>
    <cellStyle name="Input 6 8 7" xfId="11932" xr:uid="{00000000-0005-0000-0000-0000EF400000}"/>
    <cellStyle name="Input 6 9" xfId="927" xr:uid="{00000000-0005-0000-0000-0000F0400000}"/>
    <cellStyle name="Input 6 9 2" xfId="3782" xr:uid="{00000000-0005-0000-0000-0000F1400000}"/>
    <cellStyle name="Input 6 9 2 2" xfId="22754" xr:uid="{00000000-0005-0000-0000-0000F2400000}"/>
    <cellStyle name="Input 6 9 2 3" xfId="33599" xr:uid="{00000000-0005-0000-0000-0000F3400000}"/>
    <cellStyle name="Input 6 9 2 4" xfId="13928" xr:uid="{00000000-0005-0000-0000-0000F4400000}"/>
    <cellStyle name="Input 6 9 3" xfId="6457" xr:uid="{00000000-0005-0000-0000-0000F5400000}"/>
    <cellStyle name="Input 6 9 3 2" xfId="25429" xr:uid="{00000000-0005-0000-0000-0000F6400000}"/>
    <cellStyle name="Input 6 9 3 3" xfId="36274" xr:uid="{00000000-0005-0000-0000-0000F7400000}"/>
    <cellStyle name="Input 6 9 3 4" xfId="15844" xr:uid="{00000000-0005-0000-0000-0000F8400000}"/>
    <cellStyle name="Input 6 9 4" xfId="9116" xr:uid="{00000000-0005-0000-0000-0000F9400000}"/>
    <cellStyle name="Input 6 9 4 2" xfId="28088" xr:uid="{00000000-0005-0000-0000-0000FA400000}"/>
    <cellStyle name="Input 6 9 4 3" xfId="38933" xr:uid="{00000000-0005-0000-0000-0000FB400000}"/>
    <cellStyle name="Input 6 9 4 4" xfId="17748" xr:uid="{00000000-0005-0000-0000-0000FC400000}"/>
    <cellStyle name="Input 6 9 5" xfId="19912" xr:uid="{00000000-0005-0000-0000-0000FD400000}"/>
    <cellStyle name="Input 6 9 6" xfId="30757" xr:uid="{00000000-0005-0000-0000-0000FE400000}"/>
    <cellStyle name="Input 6 9 7" xfId="11894" xr:uid="{00000000-0005-0000-0000-0000FF400000}"/>
    <cellStyle name="Input 7" xfId="549" xr:uid="{00000000-0005-0000-0000-000000410000}"/>
    <cellStyle name="Input 7 10" xfId="19559" xr:uid="{00000000-0005-0000-0000-000001410000}"/>
    <cellStyle name="Input 7 11" xfId="30404" xr:uid="{00000000-0005-0000-0000-000002410000}"/>
    <cellStyle name="Input 7 12" xfId="11623" xr:uid="{00000000-0005-0000-0000-000003410000}"/>
    <cellStyle name="Input 7 2" xfId="1155" xr:uid="{00000000-0005-0000-0000-000004410000}"/>
    <cellStyle name="Input 7 2 2" xfId="4008" xr:uid="{00000000-0005-0000-0000-000005410000}"/>
    <cellStyle name="Input 7 2 2 2" xfId="22980" xr:uid="{00000000-0005-0000-0000-000006410000}"/>
    <cellStyle name="Input 7 2 2 3" xfId="33825" xr:uid="{00000000-0005-0000-0000-000007410000}"/>
    <cellStyle name="Input 7 2 2 4" xfId="14100" xr:uid="{00000000-0005-0000-0000-000008410000}"/>
    <cellStyle name="Input 7 2 3" xfId="6681" xr:uid="{00000000-0005-0000-0000-000009410000}"/>
    <cellStyle name="Input 7 2 3 2" xfId="25653" xr:uid="{00000000-0005-0000-0000-00000A410000}"/>
    <cellStyle name="Input 7 2 3 3" xfId="36498" xr:uid="{00000000-0005-0000-0000-00000B410000}"/>
    <cellStyle name="Input 7 2 3 4" xfId="16015" xr:uid="{00000000-0005-0000-0000-00000C410000}"/>
    <cellStyle name="Input 7 2 4" xfId="9340" xr:uid="{00000000-0005-0000-0000-00000D410000}"/>
    <cellStyle name="Input 7 2 4 2" xfId="28312" xr:uid="{00000000-0005-0000-0000-00000E410000}"/>
    <cellStyle name="Input 7 2 4 3" xfId="39157" xr:uid="{00000000-0005-0000-0000-00000F410000}"/>
    <cellStyle name="Input 7 2 4 4" xfId="17919" xr:uid="{00000000-0005-0000-0000-000010410000}"/>
    <cellStyle name="Input 7 2 5" xfId="20136" xr:uid="{00000000-0005-0000-0000-000011410000}"/>
    <cellStyle name="Input 7 2 6" xfId="30981" xr:uid="{00000000-0005-0000-0000-000012410000}"/>
    <cellStyle name="Input 7 2 7" xfId="12065" xr:uid="{00000000-0005-0000-0000-000013410000}"/>
    <cellStyle name="Input 7 3" xfId="1552" xr:uid="{00000000-0005-0000-0000-000014410000}"/>
    <cellStyle name="Input 7 3 2" xfId="4405" xr:uid="{00000000-0005-0000-0000-000015410000}"/>
    <cellStyle name="Input 7 3 2 2" xfId="23377" xr:uid="{00000000-0005-0000-0000-000016410000}"/>
    <cellStyle name="Input 7 3 2 3" xfId="34222" xr:uid="{00000000-0005-0000-0000-000017410000}"/>
    <cellStyle name="Input 7 3 2 4" xfId="14386" xr:uid="{00000000-0005-0000-0000-000018410000}"/>
    <cellStyle name="Input 7 3 3" xfId="7077" xr:uid="{00000000-0005-0000-0000-000019410000}"/>
    <cellStyle name="Input 7 3 3 2" xfId="26049" xr:uid="{00000000-0005-0000-0000-00001A410000}"/>
    <cellStyle name="Input 7 3 3 3" xfId="36894" xr:uid="{00000000-0005-0000-0000-00001B410000}"/>
    <cellStyle name="Input 7 3 3 4" xfId="16300" xr:uid="{00000000-0005-0000-0000-00001C410000}"/>
    <cellStyle name="Input 7 3 4" xfId="9736" xr:uid="{00000000-0005-0000-0000-00001D410000}"/>
    <cellStyle name="Input 7 3 4 2" xfId="28708" xr:uid="{00000000-0005-0000-0000-00001E410000}"/>
    <cellStyle name="Input 7 3 4 3" xfId="39553" xr:uid="{00000000-0005-0000-0000-00001F410000}"/>
    <cellStyle name="Input 7 3 4 4" xfId="18204" xr:uid="{00000000-0005-0000-0000-000020410000}"/>
    <cellStyle name="Input 7 3 5" xfId="20532" xr:uid="{00000000-0005-0000-0000-000021410000}"/>
    <cellStyle name="Input 7 3 6" xfId="31377" xr:uid="{00000000-0005-0000-0000-000022410000}"/>
    <cellStyle name="Input 7 3 7" xfId="12350" xr:uid="{00000000-0005-0000-0000-000023410000}"/>
    <cellStyle name="Input 7 4" xfId="1956" xr:uid="{00000000-0005-0000-0000-000024410000}"/>
    <cellStyle name="Input 7 4 2" xfId="4809" xr:uid="{00000000-0005-0000-0000-000025410000}"/>
    <cellStyle name="Input 7 4 2 2" xfId="23781" xr:uid="{00000000-0005-0000-0000-000026410000}"/>
    <cellStyle name="Input 7 4 2 3" xfId="34626" xr:uid="{00000000-0005-0000-0000-000027410000}"/>
    <cellStyle name="Input 7 4 2 4" xfId="14674" xr:uid="{00000000-0005-0000-0000-000028410000}"/>
    <cellStyle name="Input 7 4 3" xfId="7481" xr:uid="{00000000-0005-0000-0000-000029410000}"/>
    <cellStyle name="Input 7 4 3 2" xfId="26453" xr:uid="{00000000-0005-0000-0000-00002A410000}"/>
    <cellStyle name="Input 7 4 3 3" xfId="37298" xr:uid="{00000000-0005-0000-0000-00002B410000}"/>
    <cellStyle name="Input 7 4 3 4" xfId="16588" xr:uid="{00000000-0005-0000-0000-00002C410000}"/>
    <cellStyle name="Input 7 4 4" xfId="10140" xr:uid="{00000000-0005-0000-0000-00002D410000}"/>
    <cellStyle name="Input 7 4 4 2" xfId="29112" xr:uid="{00000000-0005-0000-0000-00002E410000}"/>
    <cellStyle name="Input 7 4 4 3" xfId="39957" xr:uid="{00000000-0005-0000-0000-00002F410000}"/>
    <cellStyle name="Input 7 4 4 4" xfId="18492" xr:uid="{00000000-0005-0000-0000-000030410000}"/>
    <cellStyle name="Input 7 4 5" xfId="20936" xr:uid="{00000000-0005-0000-0000-000031410000}"/>
    <cellStyle name="Input 7 4 6" xfId="31781" xr:uid="{00000000-0005-0000-0000-000032410000}"/>
    <cellStyle name="Input 7 4 7" xfId="12638" xr:uid="{00000000-0005-0000-0000-000033410000}"/>
    <cellStyle name="Input 7 5" xfId="2348" xr:uid="{00000000-0005-0000-0000-000034410000}"/>
    <cellStyle name="Input 7 5 2" xfId="5201" xr:uid="{00000000-0005-0000-0000-000035410000}"/>
    <cellStyle name="Input 7 5 2 2" xfId="24173" xr:uid="{00000000-0005-0000-0000-000036410000}"/>
    <cellStyle name="Input 7 5 2 3" xfId="35018" xr:uid="{00000000-0005-0000-0000-000037410000}"/>
    <cellStyle name="Input 7 5 2 4" xfId="14955" xr:uid="{00000000-0005-0000-0000-000038410000}"/>
    <cellStyle name="Input 7 5 3" xfId="7872" xr:uid="{00000000-0005-0000-0000-000039410000}"/>
    <cellStyle name="Input 7 5 3 2" xfId="26844" xr:uid="{00000000-0005-0000-0000-00003A410000}"/>
    <cellStyle name="Input 7 5 3 3" xfId="37689" xr:uid="{00000000-0005-0000-0000-00003B410000}"/>
    <cellStyle name="Input 7 5 3 4" xfId="16868" xr:uid="{00000000-0005-0000-0000-00003C410000}"/>
    <cellStyle name="Input 7 5 4" xfId="10531" xr:uid="{00000000-0005-0000-0000-00003D410000}"/>
    <cellStyle name="Input 7 5 4 2" xfId="29503" xr:uid="{00000000-0005-0000-0000-00003E410000}"/>
    <cellStyle name="Input 7 5 4 3" xfId="40348" xr:uid="{00000000-0005-0000-0000-00003F410000}"/>
    <cellStyle name="Input 7 5 4 4" xfId="18772" xr:uid="{00000000-0005-0000-0000-000040410000}"/>
    <cellStyle name="Input 7 5 5" xfId="21327" xr:uid="{00000000-0005-0000-0000-000041410000}"/>
    <cellStyle name="Input 7 5 6" xfId="32172" xr:uid="{00000000-0005-0000-0000-000042410000}"/>
    <cellStyle name="Input 7 5 7" xfId="12918" xr:uid="{00000000-0005-0000-0000-000043410000}"/>
    <cellStyle name="Input 7 6" xfId="2737" xr:uid="{00000000-0005-0000-0000-000044410000}"/>
    <cellStyle name="Input 7 6 2" xfId="5589" xr:uid="{00000000-0005-0000-0000-000045410000}"/>
    <cellStyle name="Input 7 6 2 2" xfId="24561" xr:uid="{00000000-0005-0000-0000-000046410000}"/>
    <cellStyle name="Input 7 6 2 3" xfId="35406" xr:uid="{00000000-0005-0000-0000-000047410000}"/>
    <cellStyle name="Input 7 6 2 4" xfId="15233" xr:uid="{00000000-0005-0000-0000-000048410000}"/>
    <cellStyle name="Input 7 6 3" xfId="8260" xr:uid="{00000000-0005-0000-0000-000049410000}"/>
    <cellStyle name="Input 7 6 3 2" xfId="27232" xr:uid="{00000000-0005-0000-0000-00004A410000}"/>
    <cellStyle name="Input 7 6 3 3" xfId="38077" xr:uid="{00000000-0005-0000-0000-00004B410000}"/>
    <cellStyle name="Input 7 6 3 4" xfId="17146" xr:uid="{00000000-0005-0000-0000-00004C410000}"/>
    <cellStyle name="Input 7 6 4" xfId="10919" xr:uid="{00000000-0005-0000-0000-00004D410000}"/>
    <cellStyle name="Input 7 6 4 2" xfId="29891" xr:uid="{00000000-0005-0000-0000-00004E410000}"/>
    <cellStyle name="Input 7 6 4 3" xfId="40736" xr:uid="{00000000-0005-0000-0000-00004F410000}"/>
    <cellStyle name="Input 7 6 4 4" xfId="19050" xr:uid="{00000000-0005-0000-0000-000050410000}"/>
    <cellStyle name="Input 7 6 5" xfId="21715" xr:uid="{00000000-0005-0000-0000-000051410000}"/>
    <cellStyle name="Input 7 6 6" xfId="32560" xr:uid="{00000000-0005-0000-0000-000052410000}"/>
    <cellStyle name="Input 7 6 7" xfId="13196" xr:uid="{00000000-0005-0000-0000-000053410000}"/>
    <cellStyle name="Input 7 7" xfId="3428" xr:uid="{00000000-0005-0000-0000-000054410000}"/>
    <cellStyle name="Input 7 7 2" xfId="22400" xr:uid="{00000000-0005-0000-0000-000055410000}"/>
    <cellStyle name="Input 7 7 3" xfId="33245" xr:uid="{00000000-0005-0000-0000-000056410000}"/>
    <cellStyle name="Input 7 7 4" xfId="13678" xr:uid="{00000000-0005-0000-0000-000057410000}"/>
    <cellStyle name="Input 7 8" xfId="6104" xr:uid="{00000000-0005-0000-0000-000058410000}"/>
    <cellStyle name="Input 7 8 2" xfId="25076" xr:uid="{00000000-0005-0000-0000-000059410000}"/>
    <cellStyle name="Input 7 8 3" xfId="35921" xr:uid="{00000000-0005-0000-0000-00005A410000}"/>
    <cellStyle name="Input 7 8 4" xfId="15595" xr:uid="{00000000-0005-0000-0000-00005B410000}"/>
    <cellStyle name="Input 7 9" xfId="8763" xr:uid="{00000000-0005-0000-0000-00005C410000}"/>
    <cellStyle name="Input 7 9 2" xfId="27735" xr:uid="{00000000-0005-0000-0000-00005D410000}"/>
    <cellStyle name="Input 7 9 3" xfId="38580" xr:uid="{00000000-0005-0000-0000-00005E410000}"/>
    <cellStyle name="Input 7 9 4" xfId="17499" xr:uid="{00000000-0005-0000-0000-00005F410000}"/>
    <cellStyle name="Input 8" xfId="484" xr:uid="{00000000-0005-0000-0000-000060410000}"/>
    <cellStyle name="Input 8 2" xfId="3403" xr:uid="{00000000-0005-0000-0000-000061410000}"/>
    <cellStyle name="Input 8 2 2" xfId="22375" xr:uid="{00000000-0005-0000-0000-000062410000}"/>
    <cellStyle name="Input 8 2 3" xfId="33220" xr:uid="{00000000-0005-0000-0000-000063410000}"/>
    <cellStyle name="Input 8 2 4" xfId="13656" xr:uid="{00000000-0005-0000-0000-000064410000}"/>
    <cellStyle name="Input 8 3" xfId="6081" xr:uid="{00000000-0005-0000-0000-000065410000}"/>
    <cellStyle name="Input 8 3 2" xfId="25053" xr:uid="{00000000-0005-0000-0000-000066410000}"/>
    <cellStyle name="Input 8 3 3" xfId="35898" xr:uid="{00000000-0005-0000-0000-000067410000}"/>
    <cellStyle name="Input 8 3 4" xfId="15573" xr:uid="{00000000-0005-0000-0000-000068410000}"/>
    <cellStyle name="Input 8 4" xfId="8740" xr:uid="{00000000-0005-0000-0000-000069410000}"/>
    <cellStyle name="Input 8 4 2" xfId="27712" xr:uid="{00000000-0005-0000-0000-00006A410000}"/>
    <cellStyle name="Input 8 4 3" xfId="38557" xr:uid="{00000000-0005-0000-0000-00006B410000}"/>
    <cellStyle name="Input 8 4 4" xfId="17477" xr:uid="{00000000-0005-0000-0000-00006C410000}"/>
    <cellStyle name="Input 8 5" xfId="19525" xr:uid="{00000000-0005-0000-0000-00006D410000}"/>
    <cellStyle name="Input 8 6" xfId="30370" xr:uid="{00000000-0005-0000-0000-00006E410000}"/>
    <cellStyle name="Input 8 7" xfId="11569" xr:uid="{00000000-0005-0000-0000-00006F410000}"/>
    <cellStyle name="Input 9" xfId="11447" xr:uid="{00000000-0005-0000-0000-000070410000}"/>
    <cellStyle name="Linked Cell" xfId="107" builtinId="24" customBuiltin="1"/>
    <cellStyle name="Linked Cell 2" xfId="108" xr:uid="{00000000-0005-0000-0000-000072410000}"/>
    <cellStyle name="Linked Cell 3" xfId="109" xr:uid="{00000000-0005-0000-0000-000073410000}"/>
    <cellStyle name="Linked Cell 4" xfId="303" xr:uid="{00000000-0005-0000-0000-000074410000}"/>
    <cellStyle name="Linked Cell 5" xfId="486" xr:uid="{00000000-0005-0000-0000-000075410000}"/>
    <cellStyle name="Linked Cell 6" xfId="11458" xr:uid="{00000000-0005-0000-0000-000076410000}"/>
    <cellStyle name="Neutral" xfId="110" builtinId="28" customBuiltin="1"/>
    <cellStyle name="Neutral 2" xfId="111" xr:uid="{00000000-0005-0000-0000-000078410000}"/>
    <cellStyle name="Neutral 3" xfId="304" xr:uid="{00000000-0005-0000-0000-000079410000}"/>
    <cellStyle name="Neutral 4" xfId="487" xr:uid="{00000000-0005-0000-0000-00007A410000}"/>
    <cellStyle name="Neutral 5" xfId="11459" xr:uid="{00000000-0005-0000-0000-00007B410000}"/>
    <cellStyle name="Normal" xfId="0" builtinId="0"/>
    <cellStyle name="Normal 10" xfId="305" xr:uid="{00000000-0005-0000-0000-00007D410000}"/>
    <cellStyle name="Normal 10 2" xfId="41379" xr:uid="{00000000-0005-0000-0000-00007E410000}"/>
    <cellStyle name="Normal 11" xfId="306" xr:uid="{00000000-0005-0000-0000-00007F410000}"/>
    <cellStyle name="Normal 11 2" xfId="41215" xr:uid="{00000000-0005-0000-0000-000080410000}"/>
    <cellStyle name="Normal 11 2 2" xfId="41226" xr:uid="{00000000-0005-0000-0000-000081410000}"/>
    <cellStyle name="Normal 11 2 3" xfId="42638" xr:uid="{00000000-0005-0000-0000-000082410000}"/>
    <cellStyle name="Normal 11 3" xfId="41380" xr:uid="{00000000-0005-0000-0000-000083410000}"/>
    <cellStyle name="Normal 12" xfId="307" xr:uid="{00000000-0005-0000-0000-000084410000}"/>
    <cellStyle name="Normal 12 2" xfId="41381" xr:uid="{00000000-0005-0000-0000-000085410000}"/>
    <cellStyle name="Normal 13" xfId="330" xr:uid="{00000000-0005-0000-0000-000086410000}"/>
    <cellStyle name="Normal 13 2" xfId="332" xr:uid="{00000000-0005-0000-0000-000087410000}"/>
    <cellStyle name="Normal 13 2 2" xfId="437" xr:uid="{00000000-0005-0000-0000-000088410000}"/>
    <cellStyle name="Normal 13 2 2 2" xfId="647" xr:uid="{00000000-0005-0000-0000-000089410000}"/>
    <cellStyle name="Normal 13 2 2 2 2" xfId="11398" xr:uid="{00000000-0005-0000-0000-00008A410000}"/>
    <cellStyle name="Normal 13 2 2 2 2 2" xfId="19380" xr:uid="{00000000-0005-0000-0000-00008B410000}"/>
    <cellStyle name="Normal 13 2 2 2 3" xfId="11699" xr:uid="{00000000-0005-0000-0000-00008C410000}"/>
    <cellStyle name="Normal 13 2 2 3" xfId="523" xr:uid="{00000000-0005-0000-0000-00008D410000}"/>
    <cellStyle name="Normal 13 2 2 3 2" xfId="11597" xr:uid="{00000000-0005-0000-0000-00008E410000}"/>
    <cellStyle name="Normal 13 2 2 4" xfId="11557" xr:uid="{00000000-0005-0000-0000-00008F410000}"/>
    <cellStyle name="Normal 13 2 3" xfId="625" xr:uid="{00000000-0005-0000-0000-000090410000}"/>
    <cellStyle name="Normal 13 2 3 2" xfId="11680" xr:uid="{00000000-0005-0000-0000-000091410000}"/>
    <cellStyle name="Normal 13 2 4" xfId="504" xr:uid="{00000000-0005-0000-0000-000092410000}"/>
    <cellStyle name="Normal 13 2 4 2" xfId="11582" xr:uid="{00000000-0005-0000-0000-000093410000}"/>
    <cellStyle name="Normal 13 2 5" xfId="11496" xr:uid="{00000000-0005-0000-0000-000094410000}"/>
    <cellStyle name="Normal 13 3" xfId="436" xr:uid="{00000000-0005-0000-0000-000095410000}"/>
    <cellStyle name="Normal 13 3 2" xfId="646" xr:uid="{00000000-0005-0000-0000-000096410000}"/>
    <cellStyle name="Normal 13 3 2 2" xfId="11698" xr:uid="{00000000-0005-0000-0000-000097410000}"/>
    <cellStyle name="Normal 13 3 3" xfId="522" xr:uid="{00000000-0005-0000-0000-000098410000}"/>
    <cellStyle name="Normal 13 3 3 2" xfId="11596" xr:uid="{00000000-0005-0000-0000-000099410000}"/>
    <cellStyle name="Normal 13 3 4" xfId="11556" xr:uid="{00000000-0005-0000-0000-00009A410000}"/>
    <cellStyle name="Normal 13 4" xfId="624" xr:uid="{00000000-0005-0000-0000-00009B410000}"/>
    <cellStyle name="Normal 13 4 2" xfId="11679" xr:uid="{00000000-0005-0000-0000-00009C410000}"/>
    <cellStyle name="Normal 13 5" xfId="503" xr:uid="{00000000-0005-0000-0000-00009D410000}"/>
    <cellStyle name="Normal 13 5 2" xfId="11581" xr:uid="{00000000-0005-0000-0000-00009E410000}"/>
    <cellStyle name="Normal 13 6" xfId="11495" xr:uid="{00000000-0005-0000-0000-00009F410000}"/>
    <cellStyle name="Normal 13 7" xfId="41382" xr:uid="{00000000-0005-0000-0000-0000A0410000}"/>
    <cellStyle name="Normal 14" xfId="448" xr:uid="{00000000-0005-0000-0000-0000A1410000}"/>
    <cellStyle name="Normal 14 2" xfId="3387" xr:uid="{00000000-0005-0000-0000-0000A2410000}"/>
    <cellStyle name="Normal 14 2 2" xfId="41383" xr:uid="{00000000-0005-0000-0000-0000A3410000}"/>
    <cellStyle name="Normal 14 2 2 2" xfId="41589" xr:uid="{00000000-0005-0000-0000-0000A4410000}"/>
    <cellStyle name="Normal 14 2 2 2 2" xfId="42088" xr:uid="{00000000-0005-0000-0000-0000A5410000}"/>
    <cellStyle name="Normal 14 2 2 2 3" xfId="42553" xr:uid="{00000000-0005-0000-0000-0000A6410000}"/>
    <cellStyle name="Normal 14 2 2 3" xfId="42089" xr:uid="{00000000-0005-0000-0000-0000A7410000}"/>
    <cellStyle name="Normal 14 2 2 3 2" xfId="42090" xr:uid="{00000000-0005-0000-0000-0000A8410000}"/>
    <cellStyle name="Normal 14 2 2 4" xfId="42091" xr:uid="{00000000-0005-0000-0000-0000A9410000}"/>
    <cellStyle name="Normal 14 2 3" xfId="41384" xr:uid="{00000000-0005-0000-0000-0000AA410000}"/>
    <cellStyle name="Normal 14 2 3 2" xfId="41590" xr:uid="{00000000-0005-0000-0000-0000AB410000}"/>
    <cellStyle name="Normal 14 2 3 2 2" xfId="42092" xr:uid="{00000000-0005-0000-0000-0000AC410000}"/>
    <cellStyle name="Normal 14 2 3 2 3" xfId="42554" xr:uid="{00000000-0005-0000-0000-0000AD410000}"/>
    <cellStyle name="Normal 14 2 3 3" xfId="42093" xr:uid="{00000000-0005-0000-0000-0000AE410000}"/>
    <cellStyle name="Normal 14 2 3 3 2" xfId="42094" xr:uid="{00000000-0005-0000-0000-0000AF410000}"/>
    <cellStyle name="Normal 14 2 3 4" xfId="42095" xr:uid="{00000000-0005-0000-0000-0000B0410000}"/>
    <cellStyle name="Normal 14 2 4" xfId="41385" xr:uid="{00000000-0005-0000-0000-0000B1410000}"/>
    <cellStyle name="Normal 14 2 4 2" xfId="42096" xr:uid="{00000000-0005-0000-0000-0000B2410000}"/>
    <cellStyle name="Normal 14 2 4 3" xfId="42555" xr:uid="{00000000-0005-0000-0000-0000B3410000}"/>
    <cellStyle name="Normal 14 2 5" xfId="42097" xr:uid="{00000000-0005-0000-0000-0000B4410000}"/>
    <cellStyle name="Normal 14 2 5 2" xfId="42098" xr:uid="{00000000-0005-0000-0000-0000B5410000}"/>
    <cellStyle name="Normal 14 2 6" xfId="42099" xr:uid="{00000000-0005-0000-0000-0000B6410000}"/>
    <cellStyle name="Normal 15" xfId="444" xr:uid="{00000000-0005-0000-0000-0000B7410000}"/>
    <cellStyle name="Normal 15 2" xfId="11564" xr:uid="{00000000-0005-0000-0000-0000B8410000}"/>
    <cellStyle name="Normal 15 2 2" xfId="41386" xr:uid="{00000000-0005-0000-0000-0000B9410000}"/>
    <cellStyle name="Normal 15 2 2 2" xfId="41591" xr:uid="{00000000-0005-0000-0000-0000BA410000}"/>
    <cellStyle name="Normal 15 2 2 2 2" xfId="42100" xr:uid="{00000000-0005-0000-0000-0000BB410000}"/>
    <cellStyle name="Normal 15 2 2 2 3" xfId="42556" xr:uid="{00000000-0005-0000-0000-0000BC410000}"/>
    <cellStyle name="Normal 15 2 2 3" xfId="42101" xr:uid="{00000000-0005-0000-0000-0000BD410000}"/>
    <cellStyle name="Normal 15 2 2 3 2" xfId="42102" xr:uid="{00000000-0005-0000-0000-0000BE410000}"/>
    <cellStyle name="Normal 15 2 2 4" xfId="42103" xr:uid="{00000000-0005-0000-0000-0000BF410000}"/>
    <cellStyle name="Normal 15 2 3" xfId="41387" xr:uid="{00000000-0005-0000-0000-0000C0410000}"/>
    <cellStyle name="Normal 15 2 3 2" xfId="41592" xr:uid="{00000000-0005-0000-0000-0000C1410000}"/>
    <cellStyle name="Normal 15 2 3 2 2" xfId="42104" xr:uid="{00000000-0005-0000-0000-0000C2410000}"/>
    <cellStyle name="Normal 15 2 3 2 3" xfId="42557" xr:uid="{00000000-0005-0000-0000-0000C3410000}"/>
    <cellStyle name="Normal 15 2 3 3" xfId="42105" xr:uid="{00000000-0005-0000-0000-0000C4410000}"/>
    <cellStyle name="Normal 15 2 3 3 2" xfId="42106" xr:uid="{00000000-0005-0000-0000-0000C5410000}"/>
    <cellStyle name="Normal 15 2 3 4" xfId="42107" xr:uid="{00000000-0005-0000-0000-0000C6410000}"/>
    <cellStyle name="Normal 15 2 4" xfId="41388" xr:uid="{00000000-0005-0000-0000-0000C7410000}"/>
    <cellStyle name="Normal 15 2 4 2" xfId="42108" xr:uid="{00000000-0005-0000-0000-0000C8410000}"/>
    <cellStyle name="Normal 15 2 4 3" xfId="42558" xr:uid="{00000000-0005-0000-0000-0000C9410000}"/>
    <cellStyle name="Normal 15 2 5" xfId="42109" xr:uid="{00000000-0005-0000-0000-0000CA410000}"/>
    <cellStyle name="Normal 15 2 5 2" xfId="42110" xr:uid="{00000000-0005-0000-0000-0000CB410000}"/>
    <cellStyle name="Normal 15 2 6" xfId="42111" xr:uid="{00000000-0005-0000-0000-0000CC410000}"/>
    <cellStyle name="Normal 15 3" xfId="41389" xr:uid="{00000000-0005-0000-0000-0000CD410000}"/>
    <cellStyle name="Normal 15 3 2" xfId="41593" xr:uid="{00000000-0005-0000-0000-0000CE410000}"/>
    <cellStyle name="Normal 15 3 2 2" xfId="42112" xr:uid="{00000000-0005-0000-0000-0000CF410000}"/>
    <cellStyle name="Normal 15 3 2 3" xfId="42559" xr:uid="{00000000-0005-0000-0000-0000D0410000}"/>
    <cellStyle name="Normal 15 3 3" xfId="42113" xr:uid="{00000000-0005-0000-0000-0000D1410000}"/>
    <cellStyle name="Normal 15 3 3 2" xfId="42114" xr:uid="{00000000-0005-0000-0000-0000D2410000}"/>
    <cellStyle name="Normal 15 3 4" xfId="42115" xr:uid="{00000000-0005-0000-0000-0000D3410000}"/>
    <cellStyle name="Normal 15 4" xfId="41390" xr:uid="{00000000-0005-0000-0000-0000D4410000}"/>
    <cellStyle name="Normal 15 4 2" xfId="41594" xr:uid="{00000000-0005-0000-0000-0000D5410000}"/>
    <cellStyle name="Normal 15 4 2 2" xfId="42116" xr:uid="{00000000-0005-0000-0000-0000D6410000}"/>
    <cellStyle name="Normal 15 4 2 3" xfId="42560" xr:uid="{00000000-0005-0000-0000-0000D7410000}"/>
    <cellStyle name="Normal 15 4 3" xfId="42117" xr:uid="{00000000-0005-0000-0000-0000D8410000}"/>
    <cellStyle name="Normal 15 4 3 2" xfId="42118" xr:uid="{00000000-0005-0000-0000-0000D9410000}"/>
    <cellStyle name="Normal 15 4 4" xfId="42119" xr:uid="{00000000-0005-0000-0000-0000DA410000}"/>
    <cellStyle name="Normal 15 5" xfId="41391" xr:uid="{00000000-0005-0000-0000-0000DB410000}"/>
    <cellStyle name="Normal 15 5 2" xfId="42120" xr:uid="{00000000-0005-0000-0000-0000DC410000}"/>
    <cellStyle name="Normal 15 5 3" xfId="42561" xr:uid="{00000000-0005-0000-0000-0000DD410000}"/>
    <cellStyle name="Normal 15 6" xfId="42121" xr:uid="{00000000-0005-0000-0000-0000DE410000}"/>
    <cellStyle name="Normal 15 6 2" xfId="42122" xr:uid="{00000000-0005-0000-0000-0000DF410000}"/>
    <cellStyle name="Normal 15 7" xfId="42123" xr:uid="{00000000-0005-0000-0000-0000E0410000}"/>
    <cellStyle name="Normal 16" xfId="11401" xr:uid="{00000000-0005-0000-0000-0000E1410000}"/>
    <cellStyle name="Normal 16 2" xfId="41392" xr:uid="{00000000-0005-0000-0000-0000E2410000}"/>
    <cellStyle name="Normal 17" xfId="11399" xr:uid="{00000000-0005-0000-0000-0000E3410000}"/>
    <cellStyle name="Normal 17 2" xfId="41393" xr:uid="{00000000-0005-0000-0000-0000E4410000}"/>
    <cellStyle name="Normal 17 2 2" xfId="41595" xr:uid="{00000000-0005-0000-0000-0000E5410000}"/>
    <cellStyle name="Normal 17 2 2 2" xfId="42124" xr:uid="{00000000-0005-0000-0000-0000E6410000}"/>
    <cellStyle name="Normal 17 2 2 3" xfId="42562" xr:uid="{00000000-0005-0000-0000-0000E7410000}"/>
    <cellStyle name="Normal 17 2 3" xfId="42125" xr:uid="{00000000-0005-0000-0000-0000E8410000}"/>
    <cellStyle name="Normal 17 2 3 2" xfId="42126" xr:uid="{00000000-0005-0000-0000-0000E9410000}"/>
    <cellStyle name="Normal 17 2 4" xfId="42127" xr:uid="{00000000-0005-0000-0000-0000EA410000}"/>
    <cellStyle name="Normal 17 3" xfId="41394" xr:uid="{00000000-0005-0000-0000-0000EB410000}"/>
    <cellStyle name="Normal 17 3 2" xfId="41596" xr:uid="{00000000-0005-0000-0000-0000EC410000}"/>
    <cellStyle name="Normal 17 3 2 2" xfId="42128" xr:uid="{00000000-0005-0000-0000-0000ED410000}"/>
    <cellStyle name="Normal 17 3 2 3" xfId="42563" xr:uid="{00000000-0005-0000-0000-0000EE410000}"/>
    <cellStyle name="Normal 17 3 3" xfId="42129" xr:uid="{00000000-0005-0000-0000-0000EF410000}"/>
    <cellStyle name="Normal 17 3 3 2" xfId="42130" xr:uid="{00000000-0005-0000-0000-0000F0410000}"/>
    <cellStyle name="Normal 17 3 4" xfId="42131" xr:uid="{00000000-0005-0000-0000-0000F1410000}"/>
    <cellStyle name="Normal 17 4" xfId="41395" xr:uid="{00000000-0005-0000-0000-0000F2410000}"/>
    <cellStyle name="Normal 17 4 2" xfId="42132" xr:uid="{00000000-0005-0000-0000-0000F3410000}"/>
    <cellStyle name="Normal 17 4 3" xfId="42564" xr:uid="{00000000-0005-0000-0000-0000F4410000}"/>
    <cellStyle name="Normal 17 5" xfId="42133" xr:uid="{00000000-0005-0000-0000-0000F5410000}"/>
    <cellStyle name="Normal 17 5 2" xfId="42134" xr:uid="{00000000-0005-0000-0000-0000F6410000}"/>
    <cellStyle name="Normal 17 6" xfId="42135" xr:uid="{00000000-0005-0000-0000-0000F7410000}"/>
    <cellStyle name="Normal 18" xfId="41217" xr:uid="{00000000-0005-0000-0000-0000F8410000}"/>
    <cellStyle name="Normal 18 2" xfId="41597" xr:uid="{00000000-0005-0000-0000-0000F9410000}"/>
    <cellStyle name="Normal 18 2 2" xfId="42136" xr:uid="{00000000-0005-0000-0000-0000FA410000}"/>
    <cellStyle name="Normal 18 3" xfId="42137" xr:uid="{00000000-0005-0000-0000-0000FB410000}"/>
    <cellStyle name="Normal 18 3 2" xfId="42138" xr:uid="{00000000-0005-0000-0000-0000FC410000}"/>
    <cellStyle name="Normal 18 4" xfId="42139" xr:uid="{00000000-0005-0000-0000-0000FD410000}"/>
    <cellStyle name="Normal 18 5" xfId="42639" xr:uid="{B2C5BDA8-9655-4099-8572-C985F0CD8B0F}"/>
    <cellStyle name="Normal 19" xfId="41227" xr:uid="{00000000-0005-0000-0000-0000FE410000}"/>
    <cellStyle name="Normal 19 2" xfId="41598" xr:uid="{00000000-0005-0000-0000-0000FF410000}"/>
    <cellStyle name="Normal 19 2 2" xfId="42140" xr:uid="{00000000-0005-0000-0000-000000420000}"/>
    <cellStyle name="Normal 19 3" xfId="42141" xr:uid="{00000000-0005-0000-0000-000001420000}"/>
    <cellStyle name="Normal 19 3 2" xfId="42142" xr:uid="{00000000-0005-0000-0000-000002420000}"/>
    <cellStyle name="Normal 19 4" xfId="42143" xr:uid="{00000000-0005-0000-0000-000003420000}"/>
    <cellStyle name="Normal 2" xfId="112" xr:uid="{00000000-0005-0000-0000-000004420000}"/>
    <cellStyle name="Normal 2 10" xfId="41396" xr:uid="{00000000-0005-0000-0000-000005420000}"/>
    <cellStyle name="Normal 2 10 2" xfId="41599" xr:uid="{00000000-0005-0000-0000-000006420000}"/>
    <cellStyle name="Normal 2 10 2 2" xfId="42144" xr:uid="{00000000-0005-0000-0000-000007420000}"/>
    <cellStyle name="Normal 2 10 3" xfId="42145" xr:uid="{00000000-0005-0000-0000-000008420000}"/>
    <cellStyle name="Normal 2 10 3 2" xfId="42146" xr:uid="{00000000-0005-0000-0000-000009420000}"/>
    <cellStyle name="Normal 2 10 4" xfId="42147" xr:uid="{00000000-0005-0000-0000-00000A420000}"/>
    <cellStyle name="Normal 2 11" xfId="41397" xr:uid="{00000000-0005-0000-0000-00000B420000}"/>
    <cellStyle name="Normal 2 11 2" xfId="42148" xr:uid="{00000000-0005-0000-0000-00000C420000}"/>
    <cellStyle name="Normal 2 12" xfId="41509" xr:uid="{00000000-0005-0000-0000-00000D420000}"/>
    <cellStyle name="Normal 2 12 2" xfId="42149" xr:uid="{00000000-0005-0000-0000-00000E420000}"/>
    <cellStyle name="Normal 2 13" xfId="42150" xr:uid="{00000000-0005-0000-0000-00000F420000}"/>
    <cellStyle name="Normal 2 13 2" xfId="42151" xr:uid="{00000000-0005-0000-0000-000010420000}"/>
    <cellStyle name="Normal 2 2" xfId="113" xr:uid="{00000000-0005-0000-0000-000011420000}"/>
    <cellStyle name="Normal 2 2 10" xfId="41398" xr:uid="{00000000-0005-0000-0000-000012420000}"/>
    <cellStyle name="Normal 2 2 10 2" xfId="42152" xr:uid="{00000000-0005-0000-0000-000013420000}"/>
    <cellStyle name="Normal 2 2 11" xfId="42153" xr:uid="{00000000-0005-0000-0000-000014420000}"/>
    <cellStyle name="Normal 2 2 11 2" xfId="42154" xr:uid="{00000000-0005-0000-0000-000015420000}"/>
    <cellStyle name="Normal 2 2 12" xfId="42155" xr:uid="{00000000-0005-0000-0000-000016420000}"/>
    <cellStyle name="Normal 2 2 12 2" xfId="42156" xr:uid="{00000000-0005-0000-0000-000017420000}"/>
    <cellStyle name="Normal 2 2 13" xfId="42157" xr:uid="{00000000-0005-0000-0000-000018420000}"/>
    <cellStyle name="Normal 2 2 2" xfId="335" xr:uid="{00000000-0005-0000-0000-000019420000}"/>
    <cellStyle name="Normal 2 2 2 2" xfId="41399" xr:uid="{00000000-0005-0000-0000-00001A420000}"/>
    <cellStyle name="Normal 2 2 2 2 2" xfId="41400" xr:uid="{00000000-0005-0000-0000-00001B420000}"/>
    <cellStyle name="Normal 2 2 2 2 2 2" xfId="41600" xr:uid="{00000000-0005-0000-0000-00001C420000}"/>
    <cellStyle name="Normal 2 2 2 2 2 2 2" xfId="42158" xr:uid="{00000000-0005-0000-0000-00001D420000}"/>
    <cellStyle name="Normal 2 2 2 2 2 3" xfId="42159" xr:uid="{00000000-0005-0000-0000-00001E420000}"/>
    <cellStyle name="Normal 2 2 2 2 2 3 2" xfId="42160" xr:uid="{00000000-0005-0000-0000-00001F420000}"/>
    <cellStyle name="Normal 2 2 2 2 2 4" xfId="42161" xr:uid="{00000000-0005-0000-0000-000020420000}"/>
    <cellStyle name="Normal 2 2 2 2 3" xfId="41601" xr:uid="{00000000-0005-0000-0000-000021420000}"/>
    <cellStyle name="Normal 2 2 2 2 3 2" xfId="42162" xr:uid="{00000000-0005-0000-0000-000022420000}"/>
    <cellStyle name="Normal 2 2 2 2 4" xfId="42163" xr:uid="{00000000-0005-0000-0000-000023420000}"/>
    <cellStyle name="Normal 2 2 2 2 4 2" xfId="42164" xr:uid="{00000000-0005-0000-0000-000024420000}"/>
    <cellStyle name="Normal 2 2 2 2 5" xfId="42165" xr:uid="{00000000-0005-0000-0000-000025420000}"/>
    <cellStyle name="Normal 2 2 2 3" xfId="41401" xr:uid="{00000000-0005-0000-0000-000026420000}"/>
    <cellStyle name="Normal 2 2 2 3 2" xfId="42565" xr:uid="{00000000-0005-0000-0000-000027420000}"/>
    <cellStyle name="Normal 2 2 2 3 2 2" xfId="42566" xr:uid="{00000000-0005-0000-0000-000028420000}"/>
    <cellStyle name="Normal 2 2 2 3 3" xfId="42567" xr:uid="{00000000-0005-0000-0000-000029420000}"/>
    <cellStyle name="Normal 2 2 2 4" xfId="41402" xr:uid="{00000000-0005-0000-0000-00002A420000}"/>
    <cellStyle name="Normal 2 2 2 4 2" xfId="41602" xr:uid="{00000000-0005-0000-0000-00002B420000}"/>
    <cellStyle name="Normal 2 2 2 4 2 2" xfId="42166" xr:uid="{00000000-0005-0000-0000-00002C420000}"/>
    <cellStyle name="Normal 2 2 2 4 3" xfId="42167" xr:uid="{00000000-0005-0000-0000-00002D420000}"/>
    <cellStyle name="Normal 2 2 2 4 3 2" xfId="42168" xr:uid="{00000000-0005-0000-0000-00002E420000}"/>
    <cellStyle name="Normal 2 2 2 4 4" xfId="42169" xr:uid="{00000000-0005-0000-0000-00002F420000}"/>
    <cellStyle name="Normal 2 2 2 5" xfId="41403" xr:uid="{00000000-0005-0000-0000-000030420000}"/>
    <cellStyle name="Normal 2 2 2 5 2" xfId="42170" xr:uid="{00000000-0005-0000-0000-000031420000}"/>
    <cellStyle name="Normal 2 2 2 6" xfId="42171" xr:uid="{00000000-0005-0000-0000-000032420000}"/>
    <cellStyle name="Normal 2 2 2 6 2" xfId="42172" xr:uid="{00000000-0005-0000-0000-000033420000}"/>
    <cellStyle name="Normal 2 2 2 7" xfId="42173" xr:uid="{00000000-0005-0000-0000-000034420000}"/>
    <cellStyle name="Normal 2 2 2 7 2" xfId="42174" xr:uid="{00000000-0005-0000-0000-000035420000}"/>
    <cellStyle name="Normal 2 2 2 8" xfId="42175" xr:uid="{00000000-0005-0000-0000-000036420000}"/>
    <cellStyle name="Normal 2 2 3" xfId="41404" xr:uid="{00000000-0005-0000-0000-000037420000}"/>
    <cellStyle name="Normal 2 2 3 2" xfId="41405" xr:uid="{00000000-0005-0000-0000-000038420000}"/>
    <cellStyle name="Normal 2 2 3 2 2" xfId="42568" xr:uid="{00000000-0005-0000-0000-000039420000}"/>
    <cellStyle name="Normal 2 2 3 2 2 2" xfId="42569" xr:uid="{00000000-0005-0000-0000-00003A420000}"/>
    <cellStyle name="Normal 2 2 3 2 3" xfId="42570" xr:uid="{00000000-0005-0000-0000-00003B420000}"/>
    <cellStyle name="Normal 2 2 3 3" xfId="41406" xr:uid="{00000000-0005-0000-0000-00003C420000}"/>
    <cellStyle name="Normal 2 2 3 3 2" xfId="41603" xr:uid="{00000000-0005-0000-0000-00003D420000}"/>
    <cellStyle name="Normal 2 2 3 3 2 2" xfId="42176" xr:uid="{00000000-0005-0000-0000-00003E420000}"/>
    <cellStyle name="Normal 2 2 3 3 3" xfId="42177" xr:uid="{00000000-0005-0000-0000-00003F420000}"/>
    <cellStyle name="Normal 2 2 3 3 3 2" xfId="42178" xr:uid="{00000000-0005-0000-0000-000040420000}"/>
    <cellStyle name="Normal 2 2 3 3 4" xfId="42179" xr:uid="{00000000-0005-0000-0000-000041420000}"/>
    <cellStyle name="Normal 2 2 3 4" xfId="41604" xr:uid="{00000000-0005-0000-0000-000042420000}"/>
    <cellStyle name="Normal 2 2 3 4 2" xfId="42180" xr:uid="{00000000-0005-0000-0000-000043420000}"/>
    <cellStyle name="Normal 2 2 3 5" xfId="42181" xr:uid="{00000000-0005-0000-0000-000044420000}"/>
    <cellStyle name="Normal 2 2 3 5 2" xfId="42182" xr:uid="{00000000-0005-0000-0000-000045420000}"/>
    <cellStyle name="Normal 2 2 3 6" xfId="42183" xr:uid="{00000000-0005-0000-0000-000046420000}"/>
    <cellStyle name="Normal 2 2 4" xfId="41407" xr:uid="{00000000-0005-0000-0000-000047420000}"/>
    <cellStyle name="Normal 2 2 4 2" xfId="41605" xr:uid="{00000000-0005-0000-0000-000048420000}"/>
    <cellStyle name="Normal 2 2 4 2 2" xfId="42184" xr:uid="{00000000-0005-0000-0000-000049420000}"/>
    <cellStyle name="Normal 2 2 4 2 3" xfId="42571" xr:uid="{00000000-0005-0000-0000-00004A420000}"/>
    <cellStyle name="Normal 2 2 4 3" xfId="42185" xr:uid="{00000000-0005-0000-0000-00004B420000}"/>
    <cellStyle name="Normal 2 2 4 3 2" xfId="42186" xr:uid="{00000000-0005-0000-0000-00004C420000}"/>
    <cellStyle name="Normal 2 2 4 4" xfId="42187" xr:uid="{00000000-0005-0000-0000-00004D420000}"/>
    <cellStyle name="Normal 2 2 4 5" xfId="42572" xr:uid="{00000000-0005-0000-0000-00004E420000}"/>
    <cellStyle name="Normal 2 2 5" xfId="41408" xr:uid="{00000000-0005-0000-0000-00004F420000}"/>
    <cellStyle name="Normal 2 2 5 2" xfId="41606" xr:uid="{00000000-0005-0000-0000-000050420000}"/>
    <cellStyle name="Normal 2 2 5 2 2" xfId="42188" xr:uid="{00000000-0005-0000-0000-000051420000}"/>
    <cellStyle name="Normal 2 2 5 2 3" xfId="42573" xr:uid="{00000000-0005-0000-0000-000052420000}"/>
    <cellStyle name="Normal 2 2 5 3" xfId="42189" xr:uid="{00000000-0005-0000-0000-000053420000}"/>
    <cellStyle name="Normal 2 2 5 3 2" xfId="42190" xr:uid="{00000000-0005-0000-0000-000054420000}"/>
    <cellStyle name="Normal 2 2 5 4" xfId="42191" xr:uid="{00000000-0005-0000-0000-000055420000}"/>
    <cellStyle name="Normal 2 2 6" xfId="41409" xr:uid="{00000000-0005-0000-0000-000056420000}"/>
    <cellStyle name="Normal 2 2 6 2" xfId="41607" xr:uid="{00000000-0005-0000-0000-000057420000}"/>
    <cellStyle name="Normal 2 2 6 2 2" xfId="42192" xr:uid="{00000000-0005-0000-0000-000058420000}"/>
    <cellStyle name="Normal 2 2 6 2 3" xfId="42574" xr:uid="{00000000-0005-0000-0000-000059420000}"/>
    <cellStyle name="Normal 2 2 6 3" xfId="42193" xr:uid="{00000000-0005-0000-0000-00005A420000}"/>
    <cellStyle name="Normal 2 2 6 3 2" xfId="42194" xr:uid="{00000000-0005-0000-0000-00005B420000}"/>
    <cellStyle name="Normal 2 2 6 4" xfId="42195" xr:uid="{00000000-0005-0000-0000-00005C420000}"/>
    <cellStyle name="Normal 2 2 7" xfId="41410" xr:uid="{00000000-0005-0000-0000-00005D420000}"/>
    <cellStyle name="Normal 2 2 7 2" xfId="41608" xr:uid="{00000000-0005-0000-0000-00005E420000}"/>
    <cellStyle name="Normal 2 2 7 2 2" xfId="42196" xr:uid="{00000000-0005-0000-0000-00005F420000}"/>
    <cellStyle name="Normal 2 2 7 3" xfId="42197" xr:uid="{00000000-0005-0000-0000-000060420000}"/>
    <cellStyle name="Normal 2 2 7 3 2" xfId="42198" xr:uid="{00000000-0005-0000-0000-000061420000}"/>
    <cellStyle name="Normal 2 2 7 4" xfId="42199" xr:uid="{00000000-0005-0000-0000-000062420000}"/>
    <cellStyle name="Normal 2 2 8" xfId="41411" xr:uid="{00000000-0005-0000-0000-000063420000}"/>
    <cellStyle name="Normal 2 2 8 2" xfId="41609" xr:uid="{00000000-0005-0000-0000-000064420000}"/>
    <cellStyle name="Normal 2 2 8 2 2" xfId="42200" xr:uid="{00000000-0005-0000-0000-000065420000}"/>
    <cellStyle name="Normal 2 2 8 3" xfId="42201" xr:uid="{00000000-0005-0000-0000-000066420000}"/>
    <cellStyle name="Normal 2 2 8 3 2" xfId="42202" xr:uid="{00000000-0005-0000-0000-000067420000}"/>
    <cellStyle name="Normal 2 2 8 4" xfId="42203" xr:uid="{00000000-0005-0000-0000-000068420000}"/>
    <cellStyle name="Normal 2 2 9" xfId="41412" xr:uid="{00000000-0005-0000-0000-000069420000}"/>
    <cellStyle name="Normal 2 2 9 2" xfId="41610" xr:uid="{00000000-0005-0000-0000-00006A420000}"/>
    <cellStyle name="Normal 2 2 9 2 2" xfId="42204" xr:uid="{00000000-0005-0000-0000-00006B420000}"/>
    <cellStyle name="Normal 2 2 9 3" xfId="42205" xr:uid="{00000000-0005-0000-0000-00006C420000}"/>
    <cellStyle name="Normal 2 2 9 3 2" xfId="42206" xr:uid="{00000000-0005-0000-0000-00006D420000}"/>
    <cellStyle name="Normal 2 2 9 4" xfId="42207" xr:uid="{00000000-0005-0000-0000-00006E420000}"/>
    <cellStyle name="Normal 2 2_Inputs Yr 1" xfId="308" xr:uid="{00000000-0005-0000-0000-00006F420000}"/>
    <cellStyle name="Normal 2 3" xfId="114" xr:uid="{00000000-0005-0000-0000-000070420000}"/>
    <cellStyle name="Normal 2 3 10" xfId="42208" xr:uid="{00000000-0005-0000-0000-000071420000}"/>
    <cellStyle name="Normal 2 3 2" xfId="376" xr:uid="{00000000-0005-0000-0000-000072420000}"/>
    <cellStyle name="Normal 2 3 2 2" xfId="41413" xr:uid="{00000000-0005-0000-0000-000073420000}"/>
    <cellStyle name="Normal 2 3 2 2 2" xfId="42575" xr:uid="{00000000-0005-0000-0000-000074420000}"/>
    <cellStyle name="Normal 2 3 2 2 2 2" xfId="42576" xr:uid="{00000000-0005-0000-0000-000075420000}"/>
    <cellStyle name="Normal 2 3 2 2 3" xfId="42577" xr:uid="{00000000-0005-0000-0000-000076420000}"/>
    <cellStyle name="Normal 2 3 2 3" xfId="41414" xr:uid="{00000000-0005-0000-0000-000077420000}"/>
    <cellStyle name="Normal 2 3 2 3 2" xfId="41611" xr:uid="{00000000-0005-0000-0000-000078420000}"/>
    <cellStyle name="Normal 2 3 2 3 2 2" xfId="42209" xr:uid="{00000000-0005-0000-0000-000079420000}"/>
    <cellStyle name="Normal 2 3 2 3 3" xfId="42210" xr:uid="{00000000-0005-0000-0000-00007A420000}"/>
    <cellStyle name="Normal 2 3 2 3 3 2" xfId="42211" xr:uid="{00000000-0005-0000-0000-00007B420000}"/>
    <cellStyle name="Normal 2 3 2 3 4" xfId="42212" xr:uid="{00000000-0005-0000-0000-00007C420000}"/>
    <cellStyle name="Normal 2 3 2 4" xfId="41415" xr:uid="{00000000-0005-0000-0000-00007D420000}"/>
    <cellStyle name="Normal 2 3 2 4 2" xfId="42213" xr:uid="{00000000-0005-0000-0000-00007E420000}"/>
    <cellStyle name="Normal 2 3 2 5" xfId="42214" xr:uid="{00000000-0005-0000-0000-00007F420000}"/>
    <cellStyle name="Normal 2 3 2 5 2" xfId="42215" xr:uid="{00000000-0005-0000-0000-000080420000}"/>
    <cellStyle name="Normal 2 3 2 6" xfId="42216" xr:uid="{00000000-0005-0000-0000-000081420000}"/>
    <cellStyle name="Normal 2 3 3" xfId="41416" xr:uid="{00000000-0005-0000-0000-000082420000}"/>
    <cellStyle name="Normal 2 3 3 2" xfId="41612" xr:uid="{00000000-0005-0000-0000-000083420000}"/>
    <cellStyle name="Normal 2 3 3 2 2" xfId="42217" xr:uid="{00000000-0005-0000-0000-000084420000}"/>
    <cellStyle name="Normal 2 3 3 2 3" xfId="42578" xr:uid="{00000000-0005-0000-0000-000085420000}"/>
    <cellStyle name="Normal 2 3 3 3" xfId="42218" xr:uid="{00000000-0005-0000-0000-000086420000}"/>
    <cellStyle name="Normal 2 3 3 3 2" xfId="42219" xr:uid="{00000000-0005-0000-0000-000087420000}"/>
    <cellStyle name="Normal 2 3 3 4" xfId="42220" xr:uid="{00000000-0005-0000-0000-000088420000}"/>
    <cellStyle name="Normal 2 3 3 5" xfId="42579" xr:uid="{00000000-0005-0000-0000-000089420000}"/>
    <cellStyle name="Normal 2 3 4" xfId="41417" xr:uid="{00000000-0005-0000-0000-00008A420000}"/>
    <cellStyle name="Normal 2 3 4 2" xfId="41613" xr:uid="{00000000-0005-0000-0000-00008B420000}"/>
    <cellStyle name="Normal 2 3 4 2 2" xfId="42221" xr:uid="{00000000-0005-0000-0000-00008C420000}"/>
    <cellStyle name="Normal 2 3 4 2 3" xfId="42580" xr:uid="{00000000-0005-0000-0000-00008D420000}"/>
    <cellStyle name="Normal 2 3 4 3" xfId="42222" xr:uid="{00000000-0005-0000-0000-00008E420000}"/>
    <cellStyle name="Normal 2 3 4 3 2" xfId="42223" xr:uid="{00000000-0005-0000-0000-00008F420000}"/>
    <cellStyle name="Normal 2 3 4 4" xfId="42224" xr:uid="{00000000-0005-0000-0000-000090420000}"/>
    <cellStyle name="Normal 2 3 5" xfId="41418" xr:uid="{00000000-0005-0000-0000-000091420000}"/>
    <cellStyle name="Normal 2 3 5 2" xfId="41614" xr:uid="{00000000-0005-0000-0000-000092420000}"/>
    <cellStyle name="Normal 2 3 5 2 2" xfId="42225" xr:uid="{00000000-0005-0000-0000-000093420000}"/>
    <cellStyle name="Normal 2 3 5 3" xfId="42226" xr:uid="{00000000-0005-0000-0000-000094420000}"/>
    <cellStyle name="Normal 2 3 5 3 2" xfId="42227" xr:uid="{00000000-0005-0000-0000-000095420000}"/>
    <cellStyle name="Normal 2 3 5 4" xfId="42228" xr:uid="{00000000-0005-0000-0000-000096420000}"/>
    <cellStyle name="Normal 2 3 6" xfId="41419" xr:uid="{00000000-0005-0000-0000-000097420000}"/>
    <cellStyle name="Normal 2 3 6 2" xfId="41615" xr:uid="{00000000-0005-0000-0000-000098420000}"/>
    <cellStyle name="Normal 2 3 6 2 2" xfId="42229" xr:uid="{00000000-0005-0000-0000-000099420000}"/>
    <cellStyle name="Normal 2 3 6 3" xfId="42230" xr:uid="{00000000-0005-0000-0000-00009A420000}"/>
    <cellStyle name="Normal 2 3 6 3 2" xfId="42231" xr:uid="{00000000-0005-0000-0000-00009B420000}"/>
    <cellStyle name="Normal 2 3 6 4" xfId="42232" xr:uid="{00000000-0005-0000-0000-00009C420000}"/>
    <cellStyle name="Normal 2 3 7" xfId="41420" xr:uid="{00000000-0005-0000-0000-00009D420000}"/>
    <cellStyle name="Normal 2 3 7 2" xfId="42233" xr:uid="{00000000-0005-0000-0000-00009E420000}"/>
    <cellStyle name="Normal 2 3 8" xfId="42234" xr:uid="{00000000-0005-0000-0000-00009F420000}"/>
    <cellStyle name="Normal 2 3 8 2" xfId="42235" xr:uid="{00000000-0005-0000-0000-0000A0420000}"/>
    <cellStyle name="Normal 2 3 9" xfId="42236" xr:uid="{00000000-0005-0000-0000-0000A1420000}"/>
    <cellStyle name="Normal 2 3 9 2" xfId="42237" xr:uid="{00000000-0005-0000-0000-0000A2420000}"/>
    <cellStyle name="Normal 2 4" xfId="410" xr:uid="{00000000-0005-0000-0000-0000A3420000}"/>
    <cellStyle name="Normal 2 4 2" xfId="41421" xr:uid="{00000000-0005-0000-0000-0000A4420000}"/>
    <cellStyle name="Normal 2 4 2 2" xfId="41422" xr:uid="{00000000-0005-0000-0000-0000A5420000}"/>
    <cellStyle name="Normal 2 4 2 2 2" xfId="41616" xr:uid="{00000000-0005-0000-0000-0000A6420000}"/>
    <cellStyle name="Normal 2 4 2 2 2 2" xfId="42238" xr:uid="{00000000-0005-0000-0000-0000A7420000}"/>
    <cellStyle name="Normal 2 4 2 2 3" xfId="42239" xr:uid="{00000000-0005-0000-0000-0000A8420000}"/>
    <cellStyle name="Normal 2 4 2 2 3 2" xfId="42240" xr:uid="{00000000-0005-0000-0000-0000A9420000}"/>
    <cellStyle name="Normal 2 4 2 2 4" xfId="42241" xr:uid="{00000000-0005-0000-0000-0000AA420000}"/>
    <cellStyle name="Normal 2 4 2 3" xfId="41423" xr:uid="{00000000-0005-0000-0000-0000AB420000}"/>
    <cellStyle name="Normal 2 4 2 3 2" xfId="41617" xr:uid="{00000000-0005-0000-0000-0000AC420000}"/>
    <cellStyle name="Normal 2 4 2 3 2 2" xfId="42242" xr:uid="{00000000-0005-0000-0000-0000AD420000}"/>
    <cellStyle name="Normal 2 4 2 3 3" xfId="42243" xr:uid="{00000000-0005-0000-0000-0000AE420000}"/>
    <cellStyle name="Normal 2 4 2 3 3 2" xfId="42244" xr:uid="{00000000-0005-0000-0000-0000AF420000}"/>
    <cellStyle name="Normal 2 4 2 3 4" xfId="42245" xr:uid="{00000000-0005-0000-0000-0000B0420000}"/>
    <cellStyle name="Normal 2 4 2 4" xfId="41618" xr:uid="{00000000-0005-0000-0000-0000B1420000}"/>
    <cellStyle name="Normal 2 4 2 4 2" xfId="42246" xr:uid="{00000000-0005-0000-0000-0000B2420000}"/>
    <cellStyle name="Normal 2 4 2 5" xfId="42247" xr:uid="{00000000-0005-0000-0000-0000B3420000}"/>
    <cellStyle name="Normal 2 4 2 5 2" xfId="42248" xr:uid="{00000000-0005-0000-0000-0000B4420000}"/>
    <cellStyle name="Normal 2 4 2 6" xfId="42249" xr:uid="{00000000-0005-0000-0000-0000B5420000}"/>
    <cellStyle name="Normal 2 4 3" xfId="41424" xr:uid="{00000000-0005-0000-0000-0000B6420000}"/>
    <cellStyle name="Normal 2 4 3 2" xfId="41619" xr:uid="{00000000-0005-0000-0000-0000B7420000}"/>
    <cellStyle name="Normal 2 4 3 2 2" xfId="42250" xr:uid="{00000000-0005-0000-0000-0000B8420000}"/>
    <cellStyle name="Normal 2 4 3 2 3" xfId="42581" xr:uid="{00000000-0005-0000-0000-0000B9420000}"/>
    <cellStyle name="Normal 2 4 3 3" xfId="42251" xr:uid="{00000000-0005-0000-0000-0000BA420000}"/>
    <cellStyle name="Normal 2 4 3 3 2" xfId="42252" xr:uid="{00000000-0005-0000-0000-0000BB420000}"/>
    <cellStyle name="Normal 2 4 3 4" xfId="42253" xr:uid="{00000000-0005-0000-0000-0000BC420000}"/>
    <cellStyle name="Normal 2 4 4" xfId="41425" xr:uid="{00000000-0005-0000-0000-0000BD420000}"/>
    <cellStyle name="Normal 2 4 4 2" xfId="41620" xr:uid="{00000000-0005-0000-0000-0000BE420000}"/>
    <cellStyle name="Normal 2 4 4 2 2" xfId="42254" xr:uid="{00000000-0005-0000-0000-0000BF420000}"/>
    <cellStyle name="Normal 2 4 4 3" xfId="42255" xr:uid="{00000000-0005-0000-0000-0000C0420000}"/>
    <cellStyle name="Normal 2 4 4 3 2" xfId="42256" xr:uid="{00000000-0005-0000-0000-0000C1420000}"/>
    <cellStyle name="Normal 2 4 4 4" xfId="42257" xr:uid="{00000000-0005-0000-0000-0000C2420000}"/>
    <cellStyle name="Normal 2 4 5" xfId="41426" xr:uid="{00000000-0005-0000-0000-0000C3420000}"/>
    <cellStyle name="Normal 2 4 6" xfId="42258" xr:uid="{00000000-0005-0000-0000-0000C4420000}"/>
    <cellStyle name="Normal 2 4 7" xfId="42582" xr:uid="{00000000-0005-0000-0000-0000C5420000}"/>
    <cellStyle name="Normal 2 5" xfId="41231" xr:uid="{00000000-0005-0000-0000-0000C6420000}"/>
    <cellStyle name="Normal 2 5 2" xfId="41427" xr:uid="{00000000-0005-0000-0000-0000C7420000}"/>
    <cellStyle name="Normal 2 5 2 2" xfId="41621" xr:uid="{00000000-0005-0000-0000-0000C8420000}"/>
    <cellStyle name="Normal 2 5 2 2 2" xfId="42259" xr:uid="{00000000-0005-0000-0000-0000C9420000}"/>
    <cellStyle name="Normal 2 5 2 2 3" xfId="42583" xr:uid="{00000000-0005-0000-0000-0000CA420000}"/>
    <cellStyle name="Normal 2 5 2 3" xfId="42260" xr:uid="{00000000-0005-0000-0000-0000CB420000}"/>
    <cellStyle name="Normal 2 5 2 3 2" xfId="42261" xr:uid="{00000000-0005-0000-0000-0000CC420000}"/>
    <cellStyle name="Normal 2 5 2 4" xfId="42262" xr:uid="{00000000-0005-0000-0000-0000CD420000}"/>
    <cellStyle name="Normal 2 5 3" xfId="41428" xr:uid="{00000000-0005-0000-0000-0000CE420000}"/>
    <cellStyle name="Normal 2 5 3 2" xfId="41622" xr:uid="{00000000-0005-0000-0000-0000CF420000}"/>
    <cellStyle name="Normal 2 5 3 2 2" xfId="42263" xr:uid="{00000000-0005-0000-0000-0000D0420000}"/>
    <cellStyle name="Normal 2 5 3 2 3" xfId="42584" xr:uid="{00000000-0005-0000-0000-0000D1420000}"/>
    <cellStyle name="Normal 2 5 3 3" xfId="42264" xr:uid="{00000000-0005-0000-0000-0000D2420000}"/>
    <cellStyle name="Normal 2 5 3 3 2" xfId="42265" xr:uid="{00000000-0005-0000-0000-0000D3420000}"/>
    <cellStyle name="Normal 2 5 3 4" xfId="42266" xr:uid="{00000000-0005-0000-0000-0000D4420000}"/>
    <cellStyle name="Normal 2 5 4" xfId="41623" xr:uid="{00000000-0005-0000-0000-0000D5420000}"/>
    <cellStyle name="Normal 2 5 4 2" xfId="42267" xr:uid="{00000000-0005-0000-0000-0000D6420000}"/>
    <cellStyle name="Normal 2 5 4 3" xfId="42585" xr:uid="{00000000-0005-0000-0000-0000D7420000}"/>
    <cellStyle name="Normal 2 5 5" xfId="42268" xr:uid="{00000000-0005-0000-0000-0000D8420000}"/>
    <cellStyle name="Normal 2 5 5 2" xfId="42269" xr:uid="{00000000-0005-0000-0000-0000D9420000}"/>
    <cellStyle name="Normal 2 5 6" xfId="42270" xr:uid="{00000000-0005-0000-0000-0000DA420000}"/>
    <cellStyle name="Normal 2 5 7" xfId="42586" xr:uid="{00000000-0005-0000-0000-0000DB420000}"/>
    <cellStyle name="Normal 2 5 8" xfId="42636" xr:uid="{00000000-0005-0000-0000-0000DC420000}"/>
    <cellStyle name="Normal 2 6" xfId="41235" xr:uid="{00000000-0005-0000-0000-0000DD420000}"/>
    <cellStyle name="Normal 2 6 2" xfId="41624" xr:uid="{00000000-0005-0000-0000-0000DE420000}"/>
    <cellStyle name="Normal 2 6 2 2" xfId="42271" xr:uid="{00000000-0005-0000-0000-0000DF420000}"/>
    <cellStyle name="Normal 2 6 2 3" xfId="42587" xr:uid="{00000000-0005-0000-0000-0000E0420000}"/>
    <cellStyle name="Normal 2 6 3" xfId="42272" xr:uid="{00000000-0005-0000-0000-0000E1420000}"/>
    <cellStyle name="Normal 2 6 3 2" xfId="42273" xr:uid="{00000000-0005-0000-0000-0000E2420000}"/>
    <cellStyle name="Normal 2 6 4" xfId="42274" xr:uid="{00000000-0005-0000-0000-0000E3420000}"/>
    <cellStyle name="Normal 2 6 5" xfId="42588" xr:uid="{00000000-0005-0000-0000-0000E4420000}"/>
    <cellStyle name="Normal 2 7" xfId="41429" xr:uid="{00000000-0005-0000-0000-0000E5420000}"/>
    <cellStyle name="Normal 2 7 2" xfId="41625" xr:uid="{00000000-0005-0000-0000-0000E6420000}"/>
    <cellStyle name="Normal 2 7 2 2" xfId="42275" xr:uid="{00000000-0005-0000-0000-0000E7420000}"/>
    <cellStyle name="Normal 2 7 2 3" xfId="42589" xr:uid="{00000000-0005-0000-0000-0000E8420000}"/>
    <cellStyle name="Normal 2 7 3" xfId="42276" xr:uid="{00000000-0005-0000-0000-0000E9420000}"/>
    <cellStyle name="Normal 2 7 3 2" xfId="42277" xr:uid="{00000000-0005-0000-0000-0000EA420000}"/>
    <cellStyle name="Normal 2 7 4" xfId="42278" xr:uid="{00000000-0005-0000-0000-0000EB420000}"/>
    <cellStyle name="Normal 2 8" xfId="41430" xr:uid="{00000000-0005-0000-0000-0000EC420000}"/>
    <cellStyle name="Normal 2 8 2" xfId="41626" xr:uid="{00000000-0005-0000-0000-0000ED420000}"/>
    <cellStyle name="Normal 2 8 2 2" xfId="42279" xr:uid="{00000000-0005-0000-0000-0000EE420000}"/>
    <cellStyle name="Normal 2 8 2 3" xfId="42590" xr:uid="{00000000-0005-0000-0000-0000EF420000}"/>
    <cellStyle name="Normal 2 8 3" xfId="42280" xr:uid="{00000000-0005-0000-0000-0000F0420000}"/>
    <cellStyle name="Normal 2 8 3 2" xfId="42281" xr:uid="{00000000-0005-0000-0000-0000F1420000}"/>
    <cellStyle name="Normal 2 8 4" xfId="42282" xr:uid="{00000000-0005-0000-0000-0000F2420000}"/>
    <cellStyle name="Normal 2 9" xfId="41431" xr:uid="{00000000-0005-0000-0000-0000F3420000}"/>
    <cellStyle name="Normal 2 9 2" xfId="41627" xr:uid="{00000000-0005-0000-0000-0000F4420000}"/>
    <cellStyle name="Normal 2 9 2 2" xfId="42283" xr:uid="{00000000-0005-0000-0000-0000F5420000}"/>
    <cellStyle name="Normal 2 9 3" xfId="42284" xr:uid="{00000000-0005-0000-0000-0000F6420000}"/>
    <cellStyle name="Normal 2 9 3 2" xfId="42285" xr:uid="{00000000-0005-0000-0000-0000F7420000}"/>
    <cellStyle name="Normal 2 9 4" xfId="42286" xr:uid="{00000000-0005-0000-0000-0000F8420000}"/>
    <cellStyle name="Normal 2_2012 AR ELEC BCR Eval Eval - 012913" xfId="115" xr:uid="{00000000-0005-0000-0000-0000F9420000}"/>
    <cellStyle name="Normal 20" xfId="41237" xr:uid="{00000000-0005-0000-0000-0000FA420000}"/>
    <cellStyle name="Normal 20 2" xfId="41628" xr:uid="{00000000-0005-0000-0000-0000FB420000}"/>
    <cellStyle name="Normal 21" xfId="41432" xr:uid="{00000000-0005-0000-0000-0000FC420000}"/>
    <cellStyle name="Normal 21 2" xfId="41629" xr:uid="{00000000-0005-0000-0000-0000FD420000}"/>
    <cellStyle name="Normal 22" xfId="41508" xr:uid="{00000000-0005-0000-0000-0000FE420000}"/>
    <cellStyle name="Normal 22 2" xfId="42637" xr:uid="{00000000-0005-0000-0000-0000FF420000}"/>
    <cellStyle name="Normal 23" xfId="41511" xr:uid="{00000000-0005-0000-0000-000000430000}"/>
    <cellStyle name="Normal 24" xfId="42477" xr:uid="{00000000-0005-0000-0000-000001430000}"/>
    <cellStyle name="Normal 25" xfId="42479" xr:uid="{00000000-0005-0000-0000-000002430000}"/>
    <cellStyle name="Normal 26" xfId="42482" xr:uid="{00000000-0005-0000-0000-000003430000}"/>
    <cellStyle name="Normal 27" xfId="42634" xr:uid="{00000000-0005-0000-0000-000004430000}"/>
    <cellStyle name="Normal 28" xfId="42640" xr:uid="{B6E4DA6B-32C4-43D5-8CD9-04B1B06EACEF}"/>
    <cellStyle name="Normal 29" xfId="42641" xr:uid="{49483E4F-DEEF-427F-8855-1521500C0B5A}"/>
    <cellStyle name="Normal 3" xfId="116" xr:uid="{00000000-0005-0000-0000-000005430000}"/>
    <cellStyle name="Normal 3 2" xfId="117" xr:uid="{00000000-0005-0000-0000-000006430000}"/>
    <cellStyle name="Normal 3 2 2" xfId="118" xr:uid="{00000000-0005-0000-0000-000007430000}"/>
    <cellStyle name="Normal 3 2 2 2" xfId="41433" xr:uid="{00000000-0005-0000-0000-000008430000}"/>
    <cellStyle name="Normal 3 2 2 2 2" xfId="42287" xr:uid="{00000000-0005-0000-0000-000009430000}"/>
    <cellStyle name="Normal 3 2 2 3" xfId="42288" xr:uid="{00000000-0005-0000-0000-00000A430000}"/>
    <cellStyle name="Normal 3 2 2 3 2" xfId="42289" xr:uid="{00000000-0005-0000-0000-00000B430000}"/>
    <cellStyle name="Normal 3 2 2 4" xfId="42290" xr:uid="{00000000-0005-0000-0000-00000C430000}"/>
    <cellStyle name="Normal 3 2 3" xfId="41434" xr:uid="{00000000-0005-0000-0000-00000D430000}"/>
    <cellStyle name="Normal 3 3" xfId="119" xr:uid="{00000000-0005-0000-0000-00000E430000}"/>
    <cellStyle name="Normal 3 3 2" xfId="41435" xr:uid="{00000000-0005-0000-0000-00000F430000}"/>
    <cellStyle name="Normal 3 3 2 2" xfId="41436" xr:uid="{00000000-0005-0000-0000-000010430000}"/>
    <cellStyle name="Normal 3 3 2 2 2" xfId="41630" xr:uid="{00000000-0005-0000-0000-000011430000}"/>
    <cellStyle name="Normal 3 3 2 2 2 2" xfId="42291" xr:uid="{00000000-0005-0000-0000-000012430000}"/>
    <cellStyle name="Normal 3 3 2 2 2 3" xfId="42591" xr:uid="{00000000-0005-0000-0000-000013430000}"/>
    <cellStyle name="Normal 3 3 2 2 3" xfId="42292" xr:uid="{00000000-0005-0000-0000-000014430000}"/>
    <cellStyle name="Normal 3 3 2 2 3 2" xfId="42293" xr:uid="{00000000-0005-0000-0000-000015430000}"/>
    <cellStyle name="Normal 3 3 2 2 4" xfId="42294" xr:uid="{00000000-0005-0000-0000-000016430000}"/>
    <cellStyle name="Normal 3 3 2 3" xfId="41437" xr:uid="{00000000-0005-0000-0000-000017430000}"/>
    <cellStyle name="Normal 3 3 2 3 2" xfId="41631" xr:uid="{00000000-0005-0000-0000-000018430000}"/>
    <cellStyle name="Normal 3 3 2 3 2 2" xfId="42295" xr:uid="{00000000-0005-0000-0000-000019430000}"/>
    <cellStyle name="Normal 3 3 2 3 2 3" xfId="42592" xr:uid="{00000000-0005-0000-0000-00001A430000}"/>
    <cellStyle name="Normal 3 3 2 3 3" xfId="42296" xr:uid="{00000000-0005-0000-0000-00001B430000}"/>
    <cellStyle name="Normal 3 3 2 3 3 2" xfId="42297" xr:uid="{00000000-0005-0000-0000-00001C430000}"/>
    <cellStyle name="Normal 3 3 2 3 4" xfId="42298" xr:uid="{00000000-0005-0000-0000-00001D430000}"/>
    <cellStyle name="Normal 3 3 2 4" xfId="41632" xr:uid="{00000000-0005-0000-0000-00001E430000}"/>
    <cellStyle name="Normal 3 3 2 4 2" xfId="42299" xr:uid="{00000000-0005-0000-0000-00001F430000}"/>
    <cellStyle name="Normal 3 3 2 4 3" xfId="42593" xr:uid="{00000000-0005-0000-0000-000020430000}"/>
    <cellStyle name="Normal 3 3 2 5" xfId="42300" xr:uid="{00000000-0005-0000-0000-000021430000}"/>
    <cellStyle name="Normal 3 3 2 5 2" xfId="42301" xr:uid="{00000000-0005-0000-0000-000022430000}"/>
    <cellStyle name="Normal 3 3 2 6" xfId="42302" xr:uid="{00000000-0005-0000-0000-000023430000}"/>
    <cellStyle name="Normal 3 3 2 7" xfId="42594" xr:uid="{00000000-0005-0000-0000-000024430000}"/>
    <cellStyle name="Normal 3 3 3" xfId="41438" xr:uid="{00000000-0005-0000-0000-000025430000}"/>
    <cellStyle name="Normal 3 3 3 2" xfId="41633" xr:uid="{00000000-0005-0000-0000-000026430000}"/>
    <cellStyle name="Normal 3 3 3 2 2" xfId="42303" xr:uid="{00000000-0005-0000-0000-000027430000}"/>
    <cellStyle name="Normal 3 3 3 2 3" xfId="42595" xr:uid="{00000000-0005-0000-0000-000028430000}"/>
    <cellStyle name="Normal 3 3 3 3" xfId="42304" xr:uid="{00000000-0005-0000-0000-000029430000}"/>
    <cellStyle name="Normal 3 3 3 3 2" xfId="42305" xr:uid="{00000000-0005-0000-0000-00002A430000}"/>
    <cellStyle name="Normal 3 3 3 4" xfId="42306" xr:uid="{00000000-0005-0000-0000-00002B430000}"/>
    <cellStyle name="Normal 3 3 4" xfId="41439" xr:uid="{00000000-0005-0000-0000-00002C430000}"/>
    <cellStyle name="Normal 3 3 4 2" xfId="41634" xr:uid="{00000000-0005-0000-0000-00002D430000}"/>
    <cellStyle name="Normal 3 3 4 2 2" xfId="42307" xr:uid="{00000000-0005-0000-0000-00002E430000}"/>
    <cellStyle name="Normal 3 3 4 2 3" xfId="42596" xr:uid="{00000000-0005-0000-0000-00002F430000}"/>
    <cellStyle name="Normal 3 3 4 3" xfId="42308" xr:uid="{00000000-0005-0000-0000-000030430000}"/>
    <cellStyle name="Normal 3 3 4 3 2" xfId="42309" xr:uid="{00000000-0005-0000-0000-000031430000}"/>
    <cellStyle name="Normal 3 3 4 4" xfId="42310" xr:uid="{00000000-0005-0000-0000-000032430000}"/>
    <cellStyle name="Normal 3 3 5" xfId="41440" xr:uid="{00000000-0005-0000-0000-000033430000}"/>
    <cellStyle name="Normal 3 3 5 2" xfId="41635" xr:uid="{00000000-0005-0000-0000-000034430000}"/>
    <cellStyle name="Normal 3 3 5 2 2" xfId="42311" xr:uid="{00000000-0005-0000-0000-000035430000}"/>
    <cellStyle name="Normal 3 3 5 3" xfId="42312" xr:uid="{00000000-0005-0000-0000-000036430000}"/>
    <cellStyle name="Normal 3 3 5 3 2" xfId="42313" xr:uid="{00000000-0005-0000-0000-000037430000}"/>
    <cellStyle name="Normal 3 3 5 4" xfId="42314" xr:uid="{00000000-0005-0000-0000-000038430000}"/>
    <cellStyle name="Normal 3 3 6" xfId="41441" xr:uid="{00000000-0005-0000-0000-000039430000}"/>
    <cellStyle name="Normal 3 3 6 2" xfId="41636" xr:uid="{00000000-0005-0000-0000-00003A430000}"/>
    <cellStyle name="Normal 3 3 6 2 2" xfId="42315" xr:uid="{00000000-0005-0000-0000-00003B430000}"/>
    <cellStyle name="Normal 3 3 6 3" xfId="42316" xr:uid="{00000000-0005-0000-0000-00003C430000}"/>
    <cellStyle name="Normal 3 3 6 3 2" xfId="42317" xr:uid="{00000000-0005-0000-0000-00003D430000}"/>
    <cellStyle name="Normal 3 3 6 4" xfId="42318" xr:uid="{00000000-0005-0000-0000-00003E430000}"/>
    <cellStyle name="Normal 3 3 7" xfId="41442" xr:uid="{00000000-0005-0000-0000-00003F430000}"/>
    <cellStyle name="Normal 3 3 7 2" xfId="42319" xr:uid="{00000000-0005-0000-0000-000040430000}"/>
    <cellStyle name="Normal 3 3 8" xfId="42320" xr:uid="{00000000-0005-0000-0000-000041430000}"/>
    <cellStyle name="Normal 3 3 8 2" xfId="42321" xr:uid="{00000000-0005-0000-0000-000042430000}"/>
    <cellStyle name="Normal 3 3 9" xfId="42322" xr:uid="{00000000-0005-0000-0000-000043430000}"/>
    <cellStyle name="Normal 3 4" xfId="189" xr:uid="{00000000-0005-0000-0000-000044430000}"/>
    <cellStyle name="Normal 3 4 2" xfId="413" xr:uid="{00000000-0005-0000-0000-000045430000}"/>
    <cellStyle name="Normal 3 4 2 2" xfId="41443" xr:uid="{00000000-0005-0000-0000-000046430000}"/>
    <cellStyle name="Normal 3 4 2 2 2" xfId="42323" xr:uid="{00000000-0005-0000-0000-000047430000}"/>
    <cellStyle name="Normal 3 4 2 3" xfId="42324" xr:uid="{00000000-0005-0000-0000-000048430000}"/>
    <cellStyle name="Normal 3 4 2 3 2" xfId="42325" xr:uid="{00000000-0005-0000-0000-000049430000}"/>
    <cellStyle name="Normal 3 4 2 4" xfId="42326" xr:uid="{00000000-0005-0000-0000-00004A430000}"/>
    <cellStyle name="Normal 3 4 3" xfId="41444" xr:uid="{00000000-0005-0000-0000-00004B430000}"/>
    <cellStyle name="Normal 3 4 3 2" xfId="41637" xr:uid="{00000000-0005-0000-0000-00004C430000}"/>
    <cellStyle name="Normal 3 4 3 2 2" xfId="42327" xr:uid="{00000000-0005-0000-0000-00004D430000}"/>
    <cellStyle name="Normal 3 4 3 3" xfId="42328" xr:uid="{00000000-0005-0000-0000-00004E430000}"/>
    <cellStyle name="Normal 3 4 3 3 2" xfId="42329" xr:uid="{00000000-0005-0000-0000-00004F430000}"/>
    <cellStyle name="Normal 3 4 3 4" xfId="42330" xr:uid="{00000000-0005-0000-0000-000050430000}"/>
    <cellStyle name="Normal 3 4 4" xfId="41445" xr:uid="{00000000-0005-0000-0000-000051430000}"/>
    <cellStyle name="Normal 3 4 4 2" xfId="42331" xr:uid="{00000000-0005-0000-0000-000052430000}"/>
    <cellStyle name="Normal 3 4 5" xfId="42332" xr:uid="{00000000-0005-0000-0000-000053430000}"/>
    <cellStyle name="Normal 3 4 5 2" xfId="42333" xr:uid="{00000000-0005-0000-0000-000054430000}"/>
    <cellStyle name="Normal 3 4 6" xfId="42334" xr:uid="{00000000-0005-0000-0000-000055430000}"/>
    <cellStyle name="Normal 3 5" xfId="41225" xr:uid="{00000000-0005-0000-0000-000056430000}"/>
    <cellStyle name="Normal 3 5 2" xfId="41638" xr:uid="{00000000-0005-0000-0000-000057430000}"/>
    <cellStyle name="Normal 3 5 2 2" xfId="42335" xr:uid="{00000000-0005-0000-0000-000058430000}"/>
    <cellStyle name="Normal 3 5 2 3" xfId="42597" xr:uid="{00000000-0005-0000-0000-000059430000}"/>
    <cellStyle name="Normal 3 5 3" xfId="42336" xr:uid="{00000000-0005-0000-0000-00005A430000}"/>
    <cellStyle name="Normal 3 5 3 2" xfId="42337" xr:uid="{00000000-0005-0000-0000-00005B430000}"/>
    <cellStyle name="Normal 3 5 4" xfId="42338" xr:uid="{00000000-0005-0000-0000-00005C430000}"/>
    <cellStyle name="Normal 3 5 5" xfId="42598" xr:uid="{00000000-0005-0000-0000-00005D430000}"/>
    <cellStyle name="Normal 3 6" xfId="41446" xr:uid="{00000000-0005-0000-0000-00005E430000}"/>
    <cellStyle name="Normal 3 6 2" xfId="41639" xr:uid="{00000000-0005-0000-0000-00005F430000}"/>
    <cellStyle name="Normal 3 6 2 2" xfId="42339" xr:uid="{00000000-0005-0000-0000-000060430000}"/>
    <cellStyle name="Normal 3 6 2 3" xfId="42599" xr:uid="{00000000-0005-0000-0000-000061430000}"/>
    <cellStyle name="Normal 3 6 3" xfId="42340" xr:uid="{00000000-0005-0000-0000-000062430000}"/>
    <cellStyle name="Normal 3 6 3 2" xfId="42341" xr:uid="{00000000-0005-0000-0000-000063430000}"/>
    <cellStyle name="Normal 3 6 4" xfId="42342" xr:uid="{00000000-0005-0000-0000-000064430000}"/>
    <cellStyle name="Normal 3 7" xfId="42343" xr:uid="{00000000-0005-0000-0000-000065430000}"/>
    <cellStyle name="Normal 3 7 2" xfId="42600" xr:uid="{00000000-0005-0000-0000-000066430000}"/>
    <cellStyle name="Normal 3 7 3" xfId="42601" xr:uid="{00000000-0005-0000-0000-000067430000}"/>
    <cellStyle name="Normal 3 8" xfId="42602" xr:uid="{00000000-0005-0000-0000-000068430000}"/>
    <cellStyle name="Normal 3 9" xfId="42603" xr:uid="{00000000-0005-0000-0000-000069430000}"/>
    <cellStyle name="Normal 3_2012 AR ELEC BCR Eval Eval - 012913" xfId="120" xr:uid="{00000000-0005-0000-0000-00006A430000}"/>
    <cellStyle name="Normal 38 10" xfId="195" xr:uid="{00000000-0005-0000-0000-00006B430000}"/>
    <cellStyle name="Normal 4" xfId="121" xr:uid="{00000000-0005-0000-0000-00006C430000}"/>
    <cellStyle name="Normal 4 10" xfId="42344" xr:uid="{00000000-0005-0000-0000-00006D430000}"/>
    <cellStyle name="Normal 4 2" xfId="333" xr:uid="{00000000-0005-0000-0000-00006E430000}"/>
    <cellStyle name="Normal 4 2 2" xfId="438" xr:uid="{00000000-0005-0000-0000-00006F430000}"/>
    <cellStyle name="Normal 4 2 2 2" xfId="648" xr:uid="{00000000-0005-0000-0000-000070430000}"/>
    <cellStyle name="Normal 4 2 2 2 2" xfId="11700" xr:uid="{00000000-0005-0000-0000-000071430000}"/>
    <cellStyle name="Normal 4 2 2 2 2 2" xfId="42345" xr:uid="{00000000-0005-0000-0000-000072430000}"/>
    <cellStyle name="Normal 4 2 2 2 2 3" xfId="42604" xr:uid="{00000000-0005-0000-0000-000073430000}"/>
    <cellStyle name="Normal 4 2 2 2 3" xfId="41447" xr:uid="{00000000-0005-0000-0000-000074430000}"/>
    <cellStyle name="Normal 4 2 2 2 3 2" xfId="42346" xr:uid="{00000000-0005-0000-0000-000075430000}"/>
    <cellStyle name="Normal 4 2 2 2 4" xfId="42347" xr:uid="{00000000-0005-0000-0000-000076430000}"/>
    <cellStyle name="Normal 4 2 2 3" xfId="524" xr:uid="{00000000-0005-0000-0000-000077430000}"/>
    <cellStyle name="Normal 4 2 2 3 2" xfId="11598" xr:uid="{00000000-0005-0000-0000-000078430000}"/>
    <cellStyle name="Normal 4 2 2 3 2 2" xfId="42348" xr:uid="{00000000-0005-0000-0000-000079430000}"/>
    <cellStyle name="Normal 4 2 2 3 2 3" xfId="42605" xr:uid="{00000000-0005-0000-0000-00007A430000}"/>
    <cellStyle name="Normal 4 2 2 3 3" xfId="41448" xr:uid="{00000000-0005-0000-0000-00007B430000}"/>
    <cellStyle name="Normal 4 2 2 3 3 2" xfId="42349" xr:uid="{00000000-0005-0000-0000-00007C430000}"/>
    <cellStyle name="Normal 4 2 2 3 4" xfId="42350" xr:uid="{00000000-0005-0000-0000-00007D430000}"/>
    <cellStyle name="Normal 4 2 2 4" xfId="11558" xr:uid="{00000000-0005-0000-0000-00007E430000}"/>
    <cellStyle name="Normal 4 2 2 4 2" xfId="42351" xr:uid="{00000000-0005-0000-0000-00007F430000}"/>
    <cellStyle name="Normal 4 2 2 4 3" xfId="42606" xr:uid="{00000000-0005-0000-0000-000080430000}"/>
    <cellStyle name="Normal 4 2 2 5" xfId="41449" xr:uid="{00000000-0005-0000-0000-000081430000}"/>
    <cellStyle name="Normal 4 2 2 5 2" xfId="42352" xr:uid="{00000000-0005-0000-0000-000082430000}"/>
    <cellStyle name="Normal 4 2 2 6" xfId="42353" xr:uid="{00000000-0005-0000-0000-000083430000}"/>
    <cellStyle name="Normal 4 2 3" xfId="626" xr:uid="{00000000-0005-0000-0000-000084430000}"/>
    <cellStyle name="Normal 4 2 3 2" xfId="11681" xr:uid="{00000000-0005-0000-0000-000085430000}"/>
    <cellStyle name="Normal 4 2 3 2 2" xfId="42354" xr:uid="{00000000-0005-0000-0000-000086430000}"/>
    <cellStyle name="Normal 4 2 3 2 3" xfId="42607" xr:uid="{00000000-0005-0000-0000-000087430000}"/>
    <cellStyle name="Normal 4 2 3 3" xfId="41450" xr:uid="{00000000-0005-0000-0000-000088430000}"/>
    <cellStyle name="Normal 4 2 3 3 2" xfId="42355" xr:uid="{00000000-0005-0000-0000-000089430000}"/>
    <cellStyle name="Normal 4 2 3 4" xfId="42356" xr:uid="{00000000-0005-0000-0000-00008A430000}"/>
    <cellStyle name="Normal 4 2 4" xfId="505" xr:uid="{00000000-0005-0000-0000-00008B430000}"/>
    <cellStyle name="Normal 4 2 4 2" xfId="11583" xr:uid="{00000000-0005-0000-0000-00008C430000}"/>
    <cellStyle name="Normal 4 2 4 2 2" xfId="42357" xr:uid="{00000000-0005-0000-0000-00008D430000}"/>
    <cellStyle name="Normal 4 2 4 2 3" xfId="42608" xr:uid="{00000000-0005-0000-0000-00008E430000}"/>
    <cellStyle name="Normal 4 2 4 3" xfId="41451" xr:uid="{00000000-0005-0000-0000-00008F430000}"/>
    <cellStyle name="Normal 4 2 4 3 2" xfId="42358" xr:uid="{00000000-0005-0000-0000-000090430000}"/>
    <cellStyle name="Normal 4 2 4 4" xfId="42359" xr:uid="{00000000-0005-0000-0000-000091430000}"/>
    <cellStyle name="Normal 4 2 5" xfId="11497" xr:uid="{00000000-0005-0000-0000-000092430000}"/>
    <cellStyle name="Normal 4 2 5 2" xfId="41452" xr:uid="{00000000-0005-0000-0000-000093430000}"/>
    <cellStyle name="Normal 4 2 5 2 2" xfId="42360" xr:uid="{00000000-0005-0000-0000-000094430000}"/>
    <cellStyle name="Normal 4 2 5 3" xfId="42361" xr:uid="{00000000-0005-0000-0000-000095430000}"/>
    <cellStyle name="Normal 4 2 5 3 2" xfId="42362" xr:uid="{00000000-0005-0000-0000-000096430000}"/>
    <cellStyle name="Normal 4 2 5 4" xfId="42363" xr:uid="{00000000-0005-0000-0000-000097430000}"/>
    <cellStyle name="Normal 4 2 6" xfId="41453" xr:uid="{00000000-0005-0000-0000-000098430000}"/>
    <cellStyle name="Normal 4 2 7" xfId="42609" xr:uid="{00000000-0005-0000-0000-000099430000}"/>
    <cellStyle name="Normal 4 2 8" xfId="42610" xr:uid="{00000000-0005-0000-0000-00009A430000}"/>
    <cellStyle name="Normal 4 3" xfId="337" xr:uid="{00000000-0005-0000-0000-00009B430000}"/>
    <cellStyle name="Normal 4 3 2" xfId="440" xr:uid="{00000000-0005-0000-0000-00009C430000}"/>
    <cellStyle name="Normal 4 3 2 2" xfId="650" xr:uid="{00000000-0005-0000-0000-00009D430000}"/>
    <cellStyle name="Normal 4 3 2 2 2" xfId="11702" xr:uid="{00000000-0005-0000-0000-00009E430000}"/>
    <cellStyle name="Normal 4 3 2 3" xfId="526" xr:uid="{00000000-0005-0000-0000-00009F430000}"/>
    <cellStyle name="Normal 4 3 2 3 2" xfId="11600" xr:uid="{00000000-0005-0000-0000-0000A0430000}"/>
    <cellStyle name="Normal 4 3 2 4" xfId="11560" xr:uid="{00000000-0005-0000-0000-0000A1430000}"/>
    <cellStyle name="Normal 4 3 2 5" xfId="41454" xr:uid="{00000000-0005-0000-0000-0000A2430000}"/>
    <cellStyle name="Normal 4 3 3" xfId="628" xr:uid="{00000000-0005-0000-0000-0000A3430000}"/>
    <cellStyle name="Normal 4 3 3 2" xfId="11683" xr:uid="{00000000-0005-0000-0000-0000A4430000}"/>
    <cellStyle name="Normal 4 3 4" xfId="507" xr:uid="{00000000-0005-0000-0000-0000A5430000}"/>
    <cellStyle name="Normal 4 3 4 2" xfId="11585" xr:uid="{00000000-0005-0000-0000-0000A6430000}"/>
    <cellStyle name="Normal 4 3 5" xfId="11499" xr:uid="{00000000-0005-0000-0000-0000A7430000}"/>
    <cellStyle name="Normal 4 3 6" xfId="41455" xr:uid="{00000000-0005-0000-0000-0000A8430000}"/>
    <cellStyle name="Normal 4 4" xfId="340" xr:uid="{00000000-0005-0000-0000-0000A9430000}"/>
    <cellStyle name="Normal 4 4 2" xfId="442" xr:uid="{00000000-0005-0000-0000-0000AA430000}"/>
    <cellStyle name="Normal 4 4 2 2" xfId="652" xr:uid="{00000000-0005-0000-0000-0000AB430000}"/>
    <cellStyle name="Normal 4 4 2 2 2" xfId="11704" xr:uid="{00000000-0005-0000-0000-0000AC430000}"/>
    <cellStyle name="Normal 4 4 2 2 3" xfId="42611" xr:uid="{00000000-0005-0000-0000-0000AD430000}"/>
    <cellStyle name="Normal 4 4 2 3" xfId="528" xr:uid="{00000000-0005-0000-0000-0000AE430000}"/>
    <cellStyle name="Normal 4 4 2 3 2" xfId="11602" xr:uid="{00000000-0005-0000-0000-0000AF430000}"/>
    <cellStyle name="Normal 4 4 2 4" xfId="11562" xr:uid="{00000000-0005-0000-0000-0000B0430000}"/>
    <cellStyle name="Normal 4 4 2 5" xfId="41456" xr:uid="{00000000-0005-0000-0000-0000B1430000}"/>
    <cellStyle name="Normal 4 4 3" xfId="630" xr:uid="{00000000-0005-0000-0000-0000B2430000}"/>
    <cellStyle name="Normal 4 4 3 2" xfId="11685" xr:uid="{00000000-0005-0000-0000-0000B3430000}"/>
    <cellStyle name="Normal 4 4 3 2 2" xfId="42364" xr:uid="{00000000-0005-0000-0000-0000B4430000}"/>
    <cellStyle name="Normal 4 4 3 2 3" xfId="42612" xr:uid="{00000000-0005-0000-0000-0000B5430000}"/>
    <cellStyle name="Normal 4 4 3 3" xfId="41457" xr:uid="{00000000-0005-0000-0000-0000B6430000}"/>
    <cellStyle name="Normal 4 4 3 3 2" xfId="42365" xr:uid="{00000000-0005-0000-0000-0000B7430000}"/>
    <cellStyle name="Normal 4 4 3 4" xfId="42366" xr:uid="{00000000-0005-0000-0000-0000B8430000}"/>
    <cellStyle name="Normal 4 4 4" xfId="509" xr:uid="{00000000-0005-0000-0000-0000B9430000}"/>
    <cellStyle name="Normal 4 4 4 2" xfId="11587" xr:uid="{00000000-0005-0000-0000-0000BA430000}"/>
    <cellStyle name="Normal 4 4 4 3" xfId="42613" xr:uid="{00000000-0005-0000-0000-0000BB430000}"/>
    <cellStyle name="Normal 4 4 5" xfId="11501" xr:uid="{00000000-0005-0000-0000-0000BC430000}"/>
    <cellStyle name="Normal 4 4 5 2" xfId="42367" xr:uid="{00000000-0005-0000-0000-0000BD430000}"/>
    <cellStyle name="Normal 4 4 6" xfId="41458" xr:uid="{00000000-0005-0000-0000-0000BE430000}"/>
    <cellStyle name="Normal 4 4 7" xfId="42614" xr:uid="{00000000-0005-0000-0000-0000BF430000}"/>
    <cellStyle name="Normal 4 5" xfId="41459" xr:uid="{00000000-0005-0000-0000-0000C0430000}"/>
    <cellStyle name="Normal 4 5 2" xfId="41640" xr:uid="{00000000-0005-0000-0000-0000C1430000}"/>
    <cellStyle name="Normal 4 5 2 2" xfId="42368" xr:uid="{00000000-0005-0000-0000-0000C2430000}"/>
    <cellStyle name="Normal 4 5 3" xfId="42369" xr:uid="{00000000-0005-0000-0000-0000C3430000}"/>
    <cellStyle name="Normal 4 5 3 2" xfId="42370" xr:uid="{00000000-0005-0000-0000-0000C4430000}"/>
    <cellStyle name="Normal 4 5 4" xfId="42371" xr:uid="{00000000-0005-0000-0000-0000C5430000}"/>
    <cellStyle name="Normal 4 6" xfId="41460" xr:uid="{00000000-0005-0000-0000-0000C6430000}"/>
    <cellStyle name="Normal 4 6 2" xfId="41641" xr:uid="{00000000-0005-0000-0000-0000C7430000}"/>
    <cellStyle name="Normal 4 6 2 2" xfId="42372" xr:uid="{00000000-0005-0000-0000-0000C8430000}"/>
    <cellStyle name="Normal 4 6 3" xfId="42373" xr:uid="{00000000-0005-0000-0000-0000C9430000}"/>
    <cellStyle name="Normal 4 6 3 2" xfId="42374" xr:uid="{00000000-0005-0000-0000-0000CA430000}"/>
    <cellStyle name="Normal 4 6 4" xfId="42375" xr:uid="{00000000-0005-0000-0000-0000CB430000}"/>
    <cellStyle name="Normal 4 7" xfId="41461" xr:uid="{00000000-0005-0000-0000-0000CC430000}"/>
    <cellStyle name="Normal 4 7 2" xfId="42376" xr:uid="{00000000-0005-0000-0000-0000CD430000}"/>
    <cellStyle name="Normal 4 8" xfId="42377" xr:uid="{00000000-0005-0000-0000-0000CE430000}"/>
    <cellStyle name="Normal 4 8 2" xfId="42378" xr:uid="{00000000-0005-0000-0000-0000CF430000}"/>
    <cellStyle name="Normal 4 9" xfId="42379" xr:uid="{00000000-0005-0000-0000-0000D0430000}"/>
    <cellStyle name="Normal 4 9 2" xfId="42380" xr:uid="{00000000-0005-0000-0000-0000D1430000}"/>
    <cellStyle name="Normal 40" xfId="42615" xr:uid="{00000000-0005-0000-0000-0000D2430000}"/>
    <cellStyle name="Normal 5" xfId="122" xr:uid="{00000000-0005-0000-0000-0000D3430000}"/>
    <cellStyle name="Normal 5 2" xfId="334" xr:uid="{00000000-0005-0000-0000-0000D4430000}"/>
    <cellStyle name="Normal 5 2 2" xfId="439" xr:uid="{00000000-0005-0000-0000-0000D5430000}"/>
    <cellStyle name="Normal 5 2 2 2" xfId="649" xr:uid="{00000000-0005-0000-0000-0000D6430000}"/>
    <cellStyle name="Normal 5 2 2 2 2" xfId="11701" xr:uid="{00000000-0005-0000-0000-0000D7430000}"/>
    <cellStyle name="Normal 5 2 2 2 3" xfId="42616" xr:uid="{00000000-0005-0000-0000-0000D8430000}"/>
    <cellStyle name="Normal 5 2 2 3" xfId="525" xr:uid="{00000000-0005-0000-0000-0000D9430000}"/>
    <cellStyle name="Normal 5 2 2 3 2" xfId="11599" xr:uid="{00000000-0005-0000-0000-0000DA430000}"/>
    <cellStyle name="Normal 5 2 2 4" xfId="11559" xr:uid="{00000000-0005-0000-0000-0000DB430000}"/>
    <cellStyle name="Normal 5 2 2 5" xfId="41462" xr:uid="{00000000-0005-0000-0000-0000DC430000}"/>
    <cellStyle name="Normal 5 2 3" xfId="627" xr:uid="{00000000-0005-0000-0000-0000DD430000}"/>
    <cellStyle name="Normal 5 2 3 2" xfId="11682" xr:uid="{00000000-0005-0000-0000-0000DE430000}"/>
    <cellStyle name="Normal 5 2 3 2 2" xfId="42381" xr:uid="{00000000-0005-0000-0000-0000DF430000}"/>
    <cellStyle name="Normal 5 2 3 2 3" xfId="42617" xr:uid="{00000000-0005-0000-0000-0000E0430000}"/>
    <cellStyle name="Normal 5 2 3 3" xfId="41463" xr:uid="{00000000-0005-0000-0000-0000E1430000}"/>
    <cellStyle name="Normal 5 2 3 3 2" xfId="42382" xr:uid="{00000000-0005-0000-0000-0000E2430000}"/>
    <cellStyle name="Normal 5 2 3 4" xfId="42383" xr:uid="{00000000-0005-0000-0000-0000E3430000}"/>
    <cellStyle name="Normal 5 2 4" xfId="506" xr:uid="{00000000-0005-0000-0000-0000E4430000}"/>
    <cellStyle name="Normal 5 2 4 2" xfId="11584" xr:uid="{00000000-0005-0000-0000-0000E5430000}"/>
    <cellStyle name="Normal 5 2 4 3" xfId="42618" xr:uid="{00000000-0005-0000-0000-0000E6430000}"/>
    <cellStyle name="Normal 5 2 5" xfId="11498" xr:uid="{00000000-0005-0000-0000-0000E7430000}"/>
    <cellStyle name="Normal 5 2 5 2" xfId="42384" xr:uid="{00000000-0005-0000-0000-0000E8430000}"/>
    <cellStyle name="Normal 5 2 6" xfId="41464" xr:uid="{00000000-0005-0000-0000-0000E9430000}"/>
    <cellStyle name="Normal 5 3" xfId="341" xr:uid="{00000000-0005-0000-0000-0000EA430000}"/>
    <cellStyle name="Normal 5 3 2" xfId="443" xr:uid="{00000000-0005-0000-0000-0000EB430000}"/>
    <cellStyle name="Normal 5 3 2 2" xfId="653" xr:uid="{00000000-0005-0000-0000-0000EC430000}"/>
    <cellStyle name="Normal 5 3 2 2 2" xfId="11705" xr:uid="{00000000-0005-0000-0000-0000ED430000}"/>
    <cellStyle name="Normal 5 3 2 3" xfId="529" xr:uid="{00000000-0005-0000-0000-0000EE430000}"/>
    <cellStyle name="Normal 5 3 2 3 2" xfId="11603" xr:uid="{00000000-0005-0000-0000-0000EF430000}"/>
    <cellStyle name="Normal 5 3 2 4" xfId="11563" xr:uid="{00000000-0005-0000-0000-0000F0430000}"/>
    <cellStyle name="Normal 5 3 3" xfId="631" xr:uid="{00000000-0005-0000-0000-0000F1430000}"/>
    <cellStyle name="Normal 5 3 3 2" xfId="11686" xr:uid="{00000000-0005-0000-0000-0000F2430000}"/>
    <cellStyle name="Normal 5 3 4" xfId="510" xr:uid="{00000000-0005-0000-0000-0000F3430000}"/>
    <cellStyle name="Normal 5 3 4 2" xfId="11588" xr:uid="{00000000-0005-0000-0000-0000F4430000}"/>
    <cellStyle name="Normal 5 3 5" xfId="11502" xr:uid="{00000000-0005-0000-0000-0000F5430000}"/>
    <cellStyle name="Normal 5 3 6" xfId="41465" xr:uid="{00000000-0005-0000-0000-0000F6430000}"/>
    <cellStyle name="Normal 5 4" xfId="41466" xr:uid="{00000000-0005-0000-0000-0000F7430000}"/>
    <cellStyle name="Normal 6" xfId="123" xr:uid="{00000000-0005-0000-0000-0000F8430000}"/>
    <cellStyle name="Normal 6 2" xfId="41467" xr:uid="{00000000-0005-0000-0000-0000F9430000}"/>
    <cellStyle name="Normal 6 2 2" xfId="41642" xr:uid="{00000000-0005-0000-0000-0000FA430000}"/>
    <cellStyle name="Normal 6 2 2 2" xfId="42385" xr:uid="{00000000-0005-0000-0000-0000FB430000}"/>
    <cellStyle name="Normal 6 2 3" xfId="42386" xr:uid="{00000000-0005-0000-0000-0000FC430000}"/>
    <cellStyle name="Normal 6 2 3 2" xfId="42387" xr:uid="{00000000-0005-0000-0000-0000FD430000}"/>
    <cellStyle name="Normal 6 2 4" xfId="42388" xr:uid="{00000000-0005-0000-0000-0000FE430000}"/>
    <cellStyle name="Normal 6 3" xfId="41468" xr:uid="{00000000-0005-0000-0000-0000FF430000}"/>
    <cellStyle name="Normal 6 3 2" xfId="41643" xr:uid="{00000000-0005-0000-0000-000000440000}"/>
    <cellStyle name="Normal 6 3 2 2" xfId="42389" xr:uid="{00000000-0005-0000-0000-000001440000}"/>
    <cellStyle name="Normal 6 3 3" xfId="42390" xr:uid="{00000000-0005-0000-0000-000002440000}"/>
    <cellStyle name="Normal 6 3 3 2" xfId="42391" xr:uid="{00000000-0005-0000-0000-000003440000}"/>
    <cellStyle name="Normal 6 3 4" xfId="42392" xr:uid="{00000000-0005-0000-0000-000004440000}"/>
    <cellStyle name="Normal 6 4" xfId="41469" xr:uid="{00000000-0005-0000-0000-000005440000}"/>
    <cellStyle name="Normal 6 4 2" xfId="42393" xr:uid="{00000000-0005-0000-0000-000006440000}"/>
    <cellStyle name="Normal 6 5" xfId="42394" xr:uid="{00000000-0005-0000-0000-000007440000}"/>
    <cellStyle name="Normal 6 5 2" xfId="42395" xr:uid="{00000000-0005-0000-0000-000008440000}"/>
    <cellStyle name="Normal 6 6" xfId="42396" xr:uid="{00000000-0005-0000-0000-000009440000}"/>
    <cellStyle name="Normal 6 6 2" xfId="42397" xr:uid="{00000000-0005-0000-0000-00000A440000}"/>
    <cellStyle name="Normal 6 7" xfId="42398" xr:uid="{00000000-0005-0000-0000-00000B440000}"/>
    <cellStyle name="Normal 7" xfId="201" xr:uid="{00000000-0005-0000-0000-00000C440000}"/>
    <cellStyle name="Normal 7 2" xfId="339" xr:uid="{00000000-0005-0000-0000-00000D440000}"/>
    <cellStyle name="Normal 7 2 2" xfId="441" xr:uid="{00000000-0005-0000-0000-00000E440000}"/>
    <cellStyle name="Normal 7 2 2 2" xfId="651" xr:uid="{00000000-0005-0000-0000-00000F440000}"/>
    <cellStyle name="Normal 7 2 2 2 2" xfId="11703" xr:uid="{00000000-0005-0000-0000-000010440000}"/>
    <cellStyle name="Normal 7 2 2 3" xfId="527" xr:uid="{00000000-0005-0000-0000-000011440000}"/>
    <cellStyle name="Normal 7 2 2 3 2" xfId="11601" xr:uid="{00000000-0005-0000-0000-000012440000}"/>
    <cellStyle name="Normal 7 2 2 4" xfId="11561" xr:uid="{00000000-0005-0000-0000-000013440000}"/>
    <cellStyle name="Normal 7 2 3" xfId="629" xr:uid="{00000000-0005-0000-0000-000014440000}"/>
    <cellStyle name="Normal 7 2 3 2" xfId="11684" xr:uid="{00000000-0005-0000-0000-000015440000}"/>
    <cellStyle name="Normal 7 2 4" xfId="508" xr:uid="{00000000-0005-0000-0000-000016440000}"/>
    <cellStyle name="Normal 7 2 4 2" xfId="11586" xr:uid="{00000000-0005-0000-0000-000017440000}"/>
    <cellStyle name="Normal 7 2 5" xfId="11500" xr:uid="{00000000-0005-0000-0000-000018440000}"/>
    <cellStyle name="Normal 7 2 6" xfId="41238" xr:uid="{00000000-0005-0000-0000-000019440000}"/>
    <cellStyle name="Normal 7 3" xfId="418" xr:uid="{00000000-0005-0000-0000-00001A440000}"/>
    <cellStyle name="Normal 7 3 2" xfId="641" xr:uid="{00000000-0005-0000-0000-00001B440000}"/>
    <cellStyle name="Normal 7 3 2 2" xfId="11693" xr:uid="{00000000-0005-0000-0000-00001C440000}"/>
    <cellStyle name="Normal 7 3 3" xfId="519" xr:uid="{00000000-0005-0000-0000-00001D440000}"/>
    <cellStyle name="Normal 7 3 3 2" xfId="11593" xr:uid="{00000000-0005-0000-0000-00001E440000}"/>
    <cellStyle name="Normal 7 3 4" xfId="11545" xr:uid="{00000000-0005-0000-0000-00001F440000}"/>
    <cellStyle name="Normal 7 3 5" xfId="41470" xr:uid="{00000000-0005-0000-0000-000020440000}"/>
    <cellStyle name="Normal 7 4" xfId="596" xr:uid="{00000000-0005-0000-0000-000021440000}"/>
    <cellStyle name="Normal 7 4 2" xfId="11658" xr:uid="{00000000-0005-0000-0000-000022440000}"/>
    <cellStyle name="Normal 7 5" xfId="494" xr:uid="{00000000-0005-0000-0000-000023440000}"/>
    <cellStyle name="Normal 7 5 2" xfId="11573" xr:uid="{00000000-0005-0000-0000-000024440000}"/>
    <cellStyle name="Normal 7 6" xfId="11484" xr:uid="{00000000-0005-0000-0000-000025440000}"/>
    <cellStyle name="Normal 7 7" xfId="41471" xr:uid="{00000000-0005-0000-0000-000026440000}"/>
    <cellStyle name="Normal 7 8" xfId="42480" xr:uid="{00000000-0005-0000-0000-000027440000}"/>
    <cellStyle name="Normal 8" xfId="309" xr:uid="{00000000-0005-0000-0000-000028440000}"/>
    <cellStyle name="Normal 8 2" xfId="41223" xr:uid="{00000000-0005-0000-0000-000029440000}"/>
    <cellStyle name="Normal 9" xfId="310" xr:uid="{00000000-0005-0000-0000-00002A440000}"/>
    <cellStyle name="Normal 9 2" xfId="41472" xr:uid="{00000000-0005-0000-0000-00002B440000}"/>
    <cellStyle name="Normal_Appendix BC" xfId="41216" xr:uid="{00000000-0005-0000-0000-00002C440000}"/>
    <cellStyle name="Normal_Demand Model Lookups" xfId="124" xr:uid="{00000000-0005-0000-0000-00002D440000}"/>
    <cellStyle name="Note" xfId="125" builtinId="10" customBuiltin="1"/>
    <cellStyle name="Note 10" xfId="311" xr:uid="{00000000-0005-0000-0000-000032440000}"/>
    <cellStyle name="Note 10 2" xfId="424" xr:uid="{00000000-0005-0000-0000-000033440000}"/>
    <cellStyle name="Note 10 2 10" xfId="2706" xr:uid="{00000000-0005-0000-0000-000034440000}"/>
    <cellStyle name="Note 10 2 10 2" xfId="5558" xr:uid="{00000000-0005-0000-0000-000035440000}"/>
    <cellStyle name="Note 10 2 10 2 2" xfId="24530" xr:uid="{00000000-0005-0000-0000-000036440000}"/>
    <cellStyle name="Note 10 2 10 2 3" xfId="35375" xr:uid="{00000000-0005-0000-0000-000037440000}"/>
    <cellStyle name="Note 10 2 10 3" xfId="8229" xr:uid="{00000000-0005-0000-0000-000038440000}"/>
    <cellStyle name="Note 10 2 10 3 2" xfId="27201" xr:uid="{00000000-0005-0000-0000-000039440000}"/>
    <cellStyle name="Note 10 2 10 3 3" xfId="38046" xr:uid="{00000000-0005-0000-0000-00003A440000}"/>
    <cellStyle name="Note 10 2 10 4" xfId="10888" xr:uid="{00000000-0005-0000-0000-00003B440000}"/>
    <cellStyle name="Note 10 2 10 4 2" xfId="29860" xr:uid="{00000000-0005-0000-0000-00003C440000}"/>
    <cellStyle name="Note 10 2 10 4 3" xfId="40705" xr:uid="{00000000-0005-0000-0000-00003D440000}"/>
    <cellStyle name="Note 10 2 10 5" xfId="21684" xr:uid="{00000000-0005-0000-0000-00003E440000}"/>
    <cellStyle name="Note 10 2 10 6" xfId="32529" xr:uid="{00000000-0005-0000-0000-00003F440000}"/>
    <cellStyle name="Note 10 2 11" xfId="3091" xr:uid="{00000000-0005-0000-0000-000040440000}"/>
    <cellStyle name="Note 10 2 11 2" xfId="5942" xr:uid="{00000000-0005-0000-0000-000041440000}"/>
    <cellStyle name="Note 10 2 11 2 2" xfId="24914" xr:uid="{00000000-0005-0000-0000-000042440000}"/>
    <cellStyle name="Note 10 2 11 2 3" xfId="35759" xr:uid="{00000000-0005-0000-0000-000043440000}"/>
    <cellStyle name="Note 10 2 11 3" xfId="8613" xr:uid="{00000000-0005-0000-0000-000044440000}"/>
    <cellStyle name="Note 10 2 11 3 2" xfId="27585" xr:uid="{00000000-0005-0000-0000-000045440000}"/>
    <cellStyle name="Note 10 2 11 3 3" xfId="38430" xr:uid="{00000000-0005-0000-0000-000046440000}"/>
    <cellStyle name="Note 10 2 11 4" xfId="11272" xr:uid="{00000000-0005-0000-0000-000047440000}"/>
    <cellStyle name="Note 10 2 11 4 2" xfId="30244" xr:uid="{00000000-0005-0000-0000-000048440000}"/>
    <cellStyle name="Note 10 2 11 4 3" xfId="41089" xr:uid="{00000000-0005-0000-0000-000049440000}"/>
    <cellStyle name="Note 10 2 11 5" xfId="22068" xr:uid="{00000000-0005-0000-0000-00004A440000}"/>
    <cellStyle name="Note 10 2 11 6" xfId="32913" xr:uid="{00000000-0005-0000-0000-00004B440000}"/>
    <cellStyle name="Note 10 2 12" xfId="3148" xr:uid="{00000000-0005-0000-0000-00004C440000}"/>
    <cellStyle name="Note 10 2 12 2" xfId="5999" xr:uid="{00000000-0005-0000-0000-00004D440000}"/>
    <cellStyle name="Note 10 2 12 2 2" xfId="24971" xr:uid="{00000000-0005-0000-0000-00004E440000}"/>
    <cellStyle name="Note 10 2 12 2 3" xfId="35816" xr:uid="{00000000-0005-0000-0000-00004F440000}"/>
    <cellStyle name="Note 10 2 12 3" xfId="8670" xr:uid="{00000000-0005-0000-0000-000050440000}"/>
    <cellStyle name="Note 10 2 12 3 2" xfId="27642" xr:uid="{00000000-0005-0000-0000-000051440000}"/>
    <cellStyle name="Note 10 2 12 3 3" xfId="38487" xr:uid="{00000000-0005-0000-0000-000052440000}"/>
    <cellStyle name="Note 10 2 12 4" xfId="11329" xr:uid="{00000000-0005-0000-0000-000053440000}"/>
    <cellStyle name="Note 10 2 12 4 2" xfId="30301" xr:uid="{00000000-0005-0000-0000-000054440000}"/>
    <cellStyle name="Note 10 2 12 4 3" xfId="41146" xr:uid="{00000000-0005-0000-0000-000055440000}"/>
    <cellStyle name="Note 10 2 12 5" xfId="22125" xr:uid="{00000000-0005-0000-0000-000056440000}"/>
    <cellStyle name="Note 10 2 12 6" xfId="32970" xr:uid="{00000000-0005-0000-0000-000057440000}"/>
    <cellStyle name="Note 10 2 13" xfId="3205" xr:uid="{00000000-0005-0000-0000-000058440000}"/>
    <cellStyle name="Note 10 2 13 2" xfId="6056" xr:uid="{00000000-0005-0000-0000-000059440000}"/>
    <cellStyle name="Note 10 2 13 2 2" xfId="25028" xr:uid="{00000000-0005-0000-0000-00005A440000}"/>
    <cellStyle name="Note 10 2 13 2 3" xfId="35873" xr:uid="{00000000-0005-0000-0000-00005B440000}"/>
    <cellStyle name="Note 10 2 13 3" xfId="8727" xr:uid="{00000000-0005-0000-0000-00005C440000}"/>
    <cellStyle name="Note 10 2 13 3 2" xfId="27699" xr:uid="{00000000-0005-0000-0000-00005D440000}"/>
    <cellStyle name="Note 10 2 13 3 3" xfId="38544" xr:uid="{00000000-0005-0000-0000-00005E440000}"/>
    <cellStyle name="Note 10 2 13 4" xfId="11386" xr:uid="{00000000-0005-0000-0000-00005F440000}"/>
    <cellStyle name="Note 10 2 13 4 2" xfId="30358" xr:uid="{00000000-0005-0000-0000-000060440000}"/>
    <cellStyle name="Note 10 2 13 4 3" xfId="41203" xr:uid="{00000000-0005-0000-0000-000061440000}"/>
    <cellStyle name="Note 10 2 13 5" xfId="22182" xr:uid="{00000000-0005-0000-0000-000062440000}"/>
    <cellStyle name="Note 10 2 13 6" xfId="33027" xr:uid="{00000000-0005-0000-0000-000063440000}"/>
    <cellStyle name="Note 10 2 14" xfId="3374" xr:uid="{00000000-0005-0000-0000-000064440000}"/>
    <cellStyle name="Note 10 2 14 2" xfId="22348" xr:uid="{00000000-0005-0000-0000-000065440000}"/>
    <cellStyle name="Note 10 2 14 3" xfId="33193" xr:uid="{00000000-0005-0000-0000-000066440000}"/>
    <cellStyle name="Note 10 2 15" xfId="3286" xr:uid="{00000000-0005-0000-0000-000067440000}"/>
    <cellStyle name="Note 10 2 15 2" xfId="22260" xr:uid="{00000000-0005-0000-0000-000068440000}"/>
    <cellStyle name="Note 10 2 15 3" xfId="33105" xr:uid="{00000000-0005-0000-0000-000069440000}"/>
    <cellStyle name="Note 10 2 16" xfId="3280" xr:uid="{00000000-0005-0000-0000-00006A440000}"/>
    <cellStyle name="Note 10 2 16 2" xfId="22254" xr:uid="{00000000-0005-0000-0000-00006B440000}"/>
    <cellStyle name="Note 10 2 16 3" xfId="33099" xr:uid="{00000000-0005-0000-0000-00006C440000}"/>
    <cellStyle name="Note 10 2 17" xfId="19502" xr:uid="{00000000-0005-0000-0000-00006D440000}"/>
    <cellStyle name="Note 10 2 18" xfId="19516" xr:uid="{00000000-0005-0000-0000-00006E440000}"/>
    <cellStyle name="Note 10 2 2" xfId="715" xr:uid="{00000000-0005-0000-0000-00006F440000}"/>
    <cellStyle name="Note 10 2 2 10" xfId="19700" xr:uid="{00000000-0005-0000-0000-000070440000}"/>
    <cellStyle name="Note 10 2 2 11" xfId="30545" xr:uid="{00000000-0005-0000-0000-000071440000}"/>
    <cellStyle name="Note 10 2 2 2" xfId="1302" xr:uid="{00000000-0005-0000-0000-000072440000}"/>
    <cellStyle name="Note 10 2 2 2 2" xfId="4155" xr:uid="{00000000-0005-0000-0000-000073440000}"/>
    <cellStyle name="Note 10 2 2 2 2 2" xfId="23127" xr:uid="{00000000-0005-0000-0000-000074440000}"/>
    <cellStyle name="Note 10 2 2 2 2 3" xfId="33972" xr:uid="{00000000-0005-0000-0000-000075440000}"/>
    <cellStyle name="Note 10 2 2 2 3" xfId="6828" xr:uid="{00000000-0005-0000-0000-000076440000}"/>
    <cellStyle name="Note 10 2 2 2 3 2" xfId="25800" xr:uid="{00000000-0005-0000-0000-000077440000}"/>
    <cellStyle name="Note 10 2 2 2 3 3" xfId="36645" xr:uid="{00000000-0005-0000-0000-000078440000}"/>
    <cellStyle name="Note 10 2 2 2 4" xfId="9487" xr:uid="{00000000-0005-0000-0000-000079440000}"/>
    <cellStyle name="Note 10 2 2 2 4 2" xfId="28459" xr:uid="{00000000-0005-0000-0000-00007A440000}"/>
    <cellStyle name="Note 10 2 2 2 4 3" xfId="39304" xr:uid="{00000000-0005-0000-0000-00007B440000}"/>
    <cellStyle name="Note 10 2 2 2 5" xfId="20283" xr:uid="{00000000-0005-0000-0000-00007C440000}"/>
    <cellStyle name="Note 10 2 2 2 6" xfId="31128" xr:uid="{00000000-0005-0000-0000-00007D440000}"/>
    <cellStyle name="Note 10 2 2 3" xfId="1701" xr:uid="{00000000-0005-0000-0000-00007E440000}"/>
    <cellStyle name="Note 10 2 2 3 2" xfId="4554" xr:uid="{00000000-0005-0000-0000-00007F440000}"/>
    <cellStyle name="Note 10 2 2 3 2 2" xfId="23526" xr:uid="{00000000-0005-0000-0000-000080440000}"/>
    <cellStyle name="Note 10 2 2 3 2 3" xfId="34371" xr:uid="{00000000-0005-0000-0000-000081440000}"/>
    <cellStyle name="Note 10 2 2 3 3" xfId="7226" xr:uid="{00000000-0005-0000-0000-000082440000}"/>
    <cellStyle name="Note 10 2 2 3 3 2" xfId="26198" xr:uid="{00000000-0005-0000-0000-000083440000}"/>
    <cellStyle name="Note 10 2 2 3 3 3" xfId="37043" xr:uid="{00000000-0005-0000-0000-000084440000}"/>
    <cellStyle name="Note 10 2 2 3 4" xfId="9885" xr:uid="{00000000-0005-0000-0000-000085440000}"/>
    <cellStyle name="Note 10 2 2 3 4 2" xfId="28857" xr:uid="{00000000-0005-0000-0000-000086440000}"/>
    <cellStyle name="Note 10 2 2 3 4 3" xfId="39702" xr:uid="{00000000-0005-0000-0000-000087440000}"/>
    <cellStyle name="Note 10 2 2 3 5" xfId="20681" xr:uid="{00000000-0005-0000-0000-000088440000}"/>
    <cellStyle name="Note 10 2 2 3 6" xfId="31526" xr:uid="{00000000-0005-0000-0000-000089440000}"/>
    <cellStyle name="Note 10 2 2 4" xfId="2105" xr:uid="{00000000-0005-0000-0000-00008A440000}"/>
    <cellStyle name="Note 10 2 2 4 2" xfId="4958" xr:uid="{00000000-0005-0000-0000-00008B440000}"/>
    <cellStyle name="Note 10 2 2 4 2 2" xfId="23930" xr:uid="{00000000-0005-0000-0000-00008C440000}"/>
    <cellStyle name="Note 10 2 2 4 2 3" xfId="34775" xr:uid="{00000000-0005-0000-0000-00008D440000}"/>
    <cellStyle name="Note 10 2 2 4 3" xfId="7629" xr:uid="{00000000-0005-0000-0000-00008E440000}"/>
    <cellStyle name="Note 10 2 2 4 3 2" xfId="26601" xr:uid="{00000000-0005-0000-0000-00008F440000}"/>
    <cellStyle name="Note 10 2 2 4 3 3" xfId="37446" xr:uid="{00000000-0005-0000-0000-000090440000}"/>
    <cellStyle name="Note 10 2 2 4 4" xfId="10288" xr:uid="{00000000-0005-0000-0000-000091440000}"/>
    <cellStyle name="Note 10 2 2 4 4 2" xfId="29260" xr:uid="{00000000-0005-0000-0000-000092440000}"/>
    <cellStyle name="Note 10 2 2 4 4 3" xfId="40105" xr:uid="{00000000-0005-0000-0000-000093440000}"/>
    <cellStyle name="Note 10 2 2 4 5" xfId="21084" xr:uid="{00000000-0005-0000-0000-000094440000}"/>
    <cellStyle name="Note 10 2 2 4 6" xfId="31929" xr:uid="{00000000-0005-0000-0000-000095440000}"/>
    <cellStyle name="Note 10 2 2 5" xfId="2495" xr:uid="{00000000-0005-0000-0000-000096440000}"/>
    <cellStyle name="Note 10 2 2 5 2" xfId="5347" xr:uid="{00000000-0005-0000-0000-000097440000}"/>
    <cellStyle name="Note 10 2 2 5 2 2" xfId="24319" xr:uid="{00000000-0005-0000-0000-000098440000}"/>
    <cellStyle name="Note 10 2 2 5 2 3" xfId="35164" xr:uid="{00000000-0005-0000-0000-000099440000}"/>
    <cellStyle name="Note 10 2 2 5 3" xfId="8018" xr:uid="{00000000-0005-0000-0000-00009A440000}"/>
    <cellStyle name="Note 10 2 2 5 3 2" xfId="26990" xr:uid="{00000000-0005-0000-0000-00009B440000}"/>
    <cellStyle name="Note 10 2 2 5 3 3" xfId="37835" xr:uid="{00000000-0005-0000-0000-00009C440000}"/>
    <cellStyle name="Note 10 2 2 5 4" xfId="10677" xr:uid="{00000000-0005-0000-0000-00009D440000}"/>
    <cellStyle name="Note 10 2 2 5 4 2" xfId="29649" xr:uid="{00000000-0005-0000-0000-00009E440000}"/>
    <cellStyle name="Note 10 2 2 5 4 3" xfId="40494" xr:uid="{00000000-0005-0000-0000-00009F440000}"/>
    <cellStyle name="Note 10 2 2 5 5" xfId="21473" xr:uid="{00000000-0005-0000-0000-0000A0440000}"/>
    <cellStyle name="Note 10 2 2 5 6" xfId="32318" xr:uid="{00000000-0005-0000-0000-0000A1440000}"/>
    <cellStyle name="Note 10 2 2 6" xfId="2881" xr:uid="{00000000-0005-0000-0000-0000A2440000}"/>
    <cellStyle name="Note 10 2 2 6 2" xfId="5732" xr:uid="{00000000-0005-0000-0000-0000A3440000}"/>
    <cellStyle name="Note 10 2 2 6 2 2" xfId="24704" xr:uid="{00000000-0005-0000-0000-0000A4440000}"/>
    <cellStyle name="Note 10 2 2 6 2 3" xfId="35549" xr:uid="{00000000-0005-0000-0000-0000A5440000}"/>
    <cellStyle name="Note 10 2 2 6 3" xfId="8403" xr:uid="{00000000-0005-0000-0000-0000A6440000}"/>
    <cellStyle name="Note 10 2 2 6 3 2" xfId="27375" xr:uid="{00000000-0005-0000-0000-0000A7440000}"/>
    <cellStyle name="Note 10 2 2 6 3 3" xfId="38220" xr:uid="{00000000-0005-0000-0000-0000A8440000}"/>
    <cellStyle name="Note 10 2 2 6 4" xfId="11062" xr:uid="{00000000-0005-0000-0000-0000A9440000}"/>
    <cellStyle name="Note 10 2 2 6 4 2" xfId="30034" xr:uid="{00000000-0005-0000-0000-0000AA440000}"/>
    <cellStyle name="Note 10 2 2 6 4 3" xfId="40879" xr:uid="{00000000-0005-0000-0000-0000AB440000}"/>
    <cellStyle name="Note 10 2 2 6 5" xfId="21858" xr:uid="{00000000-0005-0000-0000-0000AC440000}"/>
    <cellStyle name="Note 10 2 2 6 6" xfId="32703" xr:uid="{00000000-0005-0000-0000-0000AD440000}"/>
    <cellStyle name="Note 10 2 2 7" xfId="3570" xr:uid="{00000000-0005-0000-0000-0000AE440000}"/>
    <cellStyle name="Note 10 2 2 7 2" xfId="22542" xr:uid="{00000000-0005-0000-0000-0000AF440000}"/>
    <cellStyle name="Note 10 2 2 7 3" xfId="33387" xr:uid="{00000000-0005-0000-0000-0000B0440000}"/>
    <cellStyle name="Note 10 2 2 8" xfId="6245" xr:uid="{00000000-0005-0000-0000-0000B1440000}"/>
    <cellStyle name="Note 10 2 2 8 2" xfId="25217" xr:uid="{00000000-0005-0000-0000-0000B2440000}"/>
    <cellStyle name="Note 10 2 2 8 3" xfId="36062" xr:uid="{00000000-0005-0000-0000-0000B3440000}"/>
    <cellStyle name="Note 10 2 2 9" xfId="8904" xr:uid="{00000000-0005-0000-0000-0000B4440000}"/>
    <cellStyle name="Note 10 2 2 9 2" xfId="27876" xr:uid="{00000000-0005-0000-0000-0000B5440000}"/>
    <cellStyle name="Note 10 2 2 9 3" xfId="38721" xr:uid="{00000000-0005-0000-0000-0000B6440000}"/>
    <cellStyle name="Note 10 2 3" xfId="774" xr:uid="{00000000-0005-0000-0000-0000B7440000}"/>
    <cellStyle name="Note 10 2 3 10" xfId="19759" xr:uid="{00000000-0005-0000-0000-0000B8440000}"/>
    <cellStyle name="Note 10 2 3 11" xfId="30604" xr:uid="{00000000-0005-0000-0000-0000B9440000}"/>
    <cellStyle name="Note 10 2 3 2" xfId="1361" xr:uid="{00000000-0005-0000-0000-0000BA440000}"/>
    <cellStyle name="Note 10 2 3 2 2" xfId="4214" xr:uid="{00000000-0005-0000-0000-0000BB440000}"/>
    <cellStyle name="Note 10 2 3 2 2 2" xfId="23186" xr:uid="{00000000-0005-0000-0000-0000BC440000}"/>
    <cellStyle name="Note 10 2 3 2 2 3" xfId="34031" xr:uid="{00000000-0005-0000-0000-0000BD440000}"/>
    <cellStyle name="Note 10 2 3 2 3" xfId="6887" xr:uid="{00000000-0005-0000-0000-0000BE440000}"/>
    <cellStyle name="Note 10 2 3 2 3 2" xfId="25859" xr:uid="{00000000-0005-0000-0000-0000BF440000}"/>
    <cellStyle name="Note 10 2 3 2 3 3" xfId="36704" xr:uid="{00000000-0005-0000-0000-0000C0440000}"/>
    <cellStyle name="Note 10 2 3 2 4" xfId="9546" xr:uid="{00000000-0005-0000-0000-0000C1440000}"/>
    <cellStyle name="Note 10 2 3 2 4 2" xfId="28518" xr:uid="{00000000-0005-0000-0000-0000C2440000}"/>
    <cellStyle name="Note 10 2 3 2 4 3" xfId="39363" xr:uid="{00000000-0005-0000-0000-0000C3440000}"/>
    <cellStyle name="Note 10 2 3 2 5" xfId="20342" xr:uid="{00000000-0005-0000-0000-0000C4440000}"/>
    <cellStyle name="Note 10 2 3 2 6" xfId="31187" xr:uid="{00000000-0005-0000-0000-0000C5440000}"/>
    <cellStyle name="Note 10 2 3 3" xfId="1760" xr:uid="{00000000-0005-0000-0000-0000C6440000}"/>
    <cellStyle name="Note 10 2 3 3 2" xfId="4613" xr:uid="{00000000-0005-0000-0000-0000C7440000}"/>
    <cellStyle name="Note 10 2 3 3 2 2" xfId="23585" xr:uid="{00000000-0005-0000-0000-0000C8440000}"/>
    <cellStyle name="Note 10 2 3 3 2 3" xfId="34430" xr:uid="{00000000-0005-0000-0000-0000C9440000}"/>
    <cellStyle name="Note 10 2 3 3 3" xfId="7285" xr:uid="{00000000-0005-0000-0000-0000CA440000}"/>
    <cellStyle name="Note 10 2 3 3 3 2" xfId="26257" xr:uid="{00000000-0005-0000-0000-0000CB440000}"/>
    <cellStyle name="Note 10 2 3 3 3 3" xfId="37102" xr:uid="{00000000-0005-0000-0000-0000CC440000}"/>
    <cellStyle name="Note 10 2 3 3 4" xfId="9944" xr:uid="{00000000-0005-0000-0000-0000CD440000}"/>
    <cellStyle name="Note 10 2 3 3 4 2" xfId="28916" xr:uid="{00000000-0005-0000-0000-0000CE440000}"/>
    <cellStyle name="Note 10 2 3 3 4 3" xfId="39761" xr:uid="{00000000-0005-0000-0000-0000CF440000}"/>
    <cellStyle name="Note 10 2 3 3 5" xfId="20740" xr:uid="{00000000-0005-0000-0000-0000D0440000}"/>
    <cellStyle name="Note 10 2 3 3 6" xfId="31585" xr:uid="{00000000-0005-0000-0000-0000D1440000}"/>
    <cellStyle name="Note 10 2 3 4" xfId="2164" xr:uid="{00000000-0005-0000-0000-0000D2440000}"/>
    <cellStyle name="Note 10 2 3 4 2" xfId="5017" xr:uid="{00000000-0005-0000-0000-0000D3440000}"/>
    <cellStyle name="Note 10 2 3 4 2 2" xfId="23989" xr:uid="{00000000-0005-0000-0000-0000D4440000}"/>
    <cellStyle name="Note 10 2 3 4 2 3" xfId="34834" xr:uid="{00000000-0005-0000-0000-0000D5440000}"/>
    <cellStyle name="Note 10 2 3 4 3" xfId="7688" xr:uid="{00000000-0005-0000-0000-0000D6440000}"/>
    <cellStyle name="Note 10 2 3 4 3 2" xfId="26660" xr:uid="{00000000-0005-0000-0000-0000D7440000}"/>
    <cellStyle name="Note 10 2 3 4 3 3" xfId="37505" xr:uid="{00000000-0005-0000-0000-0000D8440000}"/>
    <cellStyle name="Note 10 2 3 4 4" xfId="10347" xr:uid="{00000000-0005-0000-0000-0000D9440000}"/>
    <cellStyle name="Note 10 2 3 4 4 2" xfId="29319" xr:uid="{00000000-0005-0000-0000-0000DA440000}"/>
    <cellStyle name="Note 10 2 3 4 4 3" xfId="40164" xr:uid="{00000000-0005-0000-0000-0000DB440000}"/>
    <cellStyle name="Note 10 2 3 4 5" xfId="21143" xr:uid="{00000000-0005-0000-0000-0000DC440000}"/>
    <cellStyle name="Note 10 2 3 4 6" xfId="31988" xr:uid="{00000000-0005-0000-0000-0000DD440000}"/>
    <cellStyle name="Note 10 2 3 5" xfId="2554" xr:uid="{00000000-0005-0000-0000-0000DE440000}"/>
    <cellStyle name="Note 10 2 3 5 2" xfId="5406" xr:uid="{00000000-0005-0000-0000-0000DF440000}"/>
    <cellStyle name="Note 10 2 3 5 2 2" xfId="24378" xr:uid="{00000000-0005-0000-0000-0000E0440000}"/>
    <cellStyle name="Note 10 2 3 5 2 3" xfId="35223" xr:uid="{00000000-0005-0000-0000-0000E1440000}"/>
    <cellStyle name="Note 10 2 3 5 3" xfId="8077" xr:uid="{00000000-0005-0000-0000-0000E2440000}"/>
    <cellStyle name="Note 10 2 3 5 3 2" xfId="27049" xr:uid="{00000000-0005-0000-0000-0000E3440000}"/>
    <cellStyle name="Note 10 2 3 5 3 3" xfId="37894" xr:uid="{00000000-0005-0000-0000-0000E4440000}"/>
    <cellStyle name="Note 10 2 3 5 4" xfId="10736" xr:uid="{00000000-0005-0000-0000-0000E5440000}"/>
    <cellStyle name="Note 10 2 3 5 4 2" xfId="29708" xr:uid="{00000000-0005-0000-0000-0000E6440000}"/>
    <cellStyle name="Note 10 2 3 5 4 3" xfId="40553" xr:uid="{00000000-0005-0000-0000-0000E7440000}"/>
    <cellStyle name="Note 10 2 3 5 5" xfId="21532" xr:uid="{00000000-0005-0000-0000-0000E8440000}"/>
    <cellStyle name="Note 10 2 3 5 6" xfId="32377" xr:uid="{00000000-0005-0000-0000-0000E9440000}"/>
    <cellStyle name="Note 10 2 3 6" xfId="2940" xr:uid="{00000000-0005-0000-0000-0000EA440000}"/>
    <cellStyle name="Note 10 2 3 6 2" xfId="5791" xr:uid="{00000000-0005-0000-0000-0000EB440000}"/>
    <cellStyle name="Note 10 2 3 6 2 2" xfId="24763" xr:uid="{00000000-0005-0000-0000-0000EC440000}"/>
    <cellStyle name="Note 10 2 3 6 2 3" xfId="35608" xr:uid="{00000000-0005-0000-0000-0000ED440000}"/>
    <cellStyle name="Note 10 2 3 6 3" xfId="8462" xr:uid="{00000000-0005-0000-0000-0000EE440000}"/>
    <cellStyle name="Note 10 2 3 6 3 2" xfId="27434" xr:uid="{00000000-0005-0000-0000-0000EF440000}"/>
    <cellStyle name="Note 10 2 3 6 3 3" xfId="38279" xr:uid="{00000000-0005-0000-0000-0000F0440000}"/>
    <cellStyle name="Note 10 2 3 6 4" xfId="11121" xr:uid="{00000000-0005-0000-0000-0000F1440000}"/>
    <cellStyle name="Note 10 2 3 6 4 2" xfId="30093" xr:uid="{00000000-0005-0000-0000-0000F2440000}"/>
    <cellStyle name="Note 10 2 3 6 4 3" xfId="40938" xr:uid="{00000000-0005-0000-0000-0000F3440000}"/>
    <cellStyle name="Note 10 2 3 6 5" xfId="21917" xr:uid="{00000000-0005-0000-0000-0000F4440000}"/>
    <cellStyle name="Note 10 2 3 6 6" xfId="32762" xr:uid="{00000000-0005-0000-0000-0000F5440000}"/>
    <cellStyle name="Note 10 2 3 7" xfId="3629" xr:uid="{00000000-0005-0000-0000-0000F6440000}"/>
    <cellStyle name="Note 10 2 3 7 2" xfId="22601" xr:uid="{00000000-0005-0000-0000-0000F7440000}"/>
    <cellStyle name="Note 10 2 3 7 3" xfId="33446" xr:uid="{00000000-0005-0000-0000-0000F8440000}"/>
    <cellStyle name="Note 10 2 3 8" xfId="6304" xr:uid="{00000000-0005-0000-0000-0000F9440000}"/>
    <cellStyle name="Note 10 2 3 8 2" xfId="25276" xr:uid="{00000000-0005-0000-0000-0000FA440000}"/>
    <cellStyle name="Note 10 2 3 8 3" xfId="36121" xr:uid="{00000000-0005-0000-0000-0000FB440000}"/>
    <cellStyle name="Note 10 2 3 9" xfId="8963" xr:uid="{00000000-0005-0000-0000-0000FC440000}"/>
    <cellStyle name="Note 10 2 3 9 2" xfId="27935" xr:uid="{00000000-0005-0000-0000-0000FD440000}"/>
    <cellStyle name="Note 10 2 3 9 3" xfId="38780" xr:uid="{00000000-0005-0000-0000-0000FE440000}"/>
    <cellStyle name="Note 10 2 4" xfId="833" xr:uid="{00000000-0005-0000-0000-0000FF440000}"/>
    <cellStyle name="Note 10 2 4 10" xfId="19818" xr:uid="{00000000-0005-0000-0000-000000450000}"/>
    <cellStyle name="Note 10 2 4 11" xfId="30663" xr:uid="{00000000-0005-0000-0000-000001450000}"/>
    <cellStyle name="Note 10 2 4 2" xfId="1420" xr:uid="{00000000-0005-0000-0000-000002450000}"/>
    <cellStyle name="Note 10 2 4 2 2" xfId="4273" xr:uid="{00000000-0005-0000-0000-000003450000}"/>
    <cellStyle name="Note 10 2 4 2 2 2" xfId="23245" xr:uid="{00000000-0005-0000-0000-000004450000}"/>
    <cellStyle name="Note 10 2 4 2 2 3" xfId="34090" xr:uid="{00000000-0005-0000-0000-000005450000}"/>
    <cellStyle name="Note 10 2 4 2 3" xfId="6946" xr:uid="{00000000-0005-0000-0000-000006450000}"/>
    <cellStyle name="Note 10 2 4 2 3 2" xfId="25918" xr:uid="{00000000-0005-0000-0000-000007450000}"/>
    <cellStyle name="Note 10 2 4 2 3 3" xfId="36763" xr:uid="{00000000-0005-0000-0000-000008450000}"/>
    <cellStyle name="Note 10 2 4 2 4" xfId="9605" xr:uid="{00000000-0005-0000-0000-000009450000}"/>
    <cellStyle name="Note 10 2 4 2 4 2" xfId="28577" xr:uid="{00000000-0005-0000-0000-00000A450000}"/>
    <cellStyle name="Note 10 2 4 2 4 3" xfId="39422" xr:uid="{00000000-0005-0000-0000-00000B450000}"/>
    <cellStyle name="Note 10 2 4 2 5" xfId="20401" xr:uid="{00000000-0005-0000-0000-00000C450000}"/>
    <cellStyle name="Note 10 2 4 2 6" xfId="31246" xr:uid="{00000000-0005-0000-0000-00000D450000}"/>
    <cellStyle name="Note 10 2 4 3" xfId="1819" xr:uid="{00000000-0005-0000-0000-00000E450000}"/>
    <cellStyle name="Note 10 2 4 3 2" xfId="4672" xr:uid="{00000000-0005-0000-0000-00000F450000}"/>
    <cellStyle name="Note 10 2 4 3 2 2" xfId="23644" xr:uid="{00000000-0005-0000-0000-000010450000}"/>
    <cellStyle name="Note 10 2 4 3 2 3" xfId="34489" xr:uid="{00000000-0005-0000-0000-000011450000}"/>
    <cellStyle name="Note 10 2 4 3 3" xfId="7344" xr:uid="{00000000-0005-0000-0000-000012450000}"/>
    <cellStyle name="Note 10 2 4 3 3 2" xfId="26316" xr:uid="{00000000-0005-0000-0000-000013450000}"/>
    <cellStyle name="Note 10 2 4 3 3 3" xfId="37161" xr:uid="{00000000-0005-0000-0000-000014450000}"/>
    <cellStyle name="Note 10 2 4 3 4" xfId="10003" xr:uid="{00000000-0005-0000-0000-000015450000}"/>
    <cellStyle name="Note 10 2 4 3 4 2" xfId="28975" xr:uid="{00000000-0005-0000-0000-000016450000}"/>
    <cellStyle name="Note 10 2 4 3 4 3" xfId="39820" xr:uid="{00000000-0005-0000-0000-000017450000}"/>
    <cellStyle name="Note 10 2 4 3 5" xfId="20799" xr:uid="{00000000-0005-0000-0000-000018450000}"/>
    <cellStyle name="Note 10 2 4 3 6" xfId="31644" xr:uid="{00000000-0005-0000-0000-000019450000}"/>
    <cellStyle name="Note 10 2 4 4" xfId="2223" xr:uid="{00000000-0005-0000-0000-00001A450000}"/>
    <cellStyle name="Note 10 2 4 4 2" xfId="5076" xr:uid="{00000000-0005-0000-0000-00001B450000}"/>
    <cellStyle name="Note 10 2 4 4 2 2" xfId="24048" xr:uid="{00000000-0005-0000-0000-00001C450000}"/>
    <cellStyle name="Note 10 2 4 4 2 3" xfId="34893" xr:uid="{00000000-0005-0000-0000-00001D450000}"/>
    <cellStyle name="Note 10 2 4 4 3" xfId="7747" xr:uid="{00000000-0005-0000-0000-00001E450000}"/>
    <cellStyle name="Note 10 2 4 4 3 2" xfId="26719" xr:uid="{00000000-0005-0000-0000-00001F450000}"/>
    <cellStyle name="Note 10 2 4 4 3 3" xfId="37564" xr:uid="{00000000-0005-0000-0000-000020450000}"/>
    <cellStyle name="Note 10 2 4 4 4" xfId="10406" xr:uid="{00000000-0005-0000-0000-000021450000}"/>
    <cellStyle name="Note 10 2 4 4 4 2" xfId="29378" xr:uid="{00000000-0005-0000-0000-000022450000}"/>
    <cellStyle name="Note 10 2 4 4 4 3" xfId="40223" xr:uid="{00000000-0005-0000-0000-000023450000}"/>
    <cellStyle name="Note 10 2 4 4 5" xfId="21202" xr:uid="{00000000-0005-0000-0000-000024450000}"/>
    <cellStyle name="Note 10 2 4 4 6" xfId="32047" xr:uid="{00000000-0005-0000-0000-000025450000}"/>
    <cellStyle name="Note 10 2 4 5" xfId="2613" xr:uid="{00000000-0005-0000-0000-000026450000}"/>
    <cellStyle name="Note 10 2 4 5 2" xfId="5465" xr:uid="{00000000-0005-0000-0000-000027450000}"/>
    <cellStyle name="Note 10 2 4 5 2 2" xfId="24437" xr:uid="{00000000-0005-0000-0000-000028450000}"/>
    <cellStyle name="Note 10 2 4 5 2 3" xfId="35282" xr:uid="{00000000-0005-0000-0000-000029450000}"/>
    <cellStyle name="Note 10 2 4 5 3" xfId="8136" xr:uid="{00000000-0005-0000-0000-00002A450000}"/>
    <cellStyle name="Note 10 2 4 5 3 2" xfId="27108" xr:uid="{00000000-0005-0000-0000-00002B450000}"/>
    <cellStyle name="Note 10 2 4 5 3 3" xfId="37953" xr:uid="{00000000-0005-0000-0000-00002C450000}"/>
    <cellStyle name="Note 10 2 4 5 4" xfId="10795" xr:uid="{00000000-0005-0000-0000-00002D450000}"/>
    <cellStyle name="Note 10 2 4 5 4 2" xfId="29767" xr:uid="{00000000-0005-0000-0000-00002E450000}"/>
    <cellStyle name="Note 10 2 4 5 4 3" xfId="40612" xr:uid="{00000000-0005-0000-0000-00002F450000}"/>
    <cellStyle name="Note 10 2 4 5 5" xfId="21591" xr:uid="{00000000-0005-0000-0000-000030450000}"/>
    <cellStyle name="Note 10 2 4 5 6" xfId="32436" xr:uid="{00000000-0005-0000-0000-000031450000}"/>
    <cellStyle name="Note 10 2 4 6" xfId="2999" xr:uid="{00000000-0005-0000-0000-000032450000}"/>
    <cellStyle name="Note 10 2 4 6 2" xfId="5850" xr:uid="{00000000-0005-0000-0000-000033450000}"/>
    <cellStyle name="Note 10 2 4 6 2 2" xfId="24822" xr:uid="{00000000-0005-0000-0000-000034450000}"/>
    <cellStyle name="Note 10 2 4 6 2 3" xfId="35667" xr:uid="{00000000-0005-0000-0000-000035450000}"/>
    <cellStyle name="Note 10 2 4 6 3" xfId="8521" xr:uid="{00000000-0005-0000-0000-000036450000}"/>
    <cellStyle name="Note 10 2 4 6 3 2" xfId="27493" xr:uid="{00000000-0005-0000-0000-000037450000}"/>
    <cellStyle name="Note 10 2 4 6 3 3" xfId="38338" xr:uid="{00000000-0005-0000-0000-000038450000}"/>
    <cellStyle name="Note 10 2 4 6 4" xfId="11180" xr:uid="{00000000-0005-0000-0000-000039450000}"/>
    <cellStyle name="Note 10 2 4 6 4 2" xfId="30152" xr:uid="{00000000-0005-0000-0000-00003A450000}"/>
    <cellStyle name="Note 10 2 4 6 4 3" xfId="40997" xr:uid="{00000000-0005-0000-0000-00003B450000}"/>
    <cellStyle name="Note 10 2 4 6 5" xfId="21976" xr:uid="{00000000-0005-0000-0000-00003C450000}"/>
    <cellStyle name="Note 10 2 4 6 6" xfId="32821" xr:uid="{00000000-0005-0000-0000-00003D450000}"/>
    <cellStyle name="Note 10 2 4 7" xfId="3688" xr:uid="{00000000-0005-0000-0000-00003E450000}"/>
    <cellStyle name="Note 10 2 4 7 2" xfId="22660" xr:uid="{00000000-0005-0000-0000-00003F450000}"/>
    <cellStyle name="Note 10 2 4 7 3" xfId="33505" xr:uid="{00000000-0005-0000-0000-000040450000}"/>
    <cellStyle name="Note 10 2 4 8" xfId="6363" xr:uid="{00000000-0005-0000-0000-000041450000}"/>
    <cellStyle name="Note 10 2 4 8 2" xfId="25335" xr:uid="{00000000-0005-0000-0000-000042450000}"/>
    <cellStyle name="Note 10 2 4 8 3" xfId="36180" xr:uid="{00000000-0005-0000-0000-000043450000}"/>
    <cellStyle name="Note 10 2 4 9" xfId="9022" xr:uid="{00000000-0005-0000-0000-000044450000}"/>
    <cellStyle name="Note 10 2 4 9 2" xfId="27994" xr:uid="{00000000-0005-0000-0000-000045450000}"/>
    <cellStyle name="Note 10 2 4 9 3" xfId="38839" xr:uid="{00000000-0005-0000-0000-000046450000}"/>
    <cellStyle name="Note 10 2 5" xfId="892" xr:uid="{00000000-0005-0000-0000-000047450000}"/>
    <cellStyle name="Note 10 2 5 10" xfId="19877" xr:uid="{00000000-0005-0000-0000-000048450000}"/>
    <cellStyle name="Note 10 2 5 11" xfId="30722" xr:uid="{00000000-0005-0000-0000-000049450000}"/>
    <cellStyle name="Note 10 2 5 2" xfId="1479" xr:uid="{00000000-0005-0000-0000-00004A450000}"/>
    <cellStyle name="Note 10 2 5 2 2" xfId="4332" xr:uid="{00000000-0005-0000-0000-00004B450000}"/>
    <cellStyle name="Note 10 2 5 2 2 2" xfId="23304" xr:uid="{00000000-0005-0000-0000-00004C450000}"/>
    <cellStyle name="Note 10 2 5 2 2 3" xfId="34149" xr:uid="{00000000-0005-0000-0000-00004D450000}"/>
    <cellStyle name="Note 10 2 5 2 3" xfId="7005" xr:uid="{00000000-0005-0000-0000-00004E450000}"/>
    <cellStyle name="Note 10 2 5 2 3 2" xfId="25977" xr:uid="{00000000-0005-0000-0000-00004F450000}"/>
    <cellStyle name="Note 10 2 5 2 3 3" xfId="36822" xr:uid="{00000000-0005-0000-0000-000050450000}"/>
    <cellStyle name="Note 10 2 5 2 4" xfId="9664" xr:uid="{00000000-0005-0000-0000-000051450000}"/>
    <cellStyle name="Note 10 2 5 2 4 2" xfId="28636" xr:uid="{00000000-0005-0000-0000-000052450000}"/>
    <cellStyle name="Note 10 2 5 2 4 3" xfId="39481" xr:uid="{00000000-0005-0000-0000-000053450000}"/>
    <cellStyle name="Note 10 2 5 2 5" xfId="20460" xr:uid="{00000000-0005-0000-0000-000054450000}"/>
    <cellStyle name="Note 10 2 5 2 6" xfId="31305" xr:uid="{00000000-0005-0000-0000-000055450000}"/>
    <cellStyle name="Note 10 2 5 3" xfId="1878" xr:uid="{00000000-0005-0000-0000-000056450000}"/>
    <cellStyle name="Note 10 2 5 3 2" xfId="4731" xr:uid="{00000000-0005-0000-0000-000057450000}"/>
    <cellStyle name="Note 10 2 5 3 2 2" xfId="23703" xr:uid="{00000000-0005-0000-0000-000058450000}"/>
    <cellStyle name="Note 10 2 5 3 2 3" xfId="34548" xr:uid="{00000000-0005-0000-0000-000059450000}"/>
    <cellStyle name="Note 10 2 5 3 3" xfId="7403" xr:uid="{00000000-0005-0000-0000-00005A450000}"/>
    <cellStyle name="Note 10 2 5 3 3 2" xfId="26375" xr:uid="{00000000-0005-0000-0000-00005B450000}"/>
    <cellStyle name="Note 10 2 5 3 3 3" xfId="37220" xr:uid="{00000000-0005-0000-0000-00005C450000}"/>
    <cellStyle name="Note 10 2 5 3 4" xfId="10062" xr:uid="{00000000-0005-0000-0000-00005D450000}"/>
    <cellStyle name="Note 10 2 5 3 4 2" xfId="29034" xr:uid="{00000000-0005-0000-0000-00005E450000}"/>
    <cellStyle name="Note 10 2 5 3 4 3" xfId="39879" xr:uid="{00000000-0005-0000-0000-00005F450000}"/>
    <cellStyle name="Note 10 2 5 3 5" xfId="20858" xr:uid="{00000000-0005-0000-0000-000060450000}"/>
    <cellStyle name="Note 10 2 5 3 6" xfId="31703" xr:uid="{00000000-0005-0000-0000-000061450000}"/>
    <cellStyle name="Note 10 2 5 4" xfId="2282" xr:uid="{00000000-0005-0000-0000-000062450000}"/>
    <cellStyle name="Note 10 2 5 4 2" xfId="5135" xr:uid="{00000000-0005-0000-0000-000063450000}"/>
    <cellStyle name="Note 10 2 5 4 2 2" xfId="24107" xr:uid="{00000000-0005-0000-0000-000064450000}"/>
    <cellStyle name="Note 10 2 5 4 2 3" xfId="34952" xr:uid="{00000000-0005-0000-0000-000065450000}"/>
    <cellStyle name="Note 10 2 5 4 3" xfId="7806" xr:uid="{00000000-0005-0000-0000-000066450000}"/>
    <cellStyle name="Note 10 2 5 4 3 2" xfId="26778" xr:uid="{00000000-0005-0000-0000-000067450000}"/>
    <cellStyle name="Note 10 2 5 4 3 3" xfId="37623" xr:uid="{00000000-0005-0000-0000-000068450000}"/>
    <cellStyle name="Note 10 2 5 4 4" xfId="10465" xr:uid="{00000000-0005-0000-0000-000069450000}"/>
    <cellStyle name="Note 10 2 5 4 4 2" xfId="29437" xr:uid="{00000000-0005-0000-0000-00006A450000}"/>
    <cellStyle name="Note 10 2 5 4 4 3" xfId="40282" xr:uid="{00000000-0005-0000-0000-00006B450000}"/>
    <cellStyle name="Note 10 2 5 4 5" xfId="21261" xr:uid="{00000000-0005-0000-0000-00006C450000}"/>
    <cellStyle name="Note 10 2 5 4 6" xfId="32106" xr:uid="{00000000-0005-0000-0000-00006D450000}"/>
    <cellStyle name="Note 10 2 5 5" xfId="2672" xr:uid="{00000000-0005-0000-0000-00006E450000}"/>
    <cellStyle name="Note 10 2 5 5 2" xfId="5524" xr:uid="{00000000-0005-0000-0000-00006F450000}"/>
    <cellStyle name="Note 10 2 5 5 2 2" xfId="24496" xr:uid="{00000000-0005-0000-0000-000070450000}"/>
    <cellStyle name="Note 10 2 5 5 2 3" xfId="35341" xr:uid="{00000000-0005-0000-0000-000071450000}"/>
    <cellStyle name="Note 10 2 5 5 3" xfId="8195" xr:uid="{00000000-0005-0000-0000-000072450000}"/>
    <cellStyle name="Note 10 2 5 5 3 2" xfId="27167" xr:uid="{00000000-0005-0000-0000-000073450000}"/>
    <cellStyle name="Note 10 2 5 5 3 3" xfId="38012" xr:uid="{00000000-0005-0000-0000-000074450000}"/>
    <cellStyle name="Note 10 2 5 5 4" xfId="10854" xr:uid="{00000000-0005-0000-0000-000075450000}"/>
    <cellStyle name="Note 10 2 5 5 4 2" xfId="29826" xr:uid="{00000000-0005-0000-0000-000076450000}"/>
    <cellStyle name="Note 10 2 5 5 4 3" xfId="40671" xr:uid="{00000000-0005-0000-0000-000077450000}"/>
    <cellStyle name="Note 10 2 5 5 5" xfId="21650" xr:uid="{00000000-0005-0000-0000-000078450000}"/>
    <cellStyle name="Note 10 2 5 5 6" xfId="32495" xr:uid="{00000000-0005-0000-0000-000079450000}"/>
    <cellStyle name="Note 10 2 5 6" xfId="3058" xr:uid="{00000000-0005-0000-0000-00007A450000}"/>
    <cellStyle name="Note 10 2 5 6 2" xfId="5909" xr:uid="{00000000-0005-0000-0000-00007B450000}"/>
    <cellStyle name="Note 10 2 5 6 2 2" xfId="24881" xr:uid="{00000000-0005-0000-0000-00007C450000}"/>
    <cellStyle name="Note 10 2 5 6 2 3" xfId="35726" xr:uid="{00000000-0005-0000-0000-00007D450000}"/>
    <cellStyle name="Note 10 2 5 6 3" xfId="8580" xr:uid="{00000000-0005-0000-0000-00007E450000}"/>
    <cellStyle name="Note 10 2 5 6 3 2" xfId="27552" xr:uid="{00000000-0005-0000-0000-00007F450000}"/>
    <cellStyle name="Note 10 2 5 6 3 3" xfId="38397" xr:uid="{00000000-0005-0000-0000-000080450000}"/>
    <cellStyle name="Note 10 2 5 6 4" xfId="11239" xr:uid="{00000000-0005-0000-0000-000081450000}"/>
    <cellStyle name="Note 10 2 5 6 4 2" xfId="30211" xr:uid="{00000000-0005-0000-0000-000082450000}"/>
    <cellStyle name="Note 10 2 5 6 4 3" xfId="41056" xr:uid="{00000000-0005-0000-0000-000083450000}"/>
    <cellStyle name="Note 10 2 5 6 5" xfId="22035" xr:uid="{00000000-0005-0000-0000-000084450000}"/>
    <cellStyle name="Note 10 2 5 6 6" xfId="32880" xr:uid="{00000000-0005-0000-0000-000085450000}"/>
    <cellStyle name="Note 10 2 5 7" xfId="3747" xr:uid="{00000000-0005-0000-0000-000086450000}"/>
    <cellStyle name="Note 10 2 5 7 2" xfId="22719" xr:uid="{00000000-0005-0000-0000-000087450000}"/>
    <cellStyle name="Note 10 2 5 7 3" xfId="33564" xr:uid="{00000000-0005-0000-0000-000088450000}"/>
    <cellStyle name="Note 10 2 5 8" xfId="6422" xr:uid="{00000000-0005-0000-0000-000089450000}"/>
    <cellStyle name="Note 10 2 5 8 2" xfId="25394" xr:uid="{00000000-0005-0000-0000-00008A450000}"/>
    <cellStyle name="Note 10 2 5 8 3" xfId="36239" xr:uid="{00000000-0005-0000-0000-00008B450000}"/>
    <cellStyle name="Note 10 2 5 9" xfId="9081" xr:uid="{00000000-0005-0000-0000-00008C450000}"/>
    <cellStyle name="Note 10 2 5 9 2" xfId="28053" xr:uid="{00000000-0005-0000-0000-00008D450000}"/>
    <cellStyle name="Note 10 2 5 9 3" xfId="38898" xr:uid="{00000000-0005-0000-0000-00008E450000}"/>
    <cellStyle name="Note 10 2 6" xfId="1122" xr:uid="{00000000-0005-0000-0000-00008F450000}"/>
    <cellStyle name="Note 10 2 6 2" xfId="3975" xr:uid="{00000000-0005-0000-0000-000090450000}"/>
    <cellStyle name="Note 10 2 6 2 2" xfId="22947" xr:uid="{00000000-0005-0000-0000-000091450000}"/>
    <cellStyle name="Note 10 2 6 2 3" xfId="33792" xr:uid="{00000000-0005-0000-0000-000092450000}"/>
    <cellStyle name="Note 10 2 6 3" xfId="6648" xr:uid="{00000000-0005-0000-0000-000093450000}"/>
    <cellStyle name="Note 10 2 6 3 2" xfId="25620" xr:uid="{00000000-0005-0000-0000-000094450000}"/>
    <cellStyle name="Note 10 2 6 3 3" xfId="36465" xr:uid="{00000000-0005-0000-0000-000095450000}"/>
    <cellStyle name="Note 10 2 6 4" xfId="9307" xr:uid="{00000000-0005-0000-0000-000096450000}"/>
    <cellStyle name="Note 10 2 6 4 2" xfId="28279" xr:uid="{00000000-0005-0000-0000-000097450000}"/>
    <cellStyle name="Note 10 2 6 4 3" xfId="39124" xr:uid="{00000000-0005-0000-0000-000098450000}"/>
    <cellStyle name="Note 10 2 6 5" xfId="20103" xr:uid="{00000000-0005-0000-0000-000099450000}"/>
    <cellStyle name="Note 10 2 6 6" xfId="30948" xr:uid="{00000000-0005-0000-0000-00009A450000}"/>
    <cellStyle name="Note 10 2 7" xfId="1518" xr:uid="{00000000-0005-0000-0000-00009B450000}"/>
    <cellStyle name="Note 10 2 7 2" xfId="4371" xr:uid="{00000000-0005-0000-0000-00009C450000}"/>
    <cellStyle name="Note 10 2 7 2 2" xfId="23343" xr:uid="{00000000-0005-0000-0000-00009D450000}"/>
    <cellStyle name="Note 10 2 7 2 3" xfId="34188" xr:uid="{00000000-0005-0000-0000-00009E450000}"/>
    <cellStyle name="Note 10 2 7 3" xfId="7044" xr:uid="{00000000-0005-0000-0000-00009F450000}"/>
    <cellStyle name="Note 10 2 7 3 2" xfId="26016" xr:uid="{00000000-0005-0000-0000-0000A0450000}"/>
    <cellStyle name="Note 10 2 7 3 3" xfId="36861" xr:uid="{00000000-0005-0000-0000-0000A1450000}"/>
    <cellStyle name="Note 10 2 7 4" xfId="9703" xr:uid="{00000000-0005-0000-0000-0000A2450000}"/>
    <cellStyle name="Note 10 2 7 4 2" xfId="28675" xr:uid="{00000000-0005-0000-0000-0000A3450000}"/>
    <cellStyle name="Note 10 2 7 4 3" xfId="39520" xr:uid="{00000000-0005-0000-0000-0000A4450000}"/>
    <cellStyle name="Note 10 2 7 5" xfId="20499" xr:uid="{00000000-0005-0000-0000-0000A5450000}"/>
    <cellStyle name="Note 10 2 7 6" xfId="31344" xr:uid="{00000000-0005-0000-0000-0000A6450000}"/>
    <cellStyle name="Note 10 2 8" xfId="1924" xr:uid="{00000000-0005-0000-0000-0000A7450000}"/>
    <cellStyle name="Note 10 2 8 2" xfId="4777" xr:uid="{00000000-0005-0000-0000-0000A8450000}"/>
    <cellStyle name="Note 10 2 8 2 2" xfId="23749" xr:uid="{00000000-0005-0000-0000-0000A9450000}"/>
    <cellStyle name="Note 10 2 8 2 3" xfId="34594" xr:uid="{00000000-0005-0000-0000-0000AA450000}"/>
    <cellStyle name="Note 10 2 8 3" xfId="7449" xr:uid="{00000000-0005-0000-0000-0000AB450000}"/>
    <cellStyle name="Note 10 2 8 3 2" xfId="26421" xr:uid="{00000000-0005-0000-0000-0000AC450000}"/>
    <cellStyle name="Note 10 2 8 3 3" xfId="37266" xr:uid="{00000000-0005-0000-0000-0000AD450000}"/>
    <cellStyle name="Note 10 2 8 4" xfId="10108" xr:uid="{00000000-0005-0000-0000-0000AE450000}"/>
    <cellStyle name="Note 10 2 8 4 2" xfId="29080" xr:uid="{00000000-0005-0000-0000-0000AF450000}"/>
    <cellStyle name="Note 10 2 8 4 3" xfId="39925" xr:uid="{00000000-0005-0000-0000-0000B0450000}"/>
    <cellStyle name="Note 10 2 8 5" xfId="20904" xr:uid="{00000000-0005-0000-0000-0000B1450000}"/>
    <cellStyle name="Note 10 2 8 6" xfId="31749" xr:uid="{00000000-0005-0000-0000-0000B2450000}"/>
    <cellStyle name="Note 10 2 9" xfId="2317" xr:uid="{00000000-0005-0000-0000-0000B3450000}"/>
    <cellStyle name="Note 10 2 9 2" xfId="5170" xr:uid="{00000000-0005-0000-0000-0000B4450000}"/>
    <cellStyle name="Note 10 2 9 2 2" xfId="24142" xr:uid="{00000000-0005-0000-0000-0000B5450000}"/>
    <cellStyle name="Note 10 2 9 2 3" xfId="34987" xr:uid="{00000000-0005-0000-0000-0000B6450000}"/>
    <cellStyle name="Note 10 2 9 3" xfId="7841" xr:uid="{00000000-0005-0000-0000-0000B7450000}"/>
    <cellStyle name="Note 10 2 9 3 2" xfId="26813" xr:uid="{00000000-0005-0000-0000-0000B8450000}"/>
    <cellStyle name="Note 10 2 9 3 3" xfId="37658" xr:uid="{00000000-0005-0000-0000-0000B9450000}"/>
    <cellStyle name="Note 10 2 9 4" xfId="10500" xr:uid="{00000000-0005-0000-0000-0000BA450000}"/>
    <cellStyle name="Note 10 2 9 4 2" xfId="29472" xr:uid="{00000000-0005-0000-0000-0000BB450000}"/>
    <cellStyle name="Note 10 2 9 4 3" xfId="40317" xr:uid="{00000000-0005-0000-0000-0000BC450000}"/>
    <cellStyle name="Note 10 2 9 5" xfId="21296" xr:uid="{00000000-0005-0000-0000-0000BD450000}"/>
    <cellStyle name="Note 10 2 9 6" xfId="32141" xr:uid="{00000000-0005-0000-0000-0000BE450000}"/>
    <cellStyle name="Note 10 3" xfId="612" xr:uid="{00000000-0005-0000-0000-0000BF450000}"/>
    <cellStyle name="Note 10 3 10" xfId="19619" xr:uid="{00000000-0005-0000-0000-0000C0450000}"/>
    <cellStyle name="Note 10 3 11" xfId="30464" xr:uid="{00000000-0005-0000-0000-0000C1450000}"/>
    <cellStyle name="Note 10 3 2" xfId="1216" xr:uid="{00000000-0005-0000-0000-0000C2450000}"/>
    <cellStyle name="Note 10 3 2 2" xfId="4069" xr:uid="{00000000-0005-0000-0000-0000C3450000}"/>
    <cellStyle name="Note 10 3 2 2 2" xfId="23041" xr:uid="{00000000-0005-0000-0000-0000C4450000}"/>
    <cellStyle name="Note 10 3 2 2 3" xfId="33886" xr:uid="{00000000-0005-0000-0000-0000C5450000}"/>
    <cellStyle name="Note 10 3 2 3" xfId="6742" xr:uid="{00000000-0005-0000-0000-0000C6450000}"/>
    <cellStyle name="Note 10 3 2 3 2" xfId="25714" xr:uid="{00000000-0005-0000-0000-0000C7450000}"/>
    <cellStyle name="Note 10 3 2 3 3" xfId="36559" xr:uid="{00000000-0005-0000-0000-0000C8450000}"/>
    <cellStyle name="Note 10 3 2 4" xfId="9401" xr:uid="{00000000-0005-0000-0000-0000C9450000}"/>
    <cellStyle name="Note 10 3 2 4 2" xfId="28373" xr:uid="{00000000-0005-0000-0000-0000CA450000}"/>
    <cellStyle name="Note 10 3 2 4 3" xfId="39218" xr:uid="{00000000-0005-0000-0000-0000CB450000}"/>
    <cellStyle name="Note 10 3 2 5" xfId="20197" xr:uid="{00000000-0005-0000-0000-0000CC450000}"/>
    <cellStyle name="Note 10 3 2 6" xfId="31042" xr:uid="{00000000-0005-0000-0000-0000CD450000}"/>
    <cellStyle name="Note 10 3 3" xfId="1614" xr:uid="{00000000-0005-0000-0000-0000CE450000}"/>
    <cellStyle name="Note 10 3 3 2" xfId="4467" xr:uid="{00000000-0005-0000-0000-0000CF450000}"/>
    <cellStyle name="Note 10 3 3 2 2" xfId="23439" xr:uid="{00000000-0005-0000-0000-0000D0450000}"/>
    <cellStyle name="Note 10 3 3 2 3" xfId="34284" xr:uid="{00000000-0005-0000-0000-0000D1450000}"/>
    <cellStyle name="Note 10 3 3 3" xfId="7139" xr:uid="{00000000-0005-0000-0000-0000D2450000}"/>
    <cellStyle name="Note 10 3 3 3 2" xfId="26111" xr:uid="{00000000-0005-0000-0000-0000D3450000}"/>
    <cellStyle name="Note 10 3 3 3 3" xfId="36956" xr:uid="{00000000-0005-0000-0000-0000D4450000}"/>
    <cellStyle name="Note 10 3 3 4" xfId="9798" xr:uid="{00000000-0005-0000-0000-0000D5450000}"/>
    <cellStyle name="Note 10 3 3 4 2" xfId="28770" xr:uid="{00000000-0005-0000-0000-0000D6450000}"/>
    <cellStyle name="Note 10 3 3 4 3" xfId="39615" xr:uid="{00000000-0005-0000-0000-0000D7450000}"/>
    <cellStyle name="Note 10 3 3 5" xfId="20594" xr:uid="{00000000-0005-0000-0000-0000D8450000}"/>
    <cellStyle name="Note 10 3 3 6" xfId="31439" xr:uid="{00000000-0005-0000-0000-0000D9450000}"/>
    <cellStyle name="Note 10 3 4" xfId="2016" xr:uid="{00000000-0005-0000-0000-0000DA450000}"/>
    <cellStyle name="Note 10 3 4 2" xfId="4869" xr:uid="{00000000-0005-0000-0000-0000DB450000}"/>
    <cellStyle name="Note 10 3 4 2 2" xfId="23841" xr:uid="{00000000-0005-0000-0000-0000DC450000}"/>
    <cellStyle name="Note 10 3 4 2 3" xfId="34686" xr:uid="{00000000-0005-0000-0000-0000DD450000}"/>
    <cellStyle name="Note 10 3 4 3" xfId="7541" xr:uid="{00000000-0005-0000-0000-0000DE450000}"/>
    <cellStyle name="Note 10 3 4 3 2" xfId="26513" xr:uid="{00000000-0005-0000-0000-0000DF450000}"/>
    <cellStyle name="Note 10 3 4 3 3" xfId="37358" xr:uid="{00000000-0005-0000-0000-0000E0450000}"/>
    <cellStyle name="Note 10 3 4 4" xfId="10200" xr:uid="{00000000-0005-0000-0000-0000E1450000}"/>
    <cellStyle name="Note 10 3 4 4 2" xfId="29172" xr:uid="{00000000-0005-0000-0000-0000E2450000}"/>
    <cellStyle name="Note 10 3 4 4 3" xfId="40017" xr:uid="{00000000-0005-0000-0000-0000E3450000}"/>
    <cellStyle name="Note 10 3 4 5" xfId="20996" xr:uid="{00000000-0005-0000-0000-0000E4450000}"/>
    <cellStyle name="Note 10 3 4 6" xfId="31841" xr:uid="{00000000-0005-0000-0000-0000E5450000}"/>
    <cellStyle name="Note 10 3 5" xfId="2408" xr:uid="{00000000-0005-0000-0000-0000E6450000}"/>
    <cellStyle name="Note 10 3 5 2" xfId="5261" xr:uid="{00000000-0005-0000-0000-0000E7450000}"/>
    <cellStyle name="Note 10 3 5 2 2" xfId="24233" xr:uid="{00000000-0005-0000-0000-0000E8450000}"/>
    <cellStyle name="Note 10 3 5 2 3" xfId="35078" xr:uid="{00000000-0005-0000-0000-0000E9450000}"/>
    <cellStyle name="Note 10 3 5 3" xfId="7932" xr:uid="{00000000-0005-0000-0000-0000EA450000}"/>
    <cellStyle name="Note 10 3 5 3 2" xfId="26904" xr:uid="{00000000-0005-0000-0000-0000EB450000}"/>
    <cellStyle name="Note 10 3 5 3 3" xfId="37749" xr:uid="{00000000-0005-0000-0000-0000EC450000}"/>
    <cellStyle name="Note 10 3 5 4" xfId="10591" xr:uid="{00000000-0005-0000-0000-0000ED450000}"/>
    <cellStyle name="Note 10 3 5 4 2" xfId="29563" xr:uid="{00000000-0005-0000-0000-0000EE450000}"/>
    <cellStyle name="Note 10 3 5 4 3" xfId="40408" xr:uid="{00000000-0005-0000-0000-0000EF450000}"/>
    <cellStyle name="Note 10 3 5 5" xfId="21387" xr:uid="{00000000-0005-0000-0000-0000F0450000}"/>
    <cellStyle name="Note 10 3 5 6" xfId="32232" xr:uid="{00000000-0005-0000-0000-0000F1450000}"/>
    <cellStyle name="Note 10 3 6" xfId="2797" xr:uid="{00000000-0005-0000-0000-0000F2450000}"/>
    <cellStyle name="Note 10 3 6 2" xfId="5649" xr:uid="{00000000-0005-0000-0000-0000F3450000}"/>
    <cellStyle name="Note 10 3 6 2 2" xfId="24621" xr:uid="{00000000-0005-0000-0000-0000F4450000}"/>
    <cellStyle name="Note 10 3 6 2 3" xfId="35466" xr:uid="{00000000-0005-0000-0000-0000F5450000}"/>
    <cellStyle name="Note 10 3 6 3" xfId="8320" xr:uid="{00000000-0005-0000-0000-0000F6450000}"/>
    <cellStyle name="Note 10 3 6 3 2" xfId="27292" xr:uid="{00000000-0005-0000-0000-0000F7450000}"/>
    <cellStyle name="Note 10 3 6 3 3" xfId="38137" xr:uid="{00000000-0005-0000-0000-0000F8450000}"/>
    <cellStyle name="Note 10 3 6 4" xfId="10979" xr:uid="{00000000-0005-0000-0000-0000F9450000}"/>
    <cellStyle name="Note 10 3 6 4 2" xfId="29951" xr:uid="{00000000-0005-0000-0000-0000FA450000}"/>
    <cellStyle name="Note 10 3 6 4 3" xfId="40796" xr:uid="{00000000-0005-0000-0000-0000FB450000}"/>
    <cellStyle name="Note 10 3 6 5" xfId="21775" xr:uid="{00000000-0005-0000-0000-0000FC450000}"/>
    <cellStyle name="Note 10 3 6 6" xfId="32620" xr:uid="{00000000-0005-0000-0000-0000FD450000}"/>
    <cellStyle name="Note 10 3 7" xfId="3488" xr:uid="{00000000-0005-0000-0000-0000FE450000}"/>
    <cellStyle name="Note 10 3 7 2" xfId="22460" xr:uid="{00000000-0005-0000-0000-0000FF450000}"/>
    <cellStyle name="Note 10 3 7 3" xfId="33305" xr:uid="{00000000-0005-0000-0000-000000460000}"/>
    <cellStyle name="Note 10 3 8" xfId="6164" xr:uid="{00000000-0005-0000-0000-000001460000}"/>
    <cellStyle name="Note 10 3 8 2" xfId="25136" xr:uid="{00000000-0005-0000-0000-000002460000}"/>
    <cellStyle name="Note 10 3 8 3" xfId="35981" xr:uid="{00000000-0005-0000-0000-000003460000}"/>
    <cellStyle name="Note 10 3 9" xfId="8823" xr:uid="{00000000-0005-0000-0000-000004460000}"/>
    <cellStyle name="Note 10 3 9 2" xfId="27795" xr:uid="{00000000-0005-0000-0000-000005460000}"/>
    <cellStyle name="Note 10 3 9 3" xfId="38640" xr:uid="{00000000-0005-0000-0000-000006460000}"/>
    <cellStyle name="Note 11" xfId="411" xr:uid="{00000000-0005-0000-0000-000007460000}"/>
    <cellStyle name="Note 11 10" xfId="2700" xr:uid="{00000000-0005-0000-0000-000008460000}"/>
    <cellStyle name="Note 11 10 2" xfId="5552" xr:uid="{00000000-0005-0000-0000-000009460000}"/>
    <cellStyle name="Note 11 10 2 2" xfId="24524" xr:uid="{00000000-0005-0000-0000-00000A460000}"/>
    <cellStyle name="Note 11 10 2 3" xfId="35369" xr:uid="{00000000-0005-0000-0000-00000B460000}"/>
    <cellStyle name="Note 11 10 3" xfId="8223" xr:uid="{00000000-0005-0000-0000-00000C460000}"/>
    <cellStyle name="Note 11 10 3 2" xfId="27195" xr:uid="{00000000-0005-0000-0000-00000D460000}"/>
    <cellStyle name="Note 11 10 3 3" xfId="38040" xr:uid="{00000000-0005-0000-0000-00000E460000}"/>
    <cellStyle name="Note 11 10 4" xfId="10882" xr:uid="{00000000-0005-0000-0000-00000F460000}"/>
    <cellStyle name="Note 11 10 4 2" xfId="29854" xr:uid="{00000000-0005-0000-0000-000010460000}"/>
    <cellStyle name="Note 11 10 4 3" xfId="40699" xr:uid="{00000000-0005-0000-0000-000011460000}"/>
    <cellStyle name="Note 11 10 5" xfId="21678" xr:uid="{00000000-0005-0000-0000-000012460000}"/>
    <cellStyle name="Note 11 10 6" xfId="32523" xr:uid="{00000000-0005-0000-0000-000013460000}"/>
    <cellStyle name="Note 11 11" xfId="3085" xr:uid="{00000000-0005-0000-0000-000014460000}"/>
    <cellStyle name="Note 11 11 2" xfId="5936" xr:uid="{00000000-0005-0000-0000-000015460000}"/>
    <cellStyle name="Note 11 11 2 2" xfId="24908" xr:uid="{00000000-0005-0000-0000-000016460000}"/>
    <cellStyle name="Note 11 11 2 3" xfId="35753" xr:uid="{00000000-0005-0000-0000-000017460000}"/>
    <cellStyle name="Note 11 11 3" xfId="8607" xr:uid="{00000000-0005-0000-0000-000018460000}"/>
    <cellStyle name="Note 11 11 3 2" xfId="27579" xr:uid="{00000000-0005-0000-0000-000019460000}"/>
    <cellStyle name="Note 11 11 3 3" xfId="38424" xr:uid="{00000000-0005-0000-0000-00001A460000}"/>
    <cellStyle name="Note 11 11 4" xfId="11266" xr:uid="{00000000-0005-0000-0000-00001B460000}"/>
    <cellStyle name="Note 11 11 4 2" xfId="30238" xr:uid="{00000000-0005-0000-0000-00001C460000}"/>
    <cellStyle name="Note 11 11 4 3" xfId="41083" xr:uid="{00000000-0005-0000-0000-00001D460000}"/>
    <cellStyle name="Note 11 11 5" xfId="22062" xr:uid="{00000000-0005-0000-0000-00001E460000}"/>
    <cellStyle name="Note 11 11 6" xfId="32907" xr:uid="{00000000-0005-0000-0000-00001F460000}"/>
    <cellStyle name="Note 11 12" xfId="3142" xr:uid="{00000000-0005-0000-0000-000020460000}"/>
    <cellStyle name="Note 11 12 2" xfId="5993" xr:uid="{00000000-0005-0000-0000-000021460000}"/>
    <cellStyle name="Note 11 12 2 2" xfId="24965" xr:uid="{00000000-0005-0000-0000-000022460000}"/>
    <cellStyle name="Note 11 12 2 3" xfId="35810" xr:uid="{00000000-0005-0000-0000-000023460000}"/>
    <cellStyle name="Note 11 12 3" xfId="8664" xr:uid="{00000000-0005-0000-0000-000024460000}"/>
    <cellStyle name="Note 11 12 3 2" xfId="27636" xr:uid="{00000000-0005-0000-0000-000025460000}"/>
    <cellStyle name="Note 11 12 3 3" xfId="38481" xr:uid="{00000000-0005-0000-0000-000026460000}"/>
    <cellStyle name="Note 11 12 4" xfId="11323" xr:uid="{00000000-0005-0000-0000-000027460000}"/>
    <cellStyle name="Note 11 12 4 2" xfId="30295" xr:uid="{00000000-0005-0000-0000-000028460000}"/>
    <cellStyle name="Note 11 12 4 3" xfId="41140" xr:uid="{00000000-0005-0000-0000-000029460000}"/>
    <cellStyle name="Note 11 12 5" xfId="22119" xr:uid="{00000000-0005-0000-0000-00002A460000}"/>
    <cellStyle name="Note 11 12 6" xfId="32964" xr:uid="{00000000-0005-0000-0000-00002B460000}"/>
    <cellStyle name="Note 11 13" xfId="3199" xr:uid="{00000000-0005-0000-0000-00002C460000}"/>
    <cellStyle name="Note 11 13 2" xfId="6050" xr:uid="{00000000-0005-0000-0000-00002D460000}"/>
    <cellStyle name="Note 11 13 2 2" xfId="25022" xr:uid="{00000000-0005-0000-0000-00002E460000}"/>
    <cellStyle name="Note 11 13 2 3" xfId="35867" xr:uid="{00000000-0005-0000-0000-00002F460000}"/>
    <cellStyle name="Note 11 13 3" xfId="8721" xr:uid="{00000000-0005-0000-0000-000030460000}"/>
    <cellStyle name="Note 11 13 3 2" xfId="27693" xr:uid="{00000000-0005-0000-0000-000031460000}"/>
    <cellStyle name="Note 11 13 3 3" xfId="38538" xr:uid="{00000000-0005-0000-0000-000032460000}"/>
    <cellStyle name="Note 11 13 4" xfId="11380" xr:uid="{00000000-0005-0000-0000-000033460000}"/>
    <cellStyle name="Note 11 13 4 2" xfId="30352" xr:uid="{00000000-0005-0000-0000-000034460000}"/>
    <cellStyle name="Note 11 13 4 3" xfId="41197" xr:uid="{00000000-0005-0000-0000-000035460000}"/>
    <cellStyle name="Note 11 13 5" xfId="22176" xr:uid="{00000000-0005-0000-0000-000036460000}"/>
    <cellStyle name="Note 11 13 6" xfId="33021" xr:uid="{00000000-0005-0000-0000-000037460000}"/>
    <cellStyle name="Note 11 14" xfId="3367" xr:uid="{00000000-0005-0000-0000-000038460000}"/>
    <cellStyle name="Note 11 14 2" xfId="22341" xr:uid="{00000000-0005-0000-0000-000039460000}"/>
    <cellStyle name="Note 11 14 3" xfId="33186" xr:uid="{00000000-0005-0000-0000-00003A460000}"/>
    <cellStyle name="Note 11 15" xfId="3389" xr:uid="{00000000-0005-0000-0000-00003B460000}"/>
    <cellStyle name="Note 11 15 2" xfId="22361" xr:uid="{00000000-0005-0000-0000-00003C460000}"/>
    <cellStyle name="Note 11 15 3" xfId="33206" xr:uid="{00000000-0005-0000-0000-00003D460000}"/>
    <cellStyle name="Note 11 16" xfId="3355" xr:uid="{00000000-0005-0000-0000-00003E460000}"/>
    <cellStyle name="Note 11 16 2" xfId="22329" xr:uid="{00000000-0005-0000-0000-00003F460000}"/>
    <cellStyle name="Note 11 16 3" xfId="33174" xr:uid="{00000000-0005-0000-0000-000040460000}"/>
    <cellStyle name="Note 11 17" xfId="19496" xr:uid="{00000000-0005-0000-0000-000041460000}"/>
    <cellStyle name="Note 11 18" xfId="19387" xr:uid="{00000000-0005-0000-0000-000042460000}"/>
    <cellStyle name="Note 11 2" xfId="708" xr:uid="{00000000-0005-0000-0000-000043460000}"/>
    <cellStyle name="Note 11 2 10" xfId="19693" xr:uid="{00000000-0005-0000-0000-000044460000}"/>
    <cellStyle name="Note 11 2 11" xfId="30538" xr:uid="{00000000-0005-0000-0000-000045460000}"/>
    <cellStyle name="Note 11 2 2" xfId="1295" xr:uid="{00000000-0005-0000-0000-000046460000}"/>
    <cellStyle name="Note 11 2 2 2" xfId="4148" xr:uid="{00000000-0005-0000-0000-000047460000}"/>
    <cellStyle name="Note 11 2 2 2 2" xfId="23120" xr:uid="{00000000-0005-0000-0000-000048460000}"/>
    <cellStyle name="Note 11 2 2 2 3" xfId="33965" xr:uid="{00000000-0005-0000-0000-000049460000}"/>
    <cellStyle name="Note 11 2 2 3" xfId="6821" xr:uid="{00000000-0005-0000-0000-00004A460000}"/>
    <cellStyle name="Note 11 2 2 3 2" xfId="25793" xr:uid="{00000000-0005-0000-0000-00004B460000}"/>
    <cellStyle name="Note 11 2 2 3 3" xfId="36638" xr:uid="{00000000-0005-0000-0000-00004C460000}"/>
    <cellStyle name="Note 11 2 2 4" xfId="9480" xr:uid="{00000000-0005-0000-0000-00004D460000}"/>
    <cellStyle name="Note 11 2 2 4 2" xfId="28452" xr:uid="{00000000-0005-0000-0000-00004E460000}"/>
    <cellStyle name="Note 11 2 2 4 3" xfId="39297" xr:uid="{00000000-0005-0000-0000-00004F460000}"/>
    <cellStyle name="Note 11 2 2 5" xfId="20276" xr:uid="{00000000-0005-0000-0000-000050460000}"/>
    <cellStyle name="Note 11 2 2 6" xfId="31121" xr:uid="{00000000-0005-0000-0000-000051460000}"/>
    <cellStyle name="Note 11 2 3" xfId="1694" xr:uid="{00000000-0005-0000-0000-000052460000}"/>
    <cellStyle name="Note 11 2 3 2" xfId="4547" xr:uid="{00000000-0005-0000-0000-000053460000}"/>
    <cellStyle name="Note 11 2 3 2 2" xfId="23519" xr:uid="{00000000-0005-0000-0000-000054460000}"/>
    <cellStyle name="Note 11 2 3 2 3" xfId="34364" xr:uid="{00000000-0005-0000-0000-000055460000}"/>
    <cellStyle name="Note 11 2 3 3" xfId="7219" xr:uid="{00000000-0005-0000-0000-000056460000}"/>
    <cellStyle name="Note 11 2 3 3 2" xfId="26191" xr:uid="{00000000-0005-0000-0000-000057460000}"/>
    <cellStyle name="Note 11 2 3 3 3" xfId="37036" xr:uid="{00000000-0005-0000-0000-000058460000}"/>
    <cellStyle name="Note 11 2 3 4" xfId="9878" xr:uid="{00000000-0005-0000-0000-000059460000}"/>
    <cellStyle name="Note 11 2 3 4 2" xfId="28850" xr:uid="{00000000-0005-0000-0000-00005A460000}"/>
    <cellStyle name="Note 11 2 3 4 3" xfId="39695" xr:uid="{00000000-0005-0000-0000-00005B460000}"/>
    <cellStyle name="Note 11 2 3 5" xfId="20674" xr:uid="{00000000-0005-0000-0000-00005C460000}"/>
    <cellStyle name="Note 11 2 3 6" xfId="31519" xr:uid="{00000000-0005-0000-0000-00005D460000}"/>
    <cellStyle name="Note 11 2 4" xfId="2098" xr:uid="{00000000-0005-0000-0000-00005E460000}"/>
    <cellStyle name="Note 11 2 4 2" xfId="4951" xr:uid="{00000000-0005-0000-0000-00005F460000}"/>
    <cellStyle name="Note 11 2 4 2 2" xfId="23923" xr:uid="{00000000-0005-0000-0000-000060460000}"/>
    <cellStyle name="Note 11 2 4 2 3" xfId="34768" xr:uid="{00000000-0005-0000-0000-000061460000}"/>
    <cellStyle name="Note 11 2 4 3" xfId="7622" xr:uid="{00000000-0005-0000-0000-000062460000}"/>
    <cellStyle name="Note 11 2 4 3 2" xfId="26594" xr:uid="{00000000-0005-0000-0000-000063460000}"/>
    <cellStyle name="Note 11 2 4 3 3" xfId="37439" xr:uid="{00000000-0005-0000-0000-000064460000}"/>
    <cellStyle name="Note 11 2 4 4" xfId="10281" xr:uid="{00000000-0005-0000-0000-000065460000}"/>
    <cellStyle name="Note 11 2 4 4 2" xfId="29253" xr:uid="{00000000-0005-0000-0000-000066460000}"/>
    <cellStyle name="Note 11 2 4 4 3" xfId="40098" xr:uid="{00000000-0005-0000-0000-000067460000}"/>
    <cellStyle name="Note 11 2 4 5" xfId="21077" xr:uid="{00000000-0005-0000-0000-000068460000}"/>
    <cellStyle name="Note 11 2 4 6" xfId="31922" xr:uid="{00000000-0005-0000-0000-000069460000}"/>
    <cellStyle name="Note 11 2 5" xfId="2488" xr:uid="{00000000-0005-0000-0000-00006A460000}"/>
    <cellStyle name="Note 11 2 5 2" xfId="5340" xr:uid="{00000000-0005-0000-0000-00006B460000}"/>
    <cellStyle name="Note 11 2 5 2 2" xfId="24312" xr:uid="{00000000-0005-0000-0000-00006C460000}"/>
    <cellStyle name="Note 11 2 5 2 3" xfId="35157" xr:uid="{00000000-0005-0000-0000-00006D460000}"/>
    <cellStyle name="Note 11 2 5 3" xfId="8011" xr:uid="{00000000-0005-0000-0000-00006E460000}"/>
    <cellStyle name="Note 11 2 5 3 2" xfId="26983" xr:uid="{00000000-0005-0000-0000-00006F460000}"/>
    <cellStyle name="Note 11 2 5 3 3" xfId="37828" xr:uid="{00000000-0005-0000-0000-000070460000}"/>
    <cellStyle name="Note 11 2 5 4" xfId="10670" xr:uid="{00000000-0005-0000-0000-000071460000}"/>
    <cellStyle name="Note 11 2 5 4 2" xfId="29642" xr:uid="{00000000-0005-0000-0000-000072460000}"/>
    <cellStyle name="Note 11 2 5 4 3" xfId="40487" xr:uid="{00000000-0005-0000-0000-000073460000}"/>
    <cellStyle name="Note 11 2 5 5" xfId="21466" xr:uid="{00000000-0005-0000-0000-000074460000}"/>
    <cellStyle name="Note 11 2 5 6" xfId="32311" xr:uid="{00000000-0005-0000-0000-000075460000}"/>
    <cellStyle name="Note 11 2 6" xfId="2874" xr:uid="{00000000-0005-0000-0000-000076460000}"/>
    <cellStyle name="Note 11 2 6 2" xfId="5725" xr:uid="{00000000-0005-0000-0000-000077460000}"/>
    <cellStyle name="Note 11 2 6 2 2" xfId="24697" xr:uid="{00000000-0005-0000-0000-000078460000}"/>
    <cellStyle name="Note 11 2 6 2 3" xfId="35542" xr:uid="{00000000-0005-0000-0000-000079460000}"/>
    <cellStyle name="Note 11 2 6 3" xfId="8396" xr:uid="{00000000-0005-0000-0000-00007A460000}"/>
    <cellStyle name="Note 11 2 6 3 2" xfId="27368" xr:uid="{00000000-0005-0000-0000-00007B460000}"/>
    <cellStyle name="Note 11 2 6 3 3" xfId="38213" xr:uid="{00000000-0005-0000-0000-00007C460000}"/>
    <cellStyle name="Note 11 2 6 4" xfId="11055" xr:uid="{00000000-0005-0000-0000-00007D460000}"/>
    <cellStyle name="Note 11 2 6 4 2" xfId="30027" xr:uid="{00000000-0005-0000-0000-00007E460000}"/>
    <cellStyle name="Note 11 2 6 4 3" xfId="40872" xr:uid="{00000000-0005-0000-0000-00007F460000}"/>
    <cellStyle name="Note 11 2 6 5" xfId="21851" xr:uid="{00000000-0005-0000-0000-000080460000}"/>
    <cellStyle name="Note 11 2 6 6" xfId="32696" xr:uid="{00000000-0005-0000-0000-000081460000}"/>
    <cellStyle name="Note 11 2 7" xfId="3563" xr:uid="{00000000-0005-0000-0000-000082460000}"/>
    <cellStyle name="Note 11 2 7 2" xfId="22535" xr:uid="{00000000-0005-0000-0000-000083460000}"/>
    <cellStyle name="Note 11 2 7 3" xfId="33380" xr:uid="{00000000-0005-0000-0000-000084460000}"/>
    <cellStyle name="Note 11 2 8" xfId="6238" xr:uid="{00000000-0005-0000-0000-000085460000}"/>
    <cellStyle name="Note 11 2 8 2" xfId="25210" xr:uid="{00000000-0005-0000-0000-000086460000}"/>
    <cellStyle name="Note 11 2 8 3" xfId="36055" xr:uid="{00000000-0005-0000-0000-000087460000}"/>
    <cellStyle name="Note 11 2 9" xfId="8897" xr:uid="{00000000-0005-0000-0000-000088460000}"/>
    <cellStyle name="Note 11 2 9 2" xfId="27869" xr:uid="{00000000-0005-0000-0000-000089460000}"/>
    <cellStyle name="Note 11 2 9 3" xfId="38714" xr:uid="{00000000-0005-0000-0000-00008A460000}"/>
    <cellStyle name="Note 11 3" xfId="767" xr:uid="{00000000-0005-0000-0000-00008B460000}"/>
    <cellStyle name="Note 11 3 10" xfId="19752" xr:uid="{00000000-0005-0000-0000-00008C460000}"/>
    <cellStyle name="Note 11 3 11" xfId="30597" xr:uid="{00000000-0005-0000-0000-00008D460000}"/>
    <cellStyle name="Note 11 3 2" xfId="1354" xr:uid="{00000000-0005-0000-0000-00008E460000}"/>
    <cellStyle name="Note 11 3 2 2" xfId="4207" xr:uid="{00000000-0005-0000-0000-00008F460000}"/>
    <cellStyle name="Note 11 3 2 2 2" xfId="23179" xr:uid="{00000000-0005-0000-0000-000090460000}"/>
    <cellStyle name="Note 11 3 2 2 3" xfId="34024" xr:uid="{00000000-0005-0000-0000-000091460000}"/>
    <cellStyle name="Note 11 3 2 3" xfId="6880" xr:uid="{00000000-0005-0000-0000-000092460000}"/>
    <cellStyle name="Note 11 3 2 3 2" xfId="25852" xr:uid="{00000000-0005-0000-0000-000093460000}"/>
    <cellStyle name="Note 11 3 2 3 3" xfId="36697" xr:uid="{00000000-0005-0000-0000-000094460000}"/>
    <cellStyle name="Note 11 3 2 4" xfId="9539" xr:uid="{00000000-0005-0000-0000-000095460000}"/>
    <cellStyle name="Note 11 3 2 4 2" xfId="28511" xr:uid="{00000000-0005-0000-0000-000096460000}"/>
    <cellStyle name="Note 11 3 2 4 3" xfId="39356" xr:uid="{00000000-0005-0000-0000-000097460000}"/>
    <cellStyle name="Note 11 3 2 5" xfId="20335" xr:uid="{00000000-0005-0000-0000-000098460000}"/>
    <cellStyle name="Note 11 3 2 6" xfId="31180" xr:uid="{00000000-0005-0000-0000-000099460000}"/>
    <cellStyle name="Note 11 3 3" xfId="1753" xr:uid="{00000000-0005-0000-0000-00009A460000}"/>
    <cellStyle name="Note 11 3 3 2" xfId="4606" xr:uid="{00000000-0005-0000-0000-00009B460000}"/>
    <cellStyle name="Note 11 3 3 2 2" xfId="23578" xr:uid="{00000000-0005-0000-0000-00009C460000}"/>
    <cellStyle name="Note 11 3 3 2 3" xfId="34423" xr:uid="{00000000-0005-0000-0000-00009D460000}"/>
    <cellStyle name="Note 11 3 3 3" xfId="7278" xr:uid="{00000000-0005-0000-0000-00009E460000}"/>
    <cellStyle name="Note 11 3 3 3 2" xfId="26250" xr:uid="{00000000-0005-0000-0000-00009F460000}"/>
    <cellStyle name="Note 11 3 3 3 3" xfId="37095" xr:uid="{00000000-0005-0000-0000-0000A0460000}"/>
    <cellStyle name="Note 11 3 3 4" xfId="9937" xr:uid="{00000000-0005-0000-0000-0000A1460000}"/>
    <cellStyle name="Note 11 3 3 4 2" xfId="28909" xr:uid="{00000000-0005-0000-0000-0000A2460000}"/>
    <cellStyle name="Note 11 3 3 4 3" xfId="39754" xr:uid="{00000000-0005-0000-0000-0000A3460000}"/>
    <cellStyle name="Note 11 3 3 5" xfId="20733" xr:uid="{00000000-0005-0000-0000-0000A4460000}"/>
    <cellStyle name="Note 11 3 3 6" xfId="31578" xr:uid="{00000000-0005-0000-0000-0000A5460000}"/>
    <cellStyle name="Note 11 3 4" xfId="2157" xr:uid="{00000000-0005-0000-0000-0000A6460000}"/>
    <cellStyle name="Note 11 3 4 2" xfId="5010" xr:uid="{00000000-0005-0000-0000-0000A7460000}"/>
    <cellStyle name="Note 11 3 4 2 2" xfId="23982" xr:uid="{00000000-0005-0000-0000-0000A8460000}"/>
    <cellStyle name="Note 11 3 4 2 3" xfId="34827" xr:uid="{00000000-0005-0000-0000-0000A9460000}"/>
    <cellStyle name="Note 11 3 4 3" xfId="7681" xr:uid="{00000000-0005-0000-0000-0000AA460000}"/>
    <cellStyle name="Note 11 3 4 3 2" xfId="26653" xr:uid="{00000000-0005-0000-0000-0000AB460000}"/>
    <cellStyle name="Note 11 3 4 3 3" xfId="37498" xr:uid="{00000000-0005-0000-0000-0000AC460000}"/>
    <cellStyle name="Note 11 3 4 4" xfId="10340" xr:uid="{00000000-0005-0000-0000-0000AD460000}"/>
    <cellStyle name="Note 11 3 4 4 2" xfId="29312" xr:uid="{00000000-0005-0000-0000-0000AE460000}"/>
    <cellStyle name="Note 11 3 4 4 3" xfId="40157" xr:uid="{00000000-0005-0000-0000-0000AF460000}"/>
    <cellStyle name="Note 11 3 4 5" xfId="21136" xr:uid="{00000000-0005-0000-0000-0000B0460000}"/>
    <cellStyle name="Note 11 3 4 6" xfId="31981" xr:uid="{00000000-0005-0000-0000-0000B1460000}"/>
    <cellStyle name="Note 11 3 5" xfId="2547" xr:uid="{00000000-0005-0000-0000-0000B2460000}"/>
    <cellStyle name="Note 11 3 5 2" xfId="5399" xr:uid="{00000000-0005-0000-0000-0000B3460000}"/>
    <cellStyle name="Note 11 3 5 2 2" xfId="24371" xr:uid="{00000000-0005-0000-0000-0000B4460000}"/>
    <cellStyle name="Note 11 3 5 2 3" xfId="35216" xr:uid="{00000000-0005-0000-0000-0000B5460000}"/>
    <cellStyle name="Note 11 3 5 3" xfId="8070" xr:uid="{00000000-0005-0000-0000-0000B6460000}"/>
    <cellStyle name="Note 11 3 5 3 2" xfId="27042" xr:uid="{00000000-0005-0000-0000-0000B7460000}"/>
    <cellStyle name="Note 11 3 5 3 3" xfId="37887" xr:uid="{00000000-0005-0000-0000-0000B8460000}"/>
    <cellStyle name="Note 11 3 5 4" xfId="10729" xr:uid="{00000000-0005-0000-0000-0000B9460000}"/>
    <cellStyle name="Note 11 3 5 4 2" xfId="29701" xr:uid="{00000000-0005-0000-0000-0000BA460000}"/>
    <cellStyle name="Note 11 3 5 4 3" xfId="40546" xr:uid="{00000000-0005-0000-0000-0000BB460000}"/>
    <cellStyle name="Note 11 3 5 5" xfId="21525" xr:uid="{00000000-0005-0000-0000-0000BC460000}"/>
    <cellStyle name="Note 11 3 5 6" xfId="32370" xr:uid="{00000000-0005-0000-0000-0000BD460000}"/>
    <cellStyle name="Note 11 3 6" xfId="2933" xr:uid="{00000000-0005-0000-0000-0000BE460000}"/>
    <cellStyle name="Note 11 3 6 2" xfId="5784" xr:uid="{00000000-0005-0000-0000-0000BF460000}"/>
    <cellStyle name="Note 11 3 6 2 2" xfId="24756" xr:uid="{00000000-0005-0000-0000-0000C0460000}"/>
    <cellStyle name="Note 11 3 6 2 3" xfId="35601" xr:uid="{00000000-0005-0000-0000-0000C1460000}"/>
    <cellStyle name="Note 11 3 6 3" xfId="8455" xr:uid="{00000000-0005-0000-0000-0000C2460000}"/>
    <cellStyle name="Note 11 3 6 3 2" xfId="27427" xr:uid="{00000000-0005-0000-0000-0000C3460000}"/>
    <cellStyle name="Note 11 3 6 3 3" xfId="38272" xr:uid="{00000000-0005-0000-0000-0000C4460000}"/>
    <cellStyle name="Note 11 3 6 4" xfId="11114" xr:uid="{00000000-0005-0000-0000-0000C5460000}"/>
    <cellStyle name="Note 11 3 6 4 2" xfId="30086" xr:uid="{00000000-0005-0000-0000-0000C6460000}"/>
    <cellStyle name="Note 11 3 6 4 3" xfId="40931" xr:uid="{00000000-0005-0000-0000-0000C7460000}"/>
    <cellStyle name="Note 11 3 6 5" xfId="21910" xr:uid="{00000000-0005-0000-0000-0000C8460000}"/>
    <cellStyle name="Note 11 3 6 6" xfId="32755" xr:uid="{00000000-0005-0000-0000-0000C9460000}"/>
    <cellStyle name="Note 11 3 7" xfId="3622" xr:uid="{00000000-0005-0000-0000-0000CA460000}"/>
    <cellStyle name="Note 11 3 7 2" xfId="22594" xr:uid="{00000000-0005-0000-0000-0000CB460000}"/>
    <cellStyle name="Note 11 3 7 3" xfId="33439" xr:uid="{00000000-0005-0000-0000-0000CC460000}"/>
    <cellStyle name="Note 11 3 8" xfId="6297" xr:uid="{00000000-0005-0000-0000-0000CD460000}"/>
    <cellStyle name="Note 11 3 8 2" xfId="25269" xr:uid="{00000000-0005-0000-0000-0000CE460000}"/>
    <cellStyle name="Note 11 3 8 3" xfId="36114" xr:uid="{00000000-0005-0000-0000-0000CF460000}"/>
    <cellStyle name="Note 11 3 9" xfId="8956" xr:uid="{00000000-0005-0000-0000-0000D0460000}"/>
    <cellStyle name="Note 11 3 9 2" xfId="27928" xr:uid="{00000000-0005-0000-0000-0000D1460000}"/>
    <cellStyle name="Note 11 3 9 3" xfId="38773" xr:uid="{00000000-0005-0000-0000-0000D2460000}"/>
    <cellStyle name="Note 11 4" xfId="827" xr:uid="{00000000-0005-0000-0000-0000D3460000}"/>
    <cellStyle name="Note 11 4 10" xfId="19812" xr:uid="{00000000-0005-0000-0000-0000D4460000}"/>
    <cellStyle name="Note 11 4 11" xfId="30657" xr:uid="{00000000-0005-0000-0000-0000D5460000}"/>
    <cellStyle name="Note 11 4 2" xfId="1414" xr:uid="{00000000-0005-0000-0000-0000D6460000}"/>
    <cellStyle name="Note 11 4 2 2" xfId="4267" xr:uid="{00000000-0005-0000-0000-0000D7460000}"/>
    <cellStyle name="Note 11 4 2 2 2" xfId="23239" xr:uid="{00000000-0005-0000-0000-0000D8460000}"/>
    <cellStyle name="Note 11 4 2 2 3" xfId="34084" xr:uid="{00000000-0005-0000-0000-0000D9460000}"/>
    <cellStyle name="Note 11 4 2 3" xfId="6940" xr:uid="{00000000-0005-0000-0000-0000DA460000}"/>
    <cellStyle name="Note 11 4 2 3 2" xfId="25912" xr:uid="{00000000-0005-0000-0000-0000DB460000}"/>
    <cellStyle name="Note 11 4 2 3 3" xfId="36757" xr:uid="{00000000-0005-0000-0000-0000DC460000}"/>
    <cellStyle name="Note 11 4 2 4" xfId="9599" xr:uid="{00000000-0005-0000-0000-0000DD460000}"/>
    <cellStyle name="Note 11 4 2 4 2" xfId="28571" xr:uid="{00000000-0005-0000-0000-0000DE460000}"/>
    <cellStyle name="Note 11 4 2 4 3" xfId="39416" xr:uid="{00000000-0005-0000-0000-0000DF460000}"/>
    <cellStyle name="Note 11 4 2 5" xfId="20395" xr:uid="{00000000-0005-0000-0000-0000E0460000}"/>
    <cellStyle name="Note 11 4 2 6" xfId="31240" xr:uid="{00000000-0005-0000-0000-0000E1460000}"/>
    <cellStyle name="Note 11 4 3" xfId="1813" xr:uid="{00000000-0005-0000-0000-0000E2460000}"/>
    <cellStyle name="Note 11 4 3 2" xfId="4666" xr:uid="{00000000-0005-0000-0000-0000E3460000}"/>
    <cellStyle name="Note 11 4 3 2 2" xfId="23638" xr:uid="{00000000-0005-0000-0000-0000E4460000}"/>
    <cellStyle name="Note 11 4 3 2 3" xfId="34483" xr:uid="{00000000-0005-0000-0000-0000E5460000}"/>
    <cellStyle name="Note 11 4 3 3" xfId="7338" xr:uid="{00000000-0005-0000-0000-0000E6460000}"/>
    <cellStyle name="Note 11 4 3 3 2" xfId="26310" xr:uid="{00000000-0005-0000-0000-0000E7460000}"/>
    <cellStyle name="Note 11 4 3 3 3" xfId="37155" xr:uid="{00000000-0005-0000-0000-0000E8460000}"/>
    <cellStyle name="Note 11 4 3 4" xfId="9997" xr:uid="{00000000-0005-0000-0000-0000E9460000}"/>
    <cellStyle name="Note 11 4 3 4 2" xfId="28969" xr:uid="{00000000-0005-0000-0000-0000EA460000}"/>
    <cellStyle name="Note 11 4 3 4 3" xfId="39814" xr:uid="{00000000-0005-0000-0000-0000EB460000}"/>
    <cellStyle name="Note 11 4 3 5" xfId="20793" xr:uid="{00000000-0005-0000-0000-0000EC460000}"/>
    <cellStyle name="Note 11 4 3 6" xfId="31638" xr:uid="{00000000-0005-0000-0000-0000ED460000}"/>
    <cellStyle name="Note 11 4 4" xfId="2217" xr:uid="{00000000-0005-0000-0000-0000EE460000}"/>
    <cellStyle name="Note 11 4 4 2" xfId="5070" xr:uid="{00000000-0005-0000-0000-0000EF460000}"/>
    <cellStyle name="Note 11 4 4 2 2" xfId="24042" xr:uid="{00000000-0005-0000-0000-0000F0460000}"/>
    <cellStyle name="Note 11 4 4 2 3" xfId="34887" xr:uid="{00000000-0005-0000-0000-0000F1460000}"/>
    <cellStyle name="Note 11 4 4 3" xfId="7741" xr:uid="{00000000-0005-0000-0000-0000F2460000}"/>
    <cellStyle name="Note 11 4 4 3 2" xfId="26713" xr:uid="{00000000-0005-0000-0000-0000F3460000}"/>
    <cellStyle name="Note 11 4 4 3 3" xfId="37558" xr:uid="{00000000-0005-0000-0000-0000F4460000}"/>
    <cellStyle name="Note 11 4 4 4" xfId="10400" xr:uid="{00000000-0005-0000-0000-0000F5460000}"/>
    <cellStyle name="Note 11 4 4 4 2" xfId="29372" xr:uid="{00000000-0005-0000-0000-0000F6460000}"/>
    <cellStyle name="Note 11 4 4 4 3" xfId="40217" xr:uid="{00000000-0005-0000-0000-0000F7460000}"/>
    <cellStyle name="Note 11 4 4 5" xfId="21196" xr:uid="{00000000-0005-0000-0000-0000F8460000}"/>
    <cellStyle name="Note 11 4 4 6" xfId="32041" xr:uid="{00000000-0005-0000-0000-0000F9460000}"/>
    <cellStyle name="Note 11 4 5" xfId="2607" xr:uid="{00000000-0005-0000-0000-0000FA460000}"/>
    <cellStyle name="Note 11 4 5 2" xfId="5459" xr:uid="{00000000-0005-0000-0000-0000FB460000}"/>
    <cellStyle name="Note 11 4 5 2 2" xfId="24431" xr:uid="{00000000-0005-0000-0000-0000FC460000}"/>
    <cellStyle name="Note 11 4 5 2 3" xfId="35276" xr:uid="{00000000-0005-0000-0000-0000FD460000}"/>
    <cellStyle name="Note 11 4 5 3" xfId="8130" xr:uid="{00000000-0005-0000-0000-0000FE460000}"/>
    <cellStyle name="Note 11 4 5 3 2" xfId="27102" xr:uid="{00000000-0005-0000-0000-0000FF460000}"/>
    <cellStyle name="Note 11 4 5 3 3" xfId="37947" xr:uid="{00000000-0005-0000-0000-000000470000}"/>
    <cellStyle name="Note 11 4 5 4" xfId="10789" xr:uid="{00000000-0005-0000-0000-000001470000}"/>
    <cellStyle name="Note 11 4 5 4 2" xfId="29761" xr:uid="{00000000-0005-0000-0000-000002470000}"/>
    <cellStyle name="Note 11 4 5 4 3" xfId="40606" xr:uid="{00000000-0005-0000-0000-000003470000}"/>
    <cellStyle name="Note 11 4 5 5" xfId="21585" xr:uid="{00000000-0005-0000-0000-000004470000}"/>
    <cellStyle name="Note 11 4 5 6" xfId="32430" xr:uid="{00000000-0005-0000-0000-000005470000}"/>
    <cellStyle name="Note 11 4 6" xfId="2993" xr:uid="{00000000-0005-0000-0000-000006470000}"/>
    <cellStyle name="Note 11 4 6 2" xfId="5844" xr:uid="{00000000-0005-0000-0000-000007470000}"/>
    <cellStyle name="Note 11 4 6 2 2" xfId="24816" xr:uid="{00000000-0005-0000-0000-000008470000}"/>
    <cellStyle name="Note 11 4 6 2 3" xfId="35661" xr:uid="{00000000-0005-0000-0000-000009470000}"/>
    <cellStyle name="Note 11 4 6 3" xfId="8515" xr:uid="{00000000-0005-0000-0000-00000A470000}"/>
    <cellStyle name="Note 11 4 6 3 2" xfId="27487" xr:uid="{00000000-0005-0000-0000-00000B470000}"/>
    <cellStyle name="Note 11 4 6 3 3" xfId="38332" xr:uid="{00000000-0005-0000-0000-00000C470000}"/>
    <cellStyle name="Note 11 4 6 4" xfId="11174" xr:uid="{00000000-0005-0000-0000-00000D470000}"/>
    <cellStyle name="Note 11 4 6 4 2" xfId="30146" xr:uid="{00000000-0005-0000-0000-00000E470000}"/>
    <cellStyle name="Note 11 4 6 4 3" xfId="40991" xr:uid="{00000000-0005-0000-0000-00000F470000}"/>
    <cellStyle name="Note 11 4 6 5" xfId="21970" xr:uid="{00000000-0005-0000-0000-000010470000}"/>
    <cellStyle name="Note 11 4 6 6" xfId="32815" xr:uid="{00000000-0005-0000-0000-000011470000}"/>
    <cellStyle name="Note 11 4 7" xfId="3682" xr:uid="{00000000-0005-0000-0000-000012470000}"/>
    <cellStyle name="Note 11 4 7 2" xfId="22654" xr:uid="{00000000-0005-0000-0000-000013470000}"/>
    <cellStyle name="Note 11 4 7 3" xfId="33499" xr:uid="{00000000-0005-0000-0000-000014470000}"/>
    <cellStyle name="Note 11 4 8" xfId="6357" xr:uid="{00000000-0005-0000-0000-000015470000}"/>
    <cellStyle name="Note 11 4 8 2" xfId="25329" xr:uid="{00000000-0005-0000-0000-000016470000}"/>
    <cellStyle name="Note 11 4 8 3" xfId="36174" xr:uid="{00000000-0005-0000-0000-000017470000}"/>
    <cellStyle name="Note 11 4 9" xfId="9016" xr:uid="{00000000-0005-0000-0000-000018470000}"/>
    <cellStyle name="Note 11 4 9 2" xfId="27988" xr:uid="{00000000-0005-0000-0000-000019470000}"/>
    <cellStyle name="Note 11 4 9 3" xfId="38833" xr:uid="{00000000-0005-0000-0000-00001A470000}"/>
    <cellStyle name="Note 11 5" xfId="886" xr:uid="{00000000-0005-0000-0000-00001B470000}"/>
    <cellStyle name="Note 11 5 10" xfId="19871" xr:uid="{00000000-0005-0000-0000-00001C470000}"/>
    <cellStyle name="Note 11 5 11" xfId="30716" xr:uid="{00000000-0005-0000-0000-00001D470000}"/>
    <cellStyle name="Note 11 5 2" xfId="1473" xr:uid="{00000000-0005-0000-0000-00001E470000}"/>
    <cellStyle name="Note 11 5 2 2" xfId="4326" xr:uid="{00000000-0005-0000-0000-00001F470000}"/>
    <cellStyle name="Note 11 5 2 2 2" xfId="23298" xr:uid="{00000000-0005-0000-0000-000020470000}"/>
    <cellStyle name="Note 11 5 2 2 3" xfId="34143" xr:uid="{00000000-0005-0000-0000-000021470000}"/>
    <cellStyle name="Note 11 5 2 3" xfId="6999" xr:uid="{00000000-0005-0000-0000-000022470000}"/>
    <cellStyle name="Note 11 5 2 3 2" xfId="25971" xr:uid="{00000000-0005-0000-0000-000023470000}"/>
    <cellStyle name="Note 11 5 2 3 3" xfId="36816" xr:uid="{00000000-0005-0000-0000-000024470000}"/>
    <cellStyle name="Note 11 5 2 4" xfId="9658" xr:uid="{00000000-0005-0000-0000-000025470000}"/>
    <cellStyle name="Note 11 5 2 4 2" xfId="28630" xr:uid="{00000000-0005-0000-0000-000026470000}"/>
    <cellStyle name="Note 11 5 2 4 3" xfId="39475" xr:uid="{00000000-0005-0000-0000-000027470000}"/>
    <cellStyle name="Note 11 5 2 5" xfId="20454" xr:uid="{00000000-0005-0000-0000-000028470000}"/>
    <cellStyle name="Note 11 5 2 6" xfId="31299" xr:uid="{00000000-0005-0000-0000-000029470000}"/>
    <cellStyle name="Note 11 5 3" xfId="1872" xr:uid="{00000000-0005-0000-0000-00002A470000}"/>
    <cellStyle name="Note 11 5 3 2" xfId="4725" xr:uid="{00000000-0005-0000-0000-00002B470000}"/>
    <cellStyle name="Note 11 5 3 2 2" xfId="23697" xr:uid="{00000000-0005-0000-0000-00002C470000}"/>
    <cellStyle name="Note 11 5 3 2 3" xfId="34542" xr:uid="{00000000-0005-0000-0000-00002D470000}"/>
    <cellStyle name="Note 11 5 3 3" xfId="7397" xr:uid="{00000000-0005-0000-0000-00002E470000}"/>
    <cellStyle name="Note 11 5 3 3 2" xfId="26369" xr:uid="{00000000-0005-0000-0000-00002F470000}"/>
    <cellStyle name="Note 11 5 3 3 3" xfId="37214" xr:uid="{00000000-0005-0000-0000-000030470000}"/>
    <cellStyle name="Note 11 5 3 4" xfId="10056" xr:uid="{00000000-0005-0000-0000-000031470000}"/>
    <cellStyle name="Note 11 5 3 4 2" xfId="29028" xr:uid="{00000000-0005-0000-0000-000032470000}"/>
    <cellStyle name="Note 11 5 3 4 3" xfId="39873" xr:uid="{00000000-0005-0000-0000-000033470000}"/>
    <cellStyle name="Note 11 5 3 5" xfId="20852" xr:uid="{00000000-0005-0000-0000-000034470000}"/>
    <cellStyle name="Note 11 5 3 6" xfId="31697" xr:uid="{00000000-0005-0000-0000-000035470000}"/>
    <cellStyle name="Note 11 5 4" xfId="2276" xr:uid="{00000000-0005-0000-0000-000036470000}"/>
    <cellStyle name="Note 11 5 4 2" xfId="5129" xr:uid="{00000000-0005-0000-0000-000037470000}"/>
    <cellStyle name="Note 11 5 4 2 2" xfId="24101" xr:uid="{00000000-0005-0000-0000-000038470000}"/>
    <cellStyle name="Note 11 5 4 2 3" xfId="34946" xr:uid="{00000000-0005-0000-0000-000039470000}"/>
    <cellStyle name="Note 11 5 4 3" xfId="7800" xr:uid="{00000000-0005-0000-0000-00003A470000}"/>
    <cellStyle name="Note 11 5 4 3 2" xfId="26772" xr:uid="{00000000-0005-0000-0000-00003B470000}"/>
    <cellStyle name="Note 11 5 4 3 3" xfId="37617" xr:uid="{00000000-0005-0000-0000-00003C470000}"/>
    <cellStyle name="Note 11 5 4 4" xfId="10459" xr:uid="{00000000-0005-0000-0000-00003D470000}"/>
    <cellStyle name="Note 11 5 4 4 2" xfId="29431" xr:uid="{00000000-0005-0000-0000-00003E470000}"/>
    <cellStyle name="Note 11 5 4 4 3" xfId="40276" xr:uid="{00000000-0005-0000-0000-00003F470000}"/>
    <cellStyle name="Note 11 5 4 5" xfId="21255" xr:uid="{00000000-0005-0000-0000-000040470000}"/>
    <cellStyle name="Note 11 5 4 6" xfId="32100" xr:uid="{00000000-0005-0000-0000-000041470000}"/>
    <cellStyle name="Note 11 5 5" xfId="2666" xr:uid="{00000000-0005-0000-0000-000042470000}"/>
    <cellStyle name="Note 11 5 5 2" xfId="5518" xr:uid="{00000000-0005-0000-0000-000043470000}"/>
    <cellStyle name="Note 11 5 5 2 2" xfId="24490" xr:uid="{00000000-0005-0000-0000-000044470000}"/>
    <cellStyle name="Note 11 5 5 2 3" xfId="35335" xr:uid="{00000000-0005-0000-0000-000045470000}"/>
    <cellStyle name="Note 11 5 5 3" xfId="8189" xr:uid="{00000000-0005-0000-0000-000046470000}"/>
    <cellStyle name="Note 11 5 5 3 2" xfId="27161" xr:uid="{00000000-0005-0000-0000-000047470000}"/>
    <cellStyle name="Note 11 5 5 3 3" xfId="38006" xr:uid="{00000000-0005-0000-0000-000048470000}"/>
    <cellStyle name="Note 11 5 5 4" xfId="10848" xr:uid="{00000000-0005-0000-0000-000049470000}"/>
    <cellStyle name="Note 11 5 5 4 2" xfId="29820" xr:uid="{00000000-0005-0000-0000-00004A470000}"/>
    <cellStyle name="Note 11 5 5 4 3" xfId="40665" xr:uid="{00000000-0005-0000-0000-00004B470000}"/>
    <cellStyle name="Note 11 5 5 5" xfId="21644" xr:uid="{00000000-0005-0000-0000-00004C470000}"/>
    <cellStyle name="Note 11 5 5 6" xfId="32489" xr:uid="{00000000-0005-0000-0000-00004D470000}"/>
    <cellStyle name="Note 11 5 6" xfId="3052" xr:uid="{00000000-0005-0000-0000-00004E470000}"/>
    <cellStyle name="Note 11 5 6 2" xfId="5903" xr:uid="{00000000-0005-0000-0000-00004F470000}"/>
    <cellStyle name="Note 11 5 6 2 2" xfId="24875" xr:uid="{00000000-0005-0000-0000-000050470000}"/>
    <cellStyle name="Note 11 5 6 2 3" xfId="35720" xr:uid="{00000000-0005-0000-0000-000051470000}"/>
    <cellStyle name="Note 11 5 6 3" xfId="8574" xr:uid="{00000000-0005-0000-0000-000052470000}"/>
    <cellStyle name="Note 11 5 6 3 2" xfId="27546" xr:uid="{00000000-0005-0000-0000-000053470000}"/>
    <cellStyle name="Note 11 5 6 3 3" xfId="38391" xr:uid="{00000000-0005-0000-0000-000054470000}"/>
    <cellStyle name="Note 11 5 6 4" xfId="11233" xr:uid="{00000000-0005-0000-0000-000055470000}"/>
    <cellStyle name="Note 11 5 6 4 2" xfId="30205" xr:uid="{00000000-0005-0000-0000-000056470000}"/>
    <cellStyle name="Note 11 5 6 4 3" xfId="41050" xr:uid="{00000000-0005-0000-0000-000057470000}"/>
    <cellStyle name="Note 11 5 6 5" xfId="22029" xr:uid="{00000000-0005-0000-0000-000058470000}"/>
    <cellStyle name="Note 11 5 6 6" xfId="32874" xr:uid="{00000000-0005-0000-0000-000059470000}"/>
    <cellStyle name="Note 11 5 7" xfId="3741" xr:uid="{00000000-0005-0000-0000-00005A470000}"/>
    <cellStyle name="Note 11 5 7 2" xfId="22713" xr:uid="{00000000-0005-0000-0000-00005B470000}"/>
    <cellStyle name="Note 11 5 7 3" xfId="33558" xr:uid="{00000000-0005-0000-0000-00005C470000}"/>
    <cellStyle name="Note 11 5 8" xfId="6416" xr:uid="{00000000-0005-0000-0000-00005D470000}"/>
    <cellStyle name="Note 11 5 8 2" xfId="25388" xr:uid="{00000000-0005-0000-0000-00005E470000}"/>
    <cellStyle name="Note 11 5 8 3" xfId="36233" xr:uid="{00000000-0005-0000-0000-00005F470000}"/>
    <cellStyle name="Note 11 5 9" xfId="9075" xr:uid="{00000000-0005-0000-0000-000060470000}"/>
    <cellStyle name="Note 11 5 9 2" xfId="28047" xr:uid="{00000000-0005-0000-0000-000061470000}"/>
    <cellStyle name="Note 11 5 9 3" xfId="38892" xr:uid="{00000000-0005-0000-0000-000062470000}"/>
    <cellStyle name="Note 11 6" xfId="1111" xr:uid="{00000000-0005-0000-0000-000063470000}"/>
    <cellStyle name="Note 11 6 2" xfId="3964" xr:uid="{00000000-0005-0000-0000-000064470000}"/>
    <cellStyle name="Note 11 6 2 2" xfId="22936" xr:uid="{00000000-0005-0000-0000-000065470000}"/>
    <cellStyle name="Note 11 6 2 3" xfId="33781" xr:uid="{00000000-0005-0000-0000-000066470000}"/>
    <cellStyle name="Note 11 6 3" xfId="6638" xr:uid="{00000000-0005-0000-0000-000067470000}"/>
    <cellStyle name="Note 11 6 3 2" xfId="25610" xr:uid="{00000000-0005-0000-0000-000068470000}"/>
    <cellStyle name="Note 11 6 3 3" xfId="36455" xr:uid="{00000000-0005-0000-0000-000069470000}"/>
    <cellStyle name="Note 11 6 4" xfId="9297" xr:uid="{00000000-0005-0000-0000-00006A470000}"/>
    <cellStyle name="Note 11 6 4 2" xfId="28269" xr:uid="{00000000-0005-0000-0000-00006B470000}"/>
    <cellStyle name="Note 11 6 4 3" xfId="39114" xr:uid="{00000000-0005-0000-0000-00006C470000}"/>
    <cellStyle name="Note 11 6 5" xfId="20093" xr:uid="{00000000-0005-0000-0000-00006D470000}"/>
    <cellStyle name="Note 11 6 6" xfId="30938" xr:uid="{00000000-0005-0000-0000-00006E470000}"/>
    <cellStyle name="Note 11 7" xfId="1509" xr:uid="{00000000-0005-0000-0000-00006F470000}"/>
    <cellStyle name="Note 11 7 2" xfId="4362" xr:uid="{00000000-0005-0000-0000-000070470000}"/>
    <cellStyle name="Note 11 7 2 2" xfId="23334" xr:uid="{00000000-0005-0000-0000-000071470000}"/>
    <cellStyle name="Note 11 7 2 3" xfId="34179" xr:uid="{00000000-0005-0000-0000-000072470000}"/>
    <cellStyle name="Note 11 7 3" xfId="7035" xr:uid="{00000000-0005-0000-0000-000073470000}"/>
    <cellStyle name="Note 11 7 3 2" xfId="26007" xr:uid="{00000000-0005-0000-0000-000074470000}"/>
    <cellStyle name="Note 11 7 3 3" xfId="36852" xr:uid="{00000000-0005-0000-0000-000075470000}"/>
    <cellStyle name="Note 11 7 4" xfId="9694" xr:uid="{00000000-0005-0000-0000-000076470000}"/>
    <cellStyle name="Note 11 7 4 2" xfId="28666" xr:uid="{00000000-0005-0000-0000-000077470000}"/>
    <cellStyle name="Note 11 7 4 3" xfId="39511" xr:uid="{00000000-0005-0000-0000-000078470000}"/>
    <cellStyle name="Note 11 7 5" xfId="20490" xr:uid="{00000000-0005-0000-0000-000079470000}"/>
    <cellStyle name="Note 11 7 6" xfId="31335" xr:uid="{00000000-0005-0000-0000-00007A470000}"/>
    <cellStyle name="Note 11 8" xfId="1917" xr:uid="{00000000-0005-0000-0000-00007B470000}"/>
    <cellStyle name="Note 11 8 2" xfId="4770" xr:uid="{00000000-0005-0000-0000-00007C470000}"/>
    <cellStyle name="Note 11 8 2 2" xfId="23742" xr:uid="{00000000-0005-0000-0000-00007D470000}"/>
    <cellStyle name="Note 11 8 2 3" xfId="34587" xr:uid="{00000000-0005-0000-0000-00007E470000}"/>
    <cellStyle name="Note 11 8 3" xfId="7442" xr:uid="{00000000-0005-0000-0000-00007F470000}"/>
    <cellStyle name="Note 11 8 3 2" xfId="26414" xr:uid="{00000000-0005-0000-0000-000080470000}"/>
    <cellStyle name="Note 11 8 3 3" xfId="37259" xr:uid="{00000000-0005-0000-0000-000081470000}"/>
    <cellStyle name="Note 11 8 4" xfId="10101" xr:uid="{00000000-0005-0000-0000-000082470000}"/>
    <cellStyle name="Note 11 8 4 2" xfId="29073" xr:uid="{00000000-0005-0000-0000-000083470000}"/>
    <cellStyle name="Note 11 8 4 3" xfId="39918" xr:uid="{00000000-0005-0000-0000-000084470000}"/>
    <cellStyle name="Note 11 8 5" xfId="20897" xr:uid="{00000000-0005-0000-0000-000085470000}"/>
    <cellStyle name="Note 11 8 6" xfId="31742" xr:uid="{00000000-0005-0000-0000-000086470000}"/>
    <cellStyle name="Note 11 9" xfId="2311" xr:uid="{00000000-0005-0000-0000-000087470000}"/>
    <cellStyle name="Note 11 9 2" xfId="5164" xr:uid="{00000000-0005-0000-0000-000088470000}"/>
    <cellStyle name="Note 11 9 2 2" xfId="24136" xr:uid="{00000000-0005-0000-0000-000089470000}"/>
    <cellStyle name="Note 11 9 2 3" xfId="34981" xr:uid="{00000000-0005-0000-0000-00008A470000}"/>
    <cellStyle name="Note 11 9 3" xfId="7835" xr:uid="{00000000-0005-0000-0000-00008B470000}"/>
    <cellStyle name="Note 11 9 3 2" xfId="26807" xr:uid="{00000000-0005-0000-0000-00008C470000}"/>
    <cellStyle name="Note 11 9 3 3" xfId="37652" xr:uid="{00000000-0005-0000-0000-00008D470000}"/>
    <cellStyle name="Note 11 9 4" xfId="10494" xr:uid="{00000000-0005-0000-0000-00008E470000}"/>
    <cellStyle name="Note 11 9 4 2" xfId="29466" xr:uid="{00000000-0005-0000-0000-00008F470000}"/>
    <cellStyle name="Note 11 9 4 3" xfId="40311" xr:uid="{00000000-0005-0000-0000-000090470000}"/>
    <cellStyle name="Note 11 9 5" xfId="21290" xr:uid="{00000000-0005-0000-0000-000091470000}"/>
    <cellStyle name="Note 11 9 6" xfId="32135" xr:uid="{00000000-0005-0000-0000-000092470000}"/>
    <cellStyle name="Note 12" xfId="377" xr:uid="{00000000-0005-0000-0000-000093470000}"/>
    <cellStyle name="Note 12 10" xfId="2031" xr:uid="{00000000-0005-0000-0000-000094470000}"/>
    <cellStyle name="Note 12 10 2" xfId="4884" xr:uid="{00000000-0005-0000-0000-000095470000}"/>
    <cellStyle name="Note 12 10 2 2" xfId="23856" xr:uid="{00000000-0005-0000-0000-000096470000}"/>
    <cellStyle name="Note 12 10 2 3" xfId="34701" xr:uid="{00000000-0005-0000-0000-000097470000}"/>
    <cellStyle name="Note 12 10 3" xfId="7556" xr:uid="{00000000-0005-0000-0000-000098470000}"/>
    <cellStyle name="Note 12 10 3 2" xfId="26528" xr:uid="{00000000-0005-0000-0000-000099470000}"/>
    <cellStyle name="Note 12 10 3 3" xfId="37373" xr:uid="{00000000-0005-0000-0000-00009A470000}"/>
    <cellStyle name="Note 12 10 4" xfId="10215" xr:uid="{00000000-0005-0000-0000-00009B470000}"/>
    <cellStyle name="Note 12 10 4 2" xfId="29187" xr:uid="{00000000-0005-0000-0000-00009C470000}"/>
    <cellStyle name="Note 12 10 4 3" xfId="40032" xr:uid="{00000000-0005-0000-0000-00009D470000}"/>
    <cellStyle name="Note 12 10 5" xfId="21011" xr:uid="{00000000-0005-0000-0000-00009E470000}"/>
    <cellStyle name="Note 12 10 6" xfId="31856" xr:uid="{00000000-0005-0000-0000-00009F470000}"/>
    <cellStyle name="Note 12 11" xfId="2422" xr:uid="{00000000-0005-0000-0000-0000A0470000}"/>
    <cellStyle name="Note 12 11 2" xfId="5275" xr:uid="{00000000-0005-0000-0000-0000A1470000}"/>
    <cellStyle name="Note 12 11 2 2" xfId="24247" xr:uid="{00000000-0005-0000-0000-0000A2470000}"/>
    <cellStyle name="Note 12 11 2 3" xfId="35092" xr:uid="{00000000-0005-0000-0000-0000A3470000}"/>
    <cellStyle name="Note 12 11 3" xfId="7946" xr:uid="{00000000-0005-0000-0000-0000A4470000}"/>
    <cellStyle name="Note 12 11 3 2" xfId="26918" xr:uid="{00000000-0005-0000-0000-0000A5470000}"/>
    <cellStyle name="Note 12 11 3 3" xfId="37763" xr:uid="{00000000-0005-0000-0000-0000A6470000}"/>
    <cellStyle name="Note 12 11 4" xfId="10605" xr:uid="{00000000-0005-0000-0000-0000A7470000}"/>
    <cellStyle name="Note 12 11 4 2" xfId="29577" xr:uid="{00000000-0005-0000-0000-0000A8470000}"/>
    <cellStyle name="Note 12 11 4 3" xfId="40422" xr:uid="{00000000-0005-0000-0000-0000A9470000}"/>
    <cellStyle name="Note 12 11 5" xfId="21401" xr:uid="{00000000-0005-0000-0000-0000AA470000}"/>
    <cellStyle name="Note 12 11 6" xfId="32246" xr:uid="{00000000-0005-0000-0000-0000AB470000}"/>
    <cellStyle name="Note 12 12" xfId="3112" xr:uid="{00000000-0005-0000-0000-0000AC470000}"/>
    <cellStyle name="Note 12 12 2" xfId="5963" xr:uid="{00000000-0005-0000-0000-0000AD470000}"/>
    <cellStyle name="Note 12 12 2 2" xfId="24935" xr:uid="{00000000-0005-0000-0000-0000AE470000}"/>
    <cellStyle name="Note 12 12 2 3" xfId="35780" xr:uid="{00000000-0005-0000-0000-0000AF470000}"/>
    <cellStyle name="Note 12 12 3" xfId="8634" xr:uid="{00000000-0005-0000-0000-0000B0470000}"/>
    <cellStyle name="Note 12 12 3 2" xfId="27606" xr:uid="{00000000-0005-0000-0000-0000B1470000}"/>
    <cellStyle name="Note 12 12 3 3" xfId="38451" xr:uid="{00000000-0005-0000-0000-0000B2470000}"/>
    <cellStyle name="Note 12 12 4" xfId="11293" xr:uid="{00000000-0005-0000-0000-0000B3470000}"/>
    <cellStyle name="Note 12 12 4 2" xfId="30265" xr:uid="{00000000-0005-0000-0000-0000B4470000}"/>
    <cellStyle name="Note 12 12 4 3" xfId="41110" xr:uid="{00000000-0005-0000-0000-0000B5470000}"/>
    <cellStyle name="Note 12 12 5" xfId="22089" xr:uid="{00000000-0005-0000-0000-0000B6470000}"/>
    <cellStyle name="Note 12 12 6" xfId="32934" xr:uid="{00000000-0005-0000-0000-0000B7470000}"/>
    <cellStyle name="Note 12 13" xfId="3169" xr:uid="{00000000-0005-0000-0000-0000B8470000}"/>
    <cellStyle name="Note 12 13 2" xfId="6020" xr:uid="{00000000-0005-0000-0000-0000B9470000}"/>
    <cellStyle name="Note 12 13 2 2" xfId="24992" xr:uid="{00000000-0005-0000-0000-0000BA470000}"/>
    <cellStyle name="Note 12 13 2 3" xfId="35837" xr:uid="{00000000-0005-0000-0000-0000BB470000}"/>
    <cellStyle name="Note 12 13 3" xfId="8691" xr:uid="{00000000-0005-0000-0000-0000BC470000}"/>
    <cellStyle name="Note 12 13 3 2" xfId="27663" xr:uid="{00000000-0005-0000-0000-0000BD470000}"/>
    <cellStyle name="Note 12 13 3 3" xfId="38508" xr:uid="{00000000-0005-0000-0000-0000BE470000}"/>
    <cellStyle name="Note 12 13 4" xfId="11350" xr:uid="{00000000-0005-0000-0000-0000BF470000}"/>
    <cellStyle name="Note 12 13 4 2" xfId="30322" xr:uid="{00000000-0005-0000-0000-0000C0470000}"/>
    <cellStyle name="Note 12 13 4 3" xfId="41167" xr:uid="{00000000-0005-0000-0000-0000C1470000}"/>
    <cellStyle name="Note 12 13 5" xfId="22146" xr:uid="{00000000-0005-0000-0000-0000C2470000}"/>
    <cellStyle name="Note 12 13 6" xfId="32991" xr:uid="{00000000-0005-0000-0000-0000C3470000}"/>
    <cellStyle name="Note 12 14" xfId="3335" xr:uid="{00000000-0005-0000-0000-0000C4470000}"/>
    <cellStyle name="Note 12 14 2" xfId="22309" xr:uid="{00000000-0005-0000-0000-0000C5470000}"/>
    <cellStyle name="Note 12 14 3" xfId="33154" xr:uid="{00000000-0005-0000-0000-0000C6470000}"/>
    <cellStyle name="Note 12 15" xfId="3239" xr:uid="{00000000-0005-0000-0000-0000C7470000}"/>
    <cellStyle name="Note 12 15 2" xfId="22216" xr:uid="{00000000-0005-0000-0000-0000C8470000}"/>
    <cellStyle name="Note 12 15 3" xfId="33061" xr:uid="{00000000-0005-0000-0000-0000C9470000}"/>
    <cellStyle name="Note 12 16" xfId="3281" xr:uid="{00000000-0005-0000-0000-0000CA470000}"/>
    <cellStyle name="Note 12 16 2" xfId="22255" xr:uid="{00000000-0005-0000-0000-0000CB470000}"/>
    <cellStyle name="Note 12 16 3" xfId="33100" xr:uid="{00000000-0005-0000-0000-0000CC470000}"/>
    <cellStyle name="Note 12 17" xfId="19466" xr:uid="{00000000-0005-0000-0000-0000CD470000}"/>
    <cellStyle name="Note 12 18" xfId="19434" xr:uid="{00000000-0005-0000-0000-0000CE470000}"/>
    <cellStyle name="Note 12 2" xfId="677" xr:uid="{00000000-0005-0000-0000-0000CF470000}"/>
    <cellStyle name="Note 12 2 10" xfId="19662" xr:uid="{00000000-0005-0000-0000-0000D0470000}"/>
    <cellStyle name="Note 12 2 11" xfId="30507" xr:uid="{00000000-0005-0000-0000-0000D1470000}"/>
    <cellStyle name="Note 12 2 2" xfId="1264" xr:uid="{00000000-0005-0000-0000-0000D2470000}"/>
    <cellStyle name="Note 12 2 2 2" xfId="4117" xr:uid="{00000000-0005-0000-0000-0000D3470000}"/>
    <cellStyle name="Note 12 2 2 2 2" xfId="23089" xr:uid="{00000000-0005-0000-0000-0000D4470000}"/>
    <cellStyle name="Note 12 2 2 2 3" xfId="33934" xr:uid="{00000000-0005-0000-0000-0000D5470000}"/>
    <cellStyle name="Note 12 2 2 3" xfId="6790" xr:uid="{00000000-0005-0000-0000-0000D6470000}"/>
    <cellStyle name="Note 12 2 2 3 2" xfId="25762" xr:uid="{00000000-0005-0000-0000-0000D7470000}"/>
    <cellStyle name="Note 12 2 2 3 3" xfId="36607" xr:uid="{00000000-0005-0000-0000-0000D8470000}"/>
    <cellStyle name="Note 12 2 2 4" xfId="9449" xr:uid="{00000000-0005-0000-0000-0000D9470000}"/>
    <cellStyle name="Note 12 2 2 4 2" xfId="28421" xr:uid="{00000000-0005-0000-0000-0000DA470000}"/>
    <cellStyle name="Note 12 2 2 4 3" xfId="39266" xr:uid="{00000000-0005-0000-0000-0000DB470000}"/>
    <cellStyle name="Note 12 2 2 5" xfId="20245" xr:uid="{00000000-0005-0000-0000-0000DC470000}"/>
    <cellStyle name="Note 12 2 2 6" xfId="31090" xr:uid="{00000000-0005-0000-0000-0000DD470000}"/>
    <cellStyle name="Note 12 2 3" xfId="1663" xr:uid="{00000000-0005-0000-0000-0000DE470000}"/>
    <cellStyle name="Note 12 2 3 2" xfId="4516" xr:uid="{00000000-0005-0000-0000-0000DF470000}"/>
    <cellStyle name="Note 12 2 3 2 2" xfId="23488" xr:uid="{00000000-0005-0000-0000-0000E0470000}"/>
    <cellStyle name="Note 12 2 3 2 3" xfId="34333" xr:uid="{00000000-0005-0000-0000-0000E1470000}"/>
    <cellStyle name="Note 12 2 3 3" xfId="7188" xr:uid="{00000000-0005-0000-0000-0000E2470000}"/>
    <cellStyle name="Note 12 2 3 3 2" xfId="26160" xr:uid="{00000000-0005-0000-0000-0000E3470000}"/>
    <cellStyle name="Note 12 2 3 3 3" xfId="37005" xr:uid="{00000000-0005-0000-0000-0000E4470000}"/>
    <cellStyle name="Note 12 2 3 4" xfId="9847" xr:uid="{00000000-0005-0000-0000-0000E5470000}"/>
    <cellStyle name="Note 12 2 3 4 2" xfId="28819" xr:uid="{00000000-0005-0000-0000-0000E6470000}"/>
    <cellStyle name="Note 12 2 3 4 3" xfId="39664" xr:uid="{00000000-0005-0000-0000-0000E7470000}"/>
    <cellStyle name="Note 12 2 3 5" xfId="20643" xr:uid="{00000000-0005-0000-0000-0000E8470000}"/>
    <cellStyle name="Note 12 2 3 6" xfId="31488" xr:uid="{00000000-0005-0000-0000-0000E9470000}"/>
    <cellStyle name="Note 12 2 4" xfId="2067" xr:uid="{00000000-0005-0000-0000-0000EA470000}"/>
    <cellStyle name="Note 12 2 4 2" xfId="4920" xr:uid="{00000000-0005-0000-0000-0000EB470000}"/>
    <cellStyle name="Note 12 2 4 2 2" xfId="23892" xr:uid="{00000000-0005-0000-0000-0000EC470000}"/>
    <cellStyle name="Note 12 2 4 2 3" xfId="34737" xr:uid="{00000000-0005-0000-0000-0000ED470000}"/>
    <cellStyle name="Note 12 2 4 3" xfId="7591" xr:uid="{00000000-0005-0000-0000-0000EE470000}"/>
    <cellStyle name="Note 12 2 4 3 2" xfId="26563" xr:uid="{00000000-0005-0000-0000-0000EF470000}"/>
    <cellStyle name="Note 12 2 4 3 3" xfId="37408" xr:uid="{00000000-0005-0000-0000-0000F0470000}"/>
    <cellStyle name="Note 12 2 4 4" xfId="10250" xr:uid="{00000000-0005-0000-0000-0000F1470000}"/>
    <cellStyle name="Note 12 2 4 4 2" xfId="29222" xr:uid="{00000000-0005-0000-0000-0000F2470000}"/>
    <cellStyle name="Note 12 2 4 4 3" xfId="40067" xr:uid="{00000000-0005-0000-0000-0000F3470000}"/>
    <cellStyle name="Note 12 2 4 5" xfId="21046" xr:uid="{00000000-0005-0000-0000-0000F4470000}"/>
    <cellStyle name="Note 12 2 4 6" xfId="31891" xr:uid="{00000000-0005-0000-0000-0000F5470000}"/>
    <cellStyle name="Note 12 2 5" xfId="2457" xr:uid="{00000000-0005-0000-0000-0000F6470000}"/>
    <cellStyle name="Note 12 2 5 2" xfId="5309" xr:uid="{00000000-0005-0000-0000-0000F7470000}"/>
    <cellStyle name="Note 12 2 5 2 2" xfId="24281" xr:uid="{00000000-0005-0000-0000-0000F8470000}"/>
    <cellStyle name="Note 12 2 5 2 3" xfId="35126" xr:uid="{00000000-0005-0000-0000-0000F9470000}"/>
    <cellStyle name="Note 12 2 5 3" xfId="7980" xr:uid="{00000000-0005-0000-0000-0000FA470000}"/>
    <cellStyle name="Note 12 2 5 3 2" xfId="26952" xr:uid="{00000000-0005-0000-0000-0000FB470000}"/>
    <cellStyle name="Note 12 2 5 3 3" xfId="37797" xr:uid="{00000000-0005-0000-0000-0000FC470000}"/>
    <cellStyle name="Note 12 2 5 4" xfId="10639" xr:uid="{00000000-0005-0000-0000-0000FD470000}"/>
    <cellStyle name="Note 12 2 5 4 2" xfId="29611" xr:uid="{00000000-0005-0000-0000-0000FE470000}"/>
    <cellStyle name="Note 12 2 5 4 3" xfId="40456" xr:uid="{00000000-0005-0000-0000-0000FF470000}"/>
    <cellStyle name="Note 12 2 5 5" xfId="21435" xr:uid="{00000000-0005-0000-0000-000000480000}"/>
    <cellStyle name="Note 12 2 5 6" xfId="32280" xr:uid="{00000000-0005-0000-0000-000001480000}"/>
    <cellStyle name="Note 12 2 6" xfId="2843" xr:uid="{00000000-0005-0000-0000-000002480000}"/>
    <cellStyle name="Note 12 2 6 2" xfId="5694" xr:uid="{00000000-0005-0000-0000-000003480000}"/>
    <cellStyle name="Note 12 2 6 2 2" xfId="24666" xr:uid="{00000000-0005-0000-0000-000004480000}"/>
    <cellStyle name="Note 12 2 6 2 3" xfId="35511" xr:uid="{00000000-0005-0000-0000-000005480000}"/>
    <cellStyle name="Note 12 2 6 3" xfId="8365" xr:uid="{00000000-0005-0000-0000-000006480000}"/>
    <cellStyle name="Note 12 2 6 3 2" xfId="27337" xr:uid="{00000000-0005-0000-0000-000007480000}"/>
    <cellStyle name="Note 12 2 6 3 3" xfId="38182" xr:uid="{00000000-0005-0000-0000-000008480000}"/>
    <cellStyle name="Note 12 2 6 4" xfId="11024" xr:uid="{00000000-0005-0000-0000-000009480000}"/>
    <cellStyle name="Note 12 2 6 4 2" xfId="29996" xr:uid="{00000000-0005-0000-0000-00000A480000}"/>
    <cellStyle name="Note 12 2 6 4 3" xfId="40841" xr:uid="{00000000-0005-0000-0000-00000B480000}"/>
    <cellStyle name="Note 12 2 6 5" xfId="21820" xr:uid="{00000000-0005-0000-0000-00000C480000}"/>
    <cellStyle name="Note 12 2 6 6" xfId="32665" xr:uid="{00000000-0005-0000-0000-00000D480000}"/>
    <cellStyle name="Note 12 2 7" xfId="3532" xr:uid="{00000000-0005-0000-0000-00000E480000}"/>
    <cellStyle name="Note 12 2 7 2" xfId="22504" xr:uid="{00000000-0005-0000-0000-00000F480000}"/>
    <cellStyle name="Note 12 2 7 3" xfId="33349" xr:uid="{00000000-0005-0000-0000-000010480000}"/>
    <cellStyle name="Note 12 2 8" xfId="6207" xr:uid="{00000000-0005-0000-0000-000011480000}"/>
    <cellStyle name="Note 12 2 8 2" xfId="25179" xr:uid="{00000000-0005-0000-0000-000012480000}"/>
    <cellStyle name="Note 12 2 8 3" xfId="36024" xr:uid="{00000000-0005-0000-0000-000013480000}"/>
    <cellStyle name="Note 12 2 9" xfId="8866" xr:uid="{00000000-0005-0000-0000-000014480000}"/>
    <cellStyle name="Note 12 2 9 2" xfId="27838" xr:uid="{00000000-0005-0000-0000-000015480000}"/>
    <cellStyle name="Note 12 2 9 3" xfId="38683" xr:uid="{00000000-0005-0000-0000-000016480000}"/>
    <cellStyle name="Note 12 3" xfId="737" xr:uid="{00000000-0005-0000-0000-000017480000}"/>
    <cellStyle name="Note 12 3 10" xfId="19722" xr:uid="{00000000-0005-0000-0000-000018480000}"/>
    <cellStyle name="Note 12 3 11" xfId="30567" xr:uid="{00000000-0005-0000-0000-000019480000}"/>
    <cellStyle name="Note 12 3 2" xfId="1324" xr:uid="{00000000-0005-0000-0000-00001A480000}"/>
    <cellStyle name="Note 12 3 2 2" xfId="4177" xr:uid="{00000000-0005-0000-0000-00001B480000}"/>
    <cellStyle name="Note 12 3 2 2 2" xfId="23149" xr:uid="{00000000-0005-0000-0000-00001C480000}"/>
    <cellStyle name="Note 12 3 2 2 3" xfId="33994" xr:uid="{00000000-0005-0000-0000-00001D480000}"/>
    <cellStyle name="Note 12 3 2 3" xfId="6850" xr:uid="{00000000-0005-0000-0000-00001E480000}"/>
    <cellStyle name="Note 12 3 2 3 2" xfId="25822" xr:uid="{00000000-0005-0000-0000-00001F480000}"/>
    <cellStyle name="Note 12 3 2 3 3" xfId="36667" xr:uid="{00000000-0005-0000-0000-000020480000}"/>
    <cellStyle name="Note 12 3 2 4" xfId="9509" xr:uid="{00000000-0005-0000-0000-000021480000}"/>
    <cellStyle name="Note 12 3 2 4 2" xfId="28481" xr:uid="{00000000-0005-0000-0000-000022480000}"/>
    <cellStyle name="Note 12 3 2 4 3" xfId="39326" xr:uid="{00000000-0005-0000-0000-000023480000}"/>
    <cellStyle name="Note 12 3 2 5" xfId="20305" xr:uid="{00000000-0005-0000-0000-000024480000}"/>
    <cellStyle name="Note 12 3 2 6" xfId="31150" xr:uid="{00000000-0005-0000-0000-000025480000}"/>
    <cellStyle name="Note 12 3 3" xfId="1723" xr:uid="{00000000-0005-0000-0000-000026480000}"/>
    <cellStyle name="Note 12 3 3 2" xfId="4576" xr:uid="{00000000-0005-0000-0000-000027480000}"/>
    <cellStyle name="Note 12 3 3 2 2" xfId="23548" xr:uid="{00000000-0005-0000-0000-000028480000}"/>
    <cellStyle name="Note 12 3 3 2 3" xfId="34393" xr:uid="{00000000-0005-0000-0000-000029480000}"/>
    <cellStyle name="Note 12 3 3 3" xfId="7248" xr:uid="{00000000-0005-0000-0000-00002A480000}"/>
    <cellStyle name="Note 12 3 3 3 2" xfId="26220" xr:uid="{00000000-0005-0000-0000-00002B480000}"/>
    <cellStyle name="Note 12 3 3 3 3" xfId="37065" xr:uid="{00000000-0005-0000-0000-00002C480000}"/>
    <cellStyle name="Note 12 3 3 4" xfId="9907" xr:uid="{00000000-0005-0000-0000-00002D480000}"/>
    <cellStyle name="Note 12 3 3 4 2" xfId="28879" xr:uid="{00000000-0005-0000-0000-00002E480000}"/>
    <cellStyle name="Note 12 3 3 4 3" xfId="39724" xr:uid="{00000000-0005-0000-0000-00002F480000}"/>
    <cellStyle name="Note 12 3 3 5" xfId="20703" xr:uid="{00000000-0005-0000-0000-000030480000}"/>
    <cellStyle name="Note 12 3 3 6" xfId="31548" xr:uid="{00000000-0005-0000-0000-000031480000}"/>
    <cellStyle name="Note 12 3 4" xfId="2127" xr:uid="{00000000-0005-0000-0000-000032480000}"/>
    <cellStyle name="Note 12 3 4 2" xfId="4980" xr:uid="{00000000-0005-0000-0000-000033480000}"/>
    <cellStyle name="Note 12 3 4 2 2" xfId="23952" xr:uid="{00000000-0005-0000-0000-000034480000}"/>
    <cellStyle name="Note 12 3 4 2 3" xfId="34797" xr:uid="{00000000-0005-0000-0000-000035480000}"/>
    <cellStyle name="Note 12 3 4 3" xfId="7651" xr:uid="{00000000-0005-0000-0000-000036480000}"/>
    <cellStyle name="Note 12 3 4 3 2" xfId="26623" xr:uid="{00000000-0005-0000-0000-000037480000}"/>
    <cellStyle name="Note 12 3 4 3 3" xfId="37468" xr:uid="{00000000-0005-0000-0000-000038480000}"/>
    <cellStyle name="Note 12 3 4 4" xfId="10310" xr:uid="{00000000-0005-0000-0000-000039480000}"/>
    <cellStyle name="Note 12 3 4 4 2" xfId="29282" xr:uid="{00000000-0005-0000-0000-00003A480000}"/>
    <cellStyle name="Note 12 3 4 4 3" xfId="40127" xr:uid="{00000000-0005-0000-0000-00003B480000}"/>
    <cellStyle name="Note 12 3 4 5" xfId="21106" xr:uid="{00000000-0005-0000-0000-00003C480000}"/>
    <cellStyle name="Note 12 3 4 6" xfId="31951" xr:uid="{00000000-0005-0000-0000-00003D480000}"/>
    <cellStyle name="Note 12 3 5" xfId="2517" xr:uid="{00000000-0005-0000-0000-00003E480000}"/>
    <cellStyle name="Note 12 3 5 2" xfId="5369" xr:uid="{00000000-0005-0000-0000-00003F480000}"/>
    <cellStyle name="Note 12 3 5 2 2" xfId="24341" xr:uid="{00000000-0005-0000-0000-000040480000}"/>
    <cellStyle name="Note 12 3 5 2 3" xfId="35186" xr:uid="{00000000-0005-0000-0000-000041480000}"/>
    <cellStyle name="Note 12 3 5 3" xfId="8040" xr:uid="{00000000-0005-0000-0000-000042480000}"/>
    <cellStyle name="Note 12 3 5 3 2" xfId="27012" xr:uid="{00000000-0005-0000-0000-000043480000}"/>
    <cellStyle name="Note 12 3 5 3 3" xfId="37857" xr:uid="{00000000-0005-0000-0000-000044480000}"/>
    <cellStyle name="Note 12 3 5 4" xfId="10699" xr:uid="{00000000-0005-0000-0000-000045480000}"/>
    <cellStyle name="Note 12 3 5 4 2" xfId="29671" xr:uid="{00000000-0005-0000-0000-000046480000}"/>
    <cellStyle name="Note 12 3 5 4 3" xfId="40516" xr:uid="{00000000-0005-0000-0000-000047480000}"/>
    <cellStyle name="Note 12 3 5 5" xfId="21495" xr:uid="{00000000-0005-0000-0000-000048480000}"/>
    <cellStyle name="Note 12 3 5 6" xfId="32340" xr:uid="{00000000-0005-0000-0000-000049480000}"/>
    <cellStyle name="Note 12 3 6" xfId="2903" xr:uid="{00000000-0005-0000-0000-00004A480000}"/>
    <cellStyle name="Note 12 3 6 2" xfId="5754" xr:uid="{00000000-0005-0000-0000-00004B480000}"/>
    <cellStyle name="Note 12 3 6 2 2" xfId="24726" xr:uid="{00000000-0005-0000-0000-00004C480000}"/>
    <cellStyle name="Note 12 3 6 2 3" xfId="35571" xr:uid="{00000000-0005-0000-0000-00004D480000}"/>
    <cellStyle name="Note 12 3 6 3" xfId="8425" xr:uid="{00000000-0005-0000-0000-00004E480000}"/>
    <cellStyle name="Note 12 3 6 3 2" xfId="27397" xr:uid="{00000000-0005-0000-0000-00004F480000}"/>
    <cellStyle name="Note 12 3 6 3 3" xfId="38242" xr:uid="{00000000-0005-0000-0000-000050480000}"/>
    <cellStyle name="Note 12 3 6 4" xfId="11084" xr:uid="{00000000-0005-0000-0000-000051480000}"/>
    <cellStyle name="Note 12 3 6 4 2" xfId="30056" xr:uid="{00000000-0005-0000-0000-000052480000}"/>
    <cellStyle name="Note 12 3 6 4 3" xfId="40901" xr:uid="{00000000-0005-0000-0000-000053480000}"/>
    <cellStyle name="Note 12 3 6 5" xfId="21880" xr:uid="{00000000-0005-0000-0000-000054480000}"/>
    <cellStyle name="Note 12 3 6 6" xfId="32725" xr:uid="{00000000-0005-0000-0000-000055480000}"/>
    <cellStyle name="Note 12 3 7" xfId="3592" xr:uid="{00000000-0005-0000-0000-000056480000}"/>
    <cellStyle name="Note 12 3 7 2" xfId="22564" xr:uid="{00000000-0005-0000-0000-000057480000}"/>
    <cellStyle name="Note 12 3 7 3" xfId="33409" xr:uid="{00000000-0005-0000-0000-000058480000}"/>
    <cellStyle name="Note 12 3 8" xfId="6267" xr:uid="{00000000-0005-0000-0000-000059480000}"/>
    <cellStyle name="Note 12 3 8 2" xfId="25239" xr:uid="{00000000-0005-0000-0000-00005A480000}"/>
    <cellStyle name="Note 12 3 8 3" xfId="36084" xr:uid="{00000000-0005-0000-0000-00005B480000}"/>
    <cellStyle name="Note 12 3 9" xfId="8926" xr:uid="{00000000-0005-0000-0000-00005C480000}"/>
    <cellStyle name="Note 12 3 9 2" xfId="27898" xr:uid="{00000000-0005-0000-0000-00005D480000}"/>
    <cellStyle name="Note 12 3 9 3" xfId="38743" xr:uid="{00000000-0005-0000-0000-00005E480000}"/>
    <cellStyle name="Note 12 4" xfId="797" xr:uid="{00000000-0005-0000-0000-00005F480000}"/>
    <cellStyle name="Note 12 4 10" xfId="19782" xr:uid="{00000000-0005-0000-0000-000060480000}"/>
    <cellStyle name="Note 12 4 11" xfId="30627" xr:uid="{00000000-0005-0000-0000-000061480000}"/>
    <cellStyle name="Note 12 4 2" xfId="1384" xr:uid="{00000000-0005-0000-0000-000062480000}"/>
    <cellStyle name="Note 12 4 2 2" xfId="4237" xr:uid="{00000000-0005-0000-0000-000063480000}"/>
    <cellStyle name="Note 12 4 2 2 2" xfId="23209" xr:uid="{00000000-0005-0000-0000-000064480000}"/>
    <cellStyle name="Note 12 4 2 2 3" xfId="34054" xr:uid="{00000000-0005-0000-0000-000065480000}"/>
    <cellStyle name="Note 12 4 2 3" xfId="6910" xr:uid="{00000000-0005-0000-0000-000066480000}"/>
    <cellStyle name="Note 12 4 2 3 2" xfId="25882" xr:uid="{00000000-0005-0000-0000-000067480000}"/>
    <cellStyle name="Note 12 4 2 3 3" xfId="36727" xr:uid="{00000000-0005-0000-0000-000068480000}"/>
    <cellStyle name="Note 12 4 2 4" xfId="9569" xr:uid="{00000000-0005-0000-0000-000069480000}"/>
    <cellStyle name="Note 12 4 2 4 2" xfId="28541" xr:uid="{00000000-0005-0000-0000-00006A480000}"/>
    <cellStyle name="Note 12 4 2 4 3" xfId="39386" xr:uid="{00000000-0005-0000-0000-00006B480000}"/>
    <cellStyle name="Note 12 4 2 5" xfId="20365" xr:uid="{00000000-0005-0000-0000-00006C480000}"/>
    <cellStyle name="Note 12 4 2 6" xfId="31210" xr:uid="{00000000-0005-0000-0000-00006D480000}"/>
    <cellStyle name="Note 12 4 3" xfId="1783" xr:uid="{00000000-0005-0000-0000-00006E480000}"/>
    <cellStyle name="Note 12 4 3 2" xfId="4636" xr:uid="{00000000-0005-0000-0000-00006F480000}"/>
    <cellStyle name="Note 12 4 3 2 2" xfId="23608" xr:uid="{00000000-0005-0000-0000-000070480000}"/>
    <cellStyle name="Note 12 4 3 2 3" xfId="34453" xr:uid="{00000000-0005-0000-0000-000071480000}"/>
    <cellStyle name="Note 12 4 3 3" xfId="7308" xr:uid="{00000000-0005-0000-0000-000072480000}"/>
    <cellStyle name="Note 12 4 3 3 2" xfId="26280" xr:uid="{00000000-0005-0000-0000-000073480000}"/>
    <cellStyle name="Note 12 4 3 3 3" xfId="37125" xr:uid="{00000000-0005-0000-0000-000074480000}"/>
    <cellStyle name="Note 12 4 3 4" xfId="9967" xr:uid="{00000000-0005-0000-0000-000075480000}"/>
    <cellStyle name="Note 12 4 3 4 2" xfId="28939" xr:uid="{00000000-0005-0000-0000-000076480000}"/>
    <cellStyle name="Note 12 4 3 4 3" xfId="39784" xr:uid="{00000000-0005-0000-0000-000077480000}"/>
    <cellStyle name="Note 12 4 3 5" xfId="20763" xr:uid="{00000000-0005-0000-0000-000078480000}"/>
    <cellStyle name="Note 12 4 3 6" xfId="31608" xr:uid="{00000000-0005-0000-0000-000079480000}"/>
    <cellStyle name="Note 12 4 4" xfId="2187" xr:uid="{00000000-0005-0000-0000-00007A480000}"/>
    <cellStyle name="Note 12 4 4 2" xfId="5040" xr:uid="{00000000-0005-0000-0000-00007B480000}"/>
    <cellStyle name="Note 12 4 4 2 2" xfId="24012" xr:uid="{00000000-0005-0000-0000-00007C480000}"/>
    <cellStyle name="Note 12 4 4 2 3" xfId="34857" xr:uid="{00000000-0005-0000-0000-00007D480000}"/>
    <cellStyle name="Note 12 4 4 3" xfId="7711" xr:uid="{00000000-0005-0000-0000-00007E480000}"/>
    <cellStyle name="Note 12 4 4 3 2" xfId="26683" xr:uid="{00000000-0005-0000-0000-00007F480000}"/>
    <cellStyle name="Note 12 4 4 3 3" xfId="37528" xr:uid="{00000000-0005-0000-0000-000080480000}"/>
    <cellStyle name="Note 12 4 4 4" xfId="10370" xr:uid="{00000000-0005-0000-0000-000081480000}"/>
    <cellStyle name="Note 12 4 4 4 2" xfId="29342" xr:uid="{00000000-0005-0000-0000-000082480000}"/>
    <cellStyle name="Note 12 4 4 4 3" xfId="40187" xr:uid="{00000000-0005-0000-0000-000083480000}"/>
    <cellStyle name="Note 12 4 4 5" xfId="21166" xr:uid="{00000000-0005-0000-0000-000084480000}"/>
    <cellStyle name="Note 12 4 4 6" xfId="32011" xr:uid="{00000000-0005-0000-0000-000085480000}"/>
    <cellStyle name="Note 12 4 5" xfId="2577" xr:uid="{00000000-0005-0000-0000-000086480000}"/>
    <cellStyle name="Note 12 4 5 2" xfId="5429" xr:uid="{00000000-0005-0000-0000-000087480000}"/>
    <cellStyle name="Note 12 4 5 2 2" xfId="24401" xr:uid="{00000000-0005-0000-0000-000088480000}"/>
    <cellStyle name="Note 12 4 5 2 3" xfId="35246" xr:uid="{00000000-0005-0000-0000-000089480000}"/>
    <cellStyle name="Note 12 4 5 3" xfId="8100" xr:uid="{00000000-0005-0000-0000-00008A480000}"/>
    <cellStyle name="Note 12 4 5 3 2" xfId="27072" xr:uid="{00000000-0005-0000-0000-00008B480000}"/>
    <cellStyle name="Note 12 4 5 3 3" xfId="37917" xr:uid="{00000000-0005-0000-0000-00008C480000}"/>
    <cellStyle name="Note 12 4 5 4" xfId="10759" xr:uid="{00000000-0005-0000-0000-00008D480000}"/>
    <cellStyle name="Note 12 4 5 4 2" xfId="29731" xr:uid="{00000000-0005-0000-0000-00008E480000}"/>
    <cellStyle name="Note 12 4 5 4 3" xfId="40576" xr:uid="{00000000-0005-0000-0000-00008F480000}"/>
    <cellStyle name="Note 12 4 5 5" xfId="21555" xr:uid="{00000000-0005-0000-0000-000090480000}"/>
    <cellStyle name="Note 12 4 5 6" xfId="32400" xr:uid="{00000000-0005-0000-0000-000091480000}"/>
    <cellStyle name="Note 12 4 6" xfId="2963" xr:uid="{00000000-0005-0000-0000-000092480000}"/>
    <cellStyle name="Note 12 4 6 2" xfId="5814" xr:uid="{00000000-0005-0000-0000-000093480000}"/>
    <cellStyle name="Note 12 4 6 2 2" xfId="24786" xr:uid="{00000000-0005-0000-0000-000094480000}"/>
    <cellStyle name="Note 12 4 6 2 3" xfId="35631" xr:uid="{00000000-0005-0000-0000-000095480000}"/>
    <cellStyle name="Note 12 4 6 3" xfId="8485" xr:uid="{00000000-0005-0000-0000-000096480000}"/>
    <cellStyle name="Note 12 4 6 3 2" xfId="27457" xr:uid="{00000000-0005-0000-0000-000097480000}"/>
    <cellStyle name="Note 12 4 6 3 3" xfId="38302" xr:uid="{00000000-0005-0000-0000-000098480000}"/>
    <cellStyle name="Note 12 4 6 4" xfId="11144" xr:uid="{00000000-0005-0000-0000-000099480000}"/>
    <cellStyle name="Note 12 4 6 4 2" xfId="30116" xr:uid="{00000000-0005-0000-0000-00009A480000}"/>
    <cellStyle name="Note 12 4 6 4 3" xfId="40961" xr:uid="{00000000-0005-0000-0000-00009B480000}"/>
    <cellStyle name="Note 12 4 6 5" xfId="21940" xr:uid="{00000000-0005-0000-0000-00009C480000}"/>
    <cellStyle name="Note 12 4 6 6" xfId="32785" xr:uid="{00000000-0005-0000-0000-00009D480000}"/>
    <cellStyle name="Note 12 4 7" xfId="3652" xr:uid="{00000000-0005-0000-0000-00009E480000}"/>
    <cellStyle name="Note 12 4 7 2" xfId="22624" xr:uid="{00000000-0005-0000-0000-00009F480000}"/>
    <cellStyle name="Note 12 4 7 3" xfId="33469" xr:uid="{00000000-0005-0000-0000-0000A0480000}"/>
    <cellStyle name="Note 12 4 8" xfId="6327" xr:uid="{00000000-0005-0000-0000-0000A1480000}"/>
    <cellStyle name="Note 12 4 8 2" xfId="25299" xr:uid="{00000000-0005-0000-0000-0000A2480000}"/>
    <cellStyle name="Note 12 4 8 3" xfId="36144" xr:uid="{00000000-0005-0000-0000-0000A3480000}"/>
    <cellStyle name="Note 12 4 9" xfId="8986" xr:uid="{00000000-0005-0000-0000-0000A4480000}"/>
    <cellStyle name="Note 12 4 9 2" xfId="27958" xr:uid="{00000000-0005-0000-0000-0000A5480000}"/>
    <cellStyle name="Note 12 4 9 3" xfId="38803" xr:uid="{00000000-0005-0000-0000-0000A6480000}"/>
    <cellStyle name="Note 12 5" xfId="856" xr:uid="{00000000-0005-0000-0000-0000A7480000}"/>
    <cellStyle name="Note 12 5 10" xfId="19841" xr:uid="{00000000-0005-0000-0000-0000A8480000}"/>
    <cellStyle name="Note 12 5 11" xfId="30686" xr:uid="{00000000-0005-0000-0000-0000A9480000}"/>
    <cellStyle name="Note 12 5 2" xfId="1443" xr:uid="{00000000-0005-0000-0000-0000AA480000}"/>
    <cellStyle name="Note 12 5 2 2" xfId="4296" xr:uid="{00000000-0005-0000-0000-0000AB480000}"/>
    <cellStyle name="Note 12 5 2 2 2" xfId="23268" xr:uid="{00000000-0005-0000-0000-0000AC480000}"/>
    <cellStyle name="Note 12 5 2 2 3" xfId="34113" xr:uid="{00000000-0005-0000-0000-0000AD480000}"/>
    <cellStyle name="Note 12 5 2 3" xfId="6969" xr:uid="{00000000-0005-0000-0000-0000AE480000}"/>
    <cellStyle name="Note 12 5 2 3 2" xfId="25941" xr:uid="{00000000-0005-0000-0000-0000AF480000}"/>
    <cellStyle name="Note 12 5 2 3 3" xfId="36786" xr:uid="{00000000-0005-0000-0000-0000B0480000}"/>
    <cellStyle name="Note 12 5 2 4" xfId="9628" xr:uid="{00000000-0005-0000-0000-0000B1480000}"/>
    <cellStyle name="Note 12 5 2 4 2" xfId="28600" xr:uid="{00000000-0005-0000-0000-0000B2480000}"/>
    <cellStyle name="Note 12 5 2 4 3" xfId="39445" xr:uid="{00000000-0005-0000-0000-0000B3480000}"/>
    <cellStyle name="Note 12 5 2 5" xfId="20424" xr:uid="{00000000-0005-0000-0000-0000B4480000}"/>
    <cellStyle name="Note 12 5 2 6" xfId="31269" xr:uid="{00000000-0005-0000-0000-0000B5480000}"/>
    <cellStyle name="Note 12 5 3" xfId="1842" xr:uid="{00000000-0005-0000-0000-0000B6480000}"/>
    <cellStyle name="Note 12 5 3 2" xfId="4695" xr:uid="{00000000-0005-0000-0000-0000B7480000}"/>
    <cellStyle name="Note 12 5 3 2 2" xfId="23667" xr:uid="{00000000-0005-0000-0000-0000B8480000}"/>
    <cellStyle name="Note 12 5 3 2 3" xfId="34512" xr:uid="{00000000-0005-0000-0000-0000B9480000}"/>
    <cellStyle name="Note 12 5 3 3" xfId="7367" xr:uid="{00000000-0005-0000-0000-0000BA480000}"/>
    <cellStyle name="Note 12 5 3 3 2" xfId="26339" xr:uid="{00000000-0005-0000-0000-0000BB480000}"/>
    <cellStyle name="Note 12 5 3 3 3" xfId="37184" xr:uid="{00000000-0005-0000-0000-0000BC480000}"/>
    <cellStyle name="Note 12 5 3 4" xfId="10026" xr:uid="{00000000-0005-0000-0000-0000BD480000}"/>
    <cellStyle name="Note 12 5 3 4 2" xfId="28998" xr:uid="{00000000-0005-0000-0000-0000BE480000}"/>
    <cellStyle name="Note 12 5 3 4 3" xfId="39843" xr:uid="{00000000-0005-0000-0000-0000BF480000}"/>
    <cellStyle name="Note 12 5 3 5" xfId="20822" xr:uid="{00000000-0005-0000-0000-0000C0480000}"/>
    <cellStyle name="Note 12 5 3 6" xfId="31667" xr:uid="{00000000-0005-0000-0000-0000C1480000}"/>
    <cellStyle name="Note 12 5 4" xfId="2246" xr:uid="{00000000-0005-0000-0000-0000C2480000}"/>
    <cellStyle name="Note 12 5 4 2" xfId="5099" xr:uid="{00000000-0005-0000-0000-0000C3480000}"/>
    <cellStyle name="Note 12 5 4 2 2" xfId="24071" xr:uid="{00000000-0005-0000-0000-0000C4480000}"/>
    <cellStyle name="Note 12 5 4 2 3" xfId="34916" xr:uid="{00000000-0005-0000-0000-0000C5480000}"/>
    <cellStyle name="Note 12 5 4 3" xfId="7770" xr:uid="{00000000-0005-0000-0000-0000C6480000}"/>
    <cellStyle name="Note 12 5 4 3 2" xfId="26742" xr:uid="{00000000-0005-0000-0000-0000C7480000}"/>
    <cellStyle name="Note 12 5 4 3 3" xfId="37587" xr:uid="{00000000-0005-0000-0000-0000C8480000}"/>
    <cellStyle name="Note 12 5 4 4" xfId="10429" xr:uid="{00000000-0005-0000-0000-0000C9480000}"/>
    <cellStyle name="Note 12 5 4 4 2" xfId="29401" xr:uid="{00000000-0005-0000-0000-0000CA480000}"/>
    <cellStyle name="Note 12 5 4 4 3" xfId="40246" xr:uid="{00000000-0005-0000-0000-0000CB480000}"/>
    <cellStyle name="Note 12 5 4 5" xfId="21225" xr:uid="{00000000-0005-0000-0000-0000CC480000}"/>
    <cellStyle name="Note 12 5 4 6" xfId="32070" xr:uid="{00000000-0005-0000-0000-0000CD480000}"/>
    <cellStyle name="Note 12 5 5" xfId="2636" xr:uid="{00000000-0005-0000-0000-0000CE480000}"/>
    <cellStyle name="Note 12 5 5 2" xfId="5488" xr:uid="{00000000-0005-0000-0000-0000CF480000}"/>
    <cellStyle name="Note 12 5 5 2 2" xfId="24460" xr:uid="{00000000-0005-0000-0000-0000D0480000}"/>
    <cellStyle name="Note 12 5 5 2 3" xfId="35305" xr:uid="{00000000-0005-0000-0000-0000D1480000}"/>
    <cellStyle name="Note 12 5 5 3" xfId="8159" xr:uid="{00000000-0005-0000-0000-0000D2480000}"/>
    <cellStyle name="Note 12 5 5 3 2" xfId="27131" xr:uid="{00000000-0005-0000-0000-0000D3480000}"/>
    <cellStyle name="Note 12 5 5 3 3" xfId="37976" xr:uid="{00000000-0005-0000-0000-0000D4480000}"/>
    <cellStyle name="Note 12 5 5 4" xfId="10818" xr:uid="{00000000-0005-0000-0000-0000D5480000}"/>
    <cellStyle name="Note 12 5 5 4 2" xfId="29790" xr:uid="{00000000-0005-0000-0000-0000D6480000}"/>
    <cellStyle name="Note 12 5 5 4 3" xfId="40635" xr:uid="{00000000-0005-0000-0000-0000D7480000}"/>
    <cellStyle name="Note 12 5 5 5" xfId="21614" xr:uid="{00000000-0005-0000-0000-0000D8480000}"/>
    <cellStyle name="Note 12 5 5 6" xfId="32459" xr:uid="{00000000-0005-0000-0000-0000D9480000}"/>
    <cellStyle name="Note 12 5 6" xfId="3022" xr:uid="{00000000-0005-0000-0000-0000DA480000}"/>
    <cellStyle name="Note 12 5 6 2" xfId="5873" xr:uid="{00000000-0005-0000-0000-0000DB480000}"/>
    <cellStyle name="Note 12 5 6 2 2" xfId="24845" xr:uid="{00000000-0005-0000-0000-0000DC480000}"/>
    <cellStyle name="Note 12 5 6 2 3" xfId="35690" xr:uid="{00000000-0005-0000-0000-0000DD480000}"/>
    <cellStyle name="Note 12 5 6 3" xfId="8544" xr:uid="{00000000-0005-0000-0000-0000DE480000}"/>
    <cellStyle name="Note 12 5 6 3 2" xfId="27516" xr:uid="{00000000-0005-0000-0000-0000DF480000}"/>
    <cellStyle name="Note 12 5 6 3 3" xfId="38361" xr:uid="{00000000-0005-0000-0000-0000E0480000}"/>
    <cellStyle name="Note 12 5 6 4" xfId="11203" xr:uid="{00000000-0005-0000-0000-0000E1480000}"/>
    <cellStyle name="Note 12 5 6 4 2" xfId="30175" xr:uid="{00000000-0005-0000-0000-0000E2480000}"/>
    <cellStyle name="Note 12 5 6 4 3" xfId="41020" xr:uid="{00000000-0005-0000-0000-0000E3480000}"/>
    <cellStyle name="Note 12 5 6 5" xfId="21999" xr:uid="{00000000-0005-0000-0000-0000E4480000}"/>
    <cellStyle name="Note 12 5 6 6" xfId="32844" xr:uid="{00000000-0005-0000-0000-0000E5480000}"/>
    <cellStyle name="Note 12 5 7" xfId="3711" xr:uid="{00000000-0005-0000-0000-0000E6480000}"/>
    <cellStyle name="Note 12 5 7 2" xfId="22683" xr:uid="{00000000-0005-0000-0000-0000E7480000}"/>
    <cellStyle name="Note 12 5 7 3" xfId="33528" xr:uid="{00000000-0005-0000-0000-0000E8480000}"/>
    <cellStyle name="Note 12 5 8" xfId="6386" xr:uid="{00000000-0005-0000-0000-0000E9480000}"/>
    <cellStyle name="Note 12 5 8 2" xfId="25358" xr:uid="{00000000-0005-0000-0000-0000EA480000}"/>
    <cellStyle name="Note 12 5 8 3" xfId="36203" xr:uid="{00000000-0005-0000-0000-0000EB480000}"/>
    <cellStyle name="Note 12 5 9" xfId="9045" xr:uid="{00000000-0005-0000-0000-0000EC480000}"/>
    <cellStyle name="Note 12 5 9 2" xfId="28017" xr:uid="{00000000-0005-0000-0000-0000ED480000}"/>
    <cellStyle name="Note 12 5 9 3" xfId="38862" xr:uid="{00000000-0005-0000-0000-0000EE480000}"/>
    <cellStyle name="Note 12 6" xfId="1078" xr:uid="{00000000-0005-0000-0000-0000EF480000}"/>
    <cellStyle name="Note 12 6 2" xfId="3931" xr:uid="{00000000-0005-0000-0000-0000F0480000}"/>
    <cellStyle name="Note 12 6 2 2" xfId="22903" xr:uid="{00000000-0005-0000-0000-0000F1480000}"/>
    <cellStyle name="Note 12 6 2 3" xfId="33748" xr:uid="{00000000-0005-0000-0000-0000F2480000}"/>
    <cellStyle name="Note 12 6 3" xfId="6605" xr:uid="{00000000-0005-0000-0000-0000F3480000}"/>
    <cellStyle name="Note 12 6 3 2" xfId="25577" xr:uid="{00000000-0005-0000-0000-0000F4480000}"/>
    <cellStyle name="Note 12 6 3 3" xfId="36422" xr:uid="{00000000-0005-0000-0000-0000F5480000}"/>
    <cellStyle name="Note 12 6 4" xfId="9264" xr:uid="{00000000-0005-0000-0000-0000F6480000}"/>
    <cellStyle name="Note 12 6 4 2" xfId="28236" xr:uid="{00000000-0005-0000-0000-0000F7480000}"/>
    <cellStyle name="Note 12 6 4 3" xfId="39081" xr:uid="{00000000-0005-0000-0000-0000F8480000}"/>
    <cellStyle name="Note 12 6 5" xfId="20060" xr:uid="{00000000-0005-0000-0000-0000F9480000}"/>
    <cellStyle name="Note 12 6 6" xfId="30905" xr:uid="{00000000-0005-0000-0000-0000FA480000}"/>
    <cellStyle name="Note 12 7" xfId="997" xr:uid="{00000000-0005-0000-0000-0000FB480000}"/>
    <cellStyle name="Note 12 7 2" xfId="3850" xr:uid="{00000000-0005-0000-0000-0000FC480000}"/>
    <cellStyle name="Note 12 7 2 2" xfId="22822" xr:uid="{00000000-0005-0000-0000-0000FD480000}"/>
    <cellStyle name="Note 12 7 2 3" xfId="33667" xr:uid="{00000000-0005-0000-0000-0000FE480000}"/>
    <cellStyle name="Note 12 7 3" xfId="6525" xr:uid="{00000000-0005-0000-0000-0000FF480000}"/>
    <cellStyle name="Note 12 7 3 2" xfId="25497" xr:uid="{00000000-0005-0000-0000-000000490000}"/>
    <cellStyle name="Note 12 7 3 3" xfId="36342" xr:uid="{00000000-0005-0000-0000-000001490000}"/>
    <cellStyle name="Note 12 7 4" xfId="9184" xr:uid="{00000000-0005-0000-0000-000002490000}"/>
    <cellStyle name="Note 12 7 4 2" xfId="28156" xr:uid="{00000000-0005-0000-0000-000003490000}"/>
    <cellStyle name="Note 12 7 4 3" xfId="39001" xr:uid="{00000000-0005-0000-0000-000004490000}"/>
    <cellStyle name="Note 12 7 5" xfId="19980" xr:uid="{00000000-0005-0000-0000-000005490000}"/>
    <cellStyle name="Note 12 7 6" xfId="30825" xr:uid="{00000000-0005-0000-0000-000006490000}"/>
    <cellStyle name="Note 12 8" xfId="1044" xr:uid="{00000000-0005-0000-0000-000007490000}"/>
    <cellStyle name="Note 12 8 2" xfId="3897" xr:uid="{00000000-0005-0000-0000-000008490000}"/>
    <cellStyle name="Note 12 8 2 2" xfId="22869" xr:uid="{00000000-0005-0000-0000-000009490000}"/>
    <cellStyle name="Note 12 8 2 3" xfId="33714" xr:uid="{00000000-0005-0000-0000-00000A490000}"/>
    <cellStyle name="Note 12 8 3" xfId="6571" xr:uid="{00000000-0005-0000-0000-00000B490000}"/>
    <cellStyle name="Note 12 8 3 2" xfId="25543" xr:uid="{00000000-0005-0000-0000-00000C490000}"/>
    <cellStyle name="Note 12 8 3 3" xfId="36388" xr:uid="{00000000-0005-0000-0000-00000D490000}"/>
    <cellStyle name="Note 12 8 4" xfId="9230" xr:uid="{00000000-0005-0000-0000-00000E490000}"/>
    <cellStyle name="Note 12 8 4 2" xfId="28202" xr:uid="{00000000-0005-0000-0000-00000F490000}"/>
    <cellStyle name="Note 12 8 4 3" xfId="39047" xr:uid="{00000000-0005-0000-0000-000010490000}"/>
    <cellStyle name="Note 12 8 5" xfId="20026" xr:uid="{00000000-0005-0000-0000-000011490000}"/>
    <cellStyle name="Note 12 8 6" xfId="30871" xr:uid="{00000000-0005-0000-0000-000012490000}"/>
    <cellStyle name="Note 12 9" xfId="984" xr:uid="{00000000-0005-0000-0000-000013490000}"/>
    <cellStyle name="Note 12 9 2" xfId="3837" xr:uid="{00000000-0005-0000-0000-000014490000}"/>
    <cellStyle name="Note 12 9 2 2" xfId="22809" xr:uid="{00000000-0005-0000-0000-000015490000}"/>
    <cellStyle name="Note 12 9 2 3" xfId="33654" xr:uid="{00000000-0005-0000-0000-000016490000}"/>
    <cellStyle name="Note 12 9 3" xfId="6512" xr:uid="{00000000-0005-0000-0000-000017490000}"/>
    <cellStyle name="Note 12 9 3 2" xfId="25484" xr:uid="{00000000-0005-0000-0000-000018490000}"/>
    <cellStyle name="Note 12 9 3 3" xfId="36329" xr:uid="{00000000-0005-0000-0000-000019490000}"/>
    <cellStyle name="Note 12 9 4" xfId="9171" xr:uid="{00000000-0005-0000-0000-00001A490000}"/>
    <cellStyle name="Note 12 9 4 2" xfId="28143" xr:uid="{00000000-0005-0000-0000-00001B490000}"/>
    <cellStyle name="Note 12 9 4 3" xfId="38988" xr:uid="{00000000-0005-0000-0000-00001C490000}"/>
    <cellStyle name="Note 12 9 5" xfId="19967" xr:uid="{00000000-0005-0000-0000-00001D490000}"/>
    <cellStyle name="Note 12 9 6" xfId="30812" xr:uid="{00000000-0005-0000-0000-00001E490000}"/>
    <cellStyle name="Note 13" xfId="560" xr:uid="{00000000-0005-0000-0000-00001F490000}"/>
    <cellStyle name="Note 13 10" xfId="19570" xr:uid="{00000000-0005-0000-0000-000020490000}"/>
    <cellStyle name="Note 13 11" xfId="30415" xr:uid="{00000000-0005-0000-0000-000021490000}"/>
    <cellStyle name="Note 13 2" xfId="1166" xr:uid="{00000000-0005-0000-0000-000022490000}"/>
    <cellStyle name="Note 13 2 2" xfId="4019" xr:uid="{00000000-0005-0000-0000-000023490000}"/>
    <cellStyle name="Note 13 2 2 2" xfId="22991" xr:uid="{00000000-0005-0000-0000-000024490000}"/>
    <cellStyle name="Note 13 2 2 3" xfId="33836" xr:uid="{00000000-0005-0000-0000-000025490000}"/>
    <cellStyle name="Note 13 2 3" xfId="6692" xr:uid="{00000000-0005-0000-0000-000026490000}"/>
    <cellStyle name="Note 13 2 3 2" xfId="25664" xr:uid="{00000000-0005-0000-0000-000027490000}"/>
    <cellStyle name="Note 13 2 3 3" xfId="36509" xr:uid="{00000000-0005-0000-0000-000028490000}"/>
    <cellStyle name="Note 13 2 4" xfId="9351" xr:uid="{00000000-0005-0000-0000-000029490000}"/>
    <cellStyle name="Note 13 2 4 2" xfId="28323" xr:uid="{00000000-0005-0000-0000-00002A490000}"/>
    <cellStyle name="Note 13 2 4 3" xfId="39168" xr:uid="{00000000-0005-0000-0000-00002B490000}"/>
    <cellStyle name="Note 13 2 5" xfId="20147" xr:uid="{00000000-0005-0000-0000-00002C490000}"/>
    <cellStyle name="Note 13 2 6" xfId="30992" xr:uid="{00000000-0005-0000-0000-00002D490000}"/>
    <cellStyle name="Note 13 3" xfId="1563" xr:uid="{00000000-0005-0000-0000-00002E490000}"/>
    <cellStyle name="Note 13 3 2" xfId="4416" xr:uid="{00000000-0005-0000-0000-00002F490000}"/>
    <cellStyle name="Note 13 3 2 2" xfId="23388" xr:uid="{00000000-0005-0000-0000-000030490000}"/>
    <cellStyle name="Note 13 3 2 3" xfId="34233" xr:uid="{00000000-0005-0000-0000-000031490000}"/>
    <cellStyle name="Note 13 3 3" xfId="7088" xr:uid="{00000000-0005-0000-0000-000032490000}"/>
    <cellStyle name="Note 13 3 3 2" xfId="26060" xr:uid="{00000000-0005-0000-0000-000033490000}"/>
    <cellStyle name="Note 13 3 3 3" xfId="36905" xr:uid="{00000000-0005-0000-0000-000034490000}"/>
    <cellStyle name="Note 13 3 4" xfId="9747" xr:uid="{00000000-0005-0000-0000-000035490000}"/>
    <cellStyle name="Note 13 3 4 2" xfId="28719" xr:uid="{00000000-0005-0000-0000-000036490000}"/>
    <cellStyle name="Note 13 3 4 3" xfId="39564" xr:uid="{00000000-0005-0000-0000-000037490000}"/>
    <cellStyle name="Note 13 3 5" xfId="20543" xr:uid="{00000000-0005-0000-0000-000038490000}"/>
    <cellStyle name="Note 13 3 6" xfId="31388" xr:uid="{00000000-0005-0000-0000-000039490000}"/>
    <cellStyle name="Note 13 4" xfId="1967" xr:uid="{00000000-0005-0000-0000-00003A490000}"/>
    <cellStyle name="Note 13 4 2" xfId="4820" xr:uid="{00000000-0005-0000-0000-00003B490000}"/>
    <cellStyle name="Note 13 4 2 2" xfId="23792" xr:uid="{00000000-0005-0000-0000-00003C490000}"/>
    <cellStyle name="Note 13 4 2 3" xfId="34637" xr:uid="{00000000-0005-0000-0000-00003D490000}"/>
    <cellStyle name="Note 13 4 3" xfId="7492" xr:uid="{00000000-0005-0000-0000-00003E490000}"/>
    <cellStyle name="Note 13 4 3 2" xfId="26464" xr:uid="{00000000-0005-0000-0000-00003F490000}"/>
    <cellStyle name="Note 13 4 3 3" xfId="37309" xr:uid="{00000000-0005-0000-0000-000040490000}"/>
    <cellStyle name="Note 13 4 4" xfId="10151" xr:uid="{00000000-0005-0000-0000-000041490000}"/>
    <cellStyle name="Note 13 4 4 2" xfId="29123" xr:uid="{00000000-0005-0000-0000-000042490000}"/>
    <cellStyle name="Note 13 4 4 3" xfId="39968" xr:uid="{00000000-0005-0000-0000-000043490000}"/>
    <cellStyle name="Note 13 4 5" xfId="20947" xr:uid="{00000000-0005-0000-0000-000044490000}"/>
    <cellStyle name="Note 13 4 6" xfId="31792" xr:uid="{00000000-0005-0000-0000-000045490000}"/>
    <cellStyle name="Note 13 5" xfId="2359" xr:uid="{00000000-0005-0000-0000-000046490000}"/>
    <cellStyle name="Note 13 5 2" xfId="5212" xr:uid="{00000000-0005-0000-0000-000047490000}"/>
    <cellStyle name="Note 13 5 2 2" xfId="24184" xr:uid="{00000000-0005-0000-0000-000048490000}"/>
    <cellStyle name="Note 13 5 2 3" xfId="35029" xr:uid="{00000000-0005-0000-0000-000049490000}"/>
    <cellStyle name="Note 13 5 3" xfId="7883" xr:uid="{00000000-0005-0000-0000-00004A490000}"/>
    <cellStyle name="Note 13 5 3 2" xfId="26855" xr:uid="{00000000-0005-0000-0000-00004B490000}"/>
    <cellStyle name="Note 13 5 3 3" xfId="37700" xr:uid="{00000000-0005-0000-0000-00004C490000}"/>
    <cellStyle name="Note 13 5 4" xfId="10542" xr:uid="{00000000-0005-0000-0000-00004D490000}"/>
    <cellStyle name="Note 13 5 4 2" xfId="29514" xr:uid="{00000000-0005-0000-0000-00004E490000}"/>
    <cellStyle name="Note 13 5 4 3" xfId="40359" xr:uid="{00000000-0005-0000-0000-00004F490000}"/>
    <cellStyle name="Note 13 5 5" xfId="21338" xr:uid="{00000000-0005-0000-0000-000050490000}"/>
    <cellStyle name="Note 13 5 6" xfId="32183" xr:uid="{00000000-0005-0000-0000-000051490000}"/>
    <cellStyle name="Note 13 6" xfId="2748" xr:uid="{00000000-0005-0000-0000-000052490000}"/>
    <cellStyle name="Note 13 6 2" xfId="5600" xr:uid="{00000000-0005-0000-0000-000053490000}"/>
    <cellStyle name="Note 13 6 2 2" xfId="24572" xr:uid="{00000000-0005-0000-0000-000054490000}"/>
    <cellStyle name="Note 13 6 2 3" xfId="35417" xr:uid="{00000000-0005-0000-0000-000055490000}"/>
    <cellStyle name="Note 13 6 3" xfId="8271" xr:uid="{00000000-0005-0000-0000-000056490000}"/>
    <cellStyle name="Note 13 6 3 2" xfId="27243" xr:uid="{00000000-0005-0000-0000-000057490000}"/>
    <cellStyle name="Note 13 6 3 3" xfId="38088" xr:uid="{00000000-0005-0000-0000-000058490000}"/>
    <cellStyle name="Note 13 6 4" xfId="10930" xr:uid="{00000000-0005-0000-0000-000059490000}"/>
    <cellStyle name="Note 13 6 4 2" xfId="29902" xr:uid="{00000000-0005-0000-0000-00005A490000}"/>
    <cellStyle name="Note 13 6 4 3" xfId="40747" xr:uid="{00000000-0005-0000-0000-00005B490000}"/>
    <cellStyle name="Note 13 6 5" xfId="21726" xr:uid="{00000000-0005-0000-0000-00005C490000}"/>
    <cellStyle name="Note 13 6 6" xfId="32571" xr:uid="{00000000-0005-0000-0000-00005D490000}"/>
    <cellStyle name="Note 13 7" xfId="3439" xr:uid="{00000000-0005-0000-0000-00005E490000}"/>
    <cellStyle name="Note 13 7 2" xfId="22411" xr:uid="{00000000-0005-0000-0000-00005F490000}"/>
    <cellStyle name="Note 13 7 3" xfId="33256" xr:uid="{00000000-0005-0000-0000-000060490000}"/>
    <cellStyle name="Note 13 8" xfId="6115" xr:uid="{00000000-0005-0000-0000-000061490000}"/>
    <cellStyle name="Note 13 8 2" xfId="25087" xr:uid="{00000000-0005-0000-0000-000062490000}"/>
    <cellStyle name="Note 13 8 3" xfId="35932" xr:uid="{00000000-0005-0000-0000-000063490000}"/>
    <cellStyle name="Note 13 9" xfId="8774" xr:uid="{00000000-0005-0000-0000-000064490000}"/>
    <cellStyle name="Note 13 9 2" xfId="27746" xr:uid="{00000000-0005-0000-0000-000065490000}"/>
    <cellStyle name="Note 13 9 3" xfId="38591" xr:uid="{00000000-0005-0000-0000-000066490000}"/>
    <cellStyle name="Note 14" xfId="488" xr:uid="{00000000-0005-0000-0000-000067490000}"/>
    <cellStyle name="Note 14 2" xfId="3404" xr:uid="{00000000-0005-0000-0000-000068490000}"/>
    <cellStyle name="Note 14 2 2" xfId="22376" xr:uid="{00000000-0005-0000-0000-000069490000}"/>
    <cellStyle name="Note 14 2 3" xfId="33221" xr:uid="{00000000-0005-0000-0000-00006A490000}"/>
    <cellStyle name="Note 14 3" xfId="6082" xr:uid="{00000000-0005-0000-0000-00006B490000}"/>
    <cellStyle name="Note 14 3 2" xfId="25054" xr:uid="{00000000-0005-0000-0000-00006C490000}"/>
    <cellStyle name="Note 14 3 3" xfId="35899" xr:uid="{00000000-0005-0000-0000-00006D490000}"/>
    <cellStyle name="Note 14 4" xfId="8741" xr:uid="{00000000-0005-0000-0000-00006E490000}"/>
    <cellStyle name="Note 14 4 2" xfId="27713" xr:uid="{00000000-0005-0000-0000-00006F490000}"/>
    <cellStyle name="Note 14 4 3" xfId="38558" xr:uid="{00000000-0005-0000-0000-000070490000}"/>
    <cellStyle name="Note 14 5" xfId="19527" xr:uid="{00000000-0005-0000-0000-000071490000}"/>
    <cellStyle name="Note 14 6" xfId="30372" xr:uid="{00000000-0005-0000-0000-000072490000}"/>
    <cellStyle name="Note 15" xfId="11460" xr:uid="{00000000-0005-0000-0000-000073490000}"/>
    <cellStyle name="Note 2" xfId="126" xr:uid="{00000000-0005-0000-0000-000074490000}"/>
    <cellStyle name="Note 2 10" xfId="378" xr:uid="{00000000-0005-0000-0000-000075490000}"/>
    <cellStyle name="Note 2 10 10" xfId="1116" xr:uid="{00000000-0005-0000-0000-000076490000}"/>
    <cellStyle name="Note 2 10 10 2" xfId="3969" xr:uid="{00000000-0005-0000-0000-000077490000}"/>
    <cellStyle name="Note 2 10 10 2 2" xfId="22941" xr:uid="{00000000-0005-0000-0000-000078490000}"/>
    <cellStyle name="Note 2 10 10 2 3" xfId="33786" xr:uid="{00000000-0005-0000-0000-000079490000}"/>
    <cellStyle name="Note 2 10 10 3" xfId="6643" xr:uid="{00000000-0005-0000-0000-00007A490000}"/>
    <cellStyle name="Note 2 10 10 3 2" xfId="25615" xr:uid="{00000000-0005-0000-0000-00007B490000}"/>
    <cellStyle name="Note 2 10 10 3 3" xfId="36460" xr:uid="{00000000-0005-0000-0000-00007C490000}"/>
    <cellStyle name="Note 2 10 10 4" xfId="9302" xr:uid="{00000000-0005-0000-0000-00007D490000}"/>
    <cellStyle name="Note 2 10 10 4 2" xfId="28274" xr:uid="{00000000-0005-0000-0000-00007E490000}"/>
    <cellStyle name="Note 2 10 10 4 3" xfId="39119" xr:uid="{00000000-0005-0000-0000-00007F490000}"/>
    <cellStyle name="Note 2 10 10 5" xfId="20098" xr:uid="{00000000-0005-0000-0000-000080490000}"/>
    <cellStyle name="Note 2 10 10 6" xfId="30943" xr:uid="{00000000-0005-0000-0000-000081490000}"/>
    <cellStyle name="Note 2 10 11" xfId="1639" xr:uid="{00000000-0005-0000-0000-000082490000}"/>
    <cellStyle name="Note 2 10 11 2" xfId="4492" xr:uid="{00000000-0005-0000-0000-000083490000}"/>
    <cellStyle name="Note 2 10 11 2 2" xfId="23464" xr:uid="{00000000-0005-0000-0000-000084490000}"/>
    <cellStyle name="Note 2 10 11 2 3" xfId="34309" xr:uid="{00000000-0005-0000-0000-000085490000}"/>
    <cellStyle name="Note 2 10 11 3" xfId="7164" xr:uid="{00000000-0005-0000-0000-000086490000}"/>
    <cellStyle name="Note 2 10 11 3 2" xfId="26136" xr:uid="{00000000-0005-0000-0000-000087490000}"/>
    <cellStyle name="Note 2 10 11 3 3" xfId="36981" xr:uid="{00000000-0005-0000-0000-000088490000}"/>
    <cellStyle name="Note 2 10 11 4" xfId="9823" xr:uid="{00000000-0005-0000-0000-000089490000}"/>
    <cellStyle name="Note 2 10 11 4 2" xfId="28795" xr:uid="{00000000-0005-0000-0000-00008A490000}"/>
    <cellStyle name="Note 2 10 11 4 3" xfId="39640" xr:uid="{00000000-0005-0000-0000-00008B490000}"/>
    <cellStyle name="Note 2 10 11 5" xfId="20619" xr:uid="{00000000-0005-0000-0000-00008C490000}"/>
    <cellStyle name="Note 2 10 11 6" xfId="31464" xr:uid="{00000000-0005-0000-0000-00008D490000}"/>
    <cellStyle name="Note 2 10 12" xfId="3113" xr:uid="{00000000-0005-0000-0000-00008E490000}"/>
    <cellStyle name="Note 2 10 12 2" xfId="5964" xr:uid="{00000000-0005-0000-0000-00008F490000}"/>
    <cellStyle name="Note 2 10 12 2 2" xfId="24936" xr:uid="{00000000-0005-0000-0000-000090490000}"/>
    <cellStyle name="Note 2 10 12 2 3" xfId="35781" xr:uid="{00000000-0005-0000-0000-000091490000}"/>
    <cellStyle name="Note 2 10 12 3" xfId="8635" xr:uid="{00000000-0005-0000-0000-000092490000}"/>
    <cellStyle name="Note 2 10 12 3 2" xfId="27607" xr:uid="{00000000-0005-0000-0000-000093490000}"/>
    <cellStyle name="Note 2 10 12 3 3" xfId="38452" xr:uid="{00000000-0005-0000-0000-000094490000}"/>
    <cellStyle name="Note 2 10 12 4" xfId="11294" xr:uid="{00000000-0005-0000-0000-000095490000}"/>
    <cellStyle name="Note 2 10 12 4 2" xfId="30266" xr:uid="{00000000-0005-0000-0000-000096490000}"/>
    <cellStyle name="Note 2 10 12 4 3" xfId="41111" xr:uid="{00000000-0005-0000-0000-000097490000}"/>
    <cellStyle name="Note 2 10 12 5" xfId="22090" xr:uid="{00000000-0005-0000-0000-000098490000}"/>
    <cellStyle name="Note 2 10 12 6" xfId="32935" xr:uid="{00000000-0005-0000-0000-000099490000}"/>
    <cellStyle name="Note 2 10 13" xfId="3170" xr:uid="{00000000-0005-0000-0000-00009A490000}"/>
    <cellStyle name="Note 2 10 13 2" xfId="6021" xr:uid="{00000000-0005-0000-0000-00009B490000}"/>
    <cellStyle name="Note 2 10 13 2 2" xfId="24993" xr:uid="{00000000-0005-0000-0000-00009C490000}"/>
    <cellStyle name="Note 2 10 13 2 3" xfId="35838" xr:uid="{00000000-0005-0000-0000-00009D490000}"/>
    <cellStyle name="Note 2 10 13 3" xfId="8692" xr:uid="{00000000-0005-0000-0000-00009E490000}"/>
    <cellStyle name="Note 2 10 13 3 2" xfId="27664" xr:uid="{00000000-0005-0000-0000-00009F490000}"/>
    <cellStyle name="Note 2 10 13 3 3" xfId="38509" xr:uid="{00000000-0005-0000-0000-0000A0490000}"/>
    <cellStyle name="Note 2 10 13 4" xfId="11351" xr:uid="{00000000-0005-0000-0000-0000A1490000}"/>
    <cellStyle name="Note 2 10 13 4 2" xfId="30323" xr:uid="{00000000-0005-0000-0000-0000A2490000}"/>
    <cellStyle name="Note 2 10 13 4 3" xfId="41168" xr:uid="{00000000-0005-0000-0000-0000A3490000}"/>
    <cellStyle name="Note 2 10 13 5" xfId="22147" xr:uid="{00000000-0005-0000-0000-0000A4490000}"/>
    <cellStyle name="Note 2 10 13 6" xfId="32992" xr:uid="{00000000-0005-0000-0000-0000A5490000}"/>
    <cellStyle name="Note 2 10 14" xfId="3336" xr:uid="{00000000-0005-0000-0000-0000A6490000}"/>
    <cellStyle name="Note 2 10 14 2" xfId="22310" xr:uid="{00000000-0005-0000-0000-0000A7490000}"/>
    <cellStyle name="Note 2 10 14 3" xfId="33155" xr:uid="{00000000-0005-0000-0000-0000A8490000}"/>
    <cellStyle name="Note 2 10 15" xfId="3324" xr:uid="{00000000-0005-0000-0000-0000A9490000}"/>
    <cellStyle name="Note 2 10 15 2" xfId="22298" xr:uid="{00000000-0005-0000-0000-0000AA490000}"/>
    <cellStyle name="Note 2 10 15 3" xfId="33143" xr:uid="{00000000-0005-0000-0000-0000AB490000}"/>
    <cellStyle name="Note 2 10 16" xfId="3290" xr:uid="{00000000-0005-0000-0000-0000AC490000}"/>
    <cellStyle name="Note 2 10 16 2" xfId="22264" xr:uid="{00000000-0005-0000-0000-0000AD490000}"/>
    <cellStyle name="Note 2 10 16 3" xfId="33109" xr:uid="{00000000-0005-0000-0000-0000AE490000}"/>
    <cellStyle name="Note 2 10 17" xfId="19467" xr:uid="{00000000-0005-0000-0000-0000AF490000}"/>
    <cellStyle name="Note 2 10 18" xfId="19399" xr:uid="{00000000-0005-0000-0000-0000B0490000}"/>
    <cellStyle name="Note 2 10 2" xfId="678" xr:uid="{00000000-0005-0000-0000-0000B1490000}"/>
    <cellStyle name="Note 2 10 2 10" xfId="19663" xr:uid="{00000000-0005-0000-0000-0000B2490000}"/>
    <cellStyle name="Note 2 10 2 11" xfId="30508" xr:uid="{00000000-0005-0000-0000-0000B3490000}"/>
    <cellStyle name="Note 2 10 2 2" xfId="1265" xr:uid="{00000000-0005-0000-0000-0000B4490000}"/>
    <cellStyle name="Note 2 10 2 2 2" xfId="4118" xr:uid="{00000000-0005-0000-0000-0000B5490000}"/>
    <cellStyle name="Note 2 10 2 2 2 2" xfId="23090" xr:uid="{00000000-0005-0000-0000-0000B6490000}"/>
    <cellStyle name="Note 2 10 2 2 2 3" xfId="33935" xr:uid="{00000000-0005-0000-0000-0000B7490000}"/>
    <cellStyle name="Note 2 10 2 2 3" xfId="6791" xr:uid="{00000000-0005-0000-0000-0000B8490000}"/>
    <cellStyle name="Note 2 10 2 2 3 2" xfId="25763" xr:uid="{00000000-0005-0000-0000-0000B9490000}"/>
    <cellStyle name="Note 2 10 2 2 3 3" xfId="36608" xr:uid="{00000000-0005-0000-0000-0000BA490000}"/>
    <cellStyle name="Note 2 10 2 2 4" xfId="9450" xr:uid="{00000000-0005-0000-0000-0000BB490000}"/>
    <cellStyle name="Note 2 10 2 2 4 2" xfId="28422" xr:uid="{00000000-0005-0000-0000-0000BC490000}"/>
    <cellStyle name="Note 2 10 2 2 4 3" xfId="39267" xr:uid="{00000000-0005-0000-0000-0000BD490000}"/>
    <cellStyle name="Note 2 10 2 2 5" xfId="20246" xr:uid="{00000000-0005-0000-0000-0000BE490000}"/>
    <cellStyle name="Note 2 10 2 2 6" xfId="31091" xr:uid="{00000000-0005-0000-0000-0000BF490000}"/>
    <cellStyle name="Note 2 10 2 3" xfId="1664" xr:uid="{00000000-0005-0000-0000-0000C0490000}"/>
    <cellStyle name="Note 2 10 2 3 2" xfId="4517" xr:uid="{00000000-0005-0000-0000-0000C1490000}"/>
    <cellStyle name="Note 2 10 2 3 2 2" xfId="23489" xr:uid="{00000000-0005-0000-0000-0000C2490000}"/>
    <cellStyle name="Note 2 10 2 3 2 3" xfId="34334" xr:uid="{00000000-0005-0000-0000-0000C3490000}"/>
    <cellStyle name="Note 2 10 2 3 3" xfId="7189" xr:uid="{00000000-0005-0000-0000-0000C4490000}"/>
    <cellStyle name="Note 2 10 2 3 3 2" xfId="26161" xr:uid="{00000000-0005-0000-0000-0000C5490000}"/>
    <cellStyle name="Note 2 10 2 3 3 3" xfId="37006" xr:uid="{00000000-0005-0000-0000-0000C6490000}"/>
    <cellStyle name="Note 2 10 2 3 4" xfId="9848" xr:uid="{00000000-0005-0000-0000-0000C7490000}"/>
    <cellStyle name="Note 2 10 2 3 4 2" xfId="28820" xr:uid="{00000000-0005-0000-0000-0000C8490000}"/>
    <cellStyle name="Note 2 10 2 3 4 3" xfId="39665" xr:uid="{00000000-0005-0000-0000-0000C9490000}"/>
    <cellStyle name="Note 2 10 2 3 5" xfId="20644" xr:uid="{00000000-0005-0000-0000-0000CA490000}"/>
    <cellStyle name="Note 2 10 2 3 6" xfId="31489" xr:uid="{00000000-0005-0000-0000-0000CB490000}"/>
    <cellStyle name="Note 2 10 2 4" xfId="2068" xr:uid="{00000000-0005-0000-0000-0000CC490000}"/>
    <cellStyle name="Note 2 10 2 4 2" xfId="4921" xr:uid="{00000000-0005-0000-0000-0000CD490000}"/>
    <cellStyle name="Note 2 10 2 4 2 2" xfId="23893" xr:uid="{00000000-0005-0000-0000-0000CE490000}"/>
    <cellStyle name="Note 2 10 2 4 2 3" xfId="34738" xr:uid="{00000000-0005-0000-0000-0000CF490000}"/>
    <cellStyle name="Note 2 10 2 4 3" xfId="7592" xr:uid="{00000000-0005-0000-0000-0000D0490000}"/>
    <cellStyle name="Note 2 10 2 4 3 2" xfId="26564" xr:uid="{00000000-0005-0000-0000-0000D1490000}"/>
    <cellStyle name="Note 2 10 2 4 3 3" xfId="37409" xr:uid="{00000000-0005-0000-0000-0000D2490000}"/>
    <cellStyle name="Note 2 10 2 4 4" xfId="10251" xr:uid="{00000000-0005-0000-0000-0000D3490000}"/>
    <cellStyle name="Note 2 10 2 4 4 2" xfId="29223" xr:uid="{00000000-0005-0000-0000-0000D4490000}"/>
    <cellStyle name="Note 2 10 2 4 4 3" xfId="40068" xr:uid="{00000000-0005-0000-0000-0000D5490000}"/>
    <cellStyle name="Note 2 10 2 4 5" xfId="21047" xr:uid="{00000000-0005-0000-0000-0000D6490000}"/>
    <cellStyle name="Note 2 10 2 4 6" xfId="31892" xr:uid="{00000000-0005-0000-0000-0000D7490000}"/>
    <cellStyle name="Note 2 10 2 5" xfId="2458" xr:uid="{00000000-0005-0000-0000-0000D8490000}"/>
    <cellStyle name="Note 2 10 2 5 2" xfId="5310" xr:uid="{00000000-0005-0000-0000-0000D9490000}"/>
    <cellStyle name="Note 2 10 2 5 2 2" xfId="24282" xr:uid="{00000000-0005-0000-0000-0000DA490000}"/>
    <cellStyle name="Note 2 10 2 5 2 3" xfId="35127" xr:uid="{00000000-0005-0000-0000-0000DB490000}"/>
    <cellStyle name="Note 2 10 2 5 3" xfId="7981" xr:uid="{00000000-0005-0000-0000-0000DC490000}"/>
    <cellStyle name="Note 2 10 2 5 3 2" xfId="26953" xr:uid="{00000000-0005-0000-0000-0000DD490000}"/>
    <cellStyle name="Note 2 10 2 5 3 3" xfId="37798" xr:uid="{00000000-0005-0000-0000-0000DE490000}"/>
    <cellStyle name="Note 2 10 2 5 4" xfId="10640" xr:uid="{00000000-0005-0000-0000-0000DF490000}"/>
    <cellStyle name="Note 2 10 2 5 4 2" xfId="29612" xr:uid="{00000000-0005-0000-0000-0000E0490000}"/>
    <cellStyle name="Note 2 10 2 5 4 3" xfId="40457" xr:uid="{00000000-0005-0000-0000-0000E1490000}"/>
    <cellStyle name="Note 2 10 2 5 5" xfId="21436" xr:uid="{00000000-0005-0000-0000-0000E2490000}"/>
    <cellStyle name="Note 2 10 2 5 6" xfId="32281" xr:uid="{00000000-0005-0000-0000-0000E3490000}"/>
    <cellStyle name="Note 2 10 2 6" xfId="2844" xr:uid="{00000000-0005-0000-0000-0000E4490000}"/>
    <cellStyle name="Note 2 10 2 6 2" xfId="5695" xr:uid="{00000000-0005-0000-0000-0000E5490000}"/>
    <cellStyle name="Note 2 10 2 6 2 2" xfId="24667" xr:uid="{00000000-0005-0000-0000-0000E6490000}"/>
    <cellStyle name="Note 2 10 2 6 2 3" xfId="35512" xr:uid="{00000000-0005-0000-0000-0000E7490000}"/>
    <cellStyle name="Note 2 10 2 6 3" xfId="8366" xr:uid="{00000000-0005-0000-0000-0000E8490000}"/>
    <cellStyle name="Note 2 10 2 6 3 2" xfId="27338" xr:uid="{00000000-0005-0000-0000-0000E9490000}"/>
    <cellStyle name="Note 2 10 2 6 3 3" xfId="38183" xr:uid="{00000000-0005-0000-0000-0000EA490000}"/>
    <cellStyle name="Note 2 10 2 6 4" xfId="11025" xr:uid="{00000000-0005-0000-0000-0000EB490000}"/>
    <cellStyle name="Note 2 10 2 6 4 2" xfId="29997" xr:uid="{00000000-0005-0000-0000-0000EC490000}"/>
    <cellStyle name="Note 2 10 2 6 4 3" xfId="40842" xr:uid="{00000000-0005-0000-0000-0000ED490000}"/>
    <cellStyle name="Note 2 10 2 6 5" xfId="21821" xr:uid="{00000000-0005-0000-0000-0000EE490000}"/>
    <cellStyle name="Note 2 10 2 6 6" xfId="32666" xr:uid="{00000000-0005-0000-0000-0000EF490000}"/>
    <cellStyle name="Note 2 10 2 7" xfId="3533" xr:uid="{00000000-0005-0000-0000-0000F0490000}"/>
    <cellStyle name="Note 2 10 2 7 2" xfId="22505" xr:uid="{00000000-0005-0000-0000-0000F1490000}"/>
    <cellStyle name="Note 2 10 2 7 3" xfId="33350" xr:uid="{00000000-0005-0000-0000-0000F2490000}"/>
    <cellStyle name="Note 2 10 2 8" xfId="6208" xr:uid="{00000000-0005-0000-0000-0000F3490000}"/>
    <cellStyle name="Note 2 10 2 8 2" xfId="25180" xr:uid="{00000000-0005-0000-0000-0000F4490000}"/>
    <cellStyle name="Note 2 10 2 8 3" xfId="36025" xr:uid="{00000000-0005-0000-0000-0000F5490000}"/>
    <cellStyle name="Note 2 10 2 9" xfId="8867" xr:uid="{00000000-0005-0000-0000-0000F6490000}"/>
    <cellStyle name="Note 2 10 2 9 2" xfId="27839" xr:uid="{00000000-0005-0000-0000-0000F7490000}"/>
    <cellStyle name="Note 2 10 2 9 3" xfId="38684" xr:uid="{00000000-0005-0000-0000-0000F8490000}"/>
    <cellStyle name="Note 2 10 3" xfId="738" xr:uid="{00000000-0005-0000-0000-0000F9490000}"/>
    <cellStyle name="Note 2 10 3 10" xfId="19723" xr:uid="{00000000-0005-0000-0000-0000FA490000}"/>
    <cellStyle name="Note 2 10 3 11" xfId="30568" xr:uid="{00000000-0005-0000-0000-0000FB490000}"/>
    <cellStyle name="Note 2 10 3 2" xfId="1325" xr:uid="{00000000-0005-0000-0000-0000FC490000}"/>
    <cellStyle name="Note 2 10 3 2 2" xfId="4178" xr:uid="{00000000-0005-0000-0000-0000FD490000}"/>
    <cellStyle name="Note 2 10 3 2 2 2" xfId="23150" xr:uid="{00000000-0005-0000-0000-0000FE490000}"/>
    <cellStyle name="Note 2 10 3 2 2 3" xfId="33995" xr:uid="{00000000-0005-0000-0000-0000FF490000}"/>
    <cellStyle name="Note 2 10 3 2 3" xfId="6851" xr:uid="{00000000-0005-0000-0000-0000004A0000}"/>
    <cellStyle name="Note 2 10 3 2 3 2" xfId="25823" xr:uid="{00000000-0005-0000-0000-0000014A0000}"/>
    <cellStyle name="Note 2 10 3 2 3 3" xfId="36668" xr:uid="{00000000-0005-0000-0000-0000024A0000}"/>
    <cellStyle name="Note 2 10 3 2 4" xfId="9510" xr:uid="{00000000-0005-0000-0000-0000034A0000}"/>
    <cellStyle name="Note 2 10 3 2 4 2" xfId="28482" xr:uid="{00000000-0005-0000-0000-0000044A0000}"/>
    <cellStyle name="Note 2 10 3 2 4 3" xfId="39327" xr:uid="{00000000-0005-0000-0000-0000054A0000}"/>
    <cellStyle name="Note 2 10 3 2 5" xfId="20306" xr:uid="{00000000-0005-0000-0000-0000064A0000}"/>
    <cellStyle name="Note 2 10 3 2 6" xfId="31151" xr:uid="{00000000-0005-0000-0000-0000074A0000}"/>
    <cellStyle name="Note 2 10 3 3" xfId="1724" xr:uid="{00000000-0005-0000-0000-0000084A0000}"/>
    <cellStyle name="Note 2 10 3 3 2" xfId="4577" xr:uid="{00000000-0005-0000-0000-0000094A0000}"/>
    <cellStyle name="Note 2 10 3 3 2 2" xfId="23549" xr:uid="{00000000-0005-0000-0000-00000A4A0000}"/>
    <cellStyle name="Note 2 10 3 3 2 3" xfId="34394" xr:uid="{00000000-0005-0000-0000-00000B4A0000}"/>
    <cellStyle name="Note 2 10 3 3 3" xfId="7249" xr:uid="{00000000-0005-0000-0000-00000C4A0000}"/>
    <cellStyle name="Note 2 10 3 3 3 2" xfId="26221" xr:uid="{00000000-0005-0000-0000-00000D4A0000}"/>
    <cellStyle name="Note 2 10 3 3 3 3" xfId="37066" xr:uid="{00000000-0005-0000-0000-00000E4A0000}"/>
    <cellStyle name="Note 2 10 3 3 4" xfId="9908" xr:uid="{00000000-0005-0000-0000-00000F4A0000}"/>
    <cellStyle name="Note 2 10 3 3 4 2" xfId="28880" xr:uid="{00000000-0005-0000-0000-0000104A0000}"/>
    <cellStyle name="Note 2 10 3 3 4 3" xfId="39725" xr:uid="{00000000-0005-0000-0000-0000114A0000}"/>
    <cellStyle name="Note 2 10 3 3 5" xfId="20704" xr:uid="{00000000-0005-0000-0000-0000124A0000}"/>
    <cellStyle name="Note 2 10 3 3 6" xfId="31549" xr:uid="{00000000-0005-0000-0000-0000134A0000}"/>
    <cellStyle name="Note 2 10 3 4" xfId="2128" xr:uid="{00000000-0005-0000-0000-0000144A0000}"/>
    <cellStyle name="Note 2 10 3 4 2" xfId="4981" xr:uid="{00000000-0005-0000-0000-0000154A0000}"/>
    <cellStyle name="Note 2 10 3 4 2 2" xfId="23953" xr:uid="{00000000-0005-0000-0000-0000164A0000}"/>
    <cellStyle name="Note 2 10 3 4 2 3" xfId="34798" xr:uid="{00000000-0005-0000-0000-0000174A0000}"/>
    <cellStyle name="Note 2 10 3 4 3" xfId="7652" xr:uid="{00000000-0005-0000-0000-0000184A0000}"/>
    <cellStyle name="Note 2 10 3 4 3 2" xfId="26624" xr:uid="{00000000-0005-0000-0000-0000194A0000}"/>
    <cellStyle name="Note 2 10 3 4 3 3" xfId="37469" xr:uid="{00000000-0005-0000-0000-00001A4A0000}"/>
    <cellStyle name="Note 2 10 3 4 4" xfId="10311" xr:uid="{00000000-0005-0000-0000-00001B4A0000}"/>
    <cellStyle name="Note 2 10 3 4 4 2" xfId="29283" xr:uid="{00000000-0005-0000-0000-00001C4A0000}"/>
    <cellStyle name="Note 2 10 3 4 4 3" xfId="40128" xr:uid="{00000000-0005-0000-0000-00001D4A0000}"/>
    <cellStyle name="Note 2 10 3 4 5" xfId="21107" xr:uid="{00000000-0005-0000-0000-00001E4A0000}"/>
    <cellStyle name="Note 2 10 3 4 6" xfId="31952" xr:uid="{00000000-0005-0000-0000-00001F4A0000}"/>
    <cellStyle name="Note 2 10 3 5" xfId="2518" xr:uid="{00000000-0005-0000-0000-0000204A0000}"/>
    <cellStyle name="Note 2 10 3 5 2" xfId="5370" xr:uid="{00000000-0005-0000-0000-0000214A0000}"/>
    <cellStyle name="Note 2 10 3 5 2 2" xfId="24342" xr:uid="{00000000-0005-0000-0000-0000224A0000}"/>
    <cellStyle name="Note 2 10 3 5 2 3" xfId="35187" xr:uid="{00000000-0005-0000-0000-0000234A0000}"/>
    <cellStyle name="Note 2 10 3 5 3" xfId="8041" xr:uid="{00000000-0005-0000-0000-0000244A0000}"/>
    <cellStyle name="Note 2 10 3 5 3 2" xfId="27013" xr:uid="{00000000-0005-0000-0000-0000254A0000}"/>
    <cellStyle name="Note 2 10 3 5 3 3" xfId="37858" xr:uid="{00000000-0005-0000-0000-0000264A0000}"/>
    <cellStyle name="Note 2 10 3 5 4" xfId="10700" xr:uid="{00000000-0005-0000-0000-0000274A0000}"/>
    <cellStyle name="Note 2 10 3 5 4 2" xfId="29672" xr:uid="{00000000-0005-0000-0000-0000284A0000}"/>
    <cellStyle name="Note 2 10 3 5 4 3" xfId="40517" xr:uid="{00000000-0005-0000-0000-0000294A0000}"/>
    <cellStyle name="Note 2 10 3 5 5" xfId="21496" xr:uid="{00000000-0005-0000-0000-00002A4A0000}"/>
    <cellStyle name="Note 2 10 3 5 6" xfId="32341" xr:uid="{00000000-0005-0000-0000-00002B4A0000}"/>
    <cellStyle name="Note 2 10 3 6" xfId="2904" xr:uid="{00000000-0005-0000-0000-00002C4A0000}"/>
    <cellStyle name="Note 2 10 3 6 2" xfId="5755" xr:uid="{00000000-0005-0000-0000-00002D4A0000}"/>
    <cellStyle name="Note 2 10 3 6 2 2" xfId="24727" xr:uid="{00000000-0005-0000-0000-00002E4A0000}"/>
    <cellStyle name="Note 2 10 3 6 2 3" xfId="35572" xr:uid="{00000000-0005-0000-0000-00002F4A0000}"/>
    <cellStyle name="Note 2 10 3 6 3" xfId="8426" xr:uid="{00000000-0005-0000-0000-0000304A0000}"/>
    <cellStyle name="Note 2 10 3 6 3 2" xfId="27398" xr:uid="{00000000-0005-0000-0000-0000314A0000}"/>
    <cellStyle name="Note 2 10 3 6 3 3" xfId="38243" xr:uid="{00000000-0005-0000-0000-0000324A0000}"/>
    <cellStyle name="Note 2 10 3 6 4" xfId="11085" xr:uid="{00000000-0005-0000-0000-0000334A0000}"/>
    <cellStyle name="Note 2 10 3 6 4 2" xfId="30057" xr:uid="{00000000-0005-0000-0000-0000344A0000}"/>
    <cellStyle name="Note 2 10 3 6 4 3" xfId="40902" xr:uid="{00000000-0005-0000-0000-0000354A0000}"/>
    <cellStyle name="Note 2 10 3 6 5" xfId="21881" xr:uid="{00000000-0005-0000-0000-0000364A0000}"/>
    <cellStyle name="Note 2 10 3 6 6" xfId="32726" xr:uid="{00000000-0005-0000-0000-0000374A0000}"/>
    <cellStyle name="Note 2 10 3 7" xfId="3593" xr:uid="{00000000-0005-0000-0000-0000384A0000}"/>
    <cellStyle name="Note 2 10 3 7 2" xfId="22565" xr:uid="{00000000-0005-0000-0000-0000394A0000}"/>
    <cellStyle name="Note 2 10 3 7 3" xfId="33410" xr:uid="{00000000-0005-0000-0000-00003A4A0000}"/>
    <cellStyle name="Note 2 10 3 8" xfId="6268" xr:uid="{00000000-0005-0000-0000-00003B4A0000}"/>
    <cellStyle name="Note 2 10 3 8 2" xfId="25240" xr:uid="{00000000-0005-0000-0000-00003C4A0000}"/>
    <cellStyle name="Note 2 10 3 8 3" xfId="36085" xr:uid="{00000000-0005-0000-0000-00003D4A0000}"/>
    <cellStyle name="Note 2 10 3 9" xfId="8927" xr:uid="{00000000-0005-0000-0000-00003E4A0000}"/>
    <cellStyle name="Note 2 10 3 9 2" xfId="27899" xr:uid="{00000000-0005-0000-0000-00003F4A0000}"/>
    <cellStyle name="Note 2 10 3 9 3" xfId="38744" xr:uid="{00000000-0005-0000-0000-0000404A0000}"/>
    <cellStyle name="Note 2 10 4" xfId="798" xr:uid="{00000000-0005-0000-0000-0000414A0000}"/>
    <cellStyle name="Note 2 10 4 10" xfId="19783" xr:uid="{00000000-0005-0000-0000-0000424A0000}"/>
    <cellStyle name="Note 2 10 4 11" xfId="30628" xr:uid="{00000000-0005-0000-0000-0000434A0000}"/>
    <cellStyle name="Note 2 10 4 2" xfId="1385" xr:uid="{00000000-0005-0000-0000-0000444A0000}"/>
    <cellStyle name="Note 2 10 4 2 2" xfId="4238" xr:uid="{00000000-0005-0000-0000-0000454A0000}"/>
    <cellStyle name="Note 2 10 4 2 2 2" xfId="23210" xr:uid="{00000000-0005-0000-0000-0000464A0000}"/>
    <cellStyle name="Note 2 10 4 2 2 3" xfId="34055" xr:uid="{00000000-0005-0000-0000-0000474A0000}"/>
    <cellStyle name="Note 2 10 4 2 3" xfId="6911" xr:uid="{00000000-0005-0000-0000-0000484A0000}"/>
    <cellStyle name="Note 2 10 4 2 3 2" xfId="25883" xr:uid="{00000000-0005-0000-0000-0000494A0000}"/>
    <cellStyle name="Note 2 10 4 2 3 3" xfId="36728" xr:uid="{00000000-0005-0000-0000-00004A4A0000}"/>
    <cellStyle name="Note 2 10 4 2 4" xfId="9570" xr:uid="{00000000-0005-0000-0000-00004B4A0000}"/>
    <cellStyle name="Note 2 10 4 2 4 2" xfId="28542" xr:uid="{00000000-0005-0000-0000-00004C4A0000}"/>
    <cellStyle name="Note 2 10 4 2 4 3" xfId="39387" xr:uid="{00000000-0005-0000-0000-00004D4A0000}"/>
    <cellStyle name="Note 2 10 4 2 5" xfId="20366" xr:uid="{00000000-0005-0000-0000-00004E4A0000}"/>
    <cellStyle name="Note 2 10 4 2 6" xfId="31211" xr:uid="{00000000-0005-0000-0000-00004F4A0000}"/>
    <cellStyle name="Note 2 10 4 3" xfId="1784" xr:uid="{00000000-0005-0000-0000-0000504A0000}"/>
    <cellStyle name="Note 2 10 4 3 2" xfId="4637" xr:uid="{00000000-0005-0000-0000-0000514A0000}"/>
    <cellStyle name="Note 2 10 4 3 2 2" xfId="23609" xr:uid="{00000000-0005-0000-0000-0000524A0000}"/>
    <cellStyle name="Note 2 10 4 3 2 3" xfId="34454" xr:uid="{00000000-0005-0000-0000-0000534A0000}"/>
    <cellStyle name="Note 2 10 4 3 3" xfId="7309" xr:uid="{00000000-0005-0000-0000-0000544A0000}"/>
    <cellStyle name="Note 2 10 4 3 3 2" xfId="26281" xr:uid="{00000000-0005-0000-0000-0000554A0000}"/>
    <cellStyle name="Note 2 10 4 3 3 3" xfId="37126" xr:uid="{00000000-0005-0000-0000-0000564A0000}"/>
    <cellStyle name="Note 2 10 4 3 4" xfId="9968" xr:uid="{00000000-0005-0000-0000-0000574A0000}"/>
    <cellStyle name="Note 2 10 4 3 4 2" xfId="28940" xr:uid="{00000000-0005-0000-0000-0000584A0000}"/>
    <cellStyle name="Note 2 10 4 3 4 3" xfId="39785" xr:uid="{00000000-0005-0000-0000-0000594A0000}"/>
    <cellStyle name="Note 2 10 4 3 5" xfId="20764" xr:uid="{00000000-0005-0000-0000-00005A4A0000}"/>
    <cellStyle name="Note 2 10 4 3 6" xfId="31609" xr:uid="{00000000-0005-0000-0000-00005B4A0000}"/>
    <cellStyle name="Note 2 10 4 4" xfId="2188" xr:uid="{00000000-0005-0000-0000-00005C4A0000}"/>
    <cellStyle name="Note 2 10 4 4 2" xfId="5041" xr:uid="{00000000-0005-0000-0000-00005D4A0000}"/>
    <cellStyle name="Note 2 10 4 4 2 2" xfId="24013" xr:uid="{00000000-0005-0000-0000-00005E4A0000}"/>
    <cellStyle name="Note 2 10 4 4 2 3" xfId="34858" xr:uid="{00000000-0005-0000-0000-00005F4A0000}"/>
    <cellStyle name="Note 2 10 4 4 3" xfId="7712" xr:uid="{00000000-0005-0000-0000-0000604A0000}"/>
    <cellStyle name="Note 2 10 4 4 3 2" xfId="26684" xr:uid="{00000000-0005-0000-0000-0000614A0000}"/>
    <cellStyle name="Note 2 10 4 4 3 3" xfId="37529" xr:uid="{00000000-0005-0000-0000-0000624A0000}"/>
    <cellStyle name="Note 2 10 4 4 4" xfId="10371" xr:uid="{00000000-0005-0000-0000-0000634A0000}"/>
    <cellStyle name="Note 2 10 4 4 4 2" xfId="29343" xr:uid="{00000000-0005-0000-0000-0000644A0000}"/>
    <cellStyle name="Note 2 10 4 4 4 3" xfId="40188" xr:uid="{00000000-0005-0000-0000-0000654A0000}"/>
    <cellStyle name="Note 2 10 4 4 5" xfId="21167" xr:uid="{00000000-0005-0000-0000-0000664A0000}"/>
    <cellStyle name="Note 2 10 4 4 6" xfId="32012" xr:uid="{00000000-0005-0000-0000-0000674A0000}"/>
    <cellStyle name="Note 2 10 4 5" xfId="2578" xr:uid="{00000000-0005-0000-0000-0000684A0000}"/>
    <cellStyle name="Note 2 10 4 5 2" xfId="5430" xr:uid="{00000000-0005-0000-0000-0000694A0000}"/>
    <cellStyle name="Note 2 10 4 5 2 2" xfId="24402" xr:uid="{00000000-0005-0000-0000-00006A4A0000}"/>
    <cellStyle name="Note 2 10 4 5 2 3" xfId="35247" xr:uid="{00000000-0005-0000-0000-00006B4A0000}"/>
    <cellStyle name="Note 2 10 4 5 3" xfId="8101" xr:uid="{00000000-0005-0000-0000-00006C4A0000}"/>
    <cellStyle name="Note 2 10 4 5 3 2" xfId="27073" xr:uid="{00000000-0005-0000-0000-00006D4A0000}"/>
    <cellStyle name="Note 2 10 4 5 3 3" xfId="37918" xr:uid="{00000000-0005-0000-0000-00006E4A0000}"/>
    <cellStyle name="Note 2 10 4 5 4" xfId="10760" xr:uid="{00000000-0005-0000-0000-00006F4A0000}"/>
    <cellStyle name="Note 2 10 4 5 4 2" xfId="29732" xr:uid="{00000000-0005-0000-0000-0000704A0000}"/>
    <cellStyle name="Note 2 10 4 5 4 3" xfId="40577" xr:uid="{00000000-0005-0000-0000-0000714A0000}"/>
    <cellStyle name="Note 2 10 4 5 5" xfId="21556" xr:uid="{00000000-0005-0000-0000-0000724A0000}"/>
    <cellStyle name="Note 2 10 4 5 6" xfId="32401" xr:uid="{00000000-0005-0000-0000-0000734A0000}"/>
    <cellStyle name="Note 2 10 4 6" xfId="2964" xr:uid="{00000000-0005-0000-0000-0000744A0000}"/>
    <cellStyle name="Note 2 10 4 6 2" xfId="5815" xr:uid="{00000000-0005-0000-0000-0000754A0000}"/>
    <cellStyle name="Note 2 10 4 6 2 2" xfId="24787" xr:uid="{00000000-0005-0000-0000-0000764A0000}"/>
    <cellStyle name="Note 2 10 4 6 2 3" xfId="35632" xr:uid="{00000000-0005-0000-0000-0000774A0000}"/>
    <cellStyle name="Note 2 10 4 6 3" xfId="8486" xr:uid="{00000000-0005-0000-0000-0000784A0000}"/>
    <cellStyle name="Note 2 10 4 6 3 2" xfId="27458" xr:uid="{00000000-0005-0000-0000-0000794A0000}"/>
    <cellStyle name="Note 2 10 4 6 3 3" xfId="38303" xr:uid="{00000000-0005-0000-0000-00007A4A0000}"/>
    <cellStyle name="Note 2 10 4 6 4" xfId="11145" xr:uid="{00000000-0005-0000-0000-00007B4A0000}"/>
    <cellStyle name="Note 2 10 4 6 4 2" xfId="30117" xr:uid="{00000000-0005-0000-0000-00007C4A0000}"/>
    <cellStyle name="Note 2 10 4 6 4 3" xfId="40962" xr:uid="{00000000-0005-0000-0000-00007D4A0000}"/>
    <cellStyle name="Note 2 10 4 6 5" xfId="21941" xr:uid="{00000000-0005-0000-0000-00007E4A0000}"/>
    <cellStyle name="Note 2 10 4 6 6" xfId="32786" xr:uid="{00000000-0005-0000-0000-00007F4A0000}"/>
    <cellStyle name="Note 2 10 4 7" xfId="3653" xr:uid="{00000000-0005-0000-0000-0000804A0000}"/>
    <cellStyle name="Note 2 10 4 7 2" xfId="22625" xr:uid="{00000000-0005-0000-0000-0000814A0000}"/>
    <cellStyle name="Note 2 10 4 7 3" xfId="33470" xr:uid="{00000000-0005-0000-0000-0000824A0000}"/>
    <cellStyle name="Note 2 10 4 8" xfId="6328" xr:uid="{00000000-0005-0000-0000-0000834A0000}"/>
    <cellStyle name="Note 2 10 4 8 2" xfId="25300" xr:uid="{00000000-0005-0000-0000-0000844A0000}"/>
    <cellStyle name="Note 2 10 4 8 3" xfId="36145" xr:uid="{00000000-0005-0000-0000-0000854A0000}"/>
    <cellStyle name="Note 2 10 4 9" xfId="8987" xr:uid="{00000000-0005-0000-0000-0000864A0000}"/>
    <cellStyle name="Note 2 10 4 9 2" xfId="27959" xr:uid="{00000000-0005-0000-0000-0000874A0000}"/>
    <cellStyle name="Note 2 10 4 9 3" xfId="38804" xr:uid="{00000000-0005-0000-0000-0000884A0000}"/>
    <cellStyle name="Note 2 10 5" xfId="857" xr:uid="{00000000-0005-0000-0000-0000894A0000}"/>
    <cellStyle name="Note 2 10 5 10" xfId="19842" xr:uid="{00000000-0005-0000-0000-00008A4A0000}"/>
    <cellStyle name="Note 2 10 5 11" xfId="30687" xr:uid="{00000000-0005-0000-0000-00008B4A0000}"/>
    <cellStyle name="Note 2 10 5 2" xfId="1444" xr:uid="{00000000-0005-0000-0000-00008C4A0000}"/>
    <cellStyle name="Note 2 10 5 2 2" xfId="4297" xr:uid="{00000000-0005-0000-0000-00008D4A0000}"/>
    <cellStyle name="Note 2 10 5 2 2 2" xfId="23269" xr:uid="{00000000-0005-0000-0000-00008E4A0000}"/>
    <cellStyle name="Note 2 10 5 2 2 3" xfId="34114" xr:uid="{00000000-0005-0000-0000-00008F4A0000}"/>
    <cellStyle name="Note 2 10 5 2 3" xfId="6970" xr:uid="{00000000-0005-0000-0000-0000904A0000}"/>
    <cellStyle name="Note 2 10 5 2 3 2" xfId="25942" xr:uid="{00000000-0005-0000-0000-0000914A0000}"/>
    <cellStyle name="Note 2 10 5 2 3 3" xfId="36787" xr:uid="{00000000-0005-0000-0000-0000924A0000}"/>
    <cellStyle name="Note 2 10 5 2 4" xfId="9629" xr:uid="{00000000-0005-0000-0000-0000934A0000}"/>
    <cellStyle name="Note 2 10 5 2 4 2" xfId="28601" xr:uid="{00000000-0005-0000-0000-0000944A0000}"/>
    <cellStyle name="Note 2 10 5 2 4 3" xfId="39446" xr:uid="{00000000-0005-0000-0000-0000954A0000}"/>
    <cellStyle name="Note 2 10 5 2 5" xfId="20425" xr:uid="{00000000-0005-0000-0000-0000964A0000}"/>
    <cellStyle name="Note 2 10 5 2 6" xfId="31270" xr:uid="{00000000-0005-0000-0000-0000974A0000}"/>
    <cellStyle name="Note 2 10 5 3" xfId="1843" xr:uid="{00000000-0005-0000-0000-0000984A0000}"/>
    <cellStyle name="Note 2 10 5 3 2" xfId="4696" xr:uid="{00000000-0005-0000-0000-0000994A0000}"/>
    <cellStyle name="Note 2 10 5 3 2 2" xfId="23668" xr:uid="{00000000-0005-0000-0000-00009A4A0000}"/>
    <cellStyle name="Note 2 10 5 3 2 3" xfId="34513" xr:uid="{00000000-0005-0000-0000-00009B4A0000}"/>
    <cellStyle name="Note 2 10 5 3 3" xfId="7368" xr:uid="{00000000-0005-0000-0000-00009C4A0000}"/>
    <cellStyle name="Note 2 10 5 3 3 2" xfId="26340" xr:uid="{00000000-0005-0000-0000-00009D4A0000}"/>
    <cellStyle name="Note 2 10 5 3 3 3" xfId="37185" xr:uid="{00000000-0005-0000-0000-00009E4A0000}"/>
    <cellStyle name="Note 2 10 5 3 4" xfId="10027" xr:uid="{00000000-0005-0000-0000-00009F4A0000}"/>
    <cellStyle name="Note 2 10 5 3 4 2" xfId="28999" xr:uid="{00000000-0005-0000-0000-0000A04A0000}"/>
    <cellStyle name="Note 2 10 5 3 4 3" xfId="39844" xr:uid="{00000000-0005-0000-0000-0000A14A0000}"/>
    <cellStyle name="Note 2 10 5 3 5" xfId="20823" xr:uid="{00000000-0005-0000-0000-0000A24A0000}"/>
    <cellStyle name="Note 2 10 5 3 6" xfId="31668" xr:uid="{00000000-0005-0000-0000-0000A34A0000}"/>
    <cellStyle name="Note 2 10 5 4" xfId="2247" xr:uid="{00000000-0005-0000-0000-0000A44A0000}"/>
    <cellStyle name="Note 2 10 5 4 2" xfId="5100" xr:uid="{00000000-0005-0000-0000-0000A54A0000}"/>
    <cellStyle name="Note 2 10 5 4 2 2" xfId="24072" xr:uid="{00000000-0005-0000-0000-0000A64A0000}"/>
    <cellStyle name="Note 2 10 5 4 2 3" xfId="34917" xr:uid="{00000000-0005-0000-0000-0000A74A0000}"/>
    <cellStyle name="Note 2 10 5 4 3" xfId="7771" xr:uid="{00000000-0005-0000-0000-0000A84A0000}"/>
    <cellStyle name="Note 2 10 5 4 3 2" xfId="26743" xr:uid="{00000000-0005-0000-0000-0000A94A0000}"/>
    <cellStyle name="Note 2 10 5 4 3 3" xfId="37588" xr:uid="{00000000-0005-0000-0000-0000AA4A0000}"/>
    <cellStyle name="Note 2 10 5 4 4" xfId="10430" xr:uid="{00000000-0005-0000-0000-0000AB4A0000}"/>
    <cellStyle name="Note 2 10 5 4 4 2" xfId="29402" xr:uid="{00000000-0005-0000-0000-0000AC4A0000}"/>
    <cellStyle name="Note 2 10 5 4 4 3" xfId="40247" xr:uid="{00000000-0005-0000-0000-0000AD4A0000}"/>
    <cellStyle name="Note 2 10 5 4 5" xfId="21226" xr:uid="{00000000-0005-0000-0000-0000AE4A0000}"/>
    <cellStyle name="Note 2 10 5 4 6" xfId="32071" xr:uid="{00000000-0005-0000-0000-0000AF4A0000}"/>
    <cellStyle name="Note 2 10 5 5" xfId="2637" xr:uid="{00000000-0005-0000-0000-0000B04A0000}"/>
    <cellStyle name="Note 2 10 5 5 2" xfId="5489" xr:uid="{00000000-0005-0000-0000-0000B14A0000}"/>
    <cellStyle name="Note 2 10 5 5 2 2" xfId="24461" xr:uid="{00000000-0005-0000-0000-0000B24A0000}"/>
    <cellStyle name="Note 2 10 5 5 2 3" xfId="35306" xr:uid="{00000000-0005-0000-0000-0000B34A0000}"/>
    <cellStyle name="Note 2 10 5 5 3" xfId="8160" xr:uid="{00000000-0005-0000-0000-0000B44A0000}"/>
    <cellStyle name="Note 2 10 5 5 3 2" xfId="27132" xr:uid="{00000000-0005-0000-0000-0000B54A0000}"/>
    <cellStyle name="Note 2 10 5 5 3 3" xfId="37977" xr:uid="{00000000-0005-0000-0000-0000B64A0000}"/>
    <cellStyle name="Note 2 10 5 5 4" xfId="10819" xr:uid="{00000000-0005-0000-0000-0000B74A0000}"/>
    <cellStyle name="Note 2 10 5 5 4 2" xfId="29791" xr:uid="{00000000-0005-0000-0000-0000B84A0000}"/>
    <cellStyle name="Note 2 10 5 5 4 3" xfId="40636" xr:uid="{00000000-0005-0000-0000-0000B94A0000}"/>
    <cellStyle name="Note 2 10 5 5 5" xfId="21615" xr:uid="{00000000-0005-0000-0000-0000BA4A0000}"/>
    <cellStyle name="Note 2 10 5 5 6" xfId="32460" xr:uid="{00000000-0005-0000-0000-0000BB4A0000}"/>
    <cellStyle name="Note 2 10 5 6" xfId="3023" xr:uid="{00000000-0005-0000-0000-0000BC4A0000}"/>
    <cellStyle name="Note 2 10 5 6 2" xfId="5874" xr:uid="{00000000-0005-0000-0000-0000BD4A0000}"/>
    <cellStyle name="Note 2 10 5 6 2 2" xfId="24846" xr:uid="{00000000-0005-0000-0000-0000BE4A0000}"/>
    <cellStyle name="Note 2 10 5 6 2 3" xfId="35691" xr:uid="{00000000-0005-0000-0000-0000BF4A0000}"/>
    <cellStyle name="Note 2 10 5 6 3" xfId="8545" xr:uid="{00000000-0005-0000-0000-0000C04A0000}"/>
    <cellStyle name="Note 2 10 5 6 3 2" xfId="27517" xr:uid="{00000000-0005-0000-0000-0000C14A0000}"/>
    <cellStyle name="Note 2 10 5 6 3 3" xfId="38362" xr:uid="{00000000-0005-0000-0000-0000C24A0000}"/>
    <cellStyle name="Note 2 10 5 6 4" xfId="11204" xr:uid="{00000000-0005-0000-0000-0000C34A0000}"/>
    <cellStyle name="Note 2 10 5 6 4 2" xfId="30176" xr:uid="{00000000-0005-0000-0000-0000C44A0000}"/>
    <cellStyle name="Note 2 10 5 6 4 3" xfId="41021" xr:uid="{00000000-0005-0000-0000-0000C54A0000}"/>
    <cellStyle name="Note 2 10 5 6 5" xfId="22000" xr:uid="{00000000-0005-0000-0000-0000C64A0000}"/>
    <cellStyle name="Note 2 10 5 6 6" xfId="32845" xr:uid="{00000000-0005-0000-0000-0000C74A0000}"/>
    <cellStyle name="Note 2 10 5 7" xfId="3712" xr:uid="{00000000-0005-0000-0000-0000C84A0000}"/>
    <cellStyle name="Note 2 10 5 7 2" xfId="22684" xr:uid="{00000000-0005-0000-0000-0000C94A0000}"/>
    <cellStyle name="Note 2 10 5 7 3" xfId="33529" xr:uid="{00000000-0005-0000-0000-0000CA4A0000}"/>
    <cellStyle name="Note 2 10 5 8" xfId="6387" xr:uid="{00000000-0005-0000-0000-0000CB4A0000}"/>
    <cellStyle name="Note 2 10 5 8 2" xfId="25359" xr:uid="{00000000-0005-0000-0000-0000CC4A0000}"/>
    <cellStyle name="Note 2 10 5 8 3" xfId="36204" xr:uid="{00000000-0005-0000-0000-0000CD4A0000}"/>
    <cellStyle name="Note 2 10 5 9" xfId="9046" xr:uid="{00000000-0005-0000-0000-0000CE4A0000}"/>
    <cellStyle name="Note 2 10 5 9 2" xfId="28018" xr:uid="{00000000-0005-0000-0000-0000CF4A0000}"/>
    <cellStyle name="Note 2 10 5 9 3" xfId="38863" xr:uid="{00000000-0005-0000-0000-0000D04A0000}"/>
    <cellStyle name="Note 2 10 6" xfId="1079" xr:uid="{00000000-0005-0000-0000-0000D14A0000}"/>
    <cellStyle name="Note 2 10 6 2" xfId="3932" xr:uid="{00000000-0005-0000-0000-0000D24A0000}"/>
    <cellStyle name="Note 2 10 6 2 2" xfId="22904" xr:uid="{00000000-0005-0000-0000-0000D34A0000}"/>
    <cellStyle name="Note 2 10 6 2 3" xfId="33749" xr:uid="{00000000-0005-0000-0000-0000D44A0000}"/>
    <cellStyle name="Note 2 10 6 3" xfId="6606" xr:uid="{00000000-0005-0000-0000-0000D54A0000}"/>
    <cellStyle name="Note 2 10 6 3 2" xfId="25578" xr:uid="{00000000-0005-0000-0000-0000D64A0000}"/>
    <cellStyle name="Note 2 10 6 3 3" xfId="36423" xr:uid="{00000000-0005-0000-0000-0000D74A0000}"/>
    <cellStyle name="Note 2 10 6 4" xfId="9265" xr:uid="{00000000-0005-0000-0000-0000D84A0000}"/>
    <cellStyle name="Note 2 10 6 4 2" xfId="28237" xr:uid="{00000000-0005-0000-0000-0000D94A0000}"/>
    <cellStyle name="Note 2 10 6 4 3" xfId="39082" xr:uid="{00000000-0005-0000-0000-0000DA4A0000}"/>
    <cellStyle name="Note 2 10 6 5" xfId="20061" xr:uid="{00000000-0005-0000-0000-0000DB4A0000}"/>
    <cellStyle name="Note 2 10 6 6" xfId="30906" xr:uid="{00000000-0005-0000-0000-0000DC4A0000}"/>
    <cellStyle name="Note 2 10 7" xfId="981" xr:uid="{00000000-0005-0000-0000-0000DD4A0000}"/>
    <cellStyle name="Note 2 10 7 2" xfId="3834" xr:uid="{00000000-0005-0000-0000-0000DE4A0000}"/>
    <cellStyle name="Note 2 10 7 2 2" xfId="22806" xr:uid="{00000000-0005-0000-0000-0000DF4A0000}"/>
    <cellStyle name="Note 2 10 7 2 3" xfId="33651" xr:uid="{00000000-0005-0000-0000-0000E04A0000}"/>
    <cellStyle name="Note 2 10 7 3" xfId="6509" xr:uid="{00000000-0005-0000-0000-0000E14A0000}"/>
    <cellStyle name="Note 2 10 7 3 2" xfId="25481" xr:uid="{00000000-0005-0000-0000-0000E24A0000}"/>
    <cellStyle name="Note 2 10 7 3 3" xfId="36326" xr:uid="{00000000-0005-0000-0000-0000E34A0000}"/>
    <cellStyle name="Note 2 10 7 4" xfId="9168" xr:uid="{00000000-0005-0000-0000-0000E44A0000}"/>
    <cellStyle name="Note 2 10 7 4 2" xfId="28140" xr:uid="{00000000-0005-0000-0000-0000E54A0000}"/>
    <cellStyle name="Note 2 10 7 4 3" xfId="38985" xr:uid="{00000000-0005-0000-0000-0000E64A0000}"/>
    <cellStyle name="Note 2 10 7 5" xfId="19964" xr:uid="{00000000-0005-0000-0000-0000E74A0000}"/>
    <cellStyle name="Note 2 10 7 6" xfId="30809" xr:uid="{00000000-0005-0000-0000-0000E84A0000}"/>
    <cellStyle name="Note 2 10 8" xfId="1007" xr:uid="{00000000-0005-0000-0000-0000E94A0000}"/>
    <cellStyle name="Note 2 10 8 2" xfId="3860" xr:uid="{00000000-0005-0000-0000-0000EA4A0000}"/>
    <cellStyle name="Note 2 10 8 2 2" xfId="22832" xr:uid="{00000000-0005-0000-0000-0000EB4A0000}"/>
    <cellStyle name="Note 2 10 8 2 3" xfId="33677" xr:uid="{00000000-0005-0000-0000-0000EC4A0000}"/>
    <cellStyle name="Note 2 10 8 3" xfId="6534" xr:uid="{00000000-0005-0000-0000-0000ED4A0000}"/>
    <cellStyle name="Note 2 10 8 3 2" xfId="25506" xr:uid="{00000000-0005-0000-0000-0000EE4A0000}"/>
    <cellStyle name="Note 2 10 8 3 3" xfId="36351" xr:uid="{00000000-0005-0000-0000-0000EF4A0000}"/>
    <cellStyle name="Note 2 10 8 4" xfId="9193" xr:uid="{00000000-0005-0000-0000-0000F04A0000}"/>
    <cellStyle name="Note 2 10 8 4 2" xfId="28165" xr:uid="{00000000-0005-0000-0000-0000F14A0000}"/>
    <cellStyle name="Note 2 10 8 4 3" xfId="39010" xr:uid="{00000000-0005-0000-0000-0000F24A0000}"/>
    <cellStyle name="Note 2 10 8 5" xfId="19989" xr:uid="{00000000-0005-0000-0000-0000F34A0000}"/>
    <cellStyle name="Note 2 10 8 6" xfId="30834" xr:uid="{00000000-0005-0000-0000-0000F44A0000}"/>
    <cellStyle name="Note 2 10 9" xfId="933" xr:uid="{00000000-0005-0000-0000-0000F54A0000}"/>
    <cellStyle name="Note 2 10 9 2" xfId="3787" xr:uid="{00000000-0005-0000-0000-0000F64A0000}"/>
    <cellStyle name="Note 2 10 9 2 2" xfId="22759" xr:uid="{00000000-0005-0000-0000-0000F74A0000}"/>
    <cellStyle name="Note 2 10 9 2 3" xfId="33604" xr:uid="{00000000-0005-0000-0000-0000F84A0000}"/>
    <cellStyle name="Note 2 10 9 3" xfId="6462" xr:uid="{00000000-0005-0000-0000-0000F94A0000}"/>
    <cellStyle name="Note 2 10 9 3 2" xfId="25434" xr:uid="{00000000-0005-0000-0000-0000FA4A0000}"/>
    <cellStyle name="Note 2 10 9 3 3" xfId="36279" xr:uid="{00000000-0005-0000-0000-0000FB4A0000}"/>
    <cellStyle name="Note 2 10 9 4" xfId="9121" xr:uid="{00000000-0005-0000-0000-0000FC4A0000}"/>
    <cellStyle name="Note 2 10 9 4 2" xfId="28093" xr:uid="{00000000-0005-0000-0000-0000FD4A0000}"/>
    <cellStyle name="Note 2 10 9 4 3" xfId="38938" xr:uid="{00000000-0005-0000-0000-0000FE4A0000}"/>
    <cellStyle name="Note 2 10 9 5" xfId="19917" xr:uid="{00000000-0005-0000-0000-0000FF4A0000}"/>
    <cellStyle name="Note 2 10 9 6" xfId="30762" xr:uid="{00000000-0005-0000-0000-0000004B0000}"/>
    <cellStyle name="Note 2 11" xfId="561" xr:uid="{00000000-0005-0000-0000-0000014B0000}"/>
    <cellStyle name="Note 2 11 10" xfId="19571" xr:uid="{00000000-0005-0000-0000-0000024B0000}"/>
    <cellStyle name="Note 2 11 11" xfId="30416" xr:uid="{00000000-0005-0000-0000-0000034B0000}"/>
    <cellStyle name="Note 2 11 2" xfId="1167" xr:uid="{00000000-0005-0000-0000-0000044B0000}"/>
    <cellStyle name="Note 2 11 2 2" xfId="4020" xr:uid="{00000000-0005-0000-0000-0000054B0000}"/>
    <cellStyle name="Note 2 11 2 2 2" xfId="22992" xr:uid="{00000000-0005-0000-0000-0000064B0000}"/>
    <cellStyle name="Note 2 11 2 2 3" xfId="33837" xr:uid="{00000000-0005-0000-0000-0000074B0000}"/>
    <cellStyle name="Note 2 11 2 3" xfId="6693" xr:uid="{00000000-0005-0000-0000-0000084B0000}"/>
    <cellStyle name="Note 2 11 2 3 2" xfId="25665" xr:uid="{00000000-0005-0000-0000-0000094B0000}"/>
    <cellStyle name="Note 2 11 2 3 3" xfId="36510" xr:uid="{00000000-0005-0000-0000-00000A4B0000}"/>
    <cellStyle name="Note 2 11 2 4" xfId="9352" xr:uid="{00000000-0005-0000-0000-00000B4B0000}"/>
    <cellStyle name="Note 2 11 2 4 2" xfId="28324" xr:uid="{00000000-0005-0000-0000-00000C4B0000}"/>
    <cellStyle name="Note 2 11 2 4 3" xfId="39169" xr:uid="{00000000-0005-0000-0000-00000D4B0000}"/>
    <cellStyle name="Note 2 11 2 5" xfId="20148" xr:uid="{00000000-0005-0000-0000-00000E4B0000}"/>
    <cellStyle name="Note 2 11 2 6" xfId="30993" xr:uid="{00000000-0005-0000-0000-00000F4B0000}"/>
    <cellStyle name="Note 2 11 3" xfId="1564" xr:uid="{00000000-0005-0000-0000-0000104B0000}"/>
    <cellStyle name="Note 2 11 3 2" xfId="4417" xr:uid="{00000000-0005-0000-0000-0000114B0000}"/>
    <cellStyle name="Note 2 11 3 2 2" xfId="23389" xr:uid="{00000000-0005-0000-0000-0000124B0000}"/>
    <cellStyle name="Note 2 11 3 2 3" xfId="34234" xr:uid="{00000000-0005-0000-0000-0000134B0000}"/>
    <cellStyle name="Note 2 11 3 3" xfId="7089" xr:uid="{00000000-0005-0000-0000-0000144B0000}"/>
    <cellStyle name="Note 2 11 3 3 2" xfId="26061" xr:uid="{00000000-0005-0000-0000-0000154B0000}"/>
    <cellStyle name="Note 2 11 3 3 3" xfId="36906" xr:uid="{00000000-0005-0000-0000-0000164B0000}"/>
    <cellStyle name="Note 2 11 3 4" xfId="9748" xr:uid="{00000000-0005-0000-0000-0000174B0000}"/>
    <cellStyle name="Note 2 11 3 4 2" xfId="28720" xr:uid="{00000000-0005-0000-0000-0000184B0000}"/>
    <cellStyle name="Note 2 11 3 4 3" xfId="39565" xr:uid="{00000000-0005-0000-0000-0000194B0000}"/>
    <cellStyle name="Note 2 11 3 5" xfId="20544" xr:uid="{00000000-0005-0000-0000-00001A4B0000}"/>
    <cellStyle name="Note 2 11 3 6" xfId="31389" xr:uid="{00000000-0005-0000-0000-00001B4B0000}"/>
    <cellStyle name="Note 2 11 4" xfId="1968" xr:uid="{00000000-0005-0000-0000-00001C4B0000}"/>
    <cellStyle name="Note 2 11 4 2" xfId="4821" xr:uid="{00000000-0005-0000-0000-00001D4B0000}"/>
    <cellStyle name="Note 2 11 4 2 2" xfId="23793" xr:uid="{00000000-0005-0000-0000-00001E4B0000}"/>
    <cellStyle name="Note 2 11 4 2 3" xfId="34638" xr:uid="{00000000-0005-0000-0000-00001F4B0000}"/>
    <cellStyle name="Note 2 11 4 3" xfId="7493" xr:uid="{00000000-0005-0000-0000-0000204B0000}"/>
    <cellStyle name="Note 2 11 4 3 2" xfId="26465" xr:uid="{00000000-0005-0000-0000-0000214B0000}"/>
    <cellStyle name="Note 2 11 4 3 3" xfId="37310" xr:uid="{00000000-0005-0000-0000-0000224B0000}"/>
    <cellStyle name="Note 2 11 4 4" xfId="10152" xr:uid="{00000000-0005-0000-0000-0000234B0000}"/>
    <cellStyle name="Note 2 11 4 4 2" xfId="29124" xr:uid="{00000000-0005-0000-0000-0000244B0000}"/>
    <cellStyle name="Note 2 11 4 4 3" xfId="39969" xr:uid="{00000000-0005-0000-0000-0000254B0000}"/>
    <cellStyle name="Note 2 11 4 5" xfId="20948" xr:uid="{00000000-0005-0000-0000-0000264B0000}"/>
    <cellStyle name="Note 2 11 4 6" xfId="31793" xr:uid="{00000000-0005-0000-0000-0000274B0000}"/>
    <cellStyle name="Note 2 11 5" xfId="2360" xr:uid="{00000000-0005-0000-0000-0000284B0000}"/>
    <cellStyle name="Note 2 11 5 2" xfId="5213" xr:uid="{00000000-0005-0000-0000-0000294B0000}"/>
    <cellStyle name="Note 2 11 5 2 2" xfId="24185" xr:uid="{00000000-0005-0000-0000-00002A4B0000}"/>
    <cellStyle name="Note 2 11 5 2 3" xfId="35030" xr:uid="{00000000-0005-0000-0000-00002B4B0000}"/>
    <cellStyle name="Note 2 11 5 3" xfId="7884" xr:uid="{00000000-0005-0000-0000-00002C4B0000}"/>
    <cellStyle name="Note 2 11 5 3 2" xfId="26856" xr:uid="{00000000-0005-0000-0000-00002D4B0000}"/>
    <cellStyle name="Note 2 11 5 3 3" xfId="37701" xr:uid="{00000000-0005-0000-0000-00002E4B0000}"/>
    <cellStyle name="Note 2 11 5 4" xfId="10543" xr:uid="{00000000-0005-0000-0000-00002F4B0000}"/>
    <cellStyle name="Note 2 11 5 4 2" xfId="29515" xr:uid="{00000000-0005-0000-0000-0000304B0000}"/>
    <cellStyle name="Note 2 11 5 4 3" xfId="40360" xr:uid="{00000000-0005-0000-0000-0000314B0000}"/>
    <cellStyle name="Note 2 11 5 5" xfId="21339" xr:uid="{00000000-0005-0000-0000-0000324B0000}"/>
    <cellStyle name="Note 2 11 5 6" xfId="32184" xr:uid="{00000000-0005-0000-0000-0000334B0000}"/>
    <cellStyle name="Note 2 11 6" xfId="2749" xr:uid="{00000000-0005-0000-0000-0000344B0000}"/>
    <cellStyle name="Note 2 11 6 2" xfId="5601" xr:uid="{00000000-0005-0000-0000-0000354B0000}"/>
    <cellStyle name="Note 2 11 6 2 2" xfId="24573" xr:uid="{00000000-0005-0000-0000-0000364B0000}"/>
    <cellStyle name="Note 2 11 6 2 3" xfId="35418" xr:uid="{00000000-0005-0000-0000-0000374B0000}"/>
    <cellStyle name="Note 2 11 6 3" xfId="8272" xr:uid="{00000000-0005-0000-0000-0000384B0000}"/>
    <cellStyle name="Note 2 11 6 3 2" xfId="27244" xr:uid="{00000000-0005-0000-0000-0000394B0000}"/>
    <cellStyle name="Note 2 11 6 3 3" xfId="38089" xr:uid="{00000000-0005-0000-0000-00003A4B0000}"/>
    <cellStyle name="Note 2 11 6 4" xfId="10931" xr:uid="{00000000-0005-0000-0000-00003B4B0000}"/>
    <cellStyle name="Note 2 11 6 4 2" xfId="29903" xr:uid="{00000000-0005-0000-0000-00003C4B0000}"/>
    <cellStyle name="Note 2 11 6 4 3" xfId="40748" xr:uid="{00000000-0005-0000-0000-00003D4B0000}"/>
    <cellStyle name="Note 2 11 6 5" xfId="21727" xr:uid="{00000000-0005-0000-0000-00003E4B0000}"/>
    <cellStyle name="Note 2 11 6 6" xfId="32572" xr:uid="{00000000-0005-0000-0000-00003F4B0000}"/>
    <cellStyle name="Note 2 11 7" xfId="3440" xr:uid="{00000000-0005-0000-0000-0000404B0000}"/>
    <cellStyle name="Note 2 11 7 2" xfId="22412" xr:uid="{00000000-0005-0000-0000-0000414B0000}"/>
    <cellStyle name="Note 2 11 7 3" xfId="33257" xr:uid="{00000000-0005-0000-0000-0000424B0000}"/>
    <cellStyle name="Note 2 11 8" xfId="6116" xr:uid="{00000000-0005-0000-0000-0000434B0000}"/>
    <cellStyle name="Note 2 11 8 2" xfId="25088" xr:uid="{00000000-0005-0000-0000-0000444B0000}"/>
    <cellStyle name="Note 2 11 8 3" xfId="35933" xr:uid="{00000000-0005-0000-0000-0000454B0000}"/>
    <cellStyle name="Note 2 11 9" xfId="8775" xr:uid="{00000000-0005-0000-0000-0000464B0000}"/>
    <cellStyle name="Note 2 11 9 2" xfId="27747" xr:uid="{00000000-0005-0000-0000-0000474B0000}"/>
    <cellStyle name="Note 2 11 9 3" xfId="38592" xr:uid="{00000000-0005-0000-0000-0000484B0000}"/>
    <cellStyle name="Note 2 2" xfId="127" xr:uid="{00000000-0005-0000-0000-0000494B0000}"/>
    <cellStyle name="Note 2 2 2" xfId="191" xr:uid="{00000000-0005-0000-0000-00004A4B0000}"/>
    <cellStyle name="Note 2 2 2 2" xfId="415" xr:uid="{00000000-0005-0000-0000-00004B4B0000}"/>
    <cellStyle name="Note 2 2 2 2 10" xfId="2702" xr:uid="{00000000-0005-0000-0000-00004C4B0000}"/>
    <cellStyle name="Note 2 2 2 2 10 2" xfId="5554" xr:uid="{00000000-0005-0000-0000-00004D4B0000}"/>
    <cellStyle name="Note 2 2 2 2 10 2 2" xfId="24526" xr:uid="{00000000-0005-0000-0000-00004E4B0000}"/>
    <cellStyle name="Note 2 2 2 2 10 2 3" xfId="35371" xr:uid="{00000000-0005-0000-0000-00004F4B0000}"/>
    <cellStyle name="Note 2 2 2 2 10 3" xfId="8225" xr:uid="{00000000-0005-0000-0000-0000504B0000}"/>
    <cellStyle name="Note 2 2 2 2 10 3 2" xfId="27197" xr:uid="{00000000-0005-0000-0000-0000514B0000}"/>
    <cellStyle name="Note 2 2 2 2 10 3 3" xfId="38042" xr:uid="{00000000-0005-0000-0000-0000524B0000}"/>
    <cellStyle name="Note 2 2 2 2 10 4" xfId="10884" xr:uid="{00000000-0005-0000-0000-0000534B0000}"/>
    <cellStyle name="Note 2 2 2 2 10 4 2" xfId="29856" xr:uid="{00000000-0005-0000-0000-0000544B0000}"/>
    <cellStyle name="Note 2 2 2 2 10 4 3" xfId="40701" xr:uid="{00000000-0005-0000-0000-0000554B0000}"/>
    <cellStyle name="Note 2 2 2 2 10 5" xfId="21680" xr:uid="{00000000-0005-0000-0000-0000564B0000}"/>
    <cellStyle name="Note 2 2 2 2 10 6" xfId="32525" xr:uid="{00000000-0005-0000-0000-0000574B0000}"/>
    <cellStyle name="Note 2 2 2 2 11" xfId="3087" xr:uid="{00000000-0005-0000-0000-0000584B0000}"/>
    <cellStyle name="Note 2 2 2 2 11 2" xfId="5938" xr:uid="{00000000-0005-0000-0000-0000594B0000}"/>
    <cellStyle name="Note 2 2 2 2 11 2 2" xfId="24910" xr:uid="{00000000-0005-0000-0000-00005A4B0000}"/>
    <cellStyle name="Note 2 2 2 2 11 2 3" xfId="35755" xr:uid="{00000000-0005-0000-0000-00005B4B0000}"/>
    <cellStyle name="Note 2 2 2 2 11 3" xfId="8609" xr:uid="{00000000-0005-0000-0000-00005C4B0000}"/>
    <cellStyle name="Note 2 2 2 2 11 3 2" xfId="27581" xr:uid="{00000000-0005-0000-0000-00005D4B0000}"/>
    <cellStyle name="Note 2 2 2 2 11 3 3" xfId="38426" xr:uid="{00000000-0005-0000-0000-00005E4B0000}"/>
    <cellStyle name="Note 2 2 2 2 11 4" xfId="11268" xr:uid="{00000000-0005-0000-0000-00005F4B0000}"/>
    <cellStyle name="Note 2 2 2 2 11 4 2" xfId="30240" xr:uid="{00000000-0005-0000-0000-0000604B0000}"/>
    <cellStyle name="Note 2 2 2 2 11 4 3" xfId="41085" xr:uid="{00000000-0005-0000-0000-0000614B0000}"/>
    <cellStyle name="Note 2 2 2 2 11 5" xfId="22064" xr:uid="{00000000-0005-0000-0000-0000624B0000}"/>
    <cellStyle name="Note 2 2 2 2 11 6" xfId="32909" xr:uid="{00000000-0005-0000-0000-0000634B0000}"/>
    <cellStyle name="Note 2 2 2 2 12" xfId="3144" xr:uid="{00000000-0005-0000-0000-0000644B0000}"/>
    <cellStyle name="Note 2 2 2 2 12 2" xfId="5995" xr:uid="{00000000-0005-0000-0000-0000654B0000}"/>
    <cellStyle name="Note 2 2 2 2 12 2 2" xfId="24967" xr:uid="{00000000-0005-0000-0000-0000664B0000}"/>
    <cellStyle name="Note 2 2 2 2 12 2 3" xfId="35812" xr:uid="{00000000-0005-0000-0000-0000674B0000}"/>
    <cellStyle name="Note 2 2 2 2 12 3" xfId="8666" xr:uid="{00000000-0005-0000-0000-0000684B0000}"/>
    <cellStyle name="Note 2 2 2 2 12 3 2" xfId="27638" xr:uid="{00000000-0005-0000-0000-0000694B0000}"/>
    <cellStyle name="Note 2 2 2 2 12 3 3" xfId="38483" xr:uid="{00000000-0005-0000-0000-00006A4B0000}"/>
    <cellStyle name="Note 2 2 2 2 12 4" xfId="11325" xr:uid="{00000000-0005-0000-0000-00006B4B0000}"/>
    <cellStyle name="Note 2 2 2 2 12 4 2" xfId="30297" xr:uid="{00000000-0005-0000-0000-00006C4B0000}"/>
    <cellStyle name="Note 2 2 2 2 12 4 3" xfId="41142" xr:uid="{00000000-0005-0000-0000-00006D4B0000}"/>
    <cellStyle name="Note 2 2 2 2 12 5" xfId="22121" xr:uid="{00000000-0005-0000-0000-00006E4B0000}"/>
    <cellStyle name="Note 2 2 2 2 12 6" xfId="32966" xr:uid="{00000000-0005-0000-0000-00006F4B0000}"/>
    <cellStyle name="Note 2 2 2 2 13" xfId="3201" xr:uid="{00000000-0005-0000-0000-0000704B0000}"/>
    <cellStyle name="Note 2 2 2 2 13 2" xfId="6052" xr:uid="{00000000-0005-0000-0000-0000714B0000}"/>
    <cellStyle name="Note 2 2 2 2 13 2 2" xfId="25024" xr:uid="{00000000-0005-0000-0000-0000724B0000}"/>
    <cellStyle name="Note 2 2 2 2 13 2 3" xfId="35869" xr:uid="{00000000-0005-0000-0000-0000734B0000}"/>
    <cellStyle name="Note 2 2 2 2 13 3" xfId="8723" xr:uid="{00000000-0005-0000-0000-0000744B0000}"/>
    <cellStyle name="Note 2 2 2 2 13 3 2" xfId="27695" xr:uid="{00000000-0005-0000-0000-0000754B0000}"/>
    <cellStyle name="Note 2 2 2 2 13 3 3" xfId="38540" xr:uid="{00000000-0005-0000-0000-0000764B0000}"/>
    <cellStyle name="Note 2 2 2 2 13 4" xfId="11382" xr:uid="{00000000-0005-0000-0000-0000774B0000}"/>
    <cellStyle name="Note 2 2 2 2 13 4 2" xfId="30354" xr:uid="{00000000-0005-0000-0000-0000784B0000}"/>
    <cellStyle name="Note 2 2 2 2 13 4 3" xfId="41199" xr:uid="{00000000-0005-0000-0000-0000794B0000}"/>
    <cellStyle name="Note 2 2 2 2 13 5" xfId="22178" xr:uid="{00000000-0005-0000-0000-00007A4B0000}"/>
    <cellStyle name="Note 2 2 2 2 13 6" xfId="33023" xr:uid="{00000000-0005-0000-0000-00007B4B0000}"/>
    <cellStyle name="Note 2 2 2 2 14" xfId="3369" xr:uid="{00000000-0005-0000-0000-00007C4B0000}"/>
    <cellStyle name="Note 2 2 2 2 14 2" xfId="22343" xr:uid="{00000000-0005-0000-0000-00007D4B0000}"/>
    <cellStyle name="Note 2 2 2 2 14 3" xfId="33188" xr:uid="{00000000-0005-0000-0000-00007E4B0000}"/>
    <cellStyle name="Note 2 2 2 2 15" xfId="518" xr:uid="{00000000-0005-0000-0000-00007F4B0000}"/>
    <cellStyle name="Note 2 2 2 2 15 2" xfId="19539" xr:uid="{00000000-0005-0000-0000-0000804B0000}"/>
    <cellStyle name="Note 2 2 2 2 15 3" xfId="30384" xr:uid="{00000000-0005-0000-0000-0000814B0000}"/>
    <cellStyle name="Note 2 2 2 2 16" xfId="501" xr:uid="{00000000-0005-0000-0000-0000824B0000}"/>
    <cellStyle name="Note 2 2 2 2 16 2" xfId="19534" xr:uid="{00000000-0005-0000-0000-0000834B0000}"/>
    <cellStyle name="Note 2 2 2 2 16 3" xfId="30379" xr:uid="{00000000-0005-0000-0000-0000844B0000}"/>
    <cellStyle name="Note 2 2 2 2 17" xfId="19498" xr:uid="{00000000-0005-0000-0000-0000854B0000}"/>
    <cellStyle name="Note 2 2 2 2 18" xfId="19412" xr:uid="{00000000-0005-0000-0000-0000864B0000}"/>
    <cellStyle name="Note 2 2 2 2 2" xfId="710" xr:uid="{00000000-0005-0000-0000-0000874B0000}"/>
    <cellStyle name="Note 2 2 2 2 2 10" xfId="19695" xr:uid="{00000000-0005-0000-0000-0000884B0000}"/>
    <cellStyle name="Note 2 2 2 2 2 11" xfId="30540" xr:uid="{00000000-0005-0000-0000-0000894B0000}"/>
    <cellStyle name="Note 2 2 2 2 2 2" xfId="1297" xr:uid="{00000000-0005-0000-0000-00008A4B0000}"/>
    <cellStyle name="Note 2 2 2 2 2 2 2" xfId="4150" xr:uid="{00000000-0005-0000-0000-00008B4B0000}"/>
    <cellStyle name="Note 2 2 2 2 2 2 2 2" xfId="23122" xr:uid="{00000000-0005-0000-0000-00008C4B0000}"/>
    <cellStyle name="Note 2 2 2 2 2 2 2 3" xfId="33967" xr:uid="{00000000-0005-0000-0000-00008D4B0000}"/>
    <cellStyle name="Note 2 2 2 2 2 2 3" xfId="6823" xr:uid="{00000000-0005-0000-0000-00008E4B0000}"/>
    <cellStyle name="Note 2 2 2 2 2 2 3 2" xfId="25795" xr:uid="{00000000-0005-0000-0000-00008F4B0000}"/>
    <cellStyle name="Note 2 2 2 2 2 2 3 3" xfId="36640" xr:uid="{00000000-0005-0000-0000-0000904B0000}"/>
    <cellStyle name="Note 2 2 2 2 2 2 4" xfId="9482" xr:uid="{00000000-0005-0000-0000-0000914B0000}"/>
    <cellStyle name="Note 2 2 2 2 2 2 4 2" xfId="28454" xr:uid="{00000000-0005-0000-0000-0000924B0000}"/>
    <cellStyle name="Note 2 2 2 2 2 2 4 3" xfId="39299" xr:uid="{00000000-0005-0000-0000-0000934B0000}"/>
    <cellStyle name="Note 2 2 2 2 2 2 5" xfId="20278" xr:uid="{00000000-0005-0000-0000-0000944B0000}"/>
    <cellStyle name="Note 2 2 2 2 2 2 6" xfId="31123" xr:uid="{00000000-0005-0000-0000-0000954B0000}"/>
    <cellStyle name="Note 2 2 2 2 2 3" xfId="1696" xr:uid="{00000000-0005-0000-0000-0000964B0000}"/>
    <cellStyle name="Note 2 2 2 2 2 3 2" xfId="4549" xr:uid="{00000000-0005-0000-0000-0000974B0000}"/>
    <cellStyle name="Note 2 2 2 2 2 3 2 2" xfId="23521" xr:uid="{00000000-0005-0000-0000-0000984B0000}"/>
    <cellStyle name="Note 2 2 2 2 2 3 2 3" xfId="34366" xr:uid="{00000000-0005-0000-0000-0000994B0000}"/>
    <cellStyle name="Note 2 2 2 2 2 3 3" xfId="7221" xr:uid="{00000000-0005-0000-0000-00009A4B0000}"/>
    <cellStyle name="Note 2 2 2 2 2 3 3 2" xfId="26193" xr:uid="{00000000-0005-0000-0000-00009B4B0000}"/>
    <cellStyle name="Note 2 2 2 2 2 3 3 3" xfId="37038" xr:uid="{00000000-0005-0000-0000-00009C4B0000}"/>
    <cellStyle name="Note 2 2 2 2 2 3 4" xfId="9880" xr:uid="{00000000-0005-0000-0000-00009D4B0000}"/>
    <cellStyle name="Note 2 2 2 2 2 3 4 2" xfId="28852" xr:uid="{00000000-0005-0000-0000-00009E4B0000}"/>
    <cellStyle name="Note 2 2 2 2 2 3 4 3" xfId="39697" xr:uid="{00000000-0005-0000-0000-00009F4B0000}"/>
    <cellStyle name="Note 2 2 2 2 2 3 5" xfId="20676" xr:uid="{00000000-0005-0000-0000-0000A04B0000}"/>
    <cellStyle name="Note 2 2 2 2 2 3 6" xfId="31521" xr:uid="{00000000-0005-0000-0000-0000A14B0000}"/>
    <cellStyle name="Note 2 2 2 2 2 4" xfId="2100" xr:uid="{00000000-0005-0000-0000-0000A24B0000}"/>
    <cellStyle name="Note 2 2 2 2 2 4 2" xfId="4953" xr:uid="{00000000-0005-0000-0000-0000A34B0000}"/>
    <cellStyle name="Note 2 2 2 2 2 4 2 2" xfId="23925" xr:uid="{00000000-0005-0000-0000-0000A44B0000}"/>
    <cellStyle name="Note 2 2 2 2 2 4 2 3" xfId="34770" xr:uid="{00000000-0005-0000-0000-0000A54B0000}"/>
    <cellStyle name="Note 2 2 2 2 2 4 3" xfId="7624" xr:uid="{00000000-0005-0000-0000-0000A64B0000}"/>
    <cellStyle name="Note 2 2 2 2 2 4 3 2" xfId="26596" xr:uid="{00000000-0005-0000-0000-0000A74B0000}"/>
    <cellStyle name="Note 2 2 2 2 2 4 3 3" xfId="37441" xr:uid="{00000000-0005-0000-0000-0000A84B0000}"/>
    <cellStyle name="Note 2 2 2 2 2 4 4" xfId="10283" xr:uid="{00000000-0005-0000-0000-0000A94B0000}"/>
    <cellStyle name="Note 2 2 2 2 2 4 4 2" xfId="29255" xr:uid="{00000000-0005-0000-0000-0000AA4B0000}"/>
    <cellStyle name="Note 2 2 2 2 2 4 4 3" xfId="40100" xr:uid="{00000000-0005-0000-0000-0000AB4B0000}"/>
    <cellStyle name="Note 2 2 2 2 2 4 5" xfId="21079" xr:uid="{00000000-0005-0000-0000-0000AC4B0000}"/>
    <cellStyle name="Note 2 2 2 2 2 4 6" xfId="31924" xr:uid="{00000000-0005-0000-0000-0000AD4B0000}"/>
    <cellStyle name="Note 2 2 2 2 2 5" xfId="2490" xr:uid="{00000000-0005-0000-0000-0000AE4B0000}"/>
    <cellStyle name="Note 2 2 2 2 2 5 2" xfId="5342" xr:uid="{00000000-0005-0000-0000-0000AF4B0000}"/>
    <cellStyle name="Note 2 2 2 2 2 5 2 2" xfId="24314" xr:uid="{00000000-0005-0000-0000-0000B04B0000}"/>
    <cellStyle name="Note 2 2 2 2 2 5 2 3" xfId="35159" xr:uid="{00000000-0005-0000-0000-0000B14B0000}"/>
    <cellStyle name="Note 2 2 2 2 2 5 3" xfId="8013" xr:uid="{00000000-0005-0000-0000-0000B24B0000}"/>
    <cellStyle name="Note 2 2 2 2 2 5 3 2" xfId="26985" xr:uid="{00000000-0005-0000-0000-0000B34B0000}"/>
    <cellStyle name="Note 2 2 2 2 2 5 3 3" xfId="37830" xr:uid="{00000000-0005-0000-0000-0000B44B0000}"/>
    <cellStyle name="Note 2 2 2 2 2 5 4" xfId="10672" xr:uid="{00000000-0005-0000-0000-0000B54B0000}"/>
    <cellStyle name="Note 2 2 2 2 2 5 4 2" xfId="29644" xr:uid="{00000000-0005-0000-0000-0000B64B0000}"/>
    <cellStyle name="Note 2 2 2 2 2 5 4 3" xfId="40489" xr:uid="{00000000-0005-0000-0000-0000B74B0000}"/>
    <cellStyle name="Note 2 2 2 2 2 5 5" xfId="21468" xr:uid="{00000000-0005-0000-0000-0000B84B0000}"/>
    <cellStyle name="Note 2 2 2 2 2 5 6" xfId="32313" xr:uid="{00000000-0005-0000-0000-0000B94B0000}"/>
    <cellStyle name="Note 2 2 2 2 2 6" xfId="2876" xr:uid="{00000000-0005-0000-0000-0000BA4B0000}"/>
    <cellStyle name="Note 2 2 2 2 2 6 2" xfId="5727" xr:uid="{00000000-0005-0000-0000-0000BB4B0000}"/>
    <cellStyle name="Note 2 2 2 2 2 6 2 2" xfId="24699" xr:uid="{00000000-0005-0000-0000-0000BC4B0000}"/>
    <cellStyle name="Note 2 2 2 2 2 6 2 3" xfId="35544" xr:uid="{00000000-0005-0000-0000-0000BD4B0000}"/>
    <cellStyle name="Note 2 2 2 2 2 6 3" xfId="8398" xr:uid="{00000000-0005-0000-0000-0000BE4B0000}"/>
    <cellStyle name="Note 2 2 2 2 2 6 3 2" xfId="27370" xr:uid="{00000000-0005-0000-0000-0000BF4B0000}"/>
    <cellStyle name="Note 2 2 2 2 2 6 3 3" xfId="38215" xr:uid="{00000000-0005-0000-0000-0000C04B0000}"/>
    <cellStyle name="Note 2 2 2 2 2 6 4" xfId="11057" xr:uid="{00000000-0005-0000-0000-0000C14B0000}"/>
    <cellStyle name="Note 2 2 2 2 2 6 4 2" xfId="30029" xr:uid="{00000000-0005-0000-0000-0000C24B0000}"/>
    <cellStyle name="Note 2 2 2 2 2 6 4 3" xfId="40874" xr:uid="{00000000-0005-0000-0000-0000C34B0000}"/>
    <cellStyle name="Note 2 2 2 2 2 6 5" xfId="21853" xr:uid="{00000000-0005-0000-0000-0000C44B0000}"/>
    <cellStyle name="Note 2 2 2 2 2 6 6" xfId="32698" xr:uid="{00000000-0005-0000-0000-0000C54B0000}"/>
    <cellStyle name="Note 2 2 2 2 2 7" xfId="3565" xr:uid="{00000000-0005-0000-0000-0000C64B0000}"/>
    <cellStyle name="Note 2 2 2 2 2 7 2" xfId="22537" xr:uid="{00000000-0005-0000-0000-0000C74B0000}"/>
    <cellStyle name="Note 2 2 2 2 2 7 3" xfId="33382" xr:uid="{00000000-0005-0000-0000-0000C84B0000}"/>
    <cellStyle name="Note 2 2 2 2 2 8" xfId="6240" xr:uid="{00000000-0005-0000-0000-0000C94B0000}"/>
    <cellStyle name="Note 2 2 2 2 2 8 2" xfId="25212" xr:uid="{00000000-0005-0000-0000-0000CA4B0000}"/>
    <cellStyle name="Note 2 2 2 2 2 8 3" xfId="36057" xr:uid="{00000000-0005-0000-0000-0000CB4B0000}"/>
    <cellStyle name="Note 2 2 2 2 2 9" xfId="8899" xr:uid="{00000000-0005-0000-0000-0000CC4B0000}"/>
    <cellStyle name="Note 2 2 2 2 2 9 2" xfId="27871" xr:uid="{00000000-0005-0000-0000-0000CD4B0000}"/>
    <cellStyle name="Note 2 2 2 2 2 9 3" xfId="38716" xr:uid="{00000000-0005-0000-0000-0000CE4B0000}"/>
    <cellStyle name="Note 2 2 2 2 3" xfId="769" xr:uid="{00000000-0005-0000-0000-0000CF4B0000}"/>
    <cellStyle name="Note 2 2 2 2 3 10" xfId="19754" xr:uid="{00000000-0005-0000-0000-0000D04B0000}"/>
    <cellStyle name="Note 2 2 2 2 3 11" xfId="30599" xr:uid="{00000000-0005-0000-0000-0000D14B0000}"/>
    <cellStyle name="Note 2 2 2 2 3 2" xfId="1356" xr:uid="{00000000-0005-0000-0000-0000D24B0000}"/>
    <cellStyle name="Note 2 2 2 2 3 2 2" xfId="4209" xr:uid="{00000000-0005-0000-0000-0000D34B0000}"/>
    <cellStyle name="Note 2 2 2 2 3 2 2 2" xfId="23181" xr:uid="{00000000-0005-0000-0000-0000D44B0000}"/>
    <cellStyle name="Note 2 2 2 2 3 2 2 3" xfId="34026" xr:uid="{00000000-0005-0000-0000-0000D54B0000}"/>
    <cellStyle name="Note 2 2 2 2 3 2 3" xfId="6882" xr:uid="{00000000-0005-0000-0000-0000D64B0000}"/>
    <cellStyle name="Note 2 2 2 2 3 2 3 2" xfId="25854" xr:uid="{00000000-0005-0000-0000-0000D74B0000}"/>
    <cellStyle name="Note 2 2 2 2 3 2 3 3" xfId="36699" xr:uid="{00000000-0005-0000-0000-0000D84B0000}"/>
    <cellStyle name="Note 2 2 2 2 3 2 4" xfId="9541" xr:uid="{00000000-0005-0000-0000-0000D94B0000}"/>
    <cellStyle name="Note 2 2 2 2 3 2 4 2" xfId="28513" xr:uid="{00000000-0005-0000-0000-0000DA4B0000}"/>
    <cellStyle name="Note 2 2 2 2 3 2 4 3" xfId="39358" xr:uid="{00000000-0005-0000-0000-0000DB4B0000}"/>
    <cellStyle name="Note 2 2 2 2 3 2 5" xfId="20337" xr:uid="{00000000-0005-0000-0000-0000DC4B0000}"/>
    <cellStyle name="Note 2 2 2 2 3 2 6" xfId="31182" xr:uid="{00000000-0005-0000-0000-0000DD4B0000}"/>
    <cellStyle name="Note 2 2 2 2 3 3" xfId="1755" xr:uid="{00000000-0005-0000-0000-0000DE4B0000}"/>
    <cellStyle name="Note 2 2 2 2 3 3 2" xfId="4608" xr:uid="{00000000-0005-0000-0000-0000DF4B0000}"/>
    <cellStyle name="Note 2 2 2 2 3 3 2 2" xfId="23580" xr:uid="{00000000-0005-0000-0000-0000E04B0000}"/>
    <cellStyle name="Note 2 2 2 2 3 3 2 3" xfId="34425" xr:uid="{00000000-0005-0000-0000-0000E14B0000}"/>
    <cellStyle name="Note 2 2 2 2 3 3 3" xfId="7280" xr:uid="{00000000-0005-0000-0000-0000E24B0000}"/>
    <cellStyle name="Note 2 2 2 2 3 3 3 2" xfId="26252" xr:uid="{00000000-0005-0000-0000-0000E34B0000}"/>
    <cellStyle name="Note 2 2 2 2 3 3 3 3" xfId="37097" xr:uid="{00000000-0005-0000-0000-0000E44B0000}"/>
    <cellStyle name="Note 2 2 2 2 3 3 4" xfId="9939" xr:uid="{00000000-0005-0000-0000-0000E54B0000}"/>
    <cellStyle name="Note 2 2 2 2 3 3 4 2" xfId="28911" xr:uid="{00000000-0005-0000-0000-0000E64B0000}"/>
    <cellStyle name="Note 2 2 2 2 3 3 4 3" xfId="39756" xr:uid="{00000000-0005-0000-0000-0000E74B0000}"/>
    <cellStyle name="Note 2 2 2 2 3 3 5" xfId="20735" xr:uid="{00000000-0005-0000-0000-0000E84B0000}"/>
    <cellStyle name="Note 2 2 2 2 3 3 6" xfId="31580" xr:uid="{00000000-0005-0000-0000-0000E94B0000}"/>
    <cellStyle name="Note 2 2 2 2 3 4" xfId="2159" xr:uid="{00000000-0005-0000-0000-0000EA4B0000}"/>
    <cellStyle name="Note 2 2 2 2 3 4 2" xfId="5012" xr:uid="{00000000-0005-0000-0000-0000EB4B0000}"/>
    <cellStyle name="Note 2 2 2 2 3 4 2 2" xfId="23984" xr:uid="{00000000-0005-0000-0000-0000EC4B0000}"/>
    <cellStyle name="Note 2 2 2 2 3 4 2 3" xfId="34829" xr:uid="{00000000-0005-0000-0000-0000ED4B0000}"/>
    <cellStyle name="Note 2 2 2 2 3 4 3" xfId="7683" xr:uid="{00000000-0005-0000-0000-0000EE4B0000}"/>
    <cellStyle name="Note 2 2 2 2 3 4 3 2" xfId="26655" xr:uid="{00000000-0005-0000-0000-0000EF4B0000}"/>
    <cellStyle name="Note 2 2 2 2 3 4 3 3" xfId="37500" xr:uid="{00000000-0005-0000-0000-0000F04B0000}"/>
    <cellStyle name="Note 2 2 2 2 3 4 4" xfId="10342" xr:uid="{00000000-0005-0000-0000-0000F14B0000}"/>
    <cellStyle name="Note 2 2 2 2 3 4 4 2" xfId="29314" xr:uid="{00000000-0005-0000-0000-0000F24B0000}"/>
    <cellStyle name="Note 2 2 2 2 3 4 4 3" xfId="40159" xr:uid="{00000000-0005-0000-0000-0000F34B0000}"/>
    <cellStyle name="Note 2 2 2 2 3 4 5" xfId="21138" xr:uid="{00000000-0005-0000-0000-0000F44B0000}"/>
    <cellStyle name="Note 2 2 2 2 3 4 6" xfId="31983" xr:uid="{00000000-0005-0000-0000-0000F54B0000}"/>
    <cellStyle name="Note 2 2 2 2 3 5" xfId="2549" xr:uid="{00000000-0005-0000-0000-0000F64B0000}"/>
    <cellStyle name="Note 2 2 2 2 3 5 2" xfId="5401" xr:uid="{00000000-0005-0000-0000-0000F74B0000}"/>
    <cellStyle name="Note 2 2 2 2 3 5 2 2" xfId="24373" xr:uid="{00000000-0005-0000-0000-0000F84B0000}"/>
    <cellStyle name="Note 2 2 2 2 3 5 2 3" xfId="35218" xr:uid="{00000000-0005-0000-0000-0000F94B0000}"/>
    <cellStyle name="Note 2 2 2 2 3 5 3" xfId="8072" xr:uid="{00000000-0005-0000-0000-0000FA4B0000}"/>
    <cellStyle name="Note 2 2 2 2 3 5 3 2" xfId="27044" xr:uid="{00000000-0005-0000-0000-0000FB4B0000}"/>
    <cellStyle name="Note 2 2 2 2 3 5 3 3" xfId="37889" xr:uid="{00000000-0005-0000-0000-0000FC4B0000}"/>
    <cellStyle name="Note 2 2 2 2 3 5 4" xfId="10731" xr:uid="{00000000-0005-0000-0000-0000FD4B0000}"/>
    <cellStyle name="Note 2 2 2 2 3 5 4 2" xfId="29703" xr:uid="{00000000-0005-0000-0000-0000FE4B0000}"/>
    <cellStyle name="Note 2 2 2 2 3 5 4 3" xfId="40548" xr:uid="{00000000-0005-0000-0000-0000FF4B0000}"/>
    <cellStyle name="Note 2 2 2 2 3 5 5" xfId="21527" xr:uid="{00000000-0005-0000-0000-0000004C0000}"/>
    <cellStyle name="Note 2 2 2 2 3 5 6" xfId="32372" xr:uid="{00000000-0005-0000-0000-0000014C0000}"/>
    <cellStyle name="Note 2 2 2 2 3 6" xfId="2935" xr:uid="{00000000-0005-0000-0000-0000024C0000}"/>
    <cellStyle name="Note 2 2 2 2 3 6 2" xfId="5786" xr:uid="{00000000-0005-0000-0000-0000034C0000}"/>
    <cellStyle name="Note 2 2 2 2 3 6 2 2" xfId="24758" xr:uid="{00000000-0005-0000-0000-0000044C0000}"/>
    <cellStyle name="Note 2 2 2 2 3 6 2 3" xfId="35603" xr:uid="{00000000-0005-0000-0000-0000054C0000}"/>
    <cellStyle name="Note 2 2 2 2 3 6 3" xfId="8457" xr:uid="{00000000-0005-0000-0000-0000064C0000}"/>
    <cellStyle name="Note 2 2 2 2 3 6 3 2" xfId="27429" xr:uid="{00000000-0005-0000-0000-0000074C0000}"/>
    <cellStyle name="Note 2 2 2 2 3 6 3 3" xfId="38274" xr:uid="{00000000-0005-0000-0000-0000084C0000}"/>
    <cellStyle name="Note 2 2 2 2 3 6 4" xfId="11116" xr:uid="{00000000-0005-0000-0000-0000094C0000}"/>
    <cellStyle name="Note 2 2 2 2 3 6 4 2" xfId="30088" xr:uid="{00000000-0005-0000-0000-00000A4C0000}"/>
    <cellStyle name="Note 2 2 2 2 3 6 4 3" xfId="40933" xr:uid="{00000000-0005-0000-0000-00000B4C0000}"/>
    <cellStyle name="Note 2 2 2 2 3 6 5" xfId="21912" xr:uid="{00000000-0005-0000-0000-00000C4C0000}"/>
    <cellStyle name="Note 2 2 2 2 3 6 6" xfId="32757" xr:uid="{00000000-0005-0000-0000-00000D4C0000}"/>
    <cellStyle name="Note 2 2 2 2 3 7" xfId="3624" xr:uid="{00000000-0005-0000-0000-00000E4C0000}"/>
    <cellStyle name="Note 2 2 2 2 3 7 2" xfId="22596" xr:uid="{00000000-0005-0000-0000-00000F4C0000}"/>
    <cellStyle name="Note 2 2 2 2 3 7 3" xfId="33441" xr:uid="{00000000-0005-0000-0000-0000104C0000}"/>
    <cellStyle name="Note 2 2 2 2 3 8" xfId="6299" xr:uid="{00000000-0005-0000-0000-0000114C0000}"/>
    <cellStyle name="Note 2 2 2 2 3 8 2" xfId="25271" xr:uid="{00000000-0005-0000-0000-0000124C0000}"/>
    <cellStyle name="Note 2 2 2 2 3 8 3" xfId="36116" xr:uid="{00000000-0005-0000-0000-0000134C0000}"/>
    <cellStyle name="Note 2 2 2 2 3 9" xfId="8958" xr:uid="{00000000-0005-0000-0000-0000144C0000}"/>
    <cellStyle name="Note 2 2 2 2 3 9 2" xfId="27930" xr:uid="{00000000-0005-0000-0000-0000154C0000}"/>
    <cellStyle name="Note 2 2 2 2 3 9 3" xfId="38775" xr:uid="{00000000-0005-0000-0000-0000164C0000}"/>
    <cellStyle name="Note 2 2 2 2 4" xfId="829" xr:uid="{00000000-0005-0000-0000-0000174C0000}"/>
    <cellStyle name="Note 2 2 2 2 4 10" xfId="19814" xr:uid="{00000000-0005-0000-0000-0000184C0000}"/>
    <cellStyle name="Note 2 2 2 2 4 11" xfId="30659" xr:uid="{00000000-0005-0000-0000-0000194C0000}"/>
    <cellStyle name="Note 2 2 2 2 4 2" xfId="1416" xr:uid="{00000000-0005-0000-0000-00001A4C0000}"/>
    <cellStyle name="Note 2 2 2 2 4 2 2" xfId="4269" xr:uid="{00000000-0005-0000-0000-00001B4C0000}"/>
    <cellStyle name="Note 2 2 2 2 4 2 2 2" xfId="23241" xr:uid="{00000000-0005-0000-0000-00001C4C0000}"/>
    <cellStyle name="Note 2 2 2 2 4 2 2 3" xfId="34086" xr:uid="{00000000-0005-0000-0000-00001D4C0000}"/>
    <cellStyle name="Note 2 2 2 2 4 2 3" xfId="6942" xr:uid="{00000000-0005-0000-0000-00001E4C0000}"/>
    <cellStyle name="Note 2 2 2 2 4 2 3 2" xfId="25914" xr:uid="{00000000-0005-0000-0000-00001F4C0000}"/>
    <cellStyle name="Note 2 2 2 2 4 2 3 3" xfId="36759" xr:uid="{00000000-0005-0000-0000-0000204C0000}"/>
    <cellStyle name="Note 2 2 2 2 4 2 4" xfId="9601" xr:uid="{00000000-0005-0000-0000-0000214C0000}"/>
    <cellStyle name="Note 2 2 2 2 4 2 4 2" xfId="28573" xr:uid="{00000000-0005-0000-0000-0000224C0000}"/>
    <cellStyle name="Note 2 2 2 2 4 2 4 3" xfId="39418" xr:uid="{00000000-0005-0000-0000-0000234C0000}"/>
    <cellStyle name="Note 2 2 2 2 4 2 5" xfId="20397" xr:uid="{00000000-0005-0000-0000-0000244C0000}"/>
    <cellStyle name="Note 2 2 2 2 4 2 6" xfId="31242" xr:uid="{00000000-0005-0000-0000-0000254C0000}"/>
    <cellStyle name="Note 2 2 2 2 4 3" xfId="1815" xr:uid="{00000000-0005-0000-0000-0000264C0000}"/>
    <cellStyle name="Note 2 2 2 2 4 3 2" xfId="4668" xr:uid="{00000000-0005-0000-0000-0000274C0000}"/>
    <cellStyle name="Note 2 2 2 2 4 3 2 2" xfId="23640" xr:uid="{00000000-0005-0000-0000-0000284C0000}"/>
    <cellStyle name="Note 2 2 2 2 4 3 2 3" xfId="34485" xr:uid="{00000000-0005-0000-0000-0000294C0000}"/>
    <cellStyle name="Note 2 2 2 2 4 3 3" xfId="7340" xr:uid="{00000000-0005-0000-0000-00002A4C0000}"/>
    <cellStyle name="Note 2 2 2 2 4 3 3 2" xfId="26312" xr:uid="{00000000-0005-0000-0000-00002B4C0000}"/>
    <cellStyle name="Note 2 2 2 2 4 3 3 3" xfId="37157" xr:uid="{00000000-0005-0000-0000-00002C4C0000}"/>
    <cellStyle name="Note 2 2 2 2 4 3 4" xfId="9999" xr:uid="{00000000-0005-0000-0000-00002D4C0000}"/>
    <cellStyle name="Note 2 2 2 2 4 3 4 2" xfId="28971" xr:uid="{00000000-0005-0000-0000-00002E4C0000}"/>
    <cellStyle name="Note 2 2 2 2 4 3 4 3" xfId="39816" xr:uid="{00000000-0005-0000-0000-00002F4C0000}"/>
    <cellStyle name="Note 2 2 2 2 4 3 5" xfId="20795" xr:uid="{00000000-0005-0000-0000-0000304C0000}"/>
    <cellStyle name="Note 2 2 2 2 4 3 6" xfId="31640" xr:uid="{00000000-0005-0000-0000-0000314C0000}"/>
    <cellStyle name="Note 2 2 2 2 4 4" xfId="2219" xr:uid="{00000000-0005-0000-0000-0000324C0000}"/>
    <cellStyle name="Note 2 2 2 2 4 4 2" xfId="5072" xr:uid="{00000000-0005-0000-0000-0000334C0000}"/>
    <cellStyle name="Note 2 2 2 2 4 4 2 2" xfId="24044" xr:uid="{00000000-0005-0000-0000-0000344C0000}"/>
    <cellStyle name="Note 2 2 2 2 4 4 2 3" xfId="34889" xr:uid="{00000000-0005-0000-0000-0000354C0000}"/>
    <cellStyle name="Note 2 2 2 2 4 4 3" xfId="7743" xr:uid="{00000000-0005-0000-0000-0000364C0000}"/>
    <cellStyle name="Note 2 2 2 2 4 4 3 2" xfId="26715" xr:uid="{00000000-0005-0000-0000-0000374C0000}"/>
    <cellStyle name="Note 2 2 2 2 4 4 3 3" xfId="37560" xr:uid="{00000000-0005-0000-0000-0000384C0000}"/>
    <cellStyle name="Note 2 2 2 2 4 4 4" xfId="10402" xr:uid="{00000000-0005-0000-0000-0000394C0000}"/>
    <cellStyle name="Note 2 2 2 2 4 4 4 2" xfId="29374" xr:uid="{00000000-0005-0000-0000-00003A4C0000}"/>
    <cellStyle name="Note 2 2 2 2 4 4 4 3" xfId="40219" xr:uid="{00000000-0005-0000-0000-00003B4C0000}"/>
    <cellStyle name="Note 2 2 2 2 4 4 5" xfId="21198" xr:uid="{00000000-0005-0000-0000-00003C4C0000}"/>
    <cellStyle name="Note 2 2 2 2 4 4 6" xfId="32043" xr:uid="{00000000-0005-0000-0000-00003D4C0000}"/>
    <cellStyle name="Note 2 2 2 2 4 5" xfId="2609" xr:uid="{00000000-0005-0000-0000-00003E4C0000}"/>
    <cellStyle name="Note 2 2 2 2 4 5 2" xfId="5461" xr:uid="{00000000-0005-0000-0000-00003F4C0000}"/>
    <cellStyle name="Note 2 2 2 2 4 5 2 2" xfId="24433" xr:uid="{00000000-0005-0000-0000-0000404C0000}"/>
    <cellStyle name="Note 2 2 2 2 4 5 2 3" xfId="35278" xr:uid="{00000000-0005-0000-0000-0000414C0000}"/>
    <cellStyle name="Note 2 2 2 2 4 5 3" xfId="8132" xr:uid="{00000000-0005-0000-0000-0000424C0000}"/>
    <cellStyle name="Note 2 2 2 2 4 5 3 2" xfId="27104" xr:uid="{00000000-0005-0000-0000-0000434C0000}"/>
    <cellStyle name="Note 2 2 2 2 4 5 3 3" xfId="37949" xr:uid="{00000000-0005-0000-0000-0000444C0000}"/>
    <cellStyle name="Note 2 2 2 2 4 5 4" xfId="10791" xr:uid="{00000000-0005-0000-0000-0000454C0000}"/>
    <cellStyle name="Note 2 2 2 2 4 5 4 2" xfId="29763" xr:uid="{00000000-0005-0000-0000-0000464C0000}"/>
    <cellStyle name="Note 2 2 2 2 4 5 4 3" xfId="40608" xr:uid="{00000000-0005-0000-0000-0000474C0000}"/>
    <cellStyle name="Note 2 2 2 2 4 5 5" xfId="21587" xr:uid="{00000000-0005-0000-0000-0000484C0000}"/>
    <cellStyle name="Note 2 2 2 2 4 5 6" xfId="32432" xr:uid="{00000000-0005-0000-0000-0000494C0000}"/>
    <cellStyle name="Note 2 2 2 2 4 6" xfId="2995" xr:uid="{00000000-0005-0000-0000-00004A4C0000}"/>
    <cellStyle name="Note 2 2 2 2 4 6 2" xfId="5846" xr:uid="{00000000-0005-0000-0000-00004B4C0000}"/>
    <cellStyle name="Note 2 2 2 2 4 6 2 2" xfId="24818" xr:uid="{00000000-0005-0000-0000-00004C4C0000}"/>
    <cellStyle name="Note 2 2 2 2 4 6 2 3" xfId="35663" xr:uid="{00000000-0005-0000-0000-00004D4C0000}"/>
    <cellStyle name="Note 2 2 2 2 4 6 3" xfId="8517" xr:uid="{00000000-0005-0000-0000-00004E4C0000}"/>
    <cellStyle name="Note 2 2 2 2 4 6 3 2" xfId="27489" xr:uid="{00000000-0005-0000-0000-00004F4C0000}"/>
    <cellStyle name="Note 2 2 2 2 4 6 3 3" xfId="38334" xr:uid="{00000000-0005-0000-0000-0000504C0000}"/>
    <cellStyle name="Note 2 2 2 2 4 6 4" xfId="11176" xr:uid="{00000000-0005-0000-0000-0000514C0000}"/>
    <cellStyle name="Note 2 2 2 2 4 6 4 2" xfId="30148" xr:uid="{00000000-0005-0000-0000-0000524C0000}"/>
    <cellStyle name="Note 2 2 2 2 4 6 4 3" xfId="40993" xr:uid="{00000000-0005-0000-0000-0000534C0000}"/>
    <cellStyle name="Note 2 2 2 2 4 6 5" xfId="21972" xr:uid="{00000000-0005-0000-0000-0000544C0000}"/>
    <cellStyle name="Note 2 2 2 2 4 6 6" xfId="32817" xr:uid="{00000000-0005-0000-0000-0000554C0000}"/>
    <cellStyle name="Note 2 2 2 2 4 7" xfId="3684" xr:uid="{00000000-0005-0000-0000-0000564C0000}"/>
    <cellStyle name="Note 2 2 2 2 4 7 2" xfId="22656" xr:uid="{00000000-0005-0000-0000-0000574C0000}"/>
    <cellStyle name="Note 2 2 2 2 4 7 3" xfId="33501" xr:uid="{00000000-0005-0000-0000-0000584C0000}"/>
    <cellStyle name="Note 2 2 2 2 4 8" xfId="6359" xr:uid="{00000000-0005-0000-0000-0000594C0000}"/>
    <cellStyle name="Note 2 2 2 2 4 8 2" xfId="25331" xr:uid="{00000000-0005-0000-0000-00005A4C0000}"/>
    <cellStyle name="Note 2 2 2 2 4 8 3" xfId="36176" xr:uid="{00000000-0005-0000-0000-00005B4C0000}"/>
    <cellStyle name="Note 2 2 2 2 4 9" xfId="9018" xr:uid="{00000000-0005-0000-0000-00005C4C0000}"/>
    <cellStyle name="Note 2 2 2 2 4 9 2" xfId="27990" xr:uid="{00000000-0005-0000-0000-00005D4C0000}"/>
    <cellStyle name="Note 2 2 2 2 4 9 3" xfId="38835" xr:uid="{00000000-0005-0000-0000-00005E4C0000}"/>
    <cellStyle name="Note 2 2 2 2 5" xfId="888" xr:uid="{00000000-0005-0000-0000-00005F4C0000}"/>
    <cellStyle name="Note 2 2 2 2 5 10" xfId="19873" xr:uid="{00000000-0005-0000-0000-0000604C0000}"/>
    <cellStyle name="Note 2 2 2 2 5 11" xfId="30718" xr:uid="{00000000-0005-0000-0000-0000614C0000}"/>
    <cellStyle name="Note 2 2 2 2 5 2" xfId="1475" xr:uid="{00000000-0005-0000-0000-0000624C0000}"/>
    <cellStyle name="Note 2 2 2 2 5 2 2" xfId="4328" xr:uid="{00000000-0005-0000-0000-0000634C0000}"/>
    <cellStyle name="Note 2 2 2 2 5 2 2 2" xfId="23300" xr:uid="{00000000-0005-0000-0000-0000644C0000}"/>
    <cellStyle name="Note 2 2 2 2 5 2 2 3" xfId="34145" xr:uid="{00000000-0005-0000-0000-0000654C0000}"/>
    <cellStyle name="Note 2 2 2 2 5 2 3" xfId="7001" xr:uid="{00000000-0005-0000-0000-0000664C0000}"/>
    <cellStyle name="Note 2 2 2 2 5 2 3 2" xfId="25973" xr:uid="{00000000-0005-0000-0000-0000674C0000}"/>
    <cellStyle name="Note 2 2 2 2 5 2 3 3" xfId="36818" xr:uid="{00000000-0005-0000-0000-0000684C0000}"/>
    <cellStyle name="Note 2 2 2 2 5 2 4" xfId="9660" xr:uid="{00000000-0005-0000-0000-0000694C0000}"/>
    <cellStyle name="Note 2 2 2 2 5 2 4 2" xfId="28632" xr:uid="{00000000-0005-0000-0000-00006A4C0000}"/>
    <cellStyle name="Note 2 2 2 2 5 2 4 3" xfId="39477" xr:uid="{00000000-0005-0000-0000-00006B4C0000}"/>
    <cellStyle name="Note 2 2 2 2 5 2 5" xfId="20456" xr:uid="{00000000-0005-0000-0000-00006C4C0000}"/>
    <cellStyle name="Note 2 2 2 2 5 2 6" xfId="31301" xr:uid="{00000000-0005-0000-0000-00006D4C0000}"/>
    <cellStyle name="Note 2 2 2 2 5 3" xfId="1874" xr:uid="{00000000-0005-0000-0000-00006E4C0000}"/>
    <cellStyle name="Note 2 2 2 2 5 3 2" xfId="4727" xr:uid="{00000000-0005-0000-0000-00006F4C0000}"/>
    <cellStyle name="Note 2 2 2 2 5 3 2 2" xfId="23699" xr:uid="{00000000-0005-0000-0000-0000704C0000}"/>
    <cellStyle name="Note 2 2 2 2 5 3 2 3" xfId="34544" xr:uid="{00000000-0005-0000-0000-0000714C0000}"/>
    <cellStyle name="Note 2 2 2 2 5 3 3" xfId="7399" xr:uid="{00000000-0005-0000-0000-0000724C0000}"/>
    <cellStyle name="Note 2 2 2 2 5 3 3 2" xfId="26371" xr:uid="{00000000-0005-0000-0000-0000734C0000}"/>
    <cellStyle name="Note 2 2 2 2 5 3 3 3" xfId="37216" xr:uid="{00000000-0005-0000-0000-0000744C0000}"/>
    <cellStyle name="Note 2 2 2 2 5 3 4" xfId="10058" xr:uid="{00000000-0005-0000-0000-0000754C0000}"/>
    <cellStyle name="Note 2 2 2 2 5 3 4 2" xfId="29030" xr:uid="{00000000-0005-0000-0000-0000764C0000}"/>
    <cellStyle name="Note 2 2 2 2 5 3 4 3" xfId="39875" xr:uid="{00000000-0005-0000-0000-0000774C0000}"/>
    <cellStyle name="Note 2 2 2 2 5 3 5" xfId="20854" xr:uid="{00000000-0005-0000-0000-0000784C0000}"/>
    <cellStyle name="Note 2 2 2 2 5 3 6" xfId="31699" xr:uid="{00000000-0005-0000-0000-0000794C0000}"/>
    <cellStyle name="Note 2 2 2 2 5 4" xfId="2278" xr:uid="{00000000-0005-0000-0000-00007A4C0000}"/>
    <cellStyle name="Note 2 2 2 2 5 4 2" xfId="5131" xr:uid="{00000000-0005-0000-0000-00007B4C0000}"/>
    <cellStyle name="Note 2 2 2 2 5 4 2 2" xfId="24103" xr:uid="{00000000-0005-0000-0000-00007C4C0000}"/>
    <cellStyle name="Note 2 2 2 2 5 4 2 3" xfId="34948" xr:uid="{00000000-0005-0000-0000-00007D4C0000}"/>
    <cellStyle name="Note 2 2 2 2 5 4 3" xfId="7802" xr:uid="{00000000-0005-0000-0000-00007E4C0000}"/>
    <cellStyle name="Note 2 2 2 2 5 4 3 2" xfId="26774" xr:uid="{00000000-0005-0000-0000-00007F4C0000}"/>
    <cellStyle name="Note 2 2 2 2 5 4 3 3" xfId="37619" xr:uid="{00000000-0005-0000-0000-0000804C0000}"/>
    <cellStyle name="Note 2 2 2 2 5 4 4" xfId="10461" xr:uid="{00000000-0005-0000-0000-0000814C0000}"/>
    <cellStyle name="Note 2 2 2 2 5 4 4 2" xfId="29433" xr:uid="{00000000-0005-0000-0000-0000824C0000}"/>
    <cellStyle name="Note 2 2 2 2 5 4 4 3" xfId="40278" xr:uid="{00000000-0005-0000-0000-0000834C0000}"/>
    <cellStyle name="Note 2 2 2 2 5 4 5" xfId="21257" xr:uid="{00000000-0005-0000-0000-0000844C0000}"/>
    <cellStyle name="Note 2 2 2 2 5 4 6" xfId="32102" xr:uid="{00000000-0005-0000-0000-0000854C0000}"/>
    <cellStyle name="Note 2 2 2 2 5 5" xfId="2668" xr:uid="{00000000-0005-0000-0000-0000864C0000}"/>
    <cellStyle name="Note 2 2 2 2 5 5 2" xfId="5520" xr:uid="{00000000-0005-0000-0000-0000874C0000}"/>
    <cellStyle name="Note 2 2 2 2 5 5 2 2" xfId="24492" xr:uid="{00000000-0005-0000-0000-0000884C0000}"/>
    <cellStyle name="Note 2 2 2 2 5 5 2 3" xfId="35337" xr:uid="{00000000-0005-0000-0000-0000894C0000}"/>
    <cellStyle name="Note 2 2 2 2 5 5 3" xfId="8191" xr:uid="{00000000-0005-0000-0000-00008A4C0000}"/>
    <cellStyle name="Note 2 2 2 2 5 5 3 2" xfId="27163" xr:uid="{00000000-0005-0000-0000-00008B4C0000}"/>
    <cellStyle name="Note 2 2 2 2 5 5 3 3" xfId="38008" xr:uid="{00000000-0005-0000-0000-00008C4C0000}"/>
    <cellStyle name="Note 2 2 2 2 5 5 4" xfId="10850" xr:uid="{00000000-0005-0000-0000-00008D4C0000}"/>
    <cellStyle name="Note 2 2 2 2 5 5 4 2" xfId="29822" xr:uid="{00000000-0005-0000-0000-00008E4C0000}"/>
    <cellStyle name="Note 2 2 2 2 5 5 4 3" xfId="40667" xr:uid="{00000000-0005-0000-0000-00008F4C0000}"/>
    <cellStyle name="Note 2 2 2 2 5 5 5" xfId="21646" xr:uid="{00000000-0005-0000-0000-0000904C0000}"/>
    <cellStyle name="Note 2 2 2 2 5 5 6" xfId="32491" xr:uid="{00000000-0005-0000-0000-0000914C0000}"/>
    <cellStyle name="Note 2 2 2 2 5 6" xfId="3054" xr:uid="{00000000-0005-0000-0000-0000924C0000}"/>
    <cellStyle name="Note 2 2 2 2 5 6 2" xfId="5905" xr:uid="{00000000-0005-0000-0000-0000934C0000}"/>
    <cellStyle name="Note 2 2 2 2 5 6 2 2" xfId="24877" xr:uid="{00000000-0005-0000-0000-0000944C0000}"/>
    <cellStyle name="Note 2 2 2 2 5 6 2 3" xfId="35722" xr:uid="{00000000-0005-0000-0000-0000954C0000}"/>
    <cellStyle name="Note 2 2 2 2 5 6 3" xfId="8576" xr:uid="{00000000-0005-0000-0000-0000964C0000}"/>
    <cellStyle name="Note 2 2 2 2 5 6 3 2" xfId="27548" xr:uid="{00000000-0005-0000-0000-0000974C0000}"/>
    <cellStyle name="Note 2 2 2 2 5 6 3 3" xfId="38393" xr:uid="{00000000-0005-0000-0000-0000984C0000}"/>
    <cellStyle name="Note 2 2 2 2 5 6 4" xfId="11235" xr:uid="{00000000-0005-0000-0000-0000994C0000}"/>
    <cellStyle name="Note 2 2 2 2 5 6 4 2" xfId="30207" xr:uid="{00000000-0005-0000-0000-00009A4C0000}"/>
    <cellStyle name="Note 2 2 2 2 5 6 4 3" xfId="41052" xr:uid="{00000000-0005-0000-0000-00009B4C0000}"/>
    <cellStyle name="Note 2 2 2 2 5 6 5" xfId="22031" xr:uid="{00000000-0005-0000-0000-00009C4C0000}"/>
    <cellStyle name="Note 2 2 2 2 5 6 6" xfId="32876" xr:uid="{00000000-0005-0000-0000-00009D4C0000}"/>
    <cellStyle name="Note 2 2 2 2 5 7" xfId="3743" xr:uid="{00000000-0005-0000-0000-00009E4C0000}"/>
    <cellStyle name="Note 2 2 2 2 5 7 2" xfId="22715" xr:uid="{00000000-0005-0000-0000-00009F4C0000}"/>
    <cellStyle name="Note 2 2 2 2 5 7 3" xfId="33560" xr:uid="{00000000-0005-0000-0000-0000A04C0000}"/>
    <cellStyle name="Note 2 2 2 2 5 8" xfId="6418" xr:uid="{00000000-0005-0000-0000-0000A14C0000}"/>
    <cellStyle name="Note 2 2 2 2 5 8 2" xfId="25390" xr:uid="{00000000-0005-0000-0000-0000A24C0000}"/>
    <cellStyle name="Note 2 2 2 2 5 8 3" xfId="36235" xr:uid="{00000000-0005-0000-0000-0000A34C0000}"/>
    <cellStyle name="Note 2 2 2 2 5 9" xfId="9077" xr:uid="{00000000-0005-0000-0000-0000A44C0000}"/>
    <cellStyle name="Note 2 2 2 2 5 9 2" xfId="28049" xr:uid="{00000000-0005-0000-0000-0000A54C0000}"/>
    <cellStyle name="Note 2 2 2 2 5 9 3" xfId="38894" xr:uid="{00000000-0005-0000-0000-0000A64C0000}"/>
    <cellStyle name="Note 2 2 2 2 6" xfId="1114" xr:uid="{00000000-0005-0000-0000-0000A74C0000}"/>
    <cellStyle name="Note 2 2 2 2 6 2" xfId="3967" xr:uid="{00000000-0005-0000-0000-0000A84C0000}"/>
    <cellStyle name="Note 2 2 2 2 6 2 2" xfId="22939" xr:uid="{00000000-0005-0000-0000-0000A94C0000}"/>
    <cellStyle name="Note 2 2 2 2 6 2 3" xfId="33784" xr:uid="{00000000-0005-0000-0000-0000AA4C0000}"/>
    <cellStyle name="Note 2 2 2 2 6 3" xfId="6641" xr:uid="{00000000-0005-0000-0000-0000AB4C0000}"/>
    <cellStyle name="Note 2 2 2 2 6 3 2" xfId="25613" xr:uid="{00000000-0005-0000-0000-0000AC4C0000}"/>
    <cellStyle name="Note 2 2 2 2 6 3 3" xfId="36458" xr:uid="{00000000-0005-0000-0000-0000AD4C0000}"/>
    <cellStyle name="Note 2 2 2 2 6 4" xfId="9300" xr:uid="{00000000-0005-0000-0000-0000AE4C0000}"/>
    <cellStyle name="Note 2 2 2 2 6 4 2" xfId="28272" xr:uid="{00000000-0005-0000-0000-0000AF4C0000}"/>
    <cellStyle name="Note 2 2 2 2 6 4 3" xfId="39117" xr:uid="{00000000-0005-0000-0000-0000B04C0000}"/>
    <cellStyle name="Note 2 2 2 2 6 5" xfId="20096" xr:uid="{00000000-0005-0000-0000-0000B14C0000}"/>
    <cellStyle name="Note 2 2 2 2 6 6" xfId="30941" xr:uid="{00000000-0005-0000-0000-0000B24C0000}"/>
    <cellStyle name="Note 2 2 2 2 7" xfId="1512" xr:uid="{00000000-0005-0000-0000-0000B34C0000}"/>
    <cellStyle name="Note 2 2 2 2 7 2" xfId="4365" xr:uid="{00000000-0005-0000-0000-0000B44C0000}"/>
    <cellStyle name="Note 2 2 2 2 7 2 2" xfId="23337" xr:uid="{00000000-0005-0000-0000-0000B54C0000}"/>
    <cellStyle name="Note 2 2 2 2 7 2 3" xfId="34182" xr:uid="{00000000-0005-0000-0000-0000B64C0000}"/>
    <cellStyle name="Note 2 2 2 2 7 3" xfId="7038" xr:uid="{00000000-0005-0000-0000-0000B74C0000}"/>
    <cellStyle name="Note 2 2 2 2 7 3 2" xfId="26010" xr:uid="{00000000-0005-0000-0000-0000B84C0000}"/>
    <cellStyle name="Note 2 2 2 2 7 3 3" xfId="36855" xr:uid="{00000000-0005-0000-0000-0000B94C0000}"/>
    <cellStyle name="Note 2 2 2 2 7 4" xfId="9697" xr:uid="{00000000-0005-0000-0000-0000BA4C0000}"/>
    <cellStyle name="Note 2 2 2 2 7 4 2" xfId="28669" xr:uid="{00000000-0005-0000-0000-0000BB4C0000}"/>
    <cellStyle name="Note 2 2 2 2 7 4 3" xfId="39514" xr:uid="{00000000-0005-0000-0000-0000BC4C0000}"/>
    <cellStyle name="Note 2 2 2 2 7 5" xfId="20493" xr:uid="{00000000-0005-0000-0000-0000BD4C0000}"/>
    <cellStyle name="Note 2 2 2 2 7 6" xfId="31338" xr:uid="{00000000-0005-0000-0000-0000BE4C0000}"/>
    <cellStyle name="Note 2 2 2 2 8" xfId="1919" xr:uid="{00000000-0005-0000-0000-0000BF4C0000}"/>
    <cellStyle name="Note 2 2 2 2 8 2" xfId="4772" xr:uid="{00000000-0005-0000-0000-0000C04C0000}"/>
    <cellStyle name="Note 2 2 2 2 8 2 2" xfId="23744" xr:uid="{00000000-0005-0000-0000-0000C14C0000}"/>
    <cellStyle name="Note 2 2 2 2 8 2 3" xfId="34589" xr:uid="{00000000-0005-0000-0000-0000C24C0000}"/>
    <cellStyle name="Note 2 2 2 2 8 3" xfId="7444" xr:uid="{00000000-0005-0000-0000-0000C34C0000}"/>
    <cellStyle name="Note 2 2 2 2 8 3 2" xfId="26416" xr:uid="{00000000-0005-0000-0000-0000C44C0000}"/>
    <cellStyle name="Note 2 2 2 2 8 3 3" xfId="37261" xr:uid="{00000000-0005-0000-0000-0000C54C0000}"/>
    <cellStyle name="Note 2 2 2 2 8 4" xfId="10103" xr:uid="{00000000-0005-0000-0000-0000C64C0000}"/>
    <cellStyle name="Note 2 2 2 2 8 4 2" xfId="29075" xr:uid="{00000000-0005-0000-0000-0000C74C0000}"/>
    <cellStyle name="Note 2 2 2 2 8 4 3" xfId="39920" xr:uid="{00000000-0005-0000-0000-0000C84C0000}"/>
    <cellStyle name="Note 2 2 2 2 8 5" xfId="20899" xr:uid="{00000000-0005-0000-0000-0000C94C0000}"/>
    <cellStyle name="Note 2 2 2 2 8 6" xfId="31744" xr:uid="{00000000-0005-0000-0000-0000CA4C0000}"/>
    <cellStyle name="Note 2 2 2 2 9" xfId="2313" xr:uid="{00000000-0005-0000-0000-0000CB4C0000}"/>
    <cellStyle name="Note 2 2 2 2 9 2" xfId="5166" xr:uid="{00000000-0005-0000-0000-0000CC4C0000}"/>
    <cellStyle name="Note 2 2 2 2 9 2 2" xfId="24138" xr:uid="{00000000-0005-0000-0000-0000CD4C0000}"/>
    <cellStyle name="Note 2 2 2 2 9 2 3" xfId="34983" xr:uid="{00000000-0005-0000-0000-0000CE4C0000}"/>
    <cellStyle name="Note 2 2 2 2 9 3" xfId="7837" xr:uid="{00000000-0005-0000-0000-0000CF4C0000}"/>
    <cellStyle name="Note 2 2 2 2 9 3 2" xfId="26809" xr:uid="{00000000-0005-0000-0000-0000D04C0000}"/>
    <cellStyle name="Note 2 2 2 2 9 3 3" xfId="37654" xr:uid="{00000000-0005-0000-0000-0000D14C0000}"/>
    <cellStyle name="Note 2 2 2 2 9 4" xfId="10496" xr:uid="{00000000-0005-0000-0000-0000D24C0000}"/>
    <cellStyle name="Note 2 2 2 2 9 4 2" xfId="29468" xr:uid="{00000000-0005-0000-0000-0000D34C0000}"/>
    <cellStyle name="Note 2 2 2 2 9 4 3" xfId="40313" xr:uid="{00000000-0005-0000-0000-0000D44C0000}"/>
    <cellStyle name="Note 2 2 2 2 9 5" xfId="21292" xr:uid="{00000000-0005-0000-0000-0000D54C0000}"/>
    <cellStyle name="Note 2 2 2 2 9 6" xfId="32137" xr:uid="{00000000-0005-0000-0000-0000D64C0000}"/>
    <cellStyle name="Note 2 2 2 3" xfId="595" xr:uid="{00000000-0005-0000-0000-0000D74C0000}"/>
    <cellStyle name="Note 2 2 2 3 10" xfId="19605" xr:uid="{00000000-0005-0000-0000-0000D84C0000}"/>
    <cellStyle name="Note 2 2 2 3 11" xfId="30450" xr:uid="{00000000-0005-0000-0000-0000D94C0000}"/>
    <cellStyle name="Note 2 2 2 3 2" xfId="1201" xr:uid="{00000000-0005-0000-0000-0000DA4C0000}"/>
    <cellStyle name="Note 2 2 2 3 2 2" xfId="4054" xr:uid="{00000000-0005-0000-0000-0000DB4C0000}"/>
    <cellStyle name="Note 2 2 2 3 2 2 2" xfId="23026" xr:uid="{00000000-0005-0000-0000-0000DC4C0000}"/>
    <cellStyle name="Note 2 2 2 3 2 2 3" xfId="33871" xr:uid="{00000000-0005-0000-0000-0000DD4C0000}"/>
    <cellStyle name="Note 2 2 2 3 2 3" xfId="6727" xr:uid="{00000000-0005-0000-0000-0000DE4C0000}"/>
    <cellStyle name="Note 2 2 2 3 2 3 2" xfId="25699" xr:uid="{00000000-0005-0000-0000-0000DF4C0000}"/>
    <cellStyle name="Note 2 2 2 3 2 3 3" xfId="36544" xr:uid="{00000000-0005-0000-0000-0000E04C0000}"/>
    <cellStyle name="Note 2 2 2 3 2 4" xfId="9386" xr:uid="{00000000-0005-0000-0000-0000E14C0000}"/>
    <cellStyle name="Note 2 2 2 3 2 4 2" xfId="28358" xr:uid="{00000000-0005-0000-0000-0000E24C0000}"/>
    <cellStyle name="Note 2 2 2 3 2 4 3" xfId="39203" xr:uid="{00000000-0005-0000-0000-0000E34C0000}"/>
    <cellStyle name="Note 2 2 2 3 2 5" xfId="20182" xr:uid="{00000000-0005-0000-0000-0000E44C0000}"/>
    <cellStyle name="Note 2 2 2 3 2 6" xfId="31027" xr:uid="{00000000-0005-0000-0000-0000E54C0000}"/>
    <cellStyle name="Note 2 2 2 3 3" xfId="1598" xr:uid="{00000000-0005-0000-0000-0000E64C0000}"/>
    <cellStyle name="Note 2 2 2 3 3 2" xfId="4451" xr:uid="{00000000-0005-0000-0000-0000E74C0000}"/>
    <cellStyle name="Note 2 2 2 3 3 2 2" xfId="23423" xr:uid="{00000000-0005-0000-0000-0000E84C0000}"/>
    <cellStyle name="Note 2 2 2 3 3 2 3" xfId="34268" xr:uid="{00000000-0005-0000-0000-0000E94C0000}"/>
    <cellStyle name="Note 2 2 2 3 3 3" xfId="7123" xr:uid="{00000000-0005-0000-0000-0000EA4C0000}"/>
    <cellStyle name="Note 2 2 2 3 3 3 2" xfId="26095" xr:uid="{00000000-0005-0000-0000-0000EB4C0000}"/>
    <cellStyle name="Note 2 2 2 3 3 3 3" xfId="36940" xr:uid="{00000000-0005-0000-0000-0000EC4C0000}"/>
    <cellStyle name="Note 2 2 2 3 3 4" xfId="9782" xr:uid="{00000000-0005-0000-0000-0000ED4C0000}"/>
    <cellStyle name="Note 2 2 2 3 3 4 2" xfId="28754" xr:uid="{00000000-0005-0000-0000-0000EE4C0000}"/>
    <cellStyle name="Note 2 2 2 3 3 4 3" xfId="39599" xr:uid="{00000000-0005-0000-0000-0000EF4C0000}"/>
    <cellStyle name="Note 2 2 2 3 3 5" xfId="20578" xr:uid="{00000000-0005-0000-0000-0000F04C0000}"/>
    <cellStyle name="Note 2 2 2 3 3 6" xfId="31423" xr:uid="{00000000-0005-0000-0000-0000F14C0000}"/>
    <cellStyle name="Note 2 2 2 3 4" xfId="2002" xr:uid="{00000000-0005-0000-0000-0000F24C0000}"/>
    <cellStyle name="Note 2 2 2 3 4 2" xfId="4855" xr:uid="{00000000-0005-0000-0000-0000F34C0000}"/>
    <cellStyle name="Note 2 2 2 3 4 2 2" xfId="23827" xr:uid="{00000000-0005-0000-0000-0000F44C0000}"/>
    <cellStyle name="Note 2 2 2 3 4 2 3" xfId="34672" xr:uid="{00000000-0005-0000-0000-0000F54C0000}"/>
    <cellStyle name="Note 2 2 2 3 4 3" xfId="7527" xr:uid="{00000000-0005-0000-0000-0000F64C0000}"/>
    <cellStyle name="Note 2 2 2 3 4 3 2" xfId="26499" xr:uid="{00000000-0005-0000-0000-0000F74C0000}"/>
    <cellStyle name="Note 2 2 2 3 4 3 3" xfId="37344" xr:uid="{00000000-0005-0000-0000-0000F84C0000}"/>
    <cellStyle name="Note 2 2 2 3 4 4" xfId="10186" xr:uid="{00000000-0005-0000-0000-0000F94C0000}"/>
    <cellStyle name="Note 2 2 2 3 4 4 2" xfId="29158" xr:uid="{00000000-0005-0000-0000-0000FA4C0000}"/>
    <cellStyle name="Note 2 2 2 3 4 4 3" xfId="40003" xr:uid="{00000000-0005-0000-0000-0000FB4C0000}"/>
    <cellStyle name="Note 2 2 2 3 4 5" xfId="20982" xr:uid="{00000000-0005-0000-0000-0000FC4C0000}"/>
    <cellStyle name="Note 2 2 2 3 4 6" xfId="31827" xr:uid="{00000000-0005-0000-0000-0000FD4C0000}"/>
    <cellStyle name="Note 2 2 2 3 5" xfId="2394" xr:uid="{00000000-0005-0000-0000-0000FE4C0000}"/>
    <cellStyle name="Note 2 2 2 3 5 2" xfId="5247" xr:uid="{00000000-0005-0000-0000-0000FF4C0000}"/>
    <cellStyle name="Note 2 2 2 3 5 2 2" xfId="24219" xr:uid="{00000000-0005-0000-0000-0000004D0000}"/>
    <cellStyle name="Note 2 2 2 3 5 2 3" xfId="35064" xr:uid="{00000000-0005-0000-0000-0000014D0000}"/>
    <cellStyle name="Note 2 2 2 3 5 3" xfId="7918" xr:uid="{00000000-0005-0000-0000-0000024D0000}"/>
    <cellStyle name="Note 2 2 2 3 5 3 2" xfId="26890" xr:uid="{00000000-0005-0000-0000-0000034D0000}"/>
    <cellStyle name="Note 2 2 2 3 5 3 3" xfId="37735" xr:uid="{00000000-0005-0000-0000-0000044D0000}"/>
    <cellStyle name="Note 2 2 2 3 5 4" xfId="10577" xr:uid="{00000000-0005-0000-0000-0000054D0000}"/>
    <cellStyle name="Note 2 2 2 3 5 4 2" xfId="29549" xr:uid="{00000000-0005-0000-0000-0000064D0000}"/>
    <cellStyle name="Note 2 2 2 3 5 4 3" xfId="40394" xr:uid="{00000000-0005-0000-0000-0000074D0000}"/>
    <cellStyle name="Note 2 2 2 3 5 5" xfId="21373" xr:uid="{00000000-0005-0000-0000-0000084D0000}"/>
    <cellStyle name="Note 2 2 2 3 5 6" xfId="32218" xr:uid="{00000000-0005-0000-0000-0000094D0000}"/>
    <cellStyle name="Note 2 2 2 3 6" xfId="2783" xr:uid="{00000000-0005-0000-0000-00000A4D0000}"/>
    <cellStyle name="Note 2 2 2 3 6 2" xfId="5635" xr:uid="{00000000-0005-0000-0000-00000B4D0000}"/>
    <cellStyle name="Note 2 2 2 3 6 2 2" xfId="24607" xr:uid="{00000000-0005-0000-0000-00000C4D0000}"/>
    <cellStyle name="Note 2 2 2 3 6 2 3" xfId="35452" xr:uid="{00000000-0005-0000-0000-00000D4D0000}"/>
    <cellStyle name="Note 2 2 2 3 6 3" xfId="8306" xr:uid="{00000000-0005-0000-0000-00000E4D0000}"/>
    <cellStyle name="Note 2 2 2 3 6 3 2" xfId="27278" xr:uid="{00000000-0005-0000-0000-00000F4D0000}"/>
    <cellStyle name="Note 2 2 2 3 6 3 3" xfId="38123" xr:uid="{00000000-0005-0000-0000-0000104D0000}"/>
    <cellStyle name="Note 2 2 2 3 6 4" xfId="10965" xr:uid="{00000000-0005-0000-0000-0000114D0000}"/>
    <cellStyle name="Note 2 2 2 3 6 4 2" xfId="29937" xr:uid="{00000000-0005-0000-0000-0000124D0000}"/>
    <cellStyle name="Note 2 2 2 3 6 4 3" xfId="40782" xr:uid="{00000000-0005-0000-0000-0000134D0000}"/>
    <cellStyle name="Note 2 2 2 3 6 5" xfId="21761" xr:uid="{00000000-0005-0000-0000-0000144D0000}"/>
    <cellStyle name="Note 2 2 2 3 6 6" xfId="32606" xr:uid="{00000000-0005-0000-0000-0000154D0000}"/>
    <cellStyle name="Note 2 2 2 3 7" xfId="3474" xr:uid="{00000000-0005-0000-0000-0000164D0000}"/>
    <cellStyle name="Note 2 2 2 3 7 2" xfId="22446" xr:uid="{00000000-0005-0000-0000-0000174D0000}"/>
    <cellStyle name="Note 2 2 2 3 7 3" xfId="33291" xr:uid="{00000000-0005-0000-0000-0000184D0000}"/>
    <cellStyle name="Note 2 2 2 3 8" xfId="6150" xr:uid="{00000000-0005-0000-0000-0000194D0000}"/>
    <cellStyle name="Note 2 2 2 3 8 2" xfId="25122" xr:uid="{00000000-0005-0000-0000-00001A4D0000}"/>
    <cellStyle name="Note 2 2 2 3 8 3" xfId="35967" xr:uid="{00000000-0005-0000-0000-00001B4D0000}"/>
    <cellStyle name="Note 2 2 2 3 9" xfId="8809" xr:uid="{00000000-0005-0000-0000-00001C4D0000}"/>
    <cellStyle name="Note 2 2 2 3 9 2" xfId="27781" xr:uid="{00000000-0005-0000-0000-00001D4D0000}"/>
    <cellStyle name="Note 2 2 2 3 9 3" xfId="38626" xr:uid="{00000000-0005-0000-0000-00001E4D0000}"/>
    <cellStyle name="Note 2 2 3" xfId="379" xr:uid="{00000000-0005-0000-0000-00001F4D0000}"/>
    <cellStyle name="Note 2 2 3 10" xfId="1531" xr:uid="{00000000-0005-0000-0000-0000204D0000}"/>
    <cellStyle name="Note 2 2 3 10 2" xfId="4384" xr:uid="{00000000-0005-0000-0000-0000214D0000}"/>
    <cellStyle name="Note 2 2 3 10 2 2" xfId="23356" xr:uid="{00000000-0005-0000-0000-0000224D0000}"/>
    <cellStyle name="Note 2 2 3 10 2 3" xfId="34201" xr:uid="{00000000-0005-0000-0000-0000234D0000}"/>
    <cellStyle name="Note 2 2 3 10 3" xfId="7057" xr:uid="{00000000-0005-0000-0000-0000244D0000}"/>
    <cellStyle name="Note 2 2 3 10 3 2" xfId="26029" xr:uid="{00000000-0005-0000-0000-0000254D0000}"/>
    <cellStyle name="Note 2 2 3 10 3 3" xfId="36874" xr:uid="{00000000-0005-0000-0000-0000264D0000}"/>
    <cellStyle name="Note 2 2 3 10 4" xfId="9716" xr:uid="{00000000-0005-0000-0000-0000274D0000}"/>
    <cellStyle name="Note 2 2 3 10 4 2" xfId="28688" xr:uid="{00000000-0005-0000-0000-0000284D0000}"/>
    <cellStyle name="Note 2 2 3 10 4 3" xfId="39533" xr:uid="{00000000-0005-0000-0000-0000294D0000}"/>
    <cellStyle name="Note 2 2 3 10 5" xfId="20512" xr:uid="{00000000-0005-0000-0000-00002A4D0000}"/>
    <cellStyle name="Note 2 2 3 10 6" xfId="31357" xr:uid="{00000000-0005-0000-0000-00002B4D0000}"/>
    <cellStyle name="Note 2 2 3 11" xfId="2042" xr:uid="{00000000-0005-0000-0000-00002C4D0000}"/>
    <cellStyle name="Note 2 2 3 11 2" xfId="4895" xr:uid="{00000000-0005-0000-0000-00002D4D0000}"/>
    <cellStyle name="Note 2 2 3 11 2 2" xfId="23867" xr:uid="{00000000-0005-0000-0000-00002E4D0000}"/>
    <cellStyle name="Note 2 2 3 11 2 3" xfId="34712" xr:uid="{00000000-0005-0000-0000-00002F4D0000}"/>
    <cellStyle name="Note 2 2 3 11 3" xfId="7566" xr:uid="{00000000-0005-0000-0000-0000304D0000}"/>
    <cellStyle name="Note 2 2 3 11 3 2" xfId="26538" xr:uid="{00000000-0005-0000-0000-0000314D0000}"/>
    <cellStyle name="Note 2 2 3 11 3 3" xfId="37383" xr:uid="{00000000-0005-0000-0000-0000324D0000}"/>
    <cellStyle name="Note 2 2 3 11 4" xfId="10225" xr:uid="{00000000-0005-0000-0000-0000334D0000}"/>
    <cellStyle name="Note 2 2 3 11 4 2" xfId="29197" xr:uid="{00000000-0005-0000-0000-0000344D0000}"/>
    <cellStyle name="Note 2 2 3 11 4 3" xfId="40042" xr:uid="{00000000-0005-0000-0000-0000354D0000}"/>
    <cellStyle name="Note 2 2 3 11 5" xfId="21021" xr:uid="{00000000-0005-0000-0000-0000364D0000}"/>
    <cellStyle name="Note 2 2 3 11 6" xfId="31866" xr:uid="{00000000-0005-0000-0000-0000374D0000}"/>
    <cellStyle name="Note 2 2 3 12" xfId="3114" xr:uid="{00000000-0005-0000-0000-0000384D0000}"/>
    <cellStyle name="Note 2 2 3 12 2" xfId="5965" xr:uid="{00000000-0005-0000-0000-0000394D0000}"/>
    <cellStyle name="Note 2 2 3 12 2 2" xfId="24937" xr:uid="{00000000-0005-0000-0000-00003A4D0000}"/>
    <cellStyle name="Note 2 2 3 12 2 3" xfId="35782" xr:uid="{00000000-0005-0000-0000-00003B4D0000}"/>
    <cellStyle name="Note 2 2 3 12 3" xfId="8636" xr:uid="{00000000-0005-0000-0000-00003C4D0000}"/>
    <cellStyle name="Note 2 2 3 12 3 2" xfId="27608" xr:uid="{00000000-0005-0000-0000-00003D4D0000}"/>
    <cellStyle name="Note 2 2 3 12 3 3" xfId="38453" xr:uid="{00000000-0005-0000-0000-00003E4D0000}"/>
    <cellStyle name="Note 2 2 3 12 4" xfId="11295" xr:uid="{00000000-0005-0000-0000-00003F4D0000}"/>
    <cellStyle name="Note 2 2 3 12 4 2" xfId="30267" xr:uid="{00000000-0005-0000-0000-0000404D0000}"/>
    <cellStyle name="Note 2 2 3 12 4 3" xfId="41112" xr:uid="{00000000-0005-0000-0000-0000414D0000}"/>
    <cellStyle name="Note 2 2 3 12 5" xfId="22091" xr:uid="{00000000-0005-0000-0000-0000424D0000}"/>
    <cellStyle name="Note 2 2 3 12 6" xfId="32936" xr:uid="{00000000-0005-0000-0000-0000434D0000}"/>
    <cellStyle name="Note 2 2 3 13" xfId="3171" xr:uid="{00000000-0005-0000-0000-0000444D0000}"/>
    <cellStyle name="Note 2 2 3 13 2" xfId="6022" xr:uid="{00000000-0005-0000-0000-0000454D0000}"/>
    <cellStyle name="Note 2 2 3 13 2 2" xfId="24994" xr:uid="{00000000-0005-0000-0000-0000464D0000}"/>
    <cellStyle name="Note 2 2 3 13 2 3" xfId="35839" xr:uid="{00000000-0005-0000-0000-0000474D0000}"/>
    <cellStyle name="Note 2 2 3 13 3" xfId="8693" xr:uid="{00000000-0005-0000-0000-0000484D0000}"/>
    <cellStyle name="Note 2 2 3 13 3 2" xfId="27665" xr:uid="{00000000-0005-0000-0000-0000494D0000}"/>
    <cellStyle name="Note 2 2 3 13 3 3" xfId="38510" xr:uid="{00000000-0005-0000-0000-00004A4D0000}"/>
    <cellStyle name="Note 2 2 3 13 4" xfId="11352" xr:uid="{00000000-0005-0000-0000-00004B4D0000}"/>
    <cellStyle name="Note 2 2 3 13 4 2" xfId="30324" xr:uid="{00000000-0005-0000-0000-00004C4D0000}"/>
    <cellStyle name="Note 2 2 3 13 4 3" xfId="41169" xr:uid="{00000000-0005-0000-0000-00004D4D0000}"/>
    <cellStyle name="Note 2 2 3 13 5" xfId="22148" xr:uid="{00000000-0005-0000-0000-00004E4D0000}"/>
    <cellStyle name="Note 2 2 3 13 6" xfId="32993" xr:uid="{00000000-0005-0000-0000-00004F4D0000}"/>
    <cellStyle name="Note 2 2 3 14" xfId="3337" xr:uid="{00000000-0005-0000-0000-0000504D0000}"/>
    <cellStyle name="Note 2 2 3 14 2" xfId="22311" xr:uid="{00000000-0005-0000-0000-0000514D0000}"/>
    <cellStyle name="Note 2 2 3 14 3" xfId="33156" xr:uid="{00000000-0005-0000-0000-0000524D0000}"/>
    <cellStyle name="Note 2 2 3 15" xfId="3309" xr:uid="{00000000-0005-0000-0000-0000534D0000}"/>
    <cellStyle name="Note 2 2 3 15 2" xfId="22283" xr:uid="{00000000-0005-0000-0000-0000544D0000}"/>
    <cellStyle name="Note 2 2 3 15 3" xfId="33128" xr:uid="{00000000-0005-0000-0000-0000554D0000}"/>
    <cellStyle name="Note 2 2 3 16" xfId="3302" xr:uid="{00000000-0005-0000-0000-0000564D0000}"/>
    <cellStyle name="Note 2 2 3 16 2" xfId="22276" xr:uid="{00000000-0005-0000-0000-0000574D0000}"/>
    <cellStyle name="Note 2 2 3 16 3" xfId="33121" xr:uid="{00000000-0005-0000-0000-0000584D0000}"/>
    <cellStyle name="Note 2 2 3 17" xfId="19468" xr:uid="{00000000-0005-0000-0000-0000594D0000}"/>
    <cellStyle name="Note 2 2 3 18" xfId="19398" xr:uid="{00000000-0005-0000-0000-00005A4D0000}"/>
    <cellStyle name="Note 2 2 3 2" xfId="679" xr:uid="{00000000-0005-0000-0000-00005B4D0000}"/>
    <cellStyle name="Note 2 2 3 2 10" xfId="19664" xr:uid="{00000000-0005-0000-0000-00005C4D0000}"/>
    <cellStyle name="Note 2 2 3 2 11" xfId="30509" xr:uid="{00000000-0005-0000-0000-00005D4D0000}"/>
    <cellStyle name="Note 2 2 3 2 2" xfId="1266" xr:uid="{00000000-0005-0000-0000-00005E4D0000}"/>
    <cellStyle name="Note 2 2 3 2 2 2" xfId="4119" xr:uid="{00000000-0005-0000-0000-00005F4D0000}"/>
    <cellStyle name="Note 2 2 3 2 2 2 2" xfId="23091" xr:uid="{00000000-0005-0000-0000-0000604D0000}"/>
    <cellStyle name="Note 2 2 3 2 2 2 3" xfId="33936" xr:uid="{00000000-0005-0000-0000-0000614D0000}"/>
    <cellStyle name="Note 2 2 3 2 2 3" xfId="6792" xr:uid="{00000000-0005-0000-0000-0000624D0000}"/>
    <cellStyle name="Note 2 2 3 2 2 3 2" xfId="25764" xr:uid="{00000000-0005-0000-0000-0000634D0000}"/>
    <cellStyle name="Note 2 2 3 2 2 3 3" xfId="36609" xr:uid="{00000000-0005-0000-0000-0000644D0000}"/>
    <cellStyle name="Note 2 2 3 2 2 4" xfId="9451" xr:uid="{00000000-0005-0000-0000-0000654D0000}"/>
    <cellStyle name="Note 2 2 3 2 2 4 2" xfId="28423" xr:uid="{00000000-0005-0000-0000-0000664D0000}"/>
    <cellStyle name="Note 2 2 3 2 2 4 3" xfId="39268" xr:uid="{00000000-0005-0000-0000-0000674D0000}"/>
    <cellStyle name="Note 2 2 3 2 2 5" xfId="20247" xr:uid="{00000000-0005-0000-0000-0000684D0000}"/>
    <cellStyle name="Note 2 2 3 2 2 6" xfId="31092" xr:uid="{00000000-0005-0000-0000-0000694D0000}"/>
    <cellStyle name="Note 2 2 3 2 3" xfId="1665" xr:uid="{00000000-0005-0000-0000-00006A4D0000}"/>
    <cellStyle name="Note 2 2 3 2 3 2" xfId="4518" xr:uid="{00000000-0005-0000-0000-00006B4D0000}"/>
    <cellStyle name="Note 2 2 3 2 3 2 2" xfId="23490" xr:uid="{00000000-0005-0000-0000-00006C4D0000}"/>
    <cellStyle name="Note 2 2 3 2 3 2 3" xfId="34335" xr:uid="{00000000-0005-0000-0000-00006D4D0000}"/>
    <cellStyle name="Note 2 2 3 2 3 3" xfId="7190" xr:uid="{00000000-0005-0000-0000-00006E4D0000}"/>
    <cellStyle name="Note 2 2 3 2 3 3 2" xfId="26162" xr:uid="{00000000-0005-0000-0000-00006F4D0000}"/>
    <cellStyle name="Note 2 2 3 2 3 3 3" xfId="37007" xr:uid="{00000000-0005-0000-0000-0000704D0000}"/>
    <cellStyle name="Note 2 2 3 2 3 4" xfId="9849" xr:uid="{00000000-0005-0000-0000-0000714D0000}"/>
    <cellStyle name="Note 2 2 3 2 3 4 2" xfId="28821" xr:uid="{00000000-0005-0000-0000-0000724D0000}"/>
    <cellStyle name="Note 2 2 3 2 3 4 3" xfId="39666" xr:uid="{00000000-0005-0000-0000-0000734D0000}"/>
    <cellStyle name="Note 2 2 3 2 3 5" xfId="20645" xr:uid="{00000000-0005-0000-0000-0000744D0000}"/>
    <cellStyle name="Note 2 2 3 2 3 6" xfId="31490" xr:uid="{00000000-0005-0000-0000-0000754D0000}"/>
    <cellStyle name="Note 2 2 3 2 4" xfId="2069" xr:uid="{00000000-0005-0000-0000-0000764D0000}"/>
    <cellStyle name="Note 2 2 3 2 4 2" xfId="4922" xr:uid="{00000000-0005-0000-0000-0000774D0000}"/>
    <cellStyle name="Note 2 2 3 2 4 2 2" xfId="23894" xr:uid="{00000000-0005-0000-0000-0000784D0000}"/>
    <cellStyle name="Note 2 2 3 2 4 2 3" xfId="34739" xr:uid="{00000000-0005-0000-0000-0000794D0000}"/>
    <cellStyle name="Note 2 2 3 2 4 3" xfId="7593" xr:uid="{00000000-0005-0000-0000-00007A4D0000}"/>
    <cellStyle name="Note 2 2 3 2 4 3 2" xfId="26565" xr:uid="{00000000-0005-0000-0000-00007B4D0000}"/>
    <cellStyle name="Note 2 2 3 2 4 3 3" xfId="37410" xr:uid="{00000000-0005-0000-0000-00007C4D0000}"/>
    <cellStyle name="Note 2 2 3 2 4 4" xfId="10252" xr:uid="{00000000-0005-0000-0000-00007D4D0000}"/>
    <cellStyle name="Note 2 2 3 2 4 4 2" xfId="29224" xr:uid="{00000000-0005-0000-0000-00007E4D0000}"/>
    <cellStyle name="Note 2 2 3 2 4 4 3" xfId="40069" xr:uid="{00000000-0005-0000-0000-00007F4D0000}"/>
    <cellStyle name="Note 2 2 3 2 4 5" xfId="21048" xr:uid="{00000000-0005-0000-0000-0000804D0000}"/>
    <cellStyle name="Note 2 2 3 2 4 6" xfId="31893" xr:uid="{00000000-0005-0000-0000-0000814D0000}"/>
    <cellStyle name="Note 2 2 3 2 5" xfId="2459" xr:uid="{00000000-0005-0000-0000-0000824D0000}"/>
    <cellStyle name="Note 2 2 3 2 5 2" xfId="5311" xr:uid="{00000000-0005-0000-0000-0000834D0000}"/>
    <cellStyle name="Note 2 2 3 2 5 2 2" xfId="24283" xr:uid="{00000000-0005-0000-0000-0000844D0000}"/>
    <cellStyle name="Note 2 2 3 2 5 2 3" xfId="35128" xr:uid="{00000000-0005-0000-0000-0000854D0000}"/>
    <cellStyle name="Note 2 2 3 2 5 3" xfId="7982" xr:uid="{00000000-0005-0000-0000-0000864D0000}"/>
    <cellStyle name="Note 2 2 3 2 5 3 2" xfId="26954" xr:uid="{00000000-0005-0000-0000-0000874D0000}"/>
    <cellStyle name="Note 2 2 3 2 5 3 3" xfId="37799" xr:uid="{00000000-0005-0000-0000-0000884D0000}"/>
    <cellStyle name="Note 2 2 3 2 5 4" xfId="10641" xr:uid="{00000000-0005-0000-0000-0000894D0000}"/>
    <cellStyle name="Note 2 2 3 2 5 4 2" xfId="29613" xr:uid="{00000000-0005-0000-0000-00008A4D0000}"/>
    <cellStyle name="Note 2 2 3 2 5 4 3" xfId="40458" xr:uid="{00000000-0005-0000-0000-00008B4D0000}"/>
    <cellStyle name="Note 2 2 3 2 5 5" xfId="21437" xr:uid="{00000000-0005-0000-0000-00008C4D0000}"/>
    <cellStyle name="Note 2 2 3 2 5 6" xfId="32282" xr:uid="{00000000-0005-0000-0000-00008D4D0000}"/>
    <cellStyle name="Note 2 2 3 2 6" xfId="2845" xr:uid="{00000000-0005-0000-0000-00008E4D0000}"/>
    <cellStyle name="Note 2 2 3 2 6 2" xfId="5696" xr:uid="{00000000-0005-0000-0000-00008F4D0000}"/>
    <cellStyle name="Note 2 2 3 2 6 2 2" xfId="24668" xr:uid="{00000000-0005-0000-0000-0000904D0000}"/>
    <cellStyle name="Note 2 2 3 2 6 2 3" xfId="35513" xr:uid="{00000000-0005-0000-0000-0000914D0000}"/>
    <cellStyle name="Note 2 2 3 2 6 3" xfId="8367" xr:uid="{00000000-0005-0000-0000-0000924D0000}"/>
    <cellStyle name="Note 2 2 3 2 6 3 2" xfId="27339" xr:uid="{00000000-0005-0000-0000-0000934D0000}"/>
    <cellStyle name="Note 2 2 3 2 6 3 3" xfId="38184" xr:uid="{00000000-0005-0000-0000-0000944D0000}"/>
    <cellStyle name="Note 2 2 3 2 6 4" xfId="11026" xr:uid="{00000000-0005-0000-0000-0000954D0000}"/>
    <cellStyle name="Note 2 2 3 2 6 4 2" xfId="29998" xr:uid="{00000000-0005-0000-0000-0000964D0000}"/>
    <cellStyle name="Note 2 2 3 2 6 4 3" xfId="40843" xr:uid="{00000000-0005-0000-0000-0000974D0000}"/>
    <cellStyle name="Note 2 2 3 2 6 5" xfId="21822" xr:uid="{00000000-0005-0000-0000-0000984D0000}"/>
    <cellStyle name="Note 2 2 3 2 6 6" xfId="32667" xr:uid="{00000000-0005-0000-0000-0000994D0000}"/>
    <cellStyle name="Note 2 2 3 2 7" xfId="3534" xr:uid="{00000000-0005-0000-0000-00009A4D0000}"/>
    <cellStyle name="Note 2 2 3 2 7 2" xfId="22506" xr:uid="{00000000-0005-0000-0000-00009B4D0000}"/>
    <cellStyle name="Note 2 2 3 2 7 3" xfId="33351" xr:uid="{00000000-0005-0000-0000-00009C4D0000}"/>
    <cellStyle name="Note 2 2 3 2 8" xfId="6209" xr:uid="{00000000-0005-0000-0000-00009D4D0000}"/>
    <cellStyle name="Note 2 2 3 2 8 2" xfId="25181" xr:uid="{00000000-0005-0000-0000-00009E4D0000}"/>
    <cellStyle name="Note 2 2 3 2 8 3" xfId="36026" xr:uid="{00000000-0005-0000-0000-00009F4D0000}"/>
    <cellStyle name="Note 2 2 3 2 9" xfId="8868" xr:uid="{00000000-0005-0000-0000-0000A04D0000}"/>
    <cellStyle name="Note 2 2 3 2 9 2" xfId="27840" xr:uid="{00000000-0005-0000-0000-0000A14D0000}"/>
    <cellStyle name="Note 2 2 3 2 9 3" xfId="38685" xr:uid="{00000000-0005-0000-0000-0000A24D0000}"/>
    <cellStyle name="Note 2 2 3 3" xfId="739" xr:uid="{00000000-0005-0000-0000-0000A34D0000}"/>
    <cellStyle name="Note 2 2 3 3 10" xfId="19724" xr:uid="{00000000-0005-0000-0000-0000A44D0000}"/>
    <cellStyle name="Note 2 2 3 3 11" xfId="30569" xr:uid="{00000000-0005-0000-0000-0000A54D0000}"/>
    <cellStyle name="Note 2 2 3 3 2" xfId="1326" xr:uid="{00000000-0005-0000-0000-0000A64D0000}"/>
    <cellStyle name="Note 2 2 3 3 2 2" xfId="4179" xr:uid="{00000000-0005-0000-0000-0000A74D0000}"/>
    <cellStyle name="Note 2 2 3 3 2 2 2" xfId="23151" xr:uid="{00000000-0005-0000-0000-0000A84D0000}"/>
    <cellStyle name="Note 2 2 3 3 2 2 3" xfId="33996" xr:uid="{00000000-0005-0000-0000-0000A94D0000}"/>
    <cellStyle name="Note 2 2 3 3 2 3" xfId="6852" xr:uid="{00000000-0005-0000-0000-0000AA4D0000}"/>
    <cellStyle name="Note 2 2 3 3 2 3 2" xfId="25824" xr:uid="{00000000-0005-0000-0000-0000AB4D0000}"/>
    <cellStyle name="Note 2 2 3 3 2 3 3" xfId="36669" xr:uid="{00000000-0005-0000-0000-0000AC4D0000}"/>
    <cellStyle name="Note 2 2 3 3 2 4" xfId="9511" xr:uid="{00000000-0005-0000-0000-0000AD4D0000}"/>
    <cellStyle name="Note 2 2 3 3 2 4 2" xfId="28483" xr:uid="{00000000-0005-0000-0000-0000AE4D0000}"/>
    <cellStyle name="Note 2 2 3 3 2 4 3" xfId="39328" xr:uid="{00000000-0005-0000-0000-0000AF4D0000}"/>
    <cellStyle name="Note 2 2 3 3 2 5" xfId="20307" xr:uid="{00000000-0005-0000-0000-0000B04D0000}"/>
    <cellStyle name="Note 2 2 3 3 2 6" xfId="31152" xr:uid="{00000000-0005-0000-0000-0000B14D0000}"/>
    <cellStyle name="Note 2 2 3 3 3" xfId="1725" xr:uid="{00000000-0005-0000-0000-0000B24D0000}"/>
    <cellStyle name="Note 2 2 3 3 3 2" xfId="4578" xr:uid="{00000000-0005-0000-0000-0000B34D0000}"/>
    <cellStyle name="Note 2 2 3 3 3 2 2" xfId="23550" xr:uid="{00000000-0005-0000-0000-0000B44D0000}"/>
    <cellStyle name="Note 2 2 3 3 3 2 3" xfId="34395" xr:uid="{00000000-0005-0000-0000-0000B54D0000}"/>
    <cellStyle name="Note 2 2 3 3 3 3" xfId="7250" xr:uid="{00000000-0005-0000-0000-0000B64D0000}"/>
    <cellStyle name="Note 2 2 3 3 3 3 2" xfId="26222" xr:uid="{00000000-0005-0000-0000-0000B74D0000}"/>
    <cellStyle name="Note 2 2 3 3 3 3 3" xfId="37067" xr:uid="{00000000-0005-0000-0000-0000B84D0000}"/>
    <cellStyle name="Note 2 2 3 3 3 4" xfId="9909" xr:uid="{00000000-0005-0000-0000-0000B94D0000}"/>
    <cellStyle name="Note 2 2 3 3 3 4 2" xfId="28881" xr:uid="{00000000-0005-0000-0000-0000BA4D0000}"/>
    <cellStyle name="Note 2 2 3 3 3 4 3" xfId="39726" xr:uid="{00000000-0005-0000-0000-0000BB4D0000}"/>
    <cellStyle name="Note 2 2 3 3 3 5" xfId="20705" xr:uid="{00000000-0005-0000-0000-0000BC4D0000}"/>
    <cellStyle name="Note 2 2 3 3 3 6" xfId="31550" xr:uid="{00000000-0005-0000-0000-0000BD4D0000}"/>
    <cellStyle name="Note 2 2 3 3 4" xfId="2129" xr:uid="{00000000-0005-0000-0000-0000BE4D0000}"/>
    <cellStyle name="Note 2 2 3 3 4 2" xfId="4982" xr:uid="{00000000-0005-0000-0000-0000BF4D0000}"/>
    <cellStyle name="Note 2 2 3 3 4 2 2" xfId="23954" xr:uid="{00000000-0005-0000-0000-0000C04D0000}"/>
    <cellStyle name="Note 2 2 3 3 4 2 3" xfId="34799" xr:uid="{00000000-0005-0000-0000-0000C14D0000}"/>
    <cellStyle name="Note 2 2 3 3 4 3" xfId="7653" xr:uid="{00000000-0005-0000-0000-0000C24D0000}"/>
    <cellStyle name="Note 2 2 3 3 4 3 2" xfId="26625" xr:uid="{00000000-0005-0000-0000-0000C34D0000}"/>
    <cellStyle name="Note 2 2 3 3 4 3 3" xfId="37470" xr:uid="{00000000-0005-0000-0000-0000C44D0000}"/>
    <cellStyle name="Note 2 2 3 3 4 4" xfId="10312" xr:uid="{00000000-0005-0000-0000-0000C54D0000}"/>
    <cellStyle name="Note 2 2 3 3 4 4 2" xfId="29284" xr:uid="{00000000-0005-0000-0000-0000C64D0000}"/>
    <cellStyle name="Note 2 2 3 3 4 4 3" xfId="40129" xr:uid="{00000000-0005-0000-0000-0000C74D0000}"/>
    <cellStyle name="Note 2 2 3 3 4 5" xfId="21108" xr:uid="{00000000-0005-0000-0000-0000C84D0000}"/>
    <cellStyle name="Note 2 2 3 3 4 6" xfId="31953" xr:uid="{00000000-0005-0000-0000-0000C94D0000}"/>
    <cellStyle name="Note 2 2 3 3 5" xfId="2519" xr:uid="{00000000-0005-0000-0000-0000CA4D0000}"/>
    <cellStyle name="Note 2 2 3 3 5 2" xfId="5371" xr:uid="{00000000-0005-0000-0000-0000CB4D0000}"/>
    <cellStyle name="Note 2 2 3 3 5 2 2" xfId="24343" xr:uid="{00000000-0005-0000-0000-0000CC4D0000}"/>
    <cellStyle name="Note 2 2 3 3 5 2 3" xfId="35188" xr:uid="{00000000-0005-0000-0000-0000CD4D0000}"/>
    <cellStyle name="Note 2 2 3 3 5 3" xfId="8042" xr:uid="{00000000-0005-0000-0000-0000CE4D0000}"/>
    <cellStyle name="Note 2 2 3 3 5 3 2" xfId="27014" xr:uid="{00000000-0005-0000-0000-0000CF4D0000}"/>
    <cellStyle name="Note 2 2 3 3 5 3 3" xfId="37859" xr:uid="{00000000-0005-0000-0000-0000D04D0000}"/>
    <cellStyle name="Note 2 2 3 3 5 4" xfId="10701" xr:uid="{00000000-0005-0000-0000-0000D14D0000}"/>
    <cellStyle name="Note 2 2 3 3 5 4 2" xfId="29673" xr:uid="{00000000-0005-0000-0000-0000D24D0000}"/>
    <cellStyle name="Note 2 2 3 3 5 4 3" xfId="40518" xr:uid="{00000000-0005-0000-0000-0000D34D0000}"/>
    <cellStyle name="Note 2 2 3 3 5 5" xfId="21497" xr:uid="{00000000-0005-0000-0000-0000D44D0000}"/>
    <cellStyle name="Note 2 2 3 3 5 6" xfId="32342" xr:uid="{00000000-0005-0000-0000-0000D54D0000}"/>
    <cellStyle name="Note 2 2 3 3 6" xfId="2905" xr:uid="{00000000-0005-0000-0000-0000D64D0000}"/>
    <cellStyle name="Note 2 2 3 3 6 2" xfId="5756" xr:uid="{00000000-0005-0000-0000-0000D74D0000}"/>
    <cellStyle name="Note 2 2 3 3 6 2 2" xfId="24728" xr:uid="{00000000-0005-0000-0000-0000D84D0000}"/>
    <cellStyle name="Note 2 2 3 3 6 2 3" xfId="35573" xr:uid="{00000000-0005-0000-0000-0000D94D0000}"/>
    <cellStyle name="Note 2 2 3 3 6 3" xfId="8427" xr:uid="{00000000-0005-0000-0000-0000DA4D0000}"/>
    <cellStyle name="Note 2 2 3 3 6 3 2" xfId="27399" xr:uid="{00000000-0005-0000-0000-0000DB4D0000}"/>
    <cellStyle name="Note 2 2 3 3 6 3 3" xfId="38244" xr:uid="{00000000-0005-0000-0000-0000DC4D0000}"/>
    <cellStyle name="Note 2 2 3 3 6 4" xfId="11086" xr:uid="{00000000-0005-0000-0000-0000DD4D0000}"/>
    <cellStyle name="Note 2 2 3 3 6 4 2" xfId="30058" xr:uid="{00000000-0005-0000-0000-0000DE4D0000}"/>
    <cellStyle name="Note 2 2 3 3 6 4 3" xfId="40903" xr:uid="{00000000-0005-0000-0000-0000DF4D0000}"/>
    <cellStyle name="Note 2 2 3 3 6 5" xfId="21882" xr:uid="{00000000-0005-0000-0000-0000E04D0000}"/>
    <cellStyle name="Note 2 2 3 3 6 6" xfId="32727" xr:uid="{00000000-0005-0000-0000-0000E14D0000}"/>
    <cellStyle name="Note 2 2 3 3 7" xfId="3594" xr:uid="{00000000-0005-0000-0000-0000E24D0000}"/>
    <cellStyle name="Note 2 2 3 3 7 2" xfId="22566" xr:uid="{00000000-0005-0000-0000-0000E34D0000}"/>
    <cellStyle name="Note 2 2 3 3 7 3" xfId="33411" xr:uid="{00000000-0005-0000-0000-0000E44D0000}"/>
    <cellStyle name="Note 2 2 3 3 8" xfId="6269" xr:uid="{00000000-0005-0000-0000-0000E54D0000}"/>
    <cellStyle name="Note 2 2 3 3 8 2" xfId="25241" xr:uid="{00000000-0005-0000-0000-0000E64D0000}"/>
    <cellStyle name="Note 2 2 3 3 8 3" xfId="36086" xr:uid="{00000000-0005-0000-0000-0000E74D0000}"/>
    <cellStyle name="Note 2 2 3 3 9" xfId="8928" xr:uid="{00000000-0005-0000-0000-0000E84D0000}"/>
    <cellStyle name="Note 2 2 3 3 9 2" xfId="27900" xr:uid="{00000000-0005-0000-0000-0000E94D0000}"/>
    <cellStyle name="Note 2 2 3 3 9 3" xfId="38745" xr:uid="{00000000-0005-0000-0000-0000EA4D0000}"/>
    <cellStyle name="Note 2 2 3 4" xfId="799" xr:uid="{00000000-0005-0000-0000-0000EB4D0000}"/>
    <cellStyle name="Note 2 2 3 4 10" xfId="19784" xr:uid="{00000000-0005-0000-0000-0000EC4D0000}"/>
    <cellStyle name="Note 2 2 3 4 11" xfId="30629" xr:uid="{00000000-0005-0000-0000-0000ED4D0000}"/>
    <cellStyle name="Note 2 2 3 4 2" xfId="1386" xr:uid="{00000000-0005-0000-0000-0000EE4D0000}"/>
    <cellStyle name="Note 2 2 3 4 2 2" xfId="4239" xr:uid="{00000000-0005-0000-0000-0000EF4D0000}"/>
    <cellStyle name="Note 2 2 3 4 2 2 2" xfId="23211" xr:uid="{00000000-0005-0000-0000-0000F04D0000}"/>
    <cellStyle name="Note 2 2 3 4 2 2 3" xfId="34056" xr:uid="{00000000-0005-0000-0000-0000F14D0000}"/>
    <cellStyle name="Note 2 2 3 4 2 3" xfId="6912" xr:uid="{00000000-0005-0000-0000-0000F24D0000}"/>
    <cellStyle name="Note 2 2 3 4 2 3 2" xfId="25884" xr:uid="{00000000-0005-0000-0000-0000F34D0000}"/>
    <cellStyle name="Note 2 2 3 4 2 3 3" xfId="36729" xr:uid="{00000000-0005-0000-0000-0000F44D0000}"/>
    <cellStyle name="Note 2 2 3 4 2 4" xfId="9571" xr:uid="{00000000-0005-0000-0000-0000F54D0000}"/>
    <cellStyle name="Note 2 2 3 4 2 4 2" xfId="28543" xr:uid="{00000000-0005-0000-0000-0000F64D0000}"/>
    <cellStyle name="Note 2 2 3 4 2 4 3" xfId="39388" xr:uid="{00000000-0005-0000-0000-0000F74D0000}"/>
    <cellStyle name="Note 2 2 3 4 2 5" xfId="20367" xr:uid="{00000000-0005-0000-0000-0000F84D0000}"/>
    <cellStyle name="Note 2 2 3 4 2 6" xfId="31212" xr:uid="{00000000-0005-0000-0000-0000F94D0000}"/>
    <cellStyle name="Note 2 2 3 4 3" xfId="1785" xr:uid="{00000000-0005-0000-0000-0000FA4D0000}"/>
    <cellStyle name="Note 2 2 3 4 3 2" xfId="4638" xr:uid="{00000000-0005-0000-0000-0000FB4D0000}"/>
    <cellStyle name="Note 2 2 3 4 3 2 2" xfId="23610" xr:uid="{00000000-0005-0000-0000-0000FC4D0000}"/>
    <cellStyle name="Note 2 2 3 4 3 2 3" xfId="34455" xr:uid="{00000000-0005-0000-0000-0000FD4D0000}"/>
    <cellStyle name="Note 2 2 3 4 3 3" xfId="7310" xr:uid="{00000000-0005-0000-0000-0000FE4D0000}"/>
    <cellStyle name="Note 2 2 3 4 3 3 2" xfId="26282" xr:uid="{00000000-0005-0000-0000-0000FF4D0000}"/>
    <cellStyle name="Note 2 2 3 4 3 3 3" xfId="37127" xr:uid="{00000000-0005-0000-0000-0000004E0000}"/>
    <cellStyle name="Note 2 2 3 4 3 4" xfId="9969" xr:uid="{00000000-0005-0000-0000-0000014E0000}"/>
    <cellStyle name="Note 2 2 3 4 3 4 2" xfId="28941" xr:uid="{00000000-0005-0000-0000-0000024E0000}"/>
    <cellStyle name="Note 2 2 3 4 3 4 3" xfId="39786" xr:uid="{00000000-0005-0000-0000-0000034E0000}"/>
    <cellStyle name="Note 2 2 3 4 3 5" xfId="20765" xr:uid="{00000000-0005-0000-0000-0000044E0000}"/>
    <cellStyle name="Note 2 2 3 4 3 6" xfId="31610" xr:uid="{00000000-0005-0000-0000-0000054E0000}"/>
    <cellStyle name="Note 2 2 3 4 4" xfId="2189" xr:uid="{00000000-0005-0000-0000-0000064E0000}"/>
    <cellStyle name="Note 2 2 3 4 4 2" xfId="5042" xr:uid="{00000000-0005-0000-0000-0000074E0000}"/>
    <cellStyle name="Note 2 2 3 4 4 2 2" xfId="24014" xr:uid="{00000000-0005-0000-0000-0000084E0000}"/>
    <cellStyle name="Note 2 2 3 4 4 2 3" xfId="34859" xr:uid="{00000000-0005-0000-0000-0000094E0000}"/>
    <cellStyle name="Note 2 2 3 4 4 3" xfId="7713" xr:uid="{00000000-0005-0000-0000-00000A4E0000}"/>
    <cellStyle name="Note 2 2 3 4 4 3 2" xfId="26685" xr:uid="{00000000-0005-0000-0000-00000B4E0000}"/>
    <cellStyle name="Note 2 2 3 4 4 3 3" xfId="37530" xr:uid="{00000000-0005-0000-0000-00000C4E0000}"/>
    <cellStyle name="Note 2 2 3 4 4 4" xfId="10372" xr:uid="{00000000-0005-0000-0000-00000D4E0000}"/>
    <cellStyle name="Note 2 2 3 4 4 4 2" xfId="29344" xr:uid="{00000000-0005-0000-0000-00000E4E0000}"/>
    <cellStyle name="Note 2 2 3 4 4 4 3" xfId="40189" xr:uid="{00000000-0005-0000-0000-00000F4E0000}"/>
    <cellStyle name="Note 2 2 3 4 4 5" xfId="21168" xr:uid="{00000000-0005-0000-0000-0000104E0000}"/>
    <cellStyle name="Note 2 2 3 4 4 6" xfId="32013" xr:uid="{00000000-0005-0000-0000-0000114E0000}"/>
    <cellStyle name="Note 2 2 3 4 5" xfId="2579" xr:uid="{00000000-0005-0000-0000-0000124E0000}"/>
    <cellStyle name="Note 2 2 3 4 5 2" xfId="5431" xr:uid="{00000000-0005-0000-0000-0000134E0000}"/>
    <cellStyle name="Note 2 2 3 4 5 2 2" xfId="24403" xr:uid="{00000000-0005-0000-0000-0000144E0000}"/>
    <cellStyle name="Note 2 2 3 4 5 2 3" xfId="35248" xr:uid="{00000000-0005-0000-0000-0000154E0000}"/>
    <cellStyle name="Note 2 2 3 4 5 3" xfId="8102" xr:uid="{00000000-0005-0000-0000-0000164E0000}"/>
    <cellStyle name="Note 2 2 3 4 5 3 2" xfId="27074" xr:uid="{00000000-0005-0000-0000-0000174E0000}"/>
    <cellStyle name="Note 2 2 3 4 5 3 3" xfId="37919" xr:uid="{00000000-0005-0000-0000-0000184E0000}"/>
    <cellStyle name="Note 2 2 3 4 5 4" xfId="10761" xr:uid="{00000000-0005-0000-0000-0000194E0000}"/>
    <cellStyle name="Note 2 2 3 4 5 4 2" xfId="29733" xr:uid="{00000000-0005-0000-0000-00001A4E0000}"/>
    <cellStyle name="Note 2 2 3 4 5 4 3" xfId="40578" xr:uid="{00000000-0005-0000-0000-00001B4E0000}"/>
    <cellStyle name="Note 2 2 3 4 5 5" xfId="21557" xr:uid="{00000000-0005-0000-0000-00001C4E0000}"/>
    <cellStyle name="Note 2 2 3 4 5 6" xfId="32402" xr:uid="{00000000-0005-0000-0000-00001D4E0000}"/>
    <cellStyle name="Note 2 2 3 4 6" xfId="2965" xr:uid="{00000000-0005-0000-0000-00001E4E0000}"/>
    <cellStyle name="Note 2 2 3 4 6 2" xfId="5816" xr:uid="{00000000-0005-0000-0000-00001F4E0000}"/>
    <cellStyle name="Note 2 2 3 4 6 2 2" xfId="24788" xr:uid="{00000000-0005-0000-0000-0000204E0000}"/>
    <cellStyle name="Note 2 2 3 4 6 2 3" xfId="35633" xr:uid="{00000000-0005-0000-0000-0000214E0000}"/>
    <cellStyle name="Note 2 2 3 4 6 3" xfId="8487" xr:uid="{00000000-0005-0000-0000-0000224E0000}"/>
    <cellStyle name="Note 2 2 3 4 6 3 2" xfId="27459" xr:uid="{00000000-0005-0000-0000-0000234E0000}"/>
    <cellStyle name="Note 2 2 3 4 6 3 3" xfId="38304" xr:uid="{00000000-0005-0000-0000-0000244E0000}"/>
    <cellStyle name="Note 2 2 3 4 6 4" xfId="11146" xr:uid="{00000000-0005-0000-0000-0000254E0000}"/>
    <cellStyle name="Note 2 2 3 4 6 4 2" xfId="30118" xr:uid="{00000000-0005-0000-0000-0000264E0000}"/>
    <cellStyle name="Note 2 2 3 4 6 4 3" xfId="40963" xr:uid="{00000000-0005-0000-0000-0000274E0000}"/>
    <cellStyle name="Note 2 2 3 4 6 5" xfId="21942" xr:uid="{00000000-0005-0000-0000-0000284E0000}"/>
    <cellStyle name="Note 2 2 3 4 6 6" xfId="32787" xr:uid="{00000000-0005-0000-0000-0000294E0000}"/>
    <cellStyle name="Note 2 2 3 4 7" xfId="3654" xr:uid="{00000000-0005-0000-0000-00002A4E0000}"/>
    <cellStyle name="Note 2 2 3 4 7 2" xfId="22626" xr:uid="{00000000-0005-0000-0000-00002B4E0000}"/>
    <cellStyle name="Note 2 2 3 4 7 3" xfId="33471" xr:uid="{00000000-0005-0000-0000-00002C4E0000}"/>
    <cellStyle name="Note 2 2 3 4 8" xfId="6329" xr:uid="{00000000-0005-0000-0000-00002D4E0000}"/>
    <cellStyle name="Note 2 2 3 4 8 2" xfId="25301" xr:uid="{00000000-0005-0000-0000-00002E4E0000}"/>
    <cellStyle name="Note 2 2 3 4 8 3" xfId="36146" xr:uid="{00000000-0005-0000-0000-00002F4E0000}"/>
    <cellStyle name="Note 2 2 3 4 9" xfId="8988" xr:uid="{00000000-0005-0000-0000-0000304E0000}"/>
    <cellStyle name="Note 2 2 3 4 9 2" xfId="27960" xr:uid="{00000000-0005-0000-0000-0000314E0000}"/>
    <cellStyle name="Note 2 2 3 4 9 3" xfId="38805" xr:uid="{00000000-0005-0000-0000-0000324E0000}"/>
    <cellStyle name="Note 2 2 3 5" xfId="858" xr:uid="{00000000-0005-0000-0000-0000334E0000}"/>
    <cellStyle name="Note 2 2 3 5 10" xfId="19843" xr:uid="{00000000-0005-0000-0000-0000344E0000}"/>
    <cellStyle name="Note 2 2 3 5 11" xfId="30688" xr:uid="{00000000-0005-0000-0000-0000354E0000}"/>
    <cellStyle name="Note 2 2 3 5 2" xfId="1445" xr:uid="{00000000-0005-0000-0000-0000364E0000}"/>
    <cellStyle name="Note 2 2 3 5 2 2" xfId="4298" xr:uid="{00000000-0005-0000-0000-0000374E0000}"/>
    <cellStyle name="Note 2 2 3 5 2 2 2" xfId="23270" xr:uid="{00000000-0005-0000-0000-0000384E0000}"/>
    <cellStyle name="Note 2 2 3 5 2 2 3" xfId="34115" xr:uid="{00000000-0005-0000-0000-0000394E0000}"/>
    <cellStyle name="Note 2 2 3 5 2 3" xfId="6971" xr:uid="{00000000-0005-0000-0000-00003A4E0000}"/>
    <cellStyle name="Note 2 2 3 5 2 3 2" xfId="25943" xr:uid="{00000000-0005-0000-0000-00003B4E0000}"/>
    <cellStyle name="Note 2 2 3 5 2 3 3" xfId="36788" xr:uid="{00000000-0005-0000-0000-00003C4E0000}"/>
    <cellStyle name="Note 2 2 3 5 2 4" xfId="9630" xr:uid="{00000000-0005-0000-0000-00003D4E0000}"/>
    <cellStyle name="Note 2 2 3 5 2 4 2" xfId="28602" xr:uid="{00000000-0005-0000-0000-00003E4E0000}"/>
    <cellStyle name="Note 2 2 3 5 2 4 3" xfId="39447" xr:uid="{00000000-0005-0000-0000-00003F4E0000}"/>
    <cellStyle name="Note 2 2 3 5 2 5" xfId="20426" xr:uid="{00000000-0005-0000-0000-0000404E0000}"/>
    <cellStyle name="Note 2 2 3 5 2 6" xfId="31271" xr:uid="{00000000-0005-0000-0000-0000414E0000}"/>
    <cellStyle name="Note 2 2 3 5 3" xfId="1844" xr:uid="{00000000-0005-0000-0000-0000424E0000}"/>
    <cellStyle name="Note 2 2 3 5 3 2" xfId="4697" xr:uid="{00000000-0005-0000-0000-0000434E0000}"/>
    <cellStyle name="Note 2 2 3 5 3 2 2" xfId="23669" xr:uid="{00000000-0005-0000-0000-0000444E0000}"/>
    <cellStyle name="Note 2 2 3 5 3 2 3" xfId="34514" xr:uid="{00000000-0005-0000-0000-0000454E0000}"/>
    <cellStyle name="Note 2 2 3 5 3 3" xfId="7369" xr:uid="{00000000-0005-0000-0000-0000464E0000}"/>
    <cellStyle name="Note 2 2 3 5 3 3 2" xfId="26341" xr:uid="{00000000-0005-0000-0000-0000474E0000}"/>
    <cellStyle name="Note 2 2 3 5 3 3 3" xfId="37186" xr:uid="{00000000-0005-0000-0000-0000484E0000}"/>
    <cellStyle name="Note 2 2 3 5 3 4" xfId="10028" xr:uid="{00000000-0005-0000-0000-0000494E0000}"/>
    <cellStyle name="Note 2 2 3 5 3 4 2" xfId="29000" xr:uid="{00000000-0005-0000-0000-00004A4E0000}"/>
    <cellStyle name="Note 2 2 3 5 3 4 3" xfId="39845" xr:uid="{00000000-0005-0000-0000-00004B4E0000}"/>
    <cellStyle name="Note 2 2 3 5 3 5" xfId="20824" xr:uid="{00000000-0005-0000-0000-00004C4E0000}"/>
    <cellStyle name="Note 2 2 3 5 3 6" xfId="31669" xr:uid="{00000000-0005-0000-0000-00004D4E0000}"/>
    <cellStyle name="Note 2 2 3 5 4" xfId="2248" xr:uid="{00000000-0005-0000-0000-00004E4E0000}"/>
    <cellStyle name="Note 2 2 3 5 4 2" xfId="5101" xr:uid="{00000000-0005-0000-0000-00004F4E0000}"/>
    <cellStyle name="Note 2 2 3 5 4 2 2" xfId="24073" xr:uid="{00000000-0005-0000-0000-0000504E0000}"/>
    <cellStyle name="Note 2 2 3 5 4 2 3" xfId="34918" xr:uid="{00000000-0005-0000-0000-0000514E0000}"/>
    <cellStyle name="Note 2 2 3 5 4 3" xfId="7772" xr:uid="{00000000-0005-0000-0000-0000524E0000}"/>
    <cellStyle name="Note 2 2 3 5 4 3 2" xfId="26744" xr:uid="{00000000-0005-0000-0000-0000534E0000}"/>
    <cellStyle name="Note 2 2 3 5 4 3 3" xfId="37589" xr:uid="{00000000-0005-0000-0000-0000544E0000}"/>
    <cellStyle name="Note 2 2 3 5 4 4" xfId="10431" xr:uid="{00000000-0005-0000-0000-0000554E0000}"/>
    <cellStyle name="Note 2 2 3 5 4 4 2" xfId="29403" xr:uid="{00000000-0005-0000-0000-0000564E0000}"/>
    <cellStyle name="Note 2 2 3 5 4 4 3" xfId="40248" xr:uid="{00000000-0005-0000-0000-0000574E0000}"/>
    <cellStyle name="Note 2 2 3 5 4 5" xfId="21227" xr:uid="{00000000-0005-0000-0000-0000584E0000}"/>
    <cellStyle name="Note 2 2 3 5 4 6" xfId="32072" xr:uid="{00000000-0005-0000-0000-0000594E0000}"/>
    <cellStyle name="Note 2 2 3 5 5" xfId="2638" xr:uid="{00000000-0005-0000-0000-00005A4E0000}"/>
    <cellStyle name="Note 2 2 3 5 5 2" xfId="5490" xr:uid="{00000000-0005-0000-0000-00005B4E0000}"/>
    <cellStyle name="Note 2 2 3 5 5 2 2" xfId="24462" xr:uid="{00000000-0005-0000-0000-00005C4E0000}"/>
    <cellStyle name="Note 2 2 3 5 5 2 3" xfId="35307" xr:uid="{00000000-0005-0000-0000-00005D4E0000}"/>
    <cellStyle name="Note 2 2 3 5 5 3" xfId="8161" xr:uid="{00000000-0005-0000-0000-00005E4E0000}"/>
    <cellStyle name="Note 2 2 3 5 5 3 2" xfId="27133" xr:uid="{00000000-0005-0000-0000-00005F4E0000}"/>
    <cellStyle name="Note 2 2 3 5 5 3 3" xfId="37978" xr:uid="{00000000-0005-0000-0000-0000604E0000}"/>
    <cellStyle name="Note 2 2 3 5 5 4" xfId="10820" xr:uid="{00000000-0005-0000-0000-0000614E0000}"/>
    <cellStyle name="Note 2 2 3 5 5 4 2" xfId="29792" xr:uid="{00000000-0005-0000-0000-0000624E0000}"/>
    <cellStyle name="Note 2 2 3 5 5 4 3" xfId="40637" xr:uid="{00000000-0005-0000-0000-0000634E0000}"/>
    <cellStyle name="Note 2 2 3 5 5 5" xfId="21616" xr:uid="{00000000-0005-0000-0000-0000644E0000}"/>
    <cellStyle name="Note 2 2 3 5 5 6" xfId="32461" xr:uid="{00000000-0005-0000-0000-0000654E0000}"/>
    <cellStyle name="Note 2 2 3 5 6" xfId="3024" xr:uid="{00000000-0005-0000-0000-0000664E0000}"/>
    <cellStyle name="Note 2 2 3 5 6 2" xfId="5875" xr:uid="{00000000-0005-0000-0000-0000674E0000}"/>
    <cellStyle name="Note 2 2 3 5 6 2 2" xfId="24847" xr:uid="{00000000-0005-0000-0000-0000684E0000}"/>
    <cellStyle name="Note 2 2 3 5 6 2 3" xfId="35692" xr:uid="{00000000-0005-0000-0000-0000694E0000}"/>
    <cellStyle name="Note 2 2 3 5 6 3" xfId="8546" xr:uid="{00000000-0005-0000-0000-00006A4E0000}"/>
    <cellStyle name="Note 2 2 3 5 6 3 2" xfId="27518" xr:uid="{00000000-0005-0000-0000-00006B4E0000}"/>
    <cellStyle name="Note 2 2 3 5 6 3 3" xfId="38363" xr:uid="{00000000-0005-0000-0000-00006C4E0000}"/>
    <cellStyle name="Note 2 2 3 5 6 4" xfId="11205" xr:uid="{00000000-0005-0000-0000-00006D4E0000}"/>
    <cellStyle name="Note 2 2 3 5 6 4 2" xfId="30177" xr:uid="{00000000-0005-0000-0000-00006E4E0000}"/>
    <cellStyle name="Note 2 2 3 5 6 4 3" xfId="41022" xr:uid="{00000000-0005-0000-0000-00006F4E0000}"/>
    <cellStyle name="Note 2 2 3 5 6 5" xfId="22001" xr:uid="{00000000-0005-0000-0000-0000704E0000}"/>
    <cellStyle name="Note 2 2 3 5 6 6" xfId="32846" xr:uid="{00000000-0005-0000-0000-0000714E0000}"/>
    <cellStyle name="Note 2 2 3 5 7" xfId="3713" xr:uid="{00000000-0005-0000-0000-0000724E0000}"/>
    <cellStyle name="Note 2 2 3 5 7 2" xfId="22685" xr:uid="{00000000-0005-0000-0000-0000734E0000}"/>
    <cellStyle name="Note 2 2 3 5 7 3" xfId="33530" xr:uid="{00000000-0005-0000-0000-0000744E0000}"/>
    <cellStyle name="Note 2 2 3 5 8" xfId="6388" xr:uid="{00000000-0005-0000-0000-0000754E0000}"/>
    <cellStyle name="Note 2 2 3 5 8 2" xfId="25360" xr:uid="{00000000-0005-0000-0000-0000764E0000}"/>
    <cellStyle name="Note 2 2 3 5 8 3" xfId="36205" xr:uid="{00000000-0005-0000-0000-0000774E0000}"/>
    <cellStyle name="Note 2 2 3 5 9" xfId="9047" xr:uid="{00000000-0005-0000-0000-0000784E0000}"/>
    <cellStyle name="Note 2 2 3 5 9 2" xfId="28019" xr:uid="{00000000-0005-0000-0000-0000794E0000}"/>
    <cellStyle name="Note 2 2 3 5 9 3" xfId="38864" xr:uid="{00000000-0005-0000-0000-00007A4E0000}"/>
    <cellStyle name="Note 2 2 3 6" xfId="1080" xr:uid="{00000000-0005-0000-0000-00007B4E0000}"/>
    <cellStyle name="Note 2 2 3 6 2" xfId="3933" xr:uid="{00000000-0005-0000-0000-00007C4E0000}"/>
    <cellStyle name="Note 2 2 3 6 2 2" xfId="22905" xr:uid="{00000000-0005-0000-0000-00007D4E0000}"/>
    <cellStyle name="Note 2 2 3 6 2 3" xfId="33750" xr:uid="{00000000-0005-0000-0000-00007E4E0000}"/>
    <cellStyle name="Note 2 2 3 6 3" xfId="6607" xr:uid="{00000000-0005-0000-0000-00007F4E0000}"/>
    <cellStyle name="Note 2 2 3 6 3 2" xfId="25579" xr:uid="{00000000-0005-0000-0000-0000804E0000}"/>
    <cellStyle name="Note 2 2 3 6 3 3" xfId="36424" xr:uid="{00000000-0005-0000-0000-0000814E0000}"/>
    <cellStyle name="Note 2 2 3 6 4" xfId="9266" xr:uid="{00000000-0005-0000-0000-0000824E0000}"/>
    <cellStyle name="Note 2 2 3 6 4 2" xfId="28238" xr:uid="{00000000-0005-0000-0000-0000834E0000}"/>
    <cellStyle name="Note 2 2 3 6 4 3" xfId="39083" xr:uid="{00000000-0005-0000-0000-0000844E0000}"/>
    <cellStyle name="Note 2 2 3 6 5" xfId="20062" xr:uid="{00000000-0005-0000-0000-0000854E0000}"/>
    <cellStyle name="Note 2 2 3 6 6" xfId="30907" xr:uid="{00000000-0005-0000-0000-0000864E0000}"/>
    <cellStyle name="Note 2 2 3 7" xfId="910" xr:uid="{00000000-0005-0000-0000-0000874E0000}"/>
    <cellStyle name="Note 2 2 3 7 2" xfId="3765" xr:uid="{00000000-0005-0000-0000-0000884E0000}"/>
    <cellStyle name="Note 2 2 3 7 2 2" xfId="22737" xr:uid="{00000000-0005-0000-0000-0000894E0000}"/>
    <cellStyle name="Note 2 2 3 7 2 3" xfId="33582" xr:uid="{00000000-0005-0000-0000-00008A4E0000}"/>
    <cellStyle name="Note 2 2 3 7 3" xfId="6440" xr:uid="{00000000-0005-0000-0000-00008B4E0000}"/>
    <cellStyle name="Note 2 2 3 7 3 2" xfId="25412" xr:uid="{00000000-0005-0000-0000-00008C4E0000}"/>
    <cellStyle name="Note 2 2 3 7 3 3" xfId="36257" xr:uid="{00000000-0005-0000-0000-00008D4E0000}"/>
    <cellStyle name="Note 2 2 3 7 4" xfId="9099" xr:uid="{00000000-0005-0000-0000-00008E4E0000}"/>
    <cellStyle name="Note 2 2 3 7 4 2" xfId="28071" xr:uid="{00000000-0005-0000-0000-00008F4E0000}"/>
    <cellStyle name="Note 2 2 3 7 4 3" xfId="38916" xr:uid="{00000000-0005-0000-0000-0000904E0000}"/>
    <cellStyle name="Note 2 2 3 7 5" xfId="19895" xr:uid="{00000000-0005-0000-0000-0000914E0000}"/>
    <cellStyle name="Note 2 2 3 7 6" xfId="30740" xr:uid="{00000000-0005-0000-0000-0000924E0000}"/>
    <cellStyle name="Note 2 2 3 8" xfId="979" xr:uid="{00000000-0005-0000-0000-0000934E0000}"/>
    <cellStyle name="Note 2 2 3 8 2" xfId="3832" xr:uid="{00000000-0005-0000-0000-0000944E0000}"/>
    <cellStyle name="Note 2 2 3 8 2 2" xfId="22804" xr:uid="{00000000-0005-0000-0000-0000954E0000}"/>
    <cellStyle name="Note 2 2 3 8 2 3" xfId="33649" xr:uid="{00000000-0005-0000-0000-0000964E0000}"/>
    <cellStyle name="Note 2 2 3 8 3" xfId="6507" xr:uid="{00000000-0005-0000-0000-0000974E0000}"/>
    <cellStyle name="Note 2 2 3 8 3 2" xfId="25479" xr:uid="{00000000-0005-0000-0000-0000984E0000}"/>
    <cellStyle name="Note 2 2 3 8 3 3" xfId="36324" xr:uid="{00000000-0005-0000-0000-0000994E0000}"/>
    <cellStyle name="Note 2 2 3 8 4" xfId="9166" xr:uid="{00000000-0005-0000-0000-00009A4E0000}"/>
    <cellStyle name="Note 2 2 3 8 4 2" xfId="28138" xr:uid="{00000000-0005-0000-0000-00009B4E0000}"/>
    <cellStyle name="Note 2 2 3 8 4 3" xfId="38983" xr:uid="{00000000-0005-0000-0000-00009C4E0000}"/>
    <cellStyle name="Note 2 2 3 8 5" xfId="19962" xr:uid="{00000000-0005-0000-0000-00009D4E0000}"/>
    <cellStyle name="Note 2 2 3 8 6" xfId="30807" xr:uid="{00000000-0005-0000-0000-00009E4E0000}"/>
    <cellStyle name="Note 2 2 3 9" xfId="1016" xr:uid="{00000000-0005-0000-0000-00009F4E0000}"/>
    <cellStyle name="Note 2 2 3 9 2" xfId="3869" xr:uid="{00000000-0005-0000-0000-0000A04E0000}"/>
    <cellStyle name="Note 2 2 3 9 2 2" xfId="22841" xr:uid="{00000000-0005-0000-0000-0000A14E0000}"/>
    <cellStyle name="Note 2 2 3 9 2 3" xfId="33686" xr:uid="{00000000-0005-0000-0000-0000A24E0000}"/>
    <cellStyle name="Note 2 2 3 9 3" xfId="6543" xr:uid="{00000000-0005-0000-0000-0000A34E0000}"/>
    <cellStyle name="Note 2 2 3 9 3 2" xfId="25515" xr:uid="{00000000-0005-0000-0000-0000A44E0000}"/>
    <cellStyle name="Note 2 2 3 9 3 3" xfId="36360" xr:uid="{00000000-0005-0000-0000-0000A54E0000}"/>
    <cellStyle name="Note 2 2 3 9 4" xfId="9202" xr:uid="{00000000-0005-0000-0000-0000A64E0000}"/>
    <cellStyle name="Note 2 2 3 9 4 2" xfId="28174" xr:uid="{00000000-0005-0000-0000-0000A74E0000}"/>
    <cellStyle name="Note 2 2 3 9 4 3" xfId="39019" xr:uid="{00000000-0005-0000-0000-0000A84E0000}"/>
    <cellStyle name="Note 2 2 3 9 5" xfId="19998" xr:uid="{00000000-0005-0000-0000-0000A94E0000}"/>
    <cellStyle name="Note 2 2 3 9 6" xfId="30843" xr:uid="{00000000-0005-0000-0000-0000AA4E0000}"/>
    <cellStyle name="Note 2 2 4" xfId="562" xr:uid="{00000000-0005-0000-0000-0000AB4E0000}"/>
    <cellStyle name="Note 2 2 4 10" xfId="19572" xr:uid="{00000000-0005-0000-0000-0000AC4E0000}"/>
    <cellStyle name="Note 2 2 4 11" xfId="30417" xr:uid="{00000000-0005-0000-0000-0000AD4E0000}"/>
    <cellStyle name="Note 2 2 4 2" xfId="1168" xr:uid="{00000000-0005-0000-0000-0000AE4E0000}"/>
    <cellStyle name="Note 2 2 4 2 2" xfId="4021" xr:uid="{00000000-0005-0000-0000-0000AF4E0000}"/>
    <cellStyle name="Note 2 2 4 2 2 2" xfId="22993" xr:uid="{00000000-0005-0000-0000-0000B04E0000}"/>
    <cellStyle name="Note 2 2 4 2 2 3" xfId="33838" xr:uid="{00000000-0005-0000-0000-0000B14E0000}"/>
    <cellStyle name="Note 2 2 4 2 3" xfId="6694" xr:uid="{00000000-0005-0000-0000-0000B24E0000}"/>
    <cellStyle name="Note 2 2 4 2 3 2" xfId="25666" xr:uid="{00000000-0005-0000-0000-0000B34E0000}"/>
    <cellStyle name="Note 2 2 4 2 3 3" xfId="36511" xr:uid="{00000000-0005-0000-0000-0000B44E0000}"/>
    <cellStyle name="Note 2 2 4 2 4" xfId="9353" xr:uid="{00000000-0005-0000-0000-0000B54E0000}"/>
    <cellStyle name="Note 2 2 4 2 4 2" xfId="28325" xr:uid="{00000000-0005-0000-0000-0000B64E0000}"/>
    <cellStyle name="Note 2 2 4 2 4 3" xfId="39170" xr:uid="{00000000-0005-0000-0000-0000B74E0000}"/>
    <cellStyle name="Note 2 2 4 2 5" xfId="20149" xr:uid="{00000000-0005-0000-0000-0000B84E0000}"/>
    <cellStyle name="Note 2 2 4 2 6" xfId="30994" xr:uid="{00000000-0005-0000-0000-0000B94E0000}"/>
    <cellStyle name="Note 2 2 4 3" xfId="1565" xr:uid="{00000000-0005-0000-0000-0000BA4E0000}"/>
    <cellStyle name="Note 2 2 4 3 2" xfId="4418" xr:uid="{00000000-0005-0000-0000-0000BB4E0000}"/>
    <cellStyle name="Note 2 2 4 3 2 2" xfId="23390" xr:uid="{00000000-0005-0000-0000-0000BC4E0000}"/>
    <cellStyle name="Note 2 2 4 3 2 3" xfId="34235" xr:uid="{00000000-0005-0000-0000-0000BD4E0000}"/>
    <cellStyle name="Note 2 2 4 3 3" xfId="7090" xr:uid="{00000000-0005-0000-0000-0000BE4E0000}"/>
    <cellStyle name="Note 2 2 4 3 3 2" xfId="26062" xr:uid="{00000000-0005-0000-0000-0000BF4E0000}"/>
    <cellStyle name="Note 2 2 4 3 3 3" xfId="36907" xr:uid="{00000000-0005-0000-0000-0000C04E0000}"/>
    <cellStyle name="Note 2 2 4 3 4" xfId="9749" xr:uid="{00000000-0005-0000-0000-0000C14E0000}"/>
    <cellStyle name="Note 2 2 4 3 4 2" xfId="28721" xr:uid="{00000000-0005-0000-0000-0000C24E0000}"/>
    <cellStyle name="Note 2 2 4 3 4 3" xfId="39566" xr:uid="{00000000-0005-0000-0000-0000C34E0000}"/>
    <cellStyle name="Note 2 2 4 3 5" xfId="20545" xr:uid="{00000000-0005-0000-0000-0000C44E0000}"/>
    <cellStyle name="Note 2 2 4 3 6" xfId="31390" xr:uid="{00000000-0005-0000-0000-0000C54E0000}"/>
    <cellStyle name="Note 2 2 4 4" xfId="1969" xr:uid="{00000000-0005-0000-0000-0000C64E0000}"/>
    <cellStyle name="Note 2 2 4 4 2" xfId="4822" xr:uid="{00000000-0005-0000-0000-0000C74E0000}"/>
    <cellStyle name="Note 2 2 4 4 2 2" xfId="23794" xr:uid="{00000000-0005-0000-0000-0000C84E0000}"/>
    <cellStyle name="Note 2 2 4 4 2 3" xfId="34639" xr:uid="{00000000-0005-0000-0000-0000C94E0000}"/>
    <cellStyle name="Note 2 2 4 4 3" xfId="7494" xr:uid="{00000000-0005-0000-0000-0000CA4E0000}"/>
    <cellStyle name="Note 2 2 4 4 3 2" xfId="26466" xr:uid="{00000000-0005-0000-0000-0000CB4E0000}"/>
    <cellStyle name="Note 2 2 4 4 3 3" xfId="37311" xr:uid="{00000000-0005-0000-0000-0000CC4E0000}"/>
    <cellStyle name="Note 2 2 4 4 4" xfId="10153" xr:uid="{00000000-0005-0000-0000-0000CD4E0000}"/>
    <cellStyle name="Note 2 2 4 4 4 2" xfId="29125" xr:uid="{00000000-0005-0000-0000-0000CE4E0000}"/>
    <cellStyle name="Note 2 2 4 4 4 3" xfId="39970" xr:uid="{00000000-0005-0000-0000-0000CF4E0000}"/>
    <cellStyle name="Note 2 2 4 4 5" xfId="20949" xr:uid="{00000000-0005-0000-0000-0000D04E0000}"/>
    <cellStyle name="Note 2 2 4 4 6" xfId="31794" xr:uid="{00000000-0005-0000-0000-0000D14E0000}"/>
    <cellStyle name="Note 2 2 4 5" xfId="2361" xr:uid="{00000000-0005-0000-0000-0000D24E0000}"/>
    <cellStyle name="Note 2 2 4 5 2" xfId="5214" xr:uid="{00000000-0005-0000-0000-0000D34E0000}"/>
    <cellStyle name="Note 2 2 4 5 2 2" xfId="24186" xr:uid="{00000000-0005-0000-0000-0000D44E0000}"/>
    <cellStyle name="Note 2 2 4 5 2 3" xfId="35031" xr:uid="{00000000-0005-0000-0000-0000D54E0000}"/>
    <cellStyle name="Note 2 2 4 5 3" xfId="7885" xr:uid="{00000000-0005-0000-0000-0000D64E0000}"/>
    <cellStyle name="Note 2 2 4 5 3 2" xfId="26857" xr:uid="{00000000-0005-0000-0000-0000D74E0000}"/>
    <cellStyle name="Note 2 2 4 5 3 3" xfId="37702" xr:uid="{00000000-0005-0000-0000-0000D84E0000}"/>
    <cellStyle name="Note 2 2 4 5 4" xfId="10544" xr:uid="{00000000-0005-0000-0000-0000D94E0000}"/>
    <cellStyle name="Note 2 2 4 5 4 2" xfId="29516" xr:uid="{00000000-0005-0000-0000-0000DA4E0000}"/>
    <cellStyle name="Note 2 2 4 5 4 3" xfId="40361" xr:uid="{00000000-0005-0000-0000-0000DB4E0000}"/>
    <cellStyle name="Note 2 2 4 5 5" xfId="21340" xr:uid="{00000000-0005-0000-0000-0000DC4E0000}"/>
    <cellStyle name="Note 2 2 4 5 6" xfId="32185" xr:uid="{00000000-0005-0000-0000-0000DD4E0000}"/>
    <cellStyle name="Note 2 2 4 6" xfId="2750" xr:uid="{00000000-0005-0000-0000-0000DE4E0000}"/>
    <cellStyle name="Note 2 2 4 6 2" xfId="5602" xr:uid="{00000000-0005-0000-0000-0000DF4E0000}"/>
    <cellStyle name="Note 2 2 4 6 2 2" xfId="24574" xr:uid="{00000000-0005-0000-0000-0000E04E0000}"/>
    <cellStyle name="Note 2 2 4 6 2 3" xfId="35419" xr:uid="{00000000-0005-0000-0000-0000E14E0000}"/>
    <cellStyle name="Note 2 2 4 6 3" xfId="8273" xr:uid="{00000000-0005-0000-0000-0000E24E0000}"/>
    <cellStyle name="Note 2 2 4 6 3 2" xfId="27245" xr:uid="{00000000-0005-0000-0000-0000E34E0000}"/>
    <cellStyle name="Note 2 2 4 6 3 3" xfId="38090" xr:uid="{00000000-0005-0000-0000-0000E44E0000}"/>
    <cellStyle name="Note 2 2 4 6 4" xfId="10932" xr:uid="{00000000-0005-0000-0000-0000E54E0000}"/>
    <cellStyle name="Note 2 2 4 6 4 2" xfId="29904" xr:uid="{00000000-0005-0000-0000-0000E64E0000}"/>
    <cellStyle name="Note 2 2 4 6 4 3" xfId="40749" xr:uid="{00000000-0005-0000-0000-0000E74E0000}"/>
    <cellStyle name="Note 2 2 4 6 5" xfId="21728" xr:uid="{00000000-0005-0000-0000-0000E84E0000}"/>
    <cellStyle name="Note 2 2 4 6 6" xfId="32573" xr:uid="{00000000-0005-0000-0000-0000E94E0000}"/>
    <cellStyle name="Note 2 2 4 7" xfId="3441" xr:uid="{00000000-0005-0000-0000-0000EA4E0000}"/>
    <cellStyle name="Note 2 2 4 7 2" xfId="22413" xr:uid="{00000000-0005-0000-0000-0000EB4E0000}"/>
    <cellStyle name="Note 2 2 4 7 3" xfId="33258" xr:uid="{00000000-0005-0000-0000-0000EC4E0000}"/>
    <cellStyle name="Note 2 2 4 8" xfId="6117" xr:uid="{00000000-0005-0000-0000-0000ED4E0000}"/>
    <cellStyle name="Note 2 2 4 8 2" xfId="25089" xr:uid="{00000000-0005-0000-0000-0000EE4E0000}"/>
    <cellStyle name="Note 2 2 4 8 3" xfId="35934" xr:uid="{00000000-0005-0000-0000-0000EF4E0000}"/>
    <cellStyle name="Note 2 2 4 9" xfId="8776" xr:uid="{00000000-0005-0000-0000-0000F04E0000}"/>
    <cellStyle name="Note 2 2 4 9 2" xfId="27748" xr:uid="{00000000-0005-0000-0000-0000F14E0000}"/>
    <cellStyle name="Note 2 2 4 9 3" xfId="38593" xr:uid="{00000000-0005-0000-0000-0000F24E0000}"/>
    <cellStyle name="Note 2 2 5" xfId="41473" xr:uid="{00000000-0005-0000-0000-0000F34E0000}"/>
    <cellStyle name="Note 2 2_2012 WMECO MTM ELEC BCR - EVAL-EVAL - LINKED" xfId="312" xr:uid="{00000000-0005-0000-0000-0000F44E0000}"/>
    <cellStyle name="Note 2 3" xfId="128" xr:uid="{00000000-0005-0000-0000-0000F54E0000}"/>
    <cellStyle name="Note 2 3 2" xfId="380" xr:uid="{00000000-0005-0000-0000-0000F64E0000}"/>
    <cellStyle name="Note 2 3 2 10" xfId="1513" xr:uid="{00000000-0005-0000-0000-0000F74E0000}"/>
    <cellStyle name="Note 2 3 2 10 2" xfId="4366" xr:uid="{00000000-0005-0000-0000-0000F84E0000}"/>
    <cellStyle name="Note 2 3 2 10 2 2" xfId="23338" xr:uid="{00000000-0005-0000-0000-0000F94E0000}"/>
    <cellStyle name="Note 2 3 2 10 2 3" xfId="34183" xr:uid="{00000000-0005-0000-0000-0000FA4E0000}"/>
    <cellStyle name="Note 2 3 2 10 3" xfId="7039" xr:uid="{00000000-0005-0000-0000-0000FB4E0000}"/>
    <cellStyle name="Note 2 3 2 10 3 2" xfId="26011" xr:uid="{00000000-0005-0000-0000-0000FC4E0000}"/>
    <cellStyle name="Note 2 3 2 10 3 3" xfId="36856" xr:uid="{00000000-0005-0000-0000-0000FD4E0000}"/>
    <cellStyle name="Note 2 3 2 10 4" xfId="9698" xr:uid="{00000000-0005-0000-0000-0000FE4E0000}"/>
    <cellStyle name="Note 2 3 2 10 4 2" xfId="28670" xr:uid="{00000000-0005-0000-0000-0000FF4E0000}"/>
    <cellStyle name="Note 2 3 2 10 4 3" xfId="39515" xr:uid="{00000000-0005-0000-0000-0000004F0000}"/>
    <cellStyle name="Note 2 3 2 10 5" xfId="20494" xr:uid="{00000000-0005-0000-0000-0000014F0000}"/>
    <cellStyle name="Note 2 3 2 10 6" xfId="31339" xr:uid="{00000000-0005-0000-0000-0000024F0000}"/>
    <cellStyle name="Note 2 3 2 11" xfId="987" xr:uid="{00000000-0005-0000-0000-0000034F0000}"/>
    <cellStyle name="Note 2 3 2 11 2" xfId="3840" xr:uid="{00000000-0005-0000-0000-0000044F0000}"/>
    <cellStyle name="Note 2 3 2 11 2 2" xfId="22812" xr:uid="{00000000-0005-0000-0000-0000054F0000}"/>
    <cellStyle name="Note 2 3 2 11 2 3" xfId="33657" xr:uid="{00000000-0005-0000-0000-0000064F0000}"/>
    <cellStyle name="Note 2 3 2 11 3" xfId="6515" xr:uid="{00000000-0005-0000-0000-0000074F0000}"/>
    <cellStyle name="Note 2 3 2 11 3 2" xfId="25487" xr:uid="{00000000-0005-0000-0000-0000084F0000}"/>
    <cellStyle name="Note 2 3 2 11 3 3" xfId="36332" xr:uid="{00000000-0005-0000-0000-0000094F0000}"/>
    <cellStyle name="Note 2 3 2 11 4" xfId="9174" xr:uid="{00000000-0005-0000-0000-00000A4F0000}"/>
    <cellStyle name="Note 2 3 2 11 4 2" xfId="28146" xr:uid="{00000000-0005-0000-0000-00000B4F0000}"/>
    <cellStyle name="Note 2 3 2 11 4 3" xfId="38991" xr:uid="{00000000-0005-0000-0000-00000C4F0000}"/>
    <cellStyle name="Note 2 3 2 11 5" xfId="19970" xr:uid="{00000000-0005-0000-0000-00000D4F0000}"/>
    <cellStyle name="Note 2 3 2 11 6" xfId="30815" xr:uid="{00000000-0005-0000-0000-00000E4F0000}"/>
    <cellStyle name="Note 2 3 2 12" xfId="3115" xr:uid="{00000000-0005-0000-0000-00000F4F0000}"/>
    <cellStyle name="Note 2 3 2 12 2" xfId="5966" xr:uid="{00000000-0005-0000-0000-0000104F0000}"/>
    <cellStyle name="Note 2 3 2 12 2 2" xfId="24938" xr:uid="{00000000-0005-0000-0000-0000114F0000}"/>
    <cellStyle name="Note 2 3 2 12 2 3" xfId="35783" xr:uid="{00000000-0005-0000-0000-0000124F0000}"/>
    <cellStyle name="Note 2 3 2 12 3" xfId="8637" xr:uid="{00000000-0005-0000-0000-0000134F0000}"/>
    <cellStyle name="Note 2 3 2 12 3 2" xfId="27609" xr:uid="{00000000-0005-0000-0000-0000144F0000}"/>
    <cellStyle name="Note 2 3 2 12 3 3" xfId="38454" xr:uid="{00000000-0005-0000-0000-0000154F0000}"/>
    <cellStyle name="Note 2 3 2 12 4" xfId="11296" xr:uid="{00000000-0005-0000-0000-0000164F0000}"/>
    <cellStyle name="Note 2 3 2 12 4 2" xfId="30268" xr:uid="{00000000-0005-0000-0000-0000174F0000}"/>
    <cellStyle name="Note 2 3 2 12 4 3" xfId="41113" xr:uid="{00000000-0005-0000-0000-0000184F0000}"/>
    <cellStyle name="Note 2 3 2 12 5" xfId="22092" xr:uid="{00000000-0005-0000-0000-0000194F0000}"/>
    <cellStyle name="Note 2 3 2 12 6" xfId="32937" xr:uid="{00000000-0005-0000-0000-00001A4F0000}"/>
    <cellStyle name="Note 2 3 2 13" xfId="3172" xr:uid="{00000000-0005-0000-0000-00001B4F0000}"/>
    <cellStyle name="Note 2 3 2 13 2" xfId="6023" xr:uid="{00000000-0005-0000-0000-00001C4F0000}"/>
    <cellStyle name="Note 2 3 2 13 2 2" xfId="24995" xr:uid="{00000000-0005-0000-0000-00001D4F0000}"/>
    <cellStyle name="Note 2 3 2 13 2 3" xfId="35840" xr:uid="{00000000-0005-0000-0000-00001E4F0000}"/>
    <cellStyle name="Note 2 3 2 13 3" xfId="8694" xr:uid="{00000000-0005-0000-0000-00001F4F0000}"/>
    <cellStyle name="Note 2 3 2 13 3 2" xfId="27666" xr:uid="{00000000-0005-0000-0000-0000204F0000}"/>
    <cellStyle name="Note 2 3 2 13 3 3" xfId="38511" xr:uid="{00000000-0005-0000-0000-0000214F0000}"/>
    <cellStyle name="Note 2 3 2 13 4" xfId="11353" xr:uid="{00000000-0005-0000-0000-0000224F0000}"/>
    <cellStyle name="Note 2 3 2 13 4 2" xfId="30325" xr:uid="{00000000-0005-0000-0000-0000234F0000}"/>
    <cellStyle name="Note 2 3 2 13 4 3" xfId="41170" xr:uid="{00000000-0005-0000-0000-0000244F0000}"/>
    <cellStyle name="Note 2 3 2 13 5" xfId="22149" xr:uid="{00000000-0005-0000-0000-0000254F0000}"/>
    <cellStyle name="Note 2 3 2 13 6" xfId="32994" xr:uid="{00000000-0005-0000-0000-0000264F0000}"/>
    <cellStyle name="Note 2 3 2 14" xfId="3338" xr:uid="{00000000-0005-0000-0000-0000274F0000}"/>
    <cellStyle name="Note 2 3 2 14 2" xfId="22312" xr:uid="{00000000-0005-0000-0000-0000284F0000}"/>
    <cellStyle name="Note 2 3 2 14 3" xfId="33157" xr:uid="{00000000-0005-0000-0000-0000294F0000}"/>
    <cellStyle name="Note 2 3 2 15" xfId="3296" xr:uid="{00000000-0005-0000-0000-00002A4F0000}"/>
    <cellStyle name="Note 2 3 2 15 2" xfId="22270" xr:uid="{00000000-0005-0000-0000-00002B4F0000}"/>
    <cellStyle name="Note 2 3 2 15 3" xfId="33115" xr:uid="{00000000-0005-0000-0000-00002C4F0000}"/>
    <cellStyle name="Note 2 3 2 16" xfId="6076" xr:uid="{00000000-0005-0000-0000-00002D4F0000}"/>
    <cellStyle name="Note 2 3 2 16 2" xfId="25048" xr:uid="{00000000-0005-0000-0000-00002E4F0000}"/>
    <cellStyle name="Note 2 3 2 16 3" xfId="35893" xr:uid="{00000000-0005-0000-0000-00002F4F0000}"/>
    <cellStyle name="Note 2 3 2 17" xfId="19469" xr:uid="{00000000-0005-0000-0000-0000304F0000}"/>
    <cellStyle name="Note 2 3 2 18" xfId="19521" xr:uid="{00000000-0005-0000-0000-0000314F0000}"/>
    <cellStyle name="Note 2 3 2 2" xfId="680" xr:uid="{00000000-0005-0000-0000-0000324F0000}"/>
    <cellStyle name="Note 2 3 2 2 10" xfId="19665" xr:uid="{00000000-0005-0000-0000-0000334F0000}"/>
    <cellStyle name="Note 2 3 2 2 11" xfId="30510" xr:uid="{00000000-0005-0000-0000-0000344F0000}"/>
    <cellStyle name="Note 2 3 2 2 2" xfId="1267" xr:uid="{00000000-0005-0000-0000-0000354F0000}"/>
    <cellStyle name="Note 2 3 2 2 2 2" xfId="4120" xr:uid="{00000000-0005-0000-0000-0000364F0000}"/>
    <cellStyle name="Note 2 3 2 2 2 2 2" xfId="23092" xr:uid="{00000000-0005-0000-0000-0000374F0000}"/>
    <cellStyle name="Note 2 3 2 2 2 2 3" xfId="33937" xr:uid="{00000000-0005-0000-0000-0000384F0000}"/>
    <cellStyle name="Note 2 3 2 2 2 3" xfId="6793" xr:uid="{00000000-0005-0000-0000-0000394F0000}"/>
    <cellStyle name="Note 2 3 2 2 2 3 2" xfId="25765" xr:uid="{00000000-0005-0000-0000-00003A4F0000}"/>
    <cellStyle name="Note 2 3 2 2 2 3 3" xfId="36610" xr:uid="{00000000-0005-0000-0000-00003B4F0000}"/>
    <cellStyle name="Note 2 3 2 2 2 4" xfId="9452" xr:uid="{00000000-0005-0000-0000-00003C4F0000}"/>
    <cellStyle name="Note 2 3 2 2 2 4 2" xfId="28424" xr:uid="{00000000-0005-0000-0000-00003D4F0000}"/>
    <cellStyle name="Note 2 3 2 2 2 4 3" xfId="39269" xr:uid="{00000000-0005-0000-0000-00003E4F0000}"/>
    <cellStyle name="Note 2 3 2 2 2 5" xfId="20248" xr:uid="{00000000-0005-0000-0000-00003F4F0000}"/>
    <cellStyle name="Note 2 3 2 2 2 6" xfId="31093" xr:uid="{00000000-0005-0000-0000-0000404F0000}"/>
    <cellStyle name="Note 2 3 2 2 3" xfId="1666" xr:uid="{00000000-0005-0000-0000-0000414F0000}"/>
    <cellStyle name="Note 2 3 2 2 3 2" xfId="4519" xr:uid="{00000000-0005-0000-0000-0000424F0000}"/>
    <cellStyle name="Note 2 3 2 2 3 2 2" xfId="23491" xr:uid="{00000000-0005-0000-0000-0000434F0000}"/>
    <cellStyle name="Note 2 3 2 2 3 2 3" xfId="34336" xr:uid="{00000000-0005-0000-0000-0000444F0000}"/>
    <cellStyle name="Note 2 3 2 2 3 3" xfId="7191" xr:uid="{00000000-0005-0000-0000-0000454F0000}"/>
    <cellStyle name="Note 2 3 2 2 3 3 2" xfId="26163" xr:uid="{00000000-0005-0000-0000-0000464F0000}"/>
    <cellStyle name="Note 2 3 2 2 3 3 3" xfId="37008" xr:uid="{00000000-0005-0000-0000-0000474F0000}"/>
    <cellStyle name="Note 2 3 2 2 3 4" xfId="9850" xr:uid="{00000000-0005-0000-0000-0000484F0000}"/>
    <cellStyle name="Note 2 3 2 2 3 4 2" xfId="28822" xr:uid="{00000000-0005-0000-0000-0000494F0000}"/>
    <cellStyle name="Note 2 3 2 2 3 4 3" xfId="39667" xr:uid="{00000000-0005-0000-0000-00004A4F0000}"/>
    <cellStyle name="Note 2 3 2 2 3 5" xfId="20646" xr:uid="{00000000-0005-0000-0000-00004B4F0000}"/>
    <cellStyle name="Note 2 3 2 2 3 6" xfId="31491" xr:uid="{00000000-0005-0000-0000-00004C4F0000}"/>
    <cellStyle name="Note 2 3 2 2 4" xfId="2070" xr:uid="{00000000-0005-0000-0000-00004D4F0000}"/>
    <cellStyle name="Note 2 3 2 2 4 2" xfId="4923" xr:uid="{00000000-0005-0000-0000-00004E4F0000}"/>
    <cellStyle name="Note 2 3 2 2 4 2 2" xfId="23895" xr:uid="{00000000-0005-0000-0000-00004F4F0000}"/>
    <cellStyle name="Note 2 3 2 2 4 2 3" xfId="34740" xr:uid="{00000000-0005-0000-0000-0000504F0000}"/>
    <cellStyle name="Note 2 3 2 2 4 3" xfId="7594" xr:uid="{00000000-0005-0000-0000-0000514F0000}"/>
    <cellStyle name="Note 2 3 2 2 4 3 2" xfId="26566" xr:uid="{00000000-0005-0000-0000-0000524F0000}"/>
    <cellStyle name="Note 2 3 2 2 4 3 3" xfId="37411" xr:uid="{00000000-0005-0000-0000-0000534F0000}"/>
    <cellStyle name="Note 2 3 2 2 4 4" xfId="10253" xr:uid="{00000000-0005-0000-0000-0000544F0000}"/>
    <cellStyle name="Note 2 3 2 2 4 4 2" xfId="29225" xr:uid="{00000000-0005-0000-0000-0000554F0000}"/>
    <cellStyle name="Note 2 3 2 2 4 4 3" xfId="40070" xr:uid="{00000000-0005-0000-0000-0000564F0000}"/>
    <cellStyle name="Note 2 3 2 2 4 5" xfId="21049" xr:uid="{00000000-0005-0000-0000-0000574F0000}"/>
    <cellStyle name="Note 2 3 2 2 4 6" xfId="31894" xr:uid="{00000000-0005-0000-0000-0000584F0000}"/>
    <cellStyle name="Note 2 3 2 2 5" xfId="2460" xr:uid="{00000000-0005-0000-0000-0000594F0000}"/>
    <cellStyle name="Note 2 3 2 2 5 2" xfId="5312" xr:uid="{00000000-0005-0000-0000-00005A4F0000}"/>
    <cellStyle name="Note 2 3 2 2 5 2 2" xfId="24284" xr:uid="{00000000-0005-0000-0000-00005B4F0000}"/>
    <cellStyle name="Note 2 3 2 2 5 2 3" xfId="35129" xr:uid="{00000000-0005-0000-0000-00005C4F0000}"/>
    <cellStyle name="Note 2 3 2 2 5 3" xfId="7983" xr:uid="{00000000-0005-0000-0000-00005D4F0000}"/>
    <cellStyle name="Note 2 3 2 2 5 3 2" xfId="26955" xr:uid="{00000000-0005-0000-0000-00005E4F0000}"/>
    <cellStyle name="Note 2 3 2 2 5 3 3" xfId="37800" xr:uid="{00000000-0005-0000-0000-00005F4F0000}"/>
    <cellStyle name="Note 2 3 2 2 5 4" xfId="10642" xr:uid="{00000000-0005-0000-0000-0000604F0000}"/>
    <cellStyle name="Note 2 3 2 2 5 4 2" xfId="29614" xr:uid="{00000000-0005-0000-0000-0000614F0000}"/>
    <cellStyle name="Note 2 3 2 2 5 4 3" xfId="40459" xr:uid="{00000000-0005-0000-0000-0000624F0000}"/>
    <cellStyle name="Note 2 3 2 2 5 5" xfId="21438" xr:uid="{00000000-0005-0000-0000-0000634F0000}"/>
    <cellStyle name="Note 2 3 2 2 5 6" xfId="32283" xr:uid="{00000000-0005-0000-0000-0000644F0000}"/>
    <cellStyle name="Note 2 3 2 2 6" xfId="2846" xr:uid="{00000000-0005-0000-0000-0000654F0000}"/>
    <cellStyle name="Note 2 3 2 2 6 2" xfId="5697" xr:uid="{00000000-0005-0000-0000-0000664F0000}"/>
    <cellStyle name="Note 2 3 2 2 6 2 2" xfId="24669" xr:uid="{00000000-0005-0000-0000-0000674F0000}"/>
    <cellStyle name="Note 2 3 2 2 6 2 3" xfId="35514" xr:uid="{00000000-0005-0000-0000-0000684F0000}"/>
    <cellStyle name="Note 2 3 2 2 6 3" xfId="8368" xr:uid="{00000000-0005-0000-0000-0000694F0000}"/>
    <cellStyle name="Note 2 3 2 2 6 3 2" xfId="27340" xr:uid="{00000000-0005-0000-0000-00006A4F0000}"/>
    <cellStyle name="Note 2 3 2 2 6 3 3" xfId="38185" xr:uid="{00000000-0005-0000-0000-00006B4F0000}"/>
    <cellStyle name="Note 2 3 2 2 6 4" xfId="11027" xr:uid="{00000000-0005-0000-0000-00006C4F0000}"/>
    <cellStyle name="Note 2 3 2 2 6 4 2" xfId="29999" xr:uid="{00000000-0005-0000-0000-00006D4F0000}"/>
    <cellStyle name="Note 2 3 2 2 6 4 3" xfId="40844" xr:uid="{00000000-0005-0000-0000-00006E4F0000}"/>
    <cellStyle name="Note 2 3 2 2 6 5" xfId="21823" xr:uid="{00000000-0005-0000-0000-00006F4F0000}"/>
    <cellStyle name="Note 2 3 2 2 6 6" xfId="32668" xr:uid="{00000000-0005-0000-0000-0000704F0000}"/>
    <cellStyle name="Note 2 3 2 2 7" xfId="3535" xr:uid="{00000000-0005-0000-0000-0000714F0000}"/>
    <cellStyle name="Note 2 3 2 2 7 2" xfId="22507" xr:uid="{00000000-0005-0000-0000-0000724F0000}"/>
    <cellStyle name="Note 2 3 2 2 7 3" xfId="33352" xr:uid="{00000000-0005-0000-0000-0000734F0000}"/>
    <cellStyle name="Note 2 3 2 2 8" xfId="6210" xr:uid="{00000000-0005-0000-0000-0000744F0000}"/>
    <cellStyle name="Note 2 3 2 2 8 2" xfId="25182" xr:uid="{00000000-0005-0000-0000-0000754F0000}"/>
    <cellStyle name="Note 2 3 2 2 8 3" xfId="36027" xr:uid="{00000000-0005-0000-0000-0000764F0000}"/>
    <cellStyle name="Note 2 3 2 2 9" xfId="8869" xr:uid="{00000000-0005-0000-0000-0000774F0000}"/>
    <cellStyle name="Note 2 3 2 2 9 2" xfId="27841" xr:uid="{00000000-0005-0000-0000-0000784F0000}"/>
    <cellStyle name="Note 2 3 2 2 9 3" xfId="38686" xr:uid="{00000000-0005-0000-0000-0000794F0000}"/>
    <cellStyle name="Note 2 3 2 3" xfId="740" xr:uid="{00000000-0005-0000-0000-00007A4F0000}"/>
    <cellStyle name="Note 2 3 2 3 10" xfId="19725" xr:uid="{00000000-0005-0000-0000-00007B4F0000}"/>
    <cellStyle name="Note 2 3 2 3 11" xfId="30570" xr:uid="{00000000-0005-0000-0000-00007C4F0000}"/>
    <cellStyle name="Note 2 3 2 3 2" xfId="1327" xr:uid="{00000000-0005-0000-0000-00007D4F0000}"/>
    <cellStyle name="Note 2 3 2 3 2 2" xfId="4180" xr:uid="{00000000-0005-0000-0000-00007E4F0000}"/>
    <cellStyle name="Note 2 3 2 3 2 2 2" xfId="23152" xr:uid="{00000000-0005-0000-0000-00007F4F0000}"/>
    <cellStyle name="Note 2 3 2 3 2 2 3" xfId="33997" xr:uid="{00000000-0005-0000-0000-0000804F0000}"/>
    <cellStyle name="Note 2 3 2 3 2 3" xfId="6853" xr:uid="{00000000-0005-0000-0000-0000814F0000}"/>
    <cellStyle name="Note 2 3 2 3 2 3 2" xfId="25825" xr:uid="{00000000-0005-0000-0000-0000824F0000}"/>
    <cellStyle name="Note 2 3 2 3 2 3 3" xfId="36670" xr:uid="{00000000-0005-0000-0000-0000834F0000}"/>
    <cellStyle name="Note 2 3 2 3 2 4" xfId="9512" xr:uid="{00000000-0005-0000-0000-0000844F0000}"/>
    <cellStyle name="Note 2 3 2 3 2 4 2" xfId="28484" xr:uid="{00000000-0005-0000-0000-0000854F0000}"/>
    <cellStyle name="Note 2 3 2 3 2 4 3" xfId="39329" xr:uid="{00000000-0005-0000-0000-0000864F0000}"/>
    <cellStyle name="Note 2 3 2 3 2 5" xfId="20308" xr:uid="{00000000-0005-0000-0000-0000874F0000}"/>
    <cellStyle name="Note 2 3 2 3 2 6" xfId="31153" xr:uid="{00000000-0005-0000-0000-0000884F0000}"/>
    <cellStyle name="Note 2 3 2 3 3" xfId="1726" xr:uid="{00000000-0005-0000-0000-0000894F0000}"/>
    <cellStyle name="Note 2 3 2 3 3 2" xfId="4579" xr:uid="{00000000-0005-0000-0000-00008A4F0000}"/>
    <cellStyle name="Note 2 3 2 3 3 2 2" xfId="23551" xr:uid="{00000000-0005-0000-0000-00008B4F0000}"/>
    <cellStyle name="Note 2 3 2 3 3 2 3" xfId="34396" xr:uid="{00000000-0005-0000-0000-00008C4F0000}"/>
    <cellStyle name="Note 2 3 2 3 3 3" xfId="7251" xr:uid="{00000000-0005-0000-0000-00008D4F0000}"/>
    <cellStyle name="Note 2 3 2 3 3 3 2" xfId="26223" xr:uid="{00000000-0005-0000-0000-00008E4F0000}"/>
    <cellStyle name="Note 2 3 2 3 3 3 3" xfId="37068" xr:uid="{00000000-0005-0000-0000-00008F4F0000}"/>
    <cellStyle name="Note 2 3 2 3 3 4" xfId="9910" xr:uid="{00000000-0005-0000-0000-0000904F0000}"/>
    <cellStyle name="Note 2 3 2 3 3 4 2" xfId="28882" xr:uid="{00000000-0005-0000-0000-0000914F0000}"/>
    <cellStyle name="Note 2 3 2 3 3 4 3" xfId="39727" xr:uid="{00000000-0005-0000-0000-0000924F0000}"/>
    <cellStyle name="Note 2 3 2 3 3 5" xfId="20706" xr:uid="{00000000-0005-0000-0000-0000934F0000}"/>
    <cellStyle name="Note 2 3 2 3 3 6" xfId="31551" xr:uid="{00000000-0005-0000-0000-0000944F0000}"/>
    <cellStyle name="Note 2 3 2 3 4" xfId="2130" xr:uid="{00000000-0005-0000-0000-0000954F0000}"/>
    <cellStyle name="Note 2 3 2 3 4 2" xfId="4983" xr:uid="{00000000-0005-0000-0000-0000964F0000}"/>
    <cellStyle name="Note 2 3 2 3 4 2 2" xfId="23955" xr:uid="{00000000-0005-0000-0000-0000974F0000}"/>
    <cellStyle name="Note 2 3 2 3 4 2 3" xfId="34800" xr:uid="{00000000-0005-0000-0000-0000984F0000}"/>
    <cellStyle name="Note 2 3 2 3 4 3" xfId="7654" xr:uid="{00000000-0005-0000-0000-0000994F0000}"/>
    <cellStyle name="Note 2 3 2 3 4 3 2" xfId="26626" xr:uid="{00000000-0005-0000-0000-00009A4F0000}"/>
    <cellStyle name="Note 2 3 2 3 4 3 3" xfId="37471" xr:uid="{00000000-0005-0000-0000-00009B4F0000}"/>
    <cellStyle name="Note 2 3 2 3 4 4" xfId="10313" xr:uid="{00000000-0005-0000-0000-00009C4F0000}"/>
    <cellStyle name="Note 2 3 2 3 4 4 2" xfId="29285" xr:uid="{00000000-0005-0000-0000-00009D4F0000}"/>
    <cellStyle name="Note 2 3 2 3 4 4 3" xfId="40130" xr:uid="{00000000-0005-0000-0000-00009E4F0000}"/>
    <cellStyle name="Note 2 3 2 3 4 5" xfId="21109" xr:uid="{00000000-0005-0000-0000-00009F4F0000}"/>
    <cellStyle name="Note 2 3 2 3 4 6" xfId="31954" xr:uid="{00000000-0005-0000-0000-0000A04F0000}"/>
    <cellStyle name="Note 2 3 2 3 5" xfId="2520" xr:uid="{00000000-0005-0000-0000-0000A14F0000}"/>
    <cellStyle name="Note 2 3 2 3 5 2" xfId="5372" xr:uid="{00000000-0005-0000-0000-0000A24F0000}"/>
    <cellStyle name="Note 2 3 2 3 5 2 2" xfId="24344" xr:uid="{00000000-0005-0000-0000-0000A34F0000}"/>
    <cellStyle name="Note 2 3 2 3 5 2 3" xfId="35189" xr:uid="{00000000-0005-0000-0000-0000A44F0000}"/>
    <cellStyle name="Note 2 3 2 3 5 3" xfId="8043" xr:uid="{00000000-0005-0000-0000-0000A54F0000}"/>
    <cellStyle name="Note 2 3 2 3 5 3 2" xfId="27015" xr:uid="{00000000-0005-0000-0000-0000A64F0000}"/>
    <cellStyle name="Note 2 3 2 3 5 3 3" xfId="37860" xr:uid="{00000000-0005-0000-0000-0000A74F0000}"/>
    <cellStyle name="Note 2 3 2 3 5 4" xfId="10702" xr:uid="{00000000-0005-0000-0000-0000A84F0000}"/>
    <cellStyle name="Note 2 3 2 3 5 4 2" xfId="29674" xr:uid="{00000000-0005-0000-0000-0000A94F0000}"/>
    <cellStyle name="Note 2 3 2 3 5 4 3" xfId="40519" xr:uid="{00000000-0005-0000-0000-0000AA4F0000}"/>
    <cellStyle name="Note 2 3 2 3 5 5" xfId="21498" xr:uid="{00000000-0005-0000-0000-0000AB4F0000}"/>
    <cellStyle name="Note 2 3 2 3 5 6" xfId="32343" xr:uid="{00000000-0005-0000-0000-0000AC4F0000}"/>
    <cellStyle name="Note 2 3 2 3 6" xfId="2906" xr:uid="{00000000-0005-0000-0000-0000AD4F0000}"/>
    <cellStyle name="Note 2 3 2 3 6 2" xfId="5757" xr:uid="{00000000-0005-0000-0000-0000AE4F0000}"/>
    <cellStyle name="Note 2 3 2 3 6 2 2" xfId="24729" xr:uid="{00000000-0005-0000-0000-0000AF4F0000}"/>
    <cellStyle name="Note 2 3 2 3 6 2 3" xfId="35574" xr:uid="{00000000-0005-0000-0000-0000B04F0000}"/>
    <cellStyle name="Note 2 3 2 3 6 3" xfId="8428" xr:uid="{00000000-0005-0000-0000-0000B14F0000}"/>
    <cellStyle name="Note 2 3 2 3 6 3 2" xfId="27400" xr:uid="{00000000-0005-0000-0000-0000B24F0000}"/>
    <cellStyle name="Note 2 3 2 3 6 3 3" xfId="38245" xr:uid="{00000000-0005-0000-0000-0000B34F0000}"/>
    <cellStyle name="Note 2 3 2 3 6 4" xfId="11087" xr:uid="{00000000-0005-0000-0000-0000B44F0000}"/>
    <cellStyle name="Note 2 3 2 3 6 4 2" xfId="30059" xr:uid="{00000000-0005-0000-0000-0000B54F0000}"/>
    <cellStyle name="Note 2 3 2 3 6 4 3" xfId="40904" xr:uid="{00000000-0005-0000-0000-0000B64F0000}"/>
    <cellStyle name="Note 2 3 2 3 6 5" xfId="21883" xr:uid="{00000000-0005-0000-0000-0000B74F0000}"/>
    <cellStyle name="Note 2 3 2 3 6 6" xfId="32728" xr:uid="{00000000-0005-0000-0000-0000B84F0000}"/>
    <cellStyle name="Note 2 3 2 3 7" xfId="3595" xr:uid="{00000000-0005-0000-0000-0000B94F0000}"/>
    <cellStyle name="Note 2 3 2 3 7 2" xfId="22567" xr:uid="{00000000-0005-0000-0000-0000BA4F0000}"/>
    <cellStyle name="Note 2 3 2 3 7 3" xfId="33412" xr:uid="{00000000-0005-0000-0000-0000BB4F0000}"/>
    <cellStyle name="Note 2 3 2 3 8" xfId="6270" xr:uid="{00000000-0005-0000-0000-0000BC4F0000}"/>
    <cellStyle name="Note 2 3 2 3 8 2" xfId="25242" xr:uid="{00000000-0005-0000-0000-0000BD4F0000}"/>
    <cellStyle name="Note 2 3 2 3 8 3" xfId="36087" xr:uid="{00000000-0005-0000-0000-0000BE4F0000}"/>
    <cellStyle name="Note 2 3 2 3 9" xfId="8929" xr:uid="{00000000-0005-0000-0000-0000BF4F0000}"/>
    <cellStyle name="Note 2 3 2 3 9 2" xfId="27901" xr:uid="{00000000-0005-0000-0000-0000C04F0000}"/>
    <cellStyle name="Note 2 3 2 3 9 3" xfId="38746" xr:uid="{00000000-0005-0000-0000-0000C14F0000}"/>
    <cellStyle name="Note 2 3 2 4" xfId="800" xr:uid="{00000000-0005-0000-0000-0000C24F0000}"/>
    <cellStyle name="Note 2 3 2 4 10" xfId="19785" xr:uid="{00000000-0005-0000-0000-0000C34F0000}"/>
    <cellStyle name="Note 2 3 2 4 11" xfId="30630" xr:uid="{00000000-0005-0000-0000-0000C44F0000}"/>
    <cellStyle name="Note 2 3 2 4 2" xfId="1387" xr:uid="{00000000-0005-0000-0000-0000C54F0000}"/>
    <cellStyle name="Note 2 3 2 4 2 2" xfId="4240" xr:uid="{00000000-0005-0000-0000-0000C64F0000}"/>
    <cellStyle name="Note 2 3 2 4 2 2 2" xfId="23212" xr:uid="{00000000-0005-0000-0000-0000C74F0000}"/>
    <cellStyle name="Note 2 3 2 4 2 2 3" xfId="34057" xr:uid="{00000000-0005-0000-0000-0000C84F0000}"/>
    <cellStyle name="Note 2 3 2 4 2 3" xfId="6913" xr:uid="{00000000-0005-0000-0000-0000C94F0000}"/>
    <cellStyle name="Note 2 3 2 4 2 3 2" xfId="25885" xr:uid="{00000000-0005-0000-0000-0000CA4F0000}"/>
    <cellStyle name="Note 2 3 2 4 2 3 3" xfId="36730" xr:uid="{00000000-0005-0000-0000-0000CB4F0000}"/>
    <cellStyle name="Note 2 3 2 4 2 4" xfId="9572" xr:uid="{00000000-0005-0000-0000-0000CC4F0000}"/>
    <cellStyle name="Note 2 3 2 4 2 4 2" xfId="28544" xr:uid="{00000000-0005-0000-0000-0000CD4F0000}"/>
    <cellStyle name="Note 2 3 2 4 2 4 3" xfId="39389" xr:uid="{00000000-0005-0000-0000-0000CE4F0000}"/>
    <cellStyle name="Note 2 3 2 4 2 5" xfId="20368" xr:uid="{00000000-0005-0000-0000-0000CF4F0000}"/>
    <cellStyle name="Note 2 3 2 4 2 6" xfId="31213" xr:uid="{00000000-0005-0000-0000-0000D04F0000}"/>
    <cellStyle name="Note 2 3 2 4 3" xfId="1786" xr:uid="{00000000-0005-0000-0000-0000D14F0000}"/>
    <cellStyle name="Note 2 3 2 4 3 2" xfId="4639" xr:uid="{00000000-0005-0000-0000-0000D24F0000}"/>
    <cellStyle name="Note 2 3 2 4 3 2 2" xfId="23611" xr:uid="{00000000-0005-0000-0000-0000D34F0000}"/>
    <cellStyle name="Note 2 3 2 4 3 2 3" xfId="34456" xr:uid="{00000000-0005-0000-0000-0000D44F0000}"/>
    <cellStyle name="Note 2 3 2 4 3 3" xfId="7311" xr:uid="{00000000-0005-0000-0000-0000D54F0000}"/>
    <cellStyle name="Note 2 3 2 4 3 3 2" xfId="26283" xr:uid="{00000000-0005-0000-0000-0000D64F0000}"/>
    <cellStyle name="Note 2 3 2 4 3 3 3" xfId="37128" xr:uid="{00000000-0005-0000-0000-0000D74F0000}"/>
    <cellStyle name="Note 2 3 2 4 3 4" xfId="9970" xr:uid="{00000000-0005-0000-0000-0000D84F0000}"/>
    <cellStyle name="Note 2 3 2 4 3 4 2" xfId="28942" xr:uid="{00000000-0005-0000-0000-0000D94F0000}"/>
    <cellStyle name="Note 2 3 2 4 3 4 3" xfId="39787" xr:uid="{00000000-0005-0000-0000-0000DA4F0000}"/>
    <cellStyle name="Note 2 3 2 4 3 5" xfId="20766" xr:uid="{00000000-0005-0000-0000-0000DB4F0000}"/>
    <cellStyle name="Note 2 3 2 4 3 6" xfId="31611" xr:uid="{00000000-0005-0000-0000-0000DC4F0000}"/>
    <cellStyle name="Note 2 3 2 4 4" xfId="2190" xr:uid="{00000000-0005-0000-0000-0000DD4F0000}"/>
    <cellStyle name="Note 2 3 2 4 4 2" xfId="5043" xr:uid="{00000000-0005-0000-0000-0000DE4F0000}"/>
    <cellStyle name="Note 2 3 2 4 4 2 2" xfId="24015" xr:uid="{00000000-0005-0000-0000-0000DF4F0000}"/>
    <cellStyle name="Note 2 3 2 4 4 2 3" xfId="34860" xr:uid="{00000000-0005-0000-0000-0000E04F0000}"/>
    <cellStyle name="Note 2 3 2 4 4 3" xfId="7714" xr:uid="{00000000-0005-0000-0000-0000E14F0000}"/>
    <cellStyle name="Note 2 3 2 4 4 3 2" xfId="26686" xr:uid="{00000000-0005-0000-0000-0000E24F0000}"/>
    <cellStyle name="Note 2 3 2 4 4 3 3" xfId="37531" xr:uid="{00000000-0005-0000-0000-0000E34F0000}"/>
    <cellStyle name="Note 2 3 2 4 4 4" xfId="10373" xr:uid="{00000000-0005-0000-0000-0000E44F0000}"/>
    <cellStyle name="Note 2 3 2 4 4 4 2" xfId="29345" xr:uid="{00000000-0005-0000-0000-0000E54F0000}"/>
    <cellStyle name="Note 2 3 2 4 4 4 3" xfId="40190" xr:uid="{00000000-0005-0000-0000-0000E64F0000}"/>
    <cellStyle name="Note 2 3 2 4 4 5" xfId="21169" xr:uid="{00000000-0005-0000-0000-0000E74F0000}"/>
    <cellStyle name="Note 2 3 2 4 4 6" xfId="32014" xr:uid="{00000000-0005-0000-0000-0000E84F0000}"/>
    <cellStyle name="Note 2 3 2 4 5" xfId="2580" xr:uid="{00000000-0005-0000-0000-0000E94F0000}"/>
    <cellStyle name="Note 2 3 2 4 5 2" xfId="5432" xr:uid="{00000000-0005-0000-0000-0000EA4F0000}"/>
    <cellStyle name="Note 2 3 2 4 5 2 2" xfId="24404" xr:uid="{00000000-0005-0000-0000-0000EB4F0000}"/>
    <cellStyle name="Note 2 3 2 4 5 2 3" xfId="35249" xr:uid="{00000000-0005-0000-0000-0000EC4F0000}"/>
    <cellStyle name="Note 2 3 2 4 5 3" xfId="8103" xr:uid="{00000000-0005-0000-0000-0000ED4F0000}"/>
    <cellStyle name="Note 2 3 2 4 5 3 2" xfId="27075" xr:uid="{00000000-0005-0000-0000-0000EE4F0000}"/>
    <cellStyle name="Note 2 3 2 4 5 3 3" xfId="37920" xr:uid="{00000000-0005-0000-0000-0000EF4F0000}"/>
    <cellStyle name="Note 2 3 2 4 5 4" xfId="10762" xr:uid="{00000000-0005-0000-0000-0000F04F0000}"/>
    <cellStyle name="Note 2 3 2 4 5 4 2" xfId="29734" xr:uid="{00000000-0005-0000-0000-0000F14F0000}"/>
    <cellStyle name="Note 2 3 2 4 5 4 3" xfId="40579" xr:uid="{00000000-0005-0000-0000-0000F24F0000}"/>
    <cellStyle name="Note 2 3 2 4 5 5" xfId="21558" xr:uid="{00000000-0005-0000-0000-0000F34F0000}"/>
    <cellStyle name="Note 2 3 2 4 5 6" xfId="32403" xr:uid="{00000000-0005-0000-0000-0000F44F0000}"/>
    <cellStyle name="Note 2 3 2 4 6" xfId="2966" xr:uid="{00000000-0005-0000-0000-0000F54F0000}"/>
    <cellStyle name="Note 2 3 2 4 6 2" xfId="5817" xr:uid="{00000000-0005-0000-0000-0000F64F0000}"/>
    <cellStyle name="Note 2 3 2 4 6 2 2" xfId="24789" xr:uid="{00000000-0005-0000-0000-0000F74F0000}"/>
    <cellStyle name="Note 2 3 2 4 6 2 3" xfId="35634" xr:uid="{00000000-0005-0000-0000-0000F84F0000}"/>
    <cellStyle name="Note 2 3 2 4 6 3" xfId="8488" xr:uid="{00000000-0005-0000-0000-0000F94F0000}"/>
    <cellStyle name="Note 2 3 2 4 6 3 2" xfId="27460" xr:uid="{00000000-0005-0000-0000-0000FA4F0000}"/>
    <cellStyle name="Note 2 3 2 4 6 3 3" xfId="38305" xr:uid="{00000000-0005-0000-0000-0000FB4F0000}"/>
    <cellStyle name="Note 2 3 2 4 6 4" xfId="11147" xr:uid="{00000000-0005-0000-0000-0000FC4F0000}"/>
    <cellStyle name="Note 2 3 2 4 6 4 2" xfId="30119" xr:uid="{00000000-0005-0000-0000-0000FD4F0000}"/>
    <cellStyle name="Note 2 3 2 4 6 4 3" xfId="40964" xr:uid="{00000000-0005-0000-0000-0000FE4F0000}"/>
    <cellStyle name="Note 2 3 2 4 6 5" xfId="21943" xr:uid="{00000000-0005-0000-0000-0000FF4F0000}"/>
    <cellStyle name="Note 2 3 2 4 6 6" xfId="32788" xr:uid="{00000000-0005-0000-0000-000000500000}"/>
    <cellStyle name="Note 2 3 2 4 7" xfId="3655" xr:uid="{00000000-0005-0000-0000-000001500000}"/>
    <cellStyle name="Note 2 3 2 4 7 2" xfId="22627" xr:uid="{00000000-0005-0000-0000-000002500000}"/>
    <cellStyle name="Note 2 3 2 4 7 3" xfId="33472" xr:uid="{00000000-0005-0000-0000-000003500000}"/>
    <cellStyle name="Note 2 3 2 4 8" xfId="6330" xr:uid="{00000000-0005-0000-0000-000004500000}"/>
    <cellStyle name="Note 2 3 2 4 8 2" xfId="25302" xr:uid="{00000000-0005-0000-0000-000005500000}"/>
    <cellStyle name="Note 2 3 2 4 8 3" xfId="36147" xr:uid="{00000000-0005-0000-0000-000006500000}"/>
    <cellStyle name="Note 2 3 2 4 9" xfId="8989" xr:uid="{00000000-0005-0000-0000-000007500000}"/>
    <cellStyle name="Note 2 3 2 4 9 2" xfId="27961" xr:uid="{00000000-0005-0000-0000-000008500000}"/>
    <cellStyle name="Note 2 3 2 4 9 3" xfId="38806" xr:uid="{00000000-0005-0000-0000-000009500000}"/>
    <cellStyle name="Note 2 3 2 5" xfId="859" xr:uid="{00000000-0005-0000-0000-00000A500000}"/>
    <cellStyle name="Note 2 3 2 5 10" xfId="19844" xr:uid="{00000000-0005-0000-0000-00000B500000}"/>
    <cellStyle name="Note 2 3 2 5 11" xfId="30689" xr:uid="{00000000-0005-0000-0000-00000C500000}"/>
    <cellStyle name="Note 2 3 2 5 2" xfId="1446" xr:uid="{00000000-0005-0000-0000-00000D500000}"/>
    <cellStyle name="Note 2 3 2 5 2 2" xfId="4299" xr:uid="{00000000-0005-0000-0000-00000E500000}"/>
    <cellStyle name="Note 2 3 2 5 2 2 2" xfId="23271" xr:uid="{00000000-0005-0000-0000-00000F500000}"/>
    <cellStyle name="Note 2 3 2 5 2 2 3" xfId="34116" xr:uid="{00000000-0005-0000-0000-000010500000}"/>
    <cellStyle name="Note 2 3 2 5 2 3" xfId="6972" xr:uid="{00000000-0005-0000-0000-000011500000}"/>
    <cellStyle name="Note 2 3 2 5 2 3 2" xfId="25944" xr:uid="{00000000-0005-0000-0000-000012500000}"/>
    <cellStyle name="Note 2 3 2 5 2 3 3" xfId="36789" xr:uid="{00000000-0005-0000-0000-000013500000}"/>
    <cellStyle name="Note 2 3 2 5 2 4" xfId="9631" xr:uid="{00000000-0005-0000-0000-000014500000}"/>
    <cellStyle name="Note 2 3 2 5 2 4 2" xfId="28603" xr:uid="{00000000-0005-0000-0000-000015500000}"/>
    <cellStyle name="Note 2 3 2 5 2 4 3" xfId="39448" xr:uid="{00000000-0005-0000-0000-000016500000}"/>
    <cellStyle name="Note 2 3 2 5 2 5" xfId="20427" xr:uid="{00000000-0005-0000-0000-000017500000}"/>
    <cellStyle name="Note 2 3 2 5 2 6" xfId="31272" xr:uid="{00000000-0005-0000-0000-000018500000}"/>
    <cellStyle name="Note 2 3 2 5 3" xfId="1845" xr:uid="{00000000-0005-0000-0000-000019500000}"/>
    <cellStyle name="Note 2 3 2 5 3 2" xfId="4698" xr:uid="{00000000-0005-0000-0000-00001A500000}"/>
    <cellStyle name="Note 2 3 2 5 3 2 2" xfId="23670" xr:uid="{00000000-0005-0000-0000-00001B500000}"/>
    <cellStyle name="Note 2 3 2 5 3 2 3" xfId="34515" xr:uid="{00000000-0005-0000-0000-00001C500000}"/>
    <cellStyle name="Note 2 3 2 5 3 3" xfId="7370" xr:uid="{00000000-0005-0000-0000-00001D500000}"/>
    <cellStyle name="Note 2 3 2 5 3 3 2" xfId="26342" xr:uid="{00000000-0005-0000-0000-00001E500000}"/>
    <cellStyle name="Note 2 3 2 5 3 3 3" xfId="37187" xr:uid="{00000000-0005-0000-0000-00001F500000}"/>
    <cellStyle name="Note 2 3 2 5 3 4" xfId="10029" xr:uid="{00000000-0005-0000-0000-000020500000}"/>
    <cellStyle name="Note 2 3 2 5 3 4 2" xfId="29001" xr:uid="{00000000-0005-0000-0000-000021500000}"/>
    <cellStyle name="Note 2 3 2 5 3 4 3" xfId="39846" xr:uid="{00000000-0005-0000-0000-000022500000}"/>
    <cellStyle name="Note 2 3 2 5 3 5" xfId="20825" xr:uid="{00000000-0005-0000-0000-000023500000}"/>
    <cellStyle name="Note 2 3 2 5 3 6" xfId="31670" xr:uid="{00000000-0005-0000-0000-000024500000}"/>
    <cellStyle name="Note 2 3 2 5 4" xfId="2249" xr:uid="{00000000-0005-0000-0000-000025500000}"/>
    <cellStyle name="Note 2 3 2 5 4 2" xfId="5102" xr:uid="{00000000-0005-0000-0000-000026500000}"/>
    <cellStyle name="Note 2 3 2 5 4 2 2" xfId="24074" xr:uid="{00000000-0005-0000-0000-000027500000}"/>
    <cellStyle name="Note 2 3 2 5 4 2 3" xfId="34919" xr:uid="{00000000-0005-0000-0000-000028500000}"/>
    <cellStyle name="Note 2 3 2 5 4 3" xfId="7773" xr:uid="{00000000-0005-0000-0000-000029500000}"/>
    <cellStyle name="Note 2 3 2 5 4 3 2" xfId="26745" xr:uid="{00000000-0005-0000-0000-00002A500000}"/>
    <cellStyle name="Note 2 3 2 5 4 3 3" xfId="37590" xr:uid="{00000000-0005-0000-0000-00002B500000}"/>
    <cellStyle name="Note 2 3 2 5 4 4" xfId="10432" xr:uid="{00000000-0005-0000-0000-00002C500000}"/>
    <cellStyle name="Note 2 3 2 5 4 4 2" xfId="29404" xr:uid="{00000000-0005-0000-0000-00002D500000}"/>
    <cellStyle name="Note 2 3 2 5 4 4 3" xfId="40249" xr:uid="{00000000-0005-0000-0000-00002E500000}"/>
    <cellStyle name="Note 2 3 2 5 4 5" xfId="21228" xr:uid="{00000000-0005-0000-0000-00002F500000}"/>
    <cellStyle name="Note 2 3 2 5 4 6" xfId="32073" xr:uid="{00000000-0005-0000-0000-000030500000}"/>
    <cellStyle name="Note 2 3 2 5 5" xfId="2639" xr:uid="{00000000-0005-0000-0000-000031500000}"/>
    <cellStyle name="Note 2 3 2 5 5 2" xfId="5491" xr:uid="{00000000-0005-0000-0000-000032500000}"/>
    <cellStyle name="Note 2 3 2 5 5 2 2" xfId="24463" xr:uid="{00000000-0005-0000-0000-000033500000}"/>
    <cellStyle name="Note 2 3 2 5 5 2 3" xfId="35308" xr:uid="{00000000-0005-0000-0000-000034500000}"/>
    <cellStyle name="Note 2 3 2 5 5 3" xfId="8162" xr:uid="{00000000-0005-0000-0000-000035500000}"/>
    <cellStyle name="Note 2 3 2 5 5 3 2" xfId="27134" xr:uid="{00000000-0005-0000-0000-000036500000}"/>
    <cellStyle name="Note 2 3 2 5 5 3 3" xfId="37979" xr:uid="{00000000-0005-0000-0000-000037500000}"/>
    <cellStyle name="Note 2 3 2 5 5 4" xfId="10821" xr:uid="{00000000-0005-0000-0000-000038500000}"/>
    <cellStyle name="Note 2 3 2 5 5 4 2" xfId="29793" xr:uid="{00000000-0005-0000-0000-000039500000}"/>
    <cellStyle name="Note 2 3 2 5 5 4 3" xfId="40638" xr:uid="{00000000-0005-0000-0000-00003A500000}"/>
    <cellStyle name="Note 2 3 2 5 5 5" xfId="21617" xr:uid="{00000000-0005-0000-0000-00003B500000}"/>
    <cellStyle name="Note 2 3 2 5 5 6" xfId="32462" xr:uid="{00000000-0005-0000-0000-00003C500000}"/>
    <cellStyle name="Note 2 3 2 5 6" xfId="3025" xr:uid="{00000000-0005-0000-0000-00003D500000}"/>
    <cellStyle name="Note 2 3 2 5 6 2" xfId="5876" xr:uid="{00000000-0005-0000-0000-00003E500000}"/>
    <cellStyle name="Note 2 3 2 5 6 2 2" xfId="24848" xr:uid="{00000000-0005-0000-0000-00003F500000}"/>
    <cellStyle name="Note 2 3 2 5 6 2 3" xfId="35693" xr:uid="{00000000-0005-0000-0000-000040500000}"/>
    <cellStyle name="Note 2 3 2 5 6 3" xfId="8547" xr:uid="{00000000-0005-0000-0000-000041500000}"/>
    <cellStyle name="Note 2 3 2 5 6 3 2" xfId="27519" xr:uid="{00000000-0005-0000-0000-000042500000}"/>
    <cellStyle name="Note 2 3 2 5 6 3 3" xfId="38364" xr:uid="{00000000-0005-0000-0000-000043500000}"/>
    <cellStyle name="Note 2 3 2 5 6 4" xfId="11206" xr:uid="{00000000-0005-0000-0000-000044500000}"/>
    <cellStyle name="Note 2 3 2 5 6 4 2" xfId="30178" xr:uid="{00000000-0005-0000-0000-000045500000}"/>
    <cellStyle name="Note 2 3 2 5 6 4 3" xfId="41023" xr:uid="{00000000-0005-0000-0000-000046500000}"/>
    <cellStyle name="Note 2 3 2 5 6 5" xfId="22002" xr:uid="{00000000-0005-0000-0000-000047500000}"/>
    <cellStyle name="Note 2 3 2 5 6 6" xfId="32847" xr:uid="{00000000-0005-0000-0000-000048500000}"/>
    <cellStyle name="Note 2 3 2 5 7" xfId="3714" xr:uid="{00000000-0005-0000-0000-000049500000}"/>
    <cellStyle name="Note 2 3 2 5 7 2" xfId="22686" xr:uid="{00000000-0005-0000-0000-00004A500000}"/>
    <cellStyle name="Note 2 3 2 5 7 3" xfId="33531" xr:uid="{00000000-0005-0000-0000-00004B500000}"/>
    <cellStyle name="Note 2 3 2 5 8" xfId="6389" xr:uid="{00000000-0005-0000-0000-00004C500000}"/>
    <cellStyle name="Note 2 3 2 5 8 2" xfId="25361" xr:uid="{00000000-0005-0000-0000-00004D500000}"/>
    <cellStyle name="Note 2 3 2 5 8 3" xfId="36206" xr:uid="{00000000-0005-0000-0000-00004E500000}"/>
    <cellStyle name="Note 2 3 2 5 9" xfId="9048" xr:uid="{00000000-0005-0000-0000-00004F500000}"/>
    <cellStyle name="Note 2 3 2 5 9 2" xfId="28020" xr:uid="{00000000-0005-0000-0000-000050500000}"/>
    <cellStyle name="Note 2 3 2 5 9 3" xfId="38865" xr:uid="{00000000-0005-0000-0000-000051500000}"/>
    <cellStyle name="Note 2 3 2 6" xfId="1081" xr:uid="{00000000-0005-0000-0000-000052500000}"/>
    <cellStyle name="Note 2 3 2 6 2" xfId="3934" xr:uid="{00000000-0005-0000-0000-000053500000}"/>
    <cellStyle name="Note 2 3 2 6 2 2" xfId="22906" xr:uid="{00000000-0005-0000-0000-000054500000}"/>
    <cellStyle name="Note 2 3 2 6 2 3" xfId="33751" xr:uid="{00000000-0005-0000-0000-000055500000}"/>
    <cellStyle name="Note 2 3 2 6 3" xfId="6608" xr:uid="{00000000-0005-0000-0000-000056500000}"/>
    <cellStyle name="Note 2 3 2 6 3 2" xfId="25580" xr:uid="{00000000-0005-0000-0000-000057500000}"/>
    <cellStyle name="Note 2 3 2 6 3 3" xfId="36425" xr:uid="{00000000-0005-0000-0000-000058500000}"/>
    <cellStyle name="Note 2 3 2 6 4" xfId="9267" xr:uid="{00000000-0005-0000-0000-000059500000}"/>
    <cellStyle name="Note 2 3 2 6 4 2" xfId="28239" xr:uid="{00000000-0005-0000-0000-00005A500000}"/>
    <cellStyle name="Note 2 3 2 6 4 3" xfId="39084" xr:uid="{00000000-0005-0000-0000-00005B500000}"/>
    <cellStyle name="Note 2 3 2 6 5" xfId="20063" xr:uid="{00000000-0005-0000-0000-00005C500000}"/>
    <cellStyle name="Note 2 3 2 6 6" xfId="30908" xr:uid="{00000000-0005-0000-0000-00005D500000}"/>
    <cellStyle name="Note 2 3 2 7" xfId="909" xr:uid="{00000000-0005-0000-0000-00005E500000}"/>
    <cellStyle name="Note 2 3 2 7 2" xfId="3764" xr:uid="{00000000-0005-0000-0000-00005F500000}"/>
    <cellStyle name="Note 2 3 2 7 2 2" xfId="22736" xr:uid="{00000000-0005-0000-0000-000060500000}"/>
    <cellStyle name="Note 2 3 2 7 2 3" xfId="33581" xr:uid="{00000000-0005-0000-0000-000061500000}"/>
    <cellStyle name="Note 2 3 2 7 3" xfId="6439" xr:uid="{00000000-0005-0000-0000-000062500000}"/>
    <cellStyle name="Note 2 3 2 7 3 2" xfId="25411" xr:uid="{00000000-0005-0000-0000-000063500000}"/>
    <cellStyle name="Note 2 3 2 7 3 3" xfId="36256" xr:uid="{00000000-0005-0000-0000-000064500000}"/>
    <cellStyle name="Note 2 3 2 7 4" xfId="9098" xr:uid="{00000000-0005-0000-0000-000065500000}"/>
    <cellStyle name="Note 2 3 2 7 4 2" xfId="28070" xr:uid="{00000000-0005-0000-0000-000066500000}"/>
    <cellStyle name="Note 2 3 2 7 4 3" xfId="38915" xr:uid="{00000000-0005-0000-0000-000067500000}"/>
    <cellStyle name="Note 2 3 2 7 5" xfId="19894" xr:uid="{00000000-0005-0000-0000-000068500000}"/>
    <cellStyle name="Note 2 3 2 7 6" xfId="30739" xr:uid="{00000000-0005-0000-0000-000069500000}"/>
    <cellStyle name="Note 2 3 2 8" xfId="1008" xr:uid="{00000000-0005-0000-0000-00006A500000}"/>
    <cellStyle name="Note 2 3 2 8 2" xfId="3861" xr:uid="{00000000-0005-0000-0000-00006B500000}"/>
    <cellStyle name="Note 2 3 2 8 2 2" xfId="22833" xr:uid="{00000000-0005-0000-0000-00006C500000}"/>
    <cellStyle name="Note 2 3 2 8 2 3" xfId="33678" xr:uid="{00000000-0005-0000-0000-00006D500000}"/>
    <cellStyle name="Note 2 3 2 8 3" xfId="6535" xr:uid="{00000000-0005-0000-0000-00006E500000}"/>
    <cellStyle name="Note 2 3 2 8 3 2" xfId="25507" xr:uid="{00000000-0005-0000-0000-00006F500000}"/>
    <cellStyle name="Note 2 3 2 8 3 3" xfId="36352" xr:uid="{00000000-0005-0000-0000-000070500000}"/>
    <cellStyle name="Note 2 3 2 8 4" xfId="9194" xr:uid="{00000000-0005-0000-0000-000071500000}"/>
    <cellStyle name="Note 2 3 2 8 4 2" xfId="28166" xr:uid="{00000000-0005-0000-0000-000072500000}"/>
    <cellStyle name="Note 2 3 2 8 4 3" xfId="39011" xr:uid="{00000000-0005-0000-0000-000073500000}"/>
    <cellStyle name="Note 2 3 2 8 5" xfId="19990" xr:uid="{00000000-0005-0000-0000-000074500000}"/>
    <cellStyle name="Note 2 3 2 8 6" xfId="30835" xr:uid="{00000000-0005-0000-0000-000075500000}"/>
    <cellStyle name="Note 2 3 2 9" xfId="1010" xr:uid="{00000000-0005-0000-0000-000076500000}"/>
    <cellStyle name="Note 2 3 2 9 2" xfId="3863" xr:uid="{00000000-0005-0000-0000-000077500000}"/>
    <cellStyle name="Note 2 3 2 9 2 2" xfId="22835" xr:uid="{00000000-0005-0000-0000-000078500000}"/>
    <cellStyle name="Note 2 3 2 9 2 3" xfId="33680" xr:uid="{00000000-0005-0000-0000-000079500000}"/>
    <cellStyle name="Note 2 3 2 9 3" xfId="6537" xr:uid="{00000000-0005-0000-0000-00007A500000}"/>
    <cellStyle name="Note 2 3 2 9 3 2" xfId="25509" xr:uid="{00000000-0005-0000-0000-00007B500000}"/>
    <cellStyle name="Note 2 3 2 9 3 3" xfId="36354" xr:uid="{00000000-0005-0000-0000-00007C500000}"/>
    <cellStyle name="Note 2 3 2 9 4" xfId="9196" xr:uid="{00000000-0005-0000-0000-00007D500000}"/>
    <cellStyle name="Note 2 3 2 9 4 2" xfId="28168" xr:uid="{00000000-0005-0000-0000-00007E500000}"/>
    <cellStyle name="Note 2 3 2 9 4 3" xfId="39013" xr:uid="{00000000-0005-0000-0000-00007F500000}"/>
    <cellStyle name="Note 2 3 2 9 5" xfId="19992" xr:uid="{00000000-0005-0000-0000-000080500000}"/>
    <cellStyle name="Note 2 3 2 9 6" xfId="30837" xr:uid="{00000000-0005-0000-0000-000081500000}"/>
    <cellStyle name="Note 2 3 3" xfId="563" xr:uid="{00000000-0005-0000-0000-000082500000}"/>
    <cellStyle name="Note 2 3 3 10" xfId="19573" xr:uid="{00000000-0005-0000-0000-000083500000}"/>
    <cellStyle name="Note 2 3 3 11" xfId="30418" xr:uid="{00000000-0005-0000-0000-000084500000}"/>
    <cellStyle name="Note 2 3 3 2" xfId="1169" xr:uid="{00000000-0005-0000-0000-000085500000}"/>
    <cellStyle name="Note 2 3 3 2 2" xfId="4022" xr:uid="{00000000-0005-0000-0000-000086500000}"/>
    <cellStyle name="Note 2 3 3 2 2 2" xfId="22994" xr:uid="{00000000-0005-0000-0000-000087500000}"/>
    <cellStyle name="Note 2 3 3 2 2 3" xfId="33839" xr:uid="{00000000-0005-0000-0000-000088500000}"/>
    <cellStyle name="Note 2 3 3 2 3" xfId="6695" xr:uid="{00000000-0005-0000-0000-000089500000}"/>
    <cellStyle name="Note 2 3 3 2 3 2" xfId="25667" xr:uid="{00000000-0005-0000-0000-00008A500000}"/>
    <cellStyle name="Note 2 3 3 2 3 3" xfId="36512" xr:uid="{00000000-0005-0000-0000-00008B500000}"/>
    <cellStyle name="Note 2 3 3 2 4" xfId="9354" xr:uid="{00000000-0005-0000-0000-00008C500000}"/>
    <cellStyle name="Note 2 3 3 2 4 2" xfId="28326" xr:uid="{00000000-0005-0000-0000-00008D500000}"/>
    <cellStyle name="Note 2 3 3 2 4 3" xfId="39171" xr:uid="{00000000-0005-0000-0000-00008E500000}"/>
    <cellStyle name="Note 2 3 3 2 5" xfId="20150" xr:uid="{00000000-0005-0000-0000-00008F500000}"/>
    <cellStyle name="Note 2 3 3 2 6" xfId="30995" xr:uid="{00000000-0005-0000-0000-000090500000}"/>
    <cellStyle name="Note 2 3 3 3" xfId="1566" xr:uid="{00000000-0005-0000-0000-000091500000}"/>
    <cellStyle name="Note 2 3 3 3 2" xfId="4419" xr:uid="{00000000-0005-0000-0000-000092500000}"/>
    <cellStyle name="Note 2 3 3 3 2 2" xfId="23391" xr:uid="{00000000-0005-0000-0000-000093500000}"/>
    <cellStyle name="Note 2 3 3 3 2 3" xfId="34236" xr:uid="{00000000-0005-0000-0000-000094500000}"/>
    <cellStyle name="Note 2 3 3 3 3" xfId="7091" xr:uid="{00000000-0005-0000-0000-000095500000}"/>
    <cellStyle name="Note 2 3 3 3 3 2" xfId="26063" xr:uid="{00000000-0005-0000-0000-000096500000}"/>
    <cellStyle name="Note 2 3 3 3 3 3" xfId="36908" xr:uid="{00000000-0005-0000-0000-000097500000}"/>
    <cellStyle name="Note 2 3 3 3 4" xfId="9750" xr:uid="{00000000-0005-0000-0000-000098500000}"/>
    <cellStyle name="Note 2 3 3 3 4 2" xfId="28722" xr:uid="{00000000-0005-0000-0000-000099500000}"/>
    <cellStyle name="Note 2 3 3 3 4 3" xfId="39567" xr:uid="{00000000-0005-0000-0000-00009A500000}"/>
    <cellStyle name="Note 2 3 3 3 5" xfId="20546" xr:uid="{00000000-0005-0000-0000-00009B500000}"/>
    <cellStyle name="Note 2 3 3 3 6" xfId="31391" xr:uid="{00000000-0005-0000-0000-00009C500000}"/>
    <cellStyle name="Note 2 3 3 4" xfId="1970" xr:uid="{00000000-0005-0000-0000-00009D500000}"/>
    <cellStyle name="Note 2 3 3 4 2" xfId="4823" xr:uid="{00000000-0005-0000-0000-00009E500000}"/>
    <cellStyle name="Note 2 3 3 4 2 2" xfId="23795" xr:uid="{00000000-0005-0000-0000-00009F500000}"/>
    <cellStyle name="Note 2 3 3 4 2 3" xfId="34640" xr:uid="{00000000-0005-0000-0000-0000A0500000}"/>
    <cellStyle name="Note 2 3 3 4 3" xfId="7495" xr:uid="{00000000-0005-0000-0000-0000A1500000}"/>
    <cellStyle name="Note 2 3 3 4 3 2" xfId="26467" xr:uid="{00000000-0005-0000-0000-0000A2500000}"/>
    <cellStyle name="Note 2 3 3 4 3 3" xfId="37312" xr:uid="{00000000-0005-0000-0000-0000A3500000}"/>
    <cellStyle name="Note 2 3 3 4 4" xfId="10154" xr:uid="{00000000-0005-0000-0000-0000A4500000}"/>
    <cellStyle name="Note 2 3 3 4 4 2" xfId="29126" xr:uid="{00000000-0005-0000-0000-0000A5500000}"/>
    <cellStyle name="Note 2 3 3 4 4 3" xfId="39971" xr:uid="{00000000-0005-0000-0000-0000A6500000}"/>
    <cellStyle name="Note 2 3 3 4 5" xfId="20950" xr:uid="{00000000-0005-0000-0000-0000A7500000}"/>
    <cellStyle name="Note 2 3 3 4 6" xfId="31795" xr:uid="{00000000-0005-0000-0000-0000A8500000}"/>
    <cellStyle name="Note 2 3 3 5" xfId="2362" xr:uid="{00000000-0005-0000-0000-0000A9500000}"/>
    <cellStyle name="Note 2 3 3 5 2" xfId="5215" xr:uid="{00000000-0005-0000-0000-0000AA500000}"/>
    <cellStyle name="Note 2 3 3 5 2 2" xfId="24187" xr:uid="{00000000-0005-0000-0000-0000AB500000}"/>
    <cellStyle name="Note 2 3 3 5 2 3" xfId="35032" xr:uid="{00000000-0005-0000-0000-0000AC500000}"/>
    <cellStyle name="Note 2 3 3 5 3" xfId="7886" xr:uid="{00000000-0005-0000-0000-0000AD500000}"/>
    <cellStyle name="Note 2 3 3 5 3 2" xfId="26858" xr:uid="{00000000-0005-0000-0000-0000AE500000}"/>
    <cellStyle name="Note 2 3 3 5 3 3" xfId="37703" xr:uid="{00000000-0005-0000-0000-0000AF500000}"/>
    <cellStyle name="Note 2 3 3 5 4" xfId="10545" xr:uid="{00000000-0005-0000-0000-0000B0500000}"/>
    <cellStyle name="Note 2 3 3 5 4 2" xfId="29517" xr:uid="{00000000-0005-0000-0000-0000B1500000}"/>
    <cellStyle name="Note 2 3 3 5 4 3" xfId="40362" xr:uid="{00000000-0005-0000-0000-0000B2500000}"/>
    <cellStyle name="Note 2 3 3 5 5" xfId="21341" xr:uid="{00000000-0005-0000-0000-0000B3500000}"/>
    <cellStyle name="Note 2 3 3 5 6" xfId="32186" xr:uid="{00000000-0005-0000-0000-0000B4500000}"/>
    <cellStyle name="Note 2 3 3 6" xfId="2751" xr:uid="{00000000-0005-0000-0000-0000B5500000}"/>
    <cellStyle name="Note 2 3 3 6 2" xfId="5603" xr:uid="{00000000-0005-0000-0000-0000B6500000}"/>
    <cellStyle name="Note 2 3 3 6 2 2" xfId="24575" xr:uid="{00000000-0005-0000-0000-0000B7500000}"/>
    <cellStyle name="Note 2 3 3 6 2 3" xfId="35420" xr:uid="{00000000-0005-0000-0000-0000B8500000}"/>
    <cellStyle name="Note 2 3 3 6 3" xfId="8274" xr:uid="{00000000-0005-0000-0000-0000B9500000}"/>
    <cellStyle name="Note 2 3 3 6 3 2" xfId="27246" xr:uid="{00000000-0005-0000-0000-0000BA500000}"/>
    <cellStyle name="Note 2 3 3 6 3 3" xfId="38091" xr:uid="{00000000-0005-0000-0000-0000BB500000}"/>
    <cellStyle name="Note 2 3 3 6 4" xfId="10933" xr:uid="{00000000-0005-0000-0000-0000BC500000}"/>
    <cellStyle name="Note 2 3 3 6 4 2" xfId="29905" xr:uid="{00000000-0005-0000-0000-0000BD500000}"/>
    <cellStyle name="Note 2 3 3 6 4 3" xfId="40750" xr:uid="{00000000-0005-0000-0000-0000BE500000}"/>
    <cellStyle name="Note 2 3 3 6 5" xfId="21729" xr:uid="{00000000-0005-0000-0000-0000BF500000}"/>
    <cellStyle name="Note 2 3 3 6 6" xfId="32574" xr:uid="{00000000-0005-0000-0000-0000C0500000}"/>
    <cellStyle name="Note 2 3 3 7" xfId="3442" xr:uid="{00000000-0005-0000-0000-0000C1500000}"/>
    <cellStyle name="Note 2 3 3 7 2" xfId="22414" xr:uid="{00000000-0005-0000-0000-0000C2500000}"/>
    <cellStyle name="Note 2 3 3 7 3" xfId="33259" xr:uid="{00000000-0005-0000-0000-0000C3500000}"/>
    <cellStyle name="Note 2 3 3 8" xfId="6118" xr:uid="{00000000-0005-0000-0000-0000C4500000}"/>
    <cellStyle name="Note 2 3 3 8 2" xfId="25090" xr:uid="{00000000-0005-0000-0000-0000C5500000}"/>
    <cellStyle name="Note 2 3 3 8 3" xfId="35935" xr:uid="{00000000-0005-0000-0000-0000C6500000}"/>
    <cellStyle name="Note 2 3 3 9" xfId="8777" xr:uid="{00000000-0005-0000-0000-0000C7500000}"/>
    <cellStyle name="Note 2 3 3 9 2" xfId="27749" xr:uid="{00000000-0005-0000-0000-0000C8500000}"/>
    <cellStyle name="Note 2 3 3 9 3" xfId="38594" xr:uid="{00000000-0005-0000-0000-0000C9500000}"/>
    <cellStyle name="Note 2 3 4" xfId="41474" xr:uid="{00000000-0005-0000-0000-0000CA500000}"/>
    <cellStyle name="Note 2 4" xfId="129" xr:uid="{00000000-0005-0000-0000-0000CB500000}"/>
    <cellStyle name="Note 2 4 2" xfId="381" xr:uid="{00000000-0005-0000-0000-0000CC500000}"/>
    <cellStyle name="Note 2 4 2 10" xfId="994" xr:uid="{00000000-0005-0000-0000-0000CD500000}"/>
    <cellStyle name="Note 2 4 2 10 2" xfId="3847" xr:uid="{00000000-0005-0000-0000-0000CE500000}"/>
    <cellStyle name="Note 2 4 2 10 2 2" xfId="22819" xr:uid="{00000000-0005-0000-0000-0000CF500000}"/>
    <cellStyle name="Note 2 4 2 10 2 3" xfId="33664" xr:uid="{00000000-0005-0000-0000-0000D0500000}"/>
    <cellStyle name="Note 2 4 2 10 3" xfId="6522" xr:uid="{00000000-0005-0000-0000-0000D1500000}"/>
    <cellStyle name="Note 2 4 2 10 3 2" xfId="25494" xr:uid="{00000000-0005-0000-0000-0000D2500000}"/>
    <cellStyle name="Note 2 4 2 10 3 3" xfId="36339" xr:uid="{00000000-0005-0000-0000-0000D3500000}"/>
    <cellStyle name="Note 2 4 2 10 4" xfId="9181" xr:uid="{00000000-0005-0000-0000-0000D4500000}"/>
    <cellStyle name="Note 2 4 2 10 4 2" xfId="28153" xr:uid="{00000000-0005-0000-0000-0000D5500000}"/>
    <cellStyle name="Note 2 4 2 10 4 3" xfId="38998" xr:uid="{00000000-0005-0000-0000-0000D6500000}"/>
    <cellStyle name="Note 2 4 2 10 5" xfId="19977" xr:uid="{00000000-0005-0000-0000-0000D7500000}"/>
    <cellStyle name="Note 2 4 2 10 6" xfId="30822" xr:uid="{00000000-0005-0000-0000-0000D8500000}"/>
    <cellStyle name="Note 2 4 2 11" xfId="1020" xr:uid="{00000000-0005-0000-0000-0000D9500000}"/>
    <cellStyle name="Note 2 4 2 11 2" xfId="3873" xr:uid="{00000000-0005-0000-0000-0000DA500000}"/>
    <cellStyle name="Note 2 4 2 11 2 2" xfId="22845" xr:uid="{00000000-0005-0000-0000-0000DB500000}"/>
    <cellStyle name="Note 2 4 2 11 2 3" xfId="33690" xr:uid="{00000000-0005-0000-0000-0000DC500000}"/>
    <cellStyle name="Note 2 4 2 11 3" xfId="6547" xr:uid="{00000000-0005-0000-0000-0000DD500000}"/>
    <cellStyle name="Note 2 4 2 11 3 2" xfId="25519" xr:uid="{00000000-0005-0000-0000-0000DE500000}"/>
    <cellStyle name="Note 2 4 2 11 3 3" xfId="36364" xr:uid="{00000000-0005-0000-0000-0000DF500000}"/>
    <cellStyle name="Note 2 4 2 11 4" xfId="9206" xr:uid="{00000000-0005-0000-0000-0000E0500000}"/>
    <cellStyle name="Note 2 4 2 11 4 2" xfId="28178" xr:uid="{00000000-0005-0000-0000-0000E1500000}"/>
    <cellStyle name="Note 2 4 2 11 4 3" xfId="39023" xr:uid="{00000000-0005-0000-0000-0000E2500000}"/>
    <cellStyle name="Note 2 4 2 11 5" xfId="20002" xr:uid="{00000000-0005-0000-0000-0000E3500000}"/>
    <cellStyle name="Note 2 4 2 11 6" xfId="30847" xr:uid="{00000000-0005-0000-0000-0000E4500000}"/>
    <cellStyle name="Note 2 4 2 12" xfId="3116" xr:uid="{00000000-0005-0000-0000-0000E5500000}"/>
    <cellStyle name="Note 2 4 2 12 2" xfId="5967" xr:uid="{00000000-0005-0000-0000-0000E6500000}"/>
    <cellStyle name="Note 2 4 2 12 2 2" xfId="24939" xr:uid="{00000000-0005-0000-0000-0000E7500000}"/>
    <cellStyle name="Note 2 4 2 12 2 3" xfId="35784" xr:uid="{00000000-0005-0000-0000-0000E8500000}"/>
    <cellStyle name="Note 2 4 2 12 3" xfId="8638" xr:uid="{00000000-0005-0000-0000-0000E9500000}"/>
    <cellStyle name="Note 2 4 2 12 3 2" xfId="27610" xr:uid="{00000000-0005-0000-0000-0000EA500000}"/>
    <cellStyle name="Note 2 4 2 12 3 3" xfId="38455" xr:uid="{00000000-0005-0000-0000-0000EB500000}"/>
    <cellStyle name="Note 2 4 2 12 4" xfId="11297" xr:uid="{00000000-0005-0000-0000-0000EC500000}"/>
    <cellStyle name="Note 2 4 2 12 4 2" xfId="30269" xr:uid="{00000000-0005-0000-0000-0000ED500000}"/>
    <cellStyle name="Note 2 4 2 12 4 3" xfId="41114" xr:uid="{00000000-0005-0000-0000-0000EE500000}"/>
    <cellStyle name="Note 2 4 2 12 5" xfId="22093" xr:uid="{00000000-0005-0000-0000-0000EF500000}"/>
    <cellStyle name="Note 2 4 2 12 6" xfId="32938" xr:uid="{00000000-0005-0000-0000-0000F0500000}"/>
    <cellStyle name="Note 2 4 2 13" xfId="3173" xr:uid="{00000000-0005-0000-0000-0000F1500000}"/>
    <cellStyle name="Note 2 4 2 13 2" xfId="6024" xr:uid="{00000000-0005-0000-0000-0000F2500000}"/>
    <cellStyle name="Note 2 4 2 13 2 2" xfId="24996" xr:uid="{00000000-0005-0000-0000-0000F3500000}"/>
    <cellStyle name="Note 2 4 2 13 2 3" xfId="35841" xr:uid="{00000000-0005-0000-0000-0000F4500000}"/>
    <cellStyle name="Note 2 4 2 13 3" xfId="8695" xr:uid="{00000000-0005-0000-0000-0000F5500000}"/>
    <cellStyle name="Note 2 4 2 13 3 2" xfId="27667" xr:uid="{00000000-0005-0000-0000-0000F6500000}"/>
    <cellStyle name="Note 2 4 2 13 3 3" xfId="38512" xr:uid="{00000000-0005-0000-0000-0000F7500000}"/>
    <cellStyle name="Note 2 4 2 13 4" xfId="11354" xr:uid="{00000000-0005-0000-0000-0000F8500000}"/>
    <cellStyle name="Note 2 4 2 13 4 2" xfId="30326" xr:uid="{00000000-0005-0000-0000-0000F9500000}"/>
    <cellStyle name="Note 2 4 2 13 4 3" xfId="41171" xr:uid="{00000000-0005-0000-0000-0000FA500000}"/>
    <cellStyle name="Note 2 4 2 13 5" xfId="22150" xr:uid="{00000000-0005-0000-0000-0000FB500000}"/>
    <cellStyle name="Note 2 4 2 13 6" xfId="32995" xr:uid="{00000000-0005-0000-0000-0000FC500000}"/>
    <cellStyle name="Note 2 4 2 14" xfId="3339" xr:uid="{00000000-0005-0000-0000-0000FD500000}"/>
    <cellStyle name="Note 2 4 2 14 2" xfId="22313" xr:uid="{00000000-0005-0000-0000-0000FE500000}"/>
    <cellStyle name="Note 2 4 2 14 3" xfId="33158" xr:uid="{00000000-0005-0000-0000-0000FF500000}"/>
    <cellStyle name="Note 2 4 2 15" xfId="3394" xr:uid="{00000000-0005-0000-0000-000000510000}"/>
    <cellStyle name="Note 2 4 2 15 2" xfId="22366" xr:uid="{00000000-0005-0000-0000-000001510000}"/>
    <cellStyle name="Note 2 4 2 15 3" xfId="33211" xr:uid="{00000000-0005-0000-0000-000002510000}"/>
    <cellStyle name="Note 2 4 2 16" xfId="3366" xr:uid="{00000000-0005-0000-0000-000003510000}"/>
    <cellStyle name="Note 2 4 2 16 2" xfId="22340" xr:uid="{00000000-0005-0000-0000-000004510000}"/>
    <cellStyle name="Note 2 4 2 16 3" xfId="33185" xr:uid="{00000000-0005-0000-0000-000005510000}"/>
    <cellStyle name="Note 2 4 2 17" xfId="19470" xr:uid="{00000000-0005-0000-0000-000006510000}"/>
    <cellStyle name="Note 2 4 2 18" xfId="19433" xr:uid="{00000000-0005-0000-0000-000007510000}"/>
    <cellStyle name="Note 2 4 2 2" xfId="681" xr:uid="{00000000-0005-0000-0000-000008510000}"/>
    <cellStyle name="Note 2 4 2 2 10" xfId="19666" xr:uid="{00000000-0005-0000-0000-000009510000}"/>
    <cellStyle name="Note 2 4 2 2 11" xfId="30511" xr:uid="{00000000-0005-0000-0000-00000A510000}"/>
    <cellStyle name="Note 2 4 2 2 2" xfId="1268" xr:uid="{00000000-0005-0000-0000-00000B510000}"/>
    <cellStyle name="Note 2 4 2 2 2 2" xfId="4121" xr:uid="{00000000-0005-0000-0000-00000C510000}"/>
    <cellStyle name="Note 2 4 2 2 2 2 2" xfId="23093" xr:uid="{00000000-0005-0000-0000-00000D510000}"/>
    <cellStyle name="Note 2 4 2 2 2 2 3" xfId="33938" xr:uid="{00000000-0005-0000-0000-00000E510000}"/>
    <cellStyle name="Note 2 4 2 2 2 3" xfId="6794" xr:uid="{00000000-0005-0000-0000-00000F510000}"/>
    <cellStyle name="Note 2 4 2 2 2 3 2" xfId="25766" xr:uid="{00000000-0005-0000-0000-000010510000}"/>
    <cellStyle name="Note 2 4 2 2 2 3 3" xfId="36611" xr:uid="{00000000-0005-0000-0000-000011510000}"/>
    <cellStyle name="Note 2 4 2 2 2 4" xfId="9453" xr:uid="{00000000-0005-0000-0000-000012510000}"/>
    <cellStyle name="Note 2 4 2 2 2 4 2" xfId="28425" xr:uid="{00000000-0005-0000-0000-000013510000}"/>
    <cellStyle name="Note 2 4 2 2 2 4 3" xfId="39270" xr:uid="{00000000-0005-0000-0000-000014510000}"/>
    <cellStyle name="Note 2 4 2 2 2 5" xfId="20249" xr:uid="{00000000-0005-0000-0000-000015510000}"/>
    <cellStyle name="Note 2 4 2 2 2 6" xfId="31094" xr:uid="{00000000-0005-0000-0000-000016510000}"/>
    <cellStyle name="Note 2 4 2 2 3" xfId="1667" xr:uid="{00000000-0005-0000-0000-000017510000}"/>
    <cellStyle name="Note 2 4 2 2 3 2" xfId="4520" xr:uid="{00000000-0005-0000-0000-000018510000}"/>
    <cellStyle name="Note 2 4 2 2 3 2 2" xfId="23492" xr:uid="{00000000-0005-0000-0000-000019510000}"/>
    <cellStyle name="Note 2 4 2 2 3 2 3" xfId="34337" xr:uid="{00000000-0005-0000-0000-00001A510000}"/>
    <cellStyle name="Note 2 4 2 2 3 3" xfId="7192" xr:uid="{00000000-0005-0000-0000-00001B510000}"/>
    <cellStyle name="Note 2 4 2 2 3 3 2" xfId="26164" xr:uid="{00000000-0005-0000-0000-00001C510000}"/>
    <cellStyle name="Note 2 4 2 2 3 3 3" xfId="37009" xr:uid="{00000000-0005-0000-0000-00001D510000}"/>
    <cellStyle name="Note 2 4 2 2 3 4" xfId="9851" xr:uid="{00000000-0005-0000-0000-00001E510000}"/>
    <cellStyle name="Note 2 4 2 2 3 4 2" xfId="28823" xr:uid="{00000000-0005-0000-0000-00001F510000}"/>
    <cellStyle name="Note 2 4 2 2 3 4 3" xfId="39668" xr:uid="{00000000-0005-0000-0000-000020510000}"/>
    <cellStyle name="Note 2 4 2 2 3 5" xfId="20647" xr:uid="{00000000-0005-0000-0000-000021510000}"/>
    <cellStyle name="Note 2 4 2 2 3 6" xfId="31492" xr:uid="{00000000-0005-0000-0000-000022510000}"/>
    <cellStyle name="Note 2 4 2 2 4" xfId="2071" xr:uid="{00000000-0005-0000-0000-000023510000}"/>
    <cellStyle name="Note 2 4 2 2 4 2" xfId="4924" xr:uid="{00000000-0005-0000-0000-000024510000}"/>
    <cellStyle name="Note 2 4 2 2 4 2 2" xfId="23896" xr:uid="{00000000-0005-0000-0000-000025510000}"/>
    <cellStyle name="Note 2 4 2 2 4 2 3" xfId="34741" xr:uid="{00000000-0005-0000-0000-000026510000}"/>
    <cellStyle name="Note 2 4 2 2 4 3" xfId="7595" xr:uid="{00000000-0005-0000-0000-000027510000}"/>
    <cellStyle name="Note 2 4 2 2 4 3 2" xfId="26567" xr:uid="{00000000-0005-0000-0000-000028510000}"/>
    <cellStyle name="Note 2 4 2 2 4 3 3" xfId="37412" xr:uid="{00000000-0005-0000-0000-000029510000}"/>
    <cellStyle name="Note 2 4 2 2 4 4" xfId="10254" xr:uid="{00000000-0005-0000-0000-00002A510000}"/>
    <cellStyle name="Note 2 4 2 2 4 4 2" xfId="29226" xr:uid="{00000000-0005-0000-0000-00002B510000}"/>
    <cellStyle name="Note 2 4 2 2 4 4 3" xfId="40071" xr:uid="{00000000-0005-0000-0000-00002C510000}"/>
    <cellStyle name="Note 2 4 2 2 4 5" xfId="21050" xr:uid="{00000000-0005-0000-0000-00002D510000}"/>
    <cellStyle name="Note 2 4 2 2 4 6" xfId="31895" xr:uid="{00000000-0005-0000-0000-00002E510000}"/>
    <cellStyle name="Note 2 4 2 2 5" xfId="2461" xr:uid="{00000000-0005-0000-0000-00002F510000}"/>
    <cellStyle name="Note 2 4 2 2 5 2" xfId="5313" xr:uid="{00000000-0005-0000-0000-000030510000}"/>
    <cellStyle name="Note 2 4 2 2 5 2 2" xfId="24285" xr:uid="{00000000-0005-0000-0000-000031510000}"/>
    <cellStyle name="Note 2 4 2 2 5 2 3" xfId="35130" xr:uid="{00000000-0005-0000-0000-000032510000}"/>
    <cellStyle name="Note 2 4 2 2 5 3" xfId="7984" xr:uid="{00000000-0005-0000-0000-000033510000}"/>
    <cellStyle name="Note 2 4 2 2 5 3 2" xfId="26956" xr:uid="{00000000-0005-0000-0000-000034510000}"/>
    <cellStyle name="Note 2 4 2 2 5 3 3" xfId="37801" xr:uid="{00000000-0005-0000-0000-000035510000}"/>
    <cellStyle name="Note 2 4 2 2 5 4" xfId="10643" xr:uid="{00000000-0005-0000-0000-000036510000}"/>
    <cellStyle name="Note 2 4 2 2 5 4 2" xfId="29615" xr:uid="{00000000-0005-0000-0000-000037510000}"/>
    <cellStyle name="Note 2 4 2 2 5 4 3" xfId="40460" xr:uid="{00000000-0005-0000-0000-000038510000}"/>
    <cellStyle name="Note 2 4 2 2 5 5" xfId="21439" xr:uid="{00000000-0005-0000-0000-000039510000}"/>
    <cellStyle name="Note 2 4 2 2 5 6" xfId="32284" xr:uid="{00000000-0005-0000-0000-00003A510000}"/>
    <cellStyle name="Note 2 4 2 2 6" xfId="2847" xr:uid="{00000000-0005-0000-0000-00003B510000}"/>
    <cellStyle name="Note 2 4 2 2 6 2" xfId="5698" xr:uid="{00000000-0005-0000-0000-00003C510000}"/>
    <cellStyle name="Note 2 4 2 2 6 2 2" xfId="24670" xr:uid="{00000000-0005-0000-0000-00003D510000}"/>
    <cellStyle name="Note 2 4 2 2 6 2 3" xfId="35515" xr:uid="{00000000-0005-0000-0000-00003E510000}"/>
    <cellStyle name="Note 2 4 2 2 6 3" xfId="8369" xr:uid="{00000000-0005-0000-0000-00003F510000}"/>
    <cellStyle name="Note 2 4 2 2 6 3 2" xfId="27341" xr:uid="{00000000-0005-0000-0000-000040510000}"/>
    <cellStyle name="Note 2 4 2 2 6 3 3" xfId="38186" xr:uid="{00000000-0005-0000-0000-000041510000}"/>
    <cellStyle name="Note 2 4 2 2 6 4" xfId="11028" xr:uid="{00000000-0005-0000-0000-000042510000}"/>
    <cellStyle name="Note 2 4 2 2 6 4 2" xfId="30000" xr:uid="{00000000-0005-0000-0000-000043510000}"/>
    <cellStyle name="Note 2 4 2 2 6 4 3" xfId="40845" xr:uid="{00000000-0005-0000-0000-000044510000}"/>
    <cellStyle name="Note 2 4 2 2 6 5" xfId="21824" xr:uid="{00000000-0005-0000-0000-000045510000}"/>
    <cellStyle name="Note 2 4 2 2 6 6" xfId="32669" xr:uid="{00000000-0005-0000-0000-000046510000}"/>
    <cellStyle name="Note 2 4 2 2 7" xfId="3536" xr:uid="{00000000-0005-0000-0000-000047510000}"/>
    <cellStyle name="Note 2 4 2 2 7 2" xfId="22508" xr:uid="{00000000-0005-0000-0000-000048510000}"/>
    <cellStyle name="Note 2 4 2 2 7 3" xfId="33353" xr:uid="{00000000-0005-0000-0000-000049510000}"/>
    <cellStyle name="Note 2 4 2 2 8" xfId="6211" xr:uid="{00000000-0005-0000-0000-00004A510000}"/>
    <cellStyle name="Note 2 4 2 2 8 2" xfId="25183" xr:uid="{00000000-0005-0000-0000-00004B510000}"/>
    <cellStyle name="Note 2 4 2 2 8 3" xfId="36028" xr:uid="{00000000-0005-0000-0000-00004C510000}"/>
    <cellStyle name="Note 2 4 2 2 9" xfId="8870" xr:uid="{00000000-0005-0000-0000-00004D510000}"/>
    <cellStyle name="Note 2 4 2 2 9 2" xfId="27842" xr:uid="{00000000-0005-0000-0000-00004E510000}"/>
    <cellStyle name="Note 2 4 2 2 9 3" xfId="38687" xr:uid="{00000000-0005-0000-0000-00004F510000}"/>
    <cellStyle name="Note 2 4 2 3" xfId="741" xr:uid="{00000000-0005-0000-0000-000050510000}"/>
    <cellStyle name="Note 2 4 2 3 10" xfId="19726" xr:uid="{00000000-0005-0000-0000-000051510000}"/>
    <cellStyle name="Note 2 4 2 3 11" xfId="30571" xr:uid="{00000000-0005-0000-0000-000052510000}"/>
    <cellStyle name="Note 2 4 2 3 2" xfId="1328" xr:uid="{00000000-0005-0000-0000-000053510000}"/>
    <cellStyle name="Note 2 4 2 3 2 2" xfId="4181" xr:uid="{00000000-0005-0000-0000-000054510000}"/>
    <cellStyle name="Note 2 4 2 3 2 2 2" xfId="23153" xr:uid="{00000000-0005-0000-0000-000055510000}"/>
    <cellStyle name="Note 2 4 2 3 2 2 3" xfId="33998" xr:uid="{00000000-0005-0000-0000-000056510000}"/>
    <cellStyle name="Note 2 4 2 3 2 3" xfId="6854" xr:uid="{00000000-0005-0000-0000-000057510000}"/>
    <cellStyle name="Note 2 4 2 3 2 3 2" xfId="25826" xr:uid="{00000000-0005-0000-0000-000058510000}"/>
    <cellStyle name="Note 2 4 2 3 2 3 3" xfId="36671" xr:uid="{00000000-0005-0000-0000-000059510000}"/>
    <cellStyle name="Note 2 4 2 3 2 4" xfId="9513" xr:uid="{00000000-0005-0000-0000-00005A510000}"/>
    <cellStyle name="Note 2 4 2 3 2 4 2" xfId="28485" xr:uid="{00000000-0005-0000-0000-00005B510000}"/>
    <cellStyle name="Note 2 4 2 3 2 4 3" xfId="39330" xr:uid="{00000000-0005-0000-0000-00005C510000}"/>
    <cellStyle name="Note 2 4 2 3 2 5" xfId="20309" xr:uid="{00000000-0005-0000-0000-00005D510000}"/>
    <cellStyle name="Note 2 4 2 3 2 6" xfId="31154" xr:uid="{00000000-0005-0000-0000-00005E510000}"/>
    <cellStyle name="Note 2 4 2 3 3" xfId="1727" xr:uid="{00000000-0005-0000-0000-00005F510000}"/>
    <cellStyle name="Note 2 4 2 3 3 2" xfId="4580" xr:uid="{00000000-0005-0000-0000-000060510000}"/>
    <cellStyle name="Note 2 4 2 3 3 2 2" xfId="23552" xr:uid="{00000000-0005-0000-0000-000061510000}"/>
    <cellStyle name="Note 2 4 2 3 3 2 3" xfId="34397" xr:uid="{00000000-0005-0000-0000-000062510000}"/>
    <cellStyle name="Note 2 4 2 3 3 3" xfId="7252" xr:uid="{00000000-0005-0000-0000-000063510000}"/>
    <cellStyle name="Note 2 4 2 3 3 3 2" xfId="26224" xr:uid="{00000000-0005-0000-0000-000064510000}"/>
    <cellStyle name="Note 2 4 2 3 3 3 3" xfId="37069" xr:uid="{00000000-0005-0000-0000-000065510000}"/>
    <cellStyle name="Note 2 4 2 3 3 4" xfId="9911" xr:uid="{00000000-0005-0000-0000-000066510000}"/>
    <cellStyle name="Note 2 4 2 3 3 4 2" xfId="28883" xr:uid="{00000000-0005-0000-0000-000067510000}"/>
    <cellStyle name="Note 2 4 2 3 3 4 3" xfId="39728" xr:uid="{00000000-0005-0000-0000-000068510000}"/>
    <cellStyle name="Note 2 4 2 3 3 5" xfId="20707" xr:uid="{00000000-0005-0000-0000-000069510000}"/>
    <cellStyle name="Note 2 4 2 3 3 6" xfId="31552" xr:uid="{00000000-0005-0000-0000-00006A510000}"/>
    <cellStyle name="Note 2 4 2 3 4" xfId="2131" xr:uid="{00000000-0005-0000-0000-00006B510000}"/>
    <cellStyle name="Note 2 4 2 3 4 2" xfId="4984" xr:uid="{00000000-0005-0000-0000-00006C510000}"/>
    <cellStyle name="Note 2 4 2 3 4 2 2" xfId="23956" xr:uid="{00000000-0005-0000-0000-00006D510000}"/>
    <cellStyle name="Note 2 4 2 3 4 2 3" xfId="34801" xr:uid="{00000000-0005-0000-0000-00006E510000}"/>
    <cellStyle name="Note 2 4 2 3 4 3" xfId="7655" xr:uid="{00000000-0005-0000-0000-00006F510000}"/>
    <cellStyle name="Note 2 4 2 3 4 3 2" xfId="26627" xr:uid="{00000000-0005-0000-0000-000070510000}"/>
    <cellStyle name="Note 2 4 2 3 4 3 3" xfId="37472" xr:uid="{00000000-0005-0000-0000-000071510000}"/>
    <cellStyle name="Note 2 4 2 3 4 4" xfId="10314" xr:uid="{00000000-0005-0000-0000-000072510000}"/>
    <cellStyle name="Note 2 4 2 3 4 4 2" xfId="29286" xr:uid="{00000000-0005-0000-0000-000073510000}"/>
    <cellStyle name="Note 2 4 2 3 4 4 3" xfId="40131" xr:uid="{00000000-0005-0000-0000-000074510000}"/>
    <cellStyle name="Note 2 4 2 3 4 5" xfId="21110" xr:uid="{00000000-0005-0000-0000-000075510000}"/>
    <cellStyle name="Note 2 4 2 3 4 6" xfId="31955" xr:uid="{00000000-0005-0000-0000-000076510000}"/>
    <cellStyle name="Note 2 4 2 3 5" xfId="2521" xr:uid="{00000000-0005-0000-0000-000077510000}"/>
    <cellStyle name="Note 2 4 2 3 5 2" xfId="5373" xr:uid="{00000000-0005-0000-0000-000078510000}"/>
    <cellStyle name="Note 2 4 2 3 5 2 2" xfId="24345" xr:uid="{00000000-0005-0000-0000-000079510000}"/>
    <cellStyle name="Note 2 4 2 3 5 2 3" xfId="35190" xr:uid="{00000000-0005-0000-0000-00007A510000}"/>
    <cellStyle name="Note 2 4 2 3 5 3" xfId="8044" xr:uid="{00000000-0005-0000-0000-00007B510000}"/>
    <cellStyle name="Note 2 4 2 3 5 3 2" xfId="27016" xr:uid="{00000000-0005-0000-0000-00007C510000}"/>
    <cellStyle name="Note 2 4 2 3 5 3 3" xfId="37861" xr:uid="{00000000-0005-0000-0000-00007D510000}"/>
    <cellStyle name="Note 2 4 2 3 5 4" xfId="10703" xr:uid="{00000000-0005-0000-0000-00007E510000}"/>
    <cellStyle name="Note 2 4 2 3 5 4 2" xfId="29675" xr:uid="{00000000-0005-0000-0000-00007F510000}"/>
    <cellStyle name="Note 2 4 2 3 5 4 3" xfId="40520" xr:uid="{00000000-0005-0000-0000-000080510000}"/>
    <cellStyle name="Note 2 4 2 3 5 5" xfId="21499" xr:uid="{00000000-0005-0000-0000-000081510000}"/>
    <cellStyle name="Note 2 4 2 3 5 6" xfId="32344" xr:uid="{00000000-0005-0000-0000-000082510000}"/>
    <cellStyle name="Note 2 4 2 3 6" xfId="2907" xr:uid="{00000000-0005-0000-0000-000083510000}"/>
    <cellStyle name="Note 2 4 2 3 6 2" xfId="5758" xr:uid="{00000000-0005-0000-0000-000084510000}"/>
    <cellStyle name="Note 2 4 2 3 6 2 2" xfId="24730" xr:uid="{00000000-0005-0000-0000-000085510000}"/>
    <cellStyle name="Note 2 4 2 3 6 2 3" xfId="35575" xr:uid="{00000000-0005-0000-0000-000086510000}"/>
    <cellStyle name="Note 2 4 2 3 6 3" xfId="8429" xr:uid="{00000000-0005-0000-0000-000087510000}"/>
    <cellStyle name="Note 2 4 2 3 6 3 2" xfId="27401" xr:uid="{00000000-0005-0000-0000-000088510000}"/>
    <cellStyle name="Note 2 4 2 3 6 3 3" xfId="38246" xr:uid="{00000000-0005-0000-0000-000089510000}"/>
    <cellStyle name="Note 2 4 2 3 6 4" xfId="11088" xr:uid="{00000000-0005-0000-0000-00008A510000}"/>
    <cellStyle name="Note 2 4 2 3 6 4 2" xfId="30060" xr:uid="{00000000-0005-0000-0000-00008B510000}"/>
    <cellStyle name="Note 2 4 2 3 6 4 3" xfId="40905" xr:uid="{00000000-0005-0000-0000-00008C510000}"/>
    <cellStyle name="Note 2 4 2 3 6 5" xfId="21884" xr:uid="{00000000-0005-0000-0000-00008D510000}"/>
    <cellStyle name="Note 2 4 2 3 6 6" xfId="32729" xr:uid="{00000000-0005-0000-0000-00008E510000}"/>
    <cellStyle name="Note 2 4 2 3 7" xfId="3596" xr:uid="{00000000-0005-0000-0000-00008F510000}"/>
    <cellStyle name="Note 2 4 2 3 7 2" xfId="22568" xr:uid="{00000000-0005-0000-0000-000090510000}"/>
    <cellStyle name="Note 2 4 2 3 7 3" xfId="33413" xr:uid="{00000000-0005-0000-0000-000091510000}"/>
    <cellStyle name="Note 2 4 2 3 8" xfId="6271" xr:uid="{00000000-0005-0000-0000-000092510000}"/>
    <cellStyle name="Note 2 4 2 3 8 2" xfId="25243" xr:uid="{00000000-0005-0000-0000-000093510000}"/>
    <cellStyle name="Note 2 4 2 3 8 3" xfId="36088" xr:uid="{00000000-0005-0000-0000-000094510000}"/>
    <cellStyle name="Note 2 4 2 3 9" xfId="8930" xr:uid="{00000000-0005-0000-0000-000095510000}"/>
    <cellStyle name="Note 2 4 2 3 9 2" xfId="27902" xr:uid="{00000000-0005-0000-0000-000096510000}"/>
    <cellStyle name="Note 2 4 2 3 9 3" xfId="38747" xr:uid="{00000000-0005-0000-0000-000097510000}"/>
    <cellStyle name="Note 2 4 2 4" xfId="801" xr:uid="{00000000-0005-0000-0000-000098510000}"/>
    <cellStyle name="Note 2 4 2 4 10" xfId="19786" xr:uid="{00000000-0005-0000-0000-000099510000}"/>
    <cellStyle name="Note 2 4 2 4 11" xfId="30631" xr:uid="{00000000-0005-0000-0000-00009A510000}"/>
    <cellStyle name="Note 2 4 2 4 2" xfId="1388" xr:uid="{00000000-0005-0000-0000-00009B510000}"/>
    <cellStyle name="Note 2 4 2 4 2 2" xfId="4241" xr:uid="{00000000-0005-0000-0000-00009C510000}"/>
    <cellStyle name="Note 2 4 2 4 2 2 2" xfId="23213" xr:uid="{00000000-0005-0000-0000-00009D510000}"/>
    <cellStyle name="Note 2 4 2 4 2 2 3" xfId="34058" xr:uid="{00000000-0005-0000-0000-00009E510000}"/>
    <cellStyle name="Note 2 4 2 4 2 3" xfId="6914" xr:uid="{00000000-0005-0000-0000-00009F510000}"/>
    <cellStyle name="Note 2 4 2 4 2 3 2" xfId="25886" xr:uid="{00000000-0005-0000-0000-0000A0510000}"/>
    <cellStyle name="Note 2 4 2 4 2 3 3" xfId="36731" xr:uid="{00000000-0005-0000-0000-0000A1510000}"/>
    <cellStyle name="Note 2 4 2 4 2 4" xfId="9573" xr:uid="{00000000-0005-0000-0000-0000A2510000}"/>
    <cellStyle name="Note 2 4 2 4 2 4 2" xfId="28545" xr:uid="{00000000-0005-0000-0000-0000A3510000}"/>
    <cellStyle name="Note 2 4 2 4 2 4 3" xfId="39390" xr:uid="{00000000-0005-0000-0000-0000A4510000}"/>
    <cellStyle name="Note 2 4 2 4 2 5" xfId="20369" xr:uid="{00000000-0005-0000-0000-0000A5510000}"/>
    <cellStyle name="Note 2 4 2 4 2 6" xfId="31214" xr:uid="{00000000-0005-0000-0000-0000A6510000}"/>
    <cellStyle name="Note 2 4 2 4 3" xfId="1787" xr:uid="{00000000-0005-0000-0000-0000A7510000}"/>
    <cellStyle name="Note 2 4 2 4 3 2" xfId="4640" xr:uid="{00000000-0005-0000-0000-0000A8510000}"/>
    <cellStyle name="Note 2 4 2 4 3 2 2" xfId="23612" xr:uid="{00000000-0005-0000-0000-0000A9510000}"/>
    <cellStyle name="Note 2 4 2 4 3 2 3" xfId="34457" xr:uid="{00000000-0005-0000-0000-0000AA510000}"/>
    <cellStyle name="Note 2 4 2 4 3 3" xfId="7312" xr:uid="{00000000-0005-0000-0000-0000AB510000}"/>
    <cellStyle name="Note 2 4 2 4 3 3 2" xfId="26284" xr:uid="{00000000-0005-0000-0000-0000AC510000}"/>
    <cellStyle name="Note 2 4 2 4 3 3 3" xfId="37129" xr:uid="{00000000-0005-0000-0000-0000AD510000}"/>
    <cellStyle name="Note 2 4 2 4 3 4" xfId="9971" xr:uid="{00000000-0005-0000-0000-0000AE510000}"/>
    <cellStyle name="Note 2 4 2 4 3 4 2" xfId="28943" xr:uid="{00000000-0005-0000-0000-0000AF510000}"/>
    <cellStyle name="Note 2 4 2 4 3 4 3" xfId="39788" xr:uid="{00000000-0005-0000-0000-0000B0510000}"/>
    <cellStyle name="Note 2 4 2 4 3 5" xfId="20767" xr:uid="{00000000-0005-0000-0000-0000B1510000}"/>
    <cellStyle name="Note 2 4 2 4 3 6" xfId="31612" xr:uid="{00000000-0005-0000-0000-0000B2510000}"/>
    <cellStyle name="Note 2 4 2 4 4" xfId="2191" xr:uid="{00000000-0005-0000-0000-0000B3510000}"/>
    <cellStyle name="Note 2 4 2 4 4 2" xfId="5044" xr:uid="{00000000-0005-0000-0000-0000B4510000}"/>
    <cellStyle name="Note 2 4 2 4 4 2 2" xfId="24016" xr:uid="{00000000-0005-0000-0000-0000B5510000}"/>
    <cellStyle name="Note 2 4 2 4 4 2 3" xfId="34861" xr:uid="{00000000-0005-0000-0000-0000B6510000}"/>
    <cellStyle name="Note 2 4 2 4 4 3" xfId="7715" xr:uid="{00000000-0005-0000-0000-0000B7510000}"/>
    <cellStyle name="Note 2 4 2 4 4 3 2" xfId="26687" xr:uid="{00000000-0005-0000-0000-0000B8510000}"/>
    <cellStyle name="Note 2 4 2 4 4 3 3" xfId="37532" xr:uid="{00000000-0005-0000-0000-0000B9510000}"/>
    <cellStyle name="Note 2 4 2 4 4 4" xfId="10374" xr:uid="{00000000-0005-0000-0000-0000BA510000}"/>
    <cellStyle name="Note 2 4 2 4 4 4 2" xfId="29346" xr:uid="{00000000-0005-0000-0000-0000BB510000}"/>
    <cellStyle name="Note 2 4 2 4 4 4 3" xfId="40191" xr:uid="{00000000-0005-0000-0000-0000BC510000}"/>
    <cellStyle name="Note 2 4 2 4 4 5" xfId="21170" xr:uid="{00000000-0005-0000-0000-0000BD510000}"/>
    <cellStyle name="Note 2 4 2 4 4 6" xfId="32015" xr:uid="{00000000-0005-0000-0000-0000BE510000}"/>
    <cellStyle name="Note 2 4 2 4 5" xfId="2581" xr:uid="{00000000-0005-0000-0000-0000BF510000}"/>
    <cellStyle name="Note 2 4 2 4 5 2" xfId="5433" xr:uid="{00000000-0005-0000-0000-0000C0510000}"/>
    <cellStyle name="Note 2 4 2 4 5 2 2" xfId="24405" xr:uid="{00000000-0005-0000-0000-0000C1510000}"/>
    <cellStyle name="Note 2 4 2 4 5 2 3" xfId="35250" xr:uid="{00000000-0005-0000-0000-0000C2510000}"/>
    <cellStyle name="Note 2 4 2 4 5 3" xfId="8104" xr:uid="{00000000-0005-0000-0000-0000C3510000}"/>
    <cellStyle name="Note 2 4 2 4 5 3 2" xfId="27076" xr:uid="{00000000-0005-0000-0000-0000C4510000}"/>
    <cellStyle name="Note 2 4 2 4 5 3 3" xfId="37921" xr:uid="{00000000-0005-0000-0000-0000C5510000}"/>
    <cellStyle name="Note 2 4 2 4 5 4" xfId="10763" xr:uid="{00000000-0005-0000-0000-0000C6510000}"/>
    <cellStyle name="Note 2 4 2 4 5 4 2" xfId="29735" xr:uid="{00000000-0005-0000-0000-0000C7510000}"/>
    <cellStyle name="Note 2 4 2 4 5 4 3" xfId="40580" xr:uid="{00000000-0005-0000-0000-0000C8510000}"/>
    <cellStyle name="Note 2 4 2 4 5 5" xfId="21559" xr:uid="{00000000-0005-0000-0000-0000C9510000}"/>
    <cellStyle name="Note 2 4 2 4 5 6" xfId="32404" xr:uid="{00000000-0005-0000-0000-0000CA510000}"/>
    <cellStyle name="Note 2 4 2 4 6" xfId="2967" xr:uid="{00000000-0005-0000-0000-0000CB510000}"/>
    <cellStyle name="Note 2 4 2 4 6 2" xfId="5818" xr:uid="{00000000-0005-0000-0000-0000CC510000}"/>
    <cellStyle name="Note 2 4 2 4 6 2 2" xfId="24790" xr:uid="{00000000-0005-0000-0000-0000CD510000}"/>
    <cellStyle name="Note 2 4 2 4 6 2 3" xfId="35635" xr:uid="{00000000-0005-0000-0000-0000CE510000}"/>
    <cellStyle name="Note 2 4 2 4 6 3" xfId="8489" xr:uid="{00000000-0005-0000-0000-0000CF510000}"/>
    <cellStyle name="Note 2 4 2 4 6 3 2" xfId="27461" xr:uid="{00000000-0005-0000-0000-0000D0510000}"/>
    <cellStyle name="Note 2 4 2 4 6 3 3" xfId="38306" xr:uid="{00000000-0005-0000-0000-0000D1510000}"/>
    <cellStyle name="Note 2 4 2 4 6 4" xfId="11148" xr:uid="{00000000-0005-0000-0000-0000D2510000}"/>
    <cellStyle name="Note 2 4 2 4 6 4 2" xfId="30120" xr:uid="{00000000-0005-0000-0000-0000D3510000}"/>
    <cellStyle name="Note 2 4 2 4 6 4 3" xfId="40965" xr:uid="{00000000-0005-0000-0000-0000D4510000}"/>
    <cellStyle name="Note 2 4 2 4 6 5" xfId="21944" xr:uid="{00000000-0005-0000-0000-0000D5510000}"/>
    <cellStyle name="Note 2 4 2 4 6 6" xfId="32789" xr:uid="{00000000-0005-0000-0000-0000D6510000}"/>
    <cellStyle name="Note 2 4 2 4 7" xfId="3656" xr:uid="{00000000-0005-0000-0000-0000D7510000}"/>
    <cellStyle name="Note 2 4 2 4 7 2" xfId="22628" xr:uid="{00000000-0005-0000-0000-0000D8510000}"/>
    <cellStyle name="Note 2 4 2 4 7 3" xfId="33473" xr:uid="{00000000-0005-0000-0000-0000D9510000}"/>
    <cellStyle name="Note 2 4 2 4 8" xfId="6331" xr:uid="{00000000-0005-0000-0000-0000DA510000}"/>
    <cellStyle name="Note 2 4 2 4 8 2" xfId="25303" xr:uid="{00000000-0005-0000-0000-0000DB510000}"/>
    <cellStyle name="Note 2 4 2 4 8 3" xfId="36148" xr:uid="{00000000-0005-0000-0000-0000DC510000}"/>
    <cellStyle name="Note 2 4 2 4 9" xfId="8990" xr:uid="{00000000-0005-0000-0000-0000DD510000}"/>
    <cellStyle name="Note 2 4 2 4 9 2" xfId="27962" xr:uid="{00000000-0005-0000-0000-0000DE510000}"/>
    <cellStyle name="Note 2 4 2 4 9 3" xfId="38807" xr:uid="{00000000-0005-0000-0000-0000DF510000}"/>
    <cellStyle name="Note 2 4 2 5" xfId="860" xr:uid="{00000000-0005-0000-0000-0000E0510000}"/>
    <cellStyle name="Note 2 4 2 5 10" xfId="19845" xr:uid="{00000000-0005-0000-0000-0000E1510000}"/>
    <cellStyle name="Note 2 4 2 5 11" xfId="30690" xr:uid="{00000000-0005-0000-0000-0000E2510000}"/>
    <cellStyle name="Note 2 4 2 5 2" xfId="1447" xr:uid="{00000000-0005-0000-0000-0000E3510000}"/>
    <cellStyle name="Note 2 4 2 5 2 2" xfId="4300" xr:uid="{00000000-0005-0000-0000-0000E4510000}"/>
    <cellStyle name="Note 2 4 2 5 2 2 2" xfId="23272" xr:uid="{00000000-0005-0000-0000-0000E5510000}"/>
    <cellStyle name="Note 2 4 2 5 2 2 3" xfId="34117" xr:uid="{00000000-0005-0000-0000-0000E6510000}"/>
    <cellStyle name="Note 2 4 2 5 2 3" xfId="6973" xr:uid="{00000000-0005-0000-0000-0000E7510000}"/>
    <cellStyle name="Note 2 4 2 5 2 3 2" xfId="25945" xr:uid="{00000000-0005-0000-0000-0000E8510000}"/>
    <cellStyle name="Note 2 4 2 5 2 3 3" xfId="36790" xr:uid="{00000000-0005-0000-0000-0000E9510000}"/>
    <cellStyle name="Note 2 4 2 5 2 4" xfId="9632" xr:uid="{00000000-0005-0000-0000-0000EA510000}"/>
    <cellStyle name="Note 2 4 2 5 2 4 2" xfId="28604" xr:uid="{00000000-0005-0000-0000-0000EB510000}"/>
    <cellStyle name="Note 2 4 2 5 2 4 3" xfId="39449" xr:uid="{00000000-0005-0000-0000-0000EC510000}"/>
    <cellStyle name="Note 2 4 2 5 2 5" xfId="20428" xr:uid="{00000000-0005-0000-0000-0000ED510000}"/>
    <cellStyle name="Note 2 4 2 5 2 6" xfId="31273" xr:uid="{00000000-0005-0000-0000-0000EE510000}"/>
    <cellStyle name="Note 2 4 2 5 3" xfId="1846" xr:uid="{00000000-0005-0000-0000-0000EF510000}"/>
    <cellStyle name="Note 2 4 2 5 3 2" xfId="4699" xr:uid="{00000000-0005-0000-0000-0000F0510000}"/>
    <cellStyle name="Note 2 4 2 5 3 2 2" xfId="23671" xr:uid="{00000000-0005-0000-0000-0000F1510000}"/>
    <cellStyle name="Note 2 4 2 5 3 2 3" xfId="34516" xr:uid="{00000000-0005-0000-0000-0000F2510000}"/>
    <cellStyle name="Note 2 4 2 5 3 3" xfId="7371" xr:uid="{00000000-0005-0000-0000-0000F3510000}"/>
    <cellStyle name="Note 2 4 2 5 3 3 2" xfId="26343" xr:uid="{00000000-0005-0000-0000-0000F4510000}"/>
    <cellStyle name="Note 2 4 2 5 3 3 3" xfId="37188" xr:uid="{00000000-0005-0000-0000-0000F5510000}"/>
    <cellStyle name="Note 2 4 2 5 3 4" xfId="10030" xr:uid="{00000000-0005-0000-0000-0000F6510000}"/>
    <cellStyle name="Note 2 4 2 5 3 4 2" xfId="29002" xr:uid="{00000000-0005-0000-0000-0000F7510000}"/>
    <cellStyle name="Note 2 4 2 5 3 4 3" xfId="39847" xr:uid="{00000000-0005-0000-0000-0000F8510000}"/>
    <cellStyle name="Note 2 4 2 5 3 5" xfId="20826" xr:uid="{00000000-0005-0000-0000-0000F9510000}"/>
    <cellStyle name="Note 2 4 2 5 3 6" xfId="31671" xr:uid="{00000000-0005-0000-0000-0000FA510000}"/>
    <cellStyle name="Note 2 4 2 5 4" xfId="2250" xr:uid="{00000000-0005-0000-0000-0000FB510000}"/>
    <cellStyle name="Note 2 4 2 5 4 2" xfId="5103" xr:uid="{00000000-0005-0000-0000-0000FC510000}"/>
    <cellStyle name="Note 2 4 2 5 4 2 2" xfId="24075" xr:uid="{00000000-0005-0000-0000-0000FD510000}"/>
    <cellStyle name="Note 2 4 2 5 4 2 3" xfId="34920" xr:uid="{00000000-0005-0000-0000-0000FE510000}"/>
    <cellStyle name="Note 2 4 2 5 4 3" xfId="7774" xr:uid="{00000000-0005-0000-0000-0000FF510000}"/>
    <cellStyle name="Note 2 4 2 5 4 3 2" xfId="26746" xr:uid="{00000000-0005-0000-0000-000000520000}"/>
    <cellStyle name="Note 2 4 2 5 4 3 3" xfId="37591" xr:uid="{00000000-0005-0000-0000-000001520000}"/>
    <cellStyle name="Note 2 4 2 5 4 4" xfId="10433" xr:uid="{00000000-0005-0000-0000-000002520000}"/>
    <cellStyle name="Note 2 4 2 5 4 4 2" xfId="29405" xr:uid="{00000000-0005-0000-0000-000003520000}"/>
    <cellStyle name="Note 2 4 2 5 4 4 3" xfId="40250" xr:uid="{00000000-0005-0000-0000-000004520000}"/>
    <cellStyle name="Note 2 4 2 5 4 5" xfId="21229" xr:uid="{00000000-0005-0000-0000-000005520000}"/>
    <cellStyle name="Note 2 4 2 5 4 6" xfId="32074" xr:uid="{00000000-0005-0000-0000-000006520000}"/>
    <cellStyle name="Note 2 4 2 5 5" xfId="2640" xr:uid="{00000000-0005-0000-0000-000007520000}"/>
    <cellStyle name="Note 2 4 2 5 5 2" xfId="5492" xr:uid="{00000000-0005-0000-0000-000008520000}"/>
    <cellStyle name="Note 2 4 2 5 5 2 2" xfId="24464" xr:uid="{00000000-0005-0000-0000-000009520000}"/>
    <cellStyle name="Note 2 4 2 5 5 2 3" xfId="35309" xr:uid="{00000000-0005-0000-0000-00000A520000}"/>
    <cellStyle name="Note 2 4 2 5 5 3" xfId="8163" xr:uid="{00000000-0005-0000-0000-00000B520000}"/>
    <cellStyle name="Note 2 4 2 5 5 3 2" xfId="27135" xr:uid="{00000000-0005-0000-0000-00000C520000}"/>
    <cellStyle name="Note 2 4 2 5 5 3 3" xfId="37980" xr:uid="{00000000-0005-0000-0000-00000D520000}"/>
    <cellStyle name="Note 2 4 2 5 5 4" xfId="10822" xr:uid="{00000000-0005-0000-0000-00000E520000}"/>
    <cellStyle name="Note 2 4 2 5 5 4 2" xfId="29794" xr:uid="{00000000-0005-0000-0000-00000F520000}"/>
    <cellStyle name="Note 2 4 2 5 5 4 3" xfId="40639" xr:uid="{00000000-0005-0000-0000-000010520000}"/>
    <cellStyle name="Note 2 4 2 5 5 5" xfId="21618" xr:uid="{00000000-0005-0000-0000-000011520000}"/>
    <cellStyle name="Note 2 4 2 5 5 6" xfId="32463" xr:uid="{00000000-0005-0000-0000-000012520000}"/>
    <cellStyle name="Note 2 4 2 5 6" xfId="3026" xr:uid="{00000000-0005-0000-0000-000013520000}"/>
    <cellStyle name="Note 2 4 2 5 6 2" xfId="5877" xr:uid="{00000000-0005-0000-0000-000014520000}"/>
    <cellStyle name="Note 2 4 2 5 6 2 2" xfId="24849" xr:uid="{00000000-0005-0000-0000-000015520000}"/>
    <cellStyle name="Note 2 4 2 5 6 2 3" xfId="35694" xr:uid="{00000000-0005-0000-0000-000016520000}"/>
    <cellStyle name="Note 2 4 2 5 6 3" xfId="8548" xr:uid="{00000000-0005-0000-0000-000017520000}"/>
    <cellStyle name="Note 2 4 2 5 6 3 2" xfId="27520" xr:uid="{00000000-0005-0000-0000-000018520000}"/>
    <cellStyle name="Note 2 4 2 5 6 3 3" xfId="38365" xr:uid="{00000000-0005-0000-0000-000019520000}"/>
    <cellStyle name="Note 2 4 2 5 6 4" xfId="11207" xr:uid="{00000000-0005-0000-0000-00001A520000}"/>
    <cellStyle name="Note 2 4 2 5 6 4 2" xfId="30179" xr:uid="{00000000-0005-0000-0000-00001B520000}"/>
    <cellStyle name="Note 2 4 2 5 6 4 3" xfId="41024" xr:uid="{00000000-0005-0000-0000-00001C520000}"/>
    <cellStyle name="Note 2 4 2 5 6 5" xfId="22003" xr:uid="{00000000-0005-0000-0000-00001D520000}"/>
    <cellStyle name="Note 2 4 2 5 6 6" xfId="32848" xr:uid="{00000000-0005-0000-0000-00001E520000}"/>
    <cellStyle name="Note 2 4 2 5 7" xfId="3715" xr:uid="{00000000-0005-0000-0000-00001F520000}"/>
    <cellStyle name="Note 2 4 2 5 7 2" xfId="22687" xr:uid="{00000000-0005-0000-0000-000020520000}"/>
    <cellStyle name="Note 2 4 2 5 7 3" xfId="33532" xr:uid="{00000000-0005-0000-0000-000021520000}"/>
    <cellStyle name="Note 2 4 2 5 8" xfId="6390" xr:uid="{00000000-0005-0000-0000-000022520000}"/>
    <cellStyle name="Note 2 4 2 5 8 2" xfId="25362" xr:uid="{00000000-0005-0000-0000-000023520000}"/>
    <cellStyle name="Note 2 4 2 5 8 3" xfId="36207" xr:uid="{00000000-0005-0000-0000-000024520000}"/>
    <cellStyle name="Note 2 4 2 5 9" xfId="9049" xr:uid="{00000000-0005-0000-0000-000025520000}"/>
    <cellStyle name="Note 2 4 2 5 9 2" xfId="28021" xr:uid="{00000000-0005-0000-0000-000026520000}"/>
    <cellStyle name="Note 2 4 2 5 9 3" xfId="38866" xr:uid="{00000000-0005-0000-0000-000027520000}"/>
    <cellStyle name="Note 2 4 2 6" xfId="1082" xr:uid="{00000000-0005-0000-0000-000028520000}"/>
    <cellStyle name="Note 2 4 2 6 2" xfId="3935" xr:uid="{00000000-0005-0000-0000-000029520000}"/>
    <cellStyle name="Note 2 4 2 6 2 2" xfId="22907" xr:uid="{00000000-0005-0000-0000-00002A520000}"/>
    <cellStyle name="Note 2 4 2 6 2 3" xfId="33752" xr:uid="{00000000-0005-0000-0000-00002B520000}"/>
    <cellStyle name="Note 2 4 2 6 3" xfId="6609" xr:uid="{00000000-0005-0000-0000-00002C520000}"/>
    <cellStyle name="Note 2 4 2 6 3 2" xfId="25581" xr:uid="{00000000-0005-0000-0000-00002D520000}"/>
    <cellStyle name="Note 2 4 2 6 3 3" xfId="36426" xr:uid="{00000000-0005-0000-0000-00002E520000}"/>
    <cellStyle name="Note 2 4 2 6 4" xfId="9268" xr:uid="{00000000-0005-0000-0000-00002F520000}"/>
    <cellStyle name="Note 2 4 2 6 4 2" xfId="28240" xr:uid="{00000000-0005-0000-0000-000030520000}"/>
    <cellStyle name="Note 2 4 2 6 4 3" xfId="39085" xr:uid="{00000000-0005-0000-0000-000031520000}"/>
    <cellStyle name="Note 2 4 2 6 5" xfId="20064" xr:uid="{00000000-0005-0000-0000-000032520000}"/>
    <cellStyle name="Note 2 4 2 6 6" xfId="30909" xr:uid="{00000000-0005-0000-0000-000033520000}"/>
    <cellStyle name="Note 2 4 2 7" xfId="1052" xr:uid="{00000000-0005-0000-0000-000034520000}"/>
    <cellStyle name="Note 2 4 2 7 2" xfId="3905" xr:uid="{00000000-0005-0000-0000-000035520000}"/>
    <cellStyle name="Note 2 4 2 7 2 2" xfId="22877" xr:uid="{00000000-0005-0000-0000-000036520000}"/>
    <cellStyle name="Note 2 4 2 7 2 3" xfId="33722" xr:uid="{00000000-0005-0000-0000-000037520000}"/>
    <cellStyle name="Note 2 4 2 7 3" xfId="6579" xr:uid="{00000000-0005-0000-0000-000038520000}"/>
    <cellStyle name="Note 2 4 2 7 3 2" xfId="25551" xr:uid="{00000000-0005-0000-0000-000039520000}"/>
    <cellStyle name="Note 2 4 2 7 3 3" xfId="36396" xr:uid="{00000000-0005-0000-0000-00003A520000}"/>
    <cellStyle name="Note 2 4 2 7 4" xfId="9238" xr:uid="{00000000-0005-0000-0000-00003B520000}"/>
    <cellStyle name="Note 2 4 2 7 4 2" xfId="28210" xr:uid="{00000000-0005-0000-0000-00003C520000}"/>
    <cellStyle name="Note 2 4 2 7 4 3" xfId="39055" xr:uid="{00000000-0005-0000-0000-00003D520000}"/>
    <cellStyle name="Note 2 4 2 7 5" xfId="20034" xr:uid="{00000000-0005-0000-0000-00003E520000}"/>
    <cellStyle name="Note 2 4 2 7 6" xfId="30879" xr:uid="{00000000-0005-0000-0000-00003F520000}"/>
    <cellStyle name="Note 2 4 2 8" xfId="980" xr:uid="{00000000-0005-0000-0000-000040520000}"/>
    <cellStyle name="Note 2 4 2 8 2" xfId="3833" xr:uid="{00000000-0005-0000-0000-000041520000}"/>
    <cellStyle name="Note 2 4 2 8 2 2" xfId="22805" xr:uid="{00000000-0005-0000-0000-000042520000}"/>
    <cellStyle name="Note 2 4 2 8 2 3" xfId="33650" xr:uid="{00000000-0005-0000-0000-000043520000}"/>
    <cellStyle name="Note 2 4 2 8 3" xfId="6508" xr:uid="{00000000-0005-0000-0000-000044520000}"/>
    <cellStyle name="Note 2 4 2 8 3 2" xfId="25480" xr:uid="{00000000-0005-0000-0000-000045520000}"/>
    <cellStyle name="Note 2 4 2 8 3 3" xfId="36325" xr:uid="{00000000-0005-0000-0000-000046520000}"/>
    <cellStyle name="Note 2 4 2 8 4" xfId="9167" xr:uid="{00000000-0005-0000-0000-000047520000}"/>
    <cellStyle name="Note 2 4 2 8 4 2" xfId="28139" xr:uid="{00000000-0005-0000-0000-000048520000}"/>
    <cellStyle name="Note 2 4 2 8 4 3" xfId="38984" xr:uid="{00000000-0005-0000-0000-000049520000}"/>
    <cellStyle name="Note 2 4 2 8 5" xfId="19963" xr:uid="{00000000-0005-0000-0000-00004A520000}"/>
    <cellStyle name="Note 2 4 2 8 6" xfId="30808" xr:uid="{00000000-0005-0000-0000-00004B520000}"/>
    <cellStyle name="Note 2 4 2 9" xfId="953" xr:uid="{00000000-0005-0000-0000-00004C520000}"/>
    <cellStyle name="Note 2 4 2 9 2" xfId="3806" xr:uid="{00000000-0005-0000-0000-00004D520000}"/>
    <cellStyle name="Note 2 4 2 9 2 2" xfId="22778" xr:uid="{00000000-0005-0000-0000-00004E520000}"/>
    <cellStyle name="Note 2 4 2 9 2 3" xfId="33623" xr:uid="{00000000-0005-0000-0000-00004F520000}"/>
    <cellStyle name="Note 2 4 2 9 3" xfId="6481" xr:uid="{00000000-0005-0000-0000-000050520000}"/>
    <cellStyle name="Note 2 4 2 9 3 2" xfId="25453" xr:uid="{00000000-0005-0000-0000-000051520000}"/>
    <cellStyle name="Note 2 4 2 9 3 3" xfId="36298" xr:uid="{00000000-0005-0000-0000-000052520000}"/>
    <cellStyle name="Note 2 4 2 9 4" xfId="9140" xr:uid="{00000000-0005-0000-0000-000053520000}"/>
    <cellStyle name="Note 2 4 2 9 4 2" xfId="28112" xr:uid="{00000000-0005-0000-0000-000054520000}"/>
    <cellStyle name="Note 2 4 2 9 4 3" xfId="38957" xr:uid="{00000000-0005-0000-0000-000055520000}"/>
    <cellStyle name="Note 2 4 2 9 5" xfId="19936" xr:uid="{00000000-0005-0000-0000-000056520000}"/>
    <cellStyle name="Note 2 4 2 9 6" xfId="30781" xr:uid="{00000000-0005-0000-0000-000057520000}"/>
    <cellStyle name="Note 2 4 3" xfId="564" xr:uid="{00000000-0005-0000-0000-000058520000}"/>
    <cellStyle name="Note 2 4 3 10" xfId="19574" xr:uid="{00000000-0005-0000-0000-000059520000}"/>
    <cellStyle name="Note 2 4 3 11" xfId="30419" xr:uid="{00000000-0005-0000-0000-00005A520000}"/>
    <cellStyle name="Note 2 4 3 2" xfId="1170" xr:uid="{00000000-0005-0000-0000-00005B520000}"/>
    <cellStyle name="Note 2 4 3 2 2" xfId="4023" xr:uid="{00000000-0005-0000-0000-00005C520000}"/>
    <cellStyle name="Note 2 4 3 2 2 2" xfId="22995" xr:uid="{00000000-0005-0000-0000-00005D520000}"/>
    <cellStyle name="Note 2 4 3 2 2 3" xfId="33840" xr:uid="{00000000-0005-0000-0000-00005E520000}"/>
    <cellStyle name="Note 2 4 3 2 3" xfId="6696" xr:uid="{00000000-0005-0000-0000-00005F520000}"/>
    <cellStyle name="Note 2 4 3 2 3 2" xfId="25668" xr:uid="{00000000-0005-0000-0000-000060520000}"/>
    <cellStyle name="Note 2 4 3 2 3 3" xfId="36513" xr:uid="{00000000-0005-0000-0000-000061520000}"/>
    <cellStyle name="Note 2 4 3 2 4" xfId="9355" xr:uid="{00000000-0005-0000-0000-000062520000}"/>
    <cellStyle name="Note 2 4 3 2 4 2" xfId="28327" xr:uid="{00000000-0005-0000-0000-000063520000}"/>
    <cellStyle name="Note 2 4 3 2 4 3" xfId="39172" xr:uid="{00000000-0005-0000-0000-000064520000}"/>
    <cellStyle name="Note 2 4 3 2 5" xfId="20151" xr:uid="{00000000-0005-0000-0000-000065520000}"/>
    <cellStyle name="Note 2 4 3 2 6" xfId="30996" xr:uid="{00000000-0005-0000-0000-000066520000}"/>
    <cellStyle name="Note 2 4 3 3" xfId="1567" xr:uid="{00000000-0005-0000-0000-000067520000}"/>
    <cellStyle name="Note 2 4 3 3 2" xfId="4420" xr:uid="{00000000-0005-0000-0000-000068520000}"/>
    <cellStyle name="Note 2 4 3 3 2 2" xfId="23392" xr:uid="{00000000-0005-0000-0000-000069520000}"/>
    <cellStyle name="Note 2 4 3 3 2 3" xfId="34237" xr:uid="{00000000-0005-0000-0000-00006A520000}"/>
    <cellStyle name="Note 2 4 3 3 3" xfId="7092" xr:uid="{00000000-0005-0000-0000-00006B520000}"/>
    <cellStyle name="Note 2 4 3 3 3 2" xfId="26064" xr:uid="{00000000-0005-0000-0000-00006C520000}"/>
    <cellStyle name="Note 2 4 3 3 3 3" xfId="36909" xr:uid="{00000000-0005-0000-0000-00006D520000}"/>
    <cellStyle name="Note 2 4 3 3 4" xfId="9751" xr:uid="{00000000-0005-0000-0000-00006E520000}"/>
    <cellStyle name="Note 2 4 3 3 4 2" xfId="28723" xr:uid="{00000000-0005-0000-0000-00006F520000}"/>
    <cellStyle name="Note 2 4 3 3 4 3" xfId="39568" xr:uid="{00000000-0005-0000-0000-000070520000}"/>
    <cellStyle name="Note 2 4 3 3 5" xfId="20547" xr:uid="{00000000-0005-0000-0000-000071520000}"/>
    <cellStyle name="Note 2 4 3 3 6" xfId="31392" xr:uid="{00000000-0005-0000-0000-000072520000}"/>
    <cellStyle name="Note 2 4 3 4" xfId="1971" xr:uid="{00000000-0005-0000-0000-000073520000}"/>
    <cellStyle name="Note 2 4 3 4 2" xfId="4824" xr:uid="{00000000-0005-0000-0000-000074520000}"/>
    <cellStyle name="Note 2 4 3 4 2 2" xfId="23796" xr:uid="{00000000-0005-0000-0000-000075520000}"/>
    <cellStyle name="Note 2 4 3 4 2 3" xfId="34641" xr:uid="{00000000-0005-0000-0000-000076520000}"/>
    <cellStyle name="Note 2 4 3 4 3" xfId="7496" xr:uid="{00000000-0005-0000-0000-000077520000}"/>
    <cellStyle name="Note 2 4 3 4 3 2" xfId="26468" xr:uid="{00000000-0005-0000-0000-000078520000}"/>
    <cellStyle name="Note 2 4 3 4 3 3" xfId="37313" xr:uid="{00000000-0005-0000-0000-000079520000}"/>
    <cellStyle name="Note 2 4 3 4 4" xfId="10155" xr:uid="{00000000-0005-0000-0000-00007A520000}"/>
    <cellStyle name="Note 2 4 3 4 4 2" xfId="29127" xr:uid="{00000000-0005-0000-0000-00007B520000}"/>
    <cellStyle name="Note 2 4 3 4 4 3" xfId="39972" xr:uid="{00000000-0005-0000-0000-00007C520000}"/>
    <cellStyle name="Note 2 4 3 4 5" xfId="20951" xr:uid="{00000000-0005-0000-0000-00007D520000}"/>
    <cellStyle name="Note 2 4 3 4 6" xfId="31796" xr:uid="{00000000-0005-0000-0000-00007E520000}"/>
    <cellStyle name="Note 2 4 3 5" xfId="2363" xr:uid="{00000000-0005-0000-0000-00007F520000}"/>
    <cellStyle name="Note 2 4 3 5 2" xfId="5216" xr:uid="{00000000-0005-0000-0000-000080520000}"/>
    <cellStyle name="Note 2 4 3 5 2 2" xfId="24188" xr:uid="{00000000-0005-0000-0000-000081520000}"/>
    <cellStyle name="Note 2 4 3 5 2 3" xfId="35033" xr:uid="{00000000-0005-0000-0000-000082520000}"/>
    <cellStyle name="Note 2 4 3 5 3" xfId="7887" xr:uid="{00000000-0005-0000-0000-000083520000}"/>
    <cellStyle name="Note 2 4 3 5 3 2" xfId="26859" xr:uid="{00000000-0005-0000-0000-000084520000}"/>
    <cellStyle name="Note 2 4 3 5 3 3" xfId="37704" xr:uid="{00000000-0005-0000-0000-000085520000}"/>
    <cellStyle name="Note 2 4 3 5 4" xfId="10546" xr:uid="{00000000-0005-0000-0000-000086520000}"/>
    <cellStyle name="Note 2 4 3 5 4 2" xfId="29518" xr:uid="{00000000-0005-0000-0000-000087520000}"/>
    <cellStyle name="Note 2 4 3 5 4 3" xfId="40363" xr:uid="{00000000-0005-0000-0000-000088520000}"/>
    <cellStyle name="Note 2 4 3 5 5" xfId="21342" xr:uid="{00000000-0005-0000-0000-000089520000}"/>
    <cellStyle name="Note 2 4 3 5 6" xfId="32187" xr:uid="{00000000-0005-0000-0000-00008A520000}"/>
    <cellStyle name="Note 2 4 3 6" xfId="2752" xr:uid="{00000000-0005-0000-0000-00008B520000}"/>
    <cellStyle name="Note 2 4 3 6 2" xfId="5604" xr:uid="{00000000-0005-0000-0000-00008C520000}"/>
    <cellStyle name="Note 2 4 3 6 2 2" xfId="24576" xr:uid="{00000000-0005-0000-0000-00008D520000}"/>
    <cellStyle name="Note 2 4 3 6 2 3" xfId="35421" xr:uid="{00000000-0005-0000-0000-00008E520000}"/>
    <cellStyle name="Note 2 4 3 6 3" xfId="8275" xr:uid="{00000000-0005-0000-0000-00008F520000}"/>
    <cellStyle name="Note 2 4 3 6 3 2" xfId="27247" xr:uid="{00000000-0005-0000-0000-000090520000}"/>
    <cellStyle name="Note 2 4 3 6 3 3" xfId="38092" xr:uid="{00000000-0005-0000-0000-000091520000}"/>
    <cellStyle name="Note 2 4 3 6 4" xfId="10934" xr:uid="{00000000-0005-0000-0000-000092520000}"/>
    <cellStyle name="Note 2 4 3 6 4 2" xfId="29906" xr:uid="{00000000-0005-0000-0000-000093520000}"/>
    <cellStyle name="Note 2 4 3 6 4 3" xfId="40751" xr:uid="{00000000-0005-0000-0000-000094520000}"/>
    <cellStyle name="Note 2 4 3 6 5" xfId="21730" xr:uid="{00000000-0005-0000-0000-000095520000}"/>
    <cellStyle name="Note 2 4 3 6 6" xfId="32575" xr:uid="{00000000-0005-0000-0000-000096520000}"/>
    <cellStyle name="Note 2 4 3 7" xfId="3443" xr:uid="{00000000-0005-0000-0000-000097520000}"/>
    <cellStyle name="Note 2 4 3 7 2" xfId="22415" xr:uid="{00000000-0005-0000-0000-000098520000}"/>
    <cellStyle name="Note 2 4 3 7 3" xfId="33260" xr:uid="{00000000-0005-0000-0000-000099520000}"/>
    <cellStyle name="Note 2 4 3 8" xfId="6119" xr:uid="{00000000-0005-0000-0000-00009A520000}"/>
    <cellStyle name="Note 2 4 3 8 2" xfId="25091" xr:uid="{00000000-0005-0000-0000-00009B520000}"/>
    <cellStyle name="Note 2 4 3 8 3" xfId="35936" xr:uid="{00000000-0005-0000-0000-00009C520000}"/>
    <cellStyle name="Note 2 4 3 9" xfId="8778" xr:uid="{00000000-0005-0000-0000-00009D520000}"/>
    <cellStyle name="Note 2 4 3 9 2" xfId="27750" xr:uid="{00000000-0005-0000-0000-00009E520000}"/>
    <cellStyle name="Note 2 4 3 9 3" xfId="38595" xr:uid="{00000000-0005-0000-0000-00009F520000}"/>
    <cellStyle name="Note 2 4 4" xfId="41475" xr:uid="{00000000-0005-0000-0000-0000A0520000}"/>
    <cellStyle name="Note 2 5" xfId="130" xr:uid="{00000000-0005-0000-0000-0000A1520000}"/>
    <cellStyle name="Note 2 5 2" xfId="382" xr:uid="{00000000-0005-0000-0000-0000A2520000}"/>
    <cellStyle name="Note 2 5 2 10" xfId="1036" xr:uid="{00000000-0005-0000-0000-0000A3520000}"/>
    <cellStyle name="Note 2 5 2 10 2" xfId="3889" xr:uid="{00000000-0005-0000-0000-0000A4520000}"/>
    <cellStyle name="Note 2 5 2 10 2 2" xfId="22861" xr:uid="{00000000-0005-0000-0000-0000A5520000}"/>
    <cellStyle name="Note 2 5 2 10 2 3" xfId="33706" xr:uid="{00000000-0005-0000-0000-0000A6520000}"/>
    <cellStyle name="Note 2 5 2 10 3" xfId="6563" xr:uid="{00000000-0005-0000-0000-0000A7520000}"/>
    <cellStyle name="Note 2 5 2 10 3 2" xfId="25535" xr:uid="{00000000-0005-0000-0000-0000A8520000}"/>
    <cellStyle name="Note 2 5 2 10 3 3" xfId="36380" xr:uid="{00000000-0005-0000-0000-0000A9520000}"/>
    <cellStyle name="Note 2 5 2 10 4" xfId="9222" xr:uid="{00000000-0005-0000-0000-0000AA520000}"/>
    <cellStyle name="Note 2 5 2 10 4 2" xfId="28194" xr:uid="{00000000-0005-0000-0000-0000AB520000}"/>
    <cellStyle name="Note 2 5 2 10 4 3" xfId="39039" xr:uid="{00000000-0005-0000-0000-0000AC520000}"/>
    <cellStyle name="Note 2 5 2 10 5" xfId="20018" xr:uid="{00000000-0005-0000-0000-0000AD520000}"/>
    <cellStyle name="Note 2 5 2 10 6" xfId="30863" xr:uid="{00000000-0005-0000-0000-0000AE520000}"/>
    <cellStyle name="Note 2 5 2 11" xfId="968" xr:uid="{00000000-0005-0000-0000-0000AF520000}"/>
    <cellStyle name="Note 2 5 2 11 2" xfId="3821" xr:uid="{00000000-0005-0000-0000-0000B0520000}"/>
    <cellStyle name="Note 2 5 2 11 2 2" xfId="22793" xr:uid="{00000000-0005-0000-0000-0000B1520000}"/>
    <cellStyle name="Note 2 5 2 11 2 3" xfId="33638" xr:uid="{00000000-0005-0000-0000-0000B2520000}"/>
    <cellStyle name="Note 2 5 2 11 3" xfId="6496" xr:uid="{00000000-0005-0000-0000-0000B3520000}"/>
    <cellStyle name="Note 2 5 2 11 3 2" xfId="25468" xr:uid="{00000000-0005-0000-0000-0000B4520000}"/>
    <cellStyle name="Note 2 5 2 11 3 3" xfId="36313" xr:uid="{00000000-0005-0000-0000-0000B5520000}"/>
    <cellStyle name="Note 2 5 2 11 4" xfId="9155" xr:uid="{00000000-0005-0000-0000-0000B6520000}"/>
    <cellStyle name="Note 2 5 2 11 4 2" xfId="28127" xr:uid="{00000000-0005-0000-0000-0000B7520000}"/>
    <cellStyle name="Note 2 5 2 11 4 3" xfId="38972" xr:uid="{00000000-0005-0000-0000-0000B8520000}"/>
    <cellStyle name="Note 2 5 2 11 5" xfId="19951" xr:uid="{00000000-0005-0000-0000-0000B9520000}"/>
    <cellStyle name="Note 2 5 2 11 6" xfId="30796" xr:uid="{00000000-0005-0000-0000-0000BA520000}"/>
    <cellStyle name="Note 2 5 2 12" xfId="3117" xr:uid="{00000000-0005-0000-0000-0000BB520000}"/>
    <cellStyle name="Note 2 5 2 12 2" xfId="5968" xr:uid="{00000000-0005-0000-0000-0000BC520000}"/>
    <cellStyle name="Note 2 5 2 12 2 2" xfId="24940" xr:uid="{00000000-0005-0000-0000-0000BD520000}"/>
    <cellStyle name="Note 2 5 2 12 2 3" xfId="35785" xr:uid="{00000000-0005-0000-0000-0000BE520000}"/>
    <cellStyle name="Note 2 5 2 12 3" xfId="8639" xr:uid="{00000000-0005-0000-0000-0000BF520000}"/>
    <cellStyle name="Note 2 5 2 12 3 2" xfId="27611" xr:uid="{00000000-0005-0000-0000-0000C0520000}"/>
    <cellStyle name="Note 2 5 2 12 3 3" xfId="38456" xr:uid="{00000000-0005-0000-0000-0000C1520000}"/>
    <cellStyle name="Note 2 5 2 12 4" xfId="11298" xr:uid="{00000000-0005-0000-0000-0000C2520000}"/>
    <cellStyle name="Note 2 5 2 12 4 2" xfId="30270" xr:uid="{00000000-0005-0000-0000-0000C3520000}"/>
    <cellStyle name="Note 2 5 2 12 4 3" xfId="41115" xr:uid="{00000000-0005-0000-0000-0000C4520000}"/>
    <cellStyle name="Note 2 5 2 12 5" xfId="22094" xr:uid="{00000000-0005-0000-0000-0000C5520000}"/>
    <cellStyle name="Note 2 5 2 12 6" xfId="32939" xr:uid="{00000000-0005-0000-0000-0000C6520000}"/>
    <cellStyle name="Note 2 5 2 13" xfId="3174" xr:uid="{00000000-0005-0000-0000-0000C7520000}"/>
    <cellStyle name="Note 2 5 2 13 2" xfId="6025" xr:uid="{00000000-0005-0000-0000-0000C8520000}"/>
    <cellStyle name="Note 2 5 2 13 2 2" xfId="24997" xr:uid="{00000000-0005-0000-0000-0000C9520000}"/>
    <cellStyle name="Note 2 5 2 13 2 3" xfId="35842" xr:uid="{00000000-0005-0000-0000-0000CA520000}"/>
    <cellStyle name="Note 2 5 2 13 3" xfId="8696" xr:uid="{00000000-0005-0000-0000-0000CB520000}"/>
    <cellStyle name="Note 2 5 2 13 3 2" xfId="27668" xr:uid="{00000000-0005-0000-0000-0000CC520000}"/>
    <cellStyle name="Note 2 5 2 13 3 3" xfId="38513" xr:uid="{00000000-0005-0000-0000-0000CD520000}"/>
    <cellStyle name="Note 2 5 2 13 4" xfId="11355" xr:uid="{00000000-0005-0000-0000-0000CE520000}"/>
    <cellStyle name="Note 2 5 2 13 4 2" xfId="30327" xr:uid="{00000000-0005-0000-0000-0000CF520000}"/>
    <cellStyle name="Note 2 5 2 13 4 3" xfId="41172" xr:uid="{00000000-0005-0000-0000-0000D0520000}"/>
    <cellStyle name="Note 2 5 2 13 5" xfId="22151" xr:uid="{00000000-0005-0000-0000-0000D1520000}"/>
    <cellStyle name="Note 2 5 2 13 6" xfId="32996" xr:uid="{00000000-0005-0000-0000-0000D2520000}"/>
    <cellStyle name="Note 2 5 2 14" xfId="3340" xr:uid="{00000000-0005-0000-0000-0000D3520000}"/>
    <cellStyle name="Note 2 5 2 14 2" xfId="22314" xr:uid="{00000000-0005-0000-0000-0000D4520000}"/>
    <cellStyle name="Note 2 5 2 14 3" xfId="33159" xr:uid="{00000000-0005-0000-0000-0000D5520000}"/>
    <cellStyle name="Note 2 5 2 15" xfId="3304" xr:uid="{00000000-0005-0000-0000-0000D6520000}"/>
    <cellStyle name="Note 2 5 2 15 2" xfId="22278" xr:uid="{00000000-0005-0000-0000-0000D7520000}"/>
    <cellStyle name="Note 2 5 2 15 3" xfId="33123" xr:uid="{00000000-0005-0000-0000-0000D8520000}"/>
    <cellStyle name="Note 2 5 2 16" xfId="3274" xr:uid="{00000000-0005-0000-0000-0000D9520000}"/>
    <cellStyle name="Note 2 5 2 16 2" xfId="22248" xr:uid="{00000000-0005-0000-0000-0000DA520000}"/>
    <cellStyle name="Note 2 5 2 16 3" xfId="33093" xr:uid="{00000000-0005-0000-0000-0000DB520000}"/>
    <cellStyle name="Note 2 5 2 17" xfId="19471" xr:uid="{00000000-0005-0000-0000-0000DC520000}"/>
    <cellStyle name="Note 2 5 2 18" xfId="19432" xr:uid="{00000000-0005-0000-0000-0000DD520000}"/>
    <cellStyle name="Note 2 5 2 2" xfId="682" xr:uid="{00000000-0005-0000-0000-0000DE520000}"/>
    <cellStyle name="Note 2 5 2 2 10" xfId="19667" xr:uid="{00000000-0005-0000-0000-0000DF520000}"/>
    <cellStyle name="Note 2 5 2 2 11" xfId="30512" xr:uid="{00000000-0005-0000-0000-0000E0520000}"/>
    <cellStyle name="Note 2 5 2 2 2" xfId="1269" xr:uid="{00000000-0005-0000-0000-0000E1520000}"/>
    <cellStyle name="Note 2 5 2 2 2 2" xfId="4122" xr:uid="{00000000-0005-0000-0000-0000E2520000}"/>
    <cellStyle name="Note 2 5 2 2 2 2 2" xfId="23094" xr:uid="{00000000-0005-0000-0000-0000E3520000}"/>
    <cellStyle name="Note 2 5 2 2 2 2 3" xfId="33939" xr:uid="{00000000-0005-0000-0000-0000E4520000}"/>
    <cellStyle name="Note 2 5 2 2 2 3" xfId="6795" xr:uid="{00000000-0005-0000-0000-0000E5520000}"/>
    <cellStyle name="Note 2 5 2 2 2 3 2" xfId="25767" xr:uid="{00000000-0005-0000-0000-0000E6520000}"/>
    <cellStyle name="Note 2 5 2 2 2 3 3" xfId="36612" xr:uid="{00000000-0005-0000-0000-0000E7520000}"/>
    <cellStyle name="Note 2 5 2 2 2 4" xfId="9454" xr:uid="{00000000-0005-0000-0000-0000E8520000}"/>
    <cellStyle name="Note 2 5 2 2 2 4 2" xfId="28426" xr:uid="{00000000-0005-0000-0000-0000E9520000}"/>
    <cellStyle name="Note 2 5 2 2 2 4 3" xfId="39271" xr:uid="{00000000-0005-0000-0000-0000EA520000}"/>
    <cellStyle name="Note 2 5 2 2 2 5" xfId="20250" xr:uid="{00000000-0005-0000-0000-0000EB520000}"/>
    <cellStyle name="Note 2 5 2 2 2 6" xfId="31095" xr:uid="{00000000-0005-0000-0000-0000EC520000}"/>
    <cellStyle name="Note 2 5 2 2 3" xfId="1668" xr:uid="{00000000-0005-0000-0000-0000ED520000}"/>
    <cellStyle name="Note 2 5 2 2 3 2" xfId="4521" xr:uid="{00000000-0005-0000-0000-0000EE520000}"/>
    <cellStyle name="Note 2 5 2 2 3 2 2" xfId="23493" xr:uid="{00000000-0005-0000-0000-0000EF520000}"/>
    <cellStyle name="Note 2 5 2 2 3 2 3" xfId="34338" xr:uid="{00000000-0005-0000-0000-0000F0520000}"/>
    <cellStyle name="Note 2 5 2 2 3 3" xfId="7193" xr:uid="{00000000-0005-0000-0000-0000F1520000}"/>
    <cellStyle name="Note 2 5 2 2 3 3 2" xfId="26165" xr:uid="{00000000-0005-0000-0000-0000F2520000}"/>
    <cellStyle name="Note 2 5 2 2 3 3 3" xfId="37010" xr:uid="{00000000-0005-0000-0000-0000F3520000}"/>
    <cellStyle name="Note 2 5 2 2 3 4" xfId="9852" xr:uid="{00000000-0005-0000-0000-0000F4520000}"/>
    <cellStyle name="Note 2 5 2 2 3 4 2" xfId="28824" xr:uid="{00000000-0005-0000-0000-0000F5520000}"/>
    <cellStyle name="Note 2 5 2 2 3 4 3" xfId="39669" xr:uid="{00000000-0005-0000-0000-0000F6520000}"/>
    <cellStyle name="Note 2 5 2 2 3 5" xfId="20648" xr:uid="{00000000-0005-0000-0000-0000F7520000}"/>
    <cellStyle name="Note 2 5 2 2 3 6" xfId="31493" xr:uid="{00000000-0005-0000-0000-0000F8520000}"/>
    <cellStyle name="Note 2 5 2 2 4" xfId="2072" xr:uid="{00000000-0005-0000-0000-0000F9520000}"/>
    <cellStyle name="Note 2 5 2 2 4 2" xfId="4925" xr:uid="{00000000-0005-0000-0000-0000FA520000}"/>
    <cellStyle name="Note 2 5 2 2 4 2 2" xfId="23897" xr:uid="{00000000-0005-0000-0000-0000FB520000}"/>
    <cellStyle name="Note 2 5 2 2 4 2 3" xfId="34742" xr:uid="{00000000-0005-0000-0000-0000FC520000}"/>
    <cellStyle name="Note 2 5 2 2 4 3" xfId="7596" xr:uid="{00000000-0005-0000-0000-0000FD520000}"/>
    <cellStyle name="Note 2 5 2 2 4 3 2" xfId="26568" xr:uid="{00000000-0005-0000-0000-0000FE520000}"/>
    <cellStyle name="Note 2 5 2 2 4 3 3" xfId="37413" xr:uid="{00000000-0005-0000-0000-0000FF520000}"/>
    <cellStyle name="Note 2 5 2 2 4 4" xfId="10255" xr:uid="{00000000-0005-0000-0000-000000530000}"/>
    <cellStyle name="Note 2 5 2 2 4 4 2" xfId="29227" xr:uid="{00000000-0005-0000-0000-000001530000}"/>
    <cellStyle name="Note 2 5 2 2 4 4 3" xfId="40072" xr:uid="{00000000-0005-0000-0000-000002530000}"/>
    <cellStyle name="Note 2 5 2 2 4 5" xfId="21051" xr:uid="{00000000-0005-0000-0000-000003530000}"/>
    <cellStyle name="Note 2 5 2 2 4 6" xfId="31896" xr:uid="{00000000-0005-0000-0000-000004530000}"/>
    <cellStyle name="Note 2 5 2 2 5" xfId="2462" xr:uid="{00000000-0005-0000-0000-000005530000}"/>
    <cellStyle name="Note 2 5 2 2 5 2" xfId="5314" xr:uid="{00000000-0005-0000-0000-000006530000}"/>
    <cellStyle name="Note 2 5 2 2 5 2 2" xfId="24286" xr:uid="{00000000-0005-0000-0000-000007530000}"/>
    <cellStyle name="Note 2 5 2 2 5 2 3" xfId="35131" xr:uid="{00000000-0005-0000-0000-000008530000}"/>
    <cellStyle name="Note 2 5 2 2 5 3" xfId="7985" xr:uid="{00000000-0005-0000-0000-000009530000}"/>
    <cellStyle name="Note 2 5 2 2 5 3 2" xfId="26957" xr:uid="{00000000-0005-0000-0000-00000A530000}"/>
    <cellStyle name="Note 2 5 2 2 5 3 3" xfId="37802" xr:uid="{00000000-0005-0000-0000-00000B530000}"/>
    <cellStyle name="Note 2 5 2 2 5 4" xfId="10644" xr:uid="{00000000-0005-0000-0000-00000C530000}"/>
    <cellStyle name="Note 2 5 2 2 5 4 2" xfId="29616" xr:uid="{00000000-0005-0000-0000-00000D530000}"/>
    <cellStyle name="Note 2 5 2 2 5 4 3" xfId="40461" xr:uid="{00000000-0005-0000-0000-00000E530000}"/>
    <cellStyle name="Note 2 5 2 2 5 5" xfId="21440" xr:uid="{00000000-0005-0000-0000-00000F530000}"/>
    <cellStyle name="Note 2 5 2 2 5 6" xfId="32285" xr:uid="{00000000-0005-0000-0000-000010530000}"/>
    <cellStyle name="Note 2 5 2 2 6" xfId="2848" xr:uid="{00000000-0005-0000-0000-000011530000}"/>
    <cellStyle name="Note 2 5 2 2 6 2" xfId="5699" xr:uid="{00000000-0005-0000-0000-000012530000}"/>
    <cellStyle name="Note 2 5 2 2 6 2 2" xfId="24671" xr:uid="{00000000-0005-0000-0000-000013530000}"/>
    <cellStyle name="Note 2 5 2 2 6 2 3" xfId="35516" xr:uid="{00000000-0005-0000-0000-000014530000}"/>
    <cellStyle name="Note 2 5 2 2 6 3" xfId="8370" xr:uid="{00000000-0005-0000-0000-000015530000}"/>
    <cellStyle name="Note 2 5 2 2 6 3 2" xfId="27342" xr:uid="{00000000-0005-0000-0000-000016530000}"/>
    <cellStyle name="Note 2 5 2 2 6 3 3" xfId="38187" xr:uid="{00000000-0005-0000-0000-000017530000}"/>
    <cellStyle name="Note 2 5 2 2 6 4" xfId="11029" xr:uid="{00000000-0005-0000-0000-000018530000}"/>
    <cellStyle name="Note 2 5 2 2 6 4 2" xfId="30001" xr:uid="{00000000-0005-0000-0000-000019530000}"/>
    <cellStyle name="Note 2 5 2 2 6 4 3" xfId="40846" xr:uid="{00000000-0005-0000-0000-00001A530000}"/>
    <cellStyle name="Note 2 5 2 2 6 5" xfId="21825" xr:uid="{00000000-0005-0000-0000-00001B530000}"/>
    <cellStyle name="Note 2 5 2 2 6 6" xfId="32670" xr:uid="{00000000-0005-0000-0000-00001C530000}"/>
    <cellStyle name="Note 2 5 2 2 7" xfId="3537" xr:uid="{00000000-0005-0000-0000-00001D530000}"/>
    <cellStyle name="Note 2 5 2 2 7 2" xfId="22509" xr:uid="{00000000-0005-0000-0000-00001E530000}"/>
    <cellStyle name="Note 2 5 2 2 7 3" xfId="33354" xr:uid="{00000000-0005-0000-0000-00001F530000}"/>
    <cellStyle name="Note 2 5 2 2 8" xfId="6212" xr:uid="{00000000-0005-0000-0000-000020530000}"/>
    <cellStyle name="Note 2 5 2 2 8 2" xfId="25184" xr:uid="{00000000-0005-0000-0000-000021530000}"/>
    <cellStyle name="Note 2 5 2 2 8 3" xfId="36029" xr:uid="{00000000-0005-0000-0000-000022530000}"/>
    <cellStyle name="Note 2 5 2 2 9" xfId="8871" xr:uid="{00000000-0005-0000-0000-000023530000}"/>
    <cellStyle name="Note 2 5 2 2 9 2" xfId="27843" xr:uid="{00000000-0005-0000-0000-000024530000}"/>
    <cellStyle name="Note 2 5 2 2 9 3" xfId="38688" xr:uid="{00000000-0005-0000-0000-000025530000}"/>
    <cellStyle name="Note 2 5 2 3" xfId="742" xr:uid="{00000000-0005-0000-0000-000026530000}"/>
    <cellStyle name="Note 2 5 2 3 10" xfId="19727" xr:uid="{00000000-0005-0000-0000-000027530000}"/>
    <cellStyle name="Note 2 5 2 3 11" xfId="30572" xr:uid="{00000000-0005-0000-0000-000028530000}"/>
    <cellStyle name="Note 2 5 2 3 2" xfId="1329" xr:uid="{00000000-0005-0000-0000-000029530000}"/>
    <cellStyle name="Note 2 5 2 3 2 2" xfId="4182" xr:uid="{00000000-0005-0000-0000-00002A530000}"/>
    <cellStyle name="Note 2 5 2 3 2 2 2" xfId="23154" xr:uid="{00000000-0005-0000-0000-00002B530000}"/>
    <cellStyle name="Note 2 5 2 3 2 2 3" xfId="33999" xr:uid="{00000000-0005-0000-0000-00002C530000}"/>
    <cellStyle name="Note 2 5 2 3 2 3" xfId="6855" xr:uid="{00000000-0005-0000-0000-00002D530000}"/>
    <cellStyle name="Note 2 5 2 3 2 3 2" xfId="25827" xr:uid="{00000000-0005-0000-0000-00002E530000}"/>
    <cellStyle name="Note 2 5 2 3 2 3 3" xfId="36672" xr:uid="{00000000-0005-0000-0000-00002F530000}"/>
    <cellStyle name="Note 2 5 2 3 2 4" xfId="9514" xr:uid="{00000000-0005-0000-0000-000030530000}"/>
    <cellStyle name="Note 2 5 2 3 2 4 2" xfId="28486" xr:uid="{00000000-0005-0000-0000-000031530000}"/>
    <cellStyle name="Note 2 5 2 3 2 4 3" xfId="39331" xr:uid="{00000000-0005-0000-0000-000032530000}"/>
    <cellStyle name="Note 2 5 2 3 2 5" xfId="20310" xr:uid="{00000000-0005-0000-0000-000033530000}"/>
    <cellStyle name="Note 2 5 2 3 2 6" xfId="31155" xr:uid="{00000000-0005-0000-0000-000034530000}"/>
    <cellStyle name="Note 2 5 2 3 3" xfId="1728" xr:uid="{00000000-0005-0000-0000-000035530000}"/>
    <cellStyle name="Note 2 5 2 3 3 2" xfId="4581" xr:uid="{00000000-0005-0000-0000-000036530000}"/>
    <cellStyle name="Note 2 5 2 3 3 2 2" xfId="23553" xr:uid="{00000000-0005-0000-0000-000037530000}"/>
    <cellStyle name="Note 2 5 2 3 3 2 3" xfId="34398" xr:uid="{00000000-0005-0000-0000-000038530000}"/>
    <cellStyle name="Note 2 5 2 3 3 3" xfId="7253" xr:uid="{00000000-0005-0000-0000-000039530000}"/>
    <cellStyle name="Note 2 5 2 3 3 3 2" xfId="26225" xr:uid="{00000000-0005-0000-0000-00003A530000}"/>
    <cellStyle name="Note 2 5 2 3 3 3 3" xfId="37070" xr:uid="{00000000-0005-0000-0000-00003B530000}"/>
    <cellStyle name="Note 2 5 2 3 3 4" xfId="9912" xr:uid="{00000000-0005-0000-0000-00003C530000}"/>
    <cellStyle name="Note 2 5 2 3 3 4 2" xfId="28884" xr:uid="{00000000-0005-0000-0000-00003D530000}"/>
    <cellStyle name="Note 2 5 2 3 3 4 3" xfId="39729" xr:uid="{00000000-0005-0000-0000-00003E530000}"/>
    <cellStyle name="Note 2 5 2 3 3 5" xfId="20708" xr:uid="{00000000-0005-0000-0000-00003F530000}"/>
    <cellStyle name="Note 2 5 2 3 3 6" xfId="31553" xr:uid="{00000000-0005-0000-0000-000040530000}"/>
    <cellStyle name="Note 2 5 2 3 4" xfId="2132" xr:uid="{00000000-0005-0000-0000-000041530000}"/>
    <cellStyle name="Note 2 5 2 3 4 2" xfId="4985" xr:uid="{00000000-0005-0000-0000-000042530000}"/>
    <cellStyle name="Note 2 5 2 3 4 2 2" xfId="23957" xr:uid="{00000000-0005-0000-0000-000043530000}"/>
    <cellStyle name="Note 2 5 2 3 4 2 3" xfId="34802" xr:uid="{00000000-0005-0000-0000-000044530000}"/>
    <cellStyle name="Note 2 5 2 3 4 3" xfId="7656" xr:uid="{00000000-0005-0000-0000-000045530000}"/>
    <cellStyle name="Note 2 5 2 3 4 3 2" xfId="26628" xr:uid="{00000000-0005-0000-0000-000046530000}"/>
    <cellStyle name="Note 2 5 2 3 4 3 3" xfId="37473" xr:uid="{00000000-0005-0000-0000-000047530000}"/>
    <cellStyle name="Note 2 5 2 3 4 4" xfId="10315" xr:uid="{00000000-0005-0000-0000-000048530000}"/>
    <cellStyle name="Note 2 5 2 3 4 4 2" xfId="29287" xr:uid="{00000000-0005-0000-0000-000049530000}"/>
    <cellStyle name="Note 2 5 2 3 4 4 3" xfId="40132" xr:uid="{00000000-0005-0000-0000-00004A530000}"/>
    <cellStyle name="Note 2 5 2 3 4 5" xfId="21111" xr:uid="{00000000-0005-0000-0000-00004B530000}"/>
    <cellStyle name="Note 2 5 2 3 4 6" xfId="31956" xr:uid="{00000000-0005-0000-0000-00004C530000}"/>
    <cellStyle name="Note 2 5 2 3 5" xfId="2522" xr:uid="{00000000-0005-0000-0000-00004D530000}"/>
    <cellStyle name="Note 2 5 2 3 5 2" xfId="5374" xr:uid="{00000000-0005-0000-0000-00004E530000}"/>
    <cellStyle name="Note 2 5 2 3 5 2 2" xfId="24346" xr:uid="{00000000-0005-0000-0000-00004F530000}"/>
    <cellStyle name="Note 2 5 2 3 5 2 3" xfId="35191" xr:uid="{00000000-0005-0000-0000-000050530000}"/>
    <cellStyle name="Note 2 5 2 3 5 3" xfId="8045" xr:uid="{00000000-0005-0000-0000-000051530000}"/>
    <cellStyle name="Note 2 5 2 3 5 3 2" xfId="27017" xr:uid="{00000000-0005-0000-0000-000052530000}"/>
    <cellStyle name="Note 2 5 2 3 5 3 3" xfId="37862" xr:uid="{00000000-0005-0000-0000-000053530000}"/>
    <cellStyle name="Note 2 5 2 3 5 4" xfId="10704" xr:uid="{00000000-0005-0000-0000-000054530000}"/>
    <cellStyle name="Note 2 5 2 3 5 4 2" xfId="29676" xr:uid="{00000000-0005-0000-0000-000055530000}"/>
    <cellStyle name="Note 2 5 2 3 5 4 3" xfId="40521" xr:uid="{00000000-0005-0000-0000-000056530000}"/>
    <cellStyle name="Note 2 5 2 3 5 5" xfId="21500" xr:uid="{00000000-0005-0000-0000-000057530000}"/>
    <cellStyle name="Note 2 5 2 3 5 6" xfId="32345" xr:uid="{00000000-0005-0000-0000-000058530000}"/>
    <cellStyle name="Note 2 5 2 3 6" xfId="2908" xr:uid="{00000000-0005-0000-0000-000059530000}"/>
    <cellStyle name="Note 2 5 2 3 6 2" xfId="5759" xr:uid="{00000000-0005-0000-0000-00005A530000}"/>
    <cellStyle name="Note 2 5 2 3 6 2 2" xfId="24731" xr:uid="{00000000-0005-0000-0000-00005B530000}"/>
    <cellStyle name="Note 2 5 2 3 6 2 3" xfId="35576" xr:uid="{00000000-0005-0000-0000-00005C530000}"/>
    <cellStyle name="Note 2 5 2 3 6 3" xfId="8430" xr:uid="{00000000-0005-0000-0000-00005D530000}"/>
    <cellStyle name="Note 2 5 2 3 6 3 2" xfId="27402" xr:uid="{00000000-0005-0000-0000-00005E530000}"/>
    <cellStyle name="Note 2 5 2 3 6 3 3" xfId="38247" xr:uid="{00000000-0005-0000-0000-00005F530000}"/>
    <cellStyle name="Note 2 5 2 3 6 4" xfId="11089" xr:uid="{00000000-0005-0000-0000-000060530000}"/>
    <cellStyle name="Note 2 5 2 3 6 4 2" xfId="30061" xr:uid="{00000000-0005-0000-0000-000061530000}"/>
    <cellStyle name="Note 2 5 2 3 6 4 3" xfId="40906" xr:uid="{00000000-0005-0000-0000-000062530000}"/>
    <cellStyle name="Note 2 5 2 3 6 5" xfId="21885" xr:uid="{00000000-0005-0000-0000-000063530000}"/>
    <cellStyle name="Note 2 5 2 3 6 6" xfId="32730" xr:uid="{00000000-0005-0000-0000-000064530000}"/>
    <cellStyle name="Note 2 5 2 3 7" xfId="3597" xr:uid="{00000000-0005-0000-0000-000065530000}"/>
    <cellStyle name="Note 2 5 2 3 7 2" xfId="22569" xr:uid="{00000000-0005-0000-0000-000066530000}"/>
    <cellStyle name="Note 2 5 2 3 7 3" xfId="33414" xr:uid="{00000000-0005-0000-0000-000067530000}"/>
    <cellStyle name="Note 2 5 2 3 8" xfId="6272" xr:uid="{00000000-0005-0000-0000-000068530000}"/>
    <cellStyle name="Note 2 5 2 3 8 2" xfId="25244" xr:uid="{00000000-0005-0000-0000-000069530000}"/>
    <cellStyle name="Note 2 5 2 3 8 3" xfId="36089" xr:uid="{00000000-0005-0000-0000-00006A530000}"/>
    <cellStyle name="Note 2 5 2 3 9" xfId="8931" xr:uid="{00000000-0005-0000-0000-00006B530000}"/>
    <cellStyle name="Note 2 5 2 3 9 2" xfId="27903" xr:uid="{00000000-0005-0000-0000-00006C530000}"/>
    <cellStyle name="Note 2 5 2 3 9 3" xfId="38748" xr:uid="{00000000-0005-0000-0000-00006D530000}"/>
    <cellStyle name="Note 2 5 2 4" xfId="802" xr:uid="{00000000-0005-0000-0000-00006E530000}"/>
    <cellStyle name="Note 2 5 2 4 10" xfId="19787" xr:uid="{00000000-0005-0000-0000-00006F530000}"/>
    <cellStyle name="Note 2 5 2 4 11" xfId="30632" xr:uid="{00000000-0005-0000-0000-000070530000}"/>
    <cellStyle name="Note 2 5 2 4 2" xfId="1389" xr:uid="{00000000-0005-0000-0000-000071530000}"/>
    <cellStyle name="Note 2 5 2 4 2 2" xfId="4242" xr:uid="{00000000-0005-0000-0000-000072530000}"/>
    <cellStyle name="Note 2 5 2 4 2 2 2" xfId="23214" xr:uid="{00000000-0005-0000-0000-000073530000}"/>
    <cellStyle name="Note 2 5 2 4 2 2 3" xfId="34059" xr:uid="{00000000-0005-0000-0000-000074530000}"/>
    <cellStyle name="Note 2 5 2 4 2 3" xfId="6915" xr:uid="{00000000-0005-0000-0000-000075530000}"/>
    <cellStyle name="Note 2 5 2 4 2 3 2" xfId="25887" xr:uid="{00000000-0005-0000-0000-000076530000}"/>
    <cellStyle name="Note 2 5 2 4 2 3 3" xfId="36732" xr:uid="{00000000-0005-0000-0000-000077530000}"/>
    <cellStyle name="Note 2 5 2 4 2 4" xfId="9574" xr:uid="{00000000-0005-0000-0000-000078530000}"/>
    <cellStyle name="Note 2 5 2 4 2 4 2" xfId="28546" xr:uid="{00000000-0005-0000-0000-000079530000}"/>
    <cellStyle name="Note 2 5 2 4 2 4 3" xfId="39391" xr:uid="{00000000-0005-0000-0000-00007A530000}"/>
    <cellStyle name="Note 2 5 2 4 2 5" xfId="20370" xr:uid="{00000000-0005-0000-0000-00007B530000}"/>
    <cellStyle name="Note 2 5 2 4 2 6" xfId="31215" xr:uid="{00000000-0005-0000-0000-00007C530000}"/>
    <cellStyle name="Note 2 5 2 4 3" xfId="1788" xr:uid="{00000000-0005-0000-0000-00007D530000}"/>
    <cellStyle name="Note 2 5 2 4 3 2" xfId="4641" xr:uid="{00000000-0005-0000-0000-00007E530000}"/>
    <cellStyle name="Note 2 5 2 4 3 2 2" xfId="23613" xr:uid="{00000000-0005-0000-0000-00007F530000}"/>
    <cellStyle name="Note 2 5 2 4 3 2 3" xfId="34458" xr:uid="{00000000-0005-0000-0000-000080530000}"/>
    <cellStyle name="Note 2 5 2 4 3 3" xfId="7313" xr:uid="{00000000-0005-0000-0000-000081530000}"/>
    <cellStyle name="Note 2 5 2 4 3 3 2" xfId="26285" xr:uid="{00000000-0005-0000-0000-000082530000}"/>
    <cellStyle name="Note 2 5 2 4 3 3 3" xfId="37130" xr:uid="{00000000-0005-0000-0000-000083530000}"/>
    <cellStyle name="Note 2 5 2 4 3 4" xfId="9972" xr:uid="{00000000-0005-0000-0000-000084530000}"/>
    <cellStyle name="Note 2 5 2 4 3 4 2" xfId="28944" xr:uid="{00000000-0005-0000-0000-000085530000}"/>
    <cellStyle name="Note 2 5 2 4 3 4 3" xfId="39789" xr:uid="{00000000-0005-0000-0000-000086530000}"/>
    <cellStyle name="Note 2 5 2 4 3 5" xfId="20768" xr:uid="{00000000-0005-0000-0000-000087530000}"/>
    <cellStyle name="Note 2 5 2 4 3 6" xfId="31613" xr:uid="{00000000-0005-0000-0000-000088530000}"/>
    <cellStyle name="Note 2 5 2 4 4" xfId="2192" xr:uid="{00000000-0005-0000-0000-000089530000}"/>
    <cellStyle name="Note 2 5 2 4 4 2" xfId="5045" xr:uid="{00000000-0005-0000-0000-00008A530000}"/>
    <cellStyle name="Note 2 5 2 4 4 2 2" xfId="24017" xr:uid="{00000000-0005-0000-0000-00008B530000}"/>
    <cellStyle name="Note 2 5 2 4 4 2 3" xfId="34862" xr:uid="{00000000-0005-0000-0000-00008C530000}"/>
    <cellStyle name="Note 2 5 2 4 4 3" xfId="7716" xr:uid="{00000000-0005-0000-0000-00008D530000}"/>
    <cellStyle name="Note 2 5 2 4 4 3 2" xfId="26688" xr:uid="{00000000-0005-0000-0000-00008E530000}"/>
    <cellStyle name="Note 2 5 2 4 4 3 3" xfId="37533" xr:uid="{00000000-0005-0000-0000-00008F530000}"/>
    <cellStyle name="Note 2 5 2 4 4 4" xfId="10375" xr:uid="{00000000-0005-0000-0000-000090530000}"/>
    <cellStyle name="Note 2 5 2 4 4 4 2" xfId="29347" xr:uid="{00000000-0005-0000-0000-000091530000}"/>
    <cellStyle name="Note 2 5 2 4 4 4 3" xfId="40192" xr:uid="{00000000-0005-0000-0000-000092530000}"/>
    <cellStyle name="Note 2 5 2 4 4 5" xfId="21171" xr:uid="{00000000-0005-0000-0000-000093530000}"/>
    <cellStyle name="Note 2 5 2 4 4 6" xfId="32016" xr:uid="{00000000-0005-0000-0000-000094530000}"/>
    <cellStyle name="Note 2 5 2 4 5" xfId="2582" xr:uid="{00000000-0005-0000-0000-000095530000}"/>
    <cellStyle name="Note 2 5 2 4 5 2" xfId="5434" xr:uid="{00000000-0005-0000-0000-000096530000}"/>
    <cellStyle name="Note 2 5 2 4 5 2 2" xfId="24406" xr:uid="{00000000-0005-0000-0000-000097530000}"/>
    <cellStyle name="Note 2 5 2 4 5 2 3" xfId="35251" xr:uid="{00000000-0005-0000-0000-000098530000}"/>
    <cellStyle name="Note 2 5 2 4 5 3" xfId="8105" xr:uid="{00000000-0005-0000-0000-000099530000}"/>
    <cellStyle name="Note 2 5 2 4 5 3 2" xfId="27077" xr:uid="{00000000-0005-0000-0000-00009A530000}"/>
    <cellStyle name="Note 2 5 2 4 5 3 3" xfId="37922" xr:uid="{00000000-0005-0000-0000-00009B530000}"/>
    <cellStyle name="Note 2 5 2 4 5 4" xfId="10764" xr:uid="{00000000-0005-0000-0000-00009C530000}"/>
    <cellStyle name="Note 2 5 2 4 5 4 2" xfId="29736" xr:uid="{00000000-0005-0000-0000-00009D530000}"/>
    <cellStyle name="Note 2 5 2 4 5 4 3" xfId="40581" xr:uid="{00000000-0005-0000-0000-00009E530000}"/>
    <cellStyle name="Note 2 5 2 4 5 5" xfId="21560" xr:uid="{00000000-0005-0000-0000-00009F530000}"/>
    <cellStyle name="Note 2 5 2 4 5 6" xfId="32405" xr:uid="{00000000-0005-0000-0000-0000A0530000}"/>
    <cellStyle name="Note 2 5 2 4 6" xfId="2968" xr:uid="{00000000-0005-0000-0000-0000A1530000}"/>
    <cellStyle name="Note 2 5 2 4 6 2" xfId="5819" xr:uid="{00000000-0005-0000-0000-0000A2530000}"/>
    <cellStyle name="Note 2 5 2 4 6 2 2" xfId="24791" xr:uid="{00000000-0005-0000-0000-0000A3530000}"/>
    <cellStyle name="Note 2 5 2 4 6 2 3" xfId="35636" xr:uid="{00000000-0005-0000-0000-0000A4530000}"/>
    <cellStyle name="Note 2 5 2 4 6 3" xfId="8490" xr:uid="{00000000-0005-0000-0000-0000A5530000}"/>
    <cellStyle name="Note 2 5 2 4 6 3 2" xfId="27462" xr:uid="{00000000-0005-0000-0000-0000A6530000}"/>
    <cellStyle name="Note 2 5 2 4 6 3 3" xfId="38307" xr:uid="{00000000-0005-0000-0000-0000A7530000}"/>
    <cellStyle name="Note 2 5 2 4 6 4" xfId="11149" xr:uid="{00000000-0005-0000-0000-0000A8530000}"/>
    <cellStyle name="Note 2 5 2 4 6 4 2" xfId="30121" xr:uid="{00000000-0005-0000-0000-0000A9530000}"/>
    <cellStyle name="Note 2 5 2 4 6 4 3" xfId="40966" xr:uid="{00000000-0005-0000-0000-0000AA530000}"/>
    <cellStyle name="Note 2 5 2 4 6 5" xfId="21945" xr:uid="{00000000-0005-0000-0000-0000AB530000}"/>
    <cellStyle name="Note 2 5 2 4 6 6" xfId="32790" xr:uid="{00000000-0005-0000-0000-0000AC530000}"/>
    <cellStyle name="Note 2 5 2 4 7" xfId="3657" xr:uid="{00000000-0005-0000-0000-0000AD530000}"/>
    <cellStyle name="Note 2 5 2 4 7 2" xfId="22629" xr:uid="{00000000-0005-0000-0000-0000AE530000}"/>
    <cellStyle name="Note 2 5 2 4 7 3" xfId="33474" xr:uid="{00000000-0005-0000-0000-0000AF530000}"/>
    <cellStyle name="Note 2 5 2 4 8" xfId="6332" xr:uid="{00000000-0005-0000-0000-0000B0530000}"/>
    <cellStyle name="Note 2 5 2 4 8 2" xfId="25304" xr:uid="{00000000-0005-0000-0000-0000B1530000}"/>
    <cellStyle name="Note 2 5 2 4 8 3" xfId="36149" xr:uid="{00000000-0005-0000-0000-0000B2530000}"/>
    <cellStyle name="Note 2 5 2 4 9" xfId="8991" xr:uid="{00000000-0005-0000-0000-0000B3530000}"/>
    <cellStyle name="Note 2 5 2 4 9 2" xfId="27963" xr:uid="{00000000-0005-0000-0000-0000B4530000}"/>
    <cellStyle name="Note 2 5 2 4 9 3" xfId="38808" xr:uid="{00000000-0005-0000-0000-0000B5530000}"/>
    <cellStyle name="Note 2 5 2 5" xfId="861" xr:uid="{00000000-0005-0000-0000-0000B6530000}"/>
    <cellStyle name="Note 2 5 2 5 10" xfId="19846" xr:uid="{00000000-0005-0000-0000-0000B7530000}"/>
    <cellStyle name="Note 2 5 2 5 11" xfId="30691" xr:uid="{00000000-0005-0000-0000-0000B8530000}"/>
    <cellStyle name="Note 2 5 2 5 2" xfId="1448" xr:uid="{00000000-0005-0000-0000-0000B9530000}"/>
    <cellStyle name="Note 2 5 2 5 2 2" xfId="4301" xr:uid="{00000000-0005-0000-0000-0000BA530000}"/>
    <cellStyle name="Note 2 5 2 5 2 2 2" xfId="23273" xr:uid="{00000000-0005-0000-0000-0000BB530000}"/>
    <cellStyle name="Note 2 5 2 5 2 2 3" xfId="34118" xr:uid="{00000000-0005-0000-0000-0000BC530000}"/>
    <cellStyle name="Note 2 5 2 5 2 3" xfId="6974" xr:uid="{00000000-0005-0000-0000-0000BD530000}"/>
    <cellStyle name="Note 2 5 2 5 2 3 2" xfId="25946" xr:uid="{00000000-0005-0000-0000-0000BE530000}"/>
    <cellStyle name="Note 2 5 2 5 2 3 3" xfId="36791" xr:uid="{00000000-0005-0000-0000-0000BF530000}"/>
    <cellStyle name="Note 2 5 2 5 2 4" xfId="9633" xr:uid="{00000000-0005-0000-0000-0000C0530000}"/>
    <cellStyle name="Note 2 5 2 5 2 4 2" xfId="28605" xr:uid="{00000000-0005-0000-0000-0000C1530000}"/>
    <cellStyle name="Note 2 5 2 5 2 4 3" xfId="39450" xr:uid="{00000000-0005-0000-0000-0000C2530000}"/>
    <cellStyle name="Note 2 5 2 5 2 5" xfId="20429" xr:uid="{00000000-0005-0000-0000-0000C3530000}"/>
    <cellStyle name="Note 2 5 2 5 2 6" xfId="31274" xr:uid="{00000000-0005-0000-0000-0000C4530000}"/>
    <cellStyle name="Note 2 5 2 5 3" xfId="1847" xr:uid="{00000000-0005-0000-0000-0000C5530000}"/>
    <cellStyle name="Note 2 5 2 5 3 2" xfId="4700" xr:uid="{00000000-0005-0000-0000-0000C6530000}"/>
    <cellStyle name="Note 2 5 2 5 3 2 2" xfId="23672" xr:uid="{00000000-0005-0000-0000-0000C7530000}"/>
    <cellStyle name="Note 2 5 2 5 3 2 3" xfId="34517" xr:uid="{00000000-0005-0000-0000-0000C8530000}"/>
    <cellStyle name="Note 2 5 2 5 3 3" xfId="7372" xr:uid="{00000000-0005-0000-0000-0000C9530000}"/>
    <cellStyle name="Note 2 5 2 5 3 3 2" xfId="26344" xr:uid="{00000000-0005-0000-0000-0000CA530000}"/>
    <cellStyle name="Note 2 5 2 5 3 3 3" xfId="37189" xr:uid="{00000000-0005-0000-0000-0000CB530000}"/>
    <cellStyle name="Note 2 5 2 5 3 4" xfId="10031" xr:uid="{00000000-0005-0000-0000-0000CC530000}"/>
    <cellStyle name="Note 2 5 2 5 3 4 2" xfId="29003" xr:uid="{00000000-0005-0000-0000-0000CD530000}"/>
    <cellStyle name="Note 2 5 2 5 3 4 3" xfId="39848" xr:uid="{00000000-0005-0000-0000-0000CE530000}"/>
    <cellStyle name="Note 2 5 2 5 3 5" xfId="20827" xr:uid="{00000000-0005-0000-0000-0000CF530000}"/>
    <cellStyle name="Note 2 5 2 5 3 6" xfId="31672" xr:uid="{00000000-0005-0000-0000-0000D0530000}"/>
    <cellStyle name="Note 2 5 2 5 4" xfId="2251" xr:uid="{00000000-0005-0000-0000-0000D1530000}"/>
    <cellStyle name="Note 2 5 2 5 4 2" xfId="5104" xr:uid="{00000000-0005-0000-0000-0000D2530000}"/>
    <cellStyle name="Note 2 5 2 5 4 2 2" xfId="24076" xr:uid="{00000000-0005-0000-0000-0000D3530000}"/>
    <cellStyle name="Note 2 5 2 5 4 2 3" xfId="34921" xr:uid="{00000000-0005-0000-0000-0000D4530000}"/>
    <cellStyle name="Note 2 5 2 5 4 3" xfId="7775" xr:uid="{00000000-0005-0000-0000-0000D5530000}"/>
    <cellStyle name="Note 2 5 2 5 4 3 2" xfId="26747" xr:uid="{00000000-0005-0000-0000-0000D6530000}"/>
    <cellStyle name="Note 2 5 2 5 4 3 3" xfId="37592" xr:uid="{00000000-0005-0000-0000-0000D7530000}"/>
    <cellStyle name="Note 2 5 2 5 4 4" xfId="10434" xr:uid="{00000000-0005-0000-0000-0000D8530000}"/>
    <cellStyle name="Note 2 5 2 5 4 4 2" xfId="29406" xr:uid="{00000000-0005-0000-0000-0000D9530000}"/>
    <cellStyle name="Note 2 5 2 5 4 4 3" xfId="40251" xr:uid="{00000000-0005-0000-0000-0000DA530000}"/>
    <cellStyle name="Note 2 5 2 5 4 5" xfId="21230" xr:uid="{00000000-0005-0000-0000-0000DB530000}"/>
    <cellStyle name="Note 2 5 2 5 4 6" xfId="32075" xr:uid="{00000000-0005-0000-0000-0000DC530000}"/>
    <cellStyle name="Note 2 5 2 5 5" xfId="2641" xr:uid="{00000000-0005-0000-0000-0000DD530000}"/>
    <cellStyle name="Note 2 5 2 5 5 2" xfId="5493" xr:uid="{00000000-0005-0000-0000-0000DE530000}"/>
    <cellStyle name="Note 2 5 2 5 5 2 2" xfId="24465" xr:uid="{00000000-0005-0000-0000-0000DF530000}"/>
    <cellStyle name="Note 2 5 2 5 5 2 3" xfId="35310" xr:uid="{00000000-0005-0000-0000-0000E0530000}"/>
    <cellStyle name="Note 2 5 2 5 5 3" xfId="8164" xr:uid="{00000000-0005-0000-0000-0000E1530000}"/>
    <cellStyle name="Note 2 5 2 5 5 3 2" xfId="27136" xr:uid="{00000000-0005-0000-0000-0000E2530000}"/>
    <cellStyle name="Note 2 5 2 5 5 3 3" xfId="37981" xr:uid="{00000000-0005-0000-0000-0000E3530000}"/>
    <cellStyle name="Note 2 5 2 5 5 4" xfId="10823" xr:uid="{00000000-0005-0000-0000-0000E4530000}"/>
    <cellStyle name="Note 2 5 2 5 5 4 2" xfId="29795" xr:uid="{00000000-0005-0000-0000-0000E5530000}"/>
    <cellStyle name="Note 2 5 2 5 5 4 3" xfId="40640" xr:uid="{00000000-0005-0000-0000-0000E6530000}"/>
    <cellStyle name="Note 2 5 2 5 5 5" xfId="21619" xr:uid="{00000000-0005-0000-0000-0000E7530000}"/>
    <cellStyle name="Note 2 5 2 5 5 6" xfId="32464" xr:uid="{00000000-0005-0000-0000-0000E8530000}"/>
    <cellStyle name="Note 2 5 2 5 6" xfId="3027" xr:uid="{00000000-0005-0000-0000-0000E9530000}"/>
    <cellStyle name="Note 2 5 2 5 6 2" xfId="5878" xr:uid="{00000000-0005-0000-0000-0000EA530000}"/>
    <cellStyle name="Note 2 5 2 5 6 2 2" xfId="24850" xr:uid="{00000000-0005-0000-0000-0000EB530000}"/>
    <cellStyle name="Note 2 5 2 5 6 2 3" xfId="35695" xr:uid="{00000000-0005-0000-0000-0000EC530000}"/>
    <cellStyle name="Note 2 5 2 5 6 3" xfId="8549" xr:uid="{00000000-0005-0000-0000-0000ED530000}"/>
    <cellStyle name="Note 2 5 2 5 6 3 2" xfId="27521" xr:uid="{00000000-0005-0000-0000-0000EE530000}"/>
    <cellStyle name="Note 2 5 2 5 6 3 3" xfId="38366" xr:uid="{00000000-0005-0000-0000-0000EF530000}"/>
    <cellStyle name="Note 2 5 2 5 6 4" xfId="11208" xr:uid="{00000000-0005-0000-0000-0000F0530000}"/>
    <cellStyle name="Note 2 5 2 5 6 4 2" xfId="30180" xr:uid="{00000000-0005-0000-0000-0000F1530000}"/>
    <cellStyle name="Note 2 5 2 5 6 4 3" xfId="41025" xr:uid="{00000000-0005-0000-0000-0000F2530000}"/>
    <cellStyle name="Note 2 5 2 5 6 5" xfId="22004" xr:uid="{00000000-0005-0000-0000-0000F3530000}"/>
    <cellStyle name="Note 2 5 2 5 6 6" xfId="32849" xr:uid="{00000000-0005-0000-0000-0000F4530000}"/>
    <cellStyle name="Note 2 5 2 5 7" xfId="3716" xr:uid="{00000000-0005-0000-0000-0000F5530000}"/>
    <cellStyle name="Note 2 5 2 5 7 2" xfId="22688" xr:uid="{00000000-0005-0000-0000-0000F6530000}"/>
    <cellStyle name="Note 2 5 2 5 7 3" xfId="33533" xr:uid="{00000000-0005-0000-0000-0000F7530000}"/>
    <cellStyle name="Note 2 5 2 5 8" xfId="6391" xr:uid="{00000000-0005-0000-0000-0000F8530000}"/>
    <cellStyle name="Note 2 5 2 5 8 2" xfId="25363" xr:uid="{00000000-0005-0000-0000-0000F9530000}"/>
    <cellStyle name="Note 2 5 2 5 8 3" xfId="36208" xr:uid="{00000000-0005-0000-0000-0000FA530000}"/>
    <cellStyle name="Note 2 5 2 5 9" xfId="9050" xr:uid="{00000000-0005-0000-0000-0000FB530000}"/>
    <cellStyle name="Note 2 5 2 5 9 2" xfId="28022" xr:uid="{00000000-0005-0000-0000-0000FC530000}"/>
    <cellStyle name="Note 2 5 2 5 9 3" xfId="38867" xr:uid="{00000000-0005-0000-0000-0000FD530000}"/>
    <cellStyle name="Note 2 5 2 6" xfId="1083" xr:uid="{00000000-0005-0000-0000-0000FE530000}"/>
    <cellStyle name="Note 2 5 2 6 2" xfId="3936" xr:uid="{00000000-0005-0000-0000-0000FF530000}"/>
    <cellStyle name="Note 2 5 2 6 2 2" xfId="22908" xr:uid="{00000000-0005-0000-0000-000000540000}"/>
    <cellStyle name="Note 2 5 2 6 2 3" xfId="33753" xr:uid="{00000000-0005-0000-0000-000001540000}"/>
    <cellStyle name="Note 2 5 2 6 3" xfId="6610" xr:uid="{00000000-0005-0000-0000-000002540000}"/>
    <cellStyle name="Note 2 5 2 6 3 2" xfId="25582" xr:uid="{00000000-0005-0000-0000-000003540000}"/>
    <cellStyle name="Note 2 5 2 6 3 3" xfId="36427" xr:uid="{00000000-0005-0000-0000-000004540000}"/>
    <cellStyle name="Note 2 5 2 6 4" xfId="9269" xr:uid="{00000000-0005-0000-0000-000005540000}"/>
    <cellStyle name="Note 2 5 2 6 4 2" xfId="28241" xr:uid="{00000000-0005-0000-0000-000006540000}"/>
    <cellStyle name="Note 2 5 2 6 4 3" xfId="39086" xr:uid="{00000000-0005-0000-0000-000007540000}"/>
    <cellStyle name="Note 2 5 2 6 5" xfId="20065" xr:uid="{00000000-0005-0000-0000-000008540000}"/>
    <cellStyle name="Note 2 5 2 6 6" xfId="30910" xr:uid="{00000000-0005-0000-0000-000009540000}"/>
    <cellStyle name="Note 2 5 2 7" xfId="908" xr:uid="{00000000-0005-0000-0000-00000A540000}"/>
    <cellStyle name="Note 2 5 2 7 2" xfId="3763" xr:uid="{00000000-0005-0000-0000-00000B540000}"/>
    <cellStyle name="Note 2 5 2 7 2 2" xfId="22735" xr:uid="{00000000-0005-0000-0000-00000C540000}"/>
    <cellStyle name="Note 2 5 2 7 2 3" xfId="33580" xr:uid="{00000000-0005-0000-0000-00000D540000}"/>
    <cellStyle name="Note 2 5 2 7 3" xfId="6438" xr:uid="{00000000-0005-0000-0000-00000E540000}"/>
    <cellStyle name="Note 2 5 2 7 3 2" xfId="25410" xr:uid="{00000000-0005-0000-0000-00000F540000}"/>
    <cellStyle name="Note 2 5 2 7 3 3" xfId="36255" xr:uid="{00000000-0005-0000-0000-000010540000}"/>
    <cellStyle name="Note 2 5 2 7 4" xfId="9097" xr:uid="{00000000-0005-0000-0000-000011540000}"/>
    <cellStyle name="Note 2 5 2 7 4 2" xfId="28069" xr:uid="{00000000-0005-0000-0000-000012540000}"/>
    <cellStyle name="Note 2 5 2 7 4 3" xfId="38914" xr:uid="{00000000-0005-0000-0000-000013540000}"/>
    <cellStyle name="Note 2 5 2 7 5" xfId="19893" xr:uid="{00000000-0005-0000-0000-000014540000}"/>
    <cellStyle name="Note 2 5 2 7 6" xfId="30738" xr:uid="{00000000-0005-0000-0000-000015540000}"/>
    <cellStyle name="Note 2 5 2 8" xfId="1890" xr:uid="{00000000-0005-0000-0000-000016540000}"/>
    <cellStyle name="Note 2 5 2 8 2" xfId="4743" xr:uid="{00000000-0005-0000-0000-000017540000}"/>
    <cellStyle name="Note 2 5 2 8 2 2" xfId="23715" xr:uid="{00000000-0005-0000-0000-000018540000}"/>
    <cellStyle name="Note 2 5 2 8 2 3" xfId="34560" xr:uid="{00000000-0005-0000-0000-000019540000}"/>
    <cellStyle name="Note 2 5 2 8 3" xfId="7415" xr:uid="{00000000-0005-0000-0000-00001A540000}"/>
    <cellStyle name="Note 2 5 2 8 3 2" xfId="26387" xr:uid="{00000000-0005-0000-0000-00001B540000}"/>
    <cellStyle name="Note 2 5 2 8 3 3" xfId="37232" xr:uid="{00000000-0005-0000-0000-00001C540000}"/>
    <cellStyle name="Note 2 5 2 8 4" xfId="10074" xr:uid="{00000000-0005-0000-0000-00001D540000}"/>
    <cellStyle name="Note 2 5 2 8 4 2" xfId="29046" xr:uid="{00000000-0005-0000-0000-00001E540000}"/>
    <cellStyle name="Note 2 5 2 8 4 3" xfId="39891" xr:uid="{00000000-0005-0000-0000-00001F540000}"/>
    <cellStyle name="Note 2 5 2 8 5" xfId="20870" xr:uid="{00000000-0005-0000-0000-000020540000}"/>
    <cellStyle name="Note 2 5 2 8 6" xfId="31715" xr:uid="{00000000-0005-0000-0000-000021540000}"/>
    <cellStyle name="Note 2 5 2 9" xfId="1027" xr:uid="{00000000-0005-0000-0000-000022540000}"/>
    <cellStyle name="Note 2 5 2 9 2" xfId="3880" xr:uid="{00000000-0005-0000-0000-000023540000}"/>
    <cellStyle name="Note 2 5 2 9 2 2" xfId="22852" xr:uid="{00000000-0005-0000-0000-000024540000}"/>
    <cellStyle name="Note 2 5 2 9 2 3" xfId="33697" xr:uid="{00000000-0005-0000-0000-000025540000}"/>
    <cellStyle name="Note 2 5 2 9 3" xfId="6554" xr:uid="{00000000-0005-0000-0000-000026540000}"/>
    <cellStyle name="Note 2 5 2 9 3 2" xfId="25526" xr:uid="{00000000-0005-0000-0000-000027540000}"/>
    <cellStyle name="Note 2 5 2 9 3 3" xfId="36371" xr:uid="{00000000-0005-0000-0000-000028540000}"/>
    <cellStyle name="Note 2 5 2 9 4" xfId="9213" xr:uid="{00000000-0005-0000-0000-000029540000}"/>
    <cellStyle name="Note 2 5 2 9 4 2" xfId="28185" xr:uid="{00000000-0005-0000-0000-00002A540000}"/>
    <cellStyle name="Note 2 5 2 9 4 3" xfId="39030" xr:uid="{00000000-0005-0000-0000-00002B540000}"/>
    <cellStyle name="Note 2 5 2 9 5" xfId="20009" xr:uid="{00000000-0005-0000-0000-00002C540000}"/>
    <cellStyle name="Note 2 5 2 9 6" xfId="30854" xr:uid="{00000000-0005-0000-0000-00002D540000}"/>
    <cellStyle name="Note 2 5 3" xfId="565" xr:uid="{00000000-0005-0000-0000-00002E540000}"/>
    <cellStyle name="Note 2 5 3 10" xfId="19575" xr:uid="{00000000-0005-0000-0000-00002F540000}"/>
    <cellStyle name="Note 2 5 3 11" xfId="30420" xr:uid="{00000000-0005-0000-0000-000030540000}"/>
    <cellStyle name="Note 2 5 3 2" xfId="1171" xr:uid="{00000000-0005-0000-0000-000031540000}"/>
    <cellStyle name="Note 2 5 3 2 2" xfId="4024" xr:uid="{00000000-0005-0000-0000-000032540000}"/>
    <cellStyle name="Note 2 5 3 2 2 2" xfId="22996" xr:uid="{00000000-0005-0000-0000-000033540000}"/>
    <cellStyle name="Note 2 5 3 2 2 3" xfId="33841" xr:uid="{00000000-0005-0000-0000-000034540000}"/>
    <cellStyle name="Note 2 5 3 2 3" xfId="6697" xr:uid="{00000000-0005-0000-0000-000035540000}"/>
    <cellStyle name="Note 2 5 3 2 3 2" xfId="25669" xr:uid="{00000000-0005-0000-0000-000036540000}"/>
    <cellStyle name="Note 2 5 3 2 3 3" xfId="36514" xr:uid="{00000000-0005-0000-0000-000037540000}"/>
    <cellStyle name="Note 2 5 3 2 4" xfId="9356" xr:uid="{00000000-0005-0000-0000-000038540000}"/>
    <cellStyle name="Note 2 5 3 2 4 2" xfId="28328" xr:uid="{00000000-0005-0000-0000-000039540000}"/>
    <cellStyle name="Note 2 5 3 2 4 3" xfId="39173" xr:uid="{00000000-0005-0000-0000-00003A540000}"/>
    <cellStyle name="Note 2 5 3 2 5" xfId="20152" xr:uid="{00000000-0005-0000-0000-00003B540000}"/>
    <cellStyle name="Note 2 5 3 2 6" xfId="30997" xr:uid="{00000000-0005-0000-0000-00003C540000}"/>
    <cellStyle name="Note 2 5 3 3" xfId="1568" xr:uid="{00000000-0005-0000-0000-00003D540000}"/>
    <cellStyle name="Note 2 5 3 3 2" xfId="4421" xr:uid="{00000000-0005-0000-0000-00003E540000}"/>
    <cellStyle name="Note 2 5 3 3 2 2" xfId="23393" xr:uid="{00000000-0005-0000-0000-00003F540000}"/>
    <cellStyle name="Note 2 5 3 3 2 3" xfId="34238" xr:uid="{00000000-0005-0000-0000-000040540000}"/>
    <cellStyle name="Note 2 5 3 3 3" xfId="7093" xr:uid="{00000000-0005-0000-0000-000041540000}"/>
    <cellStyle name="Note 2 5 3 3 3 2" xfId="26065" xr:uid="{00000000-0005-0000-0000-000042540000}"/>
    <cellStyle name="Note 2 5 3 3 3 3" xfId="36910" xr:uid="{00000000-0005-0000-0000-000043540000}"/>
    <cellStyle name="Note 2 5 3 3 4" xfId="9752" xr:uid="{00000000-0005-0000-0000-000044540000}"/>
    <cellStyle name="Note 2 5 3 3 4 2" xfId="28724" xr:uid="{00000000-0005-0000-0000-000045540000}"/>
    <cellStyle name="Note 2 5 3 3 4 3" xfId="39569" xr:uid="{00000000-0005-0000-0000-000046540000}"/>
    <cellStyle name="Note 2 5 3 3 5" xfId="20548" xr:uid="{00000000-0005-0000-0000-000047540000}"/>
    <cellStyle name="Note 2 5 3 3 6" xfId="31393" xr:uid="{00000000-0005-0000-0000-000048540000}"/>
    <cellStyle name="Note 2 5 3 4" xfId="1972" xr:uid="{00000000-0005-0000-0000-000049540000}"/>
    <cellStyle name="Note 2 5 3 4 2" xfId="4825" xr:uid="{00000000-0005-0000-0000-00004A540000}"/>
    <cellStyle name="Note 2 5 3 4 2 2" xfId="23797" xr:uid="{00000000-0005-0000-0000-00004B540000}"/>
    <cellStyle name="Note 2 5 3 4 2 3" xfId="34642" xr:uid="{00000000-0005-0000-0000-00004C540000}"/>
    <cellStyle name="Note 2 5 3 4 3" xfId="7497" xr:uid="{00000000-0005-0000-0000-00004D540000}"/>
    <cellStyle name="Note 2 5 3 4 3 2" xfId="26469" xr:uid="{00000000-0005-0000-0000-00004E540000}"/>
    <cellStyle name="Note 2 5 3 4 3 3" xfId="37314" xr:uid="{00000000-0005-0000-0000-00004F540000}"/>
    <cellStyle name="Note 2 5 3 4 4" xfId="10156" xr:uid="{00000000-0005-0000-0000-000050540000}"/>
    <cellStyle name="Note 2 5 3 4 4 2" xfId="29128" xr:uid="{00000000-0005-0000-0000-000051540000}"/>
    <cellStyle name="Note 2 5 3 4 4 3" xfId="39973" xr:uid="{00000000-0005-0000-0000-000052540000}"/>
    <cellStyle name="Note 2 5 3 4 5" xfId="20952" xr:uid="{00000000-0005-0000-0000-000053540000}"/>
    <cellStyle name="Note 2 5 3 4 6" xfId="31797" xr:uid="{00000000-0005-0000-0000-000054540000}"/>
    <cellStyle name="Note 2 5 3 5" xfId="2364" xr:uid="{00000000-0005-0000-0000-000055540000}"/>
    <cellStyle name="Note 2 5 3 5 2" xfId="5217" xr:uid="{00000000-0005-0000-0000-000056540000}"/>
    <cellStyle name="Note 2 5 3 5 2 2" xfId="24189" xr:uid="{00000000-0005-0000-0000-000057540000}"/>
    <cellStyle name="Note 2 5 3 5 2 3" xfId="35034" xr:uid="{00000000-0005-0000-0000-000058540000}"/>
    <cellStyle name="Note 2 5 3 5 3" xfId="7888" xr:uid="{00000000-0005-0000-0000-000059540000}"/>
    <cellStyle name="Note 2 5 3 5 3 2" xfId="26860" xr:uid="{00000000-0005-0000-0000-00005A540000}"/>
    <cellStyle name="Note 2 5 3 5 3 3" xfId="37705" xr:uid="{00000000-0005-0000-0000-00005B540000}"/>
    <cellStyle name="Note 2 5 3 5 4" xfId="10547" xr:uid="{00000000-0005-0000-0000-00005C540000}"/>
    <cellStyle name="Note 2 5 3 5 4 2" xfId="29519" xr:uid="{00000000-0005-0000-0000-00005D540000}"/>
    <cellStyle name="Note 2 5 3 5 4 3" xfId="40364" xr:uid="{00000000-0005-0000-0000-00005E540000}"/>
    <cellStyle name="Note 2 5 3 5 5" xfId="21343" xr:uid="{00000000-0005-0000-0000-00005F540000}"/>
    <cellStyle name="Note 2 5 3 5 6" xfId="32188" xr:uid="{00000000-0005-0000-0000-000060540000}"/>
    <cellStyle name="Note 2 5 3 6" xfId="2753" xr:uid="{00000000-0005-0000-0000-000061540000}"/>
    <cellStyle name="Note 2 5 3 6 2" xfId="5605" xr:uid="{00000000-0005-0000-0000-000062540000}"/>
    <cellStyle name="Note 2 5 3 6 2 2" xfId="24577" xr:uid="{00000000-0005-0000-0000-000063540000}"/>
    <cellStyle name="Note 2 5 3 6 2 3" xfId="35422" xr:uid="{00000000-0005-0000-0000-000064540000}"/>
    <cellStyle name="Note 2 5 3 6 3" xfId="8276" xr:uid="{00000000-0005-0000-0000-000065540000}"/>
    <cellStyle name="Note 2 5 3 6 3 2" xfId="27248" xr:uid="{00000000-0005-0000-0000-000066540000}"/>
    <cellStyle name="Note 2 5 3 6 3 3" xfId="38093" xr:uid="{00000000-0005-0000-0000-000067540000}"/>
    <cellStyle name="Note 2 5 3 6 4" xfId="10935" xr:uid="{00000000-0005-0000-0000-000068540000}"/>
    <cellStyle name="Note 2 5 3 6 4 2" xfId="29907" xr:uid="{00000000-0005-0000-0000-000069540000}"/>
    <cellStyle name="Note 2 5 3 6 4 3" xfId="40752" xr:uid="{00000000-0005-0000-0000-00006A540000}"/>
    <cellStyle name="Note 2 5 3 6 5" xfId="21731" xr:uid="{00000000-0005-0000-0000-00006B540000}"/>
    <cellStyle name="Note 2 5 3 6 6" xfId="32576" xr:uid="{00000000-0005-0000-0000-00006C540000}"/>
    <cellStyle name="Note 2 5 3 7" xfId="3444" xr:uid="{00000000-0005-0000-0000-00006D540000}"/>
    <cellStyle name="Note 2 5 3 7 2" xfId="22416" xr:uid="{00000000-0005-0000-0000-00006E540000}"/>
    <cellStyle name="Note 2 5 3 7 3" xfId="33261" xr:uid="{00000000-0005-0000-0000-00006F540000}"/>
    <cellStyle name="Note 2 5 3 8" xfId="6120" xr:uid="{00000000-0005-0000-0000-000070540000}"/>
    <cellStyle name="Note 2 5 3 8 2" xfId="25092" xr:uid="{00000000-0005-0000-0000-000071540000}"/>
    <cellStyle name="Note 2 5 3 8 3" xfId="35937" xr:uid="{00000000-0005-0000-0000-000072540000}"/>
    <cellStyle name="Note 2 5 3 9" xfId="8779" xr:uid="{00000000-0005-0000-0000-000073540000}"/>
    <cellStyle name="Note 2 5 3 9 2" xfId="27751" xr:uid="{00000000-0005-0000-0000-000074540000}"/>
    <cellStyle name="Note 2 5 3 9 3" xfId="38596" xr:uid="{00000000-0005-0000-0000-000075540000}"/>
    <cellStyle name="Note 2 5 4" xfId="41476" xr:uid="{00000000-0005-0000-0000-000076540000}"/>
    <cellStyle name="Note 2 6" xfId="131" xr:uid="{00000000-0005-0000-0000-000077540000}"/>
    <cellStyle name="Note 2 6 2" xfId="383" xr:uid="{00000000-0005-0000-0000-000078540000}"/>
    <cellStyle name="Note 2 6 2 10" xfId="995" xr:uid="{00000000-0005-0000-0000-000079540000}"/>
    <cellStyle name="Note 2 6 2 10 2" xfId="3848" xr:uid="{00000000-0005-0000-0000-00007A540000}"/>
    <cellStyle name="Note 2 6 2 10 2 2" xfId="22820" xr:uid="{00000000-0005-0000-0000-00007B540000}"/>
    <cellStyle name="Note 2 6 2 10 2 3" xfId="33665" xr:uid="{00000000-0005-0000-0000-00007C540000}"/>
    <cellStyle name="Note 2 6 2 10 3" xfId="6523" xr:uid="{00000000-0005-0000-0000-00007D540000}"/>
    <cellStyle name="Note 2 6 2 10 3 2" xfId="25495" xr:uid="{00000000-0005-0000-0000-00007E540000}"/>
    <cellStyle name="Note 2 6 2 10 3 3" xfId="36340" xr:uid="{00000000-0005-0000-0000-00007F540000}"/>
    <cellStyle name="Note 2 6 2 10 4" xfId="9182" xr:uid="{00000000-0005-0000-0000-000080540000}"/>
    <cellStyle name="Note 2 6 2 10 4 2" xfId="28154" xr:uid="{00000000-0005-0000-0000-000081540000}"/>
    <cellStyle name="Note 2 6 2 10 4 3" xfId="38999" xr:uid="{00000000-0005-0000-0000-000082540000}"/>
    <cellStyle name="Note 2 6 2 10 5" xfId="19978" xr:uid="{00000000-0005-0000-0000-000083540000}"/>
    <cellStyle name="Note 2 6 2 10 6" xfId="30823" xr:uid="{00000000-0005-0000-0000-000084540000}"/>
    <cellStyle name="Note 2 6 2 11" xfId="1009" xr:uid="{00000000-0005-0000-0000-000085540000}"/>
    <cellStyle name="Note 2 6 2 11 2" xfId="3862" xr:uid="{00000000-0005-0000-0000-000086540000}"/>
    <cellStyle name="Note 2 6 2 11 2 2" xfId="22834" xr:uid="{00000000-0005-0000-0000-000087540000}"/>
    <cellStyle name="Note 2 6 2 11 2 3" xfId="33679" xr:uid="{00000000-0005-0000-0000-000088540000}"/>
    <cellStyle name="Note 2 6 2 11 3" xfId="6536" xr:uid="{00000000-0005-0000-0000-000089540000}"/>
    <cellStyle name="Note 2 6 2 11 3 2" xfId="25508" xr:uid="{00000000-0005-0000-0000-00008A540000}"/>
    <cellStyle name="Note 2 6 2 11 3 3" xfId="36353" xr:uid="{00000000-0005-0000-0000-00008B540000}"/>
    <cellStyle name="Note 2 6 2 11 4" xfId="9195" xr:uid="{00000000-0005-0000-0000-00008C540000}"/>
    <cellStyle name="Note 2 6 2 11 4 2" xfId="28167" xr:uid="{00000000-0005-0000-0000-00008D540000}"/>
    <cellStyle name="Note 2 6 2 11 4 3" xfId="39012" xr:uid="{00000000-0005-0000-0000-00008E540000}"/>
    <cellStyle name="Note 2 6 2 11 5" xfId="19991" xr:uid="{00000000-0005-0000-0000-00008F540000}"/>
    <cellStyle name="Note 2 6 2 11 6" xfId="30836" xr:uid="{00000000-0005-0000-0000-000090540000}"/>
    <cellStyle name="Note 2 6 2 12" xfId="3118" xr:uid="{00000000-0005-0000-0000-000091540000}"/>
    <cellStyle name="Note 2 6 2 12 2" xfId="5969" xr:uid="{00000000-0005-0000-0000-000092540000}"/>
    <cellStyle name="Note 2 6 2 12 2 2" xfId="24941" xr:uid="{00000000-0005-0000-0000-000093540000}"/>
    <cellStyle name="Note 2 6 2 12 2 3" xfId="35786" xr:uid="{00000000-0005-0000-0000-000094540000}"/>
    <cellStyle name="Note 2 6 2 12 3" xfId="8640" xr:uid="{00000000-0005-0000-0000-000095540000}"/>
    <cellStyle name="Note 2 6 2 12 3 2" xfId="27612" xr:uid="{00000000-0005-0000-0000-000096540000}"/>
    <cellStyle name="Note 2 6 2 12 3 3" xfId="38457" xr:uid="{00000000-0005-0000-0000-000097540000}"/>
    <cellStyle name="Note 2 6 2 12 4" xfId="11299" xr:uid="{00000000-0005-0000-0000-000098540000}"/>
    <cellStyle name="Note 2 6 2 12 4 2" xfId="30271" xr:uid="{00000000-0005-0000-0000-000099540000}"/>
    <cellStyle name="Note 2 6 2 12 4 3" xfId="41116" xr:uid="{00000000-0005-0000-0000-00009A540000}"/>
    <cellStyle name="Note 2 6 2 12 5" xfId="22095" xr:uid="{00000000-0005-0000-0000-00009B540000}"/>
    <cellStyle name="Note 2 6 2 12 6" xfId="32940" xr:uid="{00000000-0005-0000-0000-00009C540000}"/>
    <cellStyle name="Note 2 6 2 13" xfId="3175" xr:uid="{00000000-0005-0000-0000-00009D540000}"/>
    <cellStyle name="Note 2 6 2 13 2" xfId="6026" xr:uid="{00000000-0005-0000-0000-00009E540000}"/>
    <cellStyle name="Note 2 6 2 13 2 2" xfId="24998" xr:uid="{00000000-0005-0000-0000-00009F540000}"/>
    <cellStyle name="Note 2 6 2 13 2 3" xfId="35843" xr:uid="{00000000-0005-0000-0000-0000A0540000}"/>
    <cellStyle name="Note 2 6 2 13 3" xfId="8697" xr:uid="{00000000-0005-0000-0000-0000A1540000}"/>
    <cellStyle name="Note 2 6 2 13 3 2" xfId="27669" xr:uid="{00000000-0005-0000-0000-0000A2540000}"/>
    <cellStyle name="Note 2 6 2 13 3 3" xfId="38514" xr:uid="{00000000-0005-0000-0000-0000A3540000}"/>
    <cellStyle name="Note 2 6 2 13 4" xfId="11356" xr:uid="{00000000-0005-0000-0000-0000A4540000}"/>
    <cellStyle name="Note 2 6 2 13 4 2" xfId="30328" xr:uid="{00000000-0005-0000-0000-0000A5540000}"/>
    <cellStyle name="Note 2 6 2 13 4 3" xfId="41173" xr:uid="{00000000-0005-0000-0000-0000A6540000}"/>
    <cellStyle name="Note 2 6 2 13 5" xfId="22152" xr:uid="{00000000-0005-0000-0000-0000A7540000}"/>
    <cellStyle name="Note 2 6 2 13 6" xfId="32997" xr:uid="{00000000-0005-0000-0000-0000A8540000}"/>
    <cellStyle name="Note 2 6 2 14" xfId="3341" xr:uid="{00000000-0005-0000-0000-0000A9540000}"/>
    <cellStyle name="Note 2 6 2 14 2" xfId="22315" xr:uid="{00000000-0005-0000-0000-0000AA540000}"/>
    <cellStyle name="Note 2 6 2 14 3" xfId="33160" xr:uid="{00000000-0005-0000-0000-0000AB540000}"/>
    <cellStyle name="Note 2 6 2 15" xfId="3320" xr:uid="{00000000-0005-0000-0000-0000AC540000}"/>
    <cellStyle name="Note 2 6 2 15 2" xfId="22294" xr:uid="{00000000-0005-0000-0000-0000AD540000}"/>
    <cellStyle name="Note 2 6 2 15 3" xfId="33139" xr:uid="{00000000-0005-0000-0000-0000AE540000}"/>
    <cellStyle name="Note 2 6 2 16" xfId="3294" xr:uid="{00000000-0005-0000-0000-0000AF540000}"/>
    <cellStyle name="Note 2 6 2 16 2" xfId="22268" xr:uid="{00000000-0005-0000-0000-0000B0540000}"/>
    <cellStyle name="Note 2 6 2 16 3" xfId="33113" xr:uid="{00000000-0005-0000-0000-0000B1540000}"/>
    <cellStyle name="Note 2 6 2 17" xfId="19472" xr:uid="{00000000-0005-0000-0000-0000B2540000}"/>
    <cellStyle name="Note 2 6 2 18" xfId="19416" xr:uid="{00000000-0005-0000-0000-0000B3540000}"/>
    <cellStyle name="Note 2 6 2 2" xfId="683" xr:uid="{00000000-0005-0000-0000-0000B4540000}"/>
    <cellStyle name="Note 2 6 2 2 10" xfId="19668" xr:uid="{00000000-0005-0000-0000-0000B5540000}"/>
    <cellStyle name="Note 2 6 2 2 11" xfId="30513" xr:uid="{00000000-0005-0000-0000-0000B6540000}"/>
    <cellStyle name="Note 2 6 2 2 2" xfId="1270" xr:uid="{00000000-0005-0000-0000-0000B7540000}"/>
    <cellStyle name="Note 2 6 2 2 2 2" xfId="4123" xr:uid="{00000000-0005-0000-0000-0000B8540000}"/>
    <cellStyle name="Note 2 6 2 2 2 2 2" xfId="23095" xr:uid="{00000000-0005-0000-0000-0000B9540000}"/>
    <cellStyle name="Note 2 6 2 2 2 2 3" xfId="33940" xr:uid="{00000000-0005-0000-0000-0000BA540000}"/>
    <cellStyle name="Note 2 6 2 2 2 3" xfId="6796" xr:uid="{00000000-0005-0000-0000-0000BB540000}"/>
    <cellStyle name="Note 2 6 2 2 2 3 2" xfId="25768" xr:uid="{00000000-0005-0000-0000-0000BC540000}"/>
    <cellStyle name="Note 2 6 2 2 2 3 3" xfId="36613" xr:uid="{00000000-0005-0000-0000-0000BD540000}"/>
    <cellStyle name="Note 2 6 2 2 2 4" xfId="9455" xr:uid="{00000000-0005-0000-0000-0000BE540000}"/>
    <cellStyle name="Note 2 6 2 2 2 4 2" xfId="28427" xr:uid="{00000000-0005-0000-0000-0000BF540000}"/>
    <cellStyle name="Note 2 6 2 2 2 4 3" xfId="39272" xr:uid="{00000000-0005-0000-0000-0000C0540000}"/>
    <cellStyle name="Note 2 6 2 2 2 5" xfId="20251" xr:uid="{00000000-0005-0000-0000-0000C1540000}"/>
    <cellStyle name="Note 2 6 2 2 2 6" xfId="31096" xr:uid="{00000000-0005-0000-0000-0000C2540000}"/>
    <cellStyle name="Note 2 6 2 2 3" xfId="1669" xr:uid="{00000000-0005-0000-0000-0000C3540000}"/>
    <cellStyle name="Note 2 6 2 2 3 2" xfId="4522" xr:uid="{00000000-0005-0000-0000-0000C4540000}"/>
    <cellStyle name="Note 2 6 2 2 3 2 2" xfId="23494" xr:uid="{00000000-0005-0000-0000-0000C5540000}"/>
    <cellStyle name="Note 2 6 2 2 3 2 3" xfId="34339" xr:uid="{00000000-0005-0000-0000-0000C6540000}"/>
    <cellStyle name="Note 2 6 2 2 3 3" xfId="7194" xr:uid="{00000000-0005-0000-0000-0000C7540000}"/>
    <cellStyle name="Note 2 6 2 2 3 3 2" xfId="26166" xr:uid="{00000000-0005-0000-0000-0000C8540000}"/>
    <cellStyle name="Note 2 6 2 2 3 3 3" xfId="37011" xr:uid="{00000000-0005-0000-0000-0000C9540000}"/>
    <cellStyle name="Note 2 6 2 2 3 4" xfId="9853" xr:uid="{00000000-0005-0000-0000-0000CA540000}"/>
    <cellStyle name="Note 2 6 2 2 3 4 2" xfId="28825" xr:uid="{00000000-0005-0000-0000-0000CB540000}"/>
    <cellStyle name="Note 2 6 2 2 3 4 3" xfId="39670" xr:uid="{00000000-0005-0000-0000-0000CC540000}"/>
    <cellStyle name="Note 2 6 2 2 3 5" xfId="20649" xr:uid="{00000000-0005-0000-0000-0000CD540000}"/>
    <cellStyle name="Note 2 6 2 2 3 6" xfId="31494" xr:uid="{00000000-0005-0000-0000-0000CE540000}"/>
    <cellStyle name="Note 2 6 2 2 4" xfId="2073" xr:uid="{00000000-0005-0000-0000-0000CF540000}"/>
    <cellStyle name="Note 2 6 2 2 4 2" xfId="4926" xr:uid="{00000000-0005-0000-0000-0000D0540000}"/>
    <cellStyle name="Note 2 6 2 2 4 2 2" xfId="23898" xr:uid="{00000000-0005-0000-0000-0000D1540000}"/>
    <cellStyle name="Note 2 6 2 2 4 2 3" xfId="34743" xr:uid="{00000000-0005-0000-0000-0000D2540000}"/>
    <cellStyle name="Note 2 6 2 2 4 3" xfId="7597" xr:uid="{00000000-0005-0000-0000-0000D3540000}"/>
    <cellStyle name="Note 2 6 2 2 4 3 2" xfId="26569" xr:uid="{00000000-0005-0000-0000-0000D4540000}"/>
    <cellStyle name="Note 2 6 2 2 4 3 3" xfId="37414" xr:uid="{00000000-0005-0000-0000-0000D5540000}"/>
    <cellStyle name="Note 2 6 2 2 4 4" xfId="10256" xr:uid="{00000000-0005-0000-0000-0000D6540000}"/>
    <cellStyle name="Note 2 6 2 2 4 4 2" xfId="29228" xr:uid="{00000000-0005-0000-0000-0000D7540000}"/>
    <cellStyle name="Note 2 6 2 2 4 4 3" xfId="40073" xr:uid="{00000000-0005-0000-0000-0000D8540000}"/>
    <cellStyle name="Note 2 6 2 2 4 5" xfId="21052" xr:uid="{00000000-0005-0000-0000-0000D9540000}"/>
    <cellStyle name="Note 2 6 2 2 4 6" xfId="31897" xr:uid="{00000000-0005-0000-0000-0000DA540000}"/>
    <cellStyle name="Note 2 6 2 2 5" xfId="2463" xr:uid="{00000000-0005-0000-0000-0000DB540000}"/>
    <cellStyle name="Note 2 6 2 2 5 2" xfId="5315" xr:uid="{00000000-0005-0000-0000-0000DC540000}"/>
    <cellStyle name="Note 2 6 2 2 5 2 2" xfId="24287" xr:uid="{00000000-0005-0000-0000-0000DD540000}"/>
    <cellStyle name="Note 2 6 2 2 5 2 3" xfId="35132" xr:uid="{00000000-0005-0000-0000-0000DE540000}"/>
    <cellStyle name="Note 2 6 2 2 5 3" xfId="7986" xr:uid="{00000000-0005-0000-0000-0000DF540000}"/>
    <cellStyle name="Note 2 6 2 2 5 3 2" xfId="26958" xr:uid="{00000000-0005-0000-0000-0000E0540000}"/>
    <cellStyle name="Note 2 6 2 2 5 3 3" xfId="37803" xr:uid="{00000000-0005-0000-0000-0000E1540000}"/>
    <cellStyle name="Note 2 6 2 2 5 4" xfId="10645" xr:uid="{00000000-0005-0000-0000-0000E2540000}"/>
    <cellStyle name="Note 2 6 2 2 5 4 2" xfId="29617" xr:uid="{00000000-0005-0000-0000-0000E3540000}"/>
    <cellStyle name="Note 2 6 2 2 5 4 3" xfId="40462" xr:uid="{00000000-0005-0000-0000-0000E4540000}"/>
    <cellStyle name="Note 2 6 2 2 5 5" xfId="21441" xr:uid="{00000000-0005-0000-0000-0000E5540000}"/>
    <cellStyle name="Note 2 6 2 2 5 6" xfId="32286" xr:uid="{00000000-0005-0000-0000-0000E6540000}"/>
    <cellStyle name="Note 2 6 2 2 6" xfId="2849" xr:uid="{00000000-0005-0000-0000-0000E7540000}"/>
    <cellStyle name="Note 2 6 2 2 6 2" xfId="5700" xr:uid="{00000000-0005-0000-0000-0000E8540000}"/>
    <cellStyle name="Note 2 6 2 2 6 2 2" xfId="24672" xr:uid="{00000000-0005-0000-0000-0000E9540000}"/>
    <cellStyle name="Note 2 6 2 2 6 2 3" xfId="35517" xr:uid="{00000000-0005-0000-0000-0000EA540000}"/>
    <cellStyle name="Note 2 6 2 2 6 3" xfId="8371" xr:uid="{00000000-0005-0000-0000-0000EB540000}"/>
    <cellStyle name="Note 2 6 2 2 6 3 2" xfId="27343" xr:uid="{00000000-0005-0000-0000-0000EC540000}"/>
    <cellStyle name="Note 2 6 2 2 6 3 3" xfId="38188" xr:uid="{00000000-0005-0000-0000-0000ED540000}"/>
    <cellStyle name="Note 2 6 2 2 6 4" xfId="11030" xr:uid="{00000000-0005-0000-0000-0000EE540000}"/>
    <cellStyle name="Note 2 6 2 2 6 4 2" xfId="30002" xr:uid="{00000000-0005-0000-0000-0000EF540000}"/>
    <cellStyle name="Note 2 6 2 2 6 4 3" xfId="40847" xr:uid="{00000000-0005-0000-0000-0000F0540000}"/>
    <cellStyle name="Note 2 6 2 2 6 5" xfId="21826" xr:uid="{00000000-0005-0000-0000-0000F1540000}"/>
    <cellStyle name="Note 2 6 2 2 6 6" xfId="32671" xr:uid="{00000000-0005-0000-0000-0000F2540000}"/>
    <cellStyle name="Note 2 6 2 2 7" xfId="3538" xr:uid="{00000000-0005-0000-0000-0000F3540000}"/>
    <cellStyle name="Note 2 6 2 2 7 2" xfId="22510" xr:uid="{00000000-0005-0000-0000-0000F4540000}"/>
    <cellStyle name="Note 2 6 2 2 7 3" xfId="33355" xr:uid="{00000000-0005-0000-0000-0000F5540000}"/>
    <cellStyle name="Note 2 6 2 2 8" xfId="6213" xr:uid="{00000000-0005-0000-0000-0000F6540000}"/>
    <cellStyle name="Note 2 6 2 2 8 2" xfId="25185" xr:uid="{00000000-0005-0000-0000-0000F7540000}"/>
    <cellStyle name="Note 2 6 2 2 8 3" xfId="36030" xr:uid="{00000000-0005-0000-0000-0000F8540000}"/>
    <cellStyle name="Note 2 6 2 2 9" xfId="8872" xr:uid="{00000000-0005-0000-0000-0000F9540000}"/>
    <cellStyle name="Note 2 6 2 2 9 2" xfId="27844" xr:uid="{00000000-0005-0000-0000-0000FA540000}"/>
    <cellStyle name="Note 2 6 2 2 9 3" xfId="38689" xr:uid="{00000000-0005-0000-0000-0000FB540000}"/>
    <cellStyle name="Note 2 6 2 3" xfId="743" xr:uid="{00000000-0005-0000-0000-0000FC540000}"/>
    <cellStyle name="Note 2 6 2 3 10" xfId="19728" xr:uid="{00000000-0005-0000-0000-0000FD540000}"/>
    <cellStyle name="Note 2 6 2 3 11" xfId="30573" xr:uid="{00000000-0005-0000-0000-0000FE540000}"/>
    <cellStyle name="Note 2 6 2 3 2" xfId="1330" xr:uid="{00000000-0005-0000-0000-0000FF540000}"/>
    <cellStyle name="Note 2 6 2 3 2 2" xfId="4183" xr:uid="{00000000-0005-0000-0000-000000550000}"/>
    <cellStyle name="Note 2 6 2 3 2 2 2" xfId="23155" xr:uid="{00000000-0005-0000-0000-000001550000}"/>
    <cellStyle name="Note 2 6 2 3 2 2 3" xfId="34000" xr:uid="{00000000-0005-0000-0000-000002550000}"/>
    <cellStyle name="Note 2 6 2 3 2 3" xfId="6856" xr:uid="{00000000-0005-0000-0000-000003550000}"/>
    <cellStyle name="Note 2 6 2 3 2 3 2" xfId="25828" xr:uid="{00000000-0005-0000-0000-000004550000}"/>
    <cellStyle name="Note 2 6 2 3 2 3 3" xfId="36673" xr:uid="{00000000-0005-0000-0000-000005550000}"/>
    <cellStyle name="Note 2 6 2 3 2 4" xfId="9515" xr:uid="{00000000-0005-0000-0000-000006550000}"/>
    <cellStyle name="Note 2 6 2 3 2 4 2" xfId="28487" xr:uid="{00000000-0005-0000-0000-000007550000}"/>
    <cellStyle name="Note 2 6 2 3 2 4 3" xfId="39332" xr:uid="{00000000-0005-0000-0000-000008550000}"/>
    <cellStyle name="Note 2 6 2 3 2 5" xfId="20311" xr:uid="{00000000-0005-0000-0000-000009550000}"/>
    <cellStyle name="Note 2 6 2 3 2 6" xfId="31156" xr:uid="{00000000-0005-0000-0000-00000A550000}"/>
    <cellStyle name="Note 2 6 2 3 3" xfId="1729" xr:uid="{00000000-0005-0000-0000-00000B550000}"/>
    <cellStyle name="Note 2 6 2 3 3 2" xfId="4582" xr:uid="{00000000-0005-0000-0000-00000C550000}"/>
    <cellStyle name="Note 2 6 2 3 3 2 2" xfId="23554" xr:uid="{00000000-0005-0000-0000-00000D550000}"/>
    <cellStyle name="Note 2 6 2 3 3 2 3" xfId="34399" xr:uid="{00000000-0005-0000-0000-00000E550000}"/>
    <cellStyle name="Note 2 6 2 3 3 3" xfId="7254" xr:uid="{00000000-0005-0000-0000-00000F550000}"/>
    <cellStyle name="Note 2 6 2 3 3 3 2" xfId="26226" xr:uid="{00000000-0005-0000-0000-000010550000}"/>
    <cellStyle name="Note 2 6 2 3 3 3 3" xfId="37071" xr:uid="{00000000-0005-0000-0000-000011550000}"/>
    <cellStyle name="Note 2 6 2 3 3 4" xfId="9913" xr:uid="{00000000-0005-0000-0000-000012550000}"/>
    <cellStyle name="Note 2 6 2 3 3 4 2" xfId="28885" xr:uid="{00000000-0005-0000-0000-000013550000}"/>
    <cellStyle name="Note 2 6 2 3 3 4 3" xfId="39730" xr:uid="{00000000-0005-0000-0000-000014550000}"/>
    <cellStyle name="Note 2 6 2 3 3 5" xfId="20709" xr:uid="{00000000-0005-0000-0000-000015550000}"/>
    <cellStyle name="Note 2 6 2 3 3 6" xfId="31554" xr:uid="{00000000-0005-0000-0000-000016550000}"/>
    <cellStyle name="Note 2 6 2 3 4" xfId="2133" xr:uid="{00000000-0005-0000-0000-000017550000}"/>
    <cellStyle name="Note 2 6 2 3 4 2" xfId="4986" xr:uid="{00000000-0005-0000-0000-000018550000}"/>
    <cellStyle name="Note 2 6 2 3 4 2 2" xfId="23958" xr:uid="{00000000-0005-0000-0000-000019550000}"/>
    <cellStyle name="Note 2 6 2 3 4 2 3" xfId="34803" xr:uid="{00000000-0005-0000-0000-00001A550000}"/>
    <cellStyle name="Note 2 6 2 3 4 3" xfId="7657" xr:uid="{00000000-0005-0000-0000-00001B550000}"/>
    <cellStyle name="Note 2 6 2 3 4 3 2" xfId="26629" xr:uid="{00000000-0005-0000-0000-00001C550000}"/>
    <cellStyle name="Note 2 6 2 3 4 3 3" xfId="37474" xr:uid="{00000000-0005-0000-0000-00001D550000}"/>
    <cellStyle name="Note 2 6 2 3 4 4" xfId="10316" xr:uid="{00000000-0005-0000-0000-00001E550000}"/>
    <cellStyle name="Note 2 6 2 3 4 4 2" xfId="29288" xr:uid="{00000000-0005-0000-0000-00001F550000}"/>
    <cellStyle name="Note 2 6 2 3 4 4 3" xfId="40133" xr:uid="{00000000-0005-0000-0000-000020550000}"/>
    <cellStyle name="Note 2 6 2 3 4 5" xfId="21112" xr:uid="{00000000-0005-0000-0000-000021550000}"/>
    <cellStyle name="Note 2 6 2 3 4 6" xfId="31957" xr:uid="{00000000-0005-0000-0000-000022550000}"/>
    <cellStyle name="Note 2 6 2 3 5" xfId="2523" xr:uid="{00000000-0005-0000-0000-000023550000}"/>
    <cellStyle name="Note 2 6 2 3 5 2" xfId="5375" xr:uid="{00000000-0005-0000-0000-000024550000}"/>
    <cellStyle name="Note 2 6 2 3 5 2 2" xfId="24347" xr:uid="{00000000-0005-0000-0000-000025550000}"/>
    <cellStyle name="Note 2 6 2 3 5 2 3" xfId="35192" xr:uid="{00000000-0005-0000-0000-000026550000}"/>
    <cellStyle name="Note 2 6 2 3 5 3" xfId="8046" xr:uid="{00000000-0005-0000-0000-000027550000}"/>
    <cellStyle name="Note 2 6 2 3 5 3 2" xfId="27018" xr:uid="{00000000-0005-0000-0000-000028550000}"/>
    <cellStyle name="Note 2 6 2 3 5 3 3" xfId="37863" xr:uid="{00000000-0005-0000-0000-000029550000}"/>
    <cellStyle name="Note 2 6 2 3 5 4" xfId="10705" xr:uid="{00000000-0005-0000-0000-00002A550000}"/>
    <cellStyle name="Note 2 6 2 3 5 4 2" xfId="29677" xr:uid="{00000000-0005-0000-0000-00002B550000}"/>
    <cellStyle name="Note 2 6 2 3 5 4 3" xfId="40522" xr:uid="{00000000-0005-0000-0000-00002C550000}"/>
    <cellStyle name="Note 2 6 2 3 5 5" xfId="21501" xr:uid="{00000000-0005-0000-0000-00002D550000}"/>
    <cellStyle name="Note 2 6 2 3 5 6" xfId="32346" xr:uid="{00000000-0005-0000-0000-00002E550000}"/>
    <cellStyle name="Note 2 6 2 3 6" xfId="2909" xr:uid="{00000000-0005-0000-0000-00002F550000}"/>
    <cellStyle name="Note 2 6 2 3 6 2" xfId="5760" xr:uid="{00000000-0005-0000-0000-000030550000}"/>
    <cellStyle name="Note 2 6 2 3 6 2 2" xfId="24732" xr:uid="{00000000-0005-0000-0000-000031550000}"/>
    <cellStyle name="Note 2 6 2 3 6 2 3" xfId="35577" xr:uid="{00000000-0005-0000-0000-000032550000}"/>
    <cellStyle name="Note 2 6 2 3 6 3" xfId="8431" xr:uid="{00000000-0005-0000-0000-000033550000}"/>
    <cellStyle name="Note 2 6 2 3 6 3 2" xfId="27403" xr:uid="{00000000-0005-0000-0000-000034550000}"/>
    <cellStyle name="Note 2 6 2 3 6 3 3" xfId="38248" xr:uid="{00000000-0005-0000-0000-000035550000}"/>
    <cellStyle name="Note 2 6 2 3 6 4" xfId="11090" xr:uid="{00000000-0005-0000-0000-000036550000}"/>
    <cellStyle name="Note 2 6 2 3 6 4 2" xfId="30062" xr:uid="{00000000-0005-0000-0000-000037550000}"/>
    <cellStyle name="Note 2 6 2 3 6 4 3" xfId="40907" xr:uid="{00000000-0005-0000-0000-000038550000}"/>
    <cellStyle name="Note 2 6 2 3 6 5" xfId="21886" xr:uid="{00000000-0005-0000-0000-000039550000}"/>
    <cellStyle name="Note 2 6 2 3 6 6" xfId="32731" xr:uid="{00000000-0005-0000-0000-00003A550000}"/>
    <cellStyle name="Note 2 6 2 3 7" xfId="3598" xr:uid="{00000000-0005-0000-0000-00003B550000}"/>
    <cellStyle name="Note 2 6 2 3 7 2" xfId="22570" xr:uid="{00000000-0005-0000-0000-00003C550000}"/>
    <cellStyle name="Note 2 6 2 3 7 3" xfId="33415" xr:uid="{00000000-0005-0000-0000-00003D550000}"/>
    <cellStyle name="Note 2 6 2 3 8" xfId="6273" xr:uid="{00000000-0005-0000-0000-00003E550000}"/>
    <cellStyle name="Note 2 6 2 3 8 2" xfId="25245" xr:uid="{00000000-0005-0000-0000-00003F550000}"/>
    <cellStyle name="Note 2 6 2 3 8 3" xfId="36090" xr:uid="{00000000-0005-0000-0000-000040550000}"/>
    <cellStyle name="Note 2 6 2 3 9" xfId="8932" xr:uid="{00000000-0005-0000-0000-000041550000}"/>
    <cellStyle name="Note 2 6 2 3 9 2" xfId="27904" xr:uid="{00000000-0005-0000-0000-000042550000}"/>
    <cellStyle name="Note 2 6 2 3 9 3" xfId="38749" xr:uid="{00000000-0005-0000-0000-000043550000}"/>
    <cellStyle name="Note 2 6 2 4" xfId="803" xr:uid="{00000000-0005-0000-0000-000044550000}"/>
    <cellStyle name="Note 2 6 2 4 10" xfId="19788" xr:uid="{00000000-0005-0000-0000-000045550000}"/>
    <cellStyle name="Note 2 6 2 4 11" xfId="30633" xr:uid="{00000000-0005-0000-0000-000046550000}"/>
    <cellStyle name="Note 2 6 2 4 2" xfId="1390" xr:uid="{00000000-0005-0000-0000-000047550000}"/>
    <cellStyle name="Note 2 6 2 4 2 2" xfId="4243" xr:uid="{00000000-0005-0000-0000-000048550000}"/>
    <cellStyle name="Note 2 6 2 4 2 2 2" xfId="23215" xr:uid="{00000000-0005-0000-0000-000049550000}"/>
    <cellStyle name="Note 2 6 2 4 2 2 3" xfId="34060" xr:uid="{00000000-0005-0000-0000-00004A550000}"/>
    <cellStyle name="Note 2 6 2 4 2 3" xfId="6916" xr:uid="{00000000-0005-0000-0000-00004B550000}"/>
    <cellStyle name="Note 2 6 2 4 2 3 2" xfId="25888" xr:uid="{00000000-0005-0000-0000-00004C550000}"/>
    <cellStyle name="Note 2 6 2 4 2 3 3" xfId="36733" xr:uid="{00000000-0005-0000-0000-00004D550000}"/>
    <cellStyle name="Note 2 6 2 4 2 4" xfId="9575" xr:uid="{00000000-0005-0000-0000-00004E550000}"/>
    <cellStyle name="Note 2 6 2 4 2 4 2" xfId="28547" xr:uid="{00000000-0005-0000-0000-00004F550000}"/>
    <cellStyle name="Note 2 6 2 4 2 4 3" xfId="39392" xr:uid="{00000000-0005-0000-0000-000050550000}"/>
    <cellStyle name="Note 2 6 2 4 2 5" xfId="20371" xr:uid="{00000000-0005-0000-0000-000051550000}"/>
    <cellStyle name="Note 2 6 2 4 2 6" xfId="31216" xr:uid="{00000000-0005-0000-0000-000052550000}"/>
    <cellStyle name="Note 2 6 2 4 3" xfId="1789" xr:uid="{00000000-0005-0000-0000-000053550000}"/>
    <cellStyle name="Note 2 6 2 4 3 2" xfId="4642" xr:uid="{00000000-0005-0000-0000-000054550000}"/>
    <cellStyle name="Note 2 6 2 4 3 2 2" xfId="23614" xr:uid="{00000000-0005-0000-0000-000055550000}"/>
    <cellStyle name="Note 2 6 2 4 3 2 3" xfId="34459" xr:uid="{00000000-0005-0000-0000-000056550000}"/>
    <cellStyle name="Note 2 6 2 4 3 3" xfId="7314" xr:uid="{00000000-0005-0000-0000-000057550000}"/>
    <cellStyle name="Note 2 6 2 4 3 3 2" xfId="26286" xr:uid="{00000000-0005-0000-0000-000058550000}"/>
    <cellStyle name="Note 2 6 2 4 3 3 3" xfId="37131" xr:uid="{00000000-0005-0000-0000-000059550000}"/>
    <cellStyle name="Note 2 6 2 4 3 4" xfId="9973" xr:uid="{00000000-0005-0000-0000-00005A550000}"/>
    <cellStyle name="Note 2 6 2 4 3 4 2" xfId="28945" xr:uid="{00000000-0005-0000-0000-00005B550000}"/>
    <cellStyle name="Note 2 6 2 4 3 4 3" xfId="39790" xr:uid="{00000000-0005-0000-0000-00005C550000}"/>
    <cellStyle name="Note 2 6 2 4 3 5" xfId="20769" xr:uid="{00000000-0005-0000-0000-00005D550000}"/>
    <cellStyle name="Note 2 6 2 4 3 6" xfId="31614" xr:uid="{00000000-0005-0000-0000-00005E550000}"/>
    <cellStyle name="Note 2 6 2 4 4" xfId="2193" xr:uid="{00000000-0005-0000-0000-00005F550000}"/>
    <cellStyle name="Note 2 6 2 4 4 2" xfId="5046" xr:uid="{00000000-0005-0000-0000-000060550000}"/>
    <cellStyle name="Note 2 6 2 4 4 2 2" xfId="24018" xr:uid="{00000000-0005-0000-0000-000061550000}"/>
    <cellStyle name="Note 2 6 2 4 4 2 3" xfId="34863" xr:uid="{00000000-0005-0000-0000-000062550000}"/>
    <cellStyle name="Note 2 6 2 4 4 3" xfId="7717" xr:uid="{00000000-0005-0000-0000-000063550000}"/>
    <cellStyle name="Note 2 6 2 4 4 3 2" xfId="26689" xr:uid="{00000000-0005-0000-0000-000064550000}"/>
    <cellStyle name="Note 2 6 2 4 4 3 3" xfId="37534" xr:uid="{00000000-0005-0000-0000-000065550000}"/>
    <cellStyle name="Note 2 6 2 4 4 4" xfId="10376" xr:uid="{00000000-0005-0000-0000-000066550000}"/>
    <cellStyle name="Note 2 6 2 4 4 4 2" xfId="29348" xr:uid="{00000000-0005-0000-0000-000067550000}"/>
    <cellStyle name="Note 2 6 2 4 4 4 3" xfId="40193" xr:uid="{00000000-0005-0000-0000-000068550000}"/>
    <cellStyle name="Note 2 6 2 4 4 5" xfId="21172" xr:uid="{00000000-0005-0000-0000-000069550000}"/>
    <cellStyle name="Note 2 6 2 4 4 6" xfId="32017" xr:uid="{00000000-0005-0000-0000-00006A550000}"/>
    <cellStyle name="Note 2 6 2 4 5" xfId="2583" xr:uid="{00000000-0005-0000-0000-00006B550000}"/>
    <cellStyle name="Note 2 6 2 4 5 2" xfId="5435" xr:uid="{00000000-0005-0000-0000-00006C550000}"/>
    <cellStyle name="Note 2 6 2 4 5 2 2" xfId="24407" xr:uid="{00000000-0005-0000-0000-00006D550000}"/>
    <cellStyle name="Note 2 6 2 4 5 2 3" xfId="35252" xr:uid="{00000000-0005-0000-0000-00006E550000}"/>
    <cellStyle name="Note 2 6 2 4 5 3" xfId="8106" xr:uid="{00000000-0005-0000-0000-00006F550000}"/>
    <cellStyle name="Note 2 6 2 4 5 3 2" xfId="27078" xr:uid="{00000000-0005-0000-0000-000070550000}"/>
    <cellStyle name="Note 2 6 2 4 5 3 3" xfId="37923" xr:uid="{00000000-0005-0000-0000-000071550000}"/>
    <cellStyle name="Note 2 6 2 4 5 4" xfId="10765" xr:uid="{00000000-0005-0000-0000-000072550000}"/>
    <cellStyle name="Note 2 6 2 4 5 4 2" xfId="29737" xr:uid="{00000000-0005-0000-0000-000073550000}"/>
    <cellStyle name="Note 2 6 2 4 5 4 3" xfId="40582" xr:uid="{00000000-0005-0000-0000-000074550000}"/>
    <cellStyle name="Note 2 6 2 4 5 5" xfId="21561" xr:uid="{00000000-0005-0000-0000-000075550000}"/>
    <cellStyle name="Note 2 6 2 4 5 6" xfId="32406" xr:uid="{00000000-0005-0000-0000-000076550000}"/>
    <cellStyle name="Note 2 6 2 4 6" xfId="2969" xr:uid="{00000000-0005-0000-0000-000077550000}"/>
    <cellStyle name="Note 2 6 2 4 6 2" xfId="5820" xr:uid="{00000000-0005-0000-0000-000078550000}"/>
    <cellStyle name="Note 2 6 2 4 6 2 2" xfId="24792" xr:uid="{00000000-0005-0000-0000-000079550000}"/>
    <cellStyle name="Note 2 6 2 4 6 2 3" xfId="35637" xr:uid="{00000000-0005-0000-0000-00007A550000}"/>
    <cellStyle name="Note 2 6 2 4 6 3" xfId="8491" xr:uid="{00000000-0005-0000-0000-00007B550000}"/>
    <cellStyle name="Note 2 6 2 4 6 3 2" xfId="27463" xr:uid="{00000000-0005-0000-0000-00007C550000}"/>
    <cellStyle name="Note 2 6 2 4 6 3 3" xfId="38308" xr:uid="{00000000-0005-0000-0000-00007D550000}"/>
    <cellStyle name="Note 2 6 2 4 6 4" xfId="11150" xr:uid="{00000000-0005-0000-0000-00007E550000}"/>
    <cellStyle name="Note 2 6 2 4 6 4 2" xfId="30122" xr:uid="{00000000-0005-0000-0000-00007F550000}"/>
    <cellStyle name="Note 2 6 2 4 6 4 3" xfId="40967" xr:uid="{00000000-0005-0000-0000-000080550000}"/>
    <cellStyle name="Note 2 6 2 4 6 5" xfId="21946" xr:uid="{00000000-0005-0000-0000-000081550000}"/>
    <cellStyle name="Note 2 6 2 4 6 6" xfId="32791" xr:uid="{00000000-0005-0000-0000-000082550000}"/>
    <cellStyle name="Note 2 6 2 4 7" xfId="3658" xr:uid="{00000000-0005-0000-0000-000083550000}"/>
    <cellStyle name="Note 2 6 2 4 7 2" xfId="22630" xr:uid="{00000000-0005-0000-0000-000084550000}"/>
    <cellStyle name="Note 2 6 2 4 7 3" xfId="33475" xr:uid="{00000000-0005-0000-0000-000085550000}"/>
    <cellStyle name="Note 2 6 2 4 8" xfId="6333" xr:uid="{00000000-0005-0000-0000-000086550000}"/>
    <cellStyle name="Note 2 6 2 4 8 2" xfId="25305" xr:uid="{00000000-0005-0000-0000-000087550000}"/>
    <cellStyle name="Note 2 6 2 4 8 3" xfId="36150" xr:uid="{00000000-0005-0000-0000-000088550000}"/>
    <cellStyle name="Note 2 6 2 4 9" xfId="8992" xr:uid="{00000000-0005-0000-0000-000089550000}"/>
    <cellStyle name="Note 2 6 2 4 9 2" xfId="27964" xr:uid="{00000000-0005-0000-0000-00008A550000}"/>
    <cellStyle name="Note 2 6 2 4 9 3" xfId="38809" xr:uid="{00000000-0005-0000-0000-00008B550000}"/>
    <cellStyle name="Note 2 6 2 5" xfId="862" xr:uid="{00000000-0005-0000-0000-00008C550000}"/>
    <cellStyle name="Note 2 6 2 5 10" xfId="19847" xr:uid="{00000000-0005-0000-0000-00008D550000}"/>
    <cellStyle name="Note 2 6 2 5 11" xfId="30692" xr:uid="{00000000-0005-0000-0000-00008E550000}"/>
    <cellStyle name="Note 2 6 2 5 2" xfId="1449" xr:uid="{00000000-0005-0000-0000-00008F550000}"/>
    <cellStyle name="Note 2 6 2 5 2 2" xfId="4302" xr:uid="{00000000-0005-0000-0000-000090550000}"/>
    <cellStyle name="Note 2 6 2 5 2 2 2" xfId="23274" xr:uid="{00000000-0005-0000-0000-000091550000}"/>
    <cellStyle name="Note 2 6 2 5 2 2 3" xfId="34119" xr:uid="{00000000-0005-0000-0000-000092550000}"/>
    <cellStyle name="Note 2 6 2 5 2 3" xfId="6975" xr:uid="{00000000-0005-0000-0000-000093550000}"/>
    <cellStyle name="Note 2 6 2 5 2 3 2" xfId="25947" xr:uid="{00000000-0005-0000-0000-000094550000}"/>
    <cellStyle name="Note 2 6 2 5 2 3 3" xfId="36792" xr:uid="{00000000-0005-0000-0000-000095550000}"/>
    <cellStyle name="Note 2 6 2 5 2 4" xfId="9634" xr:uid="{00000000-0005-0000-0000-000096550000}"/>
    <cellStyle name="Note 2 6 2 5 2 4 2" xfId="28606" xr:uid="{00000000-0005-0000-0000-000097550000}"/>
    <cellStyle name="Note 2 6 2 5 2 4 3" xfId="39451" xr:uid="{00000000-0005-0000-0000-000098550000}"/>
    <cellStyle name="Note 2 6 2 5 2 5" xfId="20430" xr:uid="{00000000-0005-0000-0000-000099550000}"/>
    <cellStyle name="Note 2 6 2 5 2 6" xfId="31275" xr:uid="{00000000-0005-0000-0000-00009A550000}"/>
    <cellStyle name="Note 2 6 2 5 3" xfId="1848" xr:uid="{00000000-0005-0000-0000-00009B550000}"/>
    <cellStyle name="Note 2 6 2 5 3 2" xfId="4701" xr:uid="{00000000-0005-0000-0000-00009C550000}"/>
    <cellStyle name="Note 2 6 2 5 3 2 2" xfId="23673" xr:uid="{00000000-0005-0000-0000-00009D550000}"/>
    <cellStyle name="Note 2 6 2 5 3 2 3" xfId="34518" xr:uid="{00000000-0005-0000-0000-00009E550000}"/>
    <cellStyle name="Note 2 6 2 5 3 3" xfId="7373" xr:uid="{00000000-0005-0000-0000-00009F550000}"/>
    <cellStyle name="Note 2 6 2 5 3 3 2" xfId="26345" xr:uid="{00000000-0005-0000-0000-0000A0550000}"/>
    <cellStyle name="Note 2 6 2 5 3 3 3" xfId="37190" xr:uid="{00000000-0005-0000-0000-0000A1550000}"/>
    <cellStyle name="Note 2 6 2 5 3 4" xfId="10032" xr:uid="{00000000-0005-0000-0000-0000A2550000}"/>
    <cellStyle name="Note 2 6 2 5 3 4 2" xfId="29004" xr:uid="{00000000-0005-0000-0000-0000A3550000}"/>
    <cellStyle name="Note 2 6 2 5 3 4 3" xfId="39849" xr:uid="{00000000-0005-0000-0000-0000A4550000}"/>
    <cellStyle name="Note 2 6 2 5 3 5" xfId="20828" xr:uid="{00000000-0005-0000-0000-0000A5550000}"/>
    <cellStyle name="Note 2 6 2 5 3 6" xfId="31673" xr:uid="{00000000-0005-0000-0000-0000A6550000}"/>
    <cellStyle name="Note 2 6 2 5 4" xfId="2252" xr:uid="{00000000-0005-0000-0000-0000A7550000}"/>
    <cellStyle name="Note 2 6 2 5 4 2" xfId="5105" xr:uid="{00000000-0005-0000-0000-0000A8550000}"/>
    <cellStyle name="Note 2 6 2 5 4 2 2" xfId="24077" xr:uid="{00000000-0005-0000-0000-0000A9550000}"/>
    <cellStyle name="Note 2 6 2 5 4 2 3" xfId="34922" xr:uid="{00000000-0005-0000-0000-0000AA550000}"/>
    <cellStyle name="Note 2 6 2 5 4 3" xfId="7776" xr:uid="{00000000-0005-0000-0000-0000AB550000}"/>
    <cellStyle name="Note 2 6 2 5 4 3 2" xfId="26748" xr:uid="{00000000-0005-0000-0000-0000AC550000}"/>
    <cellStyle name="Note 2 6 2 5 4 3 3" xfId="37593" xr:uid="{00000000-0005-0000-0000-0000AD550000}"/>
    <cellStyle name="Note 2 6 2 5 4 4" xfId="10435" xr:uid="{00000000-0005-0000-0000-0000AE550000}"/>
    <cellStyle name="Note 2 6 2 5 4 4 2" xfId="29407" xr:uid="{00000000-0005-0000-0000-0000AF550000}"/>
    <cellStyle name="Note 2 6 2 5 4 4 3" xfId="40252" xr:uid="{00000000-0005-0000-0000-0000B0550000}"/>
    <cellStyle name="Note 2 6 2 5 4 5" xfId="21231" xr:uid="{00000000-0005-0000-0000-0000B1550000}"/>
    <cellStyle name="Note 2 6 2 5 4 6" xfId="32076" xr:uid="{00000000-0005-0000-0000-0000B2550000}"/>
    <cellStyle name="Note 2 6 2 5 5" xfId="2642" xr:uid="{00000000-0005-0000-0000-0000B3550000}"/>
    <cellStyle name="Note 2 6 2 5 5 2" xfId="5494" xr:uid="{00000000-0005-0000-0000-0000B4550000}"/>
    <cellStyle name="Note 2 6 2 5 5 2 2" xfId="24466" xr:uid="{00000000-0005-0000-0000-0000B5550000}"/>
    <cellStyle name="Note 2 6 2 5 5 2 3" xfId="35311" xr:uid="{00000000-0005-0000-0000-0000B6550000}"/>
    <cellStyle name="Note 2 6 2 5 5 3" xfId="8165" xr:uid="{00000000-0005-0000-0000-0000B7550000}"/>
    <cellStyle name="Note 2 6 2 5 5 3 2" xfId="27137" xr:uid="{00000000-0005-0000-0000-0000B8550000}"/>
    <cellStyle name="Note 2 6 2 5 5 3 3" xfId="37982" xr:uid="{00000000-0005-0000-0000-0000B9550000}"/>
    <cellStyle name="Note 2 6 2 5 5 4" xfId="10824" xr:uid="{00000000-0005-0000-0000-0000BA550000}"/>
    <cellStyle name="Note 2 6 2 5 5 4 2" xfId="29796" xr:uid="{00000000-0005-0000-0000-0000BB550000}"/>
    <cellStyle name="Note 2 6 2 5 5 4 3" xfId="40641" xr:uid="{00000000-0005-0000-0000-0000BC550000}"/>
    <cellStyle name="Note 2 6 2 5 5 5" xfId="21620" xr:uid="{00000000-0005-0000-0000-0000BD550000}"/>
    <cellStyle name="Note 2 6 2 5 5 6" xfId="32465" xr:uid="{00000000-0005-0000-0000-0000BE550000}"/>
    <cellStyle name="Note 2 6 2 5 6" xfId="3028" xr:uid="{00000000-0005-0000-0000-0000BF550000}"/>
    <cellStyle name="Note 2 6 2 5 6 2" xfId="5879" xr:uid="{00000000-0005-0000-0000-0000C0550000}"/>
    <cellStyle name="Note 2 6 2 5 6 2 2" xfId="24851" xr:uid="{00000000-0005-0000-0000-0000C1550000}"/>
    <cellStyle name="Note 2 6 2 5 6 2 3" xfId="35696" xr:uid="{00000000-0005-0000-0000-0000C2550000}"/>
    <cellStyle name="Note 2 6 2 5 6 3" xfId="8550" xr:uid="{00000000-0005-0000-0000-0000C3550000}"/>
    <cellStyle name="Note 2 6 2 5 6 3 2" xfId="27522" xr:uid="{00000000-0005-0000-0000-0000C4550000}"/>
    <cellStyle name="Note 2 6 2 5 6 3 3" xfId="38367" xr:uid="{00000000-0005-0000-0000-0000C5550000}"/>
    <cellStyle name="Note 2 6 2 5 6 4" xfId="11209" xr:uid="{00000000-0005-0000-0000-0000C6550000}"/>
    <cellStyle name="Note 2 6 2 5 6 4 2" xfId="30181" xr:uid="{00000000-0005-0000-0000-0000C7550000}"/>
    <cellStyle name="Note 2 6 2 5 6 4 3" xfId="41026" xr:uid="{00000000-0005-0000-0000-0000C8550000}"/>
    <cellStyle name="Note 2 6 2 5 6 5" xfId="22005" xr:uid="{00000000-0005-0000-0000-0000C9550000}"/>
    <cellStyle name="Note 2 6 2 5 6 6" xfId="32850" xr:uid="{00000000-0005-0000-0000-0000CA550000}"/>
    <cellStyle name="Note 2 6 2 5 7" xfId="3717" xr:uid="{00000000-0005-0000-0000-0000CB550000}"/>
    <cellStyle name="Note 2 6 2 5 7 2" xfId="22689" xr:uid="{00000000-0005-0000-0000-0000CC550000}"/>
    <cellStyle name="Note 2 6 2 5 7 3" xfId="33534" xr:uid="{00000000-0005-0000-0000-0000CD550000}"/>
    <cellStyle name="Note 2 6 2 5 8" xfId="6392" xr:uid="{00000000-0005-0000-0000-0000CE550000}"/>
    <cellStyle name="Note 2 6 2 5 8 2" xfId="25364" xr:uid="{00000000-0005-0000-0000-0000CF550000}"/>
    <cellStyle name="Note 2 6 2 5 8 3" xfId="36209" xr:uid="{00000000-0005-0000-0000-0000D0550000}"/>
    <cellStyle name="Note 2 6 2 5 9" xfId="9051" xr:uid="{00000000-0005-0000-0000-0000D1550000}"/>
    <cellStyle name="Note 2 6 2 5 9 2" xfId="28023" xr:uid="{00000000-0005-0000-0000-0000D2550000}"/>
    <cellStyle name="Note 2 6 2 5 9 3" xfId="38868" xr:uid="{00000000-0005-0000-0000-0000D3550000}"/>
    <cellStyle name="Note 2 6 2 6" xfId="1084" xr:uid="{00000000-0005-0000-0000-0000D4550000}"/>
    <cellStyle name="Note 2 6 2 6 2" xfId="3937" xr:uid="{00000000-0005-0000-0000-0000D5550000}"/>
    <cellStyle name="Note 2 6 2 6 2 2" xfId="22909" xr:uid="{00000000-0005-0000-0000-0000D6550000}"/>
    <cellStyle name="Note 2 6 2 6 2 3" xfId="33754" xr:uid="{00000000-0005-0000-0000-0000D7550000}"/>
    <cellStyle name="Note 2 6 2 6 3" xfId="6611" xr:uid="{00000000-0005-0000-0000-0000D8550000}"/>
    <cellStyle name="Note 2 6 2 6 3 2" xfId="25583" xr:uid="{00000000-0005-0000-0000-0000D9550000}"/>
    <cellStyle name="Note 2 6 2 6 3 3" xfId="36428" xr:uid="{00000000-0005-0000-0000-0000DA550000}"/>
    <cellStyle name="Note 2 6 2 6 4" xfId="9270" xr:uid="{00000000-0005-0000-0000-0000DB550000}"/>
    <cellStyle name="Note 2 6 2 6 4 2" xfId="28242" xr:uid="{00000000-0005-0000-0000-0000DC550000}"/>
    <cellStyle name="Note 2 6 2 6 4 3" xfId="39087" xr:uid="{00000000-0005-0000-0000-0000DD550000}"/>
    <cellStyle name="Note 2 6 2 6 5" xfId="20066" xr:uid="{00000000-0005-0000-0000-0000DE550000}"/>
    <cellStyle name="Note 2 6 2 6 6" xfId="30911" xr:uid="{00000000-0005-0000-0000-0000DF550000}"/>
    <cellStyle name="Note 2 6 2 7" xfId="1051" xr:uid="{00000000-0005-0000-0000-0000E0550000}"/>
    <cellStyle name="Note 2 6 2 7 2" xfId="3904" xr:uid="{00000000-0005-0000-0000-0000E1550000}"/>
    <cellStyle name="Note 2 6 2 7 2 2" xfId="22876" xr:uid="{00000000-0005-0000-0000-0000E2550000}"/>
    <cellStyle name="Note 2 6 2 7 2 3" xfId="33721" xr:uid="{00000000-0005-0000-0000-0000E3550000}"/>
    <cellStyle name="Note 2 6 2 7 3" xfId="6578" xr:uid="{00000000-0005-0000-0000-0000E4550000}"/>
    <cellStyle name="Note 2 6 2 7 3 2" xfId="25550" xr:uid="{00000000-0005-0000-0000-0000E5550000}"/>
    <cellStyle name="Note 2 6 2 7 3 3" xfId="36395" xr:uid="{00000000-0005-0000-0000-0000E6550000}"/>
    <cellStyle name="Note 2 6 2 7 4" xfId="9237" xr:uid="{00000000-0005-0000-0000-0000E7550000}"/>
    <cellStyle name="Note 2 6 2 7 4 2" xfId="28209" xr:uid="{00000000-0005-0000-0000-0000E8550000}"/>
    <cellStyle name="Note 2 6 2 7 4 3" xfId="39054" xr:uid="{00000000-0005-0000-0000-0000E9550000}"/>
    <cellStyle name="Note 2 6 2 7 5" xfId="20033" xr:uid="{00000000-0005-0000-0000-0000EA550000}"/>
    <cellStyle name="Note 2 6 2 7 6" xfId="30878" xr:uid="{00000000-0005-0000-0000-0000EB550000}"/>
    <cellStyle name="Note 2 6 2 8" xfId="1891" xr:uid="{00000000-0005-0000-0000-0000EC550000}"/>
    <cellStyle name="Note 2 6 2 8 2" xfId="4744" xr:uid="{00000000-0005-0000-0000-0000ED550000}"/>
    <cellStyle name="Note 2 6 2 8 2 2" xfId="23716" xr:uid="{00000000-0005-0000-0000-0000EE550000}"/>
    <cellStyle name="Note 2 6 2 8 2 3" xfId="34561" xr:uid="{00000000-0005-0000-0000-0000EF550000}"/>
    <cellStyle name="Note 2 6 2 8 3" xfId="7416" xr:uid="{00000000-0005-0000-0000-0000F0550000}"/>
    <cellStyle name="Note 2 6 2 8 3 2" xfId="26388" xr:uid="{00000000-0005-0000-0000-0000F1550000}"/>
    <cellStyle name="Note 2 6 2 8 3 3" xfId="37233" xr:uid="{00000000-0005-0000-0000-0000F2550000}"/>
    <cellStyle name="Note 2 6 2 8 4" xfId="10075" xr:uid="{00000000-0005-0000-0000-0000F3550000}"/>
    <cellStyle name="Note 2 6 2 8 4 2" xfId="29047" xr:uid="{00000000-0005-0000-0000-0000F4550000}"/>
    <cellStyle name="Note 2 6 2 8 4 3" xfId="39892" xr:uid="{00000000-0005-0000-0000-0000F5550000}"/>
    <cellStyle name="Note 2 6 2 8 5" xfId="20871" xr:uid="{00000000-0005-0000-0000-0000F6550000}"/>
    <cellStyle name="Note 2 6 2 8 6" xfId="31716" xr:uid="{00000000-0005-0000-0000-0000F7550000}"/>
    <cellStyle name="Note 2 6 2 9" xfId="952" xr:uid="{00000000-0005-0000-0000-0000F8550000}"/>
    <cellStyle name="Note 2 6 2 9 2" xfId="3805" xr:uid="{00000000-0005-0000-0000-0000F9550000}"/>
    <cellStyle name="Note 2 6 2 9 2 2" xfId="22777" xr:uid="{00000000-0005-0000-0000-0000FA550000}"/>
    <cellStyle name="Note 2 6 2 9 2 3" xfId="33622" xr:uid="{00000000-0005-0000-0000-0000FB550000}"/>
    <cellStyle name="Note 2 6 2 9 3" xfId="6480" xr:uid="{00000000-0005-0000-0000-0000FC550000}"/>
    <cellStyle name="Note 2 6 2 9 3 2" xfId="25452" xr:uid="{00000000-0005-0000-0000-0000FD550000}"/>
    <cellStyle name="Note 2 6 2 9 3 3" xfId="36297" xr:uid="{00000000-0005-0000-0000-0000FE550000}"/>
    <cellStyle name="Note 2 6 2 9 4" xfId="9139" xr:uid="{00000000-0005-0000-0000-0000FF550000}"/>
    <cellStyle name="Note 2 6 2 9 4 2" xfId="28111" xr:uid="{00000000-0005-0000-0000-000000560000}"/>
    <cellStyle name="Note 2 6 2 9 4 3" xfId="38956" xr:uid="{00000000-0005-0000-0000-000001560000}"/>
    <cellStyle name="Note 2 6 2 9 5" xfId="19935" xr:uid="{00000000-0005-0000-0000-000002560000}"/>
    <cellStyle name="Note 2 6 2 9 6" xfId="30780" xr:uid="{00000000-0005-0000-0000-000003560000}"/>
    <cellStyle name="Note 2 6 3" xfId="566" xr:uid="{00000000-0005-0000-0000-000004560000}"/>
    <cellStyle name="Note 2 6 3 10" xfId="19576" xr:uid="{00000000-0005-0000-0000-000005560000}"/>
    <cellStyle name="Note 2 6 3 11" xfId="30421" xr:uid="{00000000-0005-0000-0000-000006560000}"/>
    <cellStyle name="Note 2 6 3 2" xfId="1172" xr:uid="{00000000-0005-0000-0000-000007560000}"/>
    <cellStyle name="Note 2 6 3 2 2" xfId="4025" xr:uid="{00000000-0005-0000-0000-000008560000}"/>
    <cellStyle name="Note 2 6 3 2 2 2" xfId="22997" xr:uid="{00000000-0005-0000-0000-000009560000}"/>
    <cellStyle name="Note 2 6 3 2 2 3" xfId="33842" xr:uid="{00000000-0005-0000-0000-00000A560000}"/>
    <cellStyle name="Note 2 6 3 2 3" xfId="6698" xr:uid="{00000000-0005-0000-0000-00000B560000}"/>
    <cellStyle name="Note 2 6 3 2 3 2" xfId="25670" xr:uid="{00000000-0005-0000-0000-00000C560000}"/>
    <cellStyle name="Note 2 6 3 2 3 3" xfId="36515" xr:uid="{00000000-0005-0000-0000-00000D560000}"/>
    <cellStyle name="Note 2 6 3 2 4" xfId="9357" xr:uid="{00000000-0005-0000-0000-00000E560000}"/>
    <cellStyle name="Note 2 6 3 2 4 2" xfId="28329" xr:uid="{00000000-0005-0000-0000-00000F560000}"/>
    <cellStyle name="Note 2 6 3 2 4 3" xfId="39174" xr:uid="{00000000-0005-0000-0000-000010560000}"/>
    <cellStyle name="Note 2 6 3 2 5" xfId="20153" xr:uid="{00000000-0005-0000-0000-000011560000}"/>
    <cellStyle name="Note 2 6 3 2 6" xfId="30998" xr:uid="{00000000-0005-0000-0000-000012560000}"/>
    <cellStyle name="Note 2 6 3 3" xfId="1569" xr:uid="{00000000-0005-0000-0000-000013560000}"/>
    <cellStyle name="Note 2 6 3 3 2" xfId="4422" xr:uid="{00000000-0005-0000-0000-000014560000}"/>
    <cellStyle name="Note 2 6 3 3 2 2" xfId="23394" xr:uid="{00000000-0005-0000-0000-000015560000}"/>
    <cellStyle name="Note 2 6 3 3 2 3" xfId="34239" xr:uid="{00000000-0005-0000-0000-000016560000}"/>
    <cellStyle name="Note 2 6 3 3 3" xfId="7094" xr:uid="{00000000-0005-0000-0000-000017560000}"/>
    <cellStyle name="Note 2 6 3 3 3 2" xfId="26066" xr:uid="{00000000-0005-0000-0000-000018560000}"/>
    <cellStyle name="Note 2 6 3 3 3 3" xfId="36911" xr:uid="{00000000-0005-0000-0000-000019560000}"/>
    <cellStyle name="Note 2 6 3 3 4" xfId="9753" xr:uid="{00000000-0005-0000-0000-00001A560000}"/>
    <cellStyle name="Note 2 6 3 3 4 2" xfId="28725" xr:uid="{00000000-0005-0000-0000-00001B560000}"/>
    <cellStyle name="Note 2 6 3 3 4 3" xfId="39570" xr:uid="{00000000-0005-0000-0000-00001C560000}"/>
    <cellStyle name="Note 2 6 3 3 5" xfId="20549" xr:uid="{00000000-0005-0000-0000-00001D560000}"/>
    <cellStyle name="Note 2 6 3 3 6" xfId="31394" xr:uid="{00000000-0005-0000-0000-00001E560000}"/>
    <cellStyle name="Note 2 6 3 4" xfId="1973" xr:uid="{00000000-0005-0000-0000-00001F560000}"/>
    <cellStyle name="Note 2 6 3 4 2" xfId="4826" xr:uid="{00000000-0005-0000-0000-000020560000}"/>
    <cellStyle name="Note 2 6 3 4 2 2" xfId="23798" xr:uid="{00000000-0005-0000-0000-000021560000}"/>
    <cellStyle name="Note 2 6 3 4 2 3" xfId="34643" xr:uid="{00000000-0005-0000-0000-000022560000}"/>
    <cellStyle name="Note 2 6 3 4 3" xfId="7498" xr:uid="{00000000-0005-0000-0000-000023560000}"/>
    <cellStyle name="Note 2 6 3 4 3 2" xfId="26470" xr:uid="{00000000-0005-0000-0000-000024560000}"/>
    <cellStyle name="Note 2 6 3 4 3 3" xfId="37315" xr:uid="{00000000-0005-0000-0000-000025560000}"/>
    <cellStyle name="Note 2 6 3 4 4" xfId="10157" xr:uid="{00000000-0005-0000-0000-000026560000}"/>
    <cellStyle name="Note 2 6 3 4 4 2" xfId="29129" xr:uid="{00000000-0005-0000-0000-000027560000}"/>
    <cellStyle name="Note 2 6 3 4 4 3" xfId="39974" xr:uid="{00000000-0005-0000-0000-000028560000}"/>
    <cellStyle name="Note 2 6 3 4 5" xfId="20953" xr:uid="{00000000-0005-0000-0000-000029560000}"/>
    <cellStyle name="Note 2 6 3 4 6" xfId="31798" xr:uid="{00000000-0005-0000-0000-00002A560000}"/>
    <cellStyle name="Note 2 6 3 5" xfId="2365" xr:uid="{00000000-0005-0000-0000-00002B560000}"/>
    <cellStyle name="Note 2 6 3 5 2" xfId="5218" xr:uid="{00000000-0005-0000-0000-00002C560000}"/>
    <cellStyle name="Note 2 6 3 5 2 2" xfId="24190" xr:uid="{00000000-0005-0000-0000-00002D560000}"/>
    <cellStyle name="Note 2 6 3 5 2 3" xfId="35035" xr:uid="{00000000-0005-0000-0000-00002E560000}"/>
    <cellStyle name="Note 2 6 3 5 3" xfId="7889" xr:uid="{00000000-0005-0000-0000-00002F560000}"/>
    <cellStyle name="Note 2 6 3 5 3 2" xfId="26861" xr:uid="{00000000-0005-0000-0000-000030560000}"/>
    <cellStyle name="Note 2 6 3 5 3 3" xfId="37706" xr:uid="{00000000-0005-0000-0000-000031560000}"/>
    <cellStyle name="Note 2 6 3 5 4" xfId="10548" xr:uid="{00000000-0005-0000-0000-000032560000}"/>
    <cellStyle name="Note 2 6 3 5 4 2" xfId="29520" xr:uid="{00000000-0005-0000-0000-000033560000}"/>
    <cellStyle name="Note 2 6 3 5 4 3" xfId="40365" xr:uid="{00000000-0005-0000-0000-000034560000}"/>
    <cellStyle name="Note 2 6 3 5 5" xfId="21344" xr:uid="{00000000-0005-0000-0000-000035560000}"/>
    <cellStyle name="Note 2 6 3 5 6" xfId="32189" xr:uid="{00000000-0005-0000-0000-000036560000}"/>
    <cellStyle name="Note 2 6 3 6" xfId="2754" xr:uid="{00000000-0005-0000-0000-000037560000}"/>
    <cellStyle name="Note 2 6 3 6 2" xfId="5606" xr:uid="{00000000-0005-0000-0000-000038560000}"/>
    <cellStyle name="Note 2 6 3 6 2 2" xfId="24578" xr:uid="{00000000-0005-0000-0000-000039560000}"/>
    <cellStyle name="Note 2 6 3 6 2 3" xfId="35423" xr:uid="{00000000-0005-0000-0000-00003A560000}"/>
    <cellStyle name="Note 2 6 3 6 3" xfId="8277" xr:uid="{00000000-0005-0000-0000-00003B560000}"/>
    <cellStyle name="Note 2 6 3 6 3 2" xfId="27249" xr:uid="{00000000-0005-0000-0000-00003C560000}"/>
    <cellStyle name="Note 2 6 3 6 3 3" xfId="38094" xr:uid="{00000000-0005-0000-0000-00003D560000}"/>
    <cellStyle name="Note 2 6 3 6 4" xfId="10936" xr:uid="{00000000-0005-0000-0000-00003E560000}"/>
    <cellStyle name="Note 2 6 3 6 4 2" xfId="29908" xr:uid="{00000000-0005-0000-0000-00003F560000}"/>
    <cellStyle name="Note 2 6 3 6 4 3" xfId="40753" xr:uid="{00000000-0005-0000-0000-000040560000}"/>
    <cellStyle name="Note 2 6 3 6 5" xfId="21732" xr:uid="{00000000-0005-0000-0000-000041560000}"/>
    <cellStyle name="Note 2 6 3 6 6" xfId="32577" xr:uid="{00000000-0005-0000-0000-000042560000}"/>
    <cellStyle name="Note 2 6 3 7" xfId="3445" xr:uid="{00000000-0005-0000-0000-000043560000}"/>
    <cellStyle name="Note 2 6 3 7 2" xfId="22417" xr:uid="{00000000-0005-0000-0000-000044560000}"/>
    <cellStyle name="Note 2 6 3 7 3" xfId="33262" xr:uid="{00000000-0005-0000-0000-000045560000}"/>
    <cellStyle name="Note 2 6 3 8" xfId="6121" xr:uid="{00000000-0005-0000-0000-000046560000}"/>
    <cellStyle name="Note 2 6 3 8 2" xfId="25093" xr:uid="{00000000-0005-0000-0000-000047560000}"/>
    <cellStyle name="Note 2 6 3 8 3" xfId="35938" xr:uid="{00000000-0005-0000-0000-000048560000}"/>
    <cellStyle name="Note 2 6 3 9" xfId="8780" xr:uid="{00000000-0005-0000-0000-000049560000}"/>
    <cellStyle name="Note 2 6 3 9 2" xfId="27752" xr:uid="{00000000-0005-0000-0000-00004A560000}"/>
    <cellStyle name="Note 2 6 3 9 3" xfId="38597" xr:uid="{00000000-0005-0000-0000-00004B560000}"/>
    <cellStyle name="Note 2 6 4" xfId="41477" xr:uid="{00000000-0005-0000-0000-00004C560000}"/>
    <cellStyle name="Note 2 7" xfId="132" xr:uid="{00000000-0005-0000-0000-00004D560000}"/>
    <cellStyle name="Note 2 7 2" xfId="384" xr:uid="{00000000-0005-0000-0000-00004E560000}"/>
    <cellStyle name="Note 2 7 2 10" xfId="992" xr:uid="{00000000-0005-0000-0000-00004F560000}"/>
    <cellStyle name="Note 2 7 2 10 2" xfId="3845" xr:uid="{00000000-0005-0000-0000-000050560000}"/>
    <cellStyle name="Note 2 7 2 10 2 2" xfId="22817" xr:uid="{00000000-0005-0000-0000-000051560000}"/>
    <cellStyle name="Note 2 7 2 10 2 3" xfId="33662" xr:uid="{00000000-0005-0000-0000-000052560000}"/>
    <cellStyle name="Note 2 7 2 10 3" xfId="6520" xr:uid="{00000000-0005-0000-0000-000053560000}"/>
    <cellStyle name="Note 2 7 2 10 3 2" xfId="25492" xr:uid="{00000000-0005-0000-0000-000054560000}"/>
    <cellStyle name="Note 2 7 2 10 3 3" xfId="36337" xr:uid="{00000000-0005-0000-0000-000055560000}"/>
    <cellStyle name="Note 2 7 2 10 4" xfId="9179" xr:uid="{00000000-0005-0000-0000-000056560000}"/>
    <cellStyle name="Note 2 7 2 10 4 2" xfId="28151" xr:uid="{00000000-0005-0000-0000-000057560000}"/>
    <cellStyle name="Note 2 7 2 10 4 3" xfId="38996" xr:uid="{00000000-0005-0000-0000-000058560000}"/>
    <cellStyle name="Note 2 7 2 10 5" xfId="19975" xr:uid="{00000000-0005-0000-0000-000059560000}"/>
    <cellStyle name="Note 2 7 2 10 6" xfId="30820" xr:uid="{00000000-0005-0000-0000-00005A560000}"/>
    <cellStyle name="Note 2 7 2 11" xfId="1920" xr:uid="{00000000-0005-0000-0000-00005B560000}"/>
    <cellStyle name="Note 2 7 2 11 2" xfId="4773" xr:uid="{00000000-0005-0000-0000-00005C560000}"/>
    <cellStyle name="Note 2 7 2 11 2 2" xfId="23745" xr:uid="{00000000-0005-0000-0000-00005D560000}"/>
    <cellStyle name="Note 2 7 2 11 2 3" xfId="34590" xr:uid="{00000000-0005-0000-0000-00005E560000}"/>
    <cellStyle name="Note 2 7 2 11 3" xfId="7445" xr:uid="{00000000-0005-0000-0000-00005F560000}"/>
    <cellStyle name="Note 2 7 2 11 3 2" xfId="26417" xr:uid="{00000000-0005-0000-0000-000060560000}"/>
    <cellStyle name="Note 2 7 2 11 3 3" xfId="37262" xr:uid="{00000000-0005-0000-0000-000061560000}"/>
    <cellStyle name="Note 2 7 2 11 4" xfId="10104" xr:uid="{00000000-0005-0000-0000-000062560000}"/>
    <cellStyle name="Note 2 7 2 11 4 2" xfId="29076" xr:uid="{00000000-0005-0000-0000-000063560000}"/>
    <cellStyle name="Note 2 7 2 11 4 3" xfId="39921" xr:uid="{00000000-0005-0000-0000-000064560000}"/>
    <cellStyle name="Note 2 7 2 11 5" xfId="20900" xr:uid="{00000000-0005-0000-0000-000065560000}"/>
    <cellStyle name="Note 2 7 2 11 6" xfId="31745" xr:uid="{00000000-0005-0000-0000-000066560000}"/>
    <cellStyle name="Note 2 7 2 12" xfId="3119" xr:uid="{00000000-0005-0000-0000-000067560000}"/>
    <cellStyle name="Note 2 7 2 12 2" xfId="5970" xr:uid="{00000000-0005-0000-0000-000068560000}"/>
    <cellStyle name="Note 2 7 2 12 2 2" xfId="24942" xr:uid="{00000000-0005-0000-0000-000069560000}"/>
    <cellStyle name="Note 2 7 2 12 2 3" xfId="35787" xr:uid="{00000000-0005-0000-0000-00006A560000}"/>
    <cellStyle name="Note 2 7 2 12 3" xfId="8641" xr:uid="{00000000-0005-0000-0000-00006B560000}"/>
    <cellStyle name="Note 2 7 2 12 3 2" xfId="27613" xr:uid="{00000000-0005-0000-0000-00006C560000}"/>
    <cellStyle name="Note 2 7 2 12 3 3" xfId="38458" xr:uid="{00000000-0005-0000-0000-00006D560000}"/>
    <cellStyle name="Note 2 7 2 12 4" xfId="11300" xr:uid="{00000000-0005-0000-0000-00006E560000}"/>
    <cellStyle name="Note 2 7 2 12 4 2" xfId="30272" xr:uid="{00000000-0005-0000-0000-00006F560000}"/>
    <cellStyle name="Note 2 7 2 12 4 3" xfId="41117" xr:uid="{00000000-0005-0000-0000-000070560000}"/>
    <cellStyle name="Note 2 7 2 12 5" xfId="22096" xr:uid="{00000000-0005-0000-0000-000071560000}"/>
    <cellStyle name="Note 2 7 2 12 6" xfId="32941" xr:uid="{00000000-0005-0000-0000-000072560000}"/>
    <cellStyle name="Note 2 7 2 13" xfId="3176" xr:uid="{00000000-0005-0000-0000-000073560000}"/>
    <cellStyle name="Note 2 7 2 13 2" xfId="6027" xr:uid="{00000000-0005-0000-0000-000074560000}"/>
    <cellStyle name="Note 2 7 2 13 2 2" xfId="24999" xr:uid="{00000000-0005-0000-0000-000075560000}"/>
    <cellStyle name="Note 2 7 2 13 2 3" xfId="35844" xr:uid="{00000000-0005-0000-0000-000076560000}"/>
    <cellStyle name="Note 2 7 2 13 3" xfId="8698" xr:uid="{00000000-0005-0000-0000-000077560000}"/>
    <cellStyle name="Note 2 7 2 13 3 2" xfId="27670" xr:uid="{00000000-0005-0000-0000-000078560000}"/>
    <cellStyle name="Note 2 7 2 13 3 3" xfId="38515" xr:uid="{00000000-0005-0000-0000-000079560000}"/>
    <cellStyle name="Note 2 7 2 13 4" xfId="11357" xr:uid="{00000000-0005-0000-0000-00007A560000}"/>
    <cellStyle name="Note 2 7 2 13 4 2" xfId="30329" xr:uid="{00000000-0005-0000-0000-00007B560000}"/>
    <cellStyle name="Note 2 7 2 13 4 3" xfId="41174" xr:uid="{00000000-0005-0000-0000-00007C560000}"/>
    <cellStyle name="Note 2 7 2 13 5" xfId="22153" xr:uid="{00000000-0005-0000-0000-00007D560000}"/>
    <cellStyle name="Note 2 7 2 13 6" xfId="32998" xr:uid="{00000000-0005-0000-0000-00007E560000}"/>
    <cellStyle name="Note 2 7 2 14" xfId="3342" xr:uid="{00000000-0005-0000-0000-00007F560000}"/>
    <cellStyle name="Note 2 7 2 14 2" xfId="22316" xr:uid="{00000000-0005-0000-0000-000080560000}"/>
    <cellStyle name="Note 2 7 2 14 3" xfId="33161" xr:uid="{00000000-0005-0000-0000-000081560000}"/>
    <cellStyle name="Note 2 7 2 15" xfId="3218" xr:uid="{00000000-0005-0000-0000-000082560000}"/>
    <cellStyle name="Note 2 7 2 15 2" xfId="22195" xr:uid="{00000000-0005-0000-0000-000083560000}"/>
    <cellStyle name="Note 2 7 2 15 3" xfId="33040" xr:uid="{00000000-0005-0000-0000-000084560000}"/>
    <cellStyle name="Note 2 7 2 16" xfId="3406" xr:uid="{00000000-0005-0000-0000-000085560000}"/>
    <cellStyle name="Note 2 7 2 16 2" xfId="22378" xr:uid="{00000000-0005-0000-0000-000086560000}"/>
    <cellStyle name="Note 2 7 2 16 3" xfId="33223" xr:uid="{00000000-0005-0000-0000-000087560000}"/>
    <cellStyle name="Note 2 7 2 17" xfId="19473" xr:uid="{00000000-0005-0000-0000-000088560000}"/>
    <cellStyle name="Note 2 7 2 18" xfId="19397" xr:uid="{00000000-0005-0000-0000-000089560000}"/>
    <cellStyle name="Note 2 7 2 2" xfId="684" xr:uid="{00000000-0005-0000-0000-00008A560000}"/>
    <cellStyle name="Note 2 7 2 2 10" xfId="19669" xr:uid="{00000000-0005-0000-0000-00008B560000}"/>
    <cellStyle name="Note 2 7 2 2 11" xfId="30514" xr:uid="{00000000-0005-0000-0000-00008C560000}"/>
    <cellStyle name="Note 2 7 2 2 2" xfId="1271" xr:uid="{00000000-0005-0000-0000-00008D560000}"/>
    <cellStyle name="Note 2 7 2 2 2 2" xfId="4124" xr:uid="{00000000-0005-0000-0000-00008E560000}"/>
    <cellStyle name="Note 2 7 2 2 2 2 2" xfId="23096" xr:uid="{00000000-0005-0000-0000-00008F560000}"/>
    <cellStyle name="Note 2 7 2 2 2 2 3" xfId="33941" xr:uid="{00000000-0005-0000-0000-000090560000}"/>
    <cellStyle name="Note 2 7 2 2 2 3" xfId="6797" xr:uid="{00000000-0005-0000-0000-000091560000}"/>
    <cellStyle name="Note 2 7 2 2 2 3 2" xfId="25769" xr:uid="{00000000-0005-0000-0000-000092560000}"/>
    <cellStyle name="Note 2 7 2 2 2 3 3" xfId="36614" xr:uid="{00000000-0005-0000-0000-000093560000}"/>
    <cellStyle name="Note 2 7 2 2 2 4" xfId="9456" xr:uid="{00000000-0005-0000-0000-000094560000}"/>
    <cellStyle name="Note 2 7 2 2 2 4 2" xfId="28428" xr:uid="{00000000-0005-0000-0000-000095560000}"/>
    <cellStyle name="Note 2 7 2 2 2 4 3" xfId="39273" xr:uid="{00000000-0005-0000-0000-000096560000}"/>
    <cellStyle name="Note 2 7 2 2 2 5" xfId="20252" xr:uid="{00000000-0005-0000-0000-000097560000}"/>
    <cellStyle name="Note 2 7 2 2 2 6" xfId="31097" xr:uid="{00000000-0005-0000-0000-000098560000}"/>
    <cellStyle name="Note 2 7 2 2 3" xfId="1670" xr:uid="{00000000-0005-0000-0000-000099560000}"/>
    <cellStyle name="Note 2 7 2 2 3 2" xfId="4523" xr:uid="{00000000-0005-0000-0000-00009A560000}"/>
    <cellStyle name="Note 2 7 2 2 3 2 2" xfId="23495" xr:uid="{00000000-0005-0000-0000-00009B560000}"/>
    <cellStyle name="Note 2 7 2 2 3 2 3" xfId="34340" xr:uid="{00000000-0005-0000-0000-00009C560000}"/>
    <cellStyle name="Note 2 7 2 2 3 3" xfId="7195" xr:uid="{00000000-0005-0000-0000-00009D560000}"/>
    <cellStyle name="Note 2 7 2 2 3 3 2" xfId="26167" xr:uid="{00000000-0005-0000-0000-00009E560000}"/>
    <cellStyle name="Note 2 7 2 2 3 3 3" xfId="37012" xr:uid="{00000000-0005-0000-0000-00009F560000}"/>
    <cellStyle name="Note 2 7 2 2 3 4" xfId="9854" xr:uid="{00000000-0005-0000-0000-0000A0560000}"/>
    <cellStyle name="Note 2 7 2 2 3 4 2" xfId="28826" xr:uid="{00000000-0005-0000-0000-0000A1560000}"/>
    <cellStyle name="Note 2 7 2 2 3 4 3" xfId="39671" xr:uid="{00000000-0005-0000-0000-0000A2560000}"/>
    <cellStyle name="Note 2 7 2 2 3 5" xfId="20650" xr:uid="{00000000-0005-0000-0000-0000A3560000}"/>
    <cellStyle name="Note 2 7 2 2 3 6" xfId="31495" xr:uid="{00000000-0005-0000-0000-0000A4560000}"/>
    <cellStyle name="Note 2 7 2 2 4" xfId="2074" xr:uid="{00000000-0005-0000-0000-0000A5560000}"/>
    <cellStyle name="Note 2 7 2 2 4 2" xfId="4927" xr:uid="{00000000-0005-0000-0000-0000A6560000}"/>
    <cellStyle name="Note 2 7 2 2 4 2 2" xfId="23899" xr:uid="{00000000-0005-0000-0000-0000A7560000}"/>
    <cellStyle name="Note 2 7 2 2 4 2 3" xfId="34744" xr:uid="{00000000-0005-0000-0000-0000A8560000}"/>
    <cellStyle name="Note 2 7 2 2 4 3" xfId="7598" xr:uid="{00000000-0005-0000-0000-0000A9560000}"/>
    <cellStyle name="Note 2 7 2 2 4 3 2" xfId="26570" xr:uid="{00000000-0005-0000-0000-0000AA560000}"/>
    <cellStyle name="Note 2 7 2 2 4 3 3" xfId="37415" xr:uid="{00000000-0005-0000-0000-0000AB560000}"/>
    <cellStyle name="Note 2 7 2 2 4 4" xfId="10257" xr:uid="{00000000-0005-0000-0000-0000AC560000}"/>
    <cellStyle name="Note 2 7 2 2 4 4 2" xfId="29229" xr:uid="{00000000-0005-0000-0000-0000AD560000}"/>
    <cellStyle name="Note 2 7 2 2 4 4 3" xfId="40074" xr:uid="{00000000-0005-0000-0000-0000AE560000}"/>
    <cellStyle name="Note 2 7 2 2 4 5" xfId="21053" xr:uid="{00000000-0005-0000-0000-0000AF560000}"/>
    <cellStyle name="Note 2 7 2 2 4 6" xfId="31898" xr:uid="{00000000-0005-0000-0000-0000B0560000}"/>
    <cellStyle name="Note 2 7 2 2 5" xfId="2464" xr:uid="{00000000-0005-0000-0000-0000B1560000}"/>
    <cellStyle name="Note 2 7 2 2 5 2" xfId="5316" xr:uid="{00000000-0005-0000-0000-0000B2560000}"/>
    <cellStyle name="Note 2 7 2 2 5 2 2" xfId="24288" xr:uid="{00000000-0005-0000-0000-0000B3560000}"/>
    <cellStyle name="Note 2 7 2 2 5 2 3" xfId="35133" xr:uid="{00000000-0005-0000-0000-0000B4560000}"/>
    <cellStyle name="Note 2 7 2 2 5 3" xfId="7987" xr:uid="{00000000-0005-0000-0000-0000B5560000}"/>
    <cellStyle name="Note 2 7 2 2 5 3 2" xfId="26959" xr:uid="{00000000-0005-0000-0000-0000B6560000}"/>
    <cellStyle name="Note 2 7 2 2 5 3 3" xfId="37804" xr:uid="{00000000-0005-0000-0000-0000B7560000}"/>
    <cellStyle name="Note 2 7 2 2 5 4" xfId="10646" xr:uid="{00000000-0005-0000-0000-0000B8560000}"/>
    <cellStyle name="Note 2 7 2 2 5 4 2" xfId="29618" xr:uid="{00000000-0005-0000-0000-0000B9560000}"/>
    <cellStyle name="Note 2 7 2 2 5 4 3" xfId="40463" xr:uid="{00000000-0005-0000-0000-0000BA560000}"/>
    <cellStyle name="Note 2 7 2 2 5 5" xfId="21442" xr:uid="{00000000-0005-0000-0000-0000BB560000}"/>
    <cellStyle name="Note 2 7 2 2 5 6" xfId="32287" xr:uid="{00000000-0005-0000-0000-0000BC560000}"/>
    <cellStyle name="Note 2 7 2 2 6" xfId="2850" xr:uid="{00000000-0005-0000-0000-0000BD560000}"/>
    <cellStyle name="Note 2 7 2 2 6 2" xfId="5701" xr:uid="{00000000-0005-0000-0000-0000BE560000}"/>
    <cellStyle name="Note 2 7 2 2 6 2 2" xfId="24673" xr:uid="{00000000-0005-0000-0000-0000BF560000}"/>
    <cellStyle name="Note 2 7 2 2 6 2 3" xfId="35518" xr:uid="{00000000-0005-0000-0000-0000C0560000}"/>
    <cellStyle name="Note 2 7 2 2 6 3" xfId="8372" xr:uid="{00000000-0005-0000-0000-0000C1560000}"/>
    <cellStyle name="Note 2 7 2 2 6 3 2" xfId="27344" xr:uid="{00000000-0005-0000-0000-0000C2560000}"/>
    <cellStyle name="Note 2 7 2 2 6 3 3" xfId="38189" xr:uid="{00000000-0005-0000-0000-0000C3560000}"/>
    <cellStyle name="Note 2 7 2 2 6 4" xfId="11031" xr:uid="{00000000-0005-0000-0000-0000C4560000}"/>
    <cellStyle name="Note 2 7 2 2 6 4 2" xfId="30003" xr:uid="{00000000-0005-0000-0000-0000C5560000}"/>
    <cellStyle name="Note 2 7 2 2 6 4 3" xfId="40848" xr:uid="{00000000-0005-0000-0000-0000C6560000}"/>
    <cellStyle name="Note 2 7 2 2 6 5" xfId="21827" xr:uid="{00000000-0005-0000-0000-0000C7560000}"/>
    <cellStyle name="Note 2 7 2 2 6 6" xfId="32672" xr:uid="{00000000-0005-0000-0000-0000C8560000}"/>
    <cellStyle name="Note 2 7 2 2 7" xfId="3539" xr:uid="{00000000-0005-0000-0000-0000C9560000}"/>
    <cellStyle name="Note 2 7 2 2 7 2" xfId="22511" xr:uid="{00000000-0005-0000-0000-0000CA560000}"/>
    <cellStyle name="Note 2 7 2 2 7 3" xfId="33356" xr:uid="{00000000-0005-0000-0000-0000CB560000}"/>
    <cellStyle name="Note 2 7 2 2 8" xfId="6214" xr:uid="{00000000-0005-0000-0000-0000CC560000}"/>
    <cellStyle name="Note 2 7 2 2 8 2" xfId="25186" xr:uid="{00000000-0005-0000-0000-0000CD560000}"/>
    <cellStyle name="Note 2 7 2 2 8 3" xfId="36031" xr:uid="{00000000-0005-0000-0000-0000CE560000}"/>
    <cellStyle name="Note 2 7 2 2 9" xfId="8873" xr:uid="{00000000-0005-0000-0000-0000CF560000}"/>
    <cellStyle name="Note 2 7 2 2 9 2" xfId="27845" xr:uid="{00000000-0005-0000-0000-0000D0560000}"/>
    <cellStyle name="Note 2 7 2 2 9 3" xfId="38690" xr:uid="{00000000-0005-0000-0000-0000D1560000}"/>
    <cellStyle name="Note 2 7 2 3" xfId="744" xr:uid="{00000000-0005-0000-0000-0000D2560000}"/>
    <cellStyle name="Note 2 7 2 3 10" xfId="19729" xr:uid="{00000000-0005-0000-0000-0000D3560000}"/>
    <cellStyle name="Note 2 7 2 3 11" xfId="30574" xr:uid="{00000000-0005-0000-0000-0000D4560000}"/>
    <cellStyle name="Note 2 7 2 3 2" xfId="1331" xr:uid="{00000000-0005-0000-0000-0000D5560000}"/>
    <cellStyle name="Note 2 7 2 3 2 2" xfId="4184" xr:uid="{00000000-0005-0000-0000-0000D6560000}"/>
    <cellStyle name="Note 2 7 2 3 2 2 2" xfId="23156" xr:uid="{00000000-0005-0000-0000-0000D7560000}"/>
    <cellStyle name="Note 2 7 2 3 2 2 3" xfId="34001" xr:uid="{00000000-0005-0000-0000-0000D8560000}"/>
    <cellStyle name="Note 2 7 2 3 2 3" xfId="6857" xr:uid="{00000000-0005-0000-0000-0000D9560000}"/>
    <cellStyle name="Note 2 7 2 3 2 3 2" xfId="25829" xr:uid="{00000000-0005-0000-0000-0000DA560000}"/>
    <cellStyle name="Note 2 7 2 3 2 3 3" xfId="36674" xr:uid="{00000000-0005-0000-0000-0000DB560000}"/>
    <cellStyle name="Note 2 7 2 3 2 4" xfId="9516" xr:uid="{00000000-0005-0000-0000-0000DC560000}"/>
    <cellStyle name="Note 2 7 2 3 2 4 2" xfId="28488" xr:uid="{00000000-0005-0000-0000-0000DD560000}"/>
    <cellStyle name="Note 2 7 2 3 2 4 3" xfId="39333" xr:uid="{00000000-0005-0000-0000-0000DE560000}"/>
    <cellStyle name="Note 2 7 2 3 2 5" xfId="20312" xr:uid="{00000000-0005-0000-0000-0000DF560000}"/>
    <cellStyle name="Note 2 7 2 3 2 6" xfId="31157" xr:uid="{00000000-0005-0000-0000-0000E0560000}"/>
    <cellStyle name="Note 2 7 2 3 3" xfId="1730" xr:uid="{00000000-0005-0000-0000-0000E1560000}"/>
    <cellStyle name="Note 2 7 2 3 3 2" xfId="4583" xr:uid="{00000000-0005-0000-0000-0000E2560000}"/>
    <cellStyle name="Note 2 7 2 3 3 2 2" xfId="23555" xr:uid="{00000000-0005-0000-0000-0000E3560000}"/>
    <cellStyle name="Note 2 7 2 3 3 2 3" xfId="34400" xr:uid="{00000000-0005-0000-0000-0000E4560000}"/>
    <cellStyle name="Note 2 7 2 3 3 3" xfId="7255" xr:uid="{00000000-0005-0000-0000-0000E5560000}"/>
    <cellStyle name="Note 2 7 2 3 3 3 2" xfId="26227" xr:uid="{00000000-0005-0000-0000-0000E6560000}"/>
    <cellStyle name="Note 2 7 2 3 3 3 3" xfId="37072" xr:uid="{00000000-0005-0000-0000-0000E7560000}"/>
    <cellStyle name="Note 2 7 2 3 3 4" xfId="9914" xr:uid="{00000000-0005-0000-0000-0000E8560000}"/>
    <cellStyle name="Note 2 7 2 3 3 4 2" xfId="28886" xr:uid="{00000000-0005-0000-0000-0000E9560000}"/>
    <cellStyle name="Note 2 7 2 3 3 4 3" xfId="39731" xr:uid="{00000000-0005-0000-0000-0000EA560000}"/>
    <cellStyle name="Note 2 7 2 3 3 5" xfId="20710" xr:uid="{00000000-0005-0000-0000-0000EB560000}"/>
    <cellStyle name="Note 2 7 2 3 3 6" xfId="31555" xr:uid="{00000000-0005-0000-0000-0000EC560000}"/>
    <cellStyle name="Note 2 7 2 3 4" xfId="2134" xr:uid="{00000000-0005-0000-0000-0000ED560000}"/>
    <cellStyle name="Note 2 7 2 3 4 2" xfId="4987" xr:uid="{00000000-0005-0000-0000-0000EE560000}"/>
    <cellStyle name="Note 2 7 2 3 4 2 2" xfId="23959" xr:uid="{00000000-0005-0000-0000-0000EF560000}"/>
    <cellStyle name="Note 2 7 2 3 4 2 3" xfId="34804" xr:uid="{00000000-0005-0000-0000-0000F0560000}"/>
    <cellStyle name="Note 2 7 2 3 4 3" xfId="7658" xr:uid="{00000000-0005-0000-0000-0000F1560000}"/>
    <cellStyle name="Note 2 7 2 3 4 3 2" xfId="26630" xr:uid="{00000000-0005-0000-0000-0000F2560000}"/>
    <cellStyle name="Note 2 7 2 3 4 3 3" xfId="37475" xr:uid="{00000000-0005-0000-0000-0000F3560000}"/>
    <cellStyle name="Note 2 7 2 3 4 4" xfId="10317" xr:uid="{00000000-0005-0000-0000-0000F4560000}"/>
    <cellStyle name="Note 2 7 2 3 4 4 2" xfId="29289" xr:uid="{00000000-0005-0000-0000-0000F5560000}"/>
    <cellStyle name="Note 2 7 2 3 4 4 3" xfId="40134" xr:uid="{00000000-0005-0000-0000-0000F6560000}"/>
    <cellStyle name="Note 2 7 2 3 4 5" xfId="21113" xr:uid="{00000000-0005-0000-0000-0000F7560000}"/>
    <cellStyle name="Note 2 7 2 3 4 6" xfId="31958" xr:uid="{00000000-0005-0000-0000-0000F8560000}"/>
    <cellStyle name="Note 2 7 2 3 5" xfId="2524" xr:uid="{00000000-0005-0000-0000-0000F9560000}"/>
    <cellStyle name="Note 2 7 2 3 5 2" xfId="5376" xr:uid="{00000000-0005-0000-0000-0000FA560000}"/>
    <cellStyle name="Note 2 7 2 3 5 2 2" xfId="24348" xr:uid="{00000000-0005-0000-0000-0000FB560000}"/>
    <cellStyle name="Note 2 7 2 3 5 2 3" xfId="35193" xr:uid="{00000000-0005-0000-0000-0000FC560000}"/>
    <cellStyle name="Note 2 7 2 3 5 3" xfId="8047" xr:uid="{00000000-0005-0000-0000-0000FD560000}"/>
    <cellStyle name="Note 2 7 2 3 5 3 2" xfId="27019" xr:uid="{00000000-0005-0000-0000-0000FE560000}"/>
    <cellStyle name="Note 2 7 2 3 5 3 3" xfId="37864" xr:uid="{00000000-0005-0000-0000-0000FF560000}"/>
    <cellStyle name="Note 2 7 2 3 5 4" xfId="10706" xr:uid="{00000000-0005-0000-0000-000000570000}"/>
    <cellStyle name="Note 2 7 2 3 5 4 2" xfId="29678" xr:uid="{00000000-0005-0000-0000-000001570000}"/>
    <cellStyle name="Note 2 7 2 3 5 4 3" xfId="40523" xr:uid="{00000000-0005-0000-0000-000002570000}"/>
    <cellStyle name="Note 2 7 2 3 5 5" xfId="21502" xr:uid="{00000000-0005-0000-0000-000003570000}"/>
    <cellStyle name="Note 2 7 2 3 5 6" xfId="32347" xr:uid="{00000000-0005-0000-0000-000004570000}"/>
    <cellStyle name="Note 2 7 2 3 6" xfId="2910" xr:uid="{00000000-0005-0000-0000-000005570000}"/>
    <cellStyle name="Note 2 7 2 3 6 2" xfId="5761" xr:uid="{00000000-0005-0000-0000-000006570000}"/>
    <cellStyle name="Note 2 7 2 3 6 2 2" xfId="24733" xr:uid="{00000000-0005-0000-0000-000007570000}"/>
    <cellStyle name="Note 2 7 2 3 6 2 3" xfId="35578" xr:uid="{00000000-0005-0000-0000-000008570000}"/>
    <cellStyle name="Note 2 7 2 3 6 3" xfId="8432" xr:uid="{00000000-0005-0000-0000-000009570000}"/>
    <cellStyle name="Note 2 7 2 3 6 3 2" xfId="27404" xr:uid="{00000000-0005-0000-0000-00000A570000}"/>
    <cellStyle name="Note 2 7 2 3 6 3 3" xfId="38249" xr:uid="{00000000-0005-0000-0000-00000B570000}"/>
    <cellStyle name="Note 2 7 2 3 6 4" xfId="11091" xr:uid="{00000000-0005-0000-0000-00000C570000}"/>
    <cellStyle name="Note 2 7 2 3 6 4 2" xfId="30063" xr:uid="{00000000-0005-0000-0000-00000D570000}"/>
    <cellStyle name="Note 2 7 2 3 6 4 3" xfId="40908" xr:uid="{00000000-0005-0000-0000-00000E570000}"/>
    <cellStyle name="Note 2 7 2 3 6 5" xfId="21887" xr:uid="{00000000-0005-0000-0000-00000F570000}"/>
    <cellStyle name="Note 2 7 2 3 6 6" xfId="32732" xr:uid="{00000000-0005-0000-0000-000010570000}"/>
    <cellStyle name="Note 2 7 2 3 7" xfId="3599" xr:uid="{00000000-0005-0000-0000-000011570000}"/>
    <cellStyle name="Note 2 7 2 3 7 2" xfId="22571" xr:uid="{00000000-0005-0000-0000-000012570000}"/>
    <cellStyle name="Note 2 7 2 3 7 3" xfId="33416" xr:uid="{00000000-0005-0000-0000-000013570000}"/>
    <cellStyle name="Note 2 7 2 3 8" xfId="6274" xr:uid="{00000000-0005-0000-0000-000014570000}"/>
    <cellStyle name="Note 2 7 2 3 8 2" xfId="25246" xr:uid="{00000000-0005-0000-0000-000015570000}"/>
    <cellStyle name="Note 2 7 2 3 8 3" xfId="36091" xr:uid="{00000000-0005-0000-0000-000016570000}"/>
    <cellStyle name="Note 2 7 2 3 9" xfId="8933" xr:uid="{00000000-0005-0000-0000-000017570000}"/>
    <cellStyle name="Note 2 7 2 3 9 2" xfId="27905" xr:uid="{00000000-0005-0000-0000-000018570000}"/>
    <cellStyle name="Note 2 7 2 3 9 3" xfId="38750" xr:uid="{00000000-0005-0000-0000-000019570000}"/>
    <cellStyle name="Note 2 7 2 4" xfId="804" xr:uid="{00000000-0005-0000-0000-00001A570000}"/>
    <cellStyle name="Note 2 7 2 4 10" xfId="19789" xr:uid="{00000000-0005-0000-0000-00001B570000}"/>
    <cellStyle name="Note 2 7 2 4 11" xfId="30634" xr:uid="{00000000-0005-0000-0000-00001C570000}"/>
    <cellStyle name="Note 2 7 2 4 2" xfId="1391" xr:uid="{00000000-0005-0000-0000-00001D570000}"/>
    <cellStyle name="Note 2 7 2 4 2 2" xfId="4244" xr:uid="{00000000-0005-0000-0000-00001E570000}"/>
    <cellStyle name="Note 2 7 2 4 2 2 2" xfId="23216" xr:uid="{00000000-0005-0000-0000-00001F570000}"/>
    <cellStyle name="Note 2 7 2 4 2 2 3" xfId="34061" xr:uid="{00000000-0005-0000-0000-000020570000}"/>
    <cellStyle name="Note 2 7 2 4 2 3" xfId="6917" xr:uid="{00000000-0005-0000-0000-000021570000}"/>
    <cellStyle name="Note 2 7 2 4 2 3 2" xfId="25889" xr:uid="{00000000-0005-0000-0000-000022570000}"/>
    <cellStyle name="Note 2 7 2 4 2 3 3" xfId="36734" xr:uid="{00000000-0005-0000-0000-000023570000}"/>
    <cellStyle name="Note 2 7 2 4 2 4" xfId="9576" xr:uid="{00000000-0005-0000-0000-000024570000}"/>
    <cellStyle name="Note 2 7 2 4 2 4 2" xfId="28548" xr:uid="{00000000-0005-0000-0000-000025570000}"/>
    <cellStyle name="Note 2 7 2 4 2 4 3" xfId="39393" xr:uid="{00000000-0005-0000-0000-000026570000}"/>
    <cellStyle name="Note 2 7 2 4 2 5" xfId="20372" xr:uid="{00000000-0005-0000-0000-000027570000}"/>
    <cellStyle name="Note 2 7 2 4 2 6" xfId="31217" xr:uid="{00000000-0005-0000-0000-000028570000}"/>
    <cellStyle name="Note 2 7 2 4 3" xfId="1790" xr:uid="{00000000-0005-0000-0000-000029570000}"/>
    <cellStyle name="Note 2 7 2 4 3 2" xfId="4643" xr:uid="{00000000-0005-0000-0000-00002A570000}"/>
    <cellStyle name="Note 2 7 2 4 3 2 2" xfId="23615" xr:uid="{00000000-0005-0000-0000-00002B570000}"/>
    <cellStyle name="Note 2 7 2 4 3 2 3" xfId="34460" xr:uid="{00000000-0005-0000-0000-00002C570000}"/>
    <cellStyle name="Note 2 7 2 4 3 3" xfId="7315" xr:uid="{00000000-0005-0000-0000-00002D570000}"/>
    <cellStyle name="Note 2 7 2 4 3 3 2" xfId="26287" xr:uid="{00000000-0005-0000-0000-00002E570000}"/>
    <cellStyle name="Note 2 7 2 4 3 3 3" xfId="37132" xr:uid="{00000000-0005-0000-0000-00002F570000}"/>
    <cellStyle name="Note 2 7 2 4 3 4" xfId="9974" xr:uid="{00000000-0005-0000-0000-000030570000}"/>
    <cellStyle name="Note 2 7 2 4 3 4 2" xfId="28946" xr:uid="{00000000-0005-0000-0000-000031570000}"/>
    <cellStyle name="Note 2 7 2 4 3 4 3" xfId="39791" xr:uid="{00000000-0005-0000-0000-000032570000}"/>
    <cellStyle name="Note 2 7 2 4 3 5" xfId="20770" xr:uid="{00000000-0005-0000-0000-000033570000}"/>
    <cellStyle name="Note 2 7 2 4 3 6" xfId="31615" xr:uid="{00000000-0005-0000-0000-000034570000}"/>
    <cellStyle name="Note 2 7 2 4 4" xfId="2194" xr:uid="{00000000-0005-0000-0000-000035570000}"/>
    <cellStyle name="Note 2 7 2 4 4 2" xfId="5047" xr:uid="{00000000-0005-0000-0000-000036570000}"/>
    <cellStyle name="Note 2 7 2 4 4 2 2" xfId="24019" xr:uid="{00000000-0005-0000-0000-000037570000}"/>
    <cellStyle name="Note 2 7 2 4 4 2 3" xfId="34864" xr:uid="{00000000-0005-0000-0000-000038570000}"/>
    <cellStyle name="Note 2 7 2 4 4 3" xfId="7718" xr:uid="{00000000-0005-0000-0000-000039570000}"/>
    <cellStyle name="Note 2 7 2 4 4 3 2" xfId="26690" xr:uid="{00000000-0005-0000-0000-00003A570000}"/>
    <cellStyle name="Note 2 7 2 4 4 3 3" xfId="37535" xr:uid="{00000000-0005-0000-0000-00003B570000}"/>
    <cellStyle name="Note 2 7 2 4 4 4" xfId="10377" xr:uid="{00000000-0005-0000-0000-00003C570000}"/>
    <cellStyle name="Note 2 7 2 4 4 4 2" xfId="29349" xr:uid="{00000000-0005-0000-0000-00003D570000}"/>
    <cellStyle name="Note 2 7 2 4 4 4 3" xfId="40194" xr:uid="{00000000-0005-0000-0000-00003E570000}"/>
    <cellStyle name="Note 2 7 2 4 4 5" xfId="21173" xr:uid="{00000000-0005-0000-0000-00003F570000}"/>
    <cellStyle name="Note 2 7 2 4 4 6" xfId="32018" xr:uid="{00000000-0005-0000-0000-000040570000}"/>
    <cellStyle name="Note 2 7 2 4 5" xfId="2584" xr:uid="{00000000-0005-0000-0000-000041570000}"/>
    <cellStyle name="Note 2 7 2 4 5 2" xfId="5436" xr:uid="{00000000-0005-0000-0000-000042570000}"/>
    <cellStyle name="Note 2 7 2 4 5 2 2" xfId="24408" xr:uid="{00000000-0005-0000-0000-000043570000}"/>
    <cellStyle name="Note 2 7 2 4 5 2 3" xfId="35253" xr:uid="{00000000-0005-0000-0000-000044570000}"/>
    <cellStyle name="Note 2 7 2 4 5 3" xfId="8107" xr:uid="{00000000-0005-0000-0000-000045570000}"/>
    <cellStyle name="Note 2 7 2 4 5 3 2" xfId="27079" xr:uid="{00000000-0005-0000-0000-000046570000}"/>
    <cellStyle name="Note 2 7 2 4 5 3 3" xfId="37924" xr:uid="{00000000-0005-0000-0000-000047570000}"/>
    <cellStyle name="Note 2 7 2 4 5 4" xfId="10766" xr:uid="{00000000-0005-0000-0000-000048570000}"/>
    <cellStyle name="Note 2 7 2 4 5 4 2" xfId="29738" xr:uid="{00000000-0005-0000-0000-000049570000}"/>
    <cellStyle name="Note 2 7 2 4 5 4 3" xfId="40583" xr:uid="{00000000-0005-0000-0000-00004A570000}"/>
    <cellStyle name="Note 2 7 2 4 5 5" xfId="21562" xr:uid="{00000000-0005-0000-0000-00004B570000}"/>
    <cellStyle name="Note 2 7 2 4 5 6" xfId="32407" xr:uid="{00000000-0005-0000-0000-00004C570000}"/>
    <cellStyle name="Note 2 7 2 4 6" xfId="2970" xr:uid="{00000000-0005-0000-0000-00004D570000}"/>
    <cellStyle name="Note 2 7 2 4 6 2" xfId="5821" xr:uid="{00000000-0005-0000-0000-00004E570000}"/>
    <cellStyle name="Note 2 7 2 4 6 2 2" xfId="24793" xr:uid="{00000000-0005-0000-0000-00004F570000}"/>
    <cellStyle name="Note 2 7 2 4 6 2 3" xfId="35638" xr:uid="{00000000-0005-0000-0000-000050570000}"/>
    <cellStyle name="Note 2 7 2 4 6 3" xfId="8492" xr:uid="{00000000-0005-0000-0000-000051570000}"/>
    <cellStyle name="Note 2 7 2 4 6 3 2" xfId="27464" xr:uid="{00000000-0005-0000-0000-000052570000}"/>
    <cellStyle name="Note 2 7 2 4 6 3 3" xfId="38309" xr:uid="{00000000-0005-0000-0000-000053570000}"/>
    <cellStyle name="Note 2 7 2 4 6 4" xfId="11151" xr:uid="{00000000-0005-0000-0000-000054570000}"/>
    <cellStyle name="Note 2 7 2 4 6 4 2" xfId="30123" xr:uid="{00000000-0005-0000-0000-000055570000}"/>
    <cellStyle name="Note 2 7 2 4 6 4 3" xfId="40968" xr:uid="{00000000-0005-0000-0000-000056570000}"/>
    <cellStyle name="Note 2 7 2 4 6 5" xfId="21947" xr:uid="{00000000-0005-0000-0000-000057570000}"/>
    <cellStyle name="Note 2 7 2 4 6 6" xfId="32792" xr:uid="{00000000-0005-0000-0000-000058570000}"/>
    <cellStyle name="Note 2 7 2 4 7" xfId="3659" xr:uid="{00000000-0005-0000-0000-000059570000}"/>
    <cellStyle name="Note 2 7 2 4 7 2" xfId="22631" xr:uid="{00000000-0005-0000-0000-00005A570000}"/>
    <cellStyle name="Note 2 7 2 4 7 3" xfId="33476" xr:uid="{00000000-0005-0000-0000-00005B570000}"/>
    <cellStyle name="Note 2 7 2 4 8" xfId="6334" xr:uid="{00000000-0005-0000-0000-00005C570000}"/>
    <cellStyle name="Note 2 7 2 4 8 2" xfId="25306" xr:uid="{00000000-0005-0000-0000-00005D570000}"/>
    <cellStyle name="Note 2 7 2 4 8 3" xfId="36151" xr:uid="{00000000-0005-0000-0000-00005E570000}"/>
    <cellStyle name="Note 2 7 2 4 9" xfId="8993" xr:uid="{00000000-0005-0000-0000-00005F570000}"/>
    <cellStyle name="Note 2 7 2 4 9 2" xfId="27965" xr:uid="{00000000-0005-0000-0000-000060570000}"/>
    <cellStyle name="Note 2 7 2 4 9 3" xfId="38810" xr:uid="{00000000-0005-0000-0000-000061570000}"/>
    <cellStyle name="Note 2 7 2 5" xfId="863" xr:uid="{00000000-0005-0000-0000-000062570000}"/>
    <cellStyle name="Note 2 7 2 5 10" xfId="19848" xr:uid="{00000000-0005-0000-0000-000063570000}"/>
    <cellStyle name="Note 2 7 2 5 11" xfId="30693" xr:uid="{00000000-0005-0000-0000-000064570000}"/>
    <cellStyle name="Note 2 7 2 5 2" xfId="1450" xr:uid="{00000000-0005-0000-0000-000065570000}"/>
    <cellStyle name="Note 2 7 2 5 2 2" xfId="4303" xr:uid="{00000000-0005-0000-0000-000066570000}"/>
    <cellStyle name="Note 2 7 2 5 2 2 2" xfId="23275" xr:uid="{00000000-0005-0000-0000-000067570000}"/>
    <cellStyle name="Note 2 7 2 5 2 2 3" xfId="34120" xr:uid="{00000000-0005-0000-0000-000068570000}"/>
    <cellStyle name="Note 2 7 2 5 2 3" xfId="6976" xr:uid="{00000000-0005-0000-0000-000069570000}"/>
    <cellStyle name="Note 2 7 2 5 2 3 2" xfId="25948" xr:uid="{00000000-0005-0000-0000-00006A570000}"/>
    <cellStyle name="Note 2 7 2 5 2 3 3" xfId="36793" xr:uid="{00000000-0005-0000-0000-00006B570000}"/>
    <cellStyle name="Note 2 7 2 5 2 4" xfId="9635" xr:uid="{00000000-0005-0000-0000-00006C570000}"/>
    <cellStyle name="Note 2 7 2 5 2 4 2" xfId="28607" xr:uid="{00000000-0005-0000-0000-00006D570000}"/>
    <cellStyle name="Note 2 7 2 5 2 4 3" xfId="39452" xr:uid="{00000000-0005-0000-0000-00006E570000}"/>
    <cellStyle name="Note 2 7 2 5 2 5" xfId="20431" xr:uid="{00000000-0005-0000-0000-00006F570000}"/>
    <cellStyle name="Note 2 7 2 5 2 6" xfId="31276" xr:uid="{00000000-0005-0000-0000-000070570000}"/>
    <cellStyle name="Note 2 7 2 5 3" xfId="1849" xr:uid="{00000000-0005-0000-0000-000071570000}"/>
    <cellStyle name="Note 2 7 2 5 3 2" xfId="4702" xr:uid="{00000000-0005-0000-0000-000072570000}"/>
    <cellStyle name="Note 2 7 2 5 3 2 2" xfId="23674" xr:uid="{00000000-0005-0000-0000-000073570000}"/>
    <cellStyle name="Note 2 7 2 5 3 2 3" xfId="34519" xr:uid="{00000000-0005-0000-0000-000074570000}"/>
    <cellStyle name="Note 2 7 2 5 3 3" xfId="7374" xr:uid="{00000000-0005-0000-0000-000075570000}"/>
    <cellStyle name="Note 2 7 2 5 3 3 2" xfId="26346" xr:uid="{00000000-0005-0000-0000-000076570000}"/>
    <cellStyle name="Note 2 7 2 5 3 3 3" xfId="37191" xr:uid="{00000000-0005-0000-0000-000077570000}"/>
    <cellStyle name="Note 2 7 2 5 3 4" xfId="10033" xr:uid="{00000000-0005-0000-0000-000078570000}"/>
    <cellStyle name="Note 2 7 2 5 3 4 2" xfId="29005" xr:uid="{00000000-0005-0000-0000-000079570000}"/>
    <cellStyle name="Note 2 7 2 5 3 4 3" xfId="39850" xr:uid="{00000000-0005-0000-0000-00007A570000}"/>
    <cellStyle name="Note 2 7 2 5 3 5" xfId="20829" xr:uid="{00000000-0005-0000-0000-00007B570000}"/>
    <cellStyle name="Note 2 7 2 5 3 6" xfId="31674" xr:uid="{00000000-0005-0000-0000-00007C570000}"/>
    <cellStyle name="Note 2 7 2 5 4" xfId="2253" xr:uid="{00000000-0005-0000-0000-00007D570000}"/>
    <cellStyle name="Note 2 7 2 5 4 2" xfId="5106" xr:uid="{00000000-0005-0000-0000-00007E570000}"/>
    <cellStyle name="Note 2 7 2 5 4 2 2" xfId="24078" xr:uid="{00000000-0005-0000-0000-00007F570000}"/>
    <cellStyle name="Note 2 7 2 5 4 2 3" xfId="34923" xr:uid="{00000000-0005-0000-0000-000080570000}"/>
    <cellStyle name="Note 2 7 2 5 4 3" xfId="7777" xr:uid="{00000000-0005-0000-0000-000081570000}"/>
    <cellStyle name="Note 2 7 2 5 4 3 2" xfId="26749" xr:uid="{00000000-0005-0000-0000-000082570000}"/>
    <cellStyle name="Note 2 7 2 5 4 3 3" xfId="37594" xr:uid="{00000000-0005-0000-0000-000083570000}"/>
    <cellStyle name="Note 2 7 2 5 4 4" xfId="10436" xr:uid="{00000000-0005-0000-0000-000084570000}"/>
    <cellStyle name="Note 2 7 2 5 4 4 2" xfId="29408" xr:uid="{00000000-0005-0000-0000-000085570000}"/>
    <cellStyle name="Note 2 7 2 5 4 4 3" xfId="40253" xr:uid="{00000000-0005-0000-0000-000086570000}"/>
    <cellStyle name="Note 2 7 2 5 4 5" xfId="21232" xr:uid="{00000000-0005-0000-0000-000087570000}"/>
    <cellStyle name="Note 2 7 2 5 4 6" xfId="32077" xr:uid="{00000000-0005-0000-0000-000088570000}"/>
    <cellStyle name="Note 2 7 2 5 5" xfId="2643" xr:uid="{00000000-0005-0000-0000-000089570000}"/>
    <cellStyle name="Note 2 7 2 5 5 2" xfId="5495" xr:uid="{00000000-0005-0000-0000-00008A570000}"/>
    <cellStyle name="Note 2 7 2 5 5 2 2" xfId="24467" xr:uid="{00000000-0005-0000-0000-00008B570000}"/>
    <cellStyle name="Note 2 7 2 5 5 2 3" xfId="35312" xr:uid="{00000000-0005-0000-0000-00008C570000}"/>
    <cellStyle name="Note 2 7 2 5 5 3" xfId="8166" xr:uid="{00000000-0005-0000-0000-00008D570000}"/>
    <cellStyle name="Note 2 7 2 5 5 3 2" xfId="27138" xr:uid="{00000000-0005-0000-0000-00008E570000}"/>
    <cellStyle name="Note 2 7 2 5 5 3 3" xfId="37983" xr:uid="{00000000-0005-0000-0000-00008F570000}"/>
    <cellStyle name="Note 2 7 2 5 5 4" xfId="10825" xr:uid="{00000000-0005-0000-0000-000090570000}"/>
    <cellStyle name="Note 2 7 2 5 5 4 2" xfId="29797" xr:uid="{00000000-0005-0000-0000-000091570000}"/>
    <cellStyle name="Note 2 7 2 5 5 4 3" xfId="40642" xr:uid="{00000000-0005-0000-0000-000092570000}"/>
    <cellStyle name="Note 2 7 2 5 5 5" xfId="21621" xr:uid="{00000000-0005-0000-0000-000093570000}"/>
    <cellStyle name="Note 2 7 2 5 5 6" xfId="32466" xr:uid="{00000000-0005-0000-0000-000094570000}"/>
    <cellStyle name="Note 2 7 2 5 6" xfId="3029" xr:uid="{00000000-0005-0000-0000-000095570000}"/>
    <cellStyle name="Note 2 7 2 5 6 2" xfId="5880" xr:uid="{00000000-0005-0000-0000-000096570000}"/>
    <cellStyle name="Note 2 7 2 5 6 2 2" xfId="24852" xr:uid="{00000000-0005-0000-0000-000097570000}"/>
    <cellStyle name="Note 2 7 2 5 6 2 3" xfId="35697" xr:uid="{00000000-0005-0000-0000-000098570000}"/>
    <cellStyle name="Note 2 7 2 5 6 3" xfId="8551" xr:uid="{00000000-0005-0000-0000-000099570000}"/>
    <cellStyle name="Note 2 7 2 5 6 3 2" xfId="27523" xr:uid="{00000000-0005-0000-0000-00009A570000}"/>
    <cellStyle name="Note 2 7 2 5 6 3 3" xfId="38368" xr:uid="{00000000-0005-0000-0000-00009B570000}"/>
    <cellStyle name="Note 2 7 2 5 6 4" xfId="11210" xr:uid="{00000000-0005-0000-0000-00009C570000}"/>
    <cellStyle name="Note 2 7 2 5 6 4 2" xfId="30182" xr:uid="{00000000-0005-0000-0000-00009D570000}"/>
    <cellStyle name="Note 2 7 2 5 6 4 3" xfId="41027" xr:uid="{00000000-0005-0000-0000-00009E570000}"/>
    <cellStyle name="Note 2 7 2 5 6 5" xfId="22006" xr:uid="{00000000-0005-0000-0000-00009F570000}"/>
    <cellStyle name="Note 2 7 2 5 6 6" xfId="32851" xr:uid="{00000000-0005-0000-0000-0000A0570000}"/>
    <cellStyle name="Note 2 7 2 5 7" xfId="3718" xr:uid="{00000000-0005-0000-0000-0000A1570000}"/>
    <cellStyle name="Note 2 7 2 5 7 2" xfId="22690" xr:uid="{00000000-0005-0000-0000-0000A2570000}"/>
    <cellStyle name="Note 2 7 2 5 7 3" xfId="33535" xr:uid="{00000000-0005-0000-0000-0000A3570000}"/>
    <cellStyle name="Note 2 7 2 5 8" xfId="6393" xr:uid="{00000000-0005-0000-0000-0000A4570000}"/>
    <cellStyle name="Note 2 7 2 5 8 2" xfId="25365" xr:uid="{00000000-0005-0000-0000-0000A5570000}"/>
    <cellStyle name="Note 2 7 2 5 8 3" xfId="36210" xr:uid="{00000000-0005-0000-0000-0000A6570000}"/>
    <cellStyle name="Note 2 7 2 5 9" xfId="9052" xr:uid="{00000000-0005-0000-0000-0000A7570000}"/>
    <cellStyle name="Note 2 7 2 5 9 2" xfId="28024" xr:uid="{00000000-0005-0000-0000-0000A8570000}"/>
    <cellStyle name="Note 2 7 2 5 9 3" xfId="38869" xr:uid="{00000000-0005-0000-0000-0000A9570000}"/>
    <cellStyle name="Note 2 7 2 6" xfId="1085" xr:uid="{00000000-0005-0000-0000-0000AA570000}"/>
    <cellStyle name="Note 2 7 2 6 2" xfId="3938" xr:uid="{00000000-0005-0000-0000-0000AB570000}"/>
    <cellStyle name="Note 2 7 2 6 2 2" xfId="22910" xr:uid="{00000000-0005-0000-0000-0000AC570000}"/>
    <cellStyle name="Note 2 7 2 6 2 3" xfId="33755" xr:uid="{00000000-0005-0000-0000-0000AD570000}"/>
    <cellStyle name="Note 2 7 2 6 3" xfId="6612" xr:uid="{00000000-0005-0000-0000-0000AE570000}"/>
    <cellStyle name="Note 2 7 2 6 3 2" xfId="25584" xr:uid="{00000000-0005-0000-0000-0000AF570000}"/>
    <cellStyle name="Note 2 7 2 6 3 3" xfId="36429" xr:uid="{00000000-0005-0000-0000-0000B0570000}"/>
    <cellStyle name="Note 2 7 2 6 4" xfId="9271" xr:uid="{00000000-0005-0000-0000-0000B1570000}"/>
    <cellStyle name="Note 2 7 2 6 4 2" xfId="28243" xr:uid="{00000000-0005-0000-0000-0000B2570000}"/>
    <cellStyle name="Note 2 7 2 6 4 3" xfId="39088" xr:uid="{00000000-0005-0000-0000-0000B3570000}"/>
    <cellStyle name="Note 2 7 2 6 5" xfId="20067" xr:uid="{00000000-0005-0000-0000-0000B4570000}"/>
    <cellStyle name="Note 2 7 2 6 6" xfId="30912" xr:uid="{00000000-0005-0000-0000-0000B5570000}"/>
    <cellStyle name="Note 2 7 2 7" xfId="907" xr:uid="{00000000-0005-0000-0000-0000B6570000}"/>
    <cellStyle name="Note 2 7 2 7 2" xfId="3762" xr:uid="{00000000-0005-0000-0000-0000B7570000}"/>
    <cellStyle name="Note 2 7 2 7 2 2" xfId="22734" xr:uid="{00000000-0005-0000-0000-0000B8570000}"/>
    <cellStyle name="Note 2 7 2 7 2 3" xfId="33579" xr:uid="{00000000-0005-0000-0000-0000B9570000}"/>
    <cellStyle name="Note 2 7 2 7 3" xfId="6437" xr:uid="{00000000-0005-0000-0000-0000BA570000}"/>
    <cellStyle name="Note 2 7 2 7 3 2" xfId="25409" xr:uid="{00000000-0005-0000-0000-0000BB570000}"/>
    <cellStyle name="Note 2 7 2 7 3 3" xfId="36254" xr:uid="{00000000-0005-0000-0000-0000BC570000}"/>
    <cellStyle name="Note 2 7 2 7 4" xfId="9096" xr:uid="{00000000-0005-0000-0000-0000BD570000}"/>
    <cellStyle name="Note 2 7 2 7 4 2" xfId="28068" xr:uid="{00000000-0005-0000-0000-0000BE570000}"/>
    <cellStyle name="Note 2 7 2 7 4 3" xfId="38913" xr:uid="{00000000-0005-0000-0000-0000BF570000}"/>
    <cellStyle name="Note 2 7 2 7 5" xfId="19892" xr:uid="{00000000-0005-0000-0000-0000C0570000}"/>
    <cellStyle name="Note 2 7 2 7 6" xfId="30737" xr:uid="{00000000-0005-0000-0000-0000C1570000}"/>
    <cellStyle name="Note 2 7 2 8" xfId="1892" xr:uid="{00000000-0005-0000-0000-0000C2570000}"/>
    <cellStyle name="Note 2 7 2 8 2" xfId="4745" xr:uid="{00000000-0005-0000-0000-0000C3570000}"/>
    <cellStyle name="Note 2 7 2 8 2 2" xfId="23717" xr:uid="{00000000-0005-0000-0000-0000C4570000}"/>
    <cellStyle name="Note 2 7 2 8 2 3" xfId="34562" xr:uid="{00000000-0005-0000-0000-0000C5570000}"/>
    <cellStyle name="Note 2 7 2 8 3" xfId="7417" xr:uid="{00000000-0005-0000-0000-0000C6570000}"/>
    <cellStyle name="Note 2 7 2 8 3 2" xfId="26389" xr:uid="{00000000-0005-0000-0000-0000C7570000}"/>
    <cellStyle name="Note 2 7 2 8 3 3" xfId="37234" xr:uid="{00000000-0005-0000-0000-0000C8570000}"/>
    <cellStyle name="Note 2 7 2 8 4" xfId="10076" xr:uid="{00000000-0005-0000-0000-0000C9570000}"/>
    <cellStyle name="Note 2 7 2 8 4 2" xfId="29048" xr:uid="{00000000-0005-0000-0000-0000CA570000}"/>
    <cellStyle name="Note 2 7 2 8 4 3" xfId="39893" xr:uid="{00000000-0005-0000-0000-0000CB570000}"/>
    <cellStyle name="Note 2 7 2 8 5" xfId="20872" xr:uid="{00000000-0005-0000-0000-0000CC570000}"/>
    <cellStyle name="Note 2 7 2 8 6" xfId="31717" xr:uid="{00000000-0005-0000-0000-0000CD570000}"/>
    <cellStyle name="Note 2 7 2 9" xfId="970" xr:uid="{00000000-0005-0000-0000-0000CE570000}"/>
    <cellStyle name="Note 2 7 2 9 2" xfId="3823" xr:uid="{00000000-0005-0000-0000-0000CF570000}"/>
    <cellStyle name="Note 2 7 2 9 2 2" xfId="22795" xr:uid="{00000000-0005-0000-0000-0000D0570000}"/>
    <cellStyle name="Note 2 7 2 9 2 3" xfId="33640" xr:uid="{00000000-0005-0000-0000-0000D1570000}"/>
    <cellStyle name="Note 2 7 2 9 3" xfId="6498" xr:uid="{00000000-0005-0000-0000-0000D2570000}"/>
    <cellStyle name="Note 2 7 2 9 3 2" xfId="25470" xr:uid="{00000000-0005-0000-0000-0000D3570000}"/>
    <cellStyle name="Note 2 7 2 9 3 3" xfId="36315" xr:uid="{00000000-0005-0000-0000-0000D4570000}"/>
    <cellStyle name="Note 2 7 2 9 4" xfId="9157" xr:uid="{00000000-0005-0000-0000-0000D5570000}"/>
    <cellStyle name="Note 2 7 2 9 4 2" xfId="28129" xr:uid="{00000000-0005-0000-0000-0000D6570000}"/>
    <cellStyle name="Note 2 7 2 9 4 3" xfId="38974" xr:uid="{00000000-0005-0000-0000-0000D7570000}"/>
    <cellStyle name="Note 2 7 2 9 5" xfId="19953" xr:uid="{00000000-0005-0000-0000-0000D8570000}"/>
    <cellStyle name="Note 2 7 2 9 6" xfId="30798" xr:uid="{00000000-0005-0000-0000-0000D9570000}"/>
    <cellStyle name="Note 2 7 3" xfId="567" xr:uid="{00000000-0005-0000-0000-0000DA570000}"/>
    <cellStyle name="Note 2 7 3 10" xfId="19577" xr:uid="{00000000-0005-0000-0000-0000DB570000}"/>
    <cellStyle name="Note 2 7 3 11" xfId="30422" xr:uid="{00000000-0005-0000-0000-0000DC570000}"/>
    <cellStyle name="Note 2 7 3 2" xfId="1173" xr:uid="{00000000-0005-0000-0000-0000DD570000}"/>
    <cellStyle name="Note 2 7 3 2 2" xfId="4026" xr:uid="{00000000-0005-0000-0000-0000DE570000}"/>
    <cellStyle name="Note 2 7 3 2 2 2" xfId="22998" xr:uid="{00000000-0005-0000-0000-0000DF570000}"/>
    <cellStyle name="Note 2 7 3 2 2 3" xfId="33843" xr:uid="{00000000-0005-0000-0000-0000E0570000}"/>
    <cellStyle name="Note 2 7 3 2 3" xfId="6699" xr:uid="{00000000-0005-0000-0000-0000E1570000}"/>
    <cellStyle name="Note 2 7 3 2 3 2" xfId="25671" xr:uid="{00000000-0005-0000-0000-0000E2570000}"/>
    <cellStyle name="Note 2 7 3 2 3 3" xfId="36516" xr:uid="{00000000-0005-0000-0000-0000E3570000}"/>
    <cellStyle name="Note 2 7 3 2 4" xfId="9358" xr:uid="{00000000-0005-0000-0000-0000E4570000}"/>
    <cellStyle name="Note 2 7 3 2 4 2" xfId="28330" xr:uid="{00000000-0005-0000-0000-0000E5570000}"/>
    <cellStyle name="Note 2 7 3 2 4 3" xfId="39175" xr:uid="{00000000-0005-0000-0000-0000E6570000}"/>
    <cellStyle name="Note 2 7 3 2 5" xfId="20154" xr:uid="{00000000-0005-0000-0000-0000E7570000}"/>
    <cellStyle name="Note 2 7 3 2 6" xfId="30999" xr:uid="{00000000-0005-0000-0000-0000E8570000}"/>
    <cellStyle name="Note 2 7 3 3" xfId="1570" xr:uid="{00000000-0005-0000-0000-0000E9570000}"/>
    <cellStyle name="Note 2 7 3 3 2" xfId="4423" xr:uid="{00000000-0005-0000-0000-0000EA570000}"/>
    <cellStyle name="Note 2 7 3 3 2 2" xfId="23395" xr:uid="{00000000-0005-0000-0000-0000EB570000}"/>
    <cellStyle name="Note 2 7 3 3 2 3" xfId="34240" xr:uid="{00000000-0005-0000-0000-0000EC570000}"/>
    <cellStyle name="Note 2 7 3 3 3" xfId="7095" xr:uid="{00000000-0005-0000-0000-0000ED570000}"/>
    <cellStyle name="Note 2 7 3 3 3 2" xfId="26067" xr:uid="{00000000-0005-0000-0000-0000EE570000}"/>
    <cellStyle name="Note 2 7 3 3 3 3" xfId="36912" xr:uid="{00000000-0005-0000-0000-0000EF570000}"/>
    <cellStyle name="Note 2 7 3 3 4" xfId="9754" xr:uid="{00000000-0005-0000-0000-0000F0570000}"/>
    <cellStyle name="Note 2 7 3 3 4 2" xfId="28726" xr:uid="{00000000-0005-0000-0000-0000F1570000}"/>
    <cellStyle name="Note 2 7 3 3 4 3" xfId="39571" xr:uid="{00000000-0005-0000-0000-0000F2570000}"/>
    <cellStyle name="Note 2 7 3 3 5" xfId="20550" xr:uid="{00000000-0005-0000-0000-0000F3570000}"/>
    <cellStyle name="Note 2 7 3 3 6" xfId="31395" xr:uid="{00000000-0005-0000-0000-0000F4570000}"/>
    <cellStyle name="Note 2 7 3 4" xfId="1974" xr:uid="{00000000-0005-0000-0000-0000F5570000}"/>
    <cellStyle name="Note 2 7 3 4 2" xfId="4827" xr:uid="{00000000-0005-0000-0000-0000F6570000}"/>
    <cellStyle name="Note 2 7 3 4 2 2" xfId="23799" xr:uid="{00000000-0005-0000-0000-0000F7570000}"/>
    <cellStyle name="Note 2 7 3 4 2 3" xfId="34644" xr:uid="{00000000-0005-0000-0000-0000F8570000}"/>
    <cellStyle name="Note 2 7 3 4 3" xfId="7499" xr:uid="{00000000-0005-0000-0000-0000F9570000}"/>
    <cellStyle name="Note 2 7 3 4 3 2" xfId="26471" xr:uid="{00000000-0005-0000-0000-0000FA570000}"/>
    <cellStyle name="Note 2 7 3 4 3 3" xfId="37316" xr:uid="{00000000-0005-0000-0000-0000FB570000}"/>
    <cellStyle name="Note 2 7 3 4 4" xfId="10158" xr:uid="{00000000-0005-0000-0000-0000FC570000}"/>
    <cellStyle name="Note 2 7 3 4 4 2" xfId="29130" xr:uid="{00000000-0005-0000-0000-0000FD570000}"/>
    <cellStyle name="Note 2 7 3 4 4 3" xfId="39975" xr:uid="{00000000-0005-0000-0000-0000FE570000}"/>
    <cellStyle name="Note 2 7 3 4 5" xfId="20954" xr:uid="{00000000-0005-0000-0000-0000FF570000}"/>
    <cellStyle name="Note 2 7 3 4 6" xfId="31799" xr:uid="{00000000-0005-0000-0000-000000580000}"/>
    <cellStyle name="Note 2 7 3 5" xfId="2366" xr:uid="{00000000-0005-0000-0000-000001580000}"/>
    <cellStyle name="Note 2 7 3 5 2" xfId="5219" xr:uid="{00000000-0005-0000-0000-000002580000}"/>
    <cellStyle name="Note 2 7 3 5 2 2" xfId="24191" xr:uid="{00000000-0005-0000-0000-000003580000}"/>
    <cellStyle name="Note 2 7 3 5 2 3" xfId="35036" xr:uid="{00000000-0005-0000-0000-000004580000}"/>
    <cellStyle name="Note 2 7 3 5 3" xfId="7890" xr:uid="{00000000-0005-0000-0000-000005580000}"/>
    <cellStyle name="Note 2 7 3 5 3 2" xfId="26862" xr:uid="{00000000-0005-0000-0000-000006580000}"/>
    <cellStyle name="Note 2 7 3 5 3 3" xfId="37707" xr:uid="{00000000-0005-0000-0000-000007580000}"/>
    <cellStyle name="Note 2 7 3 5 4" xfId="10549" xr:uid="{00000000-0005-0000-0000-000008580000}"/>
    <cellStyle name="Note 2 7 3 5 4 2" xfId="29521" xr:uid="{00000000-0005-0000-0000-000009580000}"/>
    <cellStyle name="Note 2 7 3 5 4 3" xfId="40366" xr:uid="{00000000-0005-0000-0000-00000A580000}"/>
    <cellStyle name="Note 2 7 3 5 5" xfId="21345" xr:uid="{00000000-0005-0000-0000-00000B580000}"/>
    <cellStyle name="Note 2 7 3 5 6" xfId="32190" xr:uid="{00000000-0005-0000-0000-00000C580000}"/>
    <cellStyle name="Note 2 7 3 6" xfId="2755" xr:uid="{00000000-0005-0000-0000-00000D580000}"/>
    <cellStyle name="Note 2 7 3 6 2" xfId="5607" xr:uid="{00000000-0005-0000-0000-00000E580000}"/>
    <cellStyle name="Note 2 7 3 6 2 2" xfId="24579" xr:uid="{00000000-0005-0000-0000-00000F580000}"/>
    <cellStyle name="Note 2 7 3 6 2 3" xfId="35424" xr:uid="{00000000-0005-0000-0000-000010580000}"/>
    <cellStyle name="Note 2 7 3 6 3" xfId="8278" xr:uid="{00000000-0005-0000-0000-000011580000}"/>
    <cellStyle name="Note 2 7 3 6 3 2" xfId="27250" xr:uid="{00000000-0005-0000-0000-000012580000}"/>
    <cellStyle name="Note 2 7 3 6 3 3" xfId="38095" xr:uid="{00000000-0005-0000-0000-000013580000}"/>
    <cellStyle name="Note 2 7 3 6 4" xfId="10937" xr:uid="{00000000-0005-0000-0000-000014580000}"/>
    <cellStyle name="Note 2 7 3 6 4 2" xfId="29909" xr:uid="{00000000-0005-0000-0000-000015580000}"/>
    <cellStyle name="Note 2 7 3 6 4 3" xfId="40754" xr:uid="{00000000-0005-0000-0000-000016580000}"/>
    <cellStyle name="Note 2 7 3 6 5" xfId="21733" xr:uid="{00000000-0005-0000-0000-000017580000}"/>
    <cellStyle name="Note 2 7 3 6 6" xfId="32578" xr:uid="{00000000-0005-0000-0000-000018580000}"/>
    <cellStyle name="Note 2 7 3 7" xfId="3446" xr:uid="{00000000-0005-0000-0000-000019580000}"/>
    <cellStyle name="Note 2 7 3 7 2" xfId="22418" xr:uid="{00000000-0005-0000-0000-00001A580000}"/>
    <cellStyle name="Note 2 7 3 7 3" xfId="33263" xr:uid="{00000000-0005-0000-0000-00001B580000}"/>
    <cellStyle name="Note 2 7 3 8" xfId="6122" xr:uid="{00000000-0005-0000-0000-00001C580000}"/>
    <cellStyle name="Note 2 7 3 8 2" xfId="25094" xr:uid="{00000000-0005-0000-0000-00001D580000}"/>
    <cellStyle name="Note 2 7 3 8 3" xfId="35939" xr:uid="{00000000-0005-0000-0000-00001E580000}"/>
    <cellStyle name="Note 2 7 3 9" xfId="8781" xr:uid="{00000000-0005-0000-0000-00001F580000}"/>
    <cellStyle name="Note 2 7 3 9 2" xfId="27753" xr:uid="{00000000-0005-0000-0000-000020580000}"/>
    <cellStyle name="Note 2 7 3 9 3" xfId="38598" xr:uid="{00000000-0005-0000-0000-000021580000}"/>
    <cellStyle name="Note 2 8" xfId="133" xr:uid="{00000000-0005-0000-0000-000022580000}"/>
    <cellStyle name="Note 2 8 2" xfId="385" xr:uid="{00000000-0005-0000-0000-000023580000}"/>
    <cellStyle name="Note 2 8 2 10" xfId="1025" xr:uid="{00000000-0005-0000-0000-000024580000}"/>
    <cellStyle name="Note 2 8 2 10 2" xfId="3878" xr:uid="{00000000-0005-0000-0000-000025580000}"/>
    <cellStyle name="Note 2 8 2 10 2 2" xfId="22850" xr:uid="{00000000-0005-0000-0000-000026580000}"/>
    <cellStyle name="Note 2 8 2 10 2 3" xfId="33695" xr:uid="{00000000-0005-0000-0000-000027580000}"/>
    <cellStyle name="Note 2 8 2 10 3" xfId="6552" xr:uid="{00000000-0005-0000-0000-000028580000}"/>
    <cellStyle name="Note 2 8 2 10 3 2" xfId="25524" xr:uid="{00000000-0005-0000-0000-000029580000}"/>
    <cellStyle name="Note 2 8 2 10 3 3" xfId="36369" xr:uid="{00000000-0005-0000-0000-00002A580000}"/>
    <cellStyle name="Note 2 8 2 10 4" xfId="9211" xr:uid="{00000000-0005-0000-0000-00002B580000}"/>
    <cellStyle name="Note 2 8 2 10 4 2" xfId="28183" xr:uid="{00000000-0005-0000-0000-00002C580000}"/>
    <cellStyle name="Note 2 8 2 10 4 3" xfId="39028" xr:uid="{00000000-0005-0000-0000-00002D580000}"/>
    <cellStyle name="Note 2 8 2 10 5" xfId="20007" xr:uid="{00000000-0005-0000-0000-00002E580000}"/>
    <cellStyle name="Note 2 8 2 10 6" xfId="30852" xr:uid="{00000000-0005-0000-0000-00002F580000}"/>
    <cellStyle name="Note 2 8 2 11" xfId="957" xr:uid="{00000000-0005-0000-0000-000030580000}"/>
    <cellStyle name="Note 2 8 2 11 2" xfId="3810" xr:uid="{00000000-0005-0000-0000-000031580000}"/>
    <cellStyle name="Note 2 8 2 11 2 2" xfId="22782" xr:uid="{00000000-0005-0000-0000-000032580000}"/>
    <cellStyle name="Note 2 8 2 11 2 3" xfId="33627" xr:uid="{00000000-0005-0000-0000-000033580000}"/>
    <cellStyle name="Note 2 8 2 11 3" xfId="6485" xr:uid="{00000000-0005-0000-0000-000034580000}"/>
    <cellStyle name="Note 2 8 2 11 3 2" xfId="25457" xr:uid="{00000000-0005-0000-0000-000035580000}"/>
    <cellStyle name="Note 2 8 2 11 3 3" xfId="36302" xr:uid="{00000000-0005-0000-0000-000036580000}"/>
    <cellStyle name="Note 2 8 2 11 4" xfId="9144" xr:uid="{00000000-0005-0000-0000-000037580000}"/>
    <cellStyle name="Note 2 8 2 11 4 2" xfId="28116" xr:uid="{00000000-0005-0000-0000-000038580000}"/>
    <cellStyle name="Note 2 8 2 11 4 3" xfId="38961" xr:uid="{00000000-0005-0000-0000-000039580000}"/>
    <cellStyle name="Note 2 8 2 11 5" xfId="19940" xr:uid="{00000000-0005-0000-0000-00003A580000}"/>
    <cellStyle name="Note 2 8 2 11 6" xfId="30785" xr:uid="{00000000-0005-0000-0000-00003B580000}"/>
    <cellStyle name="Note 2 8 2 12" xfId="3120" xr:uid="{00000000-0005-0000-0000-00003C580000}"/>
    <cellStyle name="Note 2 8 2 12 2" xfId="5971" xr:uid="{00000000-0005-0000-0000-00003D580000}"/>
    <cellStyle name="Note 2 8 2 12 2 2" xfId="24943" xr:uid="{00000000-0005-0000-0000-00003E580000}"/>
    <cellStyle name="Note 2 8 2 12 2 3" xfId="35788" xr:uid="{00000000-0005-0000-0000-00003F580000}"/>
    <cellStyle name="Note 2 8 2 12 3" xfId="8642" xr:uid="{00000000-0005-0000-0000-000040580000}"/>
    <cellStyle name="Note 2 8 2 12 3 2" xfId="27614" xr:uid="{00000000-0005-0000-0000-000041580000}"/>
    <cellStyle name="Note 2 8 2 12 3 3" xfId="38459" xr:uid="{00000000-0005-0000-0000-000042580000}"/>
    <cellStyle name="Note 2 8 2 12 4" xfId="11301" xr:uid="{00000000-0005-0000-0000-000043580000}"/>
    <cellStyle name="Note 2 8 2 12 4 2" xfId="30273" xr:uid="{00000000-0005-0000-0000-000044580000}"/>
    <cellStyle name="Note 2 8 2 12 4 3" xfId="41118" xr:uid="{00000000-0005-0000-0000-000045580000}"/>
    <cellStyle name="Note 2 8 2 12 5" xfId="22097" xr:uid="{00000000-0005-0000-0000-000046580000}"/>
    <cellStyle name="Note 2 8 2 12 6" xfId="32942" xr:uid="{00000000-0005-0000-0000-000047580000}"/>
    <cellStyle name="Note 2 8 2 13" xfId="3177" xr:uid="{00000000-0005-0000-0000-000048580000}"/>
    <cellStyle name="Note 2 8 2 13 2" xfId="6028" xr:uid="{00000000-0005-0000-0000-000049580000}"/>
    <cellStyle name="Note 2 8 2 13 2 2" xfId="25000" xr:uid="{00000000-0005-0000-0000-00004A580000}"/>
    <cellStyle name="Note 2 8 2 13 2 3" xfId="35845" xr:uid="{00000000-0005-0000-0000-00004B580000}"/>
    <cellStyle name="Note 2 8 2 13 3" xfId="8699" xr:uid="{00000000-0005-0000-0000-00004C580000}"/>
    <cellStyle name="Note 2 8 2 13 3 2" xfId="27671" xr:uid="{00000000-0005-0000-0000-00004D580000}"/>
    <cellStyle name="Note 2 8 2 13 3 3" xfId="38516" xr:uid="{00000000-0005-0000-0000-00004E580000}"/>
    <cellStyle name="Note 2 8 2 13 4" xfId="11358" xr:uid="{00000000-0005-0000-0000-00004F580000}"/>
    <cellStyle name="Note 2 8 2 13 4 2" xfId="30330" xr:uid="{00000000-0005-0000-0000-000050580000}"/>
    <cellStyle name="Note 2 8 2 13 4 3" xfId="41175" xr:uid="{00000000-0005-0000-0000-000051580000}"/>
    <cellStyle name="Note 2 8 2 13 5" xfId="22154" xr:uid="{00000000-0005-0000-0000-000052580000}"/>
    <cellStyle name="Note 2 8 2 13 6" xfId="32999" xr:uid="{00000000-0005-0000-0000-000053580000}"/>
    <cellStyle name="Note 2 8 2 14" xfId="3343" xr:uid="{00000000-0005-0000-0000-000054580000}"/>
    <cellStyle name="Note 2 8 2 14 2" xfId="22317" xr:uid="{00000000-0005-0000-0000-000055580000}"/>
    <cellStyle name="Note 2 8 2 14 3" xfId="33162" xr:uid="{00000000-0005-0000-0000-000056580000}"/>
    <cellStyle name="Note 2 8 2 15" xfId="3285" xr:uid="{00000000-0005-0000-0000-000057580000}"/>
    <cellStyle name="Note 2 8 2 15 2" xfId="22259" xr:uid="{00000000-0005-0000-0000-000058580000}"/>
    <cellStyle name="Note 2 8 2 15 3" xfId="33104" xr:uid="{00000000-0005-0000-0000-000059580000}"/>
    <cellStyle name="Note 2 8 2 16" xfId="3268" xr:uid="{00000000-0005-0000-0000-00005A580000}"/>
    <cellStyle name="Note 2 8 2 16 2" xfId="22242" xr:uid="{00000000-0005-0000-0000-00005B580000}"/>
    <cellStyle name="Note 2 8 2 16 3" xfId="33087" xr:uid="{00000000-0005-0000-0000-00005C580000}"/>
    <cellStyle name="Note 2 8 2 17" xfId="19474" xr:uid="{00000000-0005-0000-0000-00005D580000}"/>
    <cellStyle name="Note 2 8 2 18" xfId="19396" xr:uid="{00000000-0005-0000-0000-00005E580000}"/>
    <cellStyle name="Note 2 8 2 2" xfId="685" xr:uid="{00000000-0005-0000-0000-00005F580000}"/>
    <cellStyle name="Note 2 8 2 2 10" xfId="19670" xr:uid="{00000000-0005-0000-0000-000060580000}"/>
    <cellStyle name="Note 2 8 2 2 11" xfId="30515" xr:uid="{00000000-0005-0000-0000-000061580000}"/>
    <cellStyle name="Note 2 8 2 2 2" xfId="1272" xr:uid="{00000000-0005-0000-0000-000062580000}"/>
    <cellStyle name="Note 2 8 2 2 2 2" xfId="4125" xr:uid="{00000000-0005-0000-0000-000063580000}"/>
    <cellStyle name="Note 2 8 2 2 2 2 2" xfId="23097" xr:uid="{00000000-0005-0000-0000-000064580000}"/>
    <cellStyle name="Note 2 8 2 2 2 2 3" xfId="33942" xr:uid="{00000000-0005-0000-0000-000065580000}"/>
    <cellStyle name="Note 2 8 2 2 2 3" xfId="6798" xr:uid="{00000000-0005-0000-0000-000066580000}"/>
    <cellStyle name="Note 2 8 2 2 2 3 2" xfId="25770" xr:uid="{00000000-0005-0000-0000-000067580000}"/>
    <cellStyle name="Note 2 8 2 2 2 3 3" xfId="36615" xr:uid="{00000000-0005-0000-0000-000068580000}"/>
    <cellStyle name="Note 2 8 2 2 2 4" xfId="9457" xr:uid="{00000000-0005-0000-0000-000069580000}"/>
    <cellStyle name="Note 2 8 2 2 2 4 2" xfId="28429" xr:uid="{00000000-0005-0000-0000-00006A580000}"/>
    <cellStyle name="Note 2 8 2 2 2 4 3" xfId="39274" xr:uid="{00000000-0005-0000-0000-00006B580000}"/>
    <cellStyle name="Note 2 8 2 2 2 5" xfId="20253" xr:uid="{00000000-0005-0000-0000-00006C580000}"/>
    <cellStyle name="Note 2 8 2 2 2 6" xfId="31098" xr:uid="{00000000-0005-0000-0000-00006D580000}"/>
    <cellStyle name="Note 2 8 2 2 3" xfId="1671" xr:uid="{00000000-0005-0000-0000-00006E580000}"/>
    <cellStyle name="Note 2 8 2 2 3 2" xfId="4524" xr:uid="{00000000-0005-0000-0000-00006F580000}"/>
    <cellStyle name="Note 2 8 2 2 3 2 2" xfId="23496" xr:uid="{00000000-0005-0000-0000-000070580000}"/>
    <cellStyle name="Note 2 8 2 2 3 2 3" xfId="34341" xr:uid="{00000000-0005-0000-0000-000071580000}"/>
    <cellStyle name="Note 2 8 2 2 3 3" xfId="7196" xr:uid="{00000000-0005-0000-0000-000072580000}"/>
    <cellStyle name="Note 2 8 2 2 3 3 2" xfId="26168" xr:uid="{00000000-0005-0000-0000-000073580000}"/>
    <cellStyle name="Note 2 8 2 2 3 3 3" xfId="37013" xr:uid="{00000000-0005-0000-0000-000074580000}"/>
    <cellStyle name="Note 2 8 2 2 3 4" xfId="9855" xr:uid="{00000000-0005-0000-0000-000075580000}"/>
    <cellStyle name="Note 2 8 2 2 3 4 2" xfId="28827" xr:uid="{00000000-0005-0000-0000-000076580000}"/>
    <cellStyle name="Note 2 8 2 2 3 4 3" xfId="39672" xr:uid="{00000000-0005-0000-0000-000077580000}"/>
    <cellStyle name="Note 2 8 2 2 3 5" xfId="20651" xr:uid="{00000000-0005-0000-0000-000078580000}"/>
    <cellStyle name="Note 2 8 2 2 3 6" xfId="31496" xr:uid="{00000000-0005-0000-0000-000079580000}"/>
    <cellStyle name="Note 2 8 2 2 4" xfId="2075" xr:uid="{00000000-0005-0000-0000-00007A580000}"/>
    <cellStyle name="Note 2 8 2 2 4 2" xfId="4928" xr:uid="{00000000-0005-0000-0000-00007B580000}"/>
    <cellStyle name="Note 2 8 2 2 4 2 2" xfId="23900" xr:uid="{00000000-0005-0000-0000-00007C580000}"/>
    <cellStyle name="Note 2 8 2 2 4 2 3" xfId="34745" xr:uid="{00000000-0005-0000-0000-00007D580000}"/>
    <cellStyle name="Note 2 8 2 2 4 3" xfId="7599" xr:uid="{00000000-0005-0000-0000-00007E580000}"/>
    <cellStyle name="Note 2 8 2 2 4 3 2" xfId="26571" xr:uid="{00000000-0005-0000-0000-00007F580000}"/>
    <cellStyle name="Note 2 8 2 2 4 3 3" xfId="37416" xr:uid="{00000000-0005-0000-0000-000080580000}"/>
    <cellStyle name="Note 2 8 2 2 4 4" xfId="10258" xr:uid="{00000000-0005-0000-0000-000081580000}"/>
    <cellStyle name="Note 2 8 2 2 4 4 2" xfId="29230" xr:uid="{00000000-0005-0000-0000-000082580000}"/>
    <cellStyle name="Note 2 8 2 2 4 4 3" xfId="40075" xr:uid="{00000000-0005-0000-0000-000083580000}"/>
    <cellStyle name="Note 2 8 2 2 4 5" xfId="21054" xr:uid="{00000000-0005-0000-0000-000084580000}"/>
    <cellStyle name="Note 2 8 2 2 4 6" xfId="31899" xr:uid="{00000000-0005-0000-0000-000085580000}"/>
    <cellStyle name="Note 2 8 2 2 5" xfId="2465" xr:uid="{00000000-0005-0000-0000-000086580000}"/>
    <cellStyle name="Note 2 8 2 2 5 2" xfId="5317" xr:uid="{00000000-0005-0000-0000-000087580000}"/>
    <cellStyle name="Note 2 8 2 2 5 2 2" xfId="24289" xr:uid="{00000000-0005-0000-0000-000088580000}"/>
    <cellStyle name="Note 2 8 2 2 5 2 3" xfId="35134" xr:uid="{00000000-0005-0000-0000-000089580000}"/>
    <cellStyle name="Note 2 8 2 2 5 3" xfId="7988" xr:uid="{00000000-0005-0000-0000-00008A580000}"/>
    <cellStyle name="Note 2 8 2 2 5 3 2" xfId="26960" xr:uid="{00000000-0005-0000-0000-00008B580000}"/>
    <cellStyle name="Note 2 8 2 2 5 3 3" xfId="37805" xr:uid="{00000000-0005-0000-0000-00008C580000}"/>
    <cellStyle name="Note 2 8 2 2 5 4" xfId="10647" xr:uid="{00000000-0005-0000-0000-00008D580000}"/>
    <cellStyle name="Note 2 8 2 2 5 4 2" xfId="29619" xr:uid="{00000000-0005-0000-0000-00008E580000}"/>
    <cellStyle name="Note 2 8 2 2 5 4 3" xfId="40464" xr:uid="{00000000-0005-0000-0000-00008F580000}"/>
    <cellStyle name="Note 2 8 2 2 5 5" xfId="21443" xr:uid="{00000000-0005-0000-0000-000090580000}"/>
    <cellStyle name="Note 2 8 2 2 5 6" xfId="32288" xr:uid="{00000000-0005-0000-0000-000091580000}"/>
    <cellStyle name="Note 2 8 2 2 6" xfId="2851" xr:uid="{00000000-0005-0000-0000-000092580000}"/>
    <cellStyle name="Note 2 8 2 2 6 2" xfId="5702" xr:uid="{00000000-0005-0000-0000-000093580000}"/>
    <cellStyle name="Note 2 8 2 2 6 2 2" xfId="24674" xr:uid="{00000000-0005-0000-0000-000094580000}"/>
    <cellStyle name="Note 2 8 2 2 6 2 3" xfId="35519" xr:uid="{00000000-0005-0000-0000-000095580000}"/>
    <cellStyle name="Note 2 8 2 2 6 3" xfId="8373" xr:uid="{00000000-0005-0000-0000-000096580000}"/>
    <cellStyle name="Note 2 8 2 2 6 3 2" xfId="27345" xr:uid="{00000000-0005-0000-0000-000097580000}"/>
    <cellStyle name="Note 2 8 2 2 6 3 3" xfId="38190" xr:uid="{00000000-0005-0000-0000-000098580000}"/>
    <cellStyle name="Note 2 8 2 2 6 4" xfId="11032" xr:uid="{00000000-0005-0000-0000-000099580000}"/>
    <cellStyle name="Note 2 8 2 2 6 4 2" xfId="30004" xr:uid="{00000000-0005-0000-0000-00009A580000}"/>
    <cellStyle name="Note 2 8 2 2 6 4 3" xfId="40849" xr:uid="{00000000-0005-0000-0000-00009B580000}"/>
    <cellStyle name="Note 2 8 2 2 6 5" xfId="21828" xr:uid="{00000000-0005-0000-0000-00009C580000}"/>
    <cellStyle name="Note 2 8 2 2 6 6" xfId="32673" xr:uid="{00000000-0005-0000-0000-00009D580000}"/>
    <cellStyle name="Note 2 8 2 2 7" xfId="3540" xr:uid="{00000000-0005-0000-0000-00009E580000}"/>
    <cellStyle name="Note 2 8 2 2 7 2" xfId="22512" xr:uid="{00000000-0005-0000-0000-00009F580000}"/>
    <cellStyle name="Note 2 8 2 2 7 3" xfId="33357" xr:uid="{00000000-0005-0000-0000-0000A0580000}"/>
    <cellStyle name="Note 2 8 2 2 8" xfId="6215" xr:uid="{00000000-0005-0000-0000-0000A1580000}"/>
    <cellStyle name="Note 2 8 2 2 8 2" xfId="25187" xr:uid="{00000000-0005-0000-0000-0000A2580000}"/>
    <cellStyle name="Note 2 8 2 2 8 3" xfId="36032" xr:uid="{00000000-0005-0000-0000-0000A3580000}"/>
    <cellStyle name="Note 2 8 2 2 9" xfId="8874" xr:uid="{00000000-0005-0000-0000-0000A4580000}"/>
    <cellStyle name="Note 2 8 2 2 9 2" xfId="27846" xr:uid="{00000000-0005-0000-0000-0000A5580000}"/>
    <cellStyle name="Note 2 8 2 2 9 3" xfId="38691" xr:uid="{00000000-0005-0000-0000-0000A6580000}"/>
    <cellStyle name="Note 2 8 2 3" xfId="745" xr:uid="{00000000-0005-0000-0000-0000A7580000}"/>
    <cellStyle name="Note 2 8 2 3 10" xfId="19730" xr:uid="{00000000-0005-0000-0000-0000A8580000}"/>
    <cellStyle name="Note 2 8 2 3 11" xfId="30575" xr:uid="{00000000-0005-0000-0000-0000A9580000}"/>
    <cellStyle name="Note 2 8 2 3 2" xfId="1332" xr:uid="{00000000-0005-0000-0000-0000AA580000}"/>
    <cellStyle name="Note 2 8 2 3 2 2" xfId="4185" xr:uid="{00000000-0005-0000-0000-0000AB580000}"/>
    <cellStyle name="Note 2 8 2 3 2 2 2" xfId="23157" xr:uid="{00000000-0005-0000-0000-0000AC580000}"/>
    <cellStyle name="Note 2 8 2 3 2 2 3" xfId="34002" xr:uid="{00000000-0005-0000-0000-0000AD580000}"/>
    <cellStyle name="Note 2 8 2 3 2 3" xfId="6858" xr:uid="{00000000-0005-0000-0000-0000AE580000}"/>
    <cellStyle name="Note 2 8 2 3 2 3 2" xfId="25830" xr:uid="{00000000-0005-0000-0000-0000AF580000}"/>
    <cellStyle name="Note 2 8 2 3 2 3 3" xfId="36675" xr:uid="{00000000-0005-0000-0000-0000B0580000}"/>
    <cellStyle name="Note 2 8 2 3 2 4" xfId="9517" xr:uid="{00000000-0005-0000-0000-0000B1580000}"/>
    <cellStyle name="Note 2 8 2 3 2 4 2" xfId="28489" xr:uid="{00000000-0005-0000-0000-0000B2580000}"/>
    <cellStyle name="Note 2 8 2 3 2 4 3" xfId="39334" xr:uid="{00000000-0005-0000-0000-0000B3580000}"/>
    <cellStyle name="Note 2 8 2 3 2 5" xfId="20313" xr:uid="{00000000-0005-0000-0000-0000B4580000}"/>
    <cellStyle name="Note 2 8 2 3 2 6" xfId="31158" xr:uid="{00000000-0005-0000-0000-0000B5580000}"/>
    <cellStyle name="Note 2 8 2 3 3" xfId="1731" xr:uid="{00000000-0005-0000-0000-0000B6580000}"/>
    <cellStyle name="Note 2 8 2 3 3 2" xfId="4584" xr:uid="{00000000-0005-0000-0000-0000B7580000}"/>
    <cellStyle name="Note 2 8 2 3 3 2 2" xfId="23556" xr:uid="{00000000-0005-0000-0000-0000B8580000}"/>
    <cellStyle name="Note 2 8 2 3 3 2 3" xfId="34401" xr:uid="{00000000-0005-0000-0000-0000B9580000}"/>
    <cellStyle name="Note 2 8 2 3 3 3" xfId="7256" xr:uid="{00000000-0005-0000-0000-0000BA580000}"/>
    <cellStyle name="Note 2 8 2 3 3 3 2" xfId="26228" xr:uid="{00000000-0005-0000-0000-0000BB580000}"/>
    <cellStyle name="Note 2 8 2 3 3 3 3" xfId="37073" xr:uid="{00000000-0005-0000-0000-0000BC580000}"/>
    <cellStyle name="Note 2 8 2 3 3 4" xfId="9915" xr:uid="{00000000-0005-0000-0000-0000BD580000}"/>
    <cellStyle name="Note 2 8 2 3 3 4 2" xfId="28887" xr:uid="{00000000-0005-0000-0000-0000BE580000}"/>
    <cellStyle name="Note 2 8 2 3 3 4 3" xfId="39732" xr:uid="{00000000-0005-0000-0000-0000BF580000}"/>
    <cellStyle name="Note 2 8 2 3 3 5" xfId="20711" xr:uid="{00000000-0005-0000-0000-0000C0580000}"/>
    <cellStyle name="Note 2 8 2 3 3 6" xfId="31556" xr:uid="{00000000-0005-0000-0000-0000C1580000}"/>
    <cellStyle name="Note 2 8 2 3 4" xfId="2135" xr:uid="{00000000-0005-0000-0000-0000C2580000}"/>
    <cellStyle name="Note 2 8 2 3 4 2" xfId="4988" xr:uid="{00000000-0005-0000-0000-0000C3580000}"/>
    <cellStyle name="Note 2 8 2 3 4 2 2" xfId="23960" xr:uid="{00000000-0005-0000-0000-0000C4580000}"/>
    <cellStyle name="Note 2 8 2 3 4 2 3" xfId="34805" xr:uid="{00000000-0005-0000-0000-0000C5580000}"/>
    <cellStyle name="Note 2 8 2 3 4 3" xfId="7659" xr:uid="{00000000-0005-0000-0000-0000C6580000}"/>
    <cellStyle name="Note 2 8 2 3 4 3 2" xfId="26631" xr:uid="{00000000-0005-0000-0000-0000C7580000}"/>
    <cellStyle name="Note 2 8 2 3 4 3 3" xfId="37476" xr:uid="{00000000-0005-0000-0000-0000C8580000}"/>
    <cellStyle name="Note 2 8 2 3 4 4" xfId="10318" xr:uid="{00000000-0005-0000-0000-0000C9580000}"/>
    <cellStyle name="Note 2 8 2 3 4 4 2" xfId="29290" xr:uid="{00000000-0005-0000-0000-0000CA580000}"/>
    <cellStyle name="Note 2 8 2 3 4 4 3" xfId="40135" xr:uid="{00000000-0005-0000-0000-0000CB580000}"/>
    <cellStyle name="Note 2 8 2 3 4 5" xfId="21114" xr:uid="{00000000-0005-0000-0000-0000CC580000}"/>
    <cellStyle name="Note 2 8 2 3 4 6" xfId="31959" xr:uid="{00000000-0005-0000-0000-0000CD580000}"/>
    <cellStyle name="Note 2 8 2 3 5" xfId="2525" xr:uid="{00000000-0005-0000-0000-0000CE580000}"/>
    <cellStyle name="Note 2 8 2 3 5 2" xfId="5377" xr:uid="{00000000-0005-0000-0000-0000CF580000}"/>
    <cellStyle name="Note 2 8 2 3 5 2 2" xfId="24349" xr:uid="{00000000-0005-0000-0000-0000D0580000}"/>
    <cellStyle name="Note 2 8 2 3 5 2 3" xfId="35194" xr:uid="{00000000-0005-0000-0000-0000D1580000}"/>
    <cellStyle name="Note 2 8 2 3 5 3" xfId="8048" xr:uid="{00000000-0005-0000-0000-0000D2580000}"/>
    <cellStyle name="Note 2 8 2 3 5 3 2" xfId="27020" xr:uid="{00000000-0005-0000-0000-0000D3580000}"/>
    <cellStyle name="Note 2 8 2 3 5 3 3" xfId="37865" xr:uid="{00000000-0005-0000-0000-0000D4580000}"/>
    <cellStyle name="Note 2 8 2 3 5 4" xfId="10707" xr:uid="{00000000-0005-0000-0000-0000D5580000}"/>
    <cellStyle name="Note 2 8 2 3 5 4 2" xfId="29679" xr:uid="{00000000-0005-0000-0000-0000D6580000}"/>
    <cellStyle name="Note 2 8 2 3 5 4 3" xfId="40524" xr:uid="{00000000-0005-0000-0000-0000D7580000}"/>
    <cellStyle name="Note 2 8 2 3 5 5" xfId="21503" xr:uid="{00000000-0005-0000-0000-0000D8580000}"/>
    <cellStyle name="Note 2 8 2 3 5 6" xfId="32348" xr:uid="{00000000-0005-0000-0000-0000D9580000}"/>
    <cellStyle name="Note 2 8 2 3 6" xfId="2911" xr:uid="{00000000-0005-0000-0000-0000DA580000}"/>
    <cellStyle name="Note 2 8 2 3 6 2" xfId="5762" xr:uid="{00000000-0005-0000-0000-0000DB580000}"/>
    <cellStyle name="Note 2 8 2 3 6 2 2" xfId="24734" xr:uid="{00000000-0005-0000-0000-0000DC580000}"/>
    <cellStyle name="Note 2 8 2 3 6 2 3" xfId="35579" xr:uid="{00000000-0005-0000-0000-0000DD580000}"/>
    <cellStyle name="Note 2 8 2 3 6 3" xfId="8433" xr:uid="{00000000-0005-0000-0000-0000DE580000}"/>
    <cellStyle name="Note 2 8 2 3 6 3 2" xfId="27405" xr:uid="{00000000-0005-0000-0000-0000DF580000}"/>
    <cellStyle name="Note 2 8 2 3 6 3 3" xfId="38250" xr:uid="{00000000-0005-0000-0000-0000E0580000}"/>
    <cellStyle name="Note 2 8 2 3 6 4" xfId="11092" xr:uid="{00000000-0005-0000-0000-0000E1580000}"/>
    <cellStyle name="Note 2 8 2 3 6 4 2" xfId="30064" xr:uid="{00000000-0005-0000-0000-0000E2580000}"/>
    <cellStyle name="Note 2 8 2 3 6 4 3" xfId="40909" xr:uid="{00000000-0005-0000-0000-0000E3580000}"/>
    <cellStyle name="Note 2 8 2 3 6 5" xfId="21888" xr:uid="{00000000-0005-0000-0000-0000E4580000}"/>
    <cellStyle name="Note 2 8 2 3 6 6" xfId="32733" xr:uid="{00000000-0005-0000-0000-0000E5580000}"/>
    <cellStyle name="Note 2 8 2 3 7" xfId="3600" xr:uid="{00000000-0005-0000-0000-0000E6580000}"/>
    <cellStyle name="Note 2 8 2 3 7 2" xfId="22572" xr:uid="{00000000-0005-0000-0000-0000E7580000}"/>
    <cellStyle name="Note 2 8 2 3 7 3" xfId="33417" xr:uid="{00000000-0005-0000-0000-0000E8580000}"/>
    <cellStyle name="Note 2 8 2 3 8" xfId="6275" xr:uid="{00000000-0005-0000-0000-0000E9580000}"/>
    <cellStyle name="Note 2 8 2 3 8 2" xfId="25247" xr:uid="{00000000-0005-0000-0000-0000EA580000}"/>
    <cellStyle name="Note 2 8 2 3 8 3" xfId="36092" xr:uid="{00000000-0005-0000-0000-0000EB580000}"/>
    <cellStyle name="Note 2 8 2 3 9" xfId="8934" xr:uid="{00000000-0005-0000-0000-0000EC580000}"/>
    <cellStyle name="Note 2 8 2 3 9 2" xfId="27906" xr:uid="{00000000-0005-0000-0000-0000ED580000}"/>
    <cellStyle name="Note 2 8 2 3 9 3" xfId="38751" xr:uid="{00000000-0005-0000-0000-0000EE580000}"/>
    <cellStyle name="Note 2 8 2 4" xfId="805" xr:uid="{00000000-0005-0000-0000-0000EF580000}"/>
    <cellStyle name="Note 2 8 2 4 10" xfId="19790" xr:uid="{00000000-0005-0000-0000-0000F0580000}"/>
    <cellStyle name="Note 2 8 2 4 11" xfId="30635" xr:uid="{00000000-0005-0000-0000-0000F1580000}"/>
    <cellStyle name="Note 2 8 2 4 2" xfId="1392" xr:uid="{00000000-0005-0000-0000-0000F2580000}"/>
    <cellStyle name="Note 2 8 2 4 2 2" xfId="4245" xr:uid="{00000000-0005-0000-0000-0000F3580000}"/>
    <cellStyle name="Note 2 8 2 4 2 2 2" xfId="23217" xr:uid="{00000000-0005-0000-0000-0000F4580000}"/>
    <cellStyle name="Note 2 8 2 4 2 2 3" xfId="34062" xr:uid="{00000000-0005-0000-0000-0000F5580000}"/>
    <cellStyle name="Note 2 8 2 4 2 3" xfId="6918" xr:uid="{00000000-0005-0000-0000-0000F6580000}"/>
    <cellStyle name="Note 2 8 2 4 2 3 2" xfId="25890" xr:uid="{00000000-0005-0000-0000-0000F7580000}"/>
    <cellStyle name="Note 2 8 2 4 2 3 3" xfId="36735" xr:uid="{00000000-0005-0000-0000-0000F8580000}"/>
    <cellStyle name="Note 2 8 2 4 2 4" xfId="9577" xr:uid="{00000000-0005-0000-0000-0000F9580000}"/>
    <cellStyle name="Note 2 8 2 4 2 4 2" xfId="28549" xr:uid="{00000000-0005-0000-0000-0000FA580000}"/>
    <cellStyle name="Note 2 8 2 4 2 4 3" xfId="39394" xr:uid="{00000000-0005-0000-0000-0000FB580000}"/>
    <cellStyle name="Note 2 8 2 4 2 5" xfId="20373" xr:uid="{00000000-0005-0000-0000-0000FC580000}"/>
    <cellStyle name="Note 2 8 2 4 2 6" xfId="31218" xr:uid="{00000000-0005-0000-0000-0000FD580000}"/>
    <cellStyle name="Note 2 8 2 4 3" xfId="1791" xr:uid="{00000000-0005-0000-0000-0000FE580000}"/>
    <cellStyle name="Note 2 8 2 4 3 2" xfId="4644" xr:uid="{00000000-0005-0000-0000-0000FF580000}"/>
    <cellStyle name="Note 2 8 2 4 3 2 2" xfId="23616" xr:uid="{00000000-0005-0000-0000-000000590000}"/>
    <cellStyle name="Note 2 8 2 4 3 2 3" xfId="34461" xr:uid="{00000000-0005-0000-0000-000001590000}"/>
    <cellStyle name="Note 2 8 2 4 3 3" xfId="7316" xr:uid="{00000000-0005-0000-0000-000002590000}"/>
    <cellStyle name="Note 2 8 2 4 3 3 2" xfId="26288" xr:uid="{00000000-0005-0000-0000-000003590000}"/>
    <cellStyle name="Note 2 8 2 4 3 3 3" xfId="37133" xr:uid="{00000000-0005-0000-0000-000004590000}"/>
    <cellStyle name="Note 2 8 2 4 3 4" xfId="9975" xr:uid="{00000000-0005-0000-0000-000005590000}"/>
    <cellStyle name="Note 2 8 2 4 3 4 2" xfId="28947" xr:uid="{00000000-0005-0000-0000-000006590000}"/>
    <cellStyle name="Note 2 8 2 4 3 4 3" xfId="39792" xr:uid="{00000000-0005-0000-0000-000007590000}"/>
    <cellStyle name="Note 2 8 2 4 3 5" xfId="20771" xr:uid="{00000000-0005-0000-0000-000008590000}"/>
    <cellStyle name="Note 2 8 2 4 3 6" xfId="31616" xr:uid="{00000000-0005-0000-0000-000009590000}"/>
    <cellStyle name="Note 2 8 2 4 4" xfId="2195" xr:uid="{00000000-0005-0000-0000-00000A590000}"/>
    <cellStyle name="Note 2 8 2 4 4 2" xfId="5048" xr:uid="{00000000-0005-0000-0000-00000B590000}"/>
    <cellStyle name="Note 2 8 2 4 4 2 2" xfId="24020" xr:uid="{00000000-0005-0000-0000-00000C590000}"/>
    <cellStyle name="Note 2 8 2 4 4 2 3" xfId="34865" xr:uid="{00000000-0005-0000-0000-00000D590000}"/>
    <cellStyle name="Note 2 8 2 4 4 3" xfId="7719" xr:uid="{00000000-0005-0000-0000-00000E590000}"/>
    <cellStyle name="Note 2 8 2 4 4 3 2" xfId="26691" xr:uid="{00000000-0005-0000-0000-00000F590000}"/>
    <cellStyle name="Note 2 8 2 4 4 3 3" xfId="37536" xr:uid="{00000000-0005-0000-0000-000010590000}"/>
    <cellStyle name="Note 2 8 2 4 4 4" xfId="10378" xr:uid="{00000000-0005-0000-0000-000011590000}"/>
    <cellStyle name="Note 2 8 2 4 4 4 2" xfId="29350" xr:uid="{00000000-0005-0000-0000-000012590000}"/>
    <cellStyle name="Note 2 8 2 4 4 4 3" xfId="40195" xr:uid="{00000000-0005-0000-0000-000013590000}"/>
    <cellStyle name="Note 2 8 2 4 4 5" xfId="21174" xr:uid="{00000000-0005-0000-0000-000014590000}"/>
    <cellStyle name="Note 2 8 2 4 4 6" xfId="32019" xr:uid="{00000000-0005-0000-0000-000015590000}"/>
    <cellStyle name="Note 2 8 2 4 5" xfId="2585" xr:uid="{00000000-0005-0000-0000-000016590000}"/>
    <cellStyle name="Note 2 8 2 4 5 2" xfId="5437" xr:uid="{00000000-0005-0000-0000-000017590000}"/>
    <cellStyle name="Note 2 8 2 4 5 2 2" xfId="24409" xr:uid="{00000000-0005-0000-0000-000018590000}"/>
    <cellStyle name="Note 2 8 2 4 5 2 3" xfId="35254" xr:uid="{00000000-0005-0000-0000-000019590000}"/>
    <cellStyle name="Note 2 8 2 4 5 3" xfId="8108" xr:uid="{00000000-0005-0000-0000-00001A590000}"/>
    <cellStyle name="Note 2 8 2 4 5 3 2" xfId="27080" xr:uid="{00000000-0005-0000-0000-00001B590000}"/>
    <cellStyle name="Note 2 8 2 4 5 3 3" xfId="37925" xr:uid="{00000000-0005-0000-0000-00001C590000}"/>
    <cellStyle name="Note 2 8 2 4 5 4" xfId="10767" xr:uid="{00000000-0005-0000-0000-00001D590000}"/>
    <cellStyle name="Note 2 8 2 4 5 4 2" xfId="29739" xr:uid="{00000000-0005-0000-0000-00001E590000}"/>
    <cellStyle name="Note 2 8 2 4 5 4 3" xfId="40584" xr:uid="{00000000-0005-0000-0000-00001F590000}"/>
    <cellStyle name="Note 2 8 2 4 5 5" xfId="21563" xr:uid="{00000000-0005-0000-0000-000020590000}"/>
    <cellStyle name="Note 2 8 2 4 5 6" xfId="32408" xr:uid="{00000000-0005-0000-0000-000021590000}"/>
    <cellStyle name="Note 2 8 2 4 6" xfId="2971" xr:uid="{00000000-0005-0000-0000-000022590000}"/>
    <cellStyle name="Note 2 8 2 4 6 2" xfId="5822" xr:uid="{00000000-0005-0000-0000-000023590000}"/>
    <cellStyle name="Note 2 8 2 4 6 2 2" xfId="24794" xr:uid="{00000000-0005-0000-0000-000024590000}"/>
    <cellStyle name="Note 2 8 2 4 6 2 3" xfId="35639" xr:uid="{00000000-0005-0000-0000-000025590000}"/>
    <cellStyle name="Note 2 8 2 4 6 3" xfId="8493" xr:uid="{00000000-0005-0000-0000-000026590000}"/>
    <cellStyle name="Note 2 8 2 4 6 3 2" xfId="27465" xr:uid="{00000000-0005-0000-0000-000027590000}"/>
    <cellStyle name="Note 2 8 2 4 6 3 3" xfId="38310" xr:uid="{00000000-0005-0000-0000-000028590000}"/>
    <cellStyle name="Note 2 8 2 4 6 4" xfId="11152" xr:uid="{00000000-0005-0000-0000-000029590000}"/>
    <cellStyle name="Note 2 8 2 4 6 4 2" xfId="30124" xr:uid="{00000000-0005-0000-0000-00002A590000}"/>
    <cellStyle name="Note 2 8 2 4 6 4 3" xfId="40969" xr:uid="{00000000-0005-0000-0000-00002B590000}"/>
    <cellStyle name="Note 2 8 2 4 6 5" xfId="21948" xr:uid="{00000000-0005-0000-0000-00002C590000}"/>
    <cellStyle name="Note 2 8 2 4 6 6" xfId="32793" xr:uid="{00000000-0005-0000-0000-00002D590000}"/>
    <cellStyle name="Note 2 8 2 4 7" xfId="3660" xr:uid="{00000000-0005-0000-0000-00002E590000}"/>
    <cellStyle name="Note 2 8 2 4 7 2" xfId="22632" xr:uid="{00000000-0005-0000-0000-00002F590000}"/>
    <cellStyle name="Note 2 8 2 4 7 3" xfId="33477" xr:uid="{00000000-0005-0000-0000-000030590000}"/>
    <cellStyle name="Note 2 8 2 4 8" xfId="6335" xr:uid="{00000000-0005-0000-0000-000031590000}"/>
    <cellStyle name="Note 2 8 2 4 8 2" xfId="25307" xr:uid="{00000000-0005-0000-0000-000032590000}"/>
    <cellStyle name="Note 2 8 2 4 8 3" xfId="36152" xr:uid="{00000000-0005-0000-0000-000033590000}"/>
    <cellStyle name="Note 2 8 2 4 9" xfId="8994" xr:uid="{00000000-0005-0000-0000-000034590000}"/>
    <cellStyle name="Note 2 8 2 4 9 2" xfId="27966" xr:uid="{00000000-0005-0000-0000-000035590000}"/>
    <cellStyle name="Note 2 8 2 4 9 3" xfId="38811" xr:uid="{00000000-0005-0000-0000-000036590000}"/>
    <cellStyle name="Note 2 8 2 5" xfId="864" xr:uid="{00000000-0005-0000-0000-000037590000}"/>
    <cellStyle name="Note 2 8 2 5 10" xfId="19849" xr:uid="{00000000-0005-0000-0000-000038590000}"/>
    <cellStyle name="Note 2 8 2 5 11" xfId="30694" xr:uid="{00000000-0005-0000-0000-000039590000}"/>
    <cellStyle name="Note 2 8 2 5 2" xfId="1451" xr:uid="{00000000-0005-0000-0000-00003A590000}"/>
    <cellStyle name="Note 2 8 2 5 2 2" xfId="4304" xr:uid="{00000000-0005-0000-0000-00003B590000}"/>
    <cellStyle name="Note 2 8 2 5 2 2 2" xfId="23276" xr:uid="{00000000-0005-0000-0000-00003C590000}"/>
    <cellStyle name="Note 2 8 2 5 2 2 3" xfId="34121" xr:uid="{00000000-0005-0000-0000-00003D590000}"/>
    <cellStyle name="Note 2 8 2 5 2 3" xfId="6977" xr:uid="{00000000-0005-0000-0000-00003E590000}"/>
    <cellStyle name="Note 2 8 2 5 2 3 2" xfId="25949" xr:uid="{00000000-0005-0000-0000-00003F590000}"/>
    <cellStyle name="Note 2 8 2 5 2 3 3" xfId="36794" xr:uid="{00000000-0005-0000-0000-000040590000}"/>
    <cellStyle name="Note 2 8 2 5 2 4" xfId="9636" xr:uid="{00000000-0005-0000-0000-000041590000}"/>
    <cellStyle name="Note 2 8 2 5 2 4 2" xfId="28608" xr:uid="{00000000-0005-0000-0000-000042590000}"/>
    <cellStyle name="Note 2 8 2 5 2 4 3" xfId="39453" xr:uid="{00000000-0005-0000-0000-000043590000}"/>
    <cellStyle name="Note 2 8 2 5 2 5" xfId="20432" xr:uid="{00000000-0005-0000-0000-000044590000}"/>
    <cellStyle name="Note 2 8 2 5 2 6" xfId="31277" xr:uid="{00000000-0005-0000-0000-000045590000}"/>
    <cellStyle name="Note 2 8 2 5 3" xfId="1850" xr:uid="{00000000-0005-0000-0000-000046590000}"/>
    <cellStyle name="Note 2 8 2 5 3 2" xfId="4703" xr:uid="{00000000-0005-0000-0000-000047590000}"/>
    <cellStyle name="Note 2 8 2 5 3 2 2" xfId="23675" xr:uid="{00000000-0005-0000-0000-000048590000}"/>
    <cellStyle name="Note 2 8 2 5 3 2 3" xfId="34520" xr:uid="{00000000-0005-0000-0000-000049590000}"/>
    <cellStyle name="Note 2 8 2 5 3 3" xfId="7375" xr:uid="{00000000-0005-0000-0000-00004A590000}"/>
    <cellStyle name="Note 2 8 2 5 3 3 2" xfId="26347" xr:uid="{00000000-0005-0000-0000-00004B590000}"/>
    <cellStyle name="Note 2 8 2 5 3 3 3" xfId="37192" xr:uid="{00000000-0005-0000-0000-00004C590000}"/>
    <cellStyle name="Note 2 8 2 5 3 4" xfId="10034" xr:uid="{00000000-0005-0000-0000-00004D590000}"/>
    <cellStyle name="Note 2 8 2 5 3 4 2" xfId="29006" xr:uid="{00000000-0005-0000-0000-00004E590000}"/>
    <cellStyle name="Note 2 8 2 5 3 4 3" xfId="39851" xr:uid="{00000000-0005-0000-0000-00004F590000}"/>
    <cellStyle name="Note 2 8 2 5 3 5" xfId="20830" xr:uid="{00000000-0005-0000-0000-000050590000}"/>
    <cellStyle name="Note 2 8 2 5 3 6" xfId="31675" xr:uid="{00000000-0005-0000-0000-000051590000}"/>
    <cellStyle name="Note 2 8 2 5 4" xfId="2254" xr:uid="{00000000-0005-0000-0000-000052590000}"/>
    <cellStyle name="Note 2 8 2 5 4 2" xfId="5107" xr:uid="{00000000-0005-0000-0000-000053590000}"/>
    <cellStyle name="Note 2 8 2 5 4 2 2" xfId="24079" xr:uid="{00000000-0005-0000-0000-000054590000}"/>
    <cellStyle name="Note 2 8 2 5 4 2 3" xfId="34924" xr:uid="{00000000-0005-0000-0000-000055590000}"/>
    <cellStyle name="Note 2 8 2 5 4 3" xfId="7778" xr:uid="{00000000-0005-0000-0000-000056590000}"/>
    <cellStyle name="Note 2 8 2 5 4 3 2" xfId="26750" xr:uid="{00000000-0005-0000-0000-000057590000}"/>
    <cellStyle name="Note 2 8 2 5 4 3 3" xfId="37595" xr:uid="{00000000-0005-0000-0000-000058590000}"/>
    <cellStyle name="Note 2 8 2 5 4 4" xfId="10437" xr:uid="{00000000-0005-0000-0000-000059590000}"/>
    <cellStyle name="Note 2 8 2 5 4 4 2" xfId="29409" xr:uid="{00000000-0005-0000-0000-00005A590000}"/>
    <cellStyle name="Note 2 8 2 5 4 4 3" xfId="40254" xr:uid="{00000000-0005-0000-0000-00005B590000}"/>
    <cellStyle name="Note 2 8 2 5 4 5" xfId="21233" xr:uid="{00000000-0005-0000-0000-00005C590000}"/>
    <cellStyle name="Note 2 8 2 5 4 6" xfId="32078" xr:uid="{00000000-0005-0000-0000-00005D590000}"/>
    <cellStyle name="Note 2 8 2 5 5" xfId="2644" xr:uid="{00000000-0005-0000-0000-00005E590000}"/>
    <cellStyle name="Note 2 8 2 5 5 2" xfId="5496" xr:uid="{00000000-0005-0000-0000-00005F590000}"/>
    <cellStyle name="Note 2 8 2 5 5 2 2" xfId="24468" xr:uid="{00000000-0005-0000-0000-000060590000}"/>
    <cellStyle name="Note 2 8 2 5 5 2 3" xfId="35313" xr:uid="{00000000-0005-0000-0000-000061590000}"/>
    <cellStyle name="Note 2 8 2 5 5 3" xfId="8167" xr:uid="{00000000-0005-0000-0000-000062590000}"/>
    <cellStyle name="Note 2 8 2 5 5 3 2" xfId="27139" xr:uid="{00000000-0005-0000-0000-000063590000}"/>
    <cellStyle name="Note 2 8 2 5 5 3 3" xfId="37984" xr:uid="{00000000-0005-0000-0000-000064590000}"/>
    <cellStyle name="Note 2 8 2 5 5 4" xfId="10826" xr:uid="{00000000-0005-0000-0000-000065590000}"/>
    <cellStyle name="Note 2 8 2 5 5 4 2" xfId="29798" xr:uid="{00000000-0005-0000-0000-000066590000}"/>
    <cellStyle name="Note 2 8 2 5 5 4 3" xfId="40643" xr:uid="{00000000-0005-0000-0000-000067590000}"/>
    <cellStyle name="Note 2 8 2 5 5 5" xfId="21622" xr:uid="{00000000-0005-0000-0000-000068590000}"/>
    <cellStyle name="Note 2 8 2 5 5 6" xfId="32467" xr:uid="{00000000-0005-0000-0000-000069590000}"/>
    <cellStyle name="Note 2 8 2 5 6" xfId="3030" xr:uid="{00000000-0005-0000-0000-00006A590000}"/>
    <cellStyle name="Note 2 8 2 5 6 2" xfId="5881" xr:uid="{00000000-0005-0000-0000-00006B590000}"/>
    <cellStyle name="Note 2 8 2 5 6 2 2" xfId="24853" xr:uid="{00000000-0005-0000-0000-00006C590000}"/>
    <cellStyle name="Note 2 8 2 5 6 2 3" xfId="35698" xr:uid="{00000000-0005-0000-0000-00006D590000}"/>
    <cellStyle name="Note 2 8 2 5 6 3" xfId="8552" xr:uid="{00000000-0005-0000-0000-00006E590000}"/>
    <cellStyle name="Note 2 8 2 5 6 3 2" xfId="27524" xr:uid="{00000000-0005-0000-0000-00006F590000}"/>
    <cellStyle name="Note 2 8 2 5 6 3 3" xfId="38369" xr:uid="{00000000-0005-0000-0000-000070590000}"/>
    <cellStyle name="Note 2 8 2 5 6 4" xfId="11211" xr:uid="{00000000-0005-0000-0000-000071590000}"/>
    <cellStyle name="Note 2 8 2 5 6 4 2" xfId="30183" xr:uid="{00000000-0005-0000-0000-000072590000}"/>
    <cellStyle name="Note 2 8 2 5 6 4 3" xfId="41028" xr:uid="{00000000-0005-0000-0000-000073590000}"/>
    <cellStyle name="Note 2 8 2 5 6 5" xfId="22007" xr:uid="{00000000-0005-0000-0000-000074590000}"/>
    <cellStyle name="Note 2 8 2 5 6 6" xfId="32852" xr:uid="{00000000-0005-0000-0000-000075590000}"/>
    <cellStyle name="Note 2 8 2 5 7" xfId="3719" xr:uid="{00000000-0005-0000-0000-000076590000}"/>
    <cellStyle name="Note 2 8 2 5 7 2" xfId="22691" xr:uid="{00000000-0005-0000-0000-000077590000}"/>
    <cellStyle name="Note 2 8 2 5 7 3" xfId="33536" xr:uid="{00000000-0005-0000-0000-000078590000}"/>
    <cellStyle name="Note 2 8 2 5 8" xfId="6394" xr:uid="{00000000-0005-0000-0000-000079590000}"/>
    <cellStyle name="Note 2 8 2 5 8 2" xfId="25366" xr:uid="{00000000-0005-0000-0000-00007A590000}"/>
    <cellStyle name="Note 2 8 2 5 8 3" xfId="36211" xr:uid="{00000000-0005-0000-0000-00007B590000}"/>
    <cellStyle name="Note 2 8 2 5 9" xfId="9053" xr:uid="{00000000-0005-0000-0000-00007C590000}"/>
    <cellStyle name="Note 2 8 2 5 9 2" xfId="28025" xr:uid="{00000000-0005-0000-0000-00007D590000}"/>
    <cellStyle name="Note 2 8 2 5 9 3" xfId="38870" xr:uid="{00000000-0005-0000-0000-00007E590000}"/>
    <cellStyle name="Note 2 8 2 6" xfId="1086" xr:uid="{00000000-0005-0000-0000-00007F590000}"/>
    <cellStyle name="Note 2 8 2 6 2" xfId="3939" xr:uid="{00000000-0005-0000-0000-000080590000}"/>
    <cellStyle name="Note 2 8 2 6 2 2" xfId="22911" xr:uid="{00000000-0005-0000-0000-000081590000}"/>
    <cellStyle name="Note 2 8 2 6 2 3" xfId="33756" xr:uid="{00000000-0005-0000-0000-000082590000}"/>
    <cellStyle name="Note 2 8 2 6 3" xfId="6613" xr:uid="{00000000-0005-0000-0000-000083590000}"/>
    <cellStyle name="Note 2 8 2 6 3 2" xfId="25585" xr:uid="{00000000-0005-0000-0000-000084590000}"/>
    <cellStyle name="Note 2 8 2 6 3 3" xfId="36430" xr:uid="{00000000-0005-0000-0000-000085590000}"/>
    <cellStyle name="Note 2 8 2 6 4" xfId="9272" xr:uid="{00000000-0005-0000-0000-000086590000}"/>
    <cellStyle name="Note 2 8 2 6 4 2" xfId="28244" xr:uid="{00000000-0005-0000-0000-000087590000}"/>
    <cellStyle name="Note 2 8 2 6 4 3" xfId="39089" xr:uid="{00000000-0005-0000-0000-000088590000}"/>
    <cellStyle name="Note 2 8 2 6 5" xfId="20068" xr:uid="{00000000-0005-0000-0000-000089590000}"/>
    <cellStyle name="Note 2 8 2 6 6" xfId="30913" xr:uid="{00000000-0005-0000-0000-00008A590000}"/>
    <cellStyle name="Note 2 8 2 7" xfId="1050" xr:uid="{00000000-0005-0000-0000-00008B590000}"/>
    <cellStyle name="Note 2 8 2 7 2" xfId="3903" xr:uid="{00000000-0005-0000-0000-00008C590000}"/>
    <cellStyle name="Note 2 8 2 7 2 2" xfId="22875" xr:uid="{00000000-0005-0000-0000-00008D590000}"/>
    <cellStyle name="Note 2 8 2 7 2 3" xfId="33720" xr:uid="{00000000-0005-0000-0000-00008E590000}"/>
    <cellStyle name="Note 2 8 2 7 3" xfId="6577" xr:uid="{00000000-0005-0000-0000-00008F590000}"/>
    <cellStyle name="Note 2 8 2 7 3 2" xfId="25549" xr:uid="{00000000-0005-0000-0000-000090590000}"/>
    <cellStyle name="Note 2 8 2 7 3 3" xfId="36394" xr:uid="{00000000-0005-0000-0000-000091590000}"/>
    <cellStyle name="Note 2 8 2 7 4" xfId="9236" xr:uid="{00000000-0005-0000-0000-000092590000}"/>
    <cellStyle name="Note 2 8 2 7 4 2" xfId="28208" xr:uid="{00000000-0005-0000-0000-000093590000}"/>
    <cellStyle name="Note 2 8 2 7 4 3" xfId="39053" xr:uid="{00000000-0005-0000-0000-000094590000}"/>
    <cellStyle name="Note 2 8 2 7 5" xfId="20032" xr:uid="{00000000-0005-0000-0000-000095590000}"/>
    <cellStyle name="Note 2 8 2 7 6" xfId="30877" xr:uid="{00000000-0005-0000-0000-000096590000}"/>
    <cellStyle name="Note 2 8 2 8" xfId="1893" xr:uid="{00000000-0005-0000-0000-000097590000}"/>
    <cellStyle name="Note 2 8 2 8 2" xfId="4746" xr:uid="{00000000-0005-0000-0000-000098590000}"/>
    <cellStyle name="Note 2 8 2 8 2 2" xfId="23718" xr:uid="{00000000-0005-0000-0000-000099590000}"/>
    <cellStyle name="Note 2 8 2 8 2 3" xfId="34563" xr:uid="{00000000-0005-0000-0000-00009A590000}"/>
    <cellStyle name="Note 2 8 2 8 3" xfId="7418" xr:uid="{00000000-0005-0000-0000-00009B590000}"/>
    <cellStyle name="Note 2 8 2 8 3 2" xfId="26390" xr:uid="{00000000-0005-0000-0000-00009C590000}"/>
    <cellStyle name="Note 2 8 2 8 3 3" xfId="37235" xr:uid="{00000000-0005-0000-0000-00009D590000}"/>
    <cellStyle name="Note 2 8 2 8 4" xfId="10077" xr:uid="{00000000-0005-0000-0000-00009E590000}"/>
    <cellStyle name="Note 2 8 2 8 4 2" xfId="29049" xr:uid="{00000000-0005-0000-0000-00009F590000}"/>
    <cellStyle name="Note 2 8 2 8 4 3" xfId="39894" xr:uid="{00000000-0005-0000-0000-0000A0590000}"/>
    <cellStyle name="Note 2 8 2 8 5" xfId="20873" xr:uid="{00000000-0005-0000-0000-0000A1590000}"/>
    <cellStyle name="Note 2 8 2 8 6" xfId="31718" xr:uid="{00000000-0005-0000-0000-0000A2590000}"/>
    <cellStyle name="Note 2 8 2 9" xfId="1033" xr:uid="{00000000-0005-0000-0000-0000A3590000}"/>
    <cellStyle name="Note 2 8 2 9 2" xfId="3886" xr:uid="{00000000-0005-0000-0000-0000A4590000}"/>
    <cellStyle name="Note 2 8 2 9 2 2" xfId="22858" xr:uid="{00000000-0005-0000-0000-0000A5590000}"/>
    <cellStyle name="Note 2 8 2 9 2 3" xfId="33703" xr:uid="{00000000-0005-0000-0000-0000A6590000}"/>
    <cellStyle name="Note 2 8 2 9 3" xfId="6560" xr:uid="{00000000-0005-0000-0000-0000A7590000}"/>
    <cellStyle name="Note 2 8 2 9 3 2" xfId="25532" xr:uid="{00000000-0005-0000-0000-0000A8590000}"/>
    <cellStyle name="Note 2 8 2 9 3 3" xfId="36377" xr:uid="{00000000-0005-0000-0000-0000A9590000}"/>
    <cellStyle name="Note 2 8 2 9 4" xfId="9219" xr:uid="{00000000-0005-0000-0000-0000AA590000}"/>
    <cellStyle name="Note 2 8 2 9 4 2" xfId="28191" xr:uid="{00000000-0005-0000-0000-0000AB590000}"/>
    <cellStyle name="Note 2 8 2 9 4 3" xfId="39036" xr:uid="{00000000-0005-0000-0000-0000AC590000}"/>
    <cellStyle name="Note 2 8 2 9 5" xfId="20015" xr:uid="{00000000-0005-0000-0000-0000AD590000}"/>
    <cellStyle name="Note 2 8 2 9 6" xfId="30860" xr:uid="{00000000-0005-0000-0000-0000AE590000}"/>
    <cellStyle name="Note 2 8 3" xfId="568" xr:uid="{00000000-0005-0000-0000-0000AF590000}"/>
    <cellStyle name="Note 2 8 3 10" xfId="19578" xr:uid="{00000000-0005-0000-0000-0000B0590000}"/>
    <cellStyle name="Note 2 8 3 11" xfId="30423" xr:uid="{00000000-0005-0000-0000-0000B1590000}"/>
    <cellStyle name="Note 2 8 3 2" xfId="1174" xr:uid="{00000000-0005-0000-0000-0000B2590000}"/>
    <cellStyle name="Note 2 8 3 2 2" xfId="4027" xr:uid="{00000000-0005-0000-0000-0000B3590000}"/>
    <cellStyle name="Note 2 8 3 2 2 2" xfId="22999" xr:uid="{00000000-0005-0000-0000-0000B4590000}"/>
    <cellStyle name="Note 2 8 3 2 2 3" xfId="33844" xr:uid="{00000000-0005-0000-0000-0000B5590000}"/>
    <cellStyle name="Note 2 8 3 2 3" xfId="6700" xr:uid="{00000000-0005-0000-0000-0000B6590000}"/>
    <cellStyle name="Note 2 8 3 2 3 2" xfId="25672" xr:uid="{00000000-0005-0000-0000-0000B7590000}"/>
    <cellStyle name="Note 2 8 3 2 3 3" xfId="36517" xr:uid="{00000000-0005-0000-0000-0000B8590000}"/>
    <cellStyle name="Note 2 8 3 2 4" xfId="9359" xr:uid="{00000000-0005-0000-0000-0000B9590000}"/>
    <cellStyle name="Note 2 8 3 2 4 2" xfId="28331" xr:uid="{00000000-0005-0000-0000-0000BA590000}"/>
    <cellStyle name="Note 2 8 3 2 4 3" xfId="39176" xr:uid="{00000000-0005-0000-0000-0000BB590000}"/>
    <cellStyle name="Note 2 8 3 2 5" xfId="20155" xr:uid="{00000000-0005-0000-0000-0000BC590000}"/>
    <cellStyle name="Note 2 8 3 2 6" xfId="31000" xr:uid="{00000000-0005-0000-0000-0000BD590000}"/>
    <cellStyle name="Note 2 8 3 3" xfId="1571" xr:uid="{00000000-0005-0000-0000-0000BE590000}"/>
    <cellStyle name="Note 2 8 3 3 2" xfId="4424" xr:uid="{00000000-0005-0000-0000-0000BF590000}"/>
    <cellStyle name="Note 2 8 3 3 2 2" xfId="23396" xr:uid="{00000000-0005-0000-0000-0000C0590000}"/>
    <cellStyle name="Note 2 8 3 3 2 3" xfId="34241" xr:uid="{00000000-0005-0000-0000-0000C1590000}"/>
    <cellStyle name="Note 2 8 3 3 3" xfId="7096" xr:uid="{00000000-0005-0000-0000-0000C2590000}"/>
    <cellStyle name="Note 2 8 3 3 3 2" xfId="26068" xr:uid="{00000000-0005-0000-0000-0000C3590000}"/>
    <cellStyle name="Note 2 8 3 3 3 3" xfId="36913" xr:uid="{00000000-0005-0000-0000-0000C4590000}"/>
    <cellStyle name="Note 2 8 3 3 4" xfId="9755" xr:uid="{00000000-0005-0000-0000-0000C5590000}"/>
    <cellStyle name="Note 2 8 3 3 4 2" xfId="28727" xr:uid="{00000000-0005-0000-0000-0000C6590000}"/>
    <cellStyle name="Note 2 8 3 3 4 3" xfId="39572" xr:uid="{00000000-0005-0000-0000-0000C7590000}"/>
    <cellStyle name="Note 2 8 3 3 5" xfId="20551" xr:uid="{00000000-0005-0000-0000-0000C8590000}"/>
    <cellStyle name="Note 2 8 3 3 6" xfId="31396" xr:uid="{00000000-0005-0000-0000-0000C9590000}"/>
    <cellStyle name="Note 2 8 3 4" xfId="1975" xr:uid="{00000000-0005-0000-0000-0000CA590000}"/>
    <cellStyle name="Note 2 8 3 4 2" xfId="4828" xr:uid="{00000000-0005-0000-0000-0000CB590000}"/>
    <cellStyle name="Note 2 8 3 4 2 2" xfId="23800" xr:uid="{00000000-0005-0000-0000-0000CC590000}"/>
    <cellStyle name="Note 2 8 3 4 2 3" xfId="34645" xr:uid="{00000000-0005-0000-0000-0000CD590000}"/>
    <cellStyle name="Note 2 8 3 4 3" xfId="7500" xr:uid="{00000000-0005-0000-0000-0000CE590000}"/>
    <cellStyle name="Note 2 8 3 4 3 2" xfId="26472" xr:uid="{00000000-0005-0000-0000-0000CF590000}"/>
    <cellStyle name="Note 2 8 3 4 3 3" xfId="37317" xr:uid="{00000000-0005-0000-0000-0000D0590000}"/>
    <cellStyle name="Note 2 8 3 4 4" xfId="10159" xr:uid="{00000000-0005-0000-0000-0000D1590000}"/>
    <cellStyle name="Note 2 8 3 4 4 2" xfId="29131" xr:uid="{00000000-0005-0000-0000-0000D2590000}"/>
    <cellStyle name="Note 2 8 3 4 4 3" xfId="39976" xr:uid="{00000000-0005-0000-0000-0000D3590000}"/>
    <cellStyle name="Note 2 8 3 4 5" xfId="20955" xr:uid="{00000000-0005-0000-0000-0000D4590000}"/>
    <cellStyle name="Note 2 8 3 4 6" xfId="31800" xr:uid="{00000000-0005-0000-0000-0000D5590000}"/>
    <cellStyle name="Note 2 8 3 5" xfId="2367" xr:uid="{00000000-0005-0000-0000-0000D6590000}"/>
    <cellStyle name="Note 2 8 3 5 2" xfId="5220" xr:uid="{00000000-0005-0000-0000-0000D7590000}"/>
    <cellStyle name="Note 2 8 3 5 2 2" xfId="24192" xr:uid="{00000000-0005-0000-0000-0000D8590000}"/>
    <cellStyle name="Note 2 8 3 5 2 3" xfId="35037" xr:uid="{00000000-0005-0000-0000-0000D9590000}"/>
    <cellStyle name="Note 2 8 3 5 3" xfId="7891" xr:uid="{00000000-0005-0000-0000-0000DA590000}"/>
    <cellStyle name="Note 2 8 3 5 3 2" xfId="26863" xr:uid="{00000000-0005-0000-0000-0000DB590000}"/>
    <cellStyle name="Note 2 8 3 5 3 3" xfId="37708" xr:uid="{00000000-0005-0000-0000-0000DC590000}"/>
    <cellStyle name="Note 2 8 3 5 4" xfId="10550" xr:uid="{00000000-0005-0000-0000-0000DD590000}"/>
    <cellStyle name="Note 2 8 3 5 4 2" xfId="29522" xr:uid="{00000000-0005-0000-0000-0000DE590000}"/>
    <cellStyle name="Note 2 8 3 5 4 3" xfId="40367" xr:uid="{00000000-0005-0000-0000-0000DF590000}"/>
    <cellStyle name="Note 2 8 3 5 5" xfId="21346" xr:uid="{00000000-0005-0000-0000-0000E0590000}"/>
    <cellStyle name="Note 2 8 3 5 6" xfId="32191" xr:uid="{00000000-0005-0000-0000-0000E1590000}"/>
    <cellStyle name="Note 2 8 3 6" xfId="2756" xr:uid="{00000000-0005-0000-0000-0000E2590000}"/>
    <cellStyle name="Note 2 8 3 6 2" xfId="5608" xr:uid="{00000000-0005-0000-0000-0000E3590000}"/>
    <cellStyle name="Note 2 8 3 6 2 2" xfId="24580" xr:uid="{00000000-0005-0000-0000-0000E4590000}"/>
    <cellStyle name="Note 2 8 3 6 2 3" xfId="35425" xr:uid="{00000000-0005-0000-0000-0000E5590000}"/>
    <cellStyle name="Note 2 8 3 6 3" xfId="8279" xr:uid="{00000000-0005-0000-0000-0000E6590000}"/>
    <cellStyle name="Note 2 8 3 6 3 2" xfId="27251" xr:uid="{00000000-0005-0000-0000-0000E7590000}"/>
    <cellStyle name="Note 2 8 3 6 3 3" xfId="38096" xr:uid="{00000000-0005-0000-0000-0000E8590000}"/>
    <cellStyle name="Note 2 8 3 6 4" xfId="10938" xr:uid="{00000000-0005-0000-0000-0000E9590000}"/>
    <cellStyle name="Note 2 8 3 6 4 2" xfId="29910" xr:uid="{00000000-0005-0000-0000-0000EA590000}"/>
    <cellStyle name="Note 2 8 3 6 4 3" xfId="40755" xr:uid="{00000000-0005-0000-0000-0000EB590000}"/>
    <cellStyle name="Note 2 8 3 6 5" xfId="21734" xr:uid="{00000000-0005-0000-0000-0000EC590000}"/>
    <cellStyle name="Note 2 8 3 6 6" xfId="32579" xr:uid="{00000000-0005-0000-0000-0000ED590000}"/>
    <cellStyle name="Note 2 8 3 7" xfId="3447" xr:uid="{00000000-0005-0000-0000-0000EE590000}"/>
    <cellStyle name="Note 2 8 3 7 2" xfId="22419" xr:uid="{00000000-0005-0000-0000-0000EF590000}"/>
    <cellStyle name="Note 2 8 3 7 3" xfId="33264" xr:uid="{00000000-0005-0000-0000-0000F0590000}"/>
    <cellStyle name="Note 2 8 3 8" xfId="6123" xr:uid="{00000000-0005-0000-0000-0000F1590000}"/>
    <cellStyle name="Note 2 8 3 8 2" xfId="25095" xr:uid="{00000000-0005-0000-0000-0000F2590000}"/>
    <cellStyle name="Note 2 8 3 8 3" xfId="35940" xr:uid="{00000000-0005-0000-0000-0000F3590000}"/>
    <cellStyle name="Note 2 8 3 9" xfId="8782" xr:uid="{00000000-0005-0000-0000-0000F4590000}"/>
    <cellStyle name="Note 2 8 3 9 2" xfId="27754" xr:uid="{00000000-0005-0000-0000-0000F5590000}"/>
    <cellStyle name="Note 2 8 3 9 3" xfId="38599" xr:uid="{00000000-0005-0000-0000-0000F6590000}"/>
    <cellStyle name="Note 2 9" xfId="190" xr:uid="{00000000-0005-0000-0000-0000F7590000}"/>
    <cellStyle name="Note 2 9 2" xfId="414" xr:uid="{00000000-0005-0000-0000-0000F8590000}"/>
    <cellStyle name="Note 2 9 2 10" xfId="2701" xr:uid="{00000000-0005-0000-0000-0000F9590000}"/>
    <cellStyle name="Note 2 9 2 10 2" xfId="5553" xr:uid="{00000000-0005-0000-0000-0000FA590000}"/>
    <cellStyle name="Note 2 9 2 10 2 2" xfId="24525" xr:uid="{00000000-0005-0000-0000-0000FB590000}"/>
    <cellStyle name="Note 2 9 2 10 2 3" xfId="35370" xr:uid="{00000000-0005-0000-0000-0000FC590000}"/>
    <cellStyle name="Note 2 9 2 10 3" xfId="8224" xr:uid="{00000000-0005-0000-0000-0000FD590000}"/>
    <cellStyle name="Note 2 9 2 10 3 2" xfId="27196" xr:uid="{00000000-0005-0000-0000-0000FE590000}"/>
    <cellStyle name="Note 2 9 2 10 3 3" xfId="38041" xr:uid="{00000000-0005-0000-0000-0000FF590000}"/>
    <cellStyle name="Note 2 9 2 10 4" xfId="10883" xr:uid="{00000000-0005-0000-0000-0000005A0000}"/>
    <cellStyle name="Note 2 9 2 10 4 2" xfId="29855" xr:uid="{00000000-0005-0000-0000-0000015A0000}"/>
    <cellStyle name="Note 2 9 2 10 4 3" xfId="40700" xr:uid="{00000000-0005-0000-0000-0000025A0000}"/>
    <cellStyle name="Note 2 9 2 10 5" xfId="21679" xr:uid="{00000000-0005-0000-0000-0000035A0000}"/>
    <cellStyle name="Note 2 9 2 10 6" xfId="32524" xr:uid="{00000000-0005-0000-0000-0000045A0000}"/>
    <cellStyle name="Note 2 9 2 11" xfId="3086" xr:uid="{00000000-0005-0000-0000-0000055A0000}"/>
    <cellStyle name="Note 2 9 2 11 2" xfId="5937" xr:uid="{00000000-0005-0000-0000-0000065A0000}"/>
    <cellStyle name="Note 2 9 2 11 2 2" xfId="24909" xr:uid="{00000000-0005-0000-0000-0000075A0000}"/>
    <cellStyle name="Note 2 9 2 11 2 3" xfId="35754" xr:uid="{00000000-0005-0000-0000-0000085A0000}"/>
    <cellStyle name="Note 2 9 2 11 3" xfId="8608" xr:uid="{00000000-0005-0000-0000-0000095A0000}"/>
    <cellStyle name="Note 2 9 2 11 3 2" xfId="27580" xr:uid="{00000000-0005-0000-0000-00000A5A0000}"/>
    <cellStyle name="Note 2 9 2 11 3 3" xfId="38425" xr:uid="{00000000-0005-0000-0000-00000B5A0000}"/>
    <cellStyle name="Note 2 9 2 11 4" xfId="11267" xr:uid="{00000000-0005-0000-0000-00000C5A0000}"/>
    <cellStyle name="Note 2 9 2 11 4 2" xfId="30239" xr:uid="{00000000-0005-0000-0000-00000D5A0000}"/>
    <cellStyle name="Note 2 9 2 11 4 3" xfId="41084" xr:uid="{00000000-0005-0000-0000-00000E5A0000}"/>
    <cellStyle name="Note 2 9 2 11 5" xfId="22063" xr:uid="{00000000-0005-0000-0000-00000F5A0000}"/>
    <cellStyle name="Note 2 9 2 11 6" xfId="32908" xr:uid="{00000000-0005-0000-0000-0000105A0000}"/>
    <cellStyle name="Note 2 9 2 12" xfId="3143" xr:uid="{00000000-0005-0000-0000-0000115A0000}"/>
    <cellStyle name="Note 2 9 2 12 2" xfId="5994" xr:uid="{00000000-0005-0000-0000-0000125A0000}"/>
    <cellStyle name="Note 2 9 2 12 2 2" xfId="24966" xr:uid="{00000000-0005-0000-0000-0000135A0000}"/>
    <cellStyle name="Note 2 9 2 12 2 3" xfId="35811" xr:uid="{00000000-0005-0000-0000-0000145A0000}"/>
    <cellStyle name="Note 2 9 2 12 3" xfId="8665" xr:uid="{00000000-0005-0000-0000-0000155A0000}"/>
    <cellStyle name="Note 2 9 2 12 3 2" xfId="27637" xr:uid="{00000000-0005-0000-0000-0000165A0000}"/>
    <cellStyle name="Note 2 9 2 12 3 3" xfId="38482" xr:uid="{00000000-0005-0000-0000-0000175A0000}"/>
    <cellStyle name="Note 2 9 2 12 4" xfId="11324" xr:uid="{00000000-0005-0000-0000-0000185A0000}"/>
    <cellStyle name="Note 2 9 2 12 4 2" xfId="30296" xr:uid="{00000000-0005-0000-0000-0000195A0000}"/>
    <cellStyle name="Note 2 9 2 12 4 3" xfId="41141" xr:uid="{00000000-0005-0000-0000-00001A5A0000}"/>
    <cellStyle name="Note 2 9 2 12 5" xfId="22120" xr:uid="{00000000-0005-0000-0000-00001B5A0000}"/>
    <cellStyle name="Note 2 9 2 12 6" xfId="32965" xr:uid="{00000000-0005-0000-0000-00001C5A0000}"/>
    <cellStyle name="Note 2 9 2 13" xfId="3200" xr:uid="{00000000-0005-0000-0000-00001D5A0000}"/>
    <cellStyle name="Note 2 9 2 13 2" xfId="6051" xr:uid="{00000000-0005-0000-0000-00001E5A0000}"/>
    <cellStyle name="Note 2 9 2 13 2 2" xfId="25023" xr:uid="{00000000-0005-0000-0000-00001F5A0000}"/>
    <cellStyle name="Note 2 9 2 13 2 3" xfId="35868" xr:uid="{00000000-0005-0000-0000-0000205A0000}"/>
    <cellStyle name="Note 2 9 2 13 3" xfId="8722" xr:uid="{00000000-0005-0000-0000-0000215A0000}"/>
    <cellStyle name="Note 2 9 2 13 3 2" xfId="27694" xr:uid="{00000000-0005-0000-0000-0000225A0000}"/>
    <cellStyle name="Note 2 9 2 13 3 3" xfId="38539" xr:uid="{00000000-0005-0000-0000-0000235A0000}"/>
    <cellStyle name="Note 2 9 2 13 4" xfId="11381" xr:uid="{00000000-0005-0000-0000-0000245A0000}"/>
    <cellStyle name="Note 2 9 2 13 4 2" xfId="30353" xr:uid="{00000000-0005-0000-0000-0000255A0000}"/>
    <cellStyle name="Note 2 9 2 13 4 3" xfId="41198" xr:uid="{00000000-0005-0000-0000-0000265A0000}"/>
    <cellStyle name="Note 2 9 2 13 5" xfId="22177" xr:uid="{00000000-0005-0000-0000-0000275A0000}"/>
    <cellStyle name="Note 2 9 2 13 6" xfId="33022" xr:uid="{00000000-0005-0000-0000-0000285A0000}"/>
    <cellStyle name="Note 2 9 2 14" xfId="3368" xr:uid="{00000000-0005-0000-0000-0000295A0000}"/>
    <cellStyle name="Note 2 9 2 14 2" xfId="22342" xr:uid="{00000000-0005-0000-0000-00002A5A0000}"/>
    <cellStyle name="Note 2 9 2 14 3" xfId="33187" xr:uid="{00000000-0005-0000-0000-00002B5A0000}"/>
    <cellStyle name="Note 2 9 2 15" xfId="3266" xr:uid="{00000000-0005-0000-0000-00002C5A0000}"/>
    <cellStyle name="Note 2 9 2 15 2" xfId="22240" xr:uid="{00000000-0005-0000-0000-00002D5A0000}"/>
    <cellStyle name="Note 2 9 2 15 3" xfId="33085" xr:uid="{00000000-0005-0000-0000-00002E5A0000}"/>
    <cellStyle name="Note 2 9 2 16" xfId="3855" xr:uid="{00000000-0005-0000-0000-00002F5A0000}"/>
    <cellStyle name="Note 2 9 2 16 2" xfId="22827" xr:uid="{00000000-0005-0000-0000-0000305A0000}"/>
    <cellStyle name="Note 2 9 2 16 3" xfId="33672" xr:uid="{00000000-0005-0000-0000-0000315A0000}"/>
    <cellStyle name="Note 2 9 2 17" xfId="19497" xr:uid="{00000000-0005-0000-0000-0000325A0000}"/>
    <cellStyle name="Note 2 9 2 18" xfId="19425" xr:uid="{00000000-0005-0000-0000-0000335A0000}"/>
    <cellStyle name="Note 2 9 2 2" xfId="709" xr:uid="{00000000-0005-0000-0000-0000345A0000}"/>
    <cellStyle name="Note 2 9 2 2 10" xfId="19694" xr:uid="{00000000-0005-0000-0000-0000355A0000}"/>
    <cellStyle name="Note 2 9 2 2 11" xfId="30539" xr:uid="{00000000-0005-0000-0000-0000365A0000}"/>
    <cellStyle name="Note 2 9 2 2 2" xfId="1296" xr:uid="{00000000-0005-0000-0000-0000375A0000}"/>
    <cellStyle name="Note 2 9 2 2 2 2" xfId="4149" xr:uid="{00000000-0005-0000-0000-0000385A0000}"/>
    <cellStyle name="Note 2 9 2 2 2 2 2" xfId="23121" xr:uid="{00000000-0005-0000-0000-0000395A0000}"/>
    <cellStyle name="Note 2 9 2 2 2 2 3" xfId="33966" xr:uid="{00000000-0005-0000-0000-00003A5A0000}"/>
    <cellStyle name="Note 2 9 2 2 2 3" xfId="6822" xr:uid="{00000000-0005-0000-0000-00003B5A0000}"/>
    <cellStyle name="Note 2 9 2 2 2 3 2" xfId="25794" xr:uid="{00000000-0005-0000-0000-00003C5A0000}"/>
    <cellStyle name="Note 2 9 2 2 2 3 3" xfId="36639" xr:uid="{00000000-0005-0000-0000-00003D5A0000}"/>
    <cellStyle name="Note 2 9 2 2 2 4" xfId="9481" xr:uid="{00000000-0005-0000-0000-00003E5A0000}"/>
    <cellStyle name="Note 2 9 2 2 2 4 2" xfId="28453" xr:uid="{00000000-0005-0000-0000-00003F5A0000}"/>
    <cellStyle name="Note 2 9 2 2 2 4 3" xfId="39298" xr:uid="{00000000-0005-0000-0000-0000405A0000}"/>
    <cellStyle name="Note 2 9 2 2 2 5" xfId="20277" xr:uid="{00000000-0005-0000-0000-0000415A0000}"/>
    <cellStyle name="Note 2 9 2 2 2 6" xfId="31122" xr:uid="{00000000-0005-0000-0000-0000425A0000}"/>
    <cellStyle name="Note 2 9 2 2 3" xfId="1695" xr:uid="{00000000-0005-0000-0000-0000435A0000}"/>
    <cellStyle name="Note 2 9 2 2 3 2" xfId="4548" xr:uid="{00000000-0005-0000-0000-0000445A0000}"/>
    <cellStyle name="Note 2 9 2 2 3 2 2" xfId="23520" xr:uid="{00000000-0005-0000-0000-0000455A0000}"/>
    <cellStyle name="Note 2 9 2 2 3 2 3" xfId="34365" xr:uid="{00000000-0005-0000-0000-0000465A0000}"/>
    <cellStyle name="Note 2 9 2 2 3 3" xfId="7220" xr:uid="{00000000-0005-0000-0000-0000475A0000}"/>
    <cellStyle name="Note 2 9 2 2 3 3 2" xfId="26192" xr:uid="{00000000-0005-0000-0000-0000485A0000}"/>
    <cellStyle name="Note 2 9 2 2 3 3 3" xfId="37037" xr:uid="{00000000-0005-0000-0000-0000495A0000}"/>
    <cellStyle name="Note 2 9 2 2 3 4" xfId="9879" xr:uid="{00000000-0005-0000-0000-00004A5A0000}"/>
    <cellStyle name="Note 2 9 2 2 3 4 2" xfId="28851" xr:uid="{00000000-0005-0000-0000-00004B5A0000}"/>
    <cellStyle name="Note 2 9 2 2 3 4 3" xfId="39696" xr:uid="{00000000-0005-0000-0000-00004C5A0000}"/>
    <cellStyle name="Note 2 9 2 2 3 5" xfId="20675" xr:uid="{00000000-0005-0000-0000-00004D5A0000}"/>
    <cellStyle name="Note 2 9 2 2 3 6" xfId="31520" xr:uid="{00000000-0005-0000-0000-00004E5A0000}"/>
    <cellStyle name="Note 2 9 2 2 4" xfId="2099" xr:uid="{00000000-0005-0000-0000-00004F5A0000}"/>
    <cellStyle name="Note 2 9 2 2 4 2" xfId="4952" xr:uid="{00000000-0005-0000-0000-0000505A0000}"/>
    <cellStyle name="Note 2 9 2 2 4 2 2" xfId="23924" xr:uid="{00000000-0005-0000-0000-0000515A0000}"/>
    <cellStyle name="Note 2 9 2 2 4 2 3" xfId="34769" xr:uid="{00000000-0005-0000-0000-0000525A0000}"/>
    <cellStyle name="Note 2 9 2 2 4 3" xfId="7623" xr:uid="{00000000-0005-0000-0000-0000535A0000}"/>
    <cellStyle name="Note 2 9 2 2 4 3 2" xfId="26595" xr:uid="{00000000-0005-0000-0000-0000545A0000}"/>
    <cellStyle name="Note 2 9 2 2 4 3 3" xfId="37440" xr:uid="{00000000-0005-0000-0000-0000555A0000}"/>
    <cellStyle name="Note 2 9 2 2 4 4" xfId="10282" xr:uid="{00000000-0005-0000-0000-0000565A0000}"/>
    <cellStyle name="Note 2 9 2 2 4 4 2" xfId="29254" xr:uid="{00000000-0005-0000-0000-0000575A0000}"/>
    <cellStyle name="Note 2 9 2 2 4 4 3" xfId="40099" xr:uid="{00000000-0005-0000-0000-0000585A0000}"/>
    <cellStyle name="Note 2 9 2 2 4 5" xfId="21078" xr:uid="{00000000-0005-0000-0000-0000595A0000}"/>
    <cellStyle name="Note 2 9 2 2 4 6" xfId="31923" xr:uid="{00000000-0005-0000-0000-00005A5A0000}"/>
    <cellStyle name="Note 2 9 2 2 5" xfId="2489" xr:uid="{00000000-0005-0000-0000-00005B5A0000}"/>
    <cellStyle name="Note 2 9 2 2 5 2" xfId="5341" xr:uid="{00000000-0005-0000-0000-00005C5A0000}"/>
    <cellStyle name="Note 2 9 2 2 5 2 2" xfId="24313" xr:uid="{00000000-0005-0000-0000-00005D5A0000}"/>
    <cellStyle name="Note 2 9 2 2 5 2 3" xfId="35158" xr:uid="{00000000-0005-0000-0000-00005E5A0000}"/>
    <cellStyle name="Note 2 9 2 2 5 3" xfId="8012" xr:uid="{00000000-0005-0000-0000-00005F5A0000}"/>
    <cellStyle name="Note 2 9 2 2 5 3 2" xfId="26984" xr:uid="{00000000-0005-0000-0000-0000605A0000}"/>
    <cellStyle name="Note 2 9 2 2 5 3 3" xfId="37829" xr:uid="{00000000-0005-0000-0000-0000615A0000}"/>
    <cellStyle name="Note 2 9 2 2 5 4" xfId="10671" xr:uid="{00000000-0005-0000-0000-0000625A0000}"/>
    <cellStyle name="Note 2 9 2 2 5 4 2" xfId="29643" xr:uid="{00000000-0005-0000-0000-0000635A0000}"/>
    <cellStyle name="Note 2 9 2 2 5 4 3" xfId="40488" xr:uid="{00000000-0005-0000-0000-0000645A0000}"/>
    <cellStyle name="Note 2 9 2 2 5 5" xfId="21467" xr:uid="{00000000-0005-0000-0000-0000655A0000}"/>
    <cellStyle name="Note 2 9 2 2 5 6" xfId="32312" xr:uid="{00000000-0005-0000-0000-0000665A0000}"/>
    <cellStyle name="Note 2 9 2 2 6" xfId="2875" xr:uid="{00000000-0005-0000-0000-0000675A0000}"/>
    <cellStyle name="Note 2 9 2 2 6 2" xfId="5726" xr:uid="{00000000-0005-0000-0000-0000685A0000}"/>
    <cellStyle name="Note 2 9 2 2 6 2 2" xfId="24698" xr:uid="{00000000-0005-0000-0000-0000695A0000}"/>
    <cellStyle name="Note 2 9 2 2 6 2 3" xfId="35543" xr:uid="{00000000-0005-0000-0000-00006A5A0000}"/>
    <cellStyle name="Note 2 9 2 2 6 3" xfId="8397" xr:uid="{00000000-0005-0000-0000-00006B5A0000}"/>
    <cellStyle name="Note 2 9 2 2 6 3 2" xfId="27369" xr:uid="{00000000-0005-0000-0000-00006C5A0000}"/>
    <cellStyle name="Note 2 9 2 2 6 3 3" xfId="38214" xr:uid="{00000000-0005-0000-0000-00006D5A0000}"/>
    <cellStyle name="Note 2 9 2 2 6 4" xfId="11056" xr:uid="{00000000-0005-0000-0000-00006E5A0000}"/>
    <cellStyle name="Note 2 9 2 2 6 4 2" xfId="30028" xr:uid="{00000000-0005-0000-0000-00006F5A0000}"/>
    <cellStyle name="Note 2 9 2 2 6 4 3" xfId="40873" xr:uid="{00000000-0005-0000-0000-0000705A0000}"/>
    <cellStyle name="Note 2 9 2 2 6 5" xfId="21852" xr:uid="{00000000-0005-0000-0000-0000715A0000}"/>
    <cellStyle name="Note 2 9 2 2 6 6" xfId="32697" xr:uid="{00000000-0005-0000-0000-0000725A0000}"/>
    <cellStyle name="Note 2 9 2 2 7" xfId="3564" xr:uid="{00000000-0005-0000-0000-0000735A0000}"/>
    <cellStyle name="Note 2 9 2 2 7 2" xfId="22536" xr:uid="{00000000-0005-0000-0000-0000745A0000}"/>
    <cellStyle name="Note 2 9 2 2 7 3" xfId="33381" xr:uid="{00000000-0005-0000-0000-0000755A0000}"/>
    <cellStyle name="Note 2 9 2 2 8" xfId="6239" xr:uid="{00000000-0005-0000-0000-0000765A0000}"/>
    <cellStyle name="Note 2 9 2 2 8 2" xfId="25211" xr:uid="{00000000-0005-0000-0000-0000775A0000}"/>
    <cellStyle name="Note 2 9 2 2 8 3" xfId="36056" xr:uid="{00000000-0005-0000-0000-0000785A0000}"/>
    <cellStyle name="Note 2 9 2 2 9" xfId="8898" xr:uid="{00000000-0005-0000-0000-0000795A0000}"/>
    <cellStyle name="Note 2 9 2 2 9 2" xfId="27870" xr:uid="{00000000-0005-0000-0000-00007A5A0000}"/>
    <cellStyle name="Note 2 9 2 2 9 3" xfId="38715" xr:uid="{00000000-0005-0000-0000-00007B5A0000}"/>
    <cellStyle name="Note 2 9 2 3" xfId="768" xr:uid="{00000000-0005-0000-0000-00007C5A0000}"/>
    <cellStyle name="Note 2 9 2 3 10" xfId="19753" xr:uid="{00000000-0005-0000-0000-00007D5A0000}"/>
    <cellStyle name="Note 2 9 2 3 11" xfId="30598" xr:uid="{00000000-0005-0000-0000-00007E5A0000}"/>
    <cellStyle name="Note 2 9 2 3 2" xfId="1355" xr:uid="{00000000-0005-0000-0000-00007F5A0000}"/>
    <cellStyle name="Note 2 9 2 3 2 2" xfId="4208" xr:uid="{00000000-0005-0000-0000-0000805A0000}"/>
    <cellStyle name="Note 2 9 2 3 2 2 2" xfId="23180" xr:uid="{00000000-0005-0000-0000-0000815A0000}"/>
    <cellStyle name="Note 2 9 2 3 2 2 3" xfId="34025" xr:uid="{00000000-0005-0000-0000-0000825A0000}"/>
    <cellStyle name="Note 2 9 2 3 2 3" xfId="6881" xr:uid="{00000000-0005-0000-0000-0000835A0000}"/>
    <cellStyle name="Note 2 9 2 3 2 3 2" xfId="25853" xr:uid="{00000000-0005-0000-0000-0000845A0000}"/>
    <cellStyle name="Note 2 9 2 3 2 3 3" xfId="36698" xr:uid="{00000000-0005-0000-0000-0000855A0000}"/>
    <cellStyle name="Note 2 9 2 3 2 4" xfId="9540" xr:uid="{00000000-0005-0000-0000-0000865A0000}"/>
    <cellStyle name="Note 2 9 2 3 2 4 2" xfId="28512" xr:uid="{00000000-0005-0000-0000-0000875A0000}"/>
    <cellStyle name="Note 2 9 2 3 2 4 3" xfId="39357" xr:uid="{00000000-0005-0000-0000-0000885A0000}"/>
    <cellStyle name="Note 2 9 2 3 2 5" xfId="20336" xr:uid="{00000000-0005-0000-0000-0000895A0000}"/>
    <cellStyle name="Note 2 9 2 3 2 6" xfId="31181" xr:uid="{00000000-0005-0000-0000-00008A5A0000}"/>
    <cellStyle name="Note 2 9 2 3 3" xfId="1754" xr:uid="{00000000-0005-0000-0000-00008B5A0000}"/>
    <cellStyle name="Note 2 9 2 3 3 2" xfId="4607" xr:uid="{00000000-0005-0000-0000-00008C5A0000}"/>
    <cellStyle name="Note 2 9 2 3 3 2 2" xfId="23579" xr:uid="{00000000-0005-0000-0000-00008D5A0000}"/>
    <cellStyle name="Note 2 9 2 3 3 2 3" xfId="34424" xr:uid="{00000000-0005-0000-0000-00008E5A0000}"/>
    <cellStyle name="Note 2 9 2 3 3 3" xfId="7279" xr:uid="{00000000-0005-0000-0000-00008F5A0000}"/>
    <cellStyle name="Note 2 9 2 3 3 3 2" xfId="26251" xr:uid="{00000000-0005-0000-0000-0000905A0000}"/>
    <cellStyle name="Note 2 9 2 3 3 3 3" xfId="37096" xr:uid="{00000000-0005-0000-0000-0000915A0000}"/>
    <cellStyle name="Note 2 9 2 3 3 4" xfId="9938" xr:uid="{00000000-0005-0000-0000-0000925A0000}"/>
    <cellStyle name="Note 2 9 2 3 3 4 2" xfId="28910" xr:uid="{00000000-0005-0000-0000-0000935A0000}"/>
    <cellStyle name="Note 2 9 2 3 3 4 3" xfId="39755" xr:uid="{00000000-0005-0000-0000-0000945A0000}"/>
    <cellStyle name="Note 2 9 2 3 3 5" xfId="20734" xr:uid="{00000000-0005-0000-0000-0000955A0000}"/>
    <cellStyle name="Note 2 9 2 3 3 6" xfId="31579" xr:uid="{00000000-0005-0000-0000-0000965A0000}"/>
    <cellStyle name="Note 2 9 2 3 4" xfId="2158" xr:uid="{00000000-0005-0000-0000-0000975A0000}"/>
    <cellStyle name="Note 2 9 2 3 4 2" xfId="5011" xr:uid="{00000000-0005-0000-0000-0000985A0000}"/>
    <cellStyle name="Note 2 9 2 3 4 2 2" xfId="23983" xr:uid="{00000000-0005-0000-0000-0000995A0000}"/>
    <cellStyle name="Note 2 9 2 3 4 2 3" xfId="34828" xr:uid="{00000000-0005-0000-0000-00009A5A0000}"/>
    <cellStyle name="Note 2 9 2 3 4 3" xfId="7682" xr:uid="{00000000-0005-0000-0000-00009B5A0000}"/>
    <cellStyle name="Note 2 9 2 3 4 3 2" xfId="26654" xr:uid="{00000000-0005-0000-0000-00009C5A0000}"/>
    <cellStyle name="Note 2 9 2 3 4 3 3" xfId="37499" xr:uid="{00000000-0005-0000-0000-00009D5A0000}"/>
    <cellStyle name="Note 2 9 2 3 4 4" xfId="10341" xr:uid="{00000000-0005-0000-0000-00009E5A0000}"/>
    <cellStyle name="Note 2 9 2 3 4 4 2" xfId="29313" xr:uid="{00000000-0005-0000-0000-00009F5A0000}"/>
    <cellStyle name="Note 2 9 2 3 4 4 3" xfId="40158" xr:uid="{00000000-0005-0000-0000-0000A05A0000}"/>
    <cellStyle name="Note 2 9 2 3 4 5" xfId="21137" xr:uid="{00000000-0005-0000-0000-0000A15A0000}"/>
    <cellStyle name="Note 2 9 2 3 4 6" xfId="31982" xr:uid="{00000000-0005-0000-0000-0000A25A0000}"/>
    <cellStyle name="Note 2 9 2 3 5" xfId="2548" xr:uid="{00000000-0005-0000-0000-0000A35A0000}"/>
    <cellStyle name="Note 2 9 2 3 5 2" xfId="5400" xr:uid="{00000000-0005-0000-0000-0000A45A0000}"/>
    <cellStyle name="Note 2 9 2 3 5 2 2" xfId="24372" xr:uid="{00000000-0005-0000-0000-0000A55A0000}"/>
    <cellStyle name="Note 2 9 2 3 5 2 3" xfId="35217" xr:uid="{00000000-0005-0000-0000-0000A65A0000}"/>
    <cellStyle name="Note 2 9 2 3 5 3" xfId="8071" xr:uid="{00000000-0005-0000-0000-0000A75A0000}"/>
    <cellStyle name="Note 2 9 2 3 5 3 2" xfId="27043" xr:uid="{00000000-0005-0000-0000-0000A85A0000}"/>
    <cellStyle name="Note 2 9 2 3 5 3 3" xfId="37888" xr:uid="{00000000-0005-0000-0000-0000A95A0000}"/>
    <cellStyle name="Note 2 9 2 3 5 4" xfId="10730" xr:uid="{00000000-0005-0000-0000-0000AA5A0000}"/>
    <cellStyle name="Note 2 9 2 3 5 4 2" xfId="29702" xr:uid="{00000000-0005-0000-0000-0000AB5A0000}"/>
    <cellStyle name="Note 2 9 2 3 5 4 3" xfId="40547" xr:uid="{00000000-0005-0000-0000-0000AC5A0000}"/>
    <cellStyle name="Note 2 9 2 3 5 5" xfId="21526" xr:uid="{00000000-0005-0000-0000-0000AD5A0000}"/>
    <cellStyle name="Note 2 9 2 3 5 6" xfId="32371" xr:uid="{00000000-0005-0000-0000-0000AE5A0000}"/>
    <cellStyle name="Note 2 9 2 3 6" xfId="2934" xr:uid="{00000000-0005-0000-0000-0000AF5A0000}"/>
    <cellStyle name="Note 2 9 2 3 6 2" xfId="5785" xr:uid="{00000000-0005-0000-0000-0000B05A0000}"/>
    <cellStyle name="Note 2 9 2 3 6 2 2" xfId="24757" xr:uid="{00000000-0005-0000-0000-0000B15A0000}"/>
    <cellStyle name="Note 2 9 2 3 6 2 3" xfId="35602" xr:uid="{00000000-0005-0000-0000-0000B25A0000}"/>
    <cellStyle name="Note 2 9 2 3 6 3" xfId="8456" xr:uid="{00000000-0005-0000-0000-0000B35A0000}"/>
    <cellStyle name="Note 2 9 2 3 6 3 2" xfId="27428" xr:uid="{00000000-0005-0000-0000-0000B45A0000}"/>
    <cellStyle name="Note 2 9 2 3 6 3 3" xfId="38273" xr:uid="{00000000-0005-0000-0000-0000B55A0000}"/>
    <cellStyle name="Note 2 9 2 3 6 4" xfId="11115" xr:uid="{00000000-0005-0000-0000-0000B65A0000}"/>
    <cellStyle name="Note 2 9 2 3 6 4 2" xfId="30087" xr:uid="{00000000-0005-0000-0000-0000B75A0000}"/>
    <cellStyle name="Note 2 9 2 3 6 4 3" xfId="40932" xr:uid="{00000000-0005-0000-0000-0000B85A0000}"/>
    <cellStyle name="Note 2 9 2 3 6 5" xfId="21911" xr:uid="{00000000-0005-0000-0000-0000B95A0000}"/>
    <cellStyle name="Note 2 9 2 3 6 6" xfId="32756" xr:uid="{00000000-0005-0000-0000-0000BA5A0000}"/>
    <cellStyle name="Note 2 9 2 3 7" xfId="3623" xr:uid="{00000000-0005-0000-0000-0000BB5A0000}"/>
    <cellStyle name="Note 2 9 2 3 7 2" xfId="22595" xr:uid="{00000000-0005-0000-0000-0000BC5A0000}"/>
    <cellStyle name="Note 2 9 2 3 7 3" xfId="33440" xr:uid="{00000000-0005-0000-0000-0000BD5A0000}"/>
    <cellStyle name="Note 2 9 2 3 8" xfId="6298" xr:uid="{00000000-0005-0000-0000-0000BE5A0000}"/>
    <cellStyle name="Note 2 9 2 3 8 2" xfId="25270" xr:uid="{00000000-0005-0000-0000-0000BF5A0000}"/>
    <cellStyle name="Note 2 9 2 3 8 3" xfId="36115" xr:uid="{00000000-0005-0000-0000-0000C05A0000}"/>
    <cellStyle name="Note 2 9 2 3 9" xfId="8957" xr:uid="{00000000-0005-0000-0000-0000C15A0000}"/>
    <cellStyle name="Note 2 9 2 3 9 2" xfId="27929" xr:uid="{00000000-0005-0000-0000-0000C25A0000}"/>
    <cellStyle name="Note 2 9 2 3 9 3" xfId="38774" xr:uid="{00000000-0005-0000-0000-0000C35A0000}"/>
    <cellStyle name="Note 2 9 2 4" xfId="828" xr:uid="{00000000-0005-0000-0000-0000C45A0000}"/>
    <cellStyle name="Note 2 9 2 4 10" xfId="19813" xr:uid="{00000000-0005-0000-0000-0000C55A0000}"/>
    <cellStyle name="Note 2 9 2 4 11" xfId="30658" xr:uid="{00000000-0005-0000-0000-0000C65A0000}"/>
    <cellStyle name="Note 2 9 2 4 2" xfId="1415" xr:uid="{00000000-0005-0000-0000-0000C75A0000}"/>
    <cellStyle name="Note 2 9 2 4 2 2" xfId="4268" xr:uid="{00000000-0005-0000-0000-0000C85A0000}"/>
    <cellStyle name="Note 2 9 2 4 2 2 2" xfId="23240" xr:uid="{00000000-0005-0000-0000-0000C95A0000}"/>
    <cellStyle name="Note 2 9 2 4 2 2 3" xfId="34085" xr:uid="{00000000-0005-0000-0000-0000CA5A0000}"/>
    <cellStyle name="Note 2 9 2 4 2 3" xfId="6941" xr:uid="{00000000-0005-0000-0000-0000CB5A0000}"/>
    <cellStyle name="Note 2 9 2 4 2 3 2" xfId="25913" xr:uid="{00000000-0005-0000-0000-0000CC5A0000}"/>
    <cellStyle name="Note 2 9 2 4 2 3 3" xfId="36758" xr:uid="{00000000-0005-0000-0000-0000CD5A0000}"/>
    <cellStyle name="Note 2 9 2 4 2 4" xfId="9600" xr:uid="{00000000-0005-0000-0000-0000CE5A0000}"/>
    <cellStyle name="Note 2 9 2 4 2 4 2" xfId="28572" xr:uid="{00000000-0005-0000-0000-0000CF5A0000}"/>
    <cellStyle name="Note 2 9 2 4 2 4 3" xfId="39417" xr:uid="{00000000-0005-0000-0000-0000D05A0000}"/>
    <cellStyle name="Note 2 9 2 4 2 5" xfId="20396" xr:uid="{00000000-0005-0000-0000-0000D15A0000}"/>
    <cellStyle name="Note 2 9 2 4 2 6" xfId="31241" xr:uid="{00000000-0005-0000-0000-0000D25A0000}"/>
    <cellStyle name="Note 2 9 2 4 3" xfId="1814" xr:uid="{00000000-0005-0000-0000-0000D35A0000}"/>
    <cellStyle name="Note 2 9 2 4 3 2" xfId="4667" xr:uid="{00000000-0005-0000-0000-0000D45A0000}"/>
    <cellStyle name="Note 2 9 2 4 3 2 2" xfId="23639" xr:uid="{00000000-0005-0000-0000-0000D55A0000}"/>
    <cellStyle name="Note 2 9 2 4 3 2 3" xfId="34484" xr:uid="{00000000-0005-0000-0000-0000D65A0000}"/>
    <cellStyle name="Note 2 9 2 4 3 3" xfId="7339" xr:uid="{00000000-0005-0000-0000-0000D75A0000}"/>
    <cellStyle name="Note 2 9 2 4 3 3 2" xfId="26311" xr:uid="{00000000-0005-0000-0000-0000D85A0000}"/>
    <cellStyle name="Note 2 9 2 4 3 3 3" xfId="37156" xr:uid="{00000000-0005-0000-0000-0000D95A0000}"/>
    <cellStyle name="Note 2 9 2 4 3 4" xfId="9998" xr:uid="{00000000-0005-0000-0000-0000DA5A0000}"/>
    <cellStyle name="Note 2 9 2 4 3 4 2" xfId="28970" xr:uid="{00000000-0005-0000-0000-0000DB5A0000}"/>
    <cellStyle name="Note 2 9 2 4 3 4 3" xfId="39815" xr:uid="{00000000-0005-0000-0000-0000DC5A0000}"/>
    <cellStyle name="Note 2 9 2 4 3 5" xfId="20794" xr:uid="{00000000-0005-0000-0000-0000DD5A0000}"/>
    <cellStyle name="Note 2 9 2 4 3 6" xfId="31639" xr:uid="{00000000-0005-0000-0000-0000DE5A0000}"/>
    <cellStyle name="Note 2 9 2 4 4" xfId="2218" xr:uid="{00000000-0005-0000-0000-0000DF5A0000}"/>
    <cellStyle name="Note 2 9 2 4 4 2" xfId="5071" xr:uid="{00000000-0005-0000-0000-0000E05A0000}"/>
    <cellStyle name="Note 2 9 2 4 4 2 2" xfId="24043" xr:uid="{00000000-0005-0000-0000-0000E15A0000}"/>
    <cellStyle name="Note 2 9 2 4 4 2 3" xfId="34888" xr:uid="{00000000-0005-0000-0000-0000E25A0000}"/>
    <cellStyle name="Note 2 9 2 4 4 3" xfId="7742" xr:uid="{00000000-0005-0000-0000-0000E35A0000}"/>
    <cellStyle name="Note 2 9 2 4 4 3 2" xfId="26714" xr:uid="{00000000-0005-0000-0000-0000E45A0000}"/>
    <cellStyle name="Note 2 9 2 4 4 3 3" xfId="37559" xr:uid="{00000000-0005-0000-0000-0000E55A0000}"/>
    <cellStyle name="Note 2 9 2 4 4 4" xfId="10401" xr:uid="{00000000-0005-0000-0000-0000E65A0000}"/>
    <cellStyle name="Note 2 9 2 4 4 4 2" xfId="29373" xr:uid="{00000000-0005-0000-0000-0000E75A0000}"/>
    <cellStyle name="Note 2 9 2 4 4 4 3" xfId="40218" xr:uid="{00000000-0005-0000-0000-0000E85A0000}"/>
    <cellStyle name="Note 2 9 2 4 4 5" xfId="21197" xr:uid="{00000000-0005-0000-0000-0000E95A0000}"/>
    <cellStyle name="Note 2 9 2 4 4 6" xfId="32042" xr:uid="{00000000-0005-0000-0000-0000EA5A0000}"/>
    <cellStyle name="Note 2 9 2 4 5" xfId="2608" xr:uid="{00000000-0005-0000-0000-0000EB5A0000}"/>
    <cellStyle name="Note 2 9 2 4 5 2" xfId="5460" xr:uid="{00000000-0005-0000-0000-0000EC5A0000}"/>
    <cellStyle name="Note 2 9 2 4 5 2 2" xfId="24432" xr:uid="{00000000-0005-0000-0000-0000ED5A0000}"/>
    <cellStyle name="Note 2 9 2 4 5 2 3" xfId="35277" xr:uid="{00000000-0005-0000-0000-0000EE5A0000}"/>
    <cellStyle name="Note 2 9 2 4 5 3" xfId="8131" xr:uid="{00000000-0005-0000-0000-0000EF5A0000}"/>
    <cellStyle name="Note 2 9 2 4 5 3 2" xfId="27103" xr:uid="{00000000-0005-0000-0000-0000F05A0000}"/>
    <cellStyle name="Note 2 9 2 4 5 3 3" xfId="37948" xr:uid="{00000000-0005-0000-0000-0000F15A0000}"/>
    <cellStyle name="Note 2 9 2 4 5 4" xfId="10790" xr:uid="{00000000-0005-0000-0000-0000F25A0000}"/>
    <cellStyle name="Note 2 9 2 4 5 4 2" xfId="29762" xr:uid="{00000000-0005-0000-0000-0000F35A0000}"/>
    <cellStyle name="Note 2 9 2 4 5 4 3" xfId="40607" xr:uid="{00000000-0005-0000-0000-0000F45A0000}"/>
    <cellStyle name="Note 2 9 2 4 5 5" xfId="21586" xr:uid="{00000000-0005-0000-0000-0000F55A0000}"/>
    <cellStyle name="Note 2 9 2 4 5 6" xfId="32431" xr:uid="{00000000-0005-0000-0000-0000F65A0000}"/>
    <cellStyle name="Note 2 9 2 4 6" xfId="2994" xr:uid="{00000000-0005-0000-0000-0000F75A0000}"/>
    <cellStyle name="Note 2 9 2 4 6 2" xfId="5845" xr:uid="{00000000-0005-0000-0000-0000F85A0000}"/>
    <cellStyle name="Note 2 9 2 4 6 2 2" xfId="24817" xr:uid="{00000000-0005-0000-0000-0000F95A0000}"/>
    <cellStyle name="Note 2 9 2 4 6 2 3" xfId="35662" xr:uid="{00000000-0005-0000-0000-0000FA5A0000}"/>
    <cellStyle name="Note 2 9 2 4 6 3" xfId="8516" xr:uid="{00000000-0005-0000-0000-0000FB5A0000}"/>
    <cellStyle name="Note 2 9 2 4 6 3 2" xfId="27488" xr:uid="{00000000-0005-0000-0000-0000FC5A0000}"/>
    <cellStyle name="Note 2 9 2 4 6 3 3" xfId="38333" xr:uid="{00000000-0005-0000-0000-0000FD5A0000}"/>
    <cellStyle name="Note 2 9 2 4 6 4" xfId="11175" xr:uid="{00000000-0005-0000-0000-0000FE5A0000}"/>
    <cellStyle name="Note 2 9 2 4 6 4 2" xfId="30147" xr:uid="{00000000-0005-0000-0000-0000FF5A0000}"/>
    <cellStyle name="Note 2 9 2 4 6 4 3" xfId="40992" xr:uid="{00000000-0005-0000-0000-0000005B0000}"/>
    <cellStyle name="Note 2 9 2 4 6 5" xfId="21971" xr:uid="{00000000-0005-0000-0000-0000015B0000}"/>
    <cellStyle name="Note 2 9 2 4 6 6" xfId="32816" xr:uid="{00000000-0005-0000-0000-0000025B0000}"/>
    <cellStyle name="Note 2 9 2 4 7" xfId="3683" xr:uid="{00000000-0005-0000-0000-0000035B0000}"/>
    <cellStyle name="Note 2 9 2 4 7 2" xfId="22655" xr:uid="{00000000-0005-0000-0000-0000045B0000}"/>
    <cellStyle name="Note 2 9 2 4 7 3" xfId="33500" xr:uid="{00000000-0005-0000-0000-0000055B0000}"/>
    <cellStyle name="Note 2 9 2 4 8" xfId="6358" xr:uid="{00000000-0005-0000-0000-0000065B0000}"/>
    <cellStyle name="Note 2 9 2 4 8 2" xfId="25330" xr:uid="{00000000-0005-0000-0000-0000075B0000}"/>
    <cellStyle name="Note 2 9 2 4 8 3" xfId="36175" xr:uid="{00000000-0005-0000-0000-0000085B0000}"/>
    <cellStyle name="Note 2 9 2 4 9" xfId="9017" xr:uid="{00000000-0005-0000-0000-0000095B0000}"/>
    <cellStyle name="Note 2 9 2 4 9 2" xfId="27989" xr:uid="{00000000-0005-0000-0000-00000A5B0000}"/>
    <cellStyle name="Note 2 9 2 4 9 3" xfId="38834" xr:uid="{00000000-0005-0000-0000-00000B5B0000}"/>
    <cellStyle name="Note 2 9 2 5" xfId="887" xr:uid="{00000000-0005-0000-0000-00000C5B0000}"/>
    <cellStyle name="Note 2 9 2 5 10" xfId="19872" xr:uid="{00000000-0005-0000-0000-00000D5B0000}"/>
    <cellStyle name="Note 2 9 2 5 11" xfId="30717" xr:uid="{00000000-0005-0000-0000-00000E5B0000}"/>
    <cellStyle name="Note 2 9 2 5 2" xfId="1474" xr:uid="{00000000-0005-0000-0000-00000F5B0000}"/>
    <cellStyle name="Note 2 9 2 5 2 2" xfId="4327" xr:uid="{00000000-0005-0000-0000-0000105B0000}"/>
    <cellStyle name="Note 2 9 2 5 2 2 2" xfId="23299" xr:uid="{00000000-0005-0000-0000-0000115B0000}"/>
    <cellStyle name="Note 2 9 2 5 2 2 3" xfId="34144" xr:uid="{00000000-0005-0000-0000-0000125B0000}"/>
    <cellStyle name="Note 2 9 2 5 2 3" xfId="7000" xr:uid="{00000000-0005-0000-0000-0000135B0000}"/>
    <cellStyle name="Note 2 9 2 5 2 3 2" xfId="25972" xr:uid="{00000000-0005-0000-0000-0000145B0000}"/>
    <cellStyle name="Note 2 9 2 5 2 3 3" xfId="36817" xr:uid="{00000000-0005-0000-0000-0000155B0000}"/>
    <cellStyle name="Note 2 9 2 5 2 4" xfId="9659" xr:uid="{00000000-0005-0000-0000-0000165B0000}"/>
    <cellStyle name="Note 2 9 2 5 2 4 2" xfId="28631" xr:uid="{00000000-0005-0000-0000-0000175B0000}"/>
    <cellStyle name="Note 2 9 2 5 2 4 3" xfId="39476" xr:uid="{00000000-0005-0000-0000-0000185B0000}"/>
    <cellStyle name="Note 2 9 2 5 2 5" xfId="20455" xr:uid="{00000000-0005-0000-0000-0000195B0000}"/>
    <cellStyle name="Note 2 9 2 5 2 6" xfId="31300" xr:uid="{00000000-0005-0000-0000-00001A5B0000}"/>
    <cellStyle name="Note 2 9 2 5 3" xfId="1873" xr:uid="{00000000-0005-0000-0000-00001B5B0000}"/>
    <cellStyle name="Note 2 9 2 5 3 2" xfId="4726" xr:uid="{00000000-0005-0000-0000-00001C5B0000}"/>
    <cellStyle name="Note 2 9 2 5 3 2 2" xfId="23698" xr:uid="{00000000-0005-0000-0000-00001D5B0000}"/>
    <cellStyle name="Note 2 9 2 5 3 2 3" xfId="34543" xr:uid="{00000000-0005-0000-0000-00001E5B0000}"/>
    <cellStyle name="Note 2 9 2 5 3 3" xfId="7398" xr:uid="{00000000-0005-0000-0000-00001F5B0000}"/>
    <cellStyle name="Note 2 9 2 5 3 3 2" xfId="26370" xr:uid="{00000000-0005-0000-0000-0000205B0000}"/>
    <cellStyle name="Note 2 9 2 5 3 3 3" xfId="37215" xr:uid="{00000000-0005-0000-0000-0000215B0000}"/>
    <cellStyle name="Note 2 9 2 5 3 4" xfId="10057" xr:uid="{00000000-0005-0000-0000-0000225B0000}"/>
    <cellStyle name="Note 2 9 2 5 3 4 2" xfId="29029" xr:uid="{00000000-0005-0000-0000-0000235B0000}"/>
    <cellStyle name="Note 2 9 2 5 3 4 3" xfId="39874" xr:uid="{00000000-0005-0000-0000-0000245B0000}"/>
    <cellStyle name="Note 2 9 2 5 3 5" xfId="20853" xr:uid="{00000000-0005-0000-0000-0000255B0000}"/>
    <cellStyle name="Note 2 9 2 5 3 6" xfId="31698" xr:uid="{00000000-0005-0000-0000-0000265B0000}"/>
    <cellStyle name="Note 2 9 2 5 4" xfId="2277" xr:uid="{00000000-0005-0000-0000-0000275B0000}"/>
    <cellStyle name="Note 2 9 2 5 4 2" xfId="5130" xr:uid="{00000000-0005-0000-0000-0000285B0000}"/>
    <cellStyle name="Note 2 9 2 5 4 2 2" xfId="24102" xr:uid="{00000000-0005-0000-0000-0000295B0000}"/>
    <cellStyle name="Note 2 9 2 5 4 2 3" xfId="34947" xr:uid="{00000000-0005-0000-0000-00002A5B0000}"/>
    <cellStyle name="Note 2 9 2 5 4 3" xfId="7801" xr:uid="{00000000-0005-0000-0000-00002B5B0000}"/>
    <cellStyle name="Note 2 9 2 5 4 3 2" xfId="26773" xr:uid="{00000000-0005-0000-0000-00002C5B0000}"/>
    <cellStyle name="Note 2 9 2 5 4 3 3" xfId="37618" xr:uid="{00000000-0005-0000-0000-00002D5B0000}"/>
    <cellStyle name="Note 2 9 2 5 4 4" xfId="10460" xr:uid="{00000000-0005-0000-0000-00002E5B0000}"/>
    <cellStyle name="Note 2 9 2 5 4 4 2" xfId="29432" xr:uid="{00000000-0005-0000-0000-00002F5B0000}"/>
    <cellStyle name="Note 2 9 2 5 4 4 3" xfId="40277" xr:uid="{00000000-0005-0000-0000-0000305B0000}"/>
    <cellStyle name="Note 2 9 2 5 4 5" xfId="21256" xr:uid="{00000000-0005-0000-0000-0000315B0000}"/>
    <cellStyle name="Note 2 9 2 5 4 6" xfId="32101" xr:uid="{00000000-0005-0000-0000-0000325B0000}"/>
    <cellStyle name="Note 2 9 2 5 5" xfId="2667" xr:uid="{00000000-0005-0000-0000-0000335B0000}"/>
    <cellStyle name="Note 2 9 2 5 5 2" xfId="5519" xr:uid="{00000000-0005-0000-0000-0000345B0000}"/>
    <cellStyle name="Note 2 9 2 5 5 2 2" xfId="24491" xr:uid="{00000000-0005-0000-0000-0000355B0000}"/>
    <cellStyle name="Note 2 9 2 5 5 2 3" xfId="35336" xr:uid="{00000000-0005-0000-0000-0000365B0000}"/>
    <cellStyle name="Note 2 9 2 5 5 3" xfId="8190" xr:uid="{00000000-0005-0000-0000-0000375B0000}"/>
    <cellStyle name="Note 2 9 2 5 5 3 2" xfId="27162" xr:uid="{00000000-0005-0000-0000-0000385B0000}"/>
    <cellStyle name="Note 2 9 2 5 5 3 3" xfId="38007" xr:uid="{00000000-0005-0000-0000-0000395B0000}"/>
    <cellStyle name="Note 2 9 2 5 5 4" xfId="10849" xr:uid="{00000000-0005-0000-0000-00003A5B0000}"/>
    <cellStyle name="Note 2 9 2 5 5 4 2" xfId="29821" xr:uid="{00000000-0005-0000-0000-00003B5B0000}"/>
    <cellStyle name="Note 2 9 2 5 5 4 3" xfId="40666" xr:uid="{00000000-0005-0000-0000-00003C5B0000}"/>
    <cellStyle name="Note 2 9 2 5 5 5" xfId="21645" xr:uid="{00000000-0005-0000-0000-00003D5B0000}"/>
    <cellStyle name="Note 2 9 2 5 5 6" xfId="32490" xr:uid="{00000000-0005-0000-0000-00003E5B0000}"/>
    <cellStyle name="Note 2 9 2 5 6" xfId="3053" xr:uid="{00000000-0005-0000-0000-00003F5B0000}"/>
    <cellStyle name="Note 2 9 2 5 6 2" xfId="5904" xr:uid="{00000000-0005-0000-0000-0000405B0000}"/>
    <cellStyle name="Note 2 9 2 5 6 2 2" xfId="24876" xr:uid="{00000000-0005-0000-0000-0000415B0000}"/>
    <cellStyle name="Note 2 9 2 5 6 2 3" xfId="35721" xr:uid="{00000000-0005-0000-0000-0000425B0000}"/>
    <cellStyle name="Note 2 9 2 5 6 3" xfId="8575" xr:uid="{00000000-0005-0000-0000-0000435B0000}"/>
    <cellStyle name="Note 2 9 2 5 6 3 2" xfId="27547" xr:uid="{00000000-0005-0000-0000-0000445B0000}"/>
    <cellStyle name="Note 2 9 2 5 6 3 3" xfId="38392" xr:uid="{00000000-0005-0000-0000-0000455B0000}"/>
    <cellStyle name="Note 2 9 2 5 6 4" xfId="11234" xr:uid="{00000000-0005-0000-0000-0000465B0000}"/>
    <cellStyle name="Note 2 9 2 5 6 4 2" xfId="30206" xr:uid="{00000000-0005-0000-0000-0000475B0000}"/>
    <cellStyle name="Note 2 9 2 5 6 4 3" xfId="41051" xr:uid="{00000000-0005-0000-0000-0000485B0000}"/>
    <cellStyle name="Note 2 9 2 5 6 5" xfId="22030" xr:uid="{00000000-0005-0000-0000-0000495B0000}"/>
    <cellStyle name="Note 2 9 2 5 6 6" xfId="32875" xr:uid="{00000000-0005-0000-0000-00004A5B0000}"/>
    <cellStyle name="Note 2 9 2 5 7" xfId="3742" xr:uid="{00000000-0005-0000-0000-00004B5B0000}"/>
    <cellStyle name="Note 2 9 2 5 7 2" xfId="22714" xr:uid="{00000000-0005-0000-0000-00004C5B0000}"/>
    <cellStyle name="Note 2 9 2 5 7 3" xfId="33559" xr:uid="{00000000-0005-0000-0000-00004D5B0000}"/>
    <cellStyle name="Note 2 9 2 5 8" xfId="6417" xr:uid="{00000000-0005-0000-0000-00004E5B0000}"/>
    <cellStyle name="Note 2 9 2 5 8 2" xfId="25389" xr:uid="{00000000-0005-0000-0000-00004F5B0000}"/>
    <cellStyle name="Note 2 9 2 5 8 3" xfId="36234" xr:uid="{00000000-0005-0000-0000-0000505B0000}"/>
    <cellStyle name="Note 2 9 2 5 9" xfId="9076" xr:uid="{00000000-0005-0000-0000-0000515B0000}"/>
    <cellStyle name="Note 2 9 2 5 9 2" xfId="28048" xr:uid="{00000000-0005-0000-0000-0000525B0000}"/>
    <cellStyle name="Note 2 9 2 5 9 3" xfId="38893" xr:uid="{00000000-0005-0000-0000-0000535B0000}"/>
    <cellStyle name="Note 2 9 2 6" xfId="1113" xr:uid="{00000000-0005-0000-0000-0000545B0000}"/>
    <cellStyle name="Note 2 9 2 6 2" xfId="3966" xr:uid="{00000000-0005-0000-0000-0000555B0000}"/>
    <cellStyle name="Note 2 9 2 6 2 2" xfId="22938" xr:uid="{00000000-0005-0000-0000-0000565B0000}"/>
    <cellStyle name="Note 2 9 2 6 2 3" xfId="33783" xr:uid="{00000000-0005-0000-0000-0000575B0000}"/>
    <cellStyle name="Note 2 9 2 6 3" xfId="6640" xr:uid="{00000000-0005-0000-0000-0000585B0000}"/>
    <cellStyle name="Note 2 9 2 6 3 2" xfId="25612" xr:uid="{00000000-0005-0000-0000-0000595B0000}"/>
    <cellStyle name="Note 2 9 2 6 3 3" xfId="36457" xr:uid="{00000000-0005-0000-0000-00005A5B0000}"/>
    <cellStyle name="Note 2 9 2 6 4" xfId="9299" xr:uid="{00000000-0005-0000-0000-00005B5B0000}"/>
    <cellStyle name="Note 2 9 2 6 4 2" xfId="28271" xr:uid="{00000000-0005-0000-0000-00005C5B0000}"/>
    <cellStyle name="Note 2 9 2 6 4 3" xfId="39116" xr:uid="{00000000-0005-0000-0000-00005D5B0000}"/>
    <cellStyle name="Note 2 9 2 6 5" xfId="20095" xr:uid="{00000000-0005-0000-0000-00005E5B0000}"/>
    <cellStyle name="Note 2 9 2 6 6" xfId="30940" xr:uid="{00000000-0005-0000-0000-00005F5B0000}"/>
    <cellStyle name="Note 2 9 2 7" xfId="1511" xr:uid="{00000000-0005-0000-0000-0000605B0000}"/>
    <cellStyle name="Note 2 9 2 7 2" xfId="4364" xr:uid="{00000000-0005-0000-0000-0000615B0000}"/>
    <cellStyle name="Note 2 9 2 7 2 2" xfId="23336" xr:uid="{00000000-0005-0000-0000-0000625B0000}"/>
    <cellStyle name="Note 2 9 2 7 2 3" xfId="34181" xr:uid="{00000000-0005-0000-0000-0000635B0000}"/>
    <cellStyle name="Note 2 9 2 7 3" xfId="7037" xr:uid="{00000000-0005-0000-0000-0000645B0000}"/>
    <cellStyle name="Note 2 9 2 7 3 2" xfId="26009" xr:uid="{00000000-0005-0000-0000-0000655B0000}"/>
    <cellStyle name="Note 2 9 2 7 3 3" xfId="36854" xr:uid="{00000000-0005-0000-0000-0000665B0000}"/>
    <cellStyle name="Note 2 9 2 7 4" xfId="9696" xr:uid="{00000000-0005-0000-0000-0000675B0000}"/>
    <cellStyle name="Note 2 9 2 7 4 2" xfId="28668" xr:uid="{00000000-0005-0000-0000-0000685B0000}"/>
    <cellStyle name="Note 2 9 2 7 4 3" xfId="39513" xr:uid="{00000000-0005-0000-0000-0000695B0000}"/>
    <cellStyle name="Note 2 9 2 7 5" xfId="20492" xr:uid="{00000000-0005-0000-0000-00006A5B0000}"/>
    <cellStyle name="Note 2 9 2 7 6" xfId="31337" xr:uid="{00000000-0005-0000-0000-00006B5B0000}"/>
    <cellStyle name="Note 2 9 2 8" xfId="1918" xr:uid="{00000000-0005-0000-0000-00006C5B0000}"/>
    <cellStyle name="Note 2 9 2 8 2" xfId="4771" xr:uid="{00000000-0005-0000-0000-00006D5B0000}"/>
    <cellStyle name="Note 2 9 2 8 2 2" xfId="23743" xr:uid="{00000000-0005-0000-0000-00006E5B0000}"/>
    <cellStyle name="Note 2 9 2 8 2 3" xfId="34588" xr:uid="{00000000-0005-0000-0000-00006F5B0000}"/>
    <cellStyle name="Note 2 9 2 8 3" xfId="7443" xr:uid="{00000000-0005-0000-0000-0000705B0000}"/>
    <cellStyle name="Note 2 9 2 8 3 2" xfId="26415" xr:uid="{00000000-0005-0000-0000-0000715B0000}"/>
    <cellStyle name="Note 2 9 2 8 3 3" xfId="37260" xr:uid="{00000000-0005-0000-0000-0000725B0000}"/>
    <cellStyle name="Note 2 9 2 8 4" xfId="10102" xr:uid="{00000000-0005-0000-0000-0000735B0000}"/>
    <cellStyle name="Note 2 9 2 8 4 2" xfId="29074" xr:uid="{00000000-0005-0000-0000-0000745B0000}"/>
    <cellStyle name="Note 2 9 2 8 4 3" xfId="39919" xr:uid="{00000000-0005-0000-0000-0000755B0000}"/>
    <cellStyle name="Note 2 9 2 8 5" xfId="20898" xr:uid="{00000000-0005-0000-0000-0000765B0000}"/>
    <cellStyle name="Note 2 9 2 8 6" xfId="31743" xr:uid="{00000000-0005-0000-0000-0000775B0000}"/>
    <cellStyle name="Note 2 9 2 9" xfId="2312" xr:uid="{00000000-0005-0000-0000-0000785B0000}"/>
    <cellStyle name="Note 2 9 2 9 2" xfId="5165" xr:uid="{00000000-0005-0000-0000-0000795B0000}"/>
    <cellStyle name="Note 2 9 2 9 2 2" xfId="24137" xr:uid="{00000000-0005-0000-0000-00007A5B0000}"/>
    <cellStyle name="Note 2 9 2 9 2 3" xfId="34982" xr:uid="{00000000-0005-0000-0000-00007B5B0000}"/>
    <cellStyle name="Note 2 9 2 9 3" xfId="7836" xr:uid="{00000000-0005-0000-0000-00007C5B0000}"/>
    <cellStyle name="Note 2 9 2 9 3 2" xfId="26808" xr:uid="{00000000-0005-0000-0000-00007D5B0000}"/>
    <cellStyle name="Note 2 9 2 9 3 3" xfId="37653" xr:uid="{00000000-0005-0000-0000-00007E5B0000}"/>
    <cellStyle name="Note 2 9 2 9 4" xfId="10495" xr:uid="{00000000-0005-0000-0000-00007F5B0000}"/>
    <cellStyle name="Note 2 9 2 9 4 2" xfId="29467" xr:uid="{00000000-0005-0000-0000-0000805B0000}"/>
    <cellStyle name="Note 2 9 2 9 4 3" xfId="40312" xr:uid="{00000000-0005-0000-0000-0000815B0000}"/>
    <cellStyle name="Note 2 9 2 9 5" xfId="21291" xr:uid="{00000000-0005-0000-0000-0000825B0000}"/>
    <cellStyle name="Note 2 9 2 9 6" xfId="32136" xr:uid="{00000000-0005-0000-0000-0000835B0000}"/>
    <cellStyle name="Note 2 9 3" xfId="594" xr:uid="{00000000-0005-0000-0000-0000845B0000}"/>
    <cellStyle name="Note 2 9 3 10" xfId="19604" xr:uid="{00000000-0005-0000-0000-0000855B0000}"/>
    <cellStyle name="Note 2 9 3 11" xfId="30449" xr:uid="{00000000-0005-0000-0000-0000865B0000}"/>
    <cellStyle name="Note 2 9 3 2" xfId="1200" xr:uid="{00000000-0005-0000-0000-0000875B0000}"/>
    <cellStyle name="Note 2 9 3 2 2" xfId="4053" xr:uid="{00000000-0005-0000-0000-0000885B0000}"/>
    <cellStyle name="Note 2 9 3 2 2 2" xfId="23025" xr:uid="{00000000-0005-0000-0000-0000895B0000}"/>
    <cellStyle name="Note 2 9 3 2 2 3" xfId="33870" xr:uid="{00000000-0005-0000-0000-00008A5B0000}"/>
    <cellStyle name="Note 2 9 3 2 3" xfId="6726" xr:uid="{00000000-0005-0000-0000-00008B5B0000}"/>
    <cellStyle name="Note 2 9 3 2 3 2" xfId="25698" xr:uid="{00000000-0005-0000-0000-00008C5B0000}"/>
    <cellStyle name="Note 2 9 3 2 3 3" xfId="36543" xr:uid="{00000000-0005-0000-0000-00008D5B0000}"/>
    <cellStyle name="Note 2 9 3 2 4" xfId="9385" xr:uid="{00000000-0005-0000-0000-00008E5B0000}"/>
    <cellStyle name="Note 2 9 3 2 4 2" xfId="28357" xr:uid="{00000000-0005-0000-0000-00008F5B0000}"/>
    <cellStyle name="Note 2 9 3 2 4 3" xfId="39202" xr:uid="{00000000-0005-0000-0000-0000905B0000}"/>
    <cellStyle name="Note 2 9 3 2 5" xfId="20181" xr:uid="{00000000-0005-0000-0000-0000915B0000}"/>
    <cellStyle name="Note 2 9 3 2 6" xfId="31026" xr:uid="{00000000-0005-0000-0000-0000925B0000}"/>
    <cellStyle name="Note 2 9 3 3" xfId="1597" xr:uid="{00000000-0005-0000-0000-0000935B0000}"/>
    <cellStyle name="Note 2 9 3 3 2" xfId="4450" xr:uid="{00000000-0005-0000-0000-0000945B0000}"/>
    <cellStyle name="Note 2 9 3 3 2 2" xfId="23422" xr:uid="{00000000-0005-0000-0000-0000955B0000}"/>
    <cellStyle name="Note 2 9 3 3 2 3" xfId="34267" xr:uid="{00000000-0005-0000-0000-0000965B0000}"/>
    <cellStyle name="Note 2 9 3 3 3" xfId="7122" xr:uid="{00000000-0005-0000-0000-0000975B0000}"/>
    <cellStyle name="Note 2 9 3 3 3 2" xfId="26094" xr:uid="{00000000-0005-0000-0000-0000985B0000}"/>
    <cellStyle name="Note 2 9 3 3 3 3" xfId="36939" xr:uid="{00000000-0005-0000-0000-0000995B0000}"/>
    <cellStyle name="Note 2 9 3 3 4" xfId="9781" xr:uid="{00000000-0005-0000-0000-00009A5B0000}"/>
    <cellStyle name="Note 2 9 3 3 4 2" xfId="28753" xr:uid="{00000000-0005-0000-0000-00009B5B0000}"/>
    <cellStyle name="Note 2 9 3 3 4 3" xfId="39598" xr:uid="{00000000-0005-0000-0000-00009C5B0000}"/>
    <cellStyle name="Note 2 9 3 3 5" xfId="20577" xr:uid="{00000000-0005-0000-0000-00009D5B0000}"/>
    <cellStyle name="Note 2 9 3 3 6" xfId="31422" xr:uid="{00000000-0005-0000-0000-00009E5B0000}"/>
    <cellStyle name="Note 2 9 3 4" xfId="2001" xr:uid="{00000000-0005-0000-0000-00009F5B0000}"/>
    <cellStyle name="Note 2 9 3 4 2" xfId="4854" xr:uid="{00000000-0005-0000-0000-0000A05B0000}"/>
    <cellStyle name="Note 2 9 3 4 2 2" xfId="23826" xr:uid="{00000000-0005-0000-0000-0000A15B0000}"/>
    <cellStyle name="Note 2 9 3 4 2 3" xfId="34671" xr:uid="{00000000-0005-0000-0000-0000A25B0000}"/>
    <cellStyle name="Note 2 9 3 4 3" xfId="7526" xr:uid="{00000000-0005-0000-0000-0000A35B0000}"/>
    <cellStyle name="Note 2 9 3 4 3 2" xfId="26498" xr:uid="{00000000-0005-0000-0000-0000A45B0000}"/>
    <cellStyle name="Note 2 9 3 4 3 3" xfId="37343" xr:uid="{00000000-0005-0000-0000-0000A55B0000}"/>
    <cellStyle name="Note 2 9 3 4 4" xfId="10185" xr:uid="{00000000-0005-0000-0000-0000A65B0000}"/>
    <cellStyle name="Note 2 9 3 4 4 2" xfId="29157" xr:uid="{00000000-0005-0000-0000-0000A75B0000}"/>
    <cellStyle name="Note 2 9 3 4 4 3" xfId="40002" xr:uid="{00000000-0005-0000-0000-0000A85B0000}"/>
    <cellStyle name="Note 2 9 3 4 5" xfId="20981" xr:uid="{00000000-0005-0000-0000-0000A95B0000}"/>
    <cellStyle name="Note 2 9 3 4 6" xfId="31826" xr:uid="{00000000-0005-0000-0000-0000AA5B0000}"/>
    <cellStyle name="Note 2 9 3 5" xfId="2393" xr:uid="{00000000-0005-0000-0000-0000AB5B0000}"/>
    <cellStyle name="Note 2 9 3 5 2" xfId="5246" xr:uid="{00000000-0005-0000-0000-0000AC5B0000}"/>
    <cellStyle name="Note 2 9 3 5 2 2" xfId="24218" xr:uid="{00000000-0005-0000-0000-0000AD5B0000}"/>
    <cellStyle name="Note 2 9 3 5 2 3" xfId="35063" xr:uid="{00000000-0005-0000-0000-0000AE5B0000}"/>
    <cellStyle name="Note 2 9 3 5 3" xfId="7917" xr:uid="{00000000-0005-0000-0000-0000AF5B0000}"/>
    <cellStyle name="Note 2 9 3 5 3 2" xfId="26889" xr:uid="{00000000-0005-0000-0000-0000B05B0000}"/>
    <cellStyle name="Note 2 9 3 5 3 3" xfId="37734" xr:uid="{00000000-0005-0000-0000-0000B15B0000}"/>
    <cellStyle name="Note 2 9 3 5 4" xfId="10576" xr:uid="{00000000-0005-0000-0000-0000B25B0000}"/>
    <cellStyle name="Note 2 9 3 5 4 2" xfId="29548" xr:uid="{00000000-0005-0000-0000-0000B35B0000}"/>
    <cellStyle name="Note 2 9 3 5 4 3" xfId="40393" xr:uid="{00000000-0005-0000-0000-0000B45B0000}"/>
    <cellStyle name="Note 2 9 3 5 5" xfId="21372" xr:uid="{00000000-0005-0000-0000-0000B55B0000}"/>
    <cellStyle name="Note 2 9 3 5 6" xfId="32217" xr:uid="{00000000-0005-0000-0000-0000B65B0000}"/>
    <cellStyle name="Note 2 9 3 6" xfId="2782" xr:uid="{00000000-0005-0000-0000-0000B75B0000}"/>
    <cellStyle name="Note 2 9 3 6 2" xfId="5634" xr:uid="{00000000-0005-0000-0000-0000B85B0000}"/>
    <cellStyle name="Note 2 9 3 6 2 2" xfId="24606" xr:uid="{00000000-0005-0000-0000-0000B95B0000}"/>
    <cellStyle name="Note 2 9 3 6 2 3" xfId="35451" xr:uid="{00000000-0005-0000-0000-0000BA5B0000}"/>
    <cellStyle name="Note 2 9 3 6 3" xfId="8305" xr:uid="{00000000-0005-0000-0000-0000BB5B0000}"/>
    <cellStyle name="Note 2 9 3 6 3 2" xfId="27277" xr:uid="{00000000-0005-0000-0000-0000BC5B0000}"/>
    <cellStyle name="Note 2 9 3 6 3 3" xfId="38122" xr:uid="{00000000-0005-0000-0000-0000BD5B0000}"/>
    <cellStyle name="Note 2 9 3 6 4" xfId="10964" xr:uid="{00000000-0005-0000-0000-0000BE5B0000}"/>
    <cellStyle name="Note 2 9 3 6 4 2" xfId="29936" xr:uid="{00000000-0005-0000-0000-0000BF5B0000}"/>
    <cellStyle name="Note 2 9 3 6 4 3" xfId="40781" xr:uid="{00000000-0005-0000-0000-0000C05B0000}"/>
    <cellStyle name="Note 2 9 3 6 5" xfId="21760" xr:uid="{00000000-0005-0000-0000-0000C15B0000}"/>
    <cellStyle name="Note 2 9 3 6 6" xfId="32605" xr:uid="{00000000-0005-0000-0000-0000C25B0000}"/>
    <cellStyle name="Note 2 9 3 7" xfId="3473" xr:uid="{00000000-0005-0000-0000-0000C35B0000}"/>
    <cellStyle name="Note 2 9 3 7 2" xfId="22445" xr:uid="{00000000-0005-0000-0000-0000C45B0000}"/>
    <cellStyle name="Note 2 9 3 7 3" xfId="33290" xr:uid="{00000000-0005-0000-0000-0000C55B0000}"/>
    <cellStyle name="Note 2 9 3 8" xfId="6149" xr:uid="{00000000-0005-0000-0000-0000C65B0000}"/>
    <cellStyle name="Note 2 9 3 8 2" xfId="25121" xr:uid="{00000000-0005-0000-0000-0000C75B0000}"/>
    <cellStyle name="Note 2 9 3 8 3" xfId="35966" xr:uid="{00000000-0005-0000-0000-0000C85B0000}"/>
    <cellStyle name="Note 2 9 3 9" xfId="8808" xr:uid="{00000000-0005-0000-0000-0000C95B0000}"/>
    <cellStyle name="Note 2 9 3 9 2" xfId="27780" xr:uid="{00000000-0005-0000-0000-0000CA5B0000}"/>
    <cellStyle name="Note 2 9 3 9 3" xfId="38625" xr:uid="{00000000-0005-0000-0000-0000CB5B0000}"/>
    <cellStyle name="Note 2_2012 AR ELEC BCR Eval Eval - 012913" xfId="134" xr:uid="{00000000-0005-0000-0000-0000CC5B0000}"/>
    <cellStyle name="Note 3" xfId="135" xr:uid="{00000000-0005-0000-0000-0000CD5B0000}"/>
    <cellStyle name="Note 3 2" xfId="386" xr:uid="{00000000-0005-0000-0000-0000CE5B0000}"/>
    <cellStyle name="Note 3 2 10" xfId="960" xr:uid="{00000000-0005-0000-0000-0000CF5B0000}"/>
    <cellStyle name="Note 3 2 10 2" xfId="3813" xr:uid="{00000000-0005-0000-0000-0000D05B0000}"/>
    <cellStyle name="Note 3 2 10 2 2" xfId="22785" xr:uid="{00000000-0005-0000-0000-0000D15B0000}"/>
    <cellStyle name="Note 3 2 10 2 3" xfId="33630" xr:uid="{00000000-0005-0000-0000-0000D25B0000}"/>
    <cellStyle name="Note 3 2 10 3" xfId="6488" xr:uid="{00000000-0005-0000-0000-0000D35B0000}"/>
    <cellStyle name="Note 3 2 10 3 2" xfId="25460" xr:uid="{00000000-0005-0000-0000-0000D45B0000}"/>
    <cellStyle name="Note 3 2 10 3 3" xfId="36305" xr:uid="{00000000-0005-0000-0000-0000D55B0000}"/>
    <cellStyle name="Note 3 2 10 4" xfId="9147" xr:uid="{00000000-0005-0000-0000-0000D65B0000}"/>
    <cellStyle name="Note 3 2 10 4 2" xfId="28119" xr:uid="{00000000-0005-0000-0000-0000D75B0000}"/>
    <cellStyle name="Note 3 2 10 4 3" xfId="38964" xr:uid="{00000000-0005-0000-0000-0000D85B0000}"/>
    <cellStyle name="Note 3 2 10 5" xfId="19943" xr:uid="{00000000-0005-0000-0000-0000D95B0000}"/>
    <cellStyle name="Note 3 2 10 6" xfId="30788" xr:uid="{00000000-0005-0000-0000-0000DA5B0000}"/>
    <cellStyle name="Note 3 2 11" xfId="1037" xr:uid="{00000000-0005-0000-0000-0000DB5B0000}"/>
    <cellStyle name="Note 3 2 11 2" xfId="3890" xr:uid="{00000000-0005-0000-0000-0000DC5B0000}"/>
    <cellStyle name="Note 3 2 11 2 2" xfId="22862" xr:uid="{00000000-0005-0000-0000-0000DD5B0000}"/>
    <cellStyle name="Note 3 2 11 2 3" xfId="33707" xr:uid="{00000000-0005-0000-0000-0000DE5B0000}"/>
    <cellStyle name="Note 3 2 11 3" xfId="6564" xr:uid="{00000000-0005-0000-0000-0000DF5B0000}"/>
    <cellStyle name="Note 3 2 11 3 2" xfId="25536" xr:uid="{00000000-0005-0000-0000-0000E05B0000}"/>
    <cellStyle name="Note 3 2 11 3 3" xfId="36381" xr:uid="{00000000-0005-0000-0000-0000E15B0000}"/>
    <cellStyle name="Note 3 2 11 4" xfId="9223" xr:uid="{00000000-0005-0000-0000-0000E25B0000}"/>
    <cellStyle name="Note 3 2 11 4 2" xfId="28195" xr:uid="{00000000-0005-0000-0000-0000E35B0000}"/>
    <cellStyle name="Note 3 2 11 4 3" xfId="39040" xr:uid="{00000000-0005-0000-0000-0000E45B0000}"/>
    <cellStyle name="Note 3 2 11 5" xfId="20019" xr:uid="{00000000-0005-0000-0000-0000E55B0000}"/>
    <cellStyle name="Note 3 2 11 6" xfId="30864" xr:uid="{00000000-0005-0000-0000-0000E65B0000}"/>
    <cellStyle name="Note 3 2 12" xfId="3121" xr:uid="{00000000-0005-0000-0000-0000E75B0000}"/>
    <cellStyle name="Note 3 2 12 2" xfId="5972" xr:uid="{00000000-0005-0000-0000-0000E85B0000}"/>
    <cellStyle name="Note 3 2 12 2 2" xfId="24944" xr:uid="{00000000-0005-0000-0000-0000E95B0000}"/>
    <cellStyle name="Note 3 2 12 2 3" xfId="35789" xr:uid="{00000000-0005-0000-0000-0000EA5B0000}"/>
    <cellStyle name="Note 3 2 12 3" xfId="8643" xr:uid="{00000000-0005-0000-0000-0000EB5B0000}"/>
    <cellStyle name="Note 3 2 12 3 2" xfId="27615" xr:uid="{00000000-0005-0000-0000-0000EC5B0000}"/>
    <cellStyle name="Note 3 2 12 3 3" xfId="38460" xr:uid="{00000000-0005-0000-0000-0000ED5B0000}"/>
    <cellStyle name="Note 3 2 12 4" xfId="11302" xr:uid="{00000000-0005-0000-0000-0000EE5B0000}"/>
    <cellStyle name="Note 3 2 12 4 2" xfId="30274" xr:uid="{00000000-0005-0000-0000-0000EF5B0000}"/>
    <cellStyle name="Note 3 2 12 4 3" xfId="41119" xr:uid="{00000000-0005-0000-0000-0000F05B0000}"/>
    <cellStyle name="Note 3 2 12 5" xfId="22098" xr:uid="{00000000-0005-0000-0000-0000F15B0000}"/>
    <cellStyle name="Note 3 2 12 6" xfId="32943" xr:uid="{00000000-0005-0000-0000-0000F25B0000}"/>
    <cellStyle name="Note 3 2 13" xfId="3178" xr:uid="{00000000-0005-0000-0000-0000F35B0000}"/>
    <cellStyle name="Note 3 2 13 2" xfId="6029" xr:uid="{00000000-0005-0000-0000-0000F45B0000}"/>
    <cellStyle name="Note 3 2 13 2 2" xfId="25001" xr:uid="{00000000-0005-0000-0000-0000F55B0000}"/>
    <cellStyle name="Note 3 2 13 2 3" xfId="35846" xr:uid="{00000000-0005-0000-0000-0000F65B0000}"/>
    <cellStyle name="Note 3 2 13 3" xfId="8700" xr:uid="{00000000-0005-0000-0000-0000F75B0000}"/>
    <cellStyle name="Note 3 2 13 3 2" xfId="27672" xr:uid="{00000000-0005-0000-0000-0000F85B0000}"/>
    <cellStyle name="Note 3 2 13 3 3" xfId="38517" xr:uid="{00000000-0005-0000-0000-0000F95B0000}"/>
    <cellStyle name="Note 3 2 13 4" xfId="11359" xr:uid="{00000000-0005-0000-0000-0000FA5B0000}"/>
    <cellStyle name="Note 3 2 13 4 2" xfId="30331" xr:uid="{00000000-0005-0000-0000-0000FB5B0000}"/>
    <cellStyle name="Note 3 2 13 4 3" xfId="41176" xr:uid="{00000000-0005-0000-0000-0000FC5B0000}"/>
    <cellStyle name="Note 3 2 13 5" xfId="22155" xr:uid="{00000000-0005-0000-0000-0000FD5B0000}"/>
    <cellStyle name="Note 3 2 13 6" xfId="33000" xr:uid="{00000000-0005-0000-0000-0000FE5B0000}"/>
    <cellStyle name="Note 3 2 14" xfId="3344" xr:uid="{00000000-0005-0000-0000-0000FF5B0000}"/>
    <cellStyle name="Note 3 2 14 2" xfId="22318" xr:uid="{00000000-0005-0000-0000-0000005C0000}"/>
    <cellStyle name="Note 3 2 14 3" xfId="33163" xr:uid="{00000000-0005-0000-0000-0000015C0000}"/>
    <cellStyle name="Note 3 2 15" xfId="3231" xr:uid="{00000000-0005-0000-0000-0000025C0000}"/>
    <cellStyle name="Note 3 2 15 2" xfId="22208" xr:uid="{00000000-0005-0000-0000-0000035C0000}"/>
    <cellStyle name="Note 3 2 15 3" xfId="33053" xr:uid="{00000000-0005-0000-0000-0000045C0000}"/>
    <cellStyle name="Note 3 2 16" xfId="6075" xr:uid="{00000000-0005-0000-0000-0000055C0000}"/>
    <cellStyle name="Note 3 2 16 2" xfId="25047" xr:uid="{00000000-0005-0000-0000-0000065C0000}"/>
    <cellStyle name="Note 3 2 16 3" xfId="35892" xr:uid="{00000000-0005-0000-0000-0000075C0000}"/>
    <cellStyle name="Note 3 2 17" xfId="19475" xr:uid="{00000000-0005-0000-0000-0000085C0000}"/>
    <cellStyle name="Note 3 2 18" xfId="19520" xr:uid="{00000000-0005-0000-0000-0000095C0000}"/>
    <cellStyle name="Note 3 2 2" xfId="686" xr:uid="{00000000-0005-0000-0000-00000A5C0000}"/>
    <cellStyle name="Note 3 2 2 10" xfId="19671" xr:uid="{00000000-0005-0000-0000-00000B5C0000}"/>
    <cellStyle name="Note 3 2 2 11" xfId="30516" xr:uid="{00000000-0005-0000-0000-00000C5C0000}"/>
    <cellStyle name="Note 3 2 2 2" xfId="1273" xr:uid="{00000000-0005-0000-0000-00000D5C0000}"/>
    <cellStyle name="Note 3 2 2 2 2" xfId="4126" xr:uid="{00000000-0005-0000-0000-00000E5C0000}"/>
    <cellStyle name="Note 3 2 2 2 2 2" xfId="23098" xr:uid="{00000000-0005-0000-0000-00000F5C0000}"/>
    <cellStyle name="Note 3 2 2 2 2 3" xfId="33943" xr:uid="{00000000-0005-0000-0000-0000105C0000}"/>
    <cellStyle name="Note 3 2 2 2 3" xfId="6799" xr:uid="{00000000-0005-0000-0000-0000115C0000}"/>
    <cellStyle name="Note 3 2 2 2 3 2" xfId="25771" xr:uid="{00000000-0005-0000-0000-0000125C0000}"/>
    <cellStyle name="Note 3 2 2 2 3 3" xfId="36616" xr:uid="{00000000-0005-0000-0000-0000135C0000}"/>
    <cellStyle name="Note 3 2 2 2 4" xfId="9458" xr:uid="{00000000-0005-0000-0000-0000145C0000}"/>
    <cellStyle name="Note 3 2 2 2 4 2" xfId="28430" xr:uid="{00000000-0005-0000-0000-0000155C0000}"/>
    <cellStyle name="Note 3 2 2 2 4 3" xfId="39275" xr:uid="{00000000-0005-0000-0000-0000165C0000}"/>
    <cellStyle name="Note 3 2 2 2 5" xfId="20254" xr:uid="{00000000-0005-0000-0000-0000175C0000}"/>
    <cellStyle name="Note 3 2 2 2 6" xfId="31099" xr:uid="{00000000-0005-0000-0000-0000185C0000}"/>
    <cellStyle name="Note 3 2 2 3" xfId="1672" xr:uid="{00000000-0005-0000-0000-0000195C0000}"/>
    <cellStyle name="Note 3 2 2 3 2" xfId="4525" xr:uid="{00000000-0005-0000-0000-00001A5C0000}"/>
    <cellStyle name="Note 3 2 2 3 2 2" xfId="23497" xr:uid="{00000000-0005-0000-0000-00001B5C0000}"/>
    <cellStyle name="Note 3 2 2 3 2 3" xfId="34342" xr:uid="{00000000-0005-0000-0000-00001C5C0000}"/>
    <cellStyle name="Note 3 2 2 3 3" xfId="7197" xr:uid="{00000000-0005-0000-0000-00001D5C0000}"/>
    <cellStyle name="Note 3 2 2 3 3 2" xfId="26169" xr:uid="{00000000-0005-0000-0000-00001E5C0000}"/>
    <cellStyle name="Note 3 2 2 3 3 3" xfId="37014" xr:uid="{00000000-0005-0000-0000-00001F5C0000}"/>
    <cellStyle name="Note 3 2 2 3 4" xfId="9856" xr:uid="{00000000-0005-0000-0000-0000205C0000}"/>
    <cellStyle name="Note 3 2 2 3 4 2" xfId="28828" xr:uid="{00000000-0005-0000-0000-0000215C0000}"/>
    <cellStyle name="Note 3 2 2 3 4 3" xfId="39673" xr:uid="{00000000-0005-0000-0000-0000225C0000}"/>
    <cellStyle name="Note 3 2 2 3 5" xfId="20652" xr:uid="{00000000-0005-0000-0000-0000235C0000}"/>
    <cellStyle name="Note 3 2 2 3 6" xfId="31497" xr:uid="{00000000-0005-0000-0000-0000245C0000}"/>
    <cellStyle name="Note 3 2 2 4" xfId="2076" xr:uid="{00000000-0005-0000-0000-0000255C0000}"/>
    <cellStyle name="Note 3 2 2 4 2" xfId="4929" xr:uid="{00000000-0005-0000-0000-0000265C0000}"/>
    <cellStyle name="Note 3 2 2 4 2 2" xfId="23901" xr:uid="{00000000-0005-0000-0000-0000275C0000}"/>
    <cellStyle name="Note 3 2 2 4 2 3" xfId="34746" xr:uid="{00000000-0005-0000-0000-0000285C0000}"/>
    <cellStyle name="Note 3 2 2 4 3" xfId="7600" xr:uid="{00000000-0005-0000-0000-0000295C0000}"/>
    <cellStyle name="Note 3 2 2 4 3 2" xfId="26572" xr:uid="{00000000-0005-0000-0000-00002A5C0000}"/>
    <cellStyle name="Note 3 2 2 4 3 3" xfId="37417" xr:uid="{00000000-0005-0000-0000-00002B5C0000}"/>
    <cellStyle name="Note 3 2 2 4 4" xfId="10259" xr:uid="{00000000-0005-0000-0000-00002C5C0000}"/>
    <cellStyle name="Note 3 2 2 4 4 2" xfId="29231" xr:uid="{00000000-0005-0000-0000-00002D5C0000}"/>
    <cellStyle name="Note 3 2 2 4 4 3" xfId="40076" xr:uid="{00000000-0005-0000-0000-00002E5C0000}"/>
    <cellStyle name="Note 3 2 2 4 5" xfId="21055" xr:uid="{00000000-0005-0000-0000-00002F5C0000}"/>
    <cellStyle name="Note 3 2 2 4 6" xfId="31900" xr:uid="{00000000-0005-0000-0000-0000305C0000}"/>
    <cellStyle name="Note 3 2 2 5" xfId="2466" xr:uid="{00000000-0005-0000-0000-0000315C0000}"/>
    <cellStyle name="Note 3 2 2 5 2" xfId="5318" xr:uid="{00000000-0005-0000-0000-0000325C0000}"/>
    <cellStyle name="Note 3 2 2 5 2 2" xfId="24290" xr:uid="{00000000-0005-0000-0000-0000335C0000}"/>
    <cellStyle name="Note 3 2 2 5 2 3" xfId="35135" xr:uid="{00000000-0005-0000-0000-0000345C0000}"/>
    <cellStyle name="Note 3 2 2 5 3" xfId="7989" xr:uid="{00000000-0005-0000-0000-0000355C0000}"/>
    <cellStyle name="Note 3 2 2 5 3 2" xfId="26961" xr:uid="{00000000-0005-0000-0000-0000365C0000}"/>
    <cellStyle name="Note 3 2 2 5 3 3" xfId="37806" xr:uid="{00000000-0005-0000-0000-0000375C0000}"/>
    <cellStyle name="Note 3 2 2 5 4" xfId="10648" xr:uid="{00000000-0005-0000-0000-0000385C0000}"/>
    <cellStyle name="Note 3 2 2 5 4 2" xfId="29620" xr:uid="{00000000-0005-0000-0000-0000395C0000}"/>
    <cellStyle name="Note 3 2 2 5 4 3" xfId="40465" xr:uid="{00000000-0005-0000-0000-00003A5C0000}"/>
    <cellStyle name="Note 3 2 2 5 5" xfId="21444" xr:uid="{00000000-0005-0000-0000-00003B5C0000}"/>
    <cellStyle name="Note 3 2 2 5 6" xfId="32289" xr:uid="{00000000-0005-0000-0000-00003C5C0000}"/>
    <cellStyle name="Note 3 2 2 6" xfId="2852" xr:uid="{00000000-0005-0000-0000-00003D5C0000}"/>
    <cellStyle name="Note 3 2 2 6 2" xfId="5703" xr:uid="{00000000-0005-0000-0000-00003E5C0000}"/>
    <cellStyle name="Note 3 2 2 6 2 2" xfId="24675" xr:uid="{00000000-0005-0000-0000-00003F5C0000}"/>
    <cellStyle name="Note 3 2 2 6 2 3" xfId="35520" xr:uid="{00000000-0005-0000-0000-0000405C0000}"/>
    <cellStyle name="Note 3 2 2 6 3" xfId="8374" xr:uid="{00000000-0005-0000-0000-0000415C0000}"/>
    <cellStyle name="Note 3 2 2 6 3 2" xfId="27346" xr:uid="{00000000-0005-0000-0000-0000425C0000}"/>
    <cellStyle name="Note 3 2 2 6 3 3" xfId="38191" xr:uid="{00000000-0005-0000-0000-0000435C0000}"/>
    <cellStyle name="Note 3 2 2 6 4" xfId="11033" xr:uid="{00000000-0005-0000-0000-0000445C0000}"/>
    <cellStyle name="Note 3 2 2 6 4 2" xfId="30005" xr:uid="{00000000-0005-0000-0000-0000455C0000}"/>
    <cellStyle name="Note 3 2 2 6 4 3" xfId="40850" xr:uid="{00000000-0005-0000-0000-0000465C0000}"/>
    <cellStyle name="Note 3 2 2 6 5" xfId="21829" xr:uid="{00000000-0005-0000-0000-0000475C0000}"/>
    <cellStyle name="Note 3 2 2 6 6" xfId="32674" xr:uid="{00000000-0005-0000-0000-0000485C0000}"/>
    <cellStyle name="Note 3 2 2 7" xfId="3541" xr:uid="{00000000-0005-0000-0000-0000495C0000}"/>
    <cellStyle name="Note 3 2 2 7 2" xfId="22513" xr:uid="{00000000-0005-0000-0000-00004A5C0000}"/>
    <cellStyle name="Note 3 2 2 7 3" xfId="33358" xr:uid="{00000000-0005-0000-0000-00004B5C0000}"/>
    <cellStyle name="Note 3 2 2 8" xfId="6216" xr:uid="{00000000-0005-0000-0000-00004C5C0000}"/>
    <cellStyle name="Note 3 2 2 8 2" xfId="25188" xr:uid="{00000000-0005-0000-0000-00004D5C0000}"/>
    <cellStyle name="Note 3 2 2 8 3" xfId="36033" xr:uid="{00000000-0005-0000-0000-00004E5C0000}"/>
    <cellStyle name="Note 3 2 2 9" xfId="8875" xr:uid="{00000000-0005-0000-0000-00004F5C0000}"/>
    <cellStyle name="Note 3 2 2 9 2" xfId="27847" xr:uid="{00000000-0005-0000-0000-0000505C0000}"/>
    <cellStyle name="Note 3 2 2 9 3" xfId="38692" xr:uid="{00000000-0005-0000-0000-0000515C0000}"/>
    <cellStyle name="Note 3 2 3" xfId="746" xr:uid="{00000000-0005-0000-0000-0000525C0000}"/>
    <cellStyle name="Note 3 2 3 10" xfId="19731" xr:uid="{00000000-0005-0000-0000-0000535C0000}"/>
    <cellStyle name="Note 3 2 3 11" xfId="30576" xr:uid="{00000000-0005-0000-0000-0000545C0000}"/>
    <cellStyle name="Note 3 2 3 2" xfId="1333" xr:uid="{00000000-0005-0000-0000-0000555C0000}"/>
    <cellStyle name="Note 3 2 3 2 2" xfId="4186" xr:uid="{00000000-0005-0000-0000-0000565C0000}"/>
    <cellStyle name="Note 3 2 3 2 2 2" xfId="23158" xr:uid="{00000000-0005-0000-0000-0000575C0000}"/>
    <cellStyle name="Note 3 2 3 2 2 3" xfId="34003" xr:uid="{00000000-0005-0000-0000-0000585C0000}"/>
    <cellStyle name="Note 3 2 3 2 3" xfId="6859" xr:uid="{00000000-0005-0000-0000-0000595C0000}"/>
    <cellStyle name="Note 3 2 3 2 3 2" xfId="25831" xr:uid="{00000000-0005-0000-0000-00005A5C0000}"/>
    <cellStyle name="Note 3 2 3 2 3 3" xfId="36676" xr:uid="{00000000-0005-0000-0000-00005B5C0000}"/>
    <cellStyle name="Note 3 2 3 2 4" xfId="9518" xr:uid="{00000000-0005-0000-0000-00005C5C0000}"/>
    <cellStyle name="Note 3 2 3 2 4 2" xfId="28490" xr:uid="{00000000-0005-0000-0000-00005D5C0000}"/>
    <cellStyle name="Note 3 2 3 2 4 3" xfId="39335" xr:uid="{00000000-0005-0000-0000-00005E5C0000}"/>
    <cellStyle name="Note 3 2 3 2 5" xfId="20314" xr:uid="{00000000-0005-0000-0000-00005F5C0000}"/>
    <cellStyle name="Note 3 2 3 2 6" xfId="31159" xr:uid="{00000000-0005-0000-0000-0000605C0000}"/>
    <cellStyle name="Note 3 2 3 3" xfId="1732" xr:uid="{00000000-0005-0000-0000-0000615C0000}"/>
    <cellStyle name="Note 3 2 3 3 2" xfId="4585" xr:uid="{00000000-0005-0000-0000-0000625C0000}"/>
    <cellStyle name="Note 3 2 3 3 2 2" xfId="23557" xr:uid="{00000000-0005-0000-0000-0000635C0000}"/>
    <cellStyle name="Note 3 2 3 3 2 3" xfId="34402" xr:uid="{00000000-0005-0000-0000-0000645C0000}"/>
    <cellStyle name="Note 3 2 3 3 3" xfId="7257" xr:uid="{00000000-0005-0000-0000-0000655C0000}"/>
    <cellStyle name="Note 3 2 3 3 3 2" xfId="26229" xr:uid="{00000000-0005-0000-0000-0000665C0000}"/>
    <cellStyle name="Note 3 2 3 3 3 3" xfId="37074" xr:uid="{00000000-0005-0000-0000-0000675C0000}"/>
    <cellStyle name="Note 3 2 3 3 4" xfId="9916" xr:uid="{00000000-0005-0000-0000-0000685C0000}"/>
    <cellStyle name="Note 3 2 3 3 4 2" xfId="28888" xr:uid="{00000000-0005-0000-0000-0000695C0000}"/>
    <cellStyle name="Note 3 2 3 3 4 3" xfId="39733" xr:uid="{00000000-0005-0000-0000-00006A5C0000}"/>
    <cellStyle name="Note 3 2 3 3 5" xfId="20712" xr:uid="{00000000-0005-0000-0000-00006B5C0000}"/>
    <cellStyle name="Note 3 2 3 3 6" xfId="31557" xr:uid="{00000000-0005-0000-0000-00006C5C0000}"/>
    <cellStyle name="Note 3 2 3 4" xfId="2136" xr:uid="{00000000-0005-0000-0000-00006D5C0000}"/>
    <cellStyle name="Note 3 2 3 4 2" xfId="4989" xr:uid="{00000000-0005-0000-0000-00006E5C0000}"/>
    <cellStyle name="Note 3 2 3 4 2 2" xfId="23961" xr:uid="{00000000-0005-0000-0000-00006F5C0000}"/>
    <cellStyle name="Note 3 2 3 4 2 3" xfId="34806" xr:uid="{00000000-0005-0000-0000-0000705C0000}"/>
    <cellStyle name="Note 3 2 3 4 3" xfId="7660" xr:uid="{00000000-0005-0000-0000-0000715C0000}"/>
    <cellStyle name="Note 3 2 3 4 3 2" xfId="26632" xr:uid="{00000000-0005-0000-0000-0000725C0000}"/>
    <cellStyle name="Note 3 2 3 4 3 3" xfId="37477" xr:uid="{00000000-0005-0000-0000-0000735C0000}"/>
    <cellStyle name="Note 3 2 3 4 4" xfId="10319" xr:uid="{00000000-0005-0000-0000-0000745C0000}"/>
    <cellStyle name="Note 3 2 3 4 4 2" xfId="29291" xr:uid="{00000000-0005-0000-0000-0000755C0000}"/>
    <cellStyle name="Note 3 2 3 4 4 3" xfId="40136" xr:uid="{00000000-0005-0000-0000-0000765C0000}"/>
    <cellStyle name="Note 3 2 3 4 5" xfId="21115" xr:uid="{00000000-0005-0000-0000-0000775C0000}"/>
    <cellStyle name="Note 3 2 3 4 6" xfId="31960" xr:uid="{00000000-0005-0000-0000-0000785C0000}"/>
    <cellStyle name="Note 3 2 3 5" xfId="2526" xr:uid="{00000000-0005-0000-0000-0000795C0000}"/>
    <cellStyle name="Note 3 2 3 5 2" xfId="5378" xr:uid="{00000000-0005-0000-0000-00007A5C0000}"/>
    <cellStyle name="Note 3 2 3 5 2 2" xfId="24350" xr:uid="{00000000-0005-0000-0000-00007B5C0000}"/>
    <cellStyle name="Note 3 2 3 5 2 3" xfId="35195" xr:uid="{00000000-0005-0000-0000-00007C5C0000}"/>
    <cellStyle name="Note 3 2 3 5 3" xfId="8049" xr:uid="{00000000-0005-0000-0000-00007D5C0000}"/>
    <cellStyle name="Note 3 2 3 5 3 2" xfId="27021" xr:uid="{00000000-0005-0000-0000-00007E5C0000}"/>
    <cellStyle name="Note 3 2 3 5 3 3" xfId="37866" xr:uid="{00000000-0005-0000-0000-00007F5C0000}"/>
    <cellStyle name="Note 3 2 3 5 4" xfId="10708" xr:uid="{00000000-0005-0000-0000-0000805C0000}"/>
    <cellStyle name="Note 3 2 3 5 4 2" xfId="29680" xr:uid="{00000000-0005-0000-0000-0000815C0000}"/>
    <cellStyle name="Note 3 2 3 5 4 3" xfId="40525" xr:uid="{00000000-0005-0000-0000-0000825C0000}"/>
    <cellStyle name="Note 3 2 3 5 5" xfId="21504" xr:uid="{00000000-0005-0000-0000-0000835C0000}"/>
    <cellStyle name="Note 3 2 3 5 6" xfId="32349" xr:uid="{00000000-0005-0000-0000-0000845C0000}"/>
    <cellStyle name="Note 3 2 3 6" xfId="2912" xr:uid="{00000000-0005-0000-0000-0000855C0000}"/>
    <cellStyle name="Note 3 2 3 6 2" xfId="5763" xr:uid="{00000000-0005-0000-0000-0000865C0000}"/>
    <cellStyle name="Note 3 2 3 6 2 2" xfId="24735" xr:uid="{00000000-0005-0000-0000-0000875C0000}"/>
    <cellStyle name="Note 3 2 3 6 2 3" xfId="35580" xr:uid="{00000000-0005-0000-0000-0000885C0000}"/>
    <cellStyle name="Note 3 2 3 6 3" xfId="8434" xr:uid="{00000000-0005-0000-0000-0000895C0000}"/>
    <cellStyle name="Note 3 2 3 6 3 2" xfId="27406" xr:uid="{00000000-0005-0000-0000-00008A5C0000}"/>
    <cellStyle name="Note 3 2 3 6 3 3" xfId="38251" xr:uid="{00000000-0005-0000-0000-00008B5C0000}"/>
    <cellStyle name="Note 3 2 3 6 4" xfId="11093" xr:uid="{00000000-0005-0000-0000-00008C5C0000}"/>
    <cellStyle name="Note 3 2 3 6 4 2" xfId="30065" xr:uid="{00000000-0005-0000-0000-00008D5C0000}"/>
    <cellStyle name="Note 3 2 3 6 4 3" xfId="40910" xr:uid="{00000000-0005-0000-0000-00008E5C0000}"/>
    <cellStyle name="Note 3 2 3 6 5" xfId="21889" xr:uid="{00000000-0005-0000-0000-00008F5C0000}"/>
    <cellStyle name="Note 3 2 3 6 6" xfId="32734" xr:uid="{00000000-0005-0000-0000-0000905C0000}"/>
    <cellStyle name="Note 3 2 3 7" xfId="3601" xr:uid="{00000000-0005-0000-0000-0000915C0000}"/>
    <cellStyle name="Note 3 2 3 7 2" xfId="22573" xr:uid="{00000000-0005-0000-0000-0000925C0000}"/>
    <cellStyle name="Note 3 2 3 7 3" xfId="33418" xr:uid="{00000000-0005-0000-0000-0000935C0000}"/>
    <cellStyle name="Note 3 2 3 8" xfId="6276" xr:uid="{00000000-0005-0000-0000-0000945C0000}"/>
    <cellStyle name="Note 3 2 3 8 2" xfId="25248" xr:uid="{00000000-0005-0000-0000-0000955C0000}"/>
    <cellStyle name="Note 3 2 3 8 3" xfId="36093" xr:uid="{00000000-0005-0000-0000-0000965C0000}"/>
    <cellStyle name="Note 3 2 3 9" xfId="8935" xr:uid="{00000000-0005-0000-0000-0000975C0000}"/>
    <cellStyle name="Note 3 2 3 9 2" xfId="27907" xr:uid="{00000000-0005-0000-0000-0000985C0000}"/>
    <cellStyle name="Note 3 2 3 9 3" xfId="38752" xr:uid="{00000000-0005-0000-0000-0000995C0000}"/>
    <cellStyle name="Note 3 2 4" xfId="806" xr:uid="{00000000-0005-0000-0000-00009A5C0000}"/>
    <cellStyle name="Note 3 2 4 10" xfId="19791" xr:uid="{00000000-0005-0000-0000-00009B5C0000}"/>
    <cellStyle name="Note 3 2 4 11" xfId="30636" xr:uid="{00000000-0005-0000-0000-00009C5C0000}"/>
    <cellStyle name="Note 3 2 4 2" xfId="1393" xr:uid="{00000000-0005-0000-0000-00009D5C0000}"/>
    <cellStyle name="Note 3 2 4 2 2" xfId="4246" xr:uid="{00000000-0005-0000-0000-00009E5C0000}"/>
    <cellStyle name="Note 3 2 4 2 2 2" xfId="23218" xr:uid="{00000000-0005-0000-0000-00009F5C0000}"/>
    <cellStyle name="Note 3 2 4 2 2 3" xfId="34063" xr:uid="{00000000-0005-0000-0000-0000A05C0000}"/>
    <cellStyle name="Note 3 2 4 2 3" xfId="6919" xr:uid="{00000000-0005-0000-0000-0000A15C0000}"/>
    <cellStyle name="Note 3 2 4 2 3 2" xfId="25891" xr:uid="{00000000-0005-0000-0000-0000A25C0000}"/>
    <cellStyle name="Note 3 2 4 2 3 3" xfId="36736" xr:uid="{00000000-0005-0000-0000-0000A35C0000}"/>
    <cellStyle name="Note 3 2 4 2 4" xfId="9578" xr:uid="{00000000-0005-0000-0000-0000A45C0000}"/>
    <cellStyle name="Note 3 2 4 2 4 2" xfId="28550" xr:uid="{00000000-0005-0000-0000-0000A55C0000}"/>
    <cellStyle name="Note 3 2 4 2 4 3" xfId="39395" xr:uid="{00000000-0005-0000-0000-0000A65C0000}"/>
    <cellStyle name="Note 3 2 4 2 5" xfId="20374" xr:uid="{00000000-0005-0000-0000-0000A75C0000}"/>
    <cellStyle name="Note 3 2 4 2 6" xfId="31219" xr:uid="{00000000-0005-0000-0000-0000A85C0000}"/>
    <cellStyle name="Note 3 2 4 3" xfId="1792" xr:uid="{00000000-0005-0000-0000-0000A95C0000}"/>
    <cellStyle name="Note 3 2 4 3 2" xfId="4645" xr:uid="{00000000-0005-0000-0000-0000AA5C0000}"/>
    <cellStyle name="Note 3 2 4 3 2 2" xfId="23617" xr:uid="{00000000-0005-0000-0000-0000AB5C0000}"/>
    <cellStyle name="Note 3 2 4 3 2 3" xfId="34462" xr:uid="{00000000-0005-0000-0000-0000AC5C0000}"/>
    <cellStyle name="Note 3 2 4 3 3" xfId="7317" xr:uid="{00000000-0005-0000-0000-0000AD5C0000}"/>
    <cellStyle name="Note 3 2 4 3 3 2" xfId="26289" xr:uid="{00000000-0005-0000-0000-0000AE5C0000}"/>
    <cellStyle name="Note 3 2 4 3 3 3" xfId="37134" xr:uid="{00000000-0005-0000-0000-0000AF5C0000}"/>
    <cellStyle name="Note 3 2 4 3 4" xfId="9976" xr:uid="{00000000-0005-0000-0000-0000B05C0000}"/>
    <cellStyle name="Note 3 2 4 3 4 2" xfId="28948" xr:uid="{00000000-0005-0000-0000-0000B15C0000}"/>
    <cellStyle name="Note 3 2 4 3 4 3" xfId="39793" xr:uid="{00000000-0005-0000-0000-0000B25C0000}"/>
    <cellStyle name="Note 3 2 4 3 5" xfId="20772" xr:uid="{00000000-0005-0000-0000-0000B35C0000}"/>
    <cellStyle name="Note 3 2 4 3 6" xfId="31617" xr:uid="{00000000-0005-0000-0000-0000B45C0000}"/>
    <cellStyle name="Note 3 2 4 4" xfId="2196" xr:uid="{00000000-0005-0000-0000-0000B55C0000}"/>
    <cellStyle name="Note 3 2 4 4 2" xfId="5049" xr:uid="{00000000-0005-0000-0000-0000B65C0000}"/>
    <cellStyle name="Note 3 2 4 4 2 2" xfId="24021" xr:uid="{00000000-0005-0000-0000-0000B75C0000}"/>
    <cellStyle name="Note 3 2 4 4 2 3" xfId="34866" xr:uid="{00000000-0005-0000-0000-0000B85C0000}"/>
    <cellStyle name="Note 3 2 4 4 3" xfId="7720" xr:uid="{00000000-0005-0000-0000-0000B95C0000}"/>
    <cellStyle name="Note 3 2 4 4 3 2" xfId="26692" xr:uid="{00000000-0005-0000-0000-0000BA5C0000}"/>
    <cellStyle name="Note 3 2 4 4 3 3" xfId="37537" xr:uid="{00000000-0005-0000-0000-0000BB5C0000}"/>
    <cellStyle name="Note 3 2 4 4 4" xfId="10379" xr:uid="{00000000-0005-0000-0000-0000BC5C0000}"/>
    <cellStyle name="Note 3 2 4 4 4 2" xfId="29351" xr:uid="{00000000-0005-0000-0000-0000BD5C0000}"/>
    <cellStyle name="Note 3 2 4 4 4 3" xfId="40196" xr:uid="{00000000-0005-0000-0000-0000BE5C0000}"/>
    <cellStyle name="Note 3 2 4 4 5" xfId="21175" xr:uid="{00000000-0005-0000-0000-0000BF5C0000}"/>
    <cellStyle name="Note 3 2 4 4 6" xfId="32020" xr:uid="{00000000-0005-0000-0000-0000C05C0000}"/>
    <cellStyle name="Note 3 2 4 5" xfId="2586" xr:uid="{00000000-0005-0000-0000-0000C15C0000}"/>
    <cellStyle name="Note 3 2 4 5 2" xfId="5438" xr:uid="{00000000-0005-0000-0000-0000C25C0000}"/>
    <cellStyle name="Note 3 2 4 5 2 2" xfId="24410" xr:uid="{00000000-0005-0000-0000-0000C35C0000}"/>
    <cellStyle name="Note 3 2 4 5 2 3" xfId="35255" xr:uid="{00000000-0005-0000-0000-0000C45C0000}"/>
    <cellStyle name="Note 3 2 4 5 3" xfId="8109" xr:uid="{00000000-0005-0000-0000-0000C55C0000}"/>
    <cellStyle name="Note 3 2 4 5 3 2" xfId="27081" xr:uid="{00000000-0005-0000-0000-0000C65C0000}"/>
    <cellStyle name="Note 3 2 4 5 3 3" xfId="37926" xr:uid="{00000000-0005-0000-0000-0000C75C0000}"/>
    <cellStyle name="Note 3 2 4 5 4" xfId="10768" xr:uid="{00000000-0005-0000-0000-0000C85C0000}"/>
    <cellStyle name="Note 3 2 4 5 4 2" xfId="29740" xr:uid="{00000000-0005-0000-0000-0000C95C0000}"/>
    <cellStyle name="Note 3 2 4 5 4 3" xfId="40585" xr:uid="{00000000-0005-0000-0000-0000CA5C0000}"/>
    <cellStyle name="Note 3 2 4 5 5" xfId="21564" xr:uid="{00000000-0005-0000-0000-0000CB5C0000}"/>
    <cellStyle name="Note 3 2 4 5 6" xfId="32409" xr:uid="{00000000-0005-0000-0000-0000CC5C0000}"/>
    <cellStyle name="Note 3 2 4 6" xfId="2972" xr:uid="{00000000-0005-0000-0000-0000CD5C0000}"/>
    <cellStyle name="Note 3 2 4 6 2" xfId="5823" xr:uid="{00000000-0005-0000-0000-0000CE5C0000}"/>
    <cellStyle name="Note 3 2 4 6 2 2" xfId="24795" xr:uid="{00000000-0005-0000-0000-0000CF5C0000}"/>
    <cellStyle name="Note 3 2 4 6 2 3" xfId="35640" xr:uid="{00000000-0005-0000-0000-0000D05C0000}"/>
    <cellStyle name="Note 3 2 4 6 3" xfId="8494" xr:uid="{00000000-0005-0000-0000-0000D15C0000}"/>
    <cellStyle name="Note 3 2 4 6 3 2" xfId="27466" xr:uid="{00000000-0005-0000-0000-0000D25C0000}"/>
    <cellStyle name="Note 3 2 4 6 3 3" xfId="38311" xr:uid="{00000000-0005-0000-0000-0000D35C0000}"/>
    <cellStyle name="Note 3 2 4 6 4" xfId="11153" xr:uid="{00000000-0005-0000-0000-0000D45C0000}"/>
    <cellStyle name="Note 3 2 4 6 4 2" xfId="30125" xr:uid="{00000000-0005-0000-0000-0000D55C0000}"/>
    <cellStyle name="Note 3 2 4 6 4 3" xfId="40970" xr:uid="{00000000-0005-0000-0000-0000D65C0000}"/>
    <cellStyle name="Note 3 2 4 6 5" xfId="21949" xr:uid="{00000000-0005-0000-0000-0000D75C0000}"/>
    <cellStyle name="Note 3 2 4 6 6" xfId="32794" xr:uid="{00000000-0005-0000-0000-0000D85C0000}"/>
    <cellStyle name="Note 3 2 4 7" xfId="3661" xr:uid="{00000000-0005-0000-0000-0000D95C0000}"/>
    <cellStyle name="Note 3 2 4 7 2" xfId="22633" xr:uid="{00000000-0005-0000-0000-0000DA5C0000}"/>
    <cellStyle name="Note 3 2 4 7 3" xfId="33478" xr:uid="{00000000-0005-0000-0000-0000DB5C0000}"/>
    <cellStyle name="Note 3 2 4 8" xfId="6336" xr:uid="{00000000-0005-0000-0000-0000DC5C0000}"/>
    <cellStyle name="Note 3 2 4 8 2" xfId="25308" xr:uid="{00000000-0005-0000-0000-0000DD5C0000}"/>
    <cellStyle name="Note 3 2 4 8 3" xfId="36153" xr:uid="{00000000-0005-0000-0000-0000DE5C0000}"/>
    <cellStyle name="Note 3 2 4 9" xfId="8995" xr:uid="{00000000-0005-0000-0000-0000DF5C0000}"/>
    <cellStyle name="Note 3 2 4 9 2" xfId="27967" xr:uid="{00000000-0005-0000-0000-0000E05C0000}"/>
    <cellStyle name="Note 3 2 4 9 3" xfId="38812" xr:uid="{00000000-0005-0000-0000-0000E15C0000}"/>
    <cellStyle name="Note 3 2 5" xfId="865" xr:uid="{00000000-0005-0000-0000-0000E25C0000}"/>
    <cellStyle name="Note 3 2 5 10" xfId="19850" xr:uid="{00000000-0005-0000-0000-0000E35C0000}"/>
    <cellStyle name="Note 3 2 5 11" xfId="30695" xr:uid="{00000000-0005-0000-0000-0000E45C0000}"/>
    <cellStyle name="Note 3 2 5 2" xfId="1452" xr:uid="{00000000-0005-0000-0000-0000E55C0000}"/>
    <cellStyle name="Note 3 2 5 2 2" xfId="4305" xr:uid="{00000000-0005-0000-0000-0000E65C0000}"/>
    <cellStyle name="Note 3 2 5 2 2 2" xfId="23277" xr:uid="{00000000-0005-0000-0000-0000E75C0000}"/>
    <cellStyle name="Note 3 2 5 2 2 3" xfId="34122" xr:uid="{00000000-0005-0000-0000-0000E85C0000}"/>
    <cellStyle name="Note 3 2 5 2 3" xfId="6978" xr:uid="{00000000-0005-0000-0000-0000E95C0000}"/>
    <cellStyle name="Note 3 2 5 2 3 2" xfId="25950" xr:uid="{00000000-0005-0000-0000-0000EA5C0000}"/>
    <cellStyle name="Note 3 2 5 2 3 3" xfId="36795" xr:uid="{00000000-0005-0000-0000-0000EB5C0000}"/>
    <cellStyle name="Note 3 2 5 2 4" xfId="9637" xr:uid="{00000000-0005-0000-0000-0000EC5C0000}"/>
    <cellStyle name="Note 3 2 5 2 4 2" xfId="28609" xr:uid="{00000000-0005-0000-0000-0000ED5C0000}"/>
    <cellStyle name="Note 3 2 5 2 4 3" xfId="39454" xr:uid="{00000000-0005-0000-0000-0000EE5C0000}"/>
    <cellStyle name="Note 3 2 5 2 5" xfId="20433" xr:uid="{00000000-0005-0000-0000-0000EF5C0000}"/>
    <cellStyle name="Note 3 2 5 2 6" xfId="31278" xr:uid="{00000000-0005-0000-0000-0000F05C0000}"/>
    <cellStyle name="Note 3 2 5 3" xfId="1851" xr:uid="{00000000-0005-0000-0000-0000F15C0000}"/>
    <cellStyle name="Note 3 2 5 3 2" xfId="4704" xr:uid="{00000000-0005-0000-0000-0000F25C0000}"/>
    <cellStyle name="Note 3 2 5 3 2 2" xfId="23676" xr:uid="{00000000-0005-0000-0000-0000F35C0000}"/>
    <cellStyle name="Note 3 2 5 3 2 3" xfId="34521" xr:uid="{00000000-0005-0000-0000-0000F45C0000}"/>
    <cellStyle name="Note 3 2 5 3 3" xfId="7376" xr:uid="{00000000-0005-0000-0000-0000F55C0000}"/>
    <cellStyle name="Note 3 2 5 3 3 2" xfId="26348" xr:uid="{00000000-0005-0000-0000-0000F65C0000}"/>
    <cellStyle name="Note 3 2 5 3 3 3" xfId="37193" xr:uid="{00000000-0005-0000-0000-0000F75C0000}"/>
    <cellStyle name="Note 3 2 5 3 4" xfId="10035" xr:uid="{00000000-0005-0000-0000-0000F85C0000}"/>
    <cellStyle name="Note 3 2 5 3 4 2" xfId="29007" xr:uid="{00000000-0005-0000-0000-0000F95C0000}"/>
    <cellStyle name="Note 3 2 5 3 4 3" xfId="39852" xr:uid="{00000000-0005-0000-0000-0000FA5C0000}"/>
    <cellStyle name="Note 3 2 5 3 5" xfId="20831" xr:uid="{00000000-0005-0000-0000-0000FB5C0000}"/>
    <cellStyle name="Note 3 2 5 3 6" xfId="31676" xr:uid="{00000000-0005-0000-0000-0000FC5C0000}"/>
    <cellStyle name="Note 3 2 5 4" xfId="2255" xr:uid="{00000000-0005-0000-0000-0000FD5C0000}"/>
    <cellStyle name="Note 3 2 5 4 2" xfId="5108" xr:uid="{00000000-0005-0000-0000-0000FE5C0000}"/>
    <cellStyle name="Note 3 2 5 4 2 2" xfId="24080" xr:uid="{00000000-0005-0000-0000-0000FF5C0000}"/>
    <cellStyle name="Note 3 2 5 4 2 3" xfId="34925" xr:uid="{00000000-0005-0000-0000-0000005D0000}"/>
    <cellStyle name="Note 3 2 5 4 3" xfId="7779" xr:uid="{00000000-0005-0000-0000-0000015D0000}"/>
    <cellStyle name="Note 3 2 5 4 3 2" xfId="26751" xr:uid="{00000000-0005-0000-0000-0000025D0000}"/>
    <cellStyle name="Note 3 2 5 4 3 3" xfId="37596" xr:uid="{00000000-0005-0000-0000-0000035D0000}"/>
    <cellStyle name="Note 3 2 5 4 4" xfId="10438" xr:uid="{00000000-0005-0000-0000-0000045D0000}"/>
    <cellStyle name="Note 3 2 5 4 4 2" xfId="29410" xr:uid="{00000000-0005-0000-0000-0000055D0000}"/>
    <cellStyle name="Note 3 2 5 4 4 3" xfId="40255" xr:uid="{00000000-0005-0000-0000-0000065D0000}"/>
    <cellStyle name="Note 3 2 5 4 5" xfId="21234" xr:uid="{00000000-0005-0000-0000-0000075D0000}"/>
    <cellStyle name="Note 3 2 5 4 6" xfId="32079" xr:uid="{00000000-0005-0000-0000-0000085D0000}"/>
    <cellStyle name="Note 3 2 5 5" xfId="2645" xr:uid="{00000000-0005-0000-0000-0000095D0000}"/>
    <cellStyle name="Note 3 2 5 5 2" xfId="5497" xr:uid="{00000000-0005-0000-0000-00000A5D0000}"/>
    <cellStyle name="Note 3 2 5 5 2 2" xfId="24469" xr:uid="{00000000-0005-0000-0000-00000B5D0000}"/>
    <cellStyle name="Note 3 2 5 5 2 3" xfId="35314" xr:uid="{00000000-0005-0000-0000-00000C5D0000}"/>
    <cellStyle name="Note 3 2 5 5 3" xfId="8168" xr:uid="{00000000-0005-0000-0000-00000D5D0000}"/>
    <cellStyle name="Note 3 2 5 5 3 2" xfId="27140" xr:uid="{00000000-0005-0000-0000-00000E5D0000}"/>
    <cellStyle name="Note 3 2 5 5 3 3" xfId="37985" xr:uid="{00000000-0005-0000-0000-00000F5D0000}"/>
    <cellStyle name="Note 3 2 5 5 4" xfId="10827" xr:uid="{00000000-0005-0000-0000-0000105D0000}"/>
    <cellStyle name="Note 3 2 5 5 4 2" xfId="29799" xr:uid="{00000000-0005-0000-0000-0000115D0000}"/>
    <cellStyle name="Note 3 2 5 5 4 3" xfId="40644" xr:uid="{00000000-0005-0000-0000-0000125D0000}"/>
    <cellStyle name="Note 3 2 5 5 5" xfId="21623" xr:uid="{00000000-0005-0000-0000-0000135D0000}"/>
    <cellStyle name="Note 3 2 5 5 6" xfId="32468" xr:uid="{00000000-0005-0000-0000-0000145D0000}"/>
    <cellStyle name="Note 3 2 5 6" xfId="3031" xr:uid="{00000000-0005-0000-0000-0000155D0000}"/>
    <cellStyle name="Note 3 2 5 6 2" xfId="5882" xr:uid="{00000000-0005-0000-0000-0000165D0000}"/>
    <cellStyle name="Note 3 2 5 6 2 2" xfId="24854" xr:uid="{00000000-0005-0000-0000-0000175D0000}"/>
    <cellStyle name="Note 3 2 5 6 2 3" xfId="35699" xr:uid="{00000000-0005-0000-0000-0000185D0000}"/>
    <cellStyle name="Note 3 2 5 6 3" xfId="8553" xr:uid="{00000000-0005-0000-0000-0000195D0000}"/>
    <cellStyle name="Note 3 2 5 6 3 2" xfId="27525" xr:uid="{00000000-0005-0000-0000-00001A5D0000}"/>
    <cellStyle name="Note 3 2 5 6 3 3" xfId="38370" xr:uid="{00000000-0005-0000-0000-00001B5D0000}"/>
    <cellStyle name="Note 3 2 5 6 4" xfId="11212" xr:uid="{00000000-0005-0000-0000-00001C5D0000}"/>
    <cellStyle name="Note 3 2 5 6 4 2" xfId="30184" xr:uid="{00000000-0005-0000-0000-00001D5D0000}"/>
    <cellStyle name="Note 3 2 5 6 4 3" xfId="41029" xr:uid="{00000000-0005-0000-0000-00001E5D0000}"/>
    <cellStyle name="Note 3 2 5 6 5" xfId="22008" xr:uid="{00000000-0005-0000-0000-00001F5D0000}"/>
    <cellStyle name="Note 3 2 5 6 6" xfId="32853" xr:uid="{00000000-0005-0000-0000-0000205D0000}"/>
    <cellStyle name="Note 3 2 5 7" xfId="3720" xr:uid="{00000000-0005-0000-0000-0000215D0000}"/>
    <cellStyle name="Note 3 2 5 7 2" xfId="22692" xr:uid="{00000000-0005-0000-0000-0000225D0000}"/>
    <cellStyle name="Note 3 2 5 7 3" xfId="33537" xr:uid="{00000000-0005-0000-0000-0000235D0000}"/>
    <cellStyle name="Note 3 2 5 8" xfId="6395" xr:uid="{00000000-0005-0000-0000-0000245D0000}"/>
    <cellStyle name="Note 3 2 5 8 2" xfId="25367" xr:uid="{00000000-0005-0000-0000-0000255D0000}"/>
    <cellStyle name="Note 3 2 5 8 3" xfId="36212" xr:uid="{00000000-0005-0000-0000-0000265D0000}"/>
    <cellStyle name="Note 3 2 5 9" xfId="9054" xr:uid="{00000000-0005-0000-0000-0000275D0000}"/>
    <cellStyle name="Note 3 2 5 9 2" xfId="28026" xr:uid="{00000000-0005-0000-0000-0000285D0000}"/>
    <cellStyle name="Note 3 2 5 9 3" xfId="38871" xr:uid="{00000000-0005-0000-0000-0000295D0000}"/>
    <cellStyle name="Note 3 2 6" xfId="1087" xr:uid="{00000000-0005-0000-0000-00002A5D0000}"/>
    <cellStyle name="Note 3 2 6 2" xfId="3940" xr:uid="{00000000-0005-0000-0000-00002B5D0000}"/>
    <cellStyle name="Note 3 2 6 2 2" xfId="22912" xr:uid="{00000000-0005-0000-0000-00002C5D0000}"/>
    <cellStyle name="Note 3 2 6 2 3" xfId="33757" xr:uid="{00000000-0005-0000-0000-00002D5D0000}"/>
    <cellStyle name="Note 3 2 6 3" xfId="6614" xr:uid="{00000000-0005-0000-0000-00002E5D0000}"/>
    <cellStyle name="Note 3 2 6 3 2" xfId="25586" xr:uid="{00000000-0005-0000-0000-00002F5D0000}"/>
    <cellStyle name="Note 3 2 6 3 3" xfId="36431" xr:uid="{00000000-0005-0000-0000-0000305D0000}"/>
    <cellStyle name="Note 3 2 6 4" xfId="9273" xr:uid="{00000000-0005-0000-0000-0000315D0000}"/>
    <cellStyle name="Note 3 2 6 4 2" xfId="28245" xr:uid="{00000000-0005-0000-0000-0000325D0000}"/>
    <cellStyle name="Note 3 2 6 4 3" xfId="39090" xr:uid="{00000000-0005-0000-0000-0000335D0000}"/>
    <cellStyle name="Note 3 2 6 5" xfId="20069" xr:uid="{00000000-0005-0000-0000-0000345D0000}"/>
    <cellStyle name="Note 3 2 6 6" xfId="30914" xr:uid="{00000000-0005-0000-0000-0000355D0000}"/>
    <cellStyle name="Note 3 2 7" xfId="906" xr:uid="{00000000-0005-0000-0000-0000365D0000}"/>
    <cellStyle name="Note 3 2 7 2" xfId="3761" xr:uid="{00000000-0005-0000-0000-0000375D0000}"/>
    <cellStyle name="Note 3 2 7 2 2" xfId="22733" xr:uid="{00000000-0005-0000-0000-0000385D0000}"/>
    <cellStyle name="Note 3 2 7 2 3" xfId="33578" xr:uid="{00000000-0005-0000-0000-0000395D0000}"/>
    <cellStyle name="Note 3 2 7 3" xfId="6436" xr:uid="{00000000-0005-0000-0000-00003A5D0000}"/>
    <cellStyle name="Note 3 2 7 3 2" xfId="25408" xr:uid="{00000000-0005-0000-0000-00003B5D0000}"/>
    <cellStyle name="Note 3 2 7 3 3" xfId="36253" xr:uid="{00000000-0005-0000-0000-00003C5D0000}"/>
    <cellStyle name="Note 3 2 7 4" xfId="9095" xr:uid="{00000000-0005-0000-0000-00003D5D0000}"/>
    <cellStyle name="Note 3 2 7 4 2" xfId="28067" xr:uid="{00000000-0005-0000-0000-00003E5D0000}"/>
    <cellStyle name="Note 3 2 7 4 3" xfId="38912" xr:uid="{00000000-0005-0000-0000-00003F5D0000}"/>
    <cellStyle name="Note 3 2 7 5" xfId="19891" xr:uid="{00000000-0005-0000-0000-0000405D0000}"/>
    <cellStyle name="Note 3 2 7 6" xfId="30736" xr:uid="{00000000-0005-0000-0000-0000415D0000}"/>
    <cellStyle name="Note 3 2 8" xfId="1894" xr:uid="{00000000-0005-0000-0000-0000425D0000}"/>
    <cellStyle name="Note 3 2 8 2" xfId="4747" xr:uid="{00000000-0005-0000-0000-0000435D0000}"/>
    <cellStyle name="Note 3 2 8 2 2" xfId="23719" xr:uid="{00000000-0005-0000-0000-0000445D0000}"/>
    <cellStyle name="Note 3 2 8 2 3" xfId="34564" xr:uid="{00000000-0005-0000-0000-0000455D0000}"/>
    <cellStyle name="Note 3 2 8 3" xfId="7419" xr:uid="{00000000-0005-0000-0000-0000465D0000}"/>
    <cellStyle name="Note 3 2 8 3 2" xfId="26391" xr:uid="{00000000-0005-0000-0000-0000475D0000}"/>
    <cellStyle name="Note 3 2 8 3 3" xfId="37236" xr:uid="{00000000-0005-0000-0000-0000485D0000}"/>
    <cellStyle name="Note 3 2 8 4" xfId="10078" xr:uid="{00000000-0005-0000-0000-0000495D0000}"/>
    <cellStyle name="Note 3 2 8 4 2" xfId="29050" xr:uid="{00000000-0005-0000-0000-00004A5D0000}"/>
    <cellStyle name="Note 3 2 8 4 3" xfId="39895" xr:uid="{00000000-0005-0000-0000-00004B5D0000}"/>
    <cellStyle name="Note 3 2 8 5" xfId="20874" xr:uid="{00000000-0005-0000-0000-00004C5D0000}"/>
    <cellStyle name="Note 3 2 8 6" xfId="31719" xr:uid="{00000000-0005-0000-0000-00004D5D0000}"/>
    <cellStyle name="Note 3 2 9" xfId="969" xr:uid="{00000000-0005-0000-0000-00004E5D0000}"/>
    <cellStyle name="Note 3 2 9 2" xfId="3822" xr:uid="{00000000-0005-0000-0000-00004F5D0000}"/>
    <cellStyle name="Note 3 2 9 2 2" xfId="22794" xr:uid="{00000000-0005-0000-0000-0000505D0000}"/>
    <cellStyle name="Note 3 2 9 2 3" xfId="33639" xr:uid="{00000000-0005-0000-0000-0000515D0000}"/>
    <cellStyle name="Note 3 2 9 3" xfId="6497" xr:uid="{00000000-0005-0000-0000-0000525D0000}"/>
    <cellStyle name="Note 3 2 9 3 2" xfId="25469" xr:uid="{00000000-0005-0000-0000-0000535D0000}"/>
    <cellStyle name="Note 3 2 9 3 3" xfId="36314" xr:uid="{00000000-0005-0000-0000-0000545D0000}"/>
    <cellStyle name="Note 3 2 9 4" xfId="9156" xr:uid="{00000000-0005-0000-0000-0000555D0000}"/>
    <cellStyle name="Note 3 2 9 4 2" xfId="28128" xr:uid="{00000000-0005-0000-0000-0000565D0000}"/>
    <cellStyle name="Note 3 2 9 4 3" xfId="38973" xr:uid="{00000000-0005-0000-0000-0000575D0000}"/>
    <cellStyle name="Note 3 2 9 5" xfId="19952" xr:uid="{00000000-0005-0000-0000-0000585D0000}"/>
    <cellStyle name="Note 3 2 9 6" xfId="30797" xr:uid="{00000000-0005-0000-0000-0000595D0000}"/>
    <cellStyle name="Note 3 3" xfId="569" xr:uid="{00000000-0005-0000-0000-00005A5D0000}"/>
    <cellStyle name="Note 3 3 10" xfId="19579" xr:uid="{00000000-0005-0000-0000-00005B5D0000}"/>
    <cellStyle name="Note 3 3 11" xfId="30424" xr:uid="{00000000-0005-0000-0000-00005C5D0000}"/>
    <cellStyle name="Note 3 3 2" xfId="1175" xr:uid="{00000000-0005-0000-0000-00005D5D0000}"/>
    <cellStyle name="Note 3 3 2 2" xfId="4028" xr:uid="{00000000-0005-0000-0000-00005E5D0000}"/>
    <cellStyle name="Note 3 3 2 2 2" xfId="23000" xr:uid="{00000000-0005-0000-0000-00005F5D0000}"/>
    <cellStyle name="Note 3 3 2 2 3" xfId="33845" xr:uid="{00000000-0005-0000-0000-0000605D0000}"/>
    <cellStyle name="Note 3 3 2 3" xfId="6701" xr:uid="{00000000-0005-0000-0000-0000615D0000}"/>
    <cellStyle name="Note 3 3 2 3 2" xfId="25673" xr:uid="{00000000-0005-0000-0000-0000625D0000}"/>
    <cellStyle name="Note 3 3 2 3 3" xfId="36518" xr:uid="{00000000-0005-0000-0000-0000635D0000}"/>
    <cellStyle name="Note 3 3 2 4" xfId="9360" xr:uid="{00000000-0005-0000-0000-0000645D0000}"/>
    <cellStyle name="Note 3 3 2 4 2" xfId="28332" xr:uid="{00000000-0005-0000-0000-0000655D0000}"/>
    <cellStyle name="Note 3 3 2 4 3" xfId="39177" xr:uid="{00000000-0005-0000-0000-0000665D0000}"/>
    <cellStyle name="Note 3 3 2 5" xfId="20156" xr:uid="{00000000-0005-0000-0000-0000675D0000}"/>
    <cellStyle name="Note 3 3 2 6" xfId="31001" xr:uid="{00000000-0005-0000-0000-0000685D0000}"/>
    <cellStyle name="Note 3 3 3" xfId="1572" xr:uid="{00000000-0005-0000-0000-0000695D0000}"/>
    <cellStyle name="Note 3 3 3 2" xfId="4425" xr:uid="{00000000-0005-0000-0000-00006A5D0000}"/>
    <cellStyle name="Note 3 3 3 2 2" xfId="23397" xr:uid="{00000000-0005-0000-0000-00006B5D0000}"/>
    <cellStyle name="Note 3 3 3 2 3" xfId="34242" xr:uid="{00000000-0005-0000-0000-00006C5D0000}"/>
    <cellStyle name="Note 3 3 3 3" xfId="7097" xr:uid="{00000000-0005-0000-0000-00006D5D0000}"/>
    <cellStyle name="Note 3 3 3 3 2" xfId="26069" xr:uid="{00000000-0005-0000-0000-00006E5D0000}"/>
    <cellStyle name="Note 3 3 3 3 3" xfId="36914" xr:uid="{00000000-0005-0000-0000-00006F5D0000}"/>
    <cellStyle name="Note 3 3 3 4" xfId="9756" xr:uid="{00000000-0005-0000-0000-0000705D0000}"/>
    <cellStyle name="Note 3 3 3 4 2" xfId="28728" xr:uid="{00000000-0005-0000-0000-0000715D0000}"/>
    <cellStyle name="Note 3 3 3 4 3" xfId="39573" xr:uid="{00000000-0005-0000-0000-0000725D0000}"/>
    <cellStyle name="Note 3 3 3 5" xfId="20552" xr:uid="{00000000-0005-0000-0000-0000735D0000}"/>
    <cellStyle name="Note 3 3 3 6" xfId="31397" xr:uid="{00000000-0005-0000-0000-0000745D0000}"/>
    <cellStyle name="Note 3 3 4" xfId="1976" xr:uid="{00000000-0005-0000-0000-0000755D0000}"/>
    <cellStyle name="Note 3 3 4 2" xfId="4829" xr:uid="{00000000-0005-0000-0000-0000765D0000}"/>
    <cellStyle name="Note 3 3 4 2 2" xfId="23801" xr:uid="{00000000-0005-0000-0000-0000775D0000}"/>
    <cellStyle name="Note 3 3 4 2 3" xfId="34646" xr:uid="{00000000-0005-0000-0000-0000785D0000}"/>
    <cellStyle name="Note 3 3 4 3" xfId="7501" xr:uid="{00000000-0005-0000-0000-0000795D0000}"/>
    <cellStyle name="Note 3 3 4 3 2" xfId="26473" xr:uid="{00000000-0005-0000-0000-00007A5D0000}"/>
    <cellStyle name="Note 3 3 4 3 3" xfId="37318" xr:uid="{00000000-0005-0000-0000-00007B5D0000}"/>
    <cellStyle name="Note 3 3 4 4" xfId="10160" xr:uid="{00000000-0005-0000-0000-00007C5D0000}"/>
    <cellStyle name="Note 3 3 4 4 2" xfId="29132" xr:uid="{00000000-0005-0000-0000-00007D5D0000}"/>
    <cellStyle name="Note 3 3 4 4 3" xfId="39977" xr:uid="{00000000-0005-0000-0000-00007E5D0000}"/>
    <cellStyle name="Note 3 3 4 5" xfId="20956" xr:uid="{00000000-0005-0000-0000-00007F5D0000}"/>
    <cellStyle name="Note 3 3 4 6" xfId="31801" xr:uid="{00000000-0005-0000-0000-0000805D0000}"/>
    <cellStyle name="Note 3 3 5" xfId="2368" xr:uid="{00000000-0005-0000-0000-0000815D0000}"/>
    <cellStyle name="Note 3 3 5 2" xfId="5221" xr:uid="{00000000-0005-0000-0000-0000825D0000}"/>
    <cellStyle name="Note 3 3 5 2 2" xfId="24193" xr:uid="{00000000-0005-0000-0000-0000835D0000}"/>
    <cellStyle name="Note 3 3 5 2 3" xfId="35038" xr:uid="{00000000-0005-0000-0000-0000845D0000}"/>
    <cellStyle name="Note 3 3 5 3" xfId="7892" xr:uid="{00000000-0005-0000-0000-0000855D0000}"/>
    <cellStyle name="Note 3 3 5 3 2" xfId="26864" xr:uid="{00000000-0005-0000-0000-0000865D0000}"/>
    <cellStyle name="Note 3 3 5 3 3" xfId="37709" xr:uid="{00000000-0005-0000-0000-0000875D0000}"/>
    <cellStyle name="Note 3 3 5 4" xfId="10551" xr:uid="{00000000-0005-0000-0000-0000885D0000}"/>
    <cellStyle name="Note 3 3 5 4 2" xfId="29523" xr:uid="{00000000-0005-0000-0000-0000895D0000}"/>
    <cellStyle name="Note 3 3 5 4 3" xfId="40368" xr:uid="{00000000-0005-0000-0000-00008A5D0000}"/>
    <cellStyle name="Note 3 3 5 5" xfId="21347" xr:uid="{00000000-0005-0000-0000-00008B5D0000}"/>
    <cellStyle name="Note 3 3 5 6" xfId="32192" xr:uid="{00000000-0005-0000-0000-00008C5D0000}"/>
    <cellStyle name="Note 3 3 6" xfId="2757" xr:uid="{00000000-0005-0000-0000-00008D5D0000}"/>
    <cellStyle name="Note 3 3 6 2" xfId="5609" xr:uid="{00000000-0005-0000-0000-00008E5D0000}"/>
    <cellStyle name="Note 3 3 6 2 2" xfId="24581" xr:uid="{00000000-0005-0000-0000-00008F5D0000}"/>
    <cellStyle name="Note 3 3 6 2 3" xfId="35426" xr:uid="{00000000-0005-0000-0000-0000905D0000}"/>
    <cellStyle name="Note 3 3 6 3" xfId="8280" xr:uid="{00000000-0005-0000-0000-0000915D0000}"/>
    <cellStyle name="Note 3 3 6 3 2" xfId="27252" xr:uid="{00000000-0005-0000-0000-0000925D0000}"/>
    <cellStyle name="Note 3 3 6 3 3" xfId="38097" xr:uid="{00000000-0005-0000-0000-0000935D0000}"/>
    <cellStyle name="Note 3 3 6 4" xfId="10939" xr:uid="{00000000-0005-0000-0000-0000945D0000}"/>
    <cellStyle name="Note 3 3 6 4 2" xfId="29911" xr:uid="{00000000-0005-0000-0000-0000955D0000}"/>
    <cellStyle name="Note 3 3 6 4 3" xfId="40756" xr:uid="{00000000-0005-0000-0000-0000965D0000}"/>
    <cellStyle name="Note 3 3 6 5" xfId="21735" xr:uid="{00000000-0005-0000-0000-0000975D0000}"/>
    <cellStyle name="Note 3 3 6 6" xfId="32580" xr:uid="{00000000-0005-0000-0000-0000985D0000}"/>
    <cellStyle name="Note 3 3 7" xfId="3448" xr:uid="{00000000-0005-0000-0000-0000995D0000}"/>
    <cellStyle name="Note 3 3 7 2" xfId="22420" xr:uid="{00000000-0005-0000-0000-00009A5D0000}"/>
    <cellStyle name="Note 3 3 7 3" xfId="33265" xr:uid="{00000000-0005-0000-0000-00009B5D0000}"/>
    <cellStyle name="Note 3 3 8" xfId="6124" xr:uid="{00000000-0005-0000-0000-00009C5D0000}"/>
    <cellStyle name="Note 3 3 8 2" xfId="25096" xr:uid="{00000000-0005-0000-0000-00009D5D0000}"/>
    <cellStyle name="Note 3 3 8 3" xfId="35941" xr:uid="{00000000-0005-0000-0000-00009E5D0000}"/>
    <cellStyle name="Note 3 3 9" xfId="8783" xr:uid="{00000000-0005-0000-0000-00009F5D0000}"/>
    <cellStyle name="Note 3 3 9 2" xfId="27755" xr:uid="{00000000-0005-0000-0000-0000A05D0000}"/>
    <cellStyle name="Note 3 3 9 3" xfId="38600" xr:uid="{00000000-0005-0000-0000-0000A15D0000}"/>
    <cellStyle name="Note 4" xfId="313" xr:uid="{00000000-0005-0000-0000-0000A25D0000}"/>
    <cellStyle name="Note 4 2" xfId="425" xr:uid="{00000000-0005-0000-0000-0000A35D0000}"/>
    <cellStyle name="Note 4 2 10" xfId="2707" xr:uid="{00000000-0005-0000-0000-0000A45D0000}"/>
    <cellStyle name="Note 4 2 10 2" xfId="5559" xr:uid="{00000000-0005-0000-0000-0000A55D0000}"/>
    <cellStyle name="Note 4 2 10 2 2" xfId="24531" xr:uid="{00000000-0005-0000-0000-0000A65D0000}"/>
    <cellStyle name="Note 4 2 10 2 3" xfId="35376" xr:uid="{00000000-0005-0000-0000-0000A75D0000}"/>
    <cellStyle name="Note 4 2 10 3" xfId="8230" xr:uid="{00000000-0005-0000-0000-0000A85D0000}"/>
    <cellStyle name="Note 4 2 10 3 2" xfId="27202" xr:uid="{00000000-0005-0000-0000-0000A95D0000}"/>
    <cellStyle name="Note 4 2 10 3 3" xfId="38047" xr:uid="{00000000-0005-0000-0000-0000AA5D0000}"/>
    <cellStyle name="Note 4 2 10 4" xfId="10889" xr:uid="{00000000-0005-0000-0000-0000AB5D0000}"/>
    <cellStyle name="Note 4 2 10 4 2" xfId="29861" xr:uid="{00000000-0005-0000-0000-0000AC5D0000}"/>
    <cellStyle name="Note 4 2 10 4 3" xfId="40706" xr:uid="{00000000-0005-0000-0000-0000AD5D0000}"/>
    <cellStyle name="Note 4 2 10 5" xfId="21685" xr:uid="{00000000-0005-0000-0000-0000AE5D0000}"/>
    <cellStyle name="Note 4 2 10 6" xfId="32530" xr:uid="{00000000-0005-0000-0000-0000AF5D0000}"/>
    <cellStyle name="Note 4 2 11" xfId="3092" xr:uid="{00000000-0005-0000-0000-0000B05D0000}"/>
    <cellStyle name="Note 4 2 11 2" xfId="5943" xr:uid="{00000000-0005-0000-0000-0000B15D0000}"/>
    <cellStyle name="Note 4 2 11 2 2" xfId="24915" xr:uid="{00000000-0005-0000-0000-0000B25D0000}"/>
    <cellStyle name="Note 4 2 11 2 3" xfId="35760" xr:uid="{00000000-0005-0000-0000-0000B35D0000}"/>
    <cellStyle name="Note 4 2 11 3" xfId="8614" xr:uid="{00000000-0005-0000-0000-0000B45D0000}"/>
    <cellStyle name="Note 4 2 11 3 2" xfId="27586" xr:uid="{00000000-0005-0000-0000-0000B55D0000}"/>
    <cellStyle name="Note 4 2 11 3 3" xfId="38431" xr:uid="{00000000-0005-0000-0000-0000B65D0000}"/>
    <cellStyle name="Note 4 2 11 4" xfId="11273" xr:uid="{00000000-0005-0000-0000-0000B75D0000}"/>
    <cellStyle name="Note 4 2 11 4 2" xfId="30245" xr:uid="{00000000-0005-0000-0000-0000B85D0000}"/>
    <cellStyle name="Note 4 2 11 4 3" xfId="41090" xr:uid="{00000000-0005-0000-0000-0000B95D0000}"/>
    <cellStyle name="Note 4 2 11 5" xfId="22069" xr:uid="{00000000-0005-0000-0000-0000BA5D0000}"/>
    <cellStyle name="Note 4 2 11 6" xfId="32914" xr:uid="{00000000-0005-0000-0000-0000BB5D0000}"/>
    <cellStyle name="Note 4 2 12" xfId="3149" xr:uid="{00000000-0005-0000-0000-0000BC5D0000}"/>
    <cellStyle name="Note 4 2 12 2" xfId="6000" xr:uid="{00000000-0005-0000-0000-0000BD5D0000}"/>
    <cellStyle name="Note 4 2 12 2 2" xfId="24972" xr:uid="{00000000-0005-0000-0000-0000BE5D0000}"/>
    <cellStyle name="Note 4 2 12 2 3" xfId="35817" xr:uid="{00000000-0005-0000-0000-0000BF5D0000}"/>
    <cellStyle name="Note 4 2 12 3" xfId="8671" xr:uid="{00000000-0005-0000-0000-0000C05D0000}"/>
    <cellStyle name="Note 4 2 12 3 2" xfId="27643" xr:uid="{00000000-0005-0000-0000-0000C15D0000}"/>
    <cellStyle name="Note 4 2 12 3 3" xfId="38488" xr:uid="{00000000-0005-0000-0000-0000C25D0000}"/>
    <cellStyle name="Note 4 2 12 4" xfId="11330" xr:uid="{00000000-0005-0000-0000-0000C35D0000}"/>
    <cellStyle name="Note 4 2 12 4 2" xfId="30302" xr:uid="{00000000-0005-0000-0000-0000C45D0000}"/>
    <cellStyle name="Note 4 2 12 4 3" xfId="41147" xr:uid="{00000000-0005-0000-0000-0000C55D0000}"/>
    <cellStyle name="Note 4 2 12 5" xfId="22126" xr:uid="{00000000-0005-0000-0000-0000C65D0000}"/>
    <cellStyle name="Note 4 2 12 6" xfId="32971" xr:uid="{00000000-0005-0000-0000-0000C75D0000}"/>
    <cellStyle name="Note 4 2 13" xfId="3206" xr:uid="{00000000-0005-0000-0000-0000C85D0000}"/>
    <cellStyle name="Note 4 2 13 2" xfId="6057" xr:uid="{00000000-0005-0000-0000-0000C95D0000}"/>
    <cellStyle name="Note 4 2 13 2 2" xfId="25029" xr:uid="{00000000-0005-0000-0000-0000CA5D0000}"/>
    <cellStyle name="Note 4 2 13 2 3" xfId="35874" xr:uid="{00000000-0005-0000-0000-0000CB5D0000}"/>
    <cellStyle name="Note 4 2 13 3" xfId="8728" xr:uid="{00000000-0005-0000-0000-0000CC5D0000}"/>
    <cellStyle name="Note 4 2 13 3 2" xfId="27700" xr:uid="{00000000-0005-0000-0000-0000CD5D0000}"/>
    <cellStyle name="Note 4 2 13 3 3" xfId="38545" xr:uid="{00000000-0005-0000-0000-0000CE5D0000}"/>
    <cellStyle name="Note 4 2 13 4" xfId="11387" xr:uid="{00000000-0005-0000-0000-0000CF5D0000}"/>
    <cellStyle name="Note 4 2 13 4 2" xfId="30359" xr:uid="{00000000-0005-0000-0000-0000D05D0000}"/>
    <cellStyle name="Note 4 2 13 4 3" xfId="41204" xr:uid="{00000000-0005-0000-0000-0000D15D0000}"/>
    <cellStyle name="Note 4 2 13 5" xfId="22183" xr:uid="{00000000-0005-0000-0000-0000D25D0000}"/>
    <cellStyle name="Note 4 2 13 6" xfId="33028" xr:uid="{00000000-0005-0000-0000-0000D35D0000}"/>
    <cellStyle name="Note 4 2 14" xfId="3375" xr:uid="{00000000-0005-0000-0000-0000D45D0000}"/>
    <cellStyle name="Note 4 2 14 2" xfId="22349" xr:uid="{00000000-0005-0000-0000-0000D55D0000}"/>
    <cellStyle name="Note 4 2 14 3" xfId="33194" xr:uid="{00000000-0005-0000-0000-0000D65D0000}"/>
    <cellStyle name="Note 4 2 15" xfId="3264" xr:uid="{00000000-0005-0000-0000-0000D75D0000}"/>
    <cellStyle name="Note 4 2 15 2" xfId="22238" xr:uid="{00000000-0005-0000-0000-0000D85D0000}"/>
    <cellStyle name="Note 4 2 15 3" xfId="33083" xr:uid="{00000000-0005-0000-0000-0000D95D0000}"/>
    <cellStyle name="Note 4 2 16" xfId="3230" xr:uid="{00000000-0005-0000-0000-0000DA5D0000}"/>
    <cellStyle name="Note 4 2 16 2" xfId="22207" xr:uid="{00000000-0005-0000-0000-0000DB5D0000}"/>
    <cellStyle name="Note 4 2 16 3" xfId="33052" xr:uid="{00000000-0005-0000-0000-0000DC5D0000}"/>
    <cellStyle name="Note 4 2 17" xfId="19503" xr:uid="{00000000-0005-0000-0000-0000DD5D0000}"/>
    <cellStyle name="Note 4 2 18" xfId="19424" xr:uid="{00000000-0005-0000-0000-0000DE5D0000}"/>
    <cellStyle name="Note 4 2 2" xfId="716" xr:uid="{00000000-0005-0000-0000-0000DF5D0000}"/>
    <cellStyle name="Note 4 2 2 10" xfId="19701" xr:uid="{00000000-0005-0000-0000-0000E05D0000}"/>
    <cellStyle name="Note 4 2 2 11" xfId="30546" xr:uid="{00000000-0005-0000-0000-0000E15D0000}"/>
    <cellStyle name="Note 4 2 2 2" xfId="1303" xr:uid="{00000000-0005-0000-0000-0000E25D0000}"/>
    <cellStyle name="Note 4 2 2 2 2" xfId="4156" xr:uid="{00000000-0005-0000-0000-0000E35D0000}"/>
    <cellStyle name="Note 4 2 2 2 2 2" xfId="23128" xr:uid="{00000000-0005-0000-0000-0000E45D0000}"/>
    <cellStyle name="Note 4 2 2 2 2 3" xfId="33973" xr:uid="{00000000-0005-0000-0000-0000E55D0000}"/>
    <cellStyle name="Note 4 2 2 2 3" xfId="6829" xr:uid="{00000000-0005-0000-0000-0000E65D0000}"/>
    <cellStyle name="Note 4 2 2 2 3 2" xfId="25801" xr:uid="{00000000-0005-0000-0000-0000E75D0000}"/>
    <cellStyle name="Note 4 2 2 2 3 3" xfId="36646" xr:uid="{00000000-0005-0000-0000-0000E85D0000}"/>
    <cellStyle name="Note 4 2 2 2 4" xfId="9488" xr:uid="{00000000-0005-0000-0000-0000E95D0000}"/>
    <cellStyle name="Note 4 2 2 2 4 2" xfId="28460" xr:uid="{00000000-0005-0000-0000-0000EA5D0000}"/>
    <cellStyle name="Note 4 2 2 2 4 3" xfId="39305" xr:uid="{00000000-0005-0000-0000-0000EB5D0000}"/>
    <cellStyle name="Note 4 2 2 2 5" xfId="20284" xr:uid="{00000000-0005-0000-0000-0000EC5D0000}"/>
    <cellStyle name="Note 4 2 2 2 6" xfId="31129" xr:uid="{00000000-0005-0000-0000-0000ED5D0000}"/>
    <cellStyle name="Note 4 2 2 3" xfId="1702" xr:uid="{00000000-0005-0000-0000-0000EE5D0000}"/>
    <cellStyle name="Note 4 2 2 3 2" xfId="4555" xr:uid="{00000000-0005-0000-0000-0000EF5D0000}"/>
    <cellStyle name="Note 4 2 2 3 2 2" xfId="23527" xr:uid="{00000000-0005-0000-0000-0000F05D0000}"/>
    <cellStyle name="Note 4 2 2 3 2 3" xfId="34372" xr:uid="{00000000-0005-0000-0000-0000F15D0000}"/>
    <cellStyle name="Note 4 2 2 3 3" xfId="7227" xr:uid="{00000000-0005-0000-0000-0000F25D0000}"/>
    <cellStyle name="Note 4 2 2 3 3 2" xfId="26199" xr:uid="{00000000-0005-0000-0000-0000F35D0000}"/>
    <cellStyle name="Note 4 2 2 3 3 3" xfId="37044" xr:uid="{00000000-0005-0000-0000-0000F45D0000}"/>
    <cellStyle name="Note 4 2 2 3 4" xfId="9886" xr:uid="{00000000-0005-0000-0000-0000F55D0000}"/>
    <cellStyle name="Note 4 2 2 3 4 2" xfId="28858" xr:uid="{00000000-0005-0000-0000-0000F65D0000}"/>
    <cellStyle name="Note 4 2 2 3 4 3" xfId="39703" xr:uid="{00000000-0005-0000-0000-0000F75D0000}"/>
    <cellStyle name="Note 4 2 2 3 5" xfId="20682" xr:uid="{00000000-0005-0000-0000-0000F85D0000}"/>
    <cellStyle name="Note 4 2 2 3 6" xfId="31527" xr:uid="{00000000-0005-0000-0000-0000F95D0000}"/>
    <cellStyle name="Note 4 2 2 4" xfId="2106" xr:uid="{00000000-0005-0000-0000-0000FA5D0000}"/>
    <cellStyle name="Note 4 2 2 4 2" xfId="4959" xr:uid="{00000000-0005-0000-0000-0000FB5D0000}"/>
    <cellStyle name="Note 4 2 2 4 2 2" xfId="23931" xr:uid="{00000000-0005-0000-0000-0000FC5D0000}"/>
    <cellStyle name="Note 4 2 2 4 2 3" xfId="34776" xr:uid="{00000000-0005-0000-0000-0000FD5D0000}"/>
    <cellStyle name="Note 4 2 2 4 3" xfId="7630" xr:uid="{00000000-0005-0000-0000-0000FE5D0000}"/>
    <cellStyle name="Note 4 2 2 4 3 2" xfId="26602" xr:uid="{00000000-0005-0000-0000-0000FF5D0000}"/>
    <cellStyle name="Note 4 2 2 4 3 3" xfId="37447" xr:uid="{00000000-0005-0000-0000-0000005E0000}"/>
    <cellStyle name="Note 4 2 2 4 4" xfId="10289" xr:uid="{00000000-0005-0000-0000-0000015E0000}"/>
    <cellStyle name="Note 4 2 2 4 4 2" xfId="29261" xr:uid="{00000000-0005-0000-0000-0000025E0000}"/>
    <cellStyle name="Note 4 2 2 4 4 3" xfId="40106" xr:uid="{00000000-0005-0000-0000-0000035E0000}"/>
    <cellStyle name="Note 4 2 2 4 5" xfId="21085" xr:uid="{00000000-0005-0000-0000-0000045E0000}"/>
    <cellStyle name="Note 4 2 2 4 6" xfId="31930" xr:uid="{00000000-0005-0000-0000-0000055E0000}"/>
    <cellStyle name="Note 4 2 2 5" xfId="2496" xr:uid="{00000000-0005-0000-0000-0000065E0000}"/>
    <cellStyle name="Note 4 2 2 5 2" xfId="5348" xr:uid="{00000000-0005-0000-0000-0000075E0000}"/>
    <cellStyle name="Note 4 2 2 5 2 2" xfId="24320" xr:uid="{00000000-0005-0000-0000-0000085E0000}"/>
    <cellStyle name="Note 4 2 2 5 2 3" xfId="35165" xr:uid="{00000000-0005-0000-0000-0000095E0000}"/>
    <cellStyle name="Note 4 2 2 5 3" xfId="8019" xr:uid="{00000000-0005-0000-0000-00000A5E0000}"/>
    <cellStyle name="Note 4 2 2 5 3 2" xfId="26991" xr:uid="{00000000-0005-0000-0000-00000B5E0000}"/>
    <cellStyle name="Note 4 2 2 5 3 3" xfId="37836" xr:uid="{00000000-0005-0000-0000-00000C5E0000}"/>
    <cellStyle name="Note 4 2 2 5 4" xfId="10678" xr:uid="{00000000-0005-0000-0000-00000D5E0000}"/>
    <cellStyle name="Note 4 2 2 5 4 2" xfId="29650" xr:uid="{00000000-0005-0000-0000-00000E5E0000}"/>
    <cellStyle name="Note 4 2 2 5 4 3" xfId="40495" xr:uid="{00000000-0005-0000-0000-00000F5E0000}"/>
    <cellStyle name="Note 4 2 2 5 5" xfId="21474" xr:uid="{00000000-0005-0000-0000-0000105E0000}"/>
    <cellStyle name="Note 4 2 2 5 6" xfId="32319" xr:uid="{00000000-0005-0000-0000-0000115E0000}"/>
    <cellStyle name="Note 4 2 2 6" xfId="2882" xr:uid="{00000000-0005-0000-0000-0000125E0000}"/>
    <cellStyle name="Note 4 2 2 6 2" xfId="5733" xr:uid="{00000000-0005-0000-0000-0000135E0000}"/>
    <cellStyle name="Note 4 2 2 6 2 2" xfId="24705" xr:uid="{00000000-0005-0000-0000-0000145E0000}"/>
    <cellStyle name="Note 4 2 2 6 2 3" xfId="35550" xr:uid="{00000000-0005-0000-0000-0000155E0000}"/>
    <cellStyle name="Note 4 2 2 6 3" xfId="8404" xr:uid="{00000000-0005-0000-0000-0000165E0000}"/>
    <cellStyle name="Note 4 2 2 6 3 2" xfId="27376" xr:uid="{00000000-0005-0000-0000-0000175E0000}"/>
    <cellStyle name="Note 4 2 2 6 3 3" xfId="38221" xr:uid="{00000000-0005-0000-0000-0000185E0000}"/>
    <cellStyle name="Note 4 2 2 6 4" xfId="11063" xr:uid="{00000000-0005-0000-0000-0000195E0000}"/>
    <cellStyle name="Note 4 2 2 6 4 2" xfId="30035" xr:uid="{00000000-0005-0000-0000-00001A5E0000}"/>
    <cellStyle name="Note 4 2 2 6 4 3" xfId="40880" xr:uid="{00000000-0005-0000-0000-00001B5E0000}"/>
    <cellStyle name="Note 4 2 2 6 5" xfId="21859" xr:uid="{00000000-0005-0000-0000-00001C5E0000}"/>
    <cellStyle name="Note 4 2 2 6 6" xfId="32704" xr:uid="{00000000-0005-0000-0000-00001D5E0000}"/>
    <cellStyle name="Note 4 2 2 7" xfId="3571" xr:uid="{00000000-0005-0000-0000-00001E5E0000}"/>
    <cellStyle name="Note 4 2 2 7 2" xfId="22543" xr:uid="{00000000-0005-0000-0000-00001F5E0000}"/>
    <cellStyle name="Note 4 2 2 7 3" xfId="33388" xr:uid="{00000000-0005-0000-0000-0000205E0000}"/>
    <cellStyle name="Note 4 2 2 8" xfId="6246" xr:uid="{00000000-0005-0000-0000-0000215E0000}"/>
    <cellStyle name="Note 4 2 2 8 2" xfId="25218" xr:uid="{00000000-0005-0000-0000-0000225E0000}"/>
    <cellStyle name="Note 4 2 2 8 3" xfId="36063" xr:uid="{00000000-0005-0000-0000-0000235E0000}"/>
    <cellStyle name="Note 4 2 2 9" xfId="8905" xr:uid="{00000000-0005-0000-0000-0000245E0000}"/>
    <cellStyle name="Note 4 2 2 9 2" xfId="27877" xr:uid="{00000000-0005-0000-0000-0000255E0000}"/>
    <cellStyle name="Note 4 2 2 9 3" xfId="38722" xr:uid="{00000000-0005-0000-0000-0000265E0000}"/>
    <cellStyle name="Note 4 2 3" xfId="775" xr:uid="{00000000-0005-0000-0000-0000275E0000}"/>
    <cellStyle name="Note 4 2 3 10" xfId="19760" xr:uid="{00000000-0005-0000-0000-0000285E0000}"/>
    <cellStyle name="Note 4 2 3 11" xfId="30605" xr:uid="{00000000-0005-0000-0000-0000295E0000}"/>
    <cellStyle name="Note 4 2 3 2" xfId="1362" xr:uid="{00000000-0005-0000-0000-00002A5E0000}"/>
    <cellStyle name="Note 4 2 3 2 2" xfId="4215" xr:uid="{00000000-0005-0000-0000-00002B5E0000}"/>
    <cellStyle name="Note 4 2 3 2 2 2" xfId="23187" xr:uid="{00000000-0005-0000-0000-00002C5E0000}"/>
    <cellStyle name="Note 4 2 3 2 2 3" xfId="34032" xr:uid="{00000000-0005-0000-0000-00002D5E0000}"/>
    <cellStyle name="Note 4 2 3 2 3" xfId="6888" xr:uid="{00000000-0005-0000-0000-00002E5E0000}"/>
    <cellStyle name="Note 4 2 3 2 3 2" xfId="25860" xr:uid="{00000000-0005-0000-0000-00002F5E0000}"/>
    <cellStyle name="Note 4 2 3 2 3 3" xfId="36705" xr:uid="{00000000-0005-0000-0000-0000305E0000}"/>
    <cellStyle name="Note 4 2 3 2 4" xfId="9547" xr:uid="{00000000-0005-0000-0000-0000315E0000}"/>
    <cellStyle name="Note 4 2 3 2 4 2" xfId="28519" xr:uid="{00000000-0005-0000-0000-0000325E0000}"/>
    <cellStyle name="Note 4 2 3 2 4 3" xfId="39364" xr:uid="{00000000-0005-0000-0000-0000335E0000}"/>
    <cellStyle name="Note 4 2 3 2 5" xfId="20343" xr:uid="{00000000-0005-0000-0000-0000345E0000}"/>
    <cellStyle name="Note 4 2 3 2 6" xfId="31188" xr:uid="{00000000-0005-0000-0000-0000355E0000}"/>
    <cellStyle name="Note 4 2 3 3" xfId="1761" xr:uid="{00000000-0005-0000-0000-0000365E0000}"/>
    <cellStyle name="Note 4 2 3 3 2" xfId="4614" xr:uid="{00000000-0005-0000-0000-0000375E0000}"/>
    <cellStyle name="Note 4 2 3 3 2 2" xfId="23586" xr:uid="{00000000-0005-0000-0000-0000385E0000}"/>
    <cellStyle name="Note 4 2 3 3 2 3" xfId="34431" xr:uid="{00000000-0005-0000-0000-0000395E0000}"/>
    <cellStyle name="Note 4 2 3 3 3" xfId="7286" xr:uid="{00000000-0005-0000-0000-00003A5E0000}"/>
    <cellStyle name="Note 4 2 3 3 3 2" xfId="26258" xr:uid="{00000000-0005-0000-0000-00003B5E0000}"/>
    <cellStyle name="Note 4 2 3 3 3 3" xfId="37103" xr:uid="{00000000-0005-0000-0000-00003C5E0000}"/>
    <cellStyle name="Note 4 2 3 3 4" xfId="9945" xr:uid="{00000000-0005-0000-0000-00003D5E0000}"/>
    <cellStyle name="Note 4 2 3 3 4 2" xfId="28917" xr:uid="{00000000-0005-0000-0000-00003E5E0000}"/>
    <cellStyle name="Note 4 2 3 3 4 3" xfId="39762" xr:uid="{00000000-0005-0000-0000-00003F5E0000}"/>
    <cellStyle name="Note 4 2 3 3 5" xfId="20741" xr:uid="{00000000-0005-0000-0000-0000405E0000}"/>
    <cellStyle name="Note 4 2 3 3 6" xfId="31586" xr:uid="{00000000-0005-0000-0000-0000415E0000}"/>
    <cellStyle name="Note 4 2 3 4" xfId="2165" xr:uid="{00000000-0005-0000-0000-0000425E0000}"/>
    <cellStyle name="Note 4 2 3 4 2" xfId="5018" xr:uid="{00000000-0005-0000-0000-0000435E0000}"/>
    <cellStyle name="Note 4 2 3 4 2 2" xfId="23990" xr:uid="{00000000-0005-0000-0000-0000445E0000}"/>
    <cellStyle name="Note 4 2 3 4 2 3" xfId="34835" xr:uid="{00000000-0005-0000-0000-0000455E0000}"/>
    <cellStyle name="Note 4 2 3 4 3" xfId="7689" xr:uid="{00000000-0005-0000-0000-0000465E0000}"/>
    <cellStyle name="Note 4 2 3 4 3 2" xfId="26661" xr:uid="{00000000-0005-0000-0000-0000475E0000}"/>
    <cellStyle name="Note 4 2 3 4 3 3" xfId="37506" xr:uid="{00000000-0005-0000-0000-0000485E0000}"/>
    <cellStyle name="Note 4 2 3 4 4" xfId="10348" xr:uid="{00000000-0005-0000-0000-0000495E0000}"/>
    <cellStyle name="Note 4 2 3 4 4 2" xfId="29320" xr:uid="{00000000-0005-0000-0000-00004A5E0000}"/>
    <cellStyle name="Note 4 2 3 4 4 3" xfId="40165" xr:uid="{00000000-0005-0000-0000-00004B5E0000}"/>
    <cellStyle name="Note 4 2 3 4 5" xfId="21144" xr:uid="{00000000-0005-0000-0000-00004C5E0000}"/>
    <cellStyle name="Note 4 2 3 4 6" xfId="31989" xr:uid="{00000000-0005-0000-0000-00004D5E0000}"/>
    <cellStyle name="Note 4 2 3 5" xfId="2555" xr:uid="{00000000-0005-0000-0000-00004E5E0000}"/>
    <cellStyle name="Note 4 2 3 5 2" xfId="5407" xr:uid="{00000000-0005-0000-0000-00004F5E0000}"/>
    <cellStyle name="Note 4 2 3 5 2 2" xfId="24379" xr:uid="{00000000-0005-0000-0000-0000505E0000}"/>
    <cellStyle name="Note 4 2 3 5 2 3" xfId="35224" xr:uid="{00000000-0005-0000-0000-0000515E0000}"/>
    <cellStyle name="Note 4 2 3 5 3" xfId="8078" xr:uid="{00000000-0005-0000-0000-0000525E0000}"/>
    <cellStyle name="Note 4 2 3 5 3 2" xfId="27050" xr:uid="{00000000-0005-0000-0000-0000535E0000}"/>
    <cellStyle name="Note 4 2 3 5 3 3" xfId="37895" xr:uid="{00000000-0005-0000-0000-0000545E0000}"/>
    <cellStyle name="Note 4 2 3 5 4" xfId="10737" xr:uid="{00000000-0005-0000-0000-0000555E0000}"/>
    <cellStyle name="Note 4 2 3 5 4 2" xfId="29709" xr:uid="{00000000-0005-0000-0000-0000565E0000}"/>
    <cellStyle name="Note 4 2 3 5 4 3" xfId="40554" xr:uid="{00000000-0005-0000-0000-0000575E0000}"/>
    <cellStyle name="Note 4 2 3 5 5" xfId="21533" xr:uid="{00000000-0005-0000-0000-0000585E0000}"/>
    <cellStyle name="Note 4 2 3 5 6" xfId="32378" xr:uid="{00000000-0005-0000-0000-0000595E0000}"/>
    <cellStyle name="Note 4 2 3 6" xfId="2941" xr:uid="{00000000-0005-0000-0000-00005A5E0000}"/>
    <cellStyle name="Note 4 2 3 6 2" xfId="5792" xr:uid="{00000000-0005-0000-0000-00005B5E0000}"/>
    <cellStyle name="Note 4 2 3 6 2 2" xfId="24764" xr:uid="{00000000-0005-0000-0000-00005C5E0000}"/>
    <cellStyle name="Note 4 2 3 6 2 3" xfId="35609" xr:uid="{00000000-0005-0000-0000-00005D5E0000}"/>
    <cellStyle name="Note 4 2 3 6 3" xfId="8463" xr:uid="{00000000-0005-0000-0000-00005E5E0000}"/>
    <cellStyle name="Note 4 2 3 6 3 2" xfId="27435" xr:uid="{00000000-0005-0000-0000-00005F5E0000}"/>
    <cellStyle name="Note 4 2 3 6 3 3" xfId="38280" xr:uid="{00000000-0005-0000-0000-0000605E0000}"/>
    <cellStyle name="Note 4 2 3 6 4" xfId="11122" xr:uid="{00000000-0005-0000-0000-0000615E0000}"/>
    <cellStyle name="Note 4 2 3 6 4 2" xfId="30094" xr:uid="{00000000-0005-0000-0000-0000625E0000}"/>
    <cellStyle name="Note 4 2 3 6 4 3" xfId="40939" xr:uid="{00000000-0005-0000-0000-0000635E0000}"/>
    <cellStyle name="Note 4 2 3 6 5" xfId="21918" xr:uid="{00000000-0005-0000-0000-0000645E0000}"/>
    <cellStyle name="Note 4 2 3 6 6" xfId="32763" xr:uid="{00000000-0005-0000-0000-0000655E0000}"/>
    <cellStyle name="Note 4 2 3 7" xfId="3630" xr:uid="{00000000-0005-0000-0000-0000665E0000}"/>
    <cellStyle name="Note 4 2 3 7 2" xfId="22602" xr:uid="{00000000-0005-0000-0000-0000675E0000}"/>
    <cellStyle name="Note 4 2 3 7 3" xfId="33447" xr:uid="{00000000-0005-0000-0000-0000685E0000}"/>
    <cellStyle name="Note 4 2 3 8" xfId="6305" xr:uid="{00000000-0005-0000-0000-0000695E0000}"/>
    <cellStyle name="Note 4 2 3 8 2" xfId="25277" xr:uid="{00000000-0005-0000-0000-00006A5E0000}"/>
    <cellStyle name="Note 4 2 3 8 3" xfId="36122" xr:uid="{00000000-0005-0000-0000-00006B5E0000}"/>
    <cellStyle name="Note 4 2 3 9" xfId="8964" xr:uid="{00000000-0005-0000-0000-00006C5E0000}"/>
    <cellStyle name="Note 4 2 3 9 2" xfId="27936" xr:uid="{00000000-0005-0000-0000-00006D5E0000}"/>
    <cellStyle name="Note 4 2 3 9 3" xfId="38781" xr:uid="{00000000-0005-0000-0000-00006E5E0000}"/>
    <cellStyle name="Note 4 2 4" xfId="834" xr:uid="{00000000-0005-0000-0000-00006F5E0000}"/>
    <cellStyle name="Note 4 2 4 10" xfId="19819" xr:uid="{00000000-0005-0000-0000-0000705E0000}"/>
    <cellStyle name="Note 4 2 4 11" xfId="30664" xr:uid="{00000000-0005-0000-0000-0000715E0000}"/>
    <cellStyle name="Note 4 2 4 2" xfId="1421" xr:uid="{00000000-0005-0000-0000-0000725E0000}"/>
    <cellStyle name="Note 4 2 4 2 2" xfId="4274" xr:uid="{00000000-0005-0000-0000-0000735E0000}"/>
    <cellStyle name="Note 4 2 4 2 2 2" xfId="23246" xr:uid="{00000000-0005-0000-0000-0000745E0000}"/>
    <cellStyle name="Note 4 2 4 2 2 3" xfId="34091" xr:uid="{00000000-0005-0000-0000-0000755E0000}"/>
    <cellStyle name="Note 4 2 4 2 3" xfId="6947" xr:uid="{00000000-0005-0000-0000-0000765E0000}"/>
    <cellStyle name="Note 4 2 4 2 3 2" xfId="25919" xr:uid="{00000000-0005-0000-0000-0000775E0000}"/>
    <cellStyle name="Note 4 2 4 2 3 3" xfId="36764" xr:uid="{00000000-0005-0000-0000-0000785E0000}"/>
    <cellStyle name="Note 4 2 4 2 4" xfId="9606" xr:uid="{00000000-0005-0000-0000-0000795E0000}"/>
    <cellStyle name="Note 4 2 4 2 4 2" xfId="28578" xr:uid="{00000000-0005-0000-0000-00007A5E0000}"/>
    <cellStyle name="Note 4 2 4 2 4 3" xfId="39423" xr:uid="{00000000-0005-0000-0000-00007B5E0000}"/>
    <cellStyle name="Note 4 2 4 2 5" xfId="20402" xr:uid="{00000000-0005-0000-0000-00007C5E0000}"/>
    <cellStyle name="Note 4 2 4 2 6" xfId="31247" xr:uid="{00000000-0005-0000-0000-00007D5E0000}"/>
    <cellStyle name="Note 4 2 4 3" xfId="1820" xr:uid="{00000000-0005-0000-0000-00007E5E0000}"/>
    <cellStyle name="Note 4 2 4 3 2" xfId="4673" xr:uid="{00000000-0005-0000-0000-00007F5E0000}"/>
    <cellStyle name="Note 4 2 4 3 2 2" xfId="23645" xr:uid="{00000000-0005-0000-0000-0000805E0000}"/>
    <cellStyle name="Note 4 2 4 3 2 3" xfId="34490" xr:uid="{00000000-0005-0000-0000-0000815E0000}"/>
    <cellStyle name="Note 4 2 4 3 3" xfId="7345" xr:uid="{00000000-0005-0000-0000-0000825E0000}"/>
    <cellStyle name="Note 4 2 4 3 3 2" xfId="26317" xr:uid="{00000000-0005-0000-0000-0000835E0000}"/>
    <cellStyle name="Note 4 2 4 3 3 3" xfId="37162" xr:uid="{00000000-0005-0000-0000-0000845E0000}"/>
    <cellStyle name="Note 4 2 4 3 4" xfId="10004" xr:uid="{00000000-0005-0000-0000-0000855E0000}"/>
    <cellStyle name="Note 4 2 4 3 4 2" xfId="28976" xr:uid="{00000000-0005-0000-0000-0000865E0000}"/>
    <cellStyle name="Note 4 2 4 3 4 3" xfId="39821" xr:uid="{00000000-0005-0000-0000-0000875E0000}"/>
    <cellStyle name="Note 4 2 4 3 5" xfId="20800" xr:uid="{00000000-0005-0000-0000-0000885E0000}"/>
    <cellStyle name="Note 4 2 4 3 6" xfId="31645" xr:uid="{00000000-0005-0000-0000-0000895E0000}"/>
    <cellStyle name="Note 4 2 4 4" xfId="2224" xr:uid="{00000000-0005-0000-0000-00008A5E0000}"/>
    <cellStyle name="Note 4 2 4 4 2" xfId="5077" xr:uid="{00000000-0005-0000-0000-00008B5E0000}"/>
    <cellStyle name="Note 4 2 4 4 2 2" xfId="24049" xr:uid="{00000000-0005-0000-0000-00008C5E0000}"/>
    <cellStyle name="Note 4 2 4 4 2 3" xfId="34894" xr:uid="{00000000-0005-0000-0000-00008D5E0000}"/>
    <cellStyle name="Note 4 2 4 4 3" xfId="7748" xr:uid="{00000000-0005-0000-0000-00008E5E0000}"/>
    <cellStyle name="Note 4 2 4 4 3 2" xfId="26720" xr:uid="{00000000-0005-0000-0000-00008F5E0000}"/>
    <cellStyle name="Note 4 2 4 4 3 3" xfId="37565" xr:uid="{00000000-0005-0000-0000-0000905E0000}"/>
    <cellStyle name="Note 4 2 4 4 4" xfId="10407" xr:uid="{00000000-0005-0000-0000-0000915E0000}"/>
    <cellStyle name="Note 4 2 4 4 4 2" xfId="29379" xr:uid="{00000000-0005-0000-0000-0000925E0000}"/>
    <cellStyle name="Note 4 2 4 4 4 3" xfId="40224" xr:uid="{00000000-0005-0000-0000-0000935E0000}"/>
    <cellStyle name="Note 4 2 4 4 5" xfId="21203" xr:uid="{00000000-0005-0000-0000-0000945E0000}"/>
    <cellStyle name="Note 4 2 4 4 6" xfId="32048" xr:uid="{00000000-0005-0000-0000-0000955E0000}"/>
    <cellStyle name="Note 4 2 4 5" xfId="2614" xr:uid="{00000000-0005-0000-0000-0000965E0000}"/>
    <cellStyle name="Note 4 2 4 5 2" xfId="5466" xr:uid="{00000000-0005-0000-0000-0000975E0000}"/>
    <cellStyle name="Note 4 2 4 5 2 2" xfId="24438" xr:uid="{00000000-0005-0000-0000-0000985E0000}"/>
    <cellStyle name="Note 4 2 4 5 2 3" xfId="35283" xr:uid="{00000000-0005-0000-0000-0000995E0000}"/>
    <cellStyle name="Note 4 2 4 5 3" xfId="8137" xr:uid="{00000000-0005-0000-0000-00009A5E0000}"/>
    <cellStyle name="Note 4 2 4 5 3 2" xfId="27109" xr:uid="{00000000-0005-0000-0000-00009B5E0000}"/>
    <cellStyle name="Note 4 2 4 5 3 3" xfId="37954" xr:uid="{00000000-0005-0000-0000-00009C5E0000}"/>
    <cellStyle name="Note 4 2 4 5 4" xfId="10796" xr:uid="{00000000-0005-0000-0000-00009D5E0000}"/>
    <cellStyle name="Note 4 2 4 5 4 2" xfId="29768" xr:uid="{00000000-0005-0000-0000-00009E5E0000}"/>
    <cellStyle name="Note 4 2 4 5 4 3" xfId="40613" xr:uid="{00000000-0005-0000-0000-00009F5E0000}"/>
    <cellStyle name="Note 4 2 4 5 5" xfId="21592" xr:uid="{00000000-0005-0000-0000-0000A05E0000}"/>
    <cellStyle name="Note 4 2 4 5 6" xfId="32437" xr:uid="{00000000-0005-0000-0000-0000A15E0000}"/>
    <cellStyle name="Note 4 2 4 6" xfId="3000" xr:uid="{00000000-0005-0000-0000-0000A25E0000}"/>
    <cellStyle name="Note 4 2 4 6 2" xfId="5851" xr:uid="{00000000-0005-0000-0000-0000A35E0000}"/>
    <cellStyle name="Note 4 2 4 6 2 2" xfId="24823" xr:uid="{00000000-0005-0000-0000-0000A45E0000}"/>
    <cellStyle name="Note 4 2 4 6 2 3" xfId="35668" xr:uid="{00000000-0005-0000-0000-0000A55E0000}"/>
    <cellStyle name="Note 4 2 4 6 3" xfId="8522" xr:uid="{00000000-0005-0000-0000-0000A65E0000}"/>
    <cellStyle name="Note 4 2 4 6 3 2" xfId="27494" xr:uid="{00000000-0005-0000-0000-0000A75E0000}"/>
    <cellStyle name="Note 4 2 4 6 3 3" xfId="38339" xr:uid="{00000000-0005-0000-0000-0000A85E0000}"/>
    <cellStyle name="Note 4 2 4 6 4" xfId="11181" xr:uid="{00000000-0005-0000-0000-0000A95E0000}"/>
    <cellStyle name="Note 4 2 4 6 4 2" xfId="30153" xr:uid="{00000000-0005-0000-0000-0000AA5E0000}"/>
    <cellStyle name="Note 4 2 4 6 4 3" xfId="40998" xr:uid="{00000000-0005-0000-0000-0000AB5E0000}"/>
    <cellStyle name="Note 4 2 4 6 5" xfId="21977" xr:uid="{00000000-0005-0000-0000-0000AC5E0000}"/>
    <cellStyle name="Note 4 2 4 6 6" xfId="32822" xr:uid="{00000000-0005-0000-0000-0000AD5E0000}"/>
    <cellStyle name="Note 4 2 4 7" xfId="3689" xr:uid="{00000000-0005-0000-0000-0000AE5E0000}"/>
    <cellStyle name="Note 4 2 4 7 2" xfId="22661" xr:uid="{00000000-0005-0000-0000-0000AF5E0000}"/>
    <cellStyle name="Note 4 2 4 7 3" xfId="33506" xr:uid="{00000000-0005-0000-0000-0000B05E0000}"/>
    <cellStyle name="Note 4 2 4 8" xfId="6364" xr:uid="{00000000-0005-0000-0000-0000B15E0000}"/>
    <cellStyle name="Note 4 2 4 8 2" xfId="25336" xr:uid="{00000000-0005-0000-0000-0000B25E0000}"/>
    <cellStyle name="Note 4 2 4 8 3" xfId="36181" xr:uid="{00000000-0005-0000-0000-0000B35E0000}"/>
    <cellStyle name="Note 4 2 4 9" xfId="9023" xr:uid="{00000000-0005-0000-0000-0000B45E0000}"/>
    <cellStyle name="Note 4 2 4 9 2" xfId="27995" xr:uid="{00000000-0005-0000-0000-0000B55E0000}"/>
    <cellStyle name="Note 4 2 4 9 3" xfId="38840" xr:uid="{00000000-0005-0000-0000-0000B65E0000}"/>
    <cellStyle name="Note 4 2 5" xfId="893" xr:uid="{00000000-0005-0000-0000-0000B75E0000}"/>
    <cellStyle name="Note 4 2 5 10" xfId="19878" xr:uid="{00000000-0005-0000-0000-0000B85E0000}"/>
    <cellStyle name="Note 4 2 5 11" xfId="30723" xr:uid="{00000000-0005-0000-0000-0000B95E0000}"/>
    <cellStyle name="Note 4 2 5 2" xfId="1480" xr:uid="{00000000-0005-0000-0000-0000BA5E0000}"/>
    <cellStyle name="Note 4 2 5 2 2" xfId="4333" xr:uid="{00000000-0005-0000-0000-0000BB5E0000}"/>
    <cellStyle name="Note 4 2 5 2 2 2" xfId="23305" xr:uid="{00000000-0005-0000-0000-0000BC5E0000}"/>
    <cellStyle name="Note 4 2 5 2 2 3" xfId="34150" xr:uid="{00000000-0005-0000-0000-0000BD5E0000}"/>
    <cellStyle name="Note 4 2 5 2 3" xfId="7006" xr:uid="{00000000-0005-0000-0000-0000BE5E0000}"/>
    <cellStyle name="Note 4 2 5 2 3 2" xfId="25978" xr:uid="{00000000-0005-0000-0000-0000BF5E0000}"/>
    <cellStyle name="Note 4 2 5 2 3 3" xfId="36823" xr:uid="{00000000-0005-0000-0000-0000C05E0000}"/>
    <cellStyle name="Note 4 2 5 2 4" xfId="9665" xr:uid="{00000000-0005-0000-0000-0000C15E0000}"/>
    <cellStyle name="Note 4 2 5 2 4 2" xfId="28637" xr:uid="{00000000-0005-0000-0000-0000C25E0000}"/>
    <cellStyle name="Note 4 2 5 2 4 3" xfId="39482" xr:uid="{00000000-0005-0000-0000-0000C35E0000}"/>
    <cellStyle name="Note 4 2 5 2 5" xfId="20461" xr:uid="{00000000-0005-0000-0000-0000C45E0000}"/>
    <cellStyle name="Note 4 2 5 2 6" xfId="31306" xr:uid="{00000000-0005-0000-0000-0000C55E0000}"/>
    <cellStyle name="Note 4 2 5 3" xfId="1879" xr:uid="{00000000-0005-0000-0000-0000C65E0000}"/>
    <cellStyle name="Note 4 2 5 3 2" xfId="4732" xr:uid="{00000000-0005-0000-0000-0000C75E0000}"/>
    <cellStyle name="Note 4 2 5 3 2 2" xfId="23704" xr:uid="{00000000-0005-0000-0000-0000C85E0000}"/>
    <cellStyle name="Note 4 2 5 3 2 3" xfId="34549" xr:uid="{00000000-0005-0000-0000-0000C95E0000}"/>
    <cellStyle name="Note 4 2 5 3 3" xfId="7404" xr:uid="{00000000-0005-0000-0000-0000CA5E0000}"/>
    <cellStyle name="Note 4 2 5 3 3 2" xfId="26376" xr:uid="{00000000-0005-0000-0000-0000CB5E0000}"/>
    <cellStyle name="Note 4 2 5 3 3 3" xfId="37221" xr:uid="{00000000-0005-0000-0000-0000CC5E0000}"/>
    <cellStyle name="Note 4 2 5 3 4" xfId="10063" xr:uid="{00000000-0005-0000-0000-0000CD5E0000}"/>
    <cellStyle name="Note 4 2 5 3 4 2" xfId="29035" xr:uid="{00000000-0005-0000-0000-0000CE5E0000}"/>
    <cellStyle name="Note 4 2 5 3 4 3" xfId="39880" xr:uid="{00000000-0005-0000-0000-0000CF5E0000}"/>
    <cellStyle name="Note 4 2 5 3 5" xfId="20859" xr:uid="{00000000-0005-0000-0000-0000D05E0000}"/>
    <cellStyle name="Note 4 2 5 3 6" xfId="31704" xr:uid="{00000000-0005-0000-0000-0000D15E0000}"/>
    <cellStyle name="Note 4 2 5 4" xfId="2283" xr:uid="{00000000-0005-0000-0000-0000D25E0000}"/>
    <cellStyle name="Note 4 2 5 4 2" xfId="5136" xr:uid="{00000000-0005-0000-0000-0000D35E0000}"/>
    <cellStyle name="Note 4 2 5 4 2 2" xfId="24108" xr:uid="{00000000-0005-0000-0000-0000D45E0000}"/>
    <cellStyle name="Note 4 2 5 4 2 3" xfId="34953" xr:uid="{00000000-0005-0000-0000-0000D55E0000}"/>
    <cellStyle name="Note 4 2 5 4 3" xfId="7807" xr:uid="{00000000-0005-0000-0000-0000D65E0000}"/>
    <cellStyle name="Note 4 2 5 4 3 2" xfId="26779" xr:uid="{00000000-0005-0000-0000-0000D75E0000}"/>
    <cellStyle name="Note 4 2 5 4 3 3" xfId="37624" xr:uid="{00000000-0005-0000-0000-0000D85E0000}"/>
    <cellStyle name="Note 4 2 5 4 4" xfId="10466" xr:uid="{00000000-0005-0000-0000-0000D95E0000}"/>
    <cellStyle name="Note 4 2 5 4 4 2" xfId="29438" xr:uid="{00000000-0005-0000-0000-0000DA5E0000}"/>
    <cellStyle name="Note 4 2 5 4 4 3" xfId="40283" xr:uid="{00000000-0005-0000-0000-0000DB5E0000}"/>
    <cellStyle name="Note 4 2 5 4 5" xfId="21262" xr:uid="{00000000-0005-0000-0000-0000DC5E0000}"/>
    <cellStyle name="Note 4 2 5 4 6" xfId="32107" xr:uid="{00000000-0005-0000-0000-0000DD5E0000}"/>
    <cellStyle name="Note 4 2 5 5" xfId="2673" xr:uid="{00000000-0005-0000-0000-0000DE5E0000}"/>
    <cellStyle name="Note 4 2 5 5 2" xfId="5525" xr:uid="{00000000-0005-0000-0000-0000DF5E0000}"/>
    <cellStyle name="Note 4 2 5 5 2 2" xfId="24497" xr:uid="{00000000-0005-0000-0000-0000E05E0000}"/>
    <cellStyle name="Note 4 2 5 5 2 3" xfId="35342" xr:uid="{00000000-0005-0000-0000-0000E15E0000}"/>
    <cellStyle name="Note 4 2 5 5 3" xfId="8196" xr:uid="{00000000-0005-0000-0000-0000E25E0000}"/>
    <cellStyle name="Note 4 2 5 5 3 2" xfId="27168" xr:uid="{00000000-0005-0000-0000-0000E35E0000}"/>
    <cellStyle name="Note 4 2 5 5 3 3" xfId="38013" xr:uid="{00000000-0005-0000-0000-0000E45E0000}"/>
    <cellStyle name="Note 4 2 5 5 4" xfId="10855" xr:uid="{00000000-0005-0000-0000-0000E55E0000}"/>
    <cellStyle name="Note 4 2 5 5 4 2" xfId="29827" xr:uid="{00000000-0005-0000-0000-0000E65E0000}"/>
    <cellStyle name="Note 4 2 5 5 4 3" xfId="40672" xr:uid="{00000000-0005-0000-0000-0000E75E0000}"/>
    <cellStyle name="Note 4 2 5 5 5" xfId="21651" xr:uid="{00000000-0005-0000-0000-0000E85E0000}"/>
    <cellStyle name="Note 4 2 5 5 6" xfId="32496" xr:uid="{00000000-0005-0000-0000-0000E95E0000}"/>
    <cellStyle name="Note 4 2 5 6" xfId="3059" xr:uid="{00000000-0005-0000-0000-0000EA5E0000}"/>
    <cellStyle name="Note 4 2 5 6 2" xfId="5910" xr:uid="{00000000-0005-0000-0000-0000EB5E0000}"/>
    <cellStyle name="Note 4 2 5 6 2 2" xfId="24882" xr:uid="{00000000-0005-0000-0000-0000EC5E0000}"/>
    <cellStyle name="Note 4 2 5 6 2 3" xfId="35727" xr:uid="{00000000-0005-0000-0000-0000ED5E0000}"/>
    <cellStyle name="Note 4 2 5 6 3" xfId="8581" xr:uid="{00000000-0005-0000-0000-0000EE5E0000}"/>
    <cellStyle name="Note 4 2 5 6 3 2" xfId="27553" xr:uid="{00000000-0005-0000-0000-0000EF5E0000}"/>
    <cellStyle name="Note 4 2 5 6 3 3" xfId="38398" xr:uid="{00000000-0005-0000-0000-0000F05E0000}"/>
    <cellStyle name="Note 4 2 5 6 4" xfId="11240" xr:uid="{00000000-0005-0000-0000-0000F15E0000}"/>
    <cellStyle name="Note 4 2 5 6 4 2" xfId="30212" xr:uid="{00000000-0005-0000-0000-0000F25E0000}"/>
    <cellStyle name="Note 4 2 5 6 4 3" xfId="41057" xr:uid="{00000000-0005-0000-0000-0000F35E0000}"/>
    <cellStyle name="Note 4 2 5 6 5" xfId="22036" xr:uid="{00000000-0005-0000-0000-0000F45E0000}"/>
    <cellStyle name="Note 4 2 5 6 6" xfId="32881" xr:uid="{00000000-0005-0000-0000-0000F55E0000}"/>
    <cellStyle name="Note 4 2 5 7" xfId="3748" xr:uid="{00000000-0005-0000-0000-0000F65E0000}"/>
    <cellStyle name="Note 4 2 5 7 2" xfId="22720" xr:uid="{00000000-0005-0000-0000-0000F75E0000}"/>
    <cellStyle name="Note 4 2 5 7 3" xfId="33565" xr:uid="{00000000-0005-0000-0000-0000F85E0000}"/>
    <cellStyle name="Note 4 2 5 8" xfId="6423" xr:uid="{00000000-0005-0000-0000-0000F95E0000}"/>
    <cellStyle name="Note 4 2 5 8 2" xfId="25395" xr:uid="{00000000-0005-0000-0000-0000FA5E0000}"/>
    <cellStyle name="Note 4 2 5 8 3" xfId="36240" xr:uid="{00000000-0005-0000-0000-0000FB5E0000}"/>
    <cellStyle name="Note 4 2 5 9" xfId="9082" xr:uid="{00000000-0005-0000-0000-0000FC5E0000}"/>
    <cellStyle name="Note 4 2 5 9 2" xfId="28054" xr:uid="{00000000-0005-0000-0000-0000FD5E0000}"/>
    <cellStyle name="Note 4 2 5 9 3" xfId="38899" xr:uid="{00000000-0005-0000-0000-0000FE5E0000}"/>
    <cellStyle name="Note 4 2 6" xfId="1123" xr:uid="{00000000-0005-0000-0000-0000FF5E0000}"/>
    <cellStyle name="Note 4 2 6 2" xfId="3976" xr:uid="{00000000-0005-0000-0000-0000005F0000}"/>
    <cellStyle name="Note 4 2 6 2 2" xfId="22948" xr:uid="{00000000-0005-0000-0000-0000015F0000}"/>
    <cellStyle name="Note 4 2 6 2 3" xfId="33793" xr:uid="{00000000-0005-0000-0000-0000025F0000}"/>
    <cellStyle name="Note 4 2 6 3" xfId="6649" xr:uid="{00000000-0005-0000-0000-0000035F0000}"/>
    <cellStyle name="Note 4 2 6 3 2" xfId="25621" xr:uid="{00000000-0005-0000-0000-0000045F0000}"/>
    <cellStyle name="Note 4 2 6 3 3" xfId="36466" xr:uid="{00000000-0005-0000-0000-0000055F0000}"/>
    <cellStyle name="Note 4 2 6 4" xfId="9308" xr:uid="{00000000-0005-0000-0000-0000065F0000}"/>
    <cellStyle name="Note 4 2 6 4 2" xfId="28280" xr:uid="{00000000-0005-0000-0000-0000075F0000}"/>
    <cellStyle name="Note 4 2 6 4 3" xfId="39125" xr:uid="{00000000-0005-0000-0000-0000085F0000}"/>
    <cellStyle name="Note 4 2 6 5" xfId="20104" xr:uid="{00000000-0005-0000-0000-0000095F0000}"/>
    <cellStyle name="Note 4 2 6 6" xfId="30949" xr:uid="{00000000-0005-0000-0000-00000A5F0000}"/>
    <cellStyle name="Note 4 2 7" xfId="1519" xr:uid="{00000000-0005-0000-0000-00000B5F0000}"/>
    <cellStyle name="Note 4 2 7 2" xfId="4372" xr:uid="{00000000-0005-0000-0000-00000C5F0000}"/>
    <cellStyle name="Note 4 2 7 2 2" xfId="23344" xr:uid="{00000000-0005-0000-0000-00000D5F0000}"/>
    <cellStyle name="Note 4 2 7 2 3" xfId="34189" xr:uid="{00000000-0005-0000-0000-00000E5F0000}"/>
    <cellStyle name="Note 4 2 7 3" xfId="7045" xr:uid="{00000000-0005-0000-0000-00000F5F0000}"/>
    <cellStyle name="Note 4 2 7 3 2" xfId="26017" xr:uid="{00000000-0005-0000-0000-0000105F0000}"/>
    <cellStyle name="Note 4 2 7 3 3" xfId="36862" xr:uid="{00000000-0005-0000-0000-0000115F0000}"/>
    <cellStyle name="Note 4 2 7 4" xfId="9704" xr:uid="{00000000-0005-0000-0000-0000125F0000}"/>
    <cellStyle name="Note 4 2 7 4 2" xfId="28676" xr:uid="{00000000-0005-0000-0000-0000135F0000}"/>
    <cellStyle name="Note 4 2 7 4 3" xfId="39521" xr:uid="{00000000-0005-0000-0000-0000145F0000}"/>
    <cellStyle name="Note 4 2 7 5" xfId="20500" xr:uid="{00000000-0005-0000-0000-0000155F0000}"/>
    <cellStyle name="Note 4 2 7 6" xfId="31345" xr:uid="{00000000-0005-0000-0000-0000165F0000}"/>
    <cellStyle name="Note 4 2 8" xfId="1925" xr:uid="{00000000-0005-0000-0000-0000175F0000}"/>
    <cellStyle name="Note 4 2 8 2" xfId="4778" xr:uid="{00000000-0005-0000-0000-0000185F0000}"/>
    <cellStyle name="Note 4 2 8 2 2" xfId="23750" xr:uid="{00000000-0005-0000-0000-0000195F0000}"/>
    <cellStyle name="Note 4 2 8 2 3" xfId="34595" xr:uid="{00000000-0005-0000-0000-00001A5F0000}"/>
    <cellStyle name="Note 4 2 8 3" xfId="7450" xr:uid="{00000000-0005-0000-0000-00001B5F0000}"/>
    <cellStyle name="Note 4 2 8 3 2" xfId="26422" xr:uid="{00000000-0005-0000-0000-00001C5F0000}"/>
    <cellStyle name="Note 4 2 8 3 3" xfId="37267" xr:uid="{00000000-0005-0000-0000-00001D5F0000}"/>
    <cellStyle name="Note 4 2 8 4" xfId="10109" xr:uid="{00000000-0005-0000-0000-00001E5F0000}"/>
    <cellStyle name="Note 4 2 8 4 2" xfId="29081" xr:uid="{00000000-0005-0000-0000-00001F5F0000}"/>
    <cellStyle name="Note 4 2 8 4 3" xfId="39926" xr:uid="{00000000-0005-0000-0000-0000205F0000}"/>
    <cellStyle name="Note 4 2 8 5" xfId="20905" xr:uid="{00000000-0005-0000-0000-0000215F0000}"/>
    <cellStyle name="Note 4 2 8 6" xfId="31750" xr:uid="{00000000-0005-0000-0000-0000225F0000}"/>
    <cellStyle name="Note 4 2 9" xfId="2318" xr:uid="{00000000-0005-0000-0000-0000235F0000}"/>
    <cellStyle name="Note 4 2 9 2" xfId="5171" xr:uid="{00000000-0005-0000-0000-0000245F0000}"/>
    <cellStyle name="Note 4 2 9 2 2" xfId="24143" xr:uid="{00000000-0005-0000-0000-0000255F0000}"/>
    <cellStyle name="Note 4 2 9 2 3" xfId="34988" xr:uid="{00000000-0005-0000-0000-0000265F0000}"/>
    <cellStyle name="Note 4 2 9 3" xfId="7842" xr:uid="{00000000-0005-0000-0000-0000275F0000}"/>
    <cellStyle name="Note 4 2 9 3 2" xfId="26814" xr:uid="{00000000-0005-0000-0000-0000285F0000}"/>
    <cellStyle name="Note 4 2 9 3 3" xfId="37659" xr:uid="{00000000-0005-0000-0000-0000295F0000}"/>
    <cellStyle name="Note 4 2 9 4" xfId="10501" xr:uid="{00000000-0005-0000-0000-00002A5F0000}"/>
    <cellStyle name="Note 4 2 9 4 2" xfId="29473" xr:uid="{00000000-0005-0000-0000-00002B5F0000}"/>
    <cellStyle name="Note 4 2 9 4 3" xfId="40318" xr:uid="{00000000-0005-0000-0000-00002C5F0000}"/>
    <cellStyle name="Note 4 2 9 5" xfId="21297" xr:uid="{00000000-0005-0000-0000-00002D5F0000}"/>
    <cellStyle name="Note 4 2 9 6" xfId="32142" xr:uid="{00000000-0005-0000-0000-00002E5F0000}"/>
    <cellStyle name="Note 4 3" xfId="613" xr:uid="{00000000-0005-0000-0000-00002F5F0000}"/>
    <cellStyle name="Note 4 3 10" xfId="19620" xr:uid="{00000000-0005-0000-0000-0000305F0000}"/>
    <cellStyle name="Note 4 3 11" xfId="30465" xr:uid="{00000000-0005-0000-0000-0000315F0000}"/>
    <cellStyle name="Note 4 3 2" xfId="1217" xr:uid="{00000000-0005-0000-0000-0000325F0000}"/>
    <cellStyle name="Note 4 3 2 2" xfId="4070" xr:uid="{00000000-0005-0000-0000-0000335F0000}"/>
    <cellStyle name="Note 4 3 2 2 2" xfId="23042" xr:uid="{00000000-0005-0000-0000-0000345F0000}"/>
    <cellStyle name="Note 4 3 2 2 3" xfId="33887" xr:uid="{00000000-0005-0000-0000-0000355F0000}"/>
    <cellStyle name="Note 4 3 2 3" xfId="6743" xr:uid="{00000000-0005-0000-0000-0000365F0000}"/>
    <cellStyle name="Note 4 3 2 3 2" xfId="25715" xr:uid="{00000000-0005-0000-0000-0000375F0000}"/>
    <cellStyle name="Note 4 3 2 3 3" xfId="36560" xr:uid="{00000000-0005-0000-0000-0000385F0000}"/>
    <cellStyle name="Note 4 3 2 4" xfId="9402" xr:uid="{00000000-0005-0000-0000-0000395F0000}"/>
    <cellStyle name="Note 4 3 2 4 2" xfId="28374" xr:uid="{00000000-0005-0000-0000-00003A5F0000}"/>
    <cellStyle name="Note 4 3 2 4 3" xfId="39219" xr:uid="{00000000-0005-0000-0000-00003B5F0000}"/>
    <cellStyle name="Note 4 3 2 5" xfId="20198" xr:uid="{00000000-0005-0000-0000-00003C5F0000}"/>
    <cellStyle name="Note 4 3 2 6" xfId="31043" xr:uid="{00000000-0005-0000-0000-00003D5F0000}"/>
    <cellStyle name="Note 4 3 3" xfId="1615" xr:uid="{00000000-0005-0000-0000-00003E5F0000}"/>
    <cellStyle name="Note 4 3 3 2" xfId="4468" xr:uid="{00000000-0005-0000-0000-00003F5F0000}"/>
    <cellStyle name="Note 4 3 3 2 2" xfId="23440" xr:uid="{00000000-0005-0000-0000-0000405F0000}"/>
    <cellStyle name="Note 4 3 3 2 3" xfId="34285" xr:uid="{00000000-0005-0000-0000-0000415F0000}"/>
    <cellStyle name="Note 4 3 3 3" xfId="7140" xr:uid="{00000000-0005-0000-0000-0000425F0000}"/>
    <cellStyle name="Note 4 3 3 3 2" xfId="26112" xr:uid="{00000000-0005-0000-0000-0000435F0000}"/>
    <cellStyle name="Note 4 3 3 3 3" xfId="36957" xr:uid="{00000000-0005-0000-0000-0000445F0000}"/>
    <cellStyle name="Note 4 3 3 4" xfId="9799" xr:uid="{00000000-0005-0000-0000-0000455F0000}"/>
    <cellStyle name="Note 4 3 3 4 2" xfId="28771" xr:uid="{00000000-0005-0000-0000-0000465F0000}"/>
    <cellStyle name="Note 4 3 3 4 3" xfId="39616" xr:uid="{00000000-0005-0000-0000-0000475F0000}"/>
    <cellStyle name="Note 4 3 3 5" xfId="20595" xr:uid="{00000000-0005-0000-0000-0000485F0000}"/>
    <cellStyle name="Note 4 3 3 6" xfId="31440" xr:uid="{00000000-0005-0000-0000-0000495F0000}"/>
    <cellStyle name="Note 4 3 4" xfId="2017" xr:uid="{00000000-0005-0000-0000-00004A5F0000}"/>
    <cellStyle name="Note 4 3 4 2" xfId="4870" xr:uid="{00000000-0005-0000-0000-00004B5F0000}"/>
    <cellStyle name="Note 4 3 4 2 2" xfId="23842" xr:uid="{00000000-0005-0000-0000-00004C5F0000}"/>
    <cellStyle name="Note 4 3 4 2 3" xfId="34687" xr:uid="{00000000-0005-0000-0000-00004D5F0000}"/>
    <cellStyle name="Note 4 3 4 3" xfId="7542" xr:uid="{00000000-0005-0000-0000-00004E5F0000}"/>
    <cellStyle name="Note 4 3 4 3 2" xfId="26514" xr:uid="{00000000-0005-0000-0000-00004F5F0000}"/>
    <cellStyle name="Note 4 3 4 3 3" xfId="37359" xr:uid="{00000000-0005-0000-0000-0000505F0000}"/>
    <cellStyle name="Note 4 3 4 4" xfId="10201" xr:uid="{00000000-0005-0000-0000-0000515F0000}"/>
    <cellStyle name="Note 4 3 4 4 2" xfId="29173" xr:uid="{00000000-0005-0000-0000-0000525F0000}"/>
    <cellStyle name="Note 4 3 4 4 3" xfId="40018" xr:uid="{00000000-0005-0000-0000-0000535F0000}"/>
    <cellStyle name="Note 4 3 4 5" xfId="20997" xr:uid="{00000000-0005-0000-0000-0000545F0000}"/>
    <cellStyle name="Note 4 3 4 6" xfId="31842" xr:uid="{00000000-0005-0000-0000-0000555F0000}"/>
    <cellStyle name="Note 4 3 5" xfId="2409" xr:uid="{00000000-0005-0000-0000-0000565F0000}"/>
    <cellStyle name="Note 4 3 5 2" xfId="5262" xr:uid="{00000000-0005-0000-0000-0000575F0000}"/>
    <cellStyle name="Note 4 3 5 2 2" xfId="24234" xr:uid="{00000000-0005-0000-0000-0000585F0000}"/>
    <cellStyle name="Note 4 3 5 2 3" xfId="35079" xr:uid="{00000000-0005-0000-0000-0000595F0000}"/>
    <cellStyle name="Note 4 3 5 3" xfId="7933" xr:uid="{00000000-0005-0000-0000-00005A5F0000}"/>
    <cellStyle name="Note 4 3 5 3 2" xfId="26905" xr:uid="{00000000-0005-0000-0000-00005B5F0000}"/>
    <cellStyle name="Note 4 3 5 3 3" xfId="37750" xr:uid="{00000000-0005-0000-0000-00005C5F0000}"/>
    <cellStyle name="Note 4 3 5 4" xfId="10592" xr:uid="{00000000-0005-0000-0000-00005D5F0000}"/>
    <cellStyle name="Note 4 3 5 4 2" xfId="29564" xr:uid="{00000000-0005-0000-0000-00005E5F0000}"/>
    <cellStyle name="Note 4 3 5 4 3" xfId="40409" xr:uid="{00000000-0005-0000-0000-00005F5F0000}"/>
    <cellStyle name="Note 4 3 5 5" xfId="21388" xr:uid="{00000000-0005-0000-0000-0000605F0000}"/>
    <cellStyle name="Note 4 3 5 6" xfId="32233" xr:uid="{00000000-0005-0000-0000-0000615F0000}"/>
    <cellStyle name="Note 4 3 6" xfId="2798" xr:uid="{00000000-0005-0000-0000-0000625F0000}"/>
    <cellStyle name="Note 4 3 6 2" xfId="5650" xr:uid="{00000000-0005-0000-0000-0000635F0000}"/>
    <cellStyle name="Note 4 3 6 2 2" xfId="24622" xr:uid="{00000000-0005-0000-0000-0000645F0000}"/>
    <cellStyle name="Note 4 3 6 2 3" xfId="35467" xr:uid="{00000000-0005-0000-0000-0000655F0000}"/>
    <cellStyle name="Note 4 3 6 3" xfId="8321" xr:uid="{00000000-0005-0000-0000-0000665F0000}"/>
    <cellStyle name="Note 4 3 6 3 2" xfId="27293" xr:uid="{00000000-0005-0000-0000-0000675F0000}"/>
    <cellStyle name="Note 4 3 6 3 3" xfId="38138" xr:uid="{00000000-0005-0000-0000-0000685F0000}"/>
    <cellStyle name="Note 4 3 6 4" xfId="10980" xr:uid="{00000000-0005-0000-0000-0000695F0000}"/>
    <cellStyle name="Note 4 3 6 4 2" xfId="29952" xr:uid="{00000000-0005-0000-0000-00006A5F0000}"/>
    <cellStyle name="Note 4 3 6 4 3" xfId="40797" xr:uid="{00000000-0005-0000-0000-00006B5F0000}"/>
    <cellStyle name="Note 4 3 6 5" xfId="21776" xr:uid="{00000000-0005-0000-0000-00006C5F0000}"/>
    <cellStyle name="Note 4 3 6 6" xfId="32621" xr:uid="{00000000-0005-0000-0000-00006D5F0000}"/>
    <cellStyle name="Note 4 3 7" xfId="3489" xr:uid="{00000000-0005-0000-0000-00006E5F0000}"/>
    <cellStyle name="Note 4 3 7 2" xfId="22461" xr:uid="{00000000-0005-0000-0000-00006F5F0000}"/>
    <cellStyle name="Note 4 3 7 3" xfId="33306" xr:uid="{00000000-0005-0000-0000-0000705F0000}"/>
    <cellStyle name="Note 4 3 8" xfId="6165" xr:uid="{00000000-0005-0000-0000-0000715F0000}"/>
    <cellStyle name="Note 4 3 8 2" xfId="25137" xr:uid="{00000000-0005-0000-0000-0000725F0000}"/>
    <cellStyle name="Note 4 3 8 3" xfId="35982" xr:uid="{00000000-0005-0000-0000-0000735F0000}"/>
    <cellStyle name="Note 4 3 9" xfId="8824" xr:uid="{00000000-0005-0000-0000-0000745F0000}"/>
    <cellStyle name="Note 4 3 9 2" xfId="27796" xr:uid="{00000000-0005-0000-0000-0000755F0000}"/>
    <cellStyle name="Note 4 3 9 3" xfId="38641" xr:uid="{00000000-0005-0000-0000-0000765F0000}"/>
    <cellStyle name="Note 5" xfId="314" xr:uid="{00000000-0005-0000-0000-0000775F0000}"/>
    <cellStyle name="Note 5 2" xfId="426" xr:uid="{00000000-0005-0000-0000-0000785F0000}"/>
    <cellStyle name="Note 5 2 10" xfId="2708" xr:uid="{00000000-0005-0000-0000-0000795F0000}"/>
    <cellStyle name="Note 5 2 10 2" xfId="5560" xr:uid="{00000000-0005-0000-0000-00007A5F0000}"/>
    <cellStyle name="Note 5 2 10 2 2" xfId="24532" xr:uid="{00000000-0005-0000-0000-00007B5F0000}"/>
    <cellStyle name="Note 5 2 10 2 3" xfId="35377" xr:uid="{00000000-0005-0000-0000-00007C5F0000}"/>
    <cellStyle name="Note 5 2 10 3" xfId="8231" xr:uid="{00000000-0005-0000-0000-00007D5F0000}"/>
    <cellStyle name="Note 5 2 10 3 2" xfId="27203" xr:uid="{00000000-0005-0000-0000-00007E5F0000}"/>
    <cellStyle name="Note 5 2 10 3 3" xfId="38048" xr:uid="{00000000-0005-0000-0000-00007F5F0000}"/>
    <cellStyle name="Note 5 2 10 4" xfId="10890" xr:uid="{00000000-0005-0000-0000-0000805F0000}"/>
    <cellStyle name="Note 5 2 10 4 2" xfId="29862" xr:uid="{00000000-0005-0000-0000-0000815F0000}"/>
    <cellStyle name="Note 5 2 10 4 3" xfId="40707" xr:uid="{00000000-0005-0000-0000-0000825F0000}"/>
    <cellStyle name="Note 5 2 10 5" xfId="21686" xr:uid="{00000000-0005-0000-0000-0000835F0000}"/>
    <cellStyle name="Note 5 2 10 6" xfId="32531" xr:uid="{00000000-0005-0000-0000-0000845F0000}"/>
    <cellStyle name="Note 5 2 11" xfId="3093" xr:uid="{00000000-0005-0000-0000-0000855F0000}"/>
    <cellStyle name="Note 5 2 11 2" xfId="5944" xr:uid="{00000000-0005-0000-0000-0000865F0000}"/>
    <cellStyle name="Note 5 2 11 2 2" xfId="24916" xr:uid="{00000000-0005-0000-0000-0000875F0000}"/>
    <cellStyle name="Note 5 2 11 2 3" xfId="35761" xr:uid="{00000000-0005-0000-0000-0000885F0000}"/>
    <cellStyle name="Note 5 2 11 3" xfId="8615" xr:uid="{00000000-0005-0000-0000-0000895F0000}"/>
    <cellStyle name="Note 5 2 11 3 2" xfId="27587" xr:uid="{00000000-0005-0000-0000-00008A5F0000}"/>
    <cellStyle name="Note 5 2 11 3 3" xfId="38432" xr:uid="{00000000-0005-0000-0000-00008B5F0000}"/>
    <cellStyle name="Note 5 2 11 4" xfId="11274" xr:uid="{00000000-0005-0000-0000-00008C5F0000}"/>
    <cellStyle name="Note 5 2 11 4 2" xfId="30246" xr:uid="{00000000-0005-0000-0000-00008D5F0000}"/>
    <cellStyle name="Note 5 2 11 4 3" xfId="41091" xr:uid="{00000000-0005-0000-0000-00008E5F0000}"/>
    <cellStyle name="Note 5 2 11 5" xfId="22070" xr:uid="{00000000-0005-0000-0000-00008F5F0000}"/>
    <cellStyle name="Note 5 2 11 6" xfId="32915" xr:uid="{00000000-0005-0000-0000-0000905F0000}"/>
    <cellStyle name="Note 5 2 12" xfId="3150" xr:uid="{00000000-0005-0000-0000-0000915F0000}"/>
    <cellStyle name="Note 5 2 12 2" xfId="6001" xr:uid="{00000000-0005-0000-0000-0000925F0000}"/>
    <cellStyle name="Note 5 2 12 2 2" xfId="24973" xr:uid="{00000000-0005-0000-0000-0000935F0000}"/>
    <cellStyle name="Note 5 2 12 2 3" xfId="35818" xr:uid="{00000000-0005-0000-0000-0000945F0000}"/>
    <cellStyle name="Note 5 2 12 3" xfId="8672" xr:uid="{00000000-0005-0000-0000-0000955F0000}"/>
    <cellStyle name="Note 5 2 12 3 2" xfId="27644" xr:uid="{00000000-0005-0000-0000-0000965F0000}"/>
    <cellStyle name="Note 5 2 12 3 3" xfId="38489" xr:uid="{00000000-0005-0000-0000-0000975F0000}"/>
    <cellStyle name="Note 5 2 12 4" xfId="11331" xr:uid="{00000000-0005-0000-0000-0000985F0000}"/>
    <cellStyle name="Note 5 2 12 4 2" xfId="30303" xr:uid="{00000000-0005-0000-0000-0000995F0000}"/>
    <cellStyle name="Note 5 2 12 4 3" xfId="41148" xr:uid="{00000000-0005-0000-0000-00009A5F0000}"/>
    <cellStyle name="Note 5 2 12 5" xfId="22127" xr:uid="{00000000-0005-0000-0000-00009B5F0000}"/>
    <cellStyle name="Note 5 2 12 6" xfId="32972" xr:uid="{00000000-0005-0000-0000-00009C5F0000}"/>
    <cellStyle name="Note 5 2 13" xfId="3207" xr:uid="{00000000-0005-0000-0000-00009D5F0000}"/>
    <cellStyle name="Note 5 2 13 2" xfId="6058" xr:uid="{00000000-0005-0000-0000-00009E5F0000}"/>
    <cellStyle name="Note 5 2 13 2 2" xfId="25030" xr:uid="{00000000-0005-0000-0000-00009F5F0000}"/>
    <cellStyle name="Note 5 2 13 2 3" xfId="35875" xr:uid="{00000000-0005-0000-0000-0000A05F0000}"/>
    <cellStyle name="Note 5 2 13 3" xfId="8729" xr:uid="{00000000-0005-0000-0000-0000A15F0000}"/>
    <cellStyle name="Note 5 2 13 3 2" xfId="27701" xr:uid="{00000000-0005-0000-0000-0000A25F0000}"/>
    <cellStyle name="Note 5 2 13 3 3" xfId="38546" xr:uid="{00000000-0005-0000-0000-0000A35F0000}"/>
    <cellStyle name="Note 5 2 13 4" xfId="11388" xr:uid="{00000000-0005-0000-0000-0000A45F0000}"/>
    <cellStyle name="Note 5 2 13 4 2" xfId="30360" xr:uid="{00000000-0005-0000-0000-0000A55F0000}"/>
    <cellStyle name="Note 5 2 13 4 3" xfId="41205" xr:uid="{00000000-0005-0000-0000-0000A65F0000}"/>
    <cellStyle name="Note 5 2 13 5" xfId="22184" xr:uid="{00000000-0005-0000-0000-0000A75F0000}"/>
    <cellStyle name="Note 5 2 13 6" xfId="33029" xr:uid="{00000000-0005-0000-0000-0000A85F0000}"/>
    <cellStyle name="Note 5 2 14" xfId="3376" xr:uid="{00000000-0005-0000-0000-0000A95F0000}"/>
    <cellStyle name="Note 5 2 14 2" xfId="22350" xr:uid="{00000000-0005-0000-0000-0000AA5F0000}"/>
    <cellStyle name="Note 5 2 14 3" xfId="33195" xr:uid="{00000000-0005-0000-0000-0000AB5F0000}"/>
    <cellStyle name="Note 5 2 15" xfId="3279" xr:uid="{00000000-0005-0000-0000-0000AC5F0000}"/>
    <cellStyle name="Note 5 2 15 2" xfId="22253" xr:uid="{00000000-0005-0000-0000-0000AD5F0000}"/>
    <cellStyle name="Note 5 2 15 3" xfId="33098" xr:uid="{00000000-0005-0000-0000-0000AE5F0000}"/>
    <cellStyle name="Note 5 2 16" xfId="3293" xr:uid="{00000000-0005-0000-0000-0000AF5F0000}"/>
    <cellStyle name="Note 5 2 16 2" xfId="22267" xr:uid="{00000000-0005-0000-0000-0000B05F0000}"/>
    <cellStyle name="Note 5 2 16 3" xfId="33112" xr:uid="{00000000-0005-0000-0000-0000B15F0000}"/>
    <cellStyle name="Note 5 2 17" xfId="19504" xr:uid="{00000000-0005-0000-0000-0000B25F0000}"/>
    <cellStyle name="Note 5 2 18" xfId="19384" xr:uid="{00000000-0005-0000-0000-0000B35F0000}"/>
    <cellStyle name="Note 5 2 2" xfId="717" xr:uid="{00000000-0005-0000-0000-0000B45F0000}"/>
    <cellStyle name="Note 5 2 2 10" xfId="19702" xr:uid="{00000000-0005-0000-0000-0000B55F0000}"/>
    <cellStyle name="Note 5 2 2 11" xfId="30547" xr:uid="{00000000-0005-0000-0000-0000B65F0000}"/>
    <cellStyle name="Note 5 2 2 2" xfId="1304" xr:uid="{00000000-0005-0000-0000-0000B75F0000}"/>
    <cellStyle name="Note 5 2 2 2 2" xfId="4157" xr:uid="{00000000-0005-0000-0000-0000B85F0000}"/>
    <cellStyle name="Note 5 2 2 2 2 2" xfId="23129" xr:uid="{00000000-0005-0000-0000-0000B95F0000}"/>
    <cellStyle name="Note 5 2 2 2 2 3" xfId="33974" xr:uid="{00000000-0005-0000-0000-0000BA5F0000}"/>
    <cellStyle name="Note 5 2 2 2 3" xfId="6830" xr:uid="{00000000-0005-0000-0000-0000BB5F0000}"/>
    <cellStyle name="Note 5 2 2 2 3 2" xfId="25802" xr:uid="{00000000-0005-0000-0000-0000BC5F0000}"/>
    <cellStyle name="Note 5 2 2 2 3 3" xfId="36647" xr:uid="{00000000-0005-0000-0000-0000BD5F0000}"/>
    <cellStyle name="Note 5 2 2 2 4" xfId="9489" xr:uid="{00000000-0005-0000-0000-0000BE5F0000}"/>
    <cellStyle name="Note 5 2 2 2 4 2" xfId="28461" xr:uid="{00000000-0005-0000-0000-0000BF5F0000}"/>
    <cellStyle name="Note 5 2 2 2 4 3" xfId="39306" xr:uid="{00000000-0005-0000-0000-0000C05F0000}"/>
    <cellStyle name="Note 5 2 2 2 5" xfId="20285" xr:uid="{00000000-0005-0000-0000-0000C15F0000}"/>
    <cellStyle name="Note 5 2 2 2 6" xfId="31130" xr:uid="{00000000-0005-0000-0000-0000C25F0000}"/>
    <cellStyle name="Note 5 2 2 3" xfId="1703" xr:uid="{00000000-0005-0000-0000-0000C35F0000}"/>
    <cellStyle name="Note 5 2 2 3 2" xfId="4556" xr:uid="{00000000-0005-0000-0000-0000C45F0000}"/>
    <cellStyle name="Note 5 2 2 3 2 2" xfId="23528" xr:uid="{00000000-0005-0000-0000-0000C55F0000}"/>
    <cellStyle name="Note 5 2 2 3 2 3" xfId="34373" xr:uid="{00000000-0005-0000-0000-0000C65F0000}"/>
    <cellStyle name="Note 5 2 2 3 3" xfId="7228" xr:uid="{00000000-0005-0000-0000-0000C75F0000}"/>
    <cellStyle name="Note 5 2 2 3 3 2" xfId="26200" xr:uid="{00000000-0005-0000-0000-0000C85F0000}"/>
    <cellStyle name="Note 5 2 2 3 3 3" xfId="37045" xr:uid="{00000000-0005-0000-0000-0000C95F0000}"/>
    <cellStyle name="Note 5 2 2 3 4" xfId="9887" xr:uid="{00000000-0005-0000-0000-0000CA5F0000}"/>
    <cellStyle name="Note 5 2 2 3 4 2" xfId="28859" xr:uid="{00000000-0005-0000-0000-0000CB5F0000}"/>
    <cellStyle name="Note 5 2 2 3 4 3" xfId="39704" xr:uid="{00000000-0005-0000-0000-0000CC5F0000}"/>
    <cellStyle name="Note 5 2 2 3 5" xfId="20683" xr:uid="{00000000-0005-0000-0000-0000CD5F0000}"/>
    <cellStyle name="Note 5 2 2 3 6" xfId="31528" xr:uid="{00000000-0005-0000-0000-0000CE5F0000}"/>
    <cellStyle name="Note 5 2 2 4" xfId="2107" xr:uid="{00000000-0005-0000-0000-0000CF5F0000}"/>
    <cellStyle name="Note 5 2 2 4 2" xfId="4960" xr:uid="{00000000-0005-0000-0000-0000D05F0000}"/>
    <cellStyle name="Note 5 2 2 4 2 2" xfId="23932" xr:uid="{00000000-0005-0000-0000-0000D15F0000}"/>
    <cellStyle name="Note 5 2 2 4 2 3" xfId="34777" xr:uid="{00000000-0005-0000-0000-0000D25F0000}"/>
    <cellStyle name="Note 5 2 2 4 3" xfId="7631" xr:uid="{00000000-0005-0000-0000-0000D35F0000}"/>
    <cellStyle name="Note 5 2 2 4 3 2" xfId="26603" xr:uid="{00000000-0005-0000-0000-0000D45F0000}"/>
    <cellStyle name="Note 5 2 2 4 3 3" xfId="37448" xr:uid="{00000000-0005-0000-0000-0000D55F0000}"/>
    <cellStyle name="Note 5 2 2 4 4" xfId="10290" xr:uid="{00000000-0005-0000-0000-0000D65F0000}"/>
    <cellStyle name="Note 5 2 2 4 4 2" xfId="29262" xr:uid="{00000000-0005-0000-0000-0000D75F0000}"/>
    <cellStyle name="Note 5 2 2 4 4 3" xfId="40107" xr:uid="{00000000-0005-0000-0000-0000D85F0000}"/>
    <cellStyle name="Note 5 2 2 4 5" xfId="21086" xr:uid="{00000000-0005-0000-0000-0000D95F0000}"/>
    <cellStyle name="Note 5 2 2 4 6" xfId="31931" xr:uid="{00000000-0005-0000-0000-0000DA5F0000}"/>
    <cellStyle name="Note 5 2 2 5" xfId="2497" xr:uid="{00000000-0005-0000-0000-0000DB5F0000}"/>
    <cellStyle name="Note 5 2 2 5 2" xfId="5349" xr:uid="{00000000-0005-0000-0000-0000DC5F0000}"/>
    <cellStyle name="Note 5 2 2 5 2 2" xfId="24321" xr:uid="{00000000-0005-0000-0000-0000DD5F0000}"/>
    <cellStyle name="Note 5 2 2 5 2 3" xfId="35166" xr:uid="{00000000-0005-0000-0000-0000DE5F0000}"/>
    <cellStyle name="Note 5 2 2 5 3" xfId="8020" xr:uid="{00000000-0005-0000-0000-0000DF5F0000}"/>
    <cellStyle name="Note 5 2 2 5 3 2" xfId="26992" xr:uid="{00000000-0005-0000-0000-0000E05F0000}"/>
    <cellStyle name="Note 5 2 2 5 3 3" xfId="37837" xr:uid="{00000000-0005-0000-0000-0000E15F0000}"/>
    <cellStyle name="Note 5 2 2 5 4" xfId="10679" xr:uid="{00000000-0005-0000-0000-0000E25F0000}"/>
    <cellStyle name="Note 5 2 2 5 4 2" xfId="29651" xr:uid="{00000000-0005-0000-0000-0000E35F0000}"/>
    <cellStyle name="Note 5 2 2 5 4 3" xfId="40496" xr:uid="{00000000-0005-0000-0000-0000E45F0000}"/>
    <cellStyle name="Note 5 2 2 5 5" xfId="21475" xr:uid="{00000000-0005-0000-0000-0000E55F0000}"/>
    <cellStyle name="Note 5 2 2 5 6" xfId="32320" xr:uid="{00000000-0005-0000-0000-0000E65F0000}"/>
    <cellStyle name="Note 5 2 2 6" xfId="2883" xr:uid="{00000000-0005-0000-0000-0000E75F0000}"/>
    <cellStyle name="Note 5 2 2 6 2" xfId="5734" xr:uid="{00000000-0005-0000-0000-0000E85F0000}"/>
    <cellStyle name="Note 5 2 2 6 2 2" xfId="24706" xr:uid="{00000000-0005-0000-0000-0000E95F0000}"/>
    <cellStyle name="Note 5 2 2 6 2 3" xfId="35551" xr:uid="{00000000-0005-0000-0000-0000EA5F0000}"/>
    <cellStyle name="Note 5 2 2 6 3" xfId="8405" xr:uid="{00000000-0005-0000-0000-0000EB5F0000}"/>
    <cellStyle name="Note 5 2 2 6 3 2" xfId="27377" xr:uid="{00000000-0005-0000-0000-0000EC5F0000}"/>
    <cellStyle name="Note 5 2 2 6 3 3" xfId="38222" xr:uid="{00000000-0005-0000-0000-0000ED5F0000}"/>
    <cellStyle name="Note 5 2 2 6 4" xfId="11064" xr:uid="{00000000-0005-0000-0000-0000EE5F0000}"/>
    <cellStyle name="Note 5 2 2 6 4 2" xfId="30036" xr:uid="{00000000-0005-0000-0000-0000EF5F0000}"/>
    <cellStyle name="Note 5 2 2 6 4 3" xfId="40881" xr:uid="{00000000-0005-0000-0000-0000F05F0000}"/>
    <cellStyle name="Note 5 2 2 6 5" xfId="21860" xr:uid="{00000000-0005-0000-0000-0000F15F0000}"/>
    <cellStyle name="Note 5 2 2 6 6" xfId="32705" xr:uid="{00000000-0005-0000-0000-0000F25F0000}"/>
    <cellStyle name="Note 5 2 2 7" xfId="3572" xr:uid="{00000000-0005-0000-0000-0000F35F0000}"/>
    <cellStyle name="Note 5 2 2 7 2" xfId="22544" xr:uid="{00000000-0005-0000-0000-0000F45F0000}"/>
    <cellStyle name="Note 5 2 2 7 3" xfId="33389" xr:uid="{00000000-0005-0000-0000-0000F55F0000}"/>
    <cellStyle name="Note 5 2 2 8" xfId="6247" xr:uid="{00000000-0005-0000-0000-0000F65F0000}"/>
    <cellStyle name="Note 5 2 2 8 2" xfId="25219" xr:uid="{00000000-0005-0000-0000-0000F75F0000}"/>
    <cellStyle name="Note 5 2 2 8 3" xfId="36064" xr:uid="{00000000-0005-0000-0000-0000F85F0000}"/>
    <cellStyle name="Note 5 2 2 9" xfId="8906" xr:uid="{00000000-0005-0000-0000-0000F95F0000}"/>
    <cellStyle name="Note 5 2 2 9 2" xfId="27878" xr:uid="{00000000-0005-0000-0000-0000FA5F0000}"/>
    <cellStyle name="Note 5 2 2 9 3" xfId="38723" xr:uid="{00000000-0005-0000-0000-0000FB5F0000}"/>
    <cellStyle name="Note 5 2 3" xfId="776" xr:uid="{00000000-0005-0000-0000-0000FC5F0000}"/>
    <cellStyle name="Note 5 2 3 10" xfId="19761" xr:uid="{00000000-0005-0000-0000-0000FD5F0000}"/>
    <cellStyle name="Note 5 2 3 11" xfId="30606" xr:uid="{00000000-0005-0000-0000-0000FE5F0000}"/>
    <cellStyle name="Note 5 2 3 2" xfId="1363" xr:uid="{00000000-0005-0000-0000-0000FF5F0000}"/>
    <cellStyle name="Note 5 2 3 2 2" xfId="4216" xr:uid="{00000000-0005-0000-0000-000000600000}"/>
    <cellStyle name="Note 5 2 3 2 2 2" xfId="23188" xr:uid="{00000000-0005-0000-0000-000001600000}"/>
    <cellStyle name="Note 5 2 3 2 2 3" xfId="34033" xr:uid="{00000000-0005-0000-0000-000002600000}"/>
    <cellStyle name="Note 5 2 3 2 3" xfId="6889" xr:uid="{00000000-0005-0000-0000-000003600000}"/>
    <cellStyle name="Note 5 2 3 2 3 2" xfId="25861" xr:uid="{00000000-0005-0000-0000-000004600000}"/>
    <cellStyle name="Note 5 2 3 2 3 3" xfId="36706" xr:uid="{00000000-0005-0000-0000-000005600000}"/>
    <cellStyle name="Note 5 2 3 2 4" xfId="9548" xr:uid="{00000000-0005-0000-0000-000006600000}"/>
    <cellStyle name="Note 5 2 3 2 4 2" xfId="28520" xr:uid="{00000000-0005-0000-0000-000007600000}"/>
    <cellStyle name="Note 5 2 3 2 4 3" xfId="39365" xr:uid="{00000000-0005-0000-0000-000008600000}"/>
    <cellStyle name="Note 5 2 3 2 5" xfId="20344" xr:uid="{00000000-0005-0000-0000-000009600000}"/>
    <cellStyle name="Note 5 2 3 2 6" xfId="31189" xr:uid="{00000000-0005-0000-0000-00000A600000}"/>
    <cellStyle name="Note 5 2 3 3" xfId="1762" xr:uid="{00000000-0005-0000-0000-00000B600000}"/>
    <cellStyle name="Note 5 2 3 3 2" xfId="4615" xr:uid="{00000000-0005-0000-0000-00000C600000}"/>
    <cellStyle name="Note 5 2 3 3 2 2" xfId="23587" xr:uid="{00000000-0005-0000-0000-00000D600000}"/>
    <cellStyle name="Note 5 2 3 3 2 3" xfId="34432" xr:uid="{00000000-0005-0000-0000-00000E600000}"/>
    <cellStyle name="Note 5 2 3 3 3" xfId="7287" xr:uid="{00000000-0005-0000-0000-00000F600000}"/>
    <cellStyle name="Note 5 2 3 3 3 2" xfId="26259" xr:uid="{00000000-0005-0000-0000-000010600000}"/>
    <cellStyle name="Note 5 2 3 3 3 3" xfId="37104" xr:uid="{00000000-0005-0000-0000-000011600000}"/>
    <cellStyle name="Note 5 2 3 3 4" xfId="9946" xr:uid="{00000000-0005-0000-0000-000012600000}"/>
    <cellStyle name="Note 5 2 3 3 4 2" xfId="28918" xr:uid="{00000000-0005-0000-0000-000013600000}"/>
    <cellStyle name="Note 5 2 3 3 4 3" xfId="39763" xr:uid="{00000000-0005-0000-0000-000014600000}"/>
    <cellStyle name="Note 5 2 3 3 5" xfId="20742" xr:uid="{00000000-0005-0000-0000-000015600000}"/>
    <cellStyle name="Note 5 2 3 3 6" xfId="31587" xr:uid="{00000000-0005-0000-0000-000016600000}"/>
    <cellStyle name="Note 5 2 3 4" xfId="2166" xr:uid="{00000000-0005-0000-0000-000017600000}"/>
    <cellStyle name="Note 5 2 3 4 2" xfId="5019" xr:uid="{00000000-0005-0000-0000-000018600000}"/>
    <cellStyle name="Note 5 2 3 4 2 2" xfId="23991" xr:uid="{00000000-0005-0000-0000-000019600000}"/>
    <cellStyle name="Note 5 2 3 4 2 3" xfId="34836" xr:uid="{00000000-0005-0000-0000-00001A600000}"/>
    <cellStyle name="Note 5 2 3 4 3" xfId="7690" xr:uid="{00000000-0005-0000-0000-00001B600000}"/>
    <cellStyle name="Note 5 2 3 4 3 2" xfId="26662" xr:uid="{00000000-0005-0000-0000-00001C600000}"/>
    <cellStyle name="Note 5 2 3 4 3 3" xfId="37507" xr:uid="{00000000-0005-0000-0000-00001D600000}"/>
    <cellStyle name="Note 5 2 3 4 4" xfId="10349" xr:uid="{00000000-0005-0000-0000-00001E600000}"/>
    <cellStyle name="Note 5 2 3 4 4 2" xfId="29321" xr:uid="{00000000-0005-0000-0000-00001F600000}"/>
    <cellStyle name="Note 5 2 3 4 4 3" xfId="40166" xr:uid="{00000000-0005-0000-0000-000020600000}"/>
    <cellStyle name="Note 5 2 3 4 5" xfId="21145" xr:uid="{00000000-0005-0000-0000-000021600000}"/>
    <cellStyle name="Note 5 2 3 4 6" xfId="31990" xr:uid="{00000000-0005-0000-0000-000022600000}"/>
    <cellStyle name="Note 5 2 3 5" xfId="2556" xr:uid="{00000000-0005-0000-0000-000023600000}"/>
    <cellStyle name="Note 5 2 3 5 2" xfId="5408" xr:uid="{00000000-0005-0000-0000-000024600000}"/>
    <cellStyle name="Note 5 2 3 5 2 2" xfId="24380" xr:uid="{00000000-0005-0000-0000-000025600000}"/>
    <cellStyle name="Note 5 2 3 5 2 3" xfId="35225" xr:uid="{00000000-0005-0000-0000-000026600000}"/>
    <cellStyle name="Note 5 2 3 5 3" xfId="8079" xr:uid="{00000000-0005-0000-0000-000027600000}"/>
    <cellStyle name="Note 5 2 3 5 3 2" xfId="27051" xr:uid="{00000000-0005-0000-0000-000028600000}"/>
    <cellStyle name="Note 5 2 3 5 3 3" xfId="37896" xr:uid="{00000000-0005-0000-0000-000029600000}"/>
    <cellStyle name="Note 5 2 3 5 4" xfId="10738" xr:uid="{00000000-0005-0000-0000-00002A600000}"/>
    <cellStyle name="Note 5 2 3 5 4 2" xfId="29710" xr:uid="{00000000-0005-0000-0000-00002B600000}"/>
    <cellStyle name="Note 5 2 3 5 4 3" xfId="40555" xr:uid="{00000000-0005-0000-0000-00002C600000}"/>
    <cellStyle name="Note 5 2 3 5 5" xfId="21534" xr:uid="{00000000-0005-0000-0000-00002D600000}"/>
    <cellStyle name="Note 5 2 3 5 6" xfId="32379" xr:uid="{00000000-0005-0000-0000-00002E600000}"/>
    <cellStyle name="Note 5 2 3 6" xfId="2942" xr:uid="{00000000-0005-0000-0000-00002F600000}"/>
    <cellStyle name="Note 5 2 3 6 2" xfId="5793" xr:uid="{00000000-0005-0000-0000-000030600000}"/>
    <cellStyle name="Note 5 2 3 6 2 2" xfId="24765" xr:uid="{00000000-0005-0000-0000-000031600000}"/>
    <cellStyle name="Note 5 2 3 6 2 3" xfId="35610" xr:uid="{00000000-0005-0000-0000-000032600000}"/>
    <cellStyle name="Note 5 2 3 6 3" xfId="8464" xr:uid="{00000000-0005-0000-0000-000033600000}"/>
    <cellStyle name="Note 5 2 3 6 3 2" xfId="27436" xr:uid="{00000000-0005-0000-0000-000034600000}"/>
    <cellStyle name="Note 5 2 3 6 3 3" xfId="38281" xr:uid="{00000000-0005-0000-0000-000035600000}"/>
    <cellStyle name="Note 5 2 3 6 4" xfId="11123" xr:uid="{00000000-0005-0000-0000-000036600000}"/>
    <cellStyle name="Note 5 2 3 6 4 2" xfId="30095" xr:uid="{00000000-0005-0000-0000-000037600000}"/>
    <cellStyle name="Note 5 2 3 6 4 3" xfId="40940" xr:uid="{00000000-0005-0000-0000-000038600000}"/>
    <cellStyle name="Note 5 2 3 6 5" xfId="21919" xr:uid="{00000000-0005-0000-0000-000039600000}"/>
    <cellStyle name="Note 5 2 3 6 6" xfId="32764" xr:uid="{00000000-0005-0000-0000-00003A600000}"/>
    <cellStyle name="Note 5 2 3 7" xfId="3631" xr:uid="{00000000-0005-0000-0000-00003B600000}"/>
    <cellStyle name="Note 5 2 3 7 2" xfId="22603" xr:uid="{00000000-0005-0000-0000-00003C600000}"/>
    <cellStyle name="Note 5 2 3 7 3" xfId="33448" xr:uid="{00000000-0005-0000-0000-00003D600000}"/>
    <cellStyle name="Note 5 2 3 8" xfId="6306" xr:uid="{00000000-0005-0000-0000-00003E600000}"/>
    <cellStyle name="Note 5 2 3 8 2" xfId="25278" xr:uid="{00000000-0005-0000-0000-00003F600000}"/>
    <cellStyle name="Note 5 2 3 8 3" xfId="36123" xr:uid="{00000000-0005-0000-0000-000040600000}"/>
    <cellStyle name="Note 5 2 3 9" xfId="8965" xr:uid="{00000000-0005-0000-0000-000041600000}"/>
    <cellStyle name="Note 5 2 3 9 2" xfId="27937" xr:uid="{00000000-0005-0000-0000-000042600000}"/>
    <cellStyle name="Note 5 2 3 9 3" xfId="38782" xr:uid="{00000000-0005-0000-0000-000043600000}"/>
    <cellStyle name="Note 5 2 4" xfId="835" xr:uid="{00000000-0005-0000-0000-000044600000}"/>
    <cellStyle name="Note 5 2 4 10" xfId="19820" xr:uid="{00000000-0005-0000-0000-000045600000}"/>
    <cellStyle name="Note 5 2 4 11" xfId="30665" xr:uid="{00000000-0005-0000-0000-000046600000}"/>
    <cellStyle name="Note 5 2 4 2" xfId="1422" xr:uid="{00000000-0005-0000-0000-000047600000}"/>
    <cellStyle name="Note 5 2 4 2 2" xfId="4275" xr:uid="{00000000-0005-0000-0000-000048600000}"/>
    <cellStyle name="Note 5 2 4 2 2 2" xfId="23247" xr:uid="{00000000-0005-0000-0000-000049600000}"/>
    <cellStyle name="Note 5 2 4 2 2 3" xfId="34092" xr:uid="{00000000-0005-0000-0000-00004A600000}"/>
    <cellStyle name="Note 5 2 4 2 3" xfId="6948" xr:uid="{00000000-0005-0000-0000-00004B600000}"/>
    <cellStyle name="Note 5 2 4 2 3 2" xfId="25920" xr:uid="{00000000-0005-0000-0000-00004C600000}"/>
    <cellStyle name="Note 5 2 4 2 3 3" xfId="36765" xr:uid="{00000000-0005-0000-0000-00004D600000}"/>
    <cellStyle name="Note 5 2 4 2 4" xfId="9607" xr:uid="{00000000-0005-0000-0000-00004E600000}"/>
    <cellStyle name="Note 5 2 4 2 4 2" xfId="28579" xr:uid="{00000000-0005-0000-0000-00004F600000}"/>
    <cellStyle name="Note 5 2 4 2 4 3" xfId="39424" xr:uid="{00000000-0005-0000-0000-000050600000}"/>
    <cellStyle name="Note 5 2 4 2 5" xfId="20403" xr:uid="{00000000-0005-0000-0000-000051600000}"/>
    <cellStyle name="Note 5 2 4 2 6" xfId="31248" xr:uid="{00000000-0005-0000-0000-000052600000}"/>
    <cellStyle name="Note 5 2 4 3" xfId="1821" xr:uid="{00000000-0005-0000-0000-000053600000}"/>
    <cellStyle name="Note 5 2 4 3 2" xfId="4674" xr:uid="{00000000-0005-0000-0000-000054600000}"/>
    <cellStyle name="Note 5 2 4 3 2 2" xfId="23646" xr:uid="{00000000-0005-0000-0000-000055600000}"/>
    <cellStyle name="Note 5 2 4 3 2 3" xfId="34491" xr:uid="{00000000-0005-0000-0000-000056600000}"/>
    <cellStyle name="Note 5 2 4 3 3" xfId="7346" xr:uid="{00000000-0005-0000-0000-000057600000}"/>
    <cellStyle name="Note 5 2 4 3 3 2" xfId="26318" xr:uid="{00000000-0005-0000-0000-000058600000}"/>
    <cellStyle name="Note 5 2 4 3 3 3" xfId="37163" xr:uid="{00000000-0005-0000-0000-000059600000}"/>
    <cellStyle name="Note 5 2 4 3 4" xfId="10005" xr:uid="{00000000-0005-0000-0000-00005A600000}"/>
    <cellStyle name="Note 5 2 4 3 4 2" xfId="28977" xr:uid="{00000000-0005-0000-0000-00005B600000}"/>
    <cellStyle name="Note 5 2 4 3 4 3" xfId="39822" xr:uid="{00000000-0005-0000-0000-00005C600000}"/>
    <cellStyle name="Note 5 2 4 3 5" xfId="20801" xr:uid="{00000000-0005-0000-0000-00005D600000}"/>
    <cellStyle name="Note 5 2 4 3 6" xfId="31646" xr:uid="{00000000-0005-0000-0000-00005E600000}"/>
    <cellStyle name="Note 5 2 4 4" xfId="2225" xr:uid="{00000000-0005-0000-0000-00005F600000}"/>
    <cellStyle name="Note 5 2 4 4 2" xfId="5078" xr:uid="{00000000-0005-0000-0000-000060600000}"/>
    <cellStyle name="Note 5 2 4 4 2 2" xfId="24050" xr:uid="{00000000-0005-0000-0000-000061600000}"/>
    <cellStyle name="Note 5 2 4 4 2 3" xfId="34895" xr:uid="{00000000-0005-0000-0000-000062600000}"/>
    <cellStyle name="Note 5 2 4 4 3" xfId="7749" xr:uid="{00000000-0005-0000-0000-000063600000}"/>
    <cellStyle name="Note 5 2 4 4 3 2" xfId="26721" xr:uid="{00000000-0005-0000-0000-000064600000}"/>
    <cellStyle name="Note 5 2 4 4 3 3" xfId="37566" xr:uid="{00000000-0005-0000-0000-000065600000}"/>
    <cellStyle name="Note 5 2 4 4 4" xfId="10408" xr:uid="{00000000-0005-0000-0000-000066600000}"/>
    <cellStyle name="Note 5 2 4 4 4 2" xfId="29380" xr:uid="{00000000-0005-0000-0000-000067600000}"/>
    <cellStyle name="Note 5 2 4 4 4 3" xfId="40225" xr:uid="{00000000-0005-0000-0000-000068600000}"/>
    <cellStyle name="Note 5 2 4 4 5" xfId="21204" xr:uid="{00000000-0005-0000-0000-000069600000}"/>
    <cellStyle name="Note 5 2 4 4 6" xfId="32049" xr:uid="{00000000-0005-0000-0000-00006A600000}"/>
    <cellStyle name="Note 5 2 4 5" xfId="2615" xr:uid="{00000000-0005-0000-0000-00006B600000}"/>
    <cellStyle name="Note 5 2 4 5 2" xfId="5467" xr:uid="{00000000-0005-0000-0000-00006C600000}"/>
    <cellStyle name="Note 5 2 4 5 2 2" xfId="24439" xr:uid="{00000000-0005-0000-0000-00006D600000}"/>
    <cellStyle name="Note 5 2 4 5 2 3" xfId="35284" xr:uid="{00000000-0005-0000-0000-00006E600000}"/>
    <cellStyle name="Note 5 2 4 5 3" xfId="8138" xr:uid="{00000000-0005-0000-0000-00006F600000}"/>
    <cellStyle name="Note 5 2 4 5 3 2" xfId="27110" xr:uid="{00000000-0005-0000-0000-000070600000}"/>
    <cellStyle name="Note 5 2 4 5 3 3" xfId="37955" xr:uid="{00000000-0005-0000-0000-000071600000}"/>
    <cellStyle name="Note 5 2 4 5 4" xfId="10797" xr:uid="{00000000-0005-0000-0000-000072600000}"/>
    <cellStyle name="Note 5 2 4 5 4 2" xfId="29769" xr:uid="{00000000-0005-0000-0000-000073600000}"/>
    <cellStyle name="Note 5 2 4 5 4 3" xfId="40614" xr:uid="{00000000-0005-0000-0000-000074600000}"/>
    <cellStyle name="Note 5 2 4 5 5" xfId="21593" xr:uid="{00000000-0005-0000-0000-000075600000}"/>
    <cellStyle name="Note 5 2 4 5 6" xfId="32438" xr:uid="{00000000-0005-0000-0000-000076600000}"/>
    <cellStyle name="Note 5 2 4 6" xfId="3001" xr:uid="{00000000-0005-0000-0000-000077600000}"/>
    <cellStyle name="Note 5 2 4 6 2" xfId="5852" xr:uid="{00000000-0005-0000-0000-000078600000}"/>
    <cellStyle name="Note 5 2 4 6 2 2" xfId="24824" xr:uid="{00000000-0005-0000-0000-000079600000}"/>
    <cellStyle name="Note 5 2 4 6 2 3" xfId="35669" xr:uid="{00000000-0005-0000-0000-00007A600000}"/>
    <cellStyle name="Note 5 2 4 6 3" xfId="8523" xr:uid="{00000000-0005-0000-0000-00007B600000}"/>
    <cellStyle name="Note 5 2 4 6 3 2" xfId="27495" xr:uid="{00000000-0005-0000-0000-00007C600000}"/>
    <cellStyle name="Note 5 2 4 6 3 3" xfId="38340" xr:uid="{00000000-0005-0000-0000-00007D600000}"/>
    <cellStyle name="Note 5 2 4 6 4" xfId="11182" xr:uid="{00000000-0005-0000-0000-00007E600000}"/>
    <cellStyle name="Note 5 2 4 6 4 2" xfId="30154" xr:uid="{00000000-0005-0000-0000-00007F600000}"/>
    <cellStyle name="Note 5 2 4 6 4 3" xfId="40999" xr:uid="{00000000-0005-0000-0000-000080600000}"/>
    <cellStyle name="Note 5 2 4 6 5" xfId="21978" xr:uid="{00000000-0005-0000-0000-000081600000}"/>
    <cellStyle name="Note 5 2 4 6 6" xfId="32823" xr:uid="{00000000-0005-0000-0000-000082600000}"/>
    <cellStyle name="Note 5 2 4 7" xfId="3690" xr:uid="{00000000-0005-0000-0000-000083600000}"/>
    <cellStyle name="Note 5 2 4 7 2" xfId="22662" xr:uid="{00000000-0005-0000-0000-000084600000}"/>
    <cellStyle name="Note 5 2 4 7 3" xfId="33507" xr:uid="{00000000-0005-0000-0000-000085600000}"/>
    <cellStyle name="Note 5 2 4 8" xfId="6365" xr:uid="{00000000-0005-0000-0000-000086600000}"/>
    <cellStyle name="Note 5 2 4 8 2" xfId="25337" xr:uid="{00000000-0005-0000-0000-000087600000}"/>
    <cellStyle name="Note 5 2 4 8 3" xfId="36182" xr:uid="{00000000-0005-0000-0000-000088600000}"/>
    <cellStyle name="Note 5 2 4 9" xfId="9024" xr:uid="{00000000-0005-0000-0000-000089600000}"/>
    <cellStyle name="Note 5 2 4 9 2" xfId="27996" xr:uid="{00000000-0005-0000-0000-00008A600000}"/>
    <cellStyle name="Note 5 2 4 9 3" xfId="38841" xr:uid="{00000000-0005-0000-0000-00008B600000}"/>
    <cellStyle name="Note 5 2 5" xfId="894" xr:uid="{00000000-0005-0000-0000-00008C600000}"/>
    <cellStyle name="Note 5 2 5 10" xfId="19879" xr:uid="{00000000-0005-0000-0000-00008D600000}"/>
    <cellStyle name="Note 5 2 5 11" xfId="30724" xr:uid="{00000000-0005-0000-0000-00008E600000}"/>
    <cellStyle name="Note 5 2 5 2" xfId="1481" xr:uid="{00000000-0005-0000-0000-00008F600000}"/>
    <cellStyle name="Note 5 2 5 2 2" xfId="4334" xr:uid="{00000000-0005-0000-0000-000090600000}"/>
    <cellStyle name="Note 5 2 5 2 2 2" xfId="23306" xr:uid="{00000000-0005-0000-0000-000091600000}"/>
    <cellStyle name="Note 5 2 5 2 2 3" xfId="34151" xr:uid="{00000000-0005-0000-0000-000092600000}"/>
    <cellStyle name="Note 5 2 5 2 3" xfId="7007" xr:uid="{00000000-0005-0000-0000-000093600000}"/>
    <cellStyle name="Note 5 2 5 2 3 2" xfId="25979" xr:uid="{00000000-0005-0000-0000-000094600000}"/>
    <cellStyle name="Note 5 2 5 2 3 3" xfId="36824" xr:uid="{00000000-0005-0000-0000-000095600000}"/>
    <cellStyle name="Note 5 2 5 2 4" xfId="9666" xr:uid="{00000000-0005-0000-0000-000096600000}"/>
    <cellStyle name="Note 5 2 5 2 4 2" xfId="28638" xr:uid="{00000000-0005-0000-0000-000097600000}"/>
    <cellStyle name="Note 5 2 5 2 4 3" xfId="39483" xr:uid="{00000000-0005-0000-0000-000098600000}"/>
    <cellStyle name="Note 5 2 5 2 5" xfId="20462" xr:uid="{00000000-0005-0000-0000-000099600000}"/>
    <cellStyle name="Note 5 2 5 2 6" xfId="31307" xr:uid="{00000000-0005-0000-0000-00009A600000}"/>
    <cellStyle name="Note 5 2 5 3" xfId="1880" xr:uid="{00000000-0005-0000-0000-00009B600000}"/>
    <cellStyle name="Note 5 2 5 3 2" xfId="4733" xr:uid="{00000000-0005-0000-0000-00009C600000}"/>
    <cellStyle name="Note 5 2 5 3 2 2" xfId="23705" xr:uid="{00000000-0005-0000-0000-00009D600000}"/>
    <cellStyle name="Note 5 2 5 3 2 3" xfId="34550" xr:uid="{00000000-0005-0000-0000-00009E600000}"/>
    <cellStyle name="Note 5 2 5 3 3" xfId="7405" xr:uid="{00000000-0005-0000-0000-00009F600000}"/>
    <cellStyle name="Note 5 2 5 3 3 2" xfId="26377" xr:uid="{00000000-0005-0000-0000-0000A0600000}"/>
    <cellStyle name="Note 5 2 5 3 3 3" xfId="37222" xr:uid="{00000000-0005-0000-0000-0000A1600000}"/>
    <cellStyle name="Note 5 2 5 3 4" xfId="10064" xr:uid="{00000000-0005-0000-0000-0000A2600000}"/>
    <cellStyle name="Note 5 2 5 3 4 2" xfId="29036" xr:uid="{00000000-0005-0000-0000-0000A3600000}"/>
    <cellStyle name="Note 5 2 5 3 4 3" xfId="39881" xr:uid="{00000000-0005-0000-0000-0000A4600000}"/>
    <cellStyle name="Note 5 2 5 3 5" xfId="20860" xr:uid="{00000000-0005-0000-0000-0000A5600000}"/>
    <cellStyle name="Note 5 2 5 3 6" xfId="31705" xr:uid="{00000000-0005-0000-0000-0000A6600000}"/>
    <cellStyle name="Note 5 2 5 4" xfId="2284" xr:uid="{00000000-0005-0000-0000-0000A7600000}"/>
    <cellStyle name="Note 5 2 5 4 2" xfId="5137" xr:uid="{00000000-0005-0000-0000-0000A8600000}"/>
    <cellStyle name="Note 5 2 5 4 2 2" xfId="24109" xr:uid="{00000000-0005-0000-0000-0000A9600000}"/>
    <cellStyle name="Note 5 2 5 4 2 3" xfId="34954" xr:uid="{00000000-0005-0000-0000-0000AA600000}"/>
    <cellStyle name="Note 5 2 5 4 3" xfId="7808" xr:uid="{00000000-0005-0000-0000-0000AB600000}"/>
    <cellStyle name="Note 5 2 5 4 3 2" xfId="26780" xr:uid="{00000000-0005-0000-0000-0000AC600000}"/>
    <cellStyle name="Note 5 2 5 4 3 3" xfId="37625" xr:uid="{00000000-0005-0000-0000-0000AD600000}"/>
    <cellStyle name="Note 5 2 5 4 4" xfId="10467" xr:uid="{00000000-0005-0000-0000-0000AE600000}"/>
    <cellStyle name="Note 5 2 5 4 4 2" xfId="29439" xr:uid="{00000000-0005-0000-0000-0000AF600000}"/>
    <cellStyle name="Note 5 2 5 4 4 3" xfId="40284" xr:uid="{00000000-0005-0000-0000-0000B0600000}"/>
    <cellStyle name="Note 5 2 5 4 5" xfId="21263" xr:uid="{00000000-0005-0000-0000-0000B1600000}"/>
    <cellStyle name="Note 5 2 5 4 6" xfId="32108" xr:uid="{00000000-0005-0000-0000-0000B2600000}"/>
    <cellStyle name="Note 5 2 5 5" xfId="2674" xr:uid="{00000000-0005-0000-0000-0000B3600000}"/>
    <cellStyle name="Note 5 2 5 5 2" xfId="5526" xr:uid="{00000000-0005-0000-0000-0000B4600000}"/>
    <cellStyle name="Note 5 2 5 5 2 2" xfId="24498" xr:uid="{00000000-0005-0000-0000-0000B5600000}"/>
    <cellStyle name="Note 5 2 5 5 2 3" xfId="35343" xr:uid="{00000000-0005-0000-0000-0000B6600000}"/>
    <cellStyle name="Note 5 2 5 5 3" xfId="8197" xr:uid="{00000000-0005-0000-0000-0000B7600000}"/>
    <cellStyle name="Note 5 2 5 5 3 2" xfId="27169" xr:uid="{00000000-0005-0000-0000-0000B8600000}"/>
    <cellStyle name="Note 5 2 5 5 3 3" xfId="38014" xr:uid="{00000000-0005-0000-0000-0000B9600000}"/>
    <cellStyle name="Note 5 2 5 5 4" xfId="10856" xr:uid="{00000000-0005-0000-0000-0000BA600000}"/>
    <cellStyle name="Note 5 2 5 5 4 2" xfId="29828" xr:uid="{00000000-0005-0000-0000-0000BB600000}"/>
    <cellStyle name="Note 5 2 5 5 4 3" xfId="40673" xr:uid="{00000000-0005-0000-0000-0000BC600000}"/>
    <cellStyle name="Note 5 2 5 5 5" xfId="21652" xr:uid="{00000000-0005-0000-0000-0000BD600000}"/>
    <cellStyle name="Note 5 2 5 5 6" xfId="32497" xr:uid="{00000000-0005-0000-0000-0000BE600000}"/>
    <cellStyle name="Note 5 2 5 6" xfId="3060" xr:uid="{00000000-0005-0000-0000-0000BF600000}"/>
    <cellStyle name="Note 5 2 5 6 2" xfId="5911" xr:uid="{00000000-0005-0000-0000-0000C0600000}"/>
    <cellStyle name="Note 5 2 5 6 2 2" xfId="24883" xr:uid="{00000000-0005-0000-0000-0000C1600000}"/>
    <cellStyle name="Note 5 2 5 6 2 3" xfId="35728" xr:uid="{00000000-0005-0000-0000-0000C2600000}"/>
    <cellStyle name="Note 5 2 5 6 3" xfId="8582" xr:uid="{00000000-0005-0000-0000-0000C3600000}"/>
    <cellStyle name="Note 5 2 5 6 3 2" xfId="27554" xr:uid="{00000000-0005-0000-0000-0000C4600000}"/>
    <cellStyle name="Note 5 2 5 6 3 3" xfId="38399" xr:uid="{00000000-0005-0000-0000-0000C5600000}"/>
    <cellStyle name="Note 5 2 5 6 4" xfId="11241" xr:uid="{00000000-0005-0000-0000-0000C6600000}"/>
    <cellStyle name="Note 5 2 5 6 4 2" xfId="30213" xr:uid="{00000000-0005-0000-0000-0000C7600000}"/>
    <cellStyle name="Note 5 2 5 6 4 3" xfId="41058" xr:uid="{00000000-0005-0000-0000-0000C8600000}"/>
    <cellStyle name="Note 5 2 5 6 5" xfId="22037" xr:uid="{00000000-0005-0000-0000-0000C9600000}"/>
    <cellStyle name="Note 5 2 5 6 6" xfId="32882" xr:uid="{00000000-0005-0000-0000-0000CA600000}"/>
    <cellStyle name="Note 5 2 5 7" xfId="3749" xr:uid="{00000000-0005-0000-0000-0000CB600000}"/>
    <cellStyle name="Note 5 2 5 7 2" xfId="22721" xr:uid="{00000000-0005-0000-0000-0000CC600000}"/>
    <cellStyle name="Note 5 2 5 7 3" xfId="33566" xr:uid="{00000000-0005-0000-0000-0000CD600000}"/>
    <cellStyle name="Note 5 2 5 8" xfId="6424" xr:uid="{00000000-0005-0000-0000-0000CE600000}"/>
    <cellStyle name="Note 5 2 5 8 2" xfId="25396" xr:uid="{00000000-0005-0000-0000-0000CF600000}"/>
    <cellStyle name="Note 5 2 5 8 3" xfId="36241" xr:uid="{00000000-0005-0000-0000-0000D0600000}"/>
    <cellStyle name="Note 5 2 5 9" xfId="9083" xr:uid="{00000000-0005-0000-0000-0000D1600000}"/>
    <cellStyle name="Note 5 2 5 9 2" xfId="28055" xr:uid="{00000000-0005-0000-0000-0000D2600000}"/>
    <cellStyle name="Note 5 2 5 9 3" xfId="38900" xr:uid="{00000000-0005-0000-0000-0000D3600000}"/>
    <cellStyle name="Note 5 2 6" xfId="1124" xr:uid="{00000000-0005-0000-0000-0000D4600000}"/>
    <cellStyle name="Note 5 2 6 2" xfId="3977" xr:uid="{00000000-0005-0000-0000-0000D5600000}"/>
    <cellStyle name="Note 5 2 6 2 2" xfId="22949" xr:uid="{00000000-0005-0000-0000-0000D6600000}"/>
    <cellStyle name="Note 5 2 6 2 3" xfId="33794" xr:uid="{00000000-0005-0000-0000-0000D7600000}"/>
    <cellStyle name="Note 5 2 6 3" xfId="6650" xr:uid="{00000000-0005-0000-0000-0000D8600000}"/>
    <cellStyle name="Note 5 2 6 3 2" xfId="25622" xr:uid="{00000000-0005-0000-0000-0000D9600000}"/>
    <cellStyle name="Note 5 2 6 3 3" xfId="36467" xr:uid="{00000000-0005-0000-0000-0000DA600000}"/>
    <cellStyle name="Note 5 2 6 4" xfId="9309" xr:uid="{00000000-0005-0000-0000-0000DB600000}"/>
    <cellStyle name="Note 5 2 6 4 2" xfId="28281" xr:uid="{00000000-0005-0000-0000-0000DC600000}"/>
    <cellStyle name="Note 5 2 6 4 3" xfId="39126" xr:uid="{00000000-0005-0000-0000-0000DD600000}"/>
    <cellStyle name="Note 5 2 6 5" xfId="20105" xr:uid="{00000000-0005-0000-0000-0000DE600000}"/>
    <cellStyle name="Note 5 2 6 6" xfId="30950" xr:uid="{00000000-0005-0000-0000-0000DF600000}"/>
    <cellStyle name="Note 5 2 7" xfId="1520" xr:uid="{00000000-0005-0000-0000-0000E0600000}"/>
    <cellStyle name="Note 5 2 7 2" xfId="4373" xr:uid="{00000000-0005-0000-0000-0000E1600000}"/>
    <cellStyle name="Note 5 2 7 2 2" xfId="23345" xr:uid="{00000000-0005-0000-0000-0000E2600000}"/>
    <cellStyle name="Note 5 2 7 2 3" xfId="34190" xr:uid="{00000000-0005-0000-0000-0000E3600000}"/>
    <cellStyle name="Note 5 2 7 3" xfId="7046" xr:uid="{00000000-0005-0000-0000-0000E4600000}"/>
    <cellStyle name="Note 5 2 7 3 2" xfId="26018" xr:uid="{00000000-0005-0000-0000-0000E5600000}"/>
    <cellStyle name="Note 5 2 7 3 3" xfId="36863" xr:uid="{00000000-0005-0000-0000-0000E6600000}"/>
    <cellStyle name="Note 5 2 7 4" xfId="9705" xr:uid="{00000000-0005-0000-0000-0000E7600000}"/>
    <cellStyle name="Note 5 2 7 4 2" xfId="28677" xr:uid="{00000000-0005-0000-0000-0000E8600000}"/>
    <cellStyle name="Note 5 2 7 4 3" xfId="39522" xr:uid="{00000000-0005-0000-0000-0000E9600000}"/>
    <cellStyle name="Note 5 2 7 5" xfId="20501" xr:uid="{00000000-0005-0000-0000-0000EA600000}"/>
    <cellStyle name="Note 5 2 7 6" xfId="31346" xr:uid="{00000000-0005-0000-0000-0000EB600000}"/>
    <cellStyle name="Note 5 2 8" xfId="1926" xr:uid="{00000000-0005-0000-0000-0000EC600000}"/>
    <cellStyle name="Note 5 2 8 2" xfId="4779" xr:uid="{00000000-0005-0000-0000-0000ED600000}"/>
    <cellStyle name="Note 5 2 8 2 2" xfId="23751" xr:uid="{00000000-0005-0000-0000-0000EE600000}"/>
    <cellStyle name="Note 5 2 8 2 3" xfId="34596" xr:uid="{00000000-0005-0000-0000-0000EF600000}"/>
    <cellStyle name="Note 5 2 8 3" xfId="7451" xr:uid="{00000000-0005-0000-0000-0000F0600000}"/>
    <cellStyle name="Note 5 2 8 3 2" xfId="26423" xr:uid="{00000000-0005-0000-0000-0000F1600000}"/>
    <cellStyle name="Note 5 2 8 3 3" xfId="37268" xr:uid="{00000000-0005-0000-0000-0000F2600000}"/>
    <cellStyle name="Note 5 2 8 4" xfId="10110" xr:uid="{00000000-0005-0000-0000-0000F3600000}"/>
    <cellStyle name="Note 5 2 8 4 2" xfId="29082" xr:uid="{00000000-0005-0000-0000-0000F4600000}"/>
    <cellStyle name="Note 5 2 8 4 3" xfId="39927" xr:uid="{00000000-0005-0000-0000-0000F5600000}"/>
    <cellStyle name="Note 5 2 8 5" xfId="20906" xr:uid="{00000000-0005-0000-0000-0000F6600000}"/>
    <cellStyle name="Note 5 2 8 6" xfId="31751" xr:uid="{00000000-0005-0000-0000-0000F7600000}"/>
    <cellStyle name="Note 5 2 9" xfId="2319" xr:uid="{00000000-0005-0000-0000-0000F8600000}"/>
    <cellStyle name="Note 5 2 9 2" xfId="5172" xr:uid="{00000000-0005-0000-0000-0000F9600000}"/>
    <cellStyle name="Note 5 2 9 2 2" xfId="24144" xr:uid="{00000000-0005-0000-0000-0000FA600000}"/>
    <cellStyle name="Note 5 2 9 2 3" xfId="34989" xr:uid="{00000000-0005-0000-0000-0000FB600000}"/>
    <cellStyle name="Note 5 2 9 3" xfId="7843" xr:uid="{00000000-0005-0000-0000-0000FC600000}"/>
    <cellStyle name="Note 5 2 9 3 2" xfId="26815" xr:uid="{00000000-0005-0000-0000-0000FD600000}"/>
    <cellStyle name="Note 5 2 9 3 3" xfId="37660" xr:uid="{00000000-0005-0000-0000-0000FE600000}"/>
    <cellStyle name="Note 5 2 9 4" xfId="10502" xr:uid="{00000000-0005-0000-0000-0000FF600000}"/>
    <cellStyle name="Note 5 2 9 4 2" xfId="29474" xr:uid="{00000000-0005-0000-0000-000000610000}"/>
    <cellStyle name="Note 5 2 9 4 3" xfId="40319" xr:uid="{00000000-0005-0000-0000-000001610000}"/>
    <cellStyle name="Note 5 2 9 5" xfId="21298" xr:uid="{00000000-0005-0000-0000-000002610000}"/>
    <cellStyle name="Note 5 2 9 6" xfId="32143" xr:uid="{00000000-0005-0000-0000-000003610000}"/>
    <cellStyle name="Note 5 3" xfId="614" xr:uid="{00000000-0005-0000-0000-000004610000}"/>
    <cellStyle name="Note 5 3 10" xfId="19621" xr:uid="{00000000-0005-0000-0000-000005610000}"/>
    <cellStyle name="Note 5 3 11" xfId="30466" xr:uid="{00000000-0005-0000-0000-000006610000}"/>
    <cellStyle name="Note 5 3 2" xfId="1218" xr:uid="{00000000-0005-0000-0000-000007610000}"/>
    <cellStyle name="Note 5 3 2 2" xfId="4071" xr:uid="{00000000-0005-0000-0000-000008610000}"/>
    <cellStyle name="Note 5 3 2 2 2" xfId="23043" xr:uid="{00000000-0005-0000-0000-000009610000}"/>
    <cellStyle name="Note 5 3 2 2 3" xfId="33888" xr:uid="{00000000-0005-0000-0000-00000A610000}"/>
    <cellStyle name="Note 5 3 2 3" xfId="6744" xr:uid="{00000000-0005-0000-0000-00000B610000}"/>
    <cellStyle name="Note 5 3 2 3 2" xfId="25716" xr:uid="{00000000-0005-0000-0000-00000C610000}"/>
    <cellStyle name="Note 5 3 2 3 3" xfId="36561" xr:uid="{00000000-0005-0000-0000-00000D610000}"/>
    <cellStyle name="Note 5 3 2 4" xfId="9403" xr:uid="{00000000-0005-0000-0000-00000E610000}"/>
    <cellStyle name="Note 5 3 2 4 2" xfId="28375" xr:uid="{00000000-0005-0000-0000-00000F610000}"/>
    <cellStyle name="Note 5 3 2 4 3" xfId="39220" xr:uid="{00000000-0005-0000-0000-000010610000}"/>
    <cellStyle name="Note 5 3 2 5" xfId="20199" xr:uid="{00000000-0005-0000-0000-000011610000}"/>
    <cellStyle name="Note 5 3 2 6" xfId="31044" xr:uid="{00000000-0005-0000-0000-000012610000}"/>
    <cellStyle name="Note 5 3 3" xfId="1616" xr:uid="{00000000-0005-0000-0000-000013610000}"/>
    <cellStyle name="Note 5 3 3 2" xfId="4469" xr:uid="{00000000-0005-0000-0000-000014610000}"/>
    <cellStyle name="Note 5 3 3 2 2" xfId="23441" xr:uid="{00000000-0005-0000-0000-000015610000}"/>
    <cellStyle name="Note 5 3 3 2 3" xfId="34286" xr:uid="{00000000-0005-0000-0000-000016610000}"/>
    <cellStyle name="Note 5 3 3 3" xfId="7141" xr:uid="{00000000-0005-0000-0000-000017610000}"/>
    <cellStyle name="Note 5 3 3 3 2" xfId="26113" xr:uid="{00000000-0005-0000-0000-000018610000}"/>
    <cellStyle name="Note 5 3 3 3 3" xfId="36958" xr:uid="{00000000-0005-0000-0000-000019610000}"/>
    <cellStyle name="Note 5 3 3 4" xfId="9800" xr:uid="{00000000-0005-0000-0000-00001A610000}"/>
    <cellStyle name="Note 5 3 3 4 2" xfId="28772" xr:uid="{00000000-0005-0000-0000-00001B610000}"/>
    <cellStyle name="Note 5 3 3 4 3" xfId="39617" xr:uid="{00000000-0005-0000-0000-00001C610000}"/>
    <cellStyle name="Note 5 3 3 5" xfId="20596" xr:uid="{00000000-0005-0000-0000-00001D610000}"/>
    <cellStyle name="Note 5 3 3 6" xfId="31441" xr:uid="{00000000-0005-0000-0000-00001E610000}"/>
    <cellStyle name="Note 5 3 4" xfId="2018" xr:uid="{00000000-0005-0000-0000-00001F610000}"/>
    <cellStyle name="Note 5 3 4 2" xfId="4871" xr:uid="{00000000-0005-0000-0000-000020610000}"/>
    <cellStyle name="Note 5 3 4 2 2" xfId="23843" xr:uid="{00000000-0005-0000-0000-000021610000}"/>
    <cellStyle name="Note 5 3 4 2 3" xfId="34688" xr:uid="{00000000-0005-0000-0000-000022610000}"/>
    <cellStyle name="Note 5 3 4 3" xfId="7543" xr:uid="{00000000-0005-0000-0000-000023610000}"/>
    <cellStyle name="Note 5 3 4 3 2" xfId="26515" xr:uid="{00000000-0005-0000-0000-000024610000}"/>
    <cellStyle name="Note 5 3 4 3 3" xfId="37360" xr:uid="{00000000-0005-0000-0000-000025610000}"/>
    <cellStyle name="Note 5 3 4 4" xfId="10202" xr:uid="{00000000-0005-0000-0000-000026610000}"/>
    <cellStyle name="Note 5 3 4 4 2" xfId="29174" xr:uid="{00000000-0005-0000-0000-000027610000}"/>
    <cellStyle name="Note 5 3 4 4 3" xfId="40019" xr:uid="{00000000-0005-0000-0000-000028610000}"/>
    <cellStyle name="Note 5 3 4 5" xfId="20998" xr:uid="{00000000-0005-0000-0000-000029610000}"/>
    <cellStyle name="Note 5 3 4 6" xfId="31843" xr:uid="{00000000-0005-0000-0000-00002A610000}"/>
    <cellStyle name="Note 5 3 5" xfId="2410" xr:uid="{00000000-0005-0000-0000-00002B610000}"/>
    <cellStyle name="Note 5 3 5 2" xfId="5263" xr:uid="{00000000-0005-0000-0000-00002C610000}"/>
    <cellStyle name="Note 5 3 5 2 2" xfId="24235" xr:uid="{00000000-0005-0000-0000-00002D610000}"/>
    <cellStyle name="Note 5 3 5 2 3" xfId="35080" xr:uid="{00000000-0005-0000-0000-00002E610000}"/>
    <cellStyle name="Note 5 3 5 3" xfId="7934" xr:uid="{00000000-0005-0000-0000-00002F610000}"/>
    <cellStyle name="Note 5 3 5 3 2" xfId="26906" xr:uid="{00000000-0005-0000-0000-000030610000}"/>
    <cellStyle name="Note 5 3 5 3 3" xfId="37751" xr:uid="{00000000-0005-0000-0000-000031610000}"/>
    <cellStyle name="Note 5 3 5 4" xfId="10593" xr:uid="{00000000-0005-0000-0000-000032610000}"/>
    <cellStyle name="Note 5 3 5 4 2" xfId="29565" xr:uid="{00000000-0005-0000-0000-000033610000}"/>
    <cellStyle name="Note 5 3 5 4 3" xfId="40410" xr:uid="{00000000-0005-0000-0000-000034610000}"/>
    <cellStyle name="Note 5 3 5 5" xfId="21389" xr:uid="{00000000-0005-0000-0000-000035610000}"/>
    <cellStyle name="Note 5 3 5 6" xfId="32234" xr:uid="{00000000-0005-0000-0000-000036610000}"/>
    <cellStyle name="Note 5 3 6" xfId="2799" xr:uid="{00000000-0005-0000-0000-000037610000}"/>
    <cellStyle name="Note 5 3 6 2" xfId="5651" xr:uid="{00000000-0005-0000-0000-000038610000}"/>
    <cellStyle name="Note 5 3 6 2 2" xfId="24623" xr:uid="{00000000-0005-0000-0000-000039610000}"/>
    <cellStyle name="Note 5 3 6 2 3" xfId="35468" xr:uid="{00000000-0005-0000-0000-00003A610000}"/>
    <cellStyle name="Note 5 3 6 3" xfId="8322" xr:uid="{00000000-0005-0000-0000-00003B610000}"/>
    <cellStyle name="Note 5 3 6 3 2" xfId="27294" xr:uid="{00000000-0005-0000-0000-00003C610000}"/>
    <cellStyle name="Note 5 3 6 3 3" xfId="38139" xr:uid="{00000000-0005-0000-0000-00003D610000}"/>
    <cellStyle name="Note 5 3 6 4" xfId="10981" xr:uid="{00000000-0005-0000-0000-00003E610000}"/>
    <cellStyle name="Note 5 3 6 4 2" xfId="29953" xr:uid="{00000000-0005-0000-0000-00003F610000}"/>
    <cellStyle name="Note 5 3 6 4 3" xfId="40798" xr:uid="{00000000-0005-0000-0000-000040610000}"/>
    <cellStyle name="Note 5 3 6 5" xfId="21777" xr:uid="{00000000-0005-0000-0000-000041610000}"/>
    <cellStyle name="Note 5 3 6 6" xfId="32622" xr:uid="{00000000-0005-0000-0000-000042610000}"/>
    <cellStyle name="Note 5 3 7" xfId="3490" xr:uid="{00000000-0005-0000-0000-000043610000}"/>
    <cellStyle name="Note 5 3 7 2" xfId="22462" xr:uid="{00000000-0005-0000-0000-000044610000}"/>
    <cellStyle name="Note 5 3 7 3" xfId="33307" xr:uid="{00000000-0005-0000-0000-000045610000}"/>
    <cellStyle name="Note 5 3 8" xfId="6166" xr:uid="{00000000-0005-0000-0000-000046610000}"/>
    <cellStyle name="Note 5 3 8 2" xfId="25138" xr:uid="{00000000-0005-0000-0000-000047610000}"/>
    <cellStyle name="Note 5 3 8 3" xfId="35983" xr:uid="{00000000-0005-0000-0000-000048610000}"/>
    <cellStyle name="Note 5 3 9" xfId="8825" xr:uid="{00000000-0005-0000-0000-000049610000}"/>
    <cellStyle name="Note 5 3 9 2" xfId="27797" xr:uid="{00000000-0005-0000-0000-00004A610000}"/>
    <cellStyle name="Note 5 3 9 3" xfId="38642" xr:uid="{00000000-0005-0000-0000-00004B610000}"/>
    <cellStyle name="Note 6" xfId="315" xr:uid="{00000000-0005-0000-0000-00004C610000}"/>
    <cellStyle name="Note 6 2" xfId="427" xr:uid="{00000000-0005-0000-0000-00004D610000}"/>
    <cellStyle name="Note 6 2 10" xfId="2709" xr:uid="{00000000-0005-0000-0000-00004E610000}"/>
    <cellStyle name="Note 6 2 10 2" xfId="5561" xr:uid="{00000000-0005-0000-0000-00004F610000}"/>
    <cellStyle name="Note 6 2 10 2 2" xfId="24533" xr:uid="{00000000-0005-0000-0000-000050610000}"/>
    <cellStyle name="Note 6 2 10 2 3" xfId="35378" xr:uid="{00000000-0005-0000-0000-000051610000}"/>
    <cellStyle name="Note 6 2 10 3" xfId="8232" xr:uid="{00000000-0005-0000-0000-000052610000}"/>
    <cellStyle name="Note 6 2 10 3 2" xfId="27204" xr:uid="{00000000-0005-0000-0000-000053610000}"/>
    <cellStyle name="Note 6 2 10 3 3" xfId="38049" xr:uid="{00000000-0005-0000-0000-000054610000}"/>
    <cellStyle name="Note 6 2 10 4" xfId="10891" xr:uid="{00000000-0005-0000-0000-000055610000}"/>
    <cellStyle name="Note 6 2 10 4 2" xfId="29863" xr:uid="{00000000-0005-0000-0000-000056610000}"/>
    <cellStyle name="Note 6 2 10 4 3" xfId="40708" xr:uid="{00000000-0005-0000-0000-000057610000}"/>
    <cellStyle name="Note 6 2 10 5" xfId="21687" xr:uid="{00000000-0005-0000-0000-000058610000}"/>
    <cellStyle name="Note 6 2 10 6" xfId="32532" xr:uid="{00000000-0005-0000-0000-000059610000}"/>
    <cellStyle name="Note 6 2 11" xfId="3094" xr:uid="{00000000-0005-0000-0000-00005A610000}"/>
    <cellStyle name="Note 6 2 11 2" xfId="5945" xr:uid="{00000000-0005-0000-0000-00005B610000}"/>
    <cellStyle name="Note 6 2 11 2 2" xfId="24917" xr:uid="{00000000-0005-0000-0000-00005C610000}"/>
    <cellStyle name="Note 6 2 11 2 3" xfId="35762" xr:uid="{00000000-0005-0000-0000-00005D610000}"/>
    <cellStyle name="Note 6 2 11 3" xfId="8616" xr:uid="{00000000-0005-0000-0000-00005E610000}"/>
    <cellStyle name="Note 6 2 11 3 2" xfId="27588" xr:uid="{00000000-0005-0000-0000-00005F610000}"/>
    <cellStyle name="Note 6 2 11 3 3" xfId="38433" xr:uid="{00000000-0005-0000-0000-000060610000}"/>
    <cellStyle name="Note 6 2 11 4" xfId="11275" xr:uid="{00000000-0005-0000-0000-000061610000}"/>
    <cellStyle name="Note 6 2 11 4 2" xfId="30247" xr:uid="{00000000-0005-0000-0000-000062610000}"/>
    <cellStyle name="Note 6 2 11 4 3" xfId="41092" xr:uid="{00000000-0005-0000-0000-000063610000}"/>
    <cellStyle name="Note 6 2 11 5" xfId="22071" xr:uid="{00000000-0005-0000-0000-000064610000}"/>
    <cellStyle name="Note 6 2 11 6" xfId="32916" xr:uid="{00000000-0005-0000-0000-000065610000}"/>
    <cellStyle name="Note 6 2 12" xfId="3151" xr:uid="{00000000-0005-0000-0000-000066610000}"/>
    <cellStyle name="Note 6 2 12 2" xfId="6002" xr:uid="{00000000-0005-0000-0000-000067610000}"/>
    <cellStyle name="Note 6 2 12 2 2" xfId="24974" xr:uid="{00000000-0005-0000-0000-000068610000}"/>
    <cellStyle name="Note 6 2 12 2 3" xfId="35819" xr:uid="{00000000-0005-0000-0000-000069610000}"/>
    <cellStyle name="Note 6 2 12 3" xfId="8673" xr:uid="{00000000-0005-0000-0000-00006A610000}"/>
    <cellStyle name="Note 6 2 12 3 2" xfId="27645" xr:uid="{00000000-0005-0000-0000-00006B610000}"/>
    <cellStyle name="Note 6 2 12 3 3" xfId="38490" xr:uid="{00000000-0005-0000-0000-00006C610000}"/>
    <cellStyle name="Note 6 2 12 4" xfId="11332" xr:uid="{00000000-0005-0000-0000-00006D610000}"/>
    <cellStyle name="Note 6 2 12 4 2" xfId="30304" xr:uid="{00000000-0005-0000-0000-00006E610000}"/>
    <cellStyle name="Note 6 2 12 4 3" xfId="41149" xr:uid="{00000000-0005-0000-0000-00006F610000}"/>
    <cellStyle name="Note 6 2 12 5" xfId="22128" xr:uid="{00000000-0005-0000-0000-000070610000}"/>
    <cellStyle name="Note 6 2 12 6" xfId="32973" xr:uid="{00000000-0005-0000-0000-000071610000}"/>
    <cellStyle name="Note 6 2 13" xfId="3208" xr:uid="{00000000-0005-0000-0000-000072610000}"/>
    <cellStyle name="Note 6 2 13 2" xfId="6059" xr:uid="{00000000-0005-0000-0000-000073610000}"/>
    <cellStyle name="Note 6 2 13 2 2" xfId="25031" xr:uid="{00000000-0005-0000-0000-000074610000}"/>
    <cellStyle name="Note 6 2 13 2 3" xfId="35876" xr:uid="{00000000-0005-0000-0000-000075610000}"/>
    <cellStyle name="Note 6 2 13 3" xfId="8730" xr:uid="{00000000-0005-0000-0000-000076610000}"/>
    <cellStyle name="Note 6 2 13 3 2" xfId="27702" xr:uid="{00000000-0005-0000-0000-000077610000}"/>
    <cellStyle name="Note 6 2 13 3 3" xfId="38547" xr:uid="{00000000-0005-0000-0000-000078610000}"/>
    <cellStyle name="Note 6 2 13 4" xfId="11389" xr:uid="{00000000-0005-0000-0000-000079610000}"/>
    <cellStyle name="Note 6 2 13 4 2" xfId="30361" xr:uid="{00000000-0005-0000-0000-00007A610000}"/>
    <cellStyle name="Note 6 2 13 4 3" xfId="41206" xr:uid="{00000000-0005-0000-0000-00007B610000}"/>
    <cellStyle name="Note 6 2 13 5" xfId="22185" xr:uid="{00000000-0005-0000-0000-00007C610000}"/>
    <cellStyle name="Note 6 2 13 6" xfId="33030" xr:uid="{00000000-0005-0000-0000-00007D610000}"/>
    <cellStyle name="Note 6 2 14" xfId="3377" xr:uid="{00000000-0005-0000-0000-00007E610000}"/>
    <cellStyle name="Note 6 2 14 2" xfId="22351" xr:uid="{00000000-0005-0000-0000-00007F610000}"/>
    <cellStyle name="Note 6 2 14 3" xfId="33196" xr:uid="{00000000-0005-0000-0000-000080610000}"/>
    <cellStyle name="Note 6 2 15" xfId="3314" xr:uid="{00000000-0005-0000-0000-000081610000}"/>
    <cellStyle name="Note 6 2 15 2" xfId="22288" xr:uid="{00000000-0005-0000-0000-000082610000}"/>
    <cellStyle name="Note 6 2 15 3" xfId="33133" xr:uid="{00000000-0005-0000-0000-000083610000}"/>
    <cellStyle name="Note 6 2 16" xfId="3407" xr:uid="{00000000-0005-0000-0000-000084610000}"/>
    <cellStyle name="Note 6 2 16 2" xfId="22379" xr:uid="{00000000-0005-0000-0000-000085610000}"/>
    <cellStyle name="Note 6 2 16 3" xfId="33224" xr:uid="{00000000-0005-0000-0000-000086610000}"/>
    <cellStyle name="Note 6 2 17" xfId="19505" xr:uid="{00000000-0005-0000-0000-000087610000}"/>
    <cellStyle name="Note 6 2 18" xfId="19383" xr:uid="{00000000-0005-0000-0000-000088610000}"/>
    <cellStyle name="Note 6 2 2" xfId="718" xr:uid="{00000000-0005-0000-0000-000089610000}"/>
    <cellStyle name="Note 6 2 2 10" xfId="19703" xr:uid="{00000000-0005-0000-0000-00008A610000}"/>
    <cellStyle name="Note 6 2 2 11" xfId="30548" xr:uid="{00000000-0005-0000-0000-00008B610000}"/>
    <cellStyle name="Note 6 2 2 2" xfId="1305" xr:uid="{00000000-0005-0000-0000-00008C610000}"/>
    <cellStyle name="Note 6 2 2 2 2" xfId="4158" xr:uid="{00000000-0005-0000-0000-00008D610000}"/>
    <cellStyle name="Note 6 2 2 2 2 2" xfId="23130" xr:uid="{00000000-0005-0000-0000-00008E610000}"/>
    <cellStyle name="Note 6 2 2 2 2 3" xfId="33975" xr:uid="{00000000-0005-0000-0000-00008F610000}"/>
    <cellStyle name="Note 6 2 2 2 3" xfId="6831" xr:uid="{00000000-0005-0000-0000-000090610000}"/>
    <cellStyle name="Note 6 2 2 2 3 2" xfId="25803" xr:uid="{00000000-0005-0000-0000-000091610000}"/>
    <cellStyle name="Note 6 2 2 2 3 3" xfId="36648" xr:uid="{00000000-0005-0000-0000-000092610000}"/>
    <cellStyle name="Note 6 2 2 2 4" xfId="9490" xr:uid="{00000000-0005-0000-0000-000093610000}"/>
    <cellStyle name="Note 6 2 2 2 4 2" xfId="28462" xr:uid="{00000000-0005-0000-0000-000094610000}"/>
    <cellStyle name="Note 6 2 2 2 4 3" xfId="39307" xr:uid="{00000000-0005-0000-0000-000095610000}"/>
    <cellStyle name="Note 6 2 2 2 5" xfId="20286" xr:uid="{00000000-0005-0000-0000-000096610000}"/>
    <cellStyle name="Note 6 2 2 2 6" xfId="31131" xr:uid="{00000000-0005-0000-0000-000097610000}"/>
    <cellStyle name="Note 6 2 2 3" xfId="1704" xr:uid="{00000000-0005-0000-0000-000098610000}"/>
    <cellStyle name="Note 6 2 2 3 2" xfId="4557" xr:uid="{00000000-0005-0000-0000-000099610000}"/>
    <cellStyle name="Note 6 2 2 3 2 2" xfId="23529" xr:uid="{00000000-0005-0000-0000-00009A610000}"/>
    <cellStyle name="Note 6 2 2 3 2 3" xfId="34374" xr:uid="{00000000-0005-0000-0000-00009B610000}"/>
    <cellStyle name="Note 6 2 2 3 3" xfId="7229" xr:uid="{00000000-0005-0000-0000-00009C610000}"/>
    <cellStyle name="Note 6 2 2 3 3 2" xfId="26201" xr:uid="{00000000-0005-0000-0000-00009D610000}"/>
    <cellStyle name="Note 6 2 2 3 3 3" xfId="37046" xr:uid="{00000000-0005-0000-0000-00009E610000}"/>
    <cellStyle name="Note 6 2 2 3 4" xfId="9888" xr:uid="{00000000-0005-0000-0000-00009F610000}"/>
    <cellStyle name="Note 6 2 2 3 4 2" xfId="28860" xr:uid="{00000000-0005-0000-0000-0000A0610000}"/>
    <cellStyle name="Note 6 2 2 3 4 3" xfId="39705" xr:uid="{00000000-0005-0000-0000-0000A1610000}"/>
    <cellStyle name="Note 6 2 2 3 5" xfId="20684" xr:uid="{00000000-0005-0000-0000-0000A2610000}"/>
    <cellStyle name="Note 6 2 2 3 6" xfId="31529" xr:uid="{00000000-0005-0000-0000-0000A3610000}"/>
    <cellStyle name="Note 6 2 2 4" xfId="2108" xr:uid="{00000000-0005-0000-0000-0000A4610000}"/>
    <cellStyle name="Note 6 2 2 4 2" xfId="4961" xr:uid="{00000000-0005-0000-0000-0000A5610000}"/>
    <cellStyle name="Note 6 2 2 4 2 2" xfId="23933" xr:uid="{00000000-0005-0000-0000-0000A6610000}"/>
    <cellStyle name="Note 6 2 2 4 2 3" xfId="34778" xr:uid="{00000000-0005-0000-0000-0000A7610000}"/>
    <cellStyle name="Note 6 2 2 4 3" xfId="7632" xr:uid="{00000000-0005-0000-0000-0000A8610000}"/>
    <cellStyle name="Note 6 2 2 4 3 2" xfId="26604" xr:uid="{00000000-0005-0000-0000-0000A9610000}"/>
    <cellStyle name="Note 6 2 2 4 3 3" xfId="37449" xr:uid="{00000000-0005-0000-0000-0000AA610000}"/>
    <cellStyle name="Note 6 2 2 4 4" xfId="10291" xr:uid="{00000000-0005-0000-0000-0000AB610000}"/>
    <cellStyle name="Note 6 2 2 4 4 2" xfId="29263" xr:uid="{00000000-0005-0000-0000-0000AC610000}"/>
    <cellStyle name="Note 6 2 2 4 4 3" xfId="40108" xr:uid="{00000000-0005-0000-0000-0000AD610000}"/>
    <cellStyle name="Note 6 2 2 4 5" xfId="21087" xr:uid="{00000000-0005-0000-0000-0000AE610000}"/>
    <cellStyle name="Note 6 2 2 4 6" xfId="31932" xr:uid="{00000000-0005-0000-0000-0000AF610000}"/>
    <cellStyle name="Note 6 2 2 5" xfId="2498" xr:uid="{00000000-0005-0000-0000-0000B0610000}"/>
    <cellStyle name="Note 6 2 2 5 2" xfId="5350" xr:uid="{00000000-0005-0000-0000-0000B1610000}"/>
    <cellStyle name="Note 6 2 2 5 2 2" xfId="24322" xr:uid="{00000000-0005-0000-0000-0000B2610000}"/>
    <cellStyle name="Note 6 2 2 5 2 3" xfId="35167" xr:uid="{00000000-0005-0000-0000-0000B3610000}"/>
    <cellStyle name="Note 6 2 2 5 3" xfId="8021" xr:uid="{00000000-0005-0000-0000-0000B4610000}"/>
    <cellStyle name="Note 6 2 2 5 3 2" xfId="26993" xr:uid="{00000000-0005-0000-0000-0000B5610000}"/>
    <cellStyle name="Note 6 2 2 5 3 3" xfId="37838" xr:uid="{00000000-0005-0000-0000-0000B6610000}"/>
    <cellStyle name="Note 6 2 2 5 4" xfId="10680" xr:uid="{00000000-0005-0000-0000-0000B7610000}"/>
    <cellStyle name="Note 6 2 2 5 4 2" xfId="29652" xr:uid="{00000000-0005-0000-0000-0000B8610000}"/>
    <cellStyle name="Note 6 2 2 5 4 3" xfId="40497" xr:uid="{00000000-0005-0000-0000-0000B9610000}"/>
    <cellStyle name="Note 6 2 2 5 5" xfId="21476" xr:uid="{00000000-0005-0000-0000-0000BA610000}"/>
    <cellStyle name="Note 6 2 2 5 6" xfId="32321" xr:uid="{00000000-0005-0000-0000-0000BB610000}"/>
    <cellStyle name="Note 6 2 2 6" xfId="2884" xr:uid="{00000000-0005-0000-0000-0000BC610000}"/>
    <cellStyle name="Note 6 2 2 6 2" xfId="5735" xr:uid="{00000000-0005-0000-0000-0000BD610000}"/>
    <cellStyle name="Note 6 2 2 6 2 2" xfId="24707" xr:uid="{00000000-0005-0000-0000-0000BE610000}"/>
    <cellStyle name="Note 6 2 2 6 2 3" xfId="35552" xr:uid="{00000000-0005-0000-0000-0000BF610000}"/>
    <cellStyle name="Note 6 2 2 6 3" xfId="8406" xr:uid="{00000000-0005-0000-0000-0000C0610000}"/>
    <cellStyle name="Note 6 2 2 6 3 2" xfId="27378" xr:uid="{00000000-0005-0000-0000-0000C1610000}"/>
    <cellStyle name="Note 6 2 2 6 3 3" xfId="38223" xr:uid="{00000000-0005-0000-0000-0000C2610000}"/>
    <cellStyle name="Note 6 2 2 6 4" xfId="11065" xr:uid="{00000000-0005-0000-0000-0000C3610000}"/>
    <cellStyle name="Note 6 2 2 6 4 2" xfId="30037" xr:uid="{00000000-0005-0000-0000-0000C4610000}"/>
    <cellStyle name="Note 6 2 2 6 4 3" xfId="40882" xr:uid="{00000000-0005-0000-0000-0000C5610000}"/>
    <cellStyle name="Note 6 2 2 6 5" xfId="21861" xr:uid="{00000000-0005-0000-0000-0000C6610000}"/>
    <cellStyle name="Note 6 2 2 6 6" xfId="32706" xr:uid="{00000000-0005-0000-0000-0000C7610000}"/>
    <cellStyle name="Note 6 2 2 7" xfId="3573" xr:uid="{00000000-0005-0000-0000-0000C8610000}"/>
    <cellStyle name="Note 6 2 2 7 2" xfId="22545" xr:uid="{00000000-0005-0000-0000-0000C9610000}"/>
    <cellStyle name="Note 6 2 2 7 3" xfId="33390" xr:uid="{00000000-0005-0000-0000-0000CA610000}"/>
    <cellStyle name="Note 6 2 2 8" xfId="6248" xr:uid="{00000000-0005-0000-0000-0000CB610000}"/>
    <cellStyle name="Note 6 2 2 8 2" xfId="25220" xr:uid="{00000000-0005-0000-0000-0000CC610000}"/>
    <cellStyle name="Note 6 2 2 8 3" xfId="36065" xr:uid="{00000000-0005-0000-0000-0000CD610000}"/>
    <cellStyle name="Note 6 2 2 9" xfId="8907" xr:uid="{00000000-0005-0000-0000-0000CE610000}"/>
    <cellStyle name="Note 6 2 2 9 2" xfId="27879" xr:uid="{00000000-0005-0000-0000-0000CF610000}"/>
    <cellStyle name="Note 6 2 2 9 3" xfId="38724" xr:uid="{00000000-0005-0000-0000-0000D0610000}"/>
    <cellStyle name="Note 6 2 3" xfId="777" xr:uid="{00000000-0005-0000-0000-0000D1610000}"/>
    <cellStyle name="Note 6 2 3 10" xfId="19762" xr:uid="{00000000-0005-0000-0000-0000D2610000}"/>
    <cellStyle name="Note 6 2 3 11" xfId="30607" xr:uid="{00000000-0005-0000-0000-0000D3610000}"/>
    <cellStyle name="Note 6 2 3 2" xfId="1364" xr:uid="{00000000-0005-0000-0000-0000D4610000}"/>
    <cellStyle name="Note 6 2 3 2 2" xfId="4217" xr:uid="{00000000-0005-0000-0000-0000D5610000}"/>
    <cellStyle name="Note 6 2 3 2 2 2" xfId="23189" xr:uid="{00000000-0005-0000-0000-0000D6610000}"/>
    <cellStyle name="Note 6 2 3 2 2 3" xfId="34034" xr:uid="{00000000-0005-0000-0000-0000D7610000}"/>
    <cellStyle name="Note 6 2 3 2 3" xfId="6890" xr:uid="{00000000-0005-0000-0000-0000D8610000}"/>
    <cellStyle name="Note 6 2 3 2 3 2" xfId="25862" xr:uid="{00000000-0005-0000-0000-0000D9610000}"/>
    <cellStyle name="Note 6 2 3 2 3 3" xfId="36707" xr:uid="{00000000-0005-0000-0000-0000DA610000}"/>
    <cellStyle name="Note 6 2 3 2 4" xfId="9549" xr:uid="{00000000-0005-0000-0000-0000DB610000}"/>
    <cellStyle name="Note 6 2 3 2 4 2" xfId="28521" xr:uid="{00000000-0005-0000-0000-0000DC610000}"/>
    <cellStyle name="Note 6 2 3 2 4 3" xfId="39366" xr:uid="{00000000-0005-0000-0000-0000DD610000}"/>
    <cellStyle name="Note 6 2 3 2 5" xfId="20345" xr:uid="{00000000-0005-0000-0000-0000DE610000}"/>
    <cellStyle name="Note 6 2 3 2 6" xfId="31190" xr:uid="{00000000-0005-0000-0000-0000DF610000}"/>
    <cellStyle name="Note 6 2 3 3" xfId="1763" xr:uid="{00000000-0005-0000-0000-0000E0610000}"/>
    <cellStyle name="Note 6 2 3 3 2" xfId="4616" xr:uid="{00000000-0005-0000-0000-0000E1610000}"/>
    <cellStyle name="Note 6 2 3 3 2 2" xfId="23588" xr:uid="{00000000-0005-0000-0000-0000E2610000}"/>
    <cellStyle name="Note 6 2 3 3 2 3" xfId="34433" xr:uid="{00000000-0005-0000-0000-0000E3610000}"/>
    <cellStyle name="Note 6 2 3 3 3" xfId="7288" xr:uid="{00000000-0005-0000-0000-0000E4610000}"/>
    <cellStyle name="Note 6 2 3 3 3 2" xfId="26260" xr:uid="{00000000-0005-0000-0000-0000E5610000}"/>
    <cellStyle name="Note 6 2 3 3 3 3" xfId="37105" xr:uid="{00000000-0005-0000-0000-0000E6610000}"/>
    <cellStyle name="Note 6 2 3 3 4" xfId="9947" xr:uid="{00000000-0005-0000-0000-0000E7610000}"/>
    <cellStyle name="Note 6 2 3 3 4 2" xfId="28919" xr:uid="{00000000-0005-0000-0000-0000E8610000}"/>
    <cellStyle name="Note 6 2 3 3 4 3" xfId="39764" xr:uid="{00000000-0005-0000-0000-0000E9610000}"/>
    <cellStyle name="Note 6 2 3 3 5" xfId="20743" xr:uid="{00000000-0005-0000-0000-0000EA610000}"/>
    <cellStyle name="Note 6 2 3 3 6" xfId="31588" xr:uid="{00000000-0005-0000-0000-0000EB610000}"/>
    <cellStyle name="Note 6 2 3 4" xfId="2167" xr:uid="{00000000-0005-0000-0000-0000EC610000}"/>
    <cellStyle name="Note 6 2 3 4 2" xfId="5020" xr:uid="{00000000-0005-0000-0000-0000ED610000}"/>
    <cellStyle name="Note 6 2 3 4 2 2" xfId="23992" xr:uid="{00000000-0005-0000-0000-0000EE610000}"/>
    <cellStyle name="Note 6 2 3 4 2 3" xfId="34837" xr:uid="{00000000-0005-0000-0000-0000EF610000}"/>
    <cellStyle name="Note 6 2 3 4 3" xfId="7691" xr:uid="{00000000-0005-0000-0000-0000F0610000}"/>
    <cellStyle name="Note 6 2 3 4 3 2" xfId="26663" xr:uid="{00000000-0005-0000-0000-0000F1610000}"/>
    <cellStyle name="Note 6 2 3 4 3 3" xfId="37508" xr:uid="{00000000-0005-0000-0000-0000F2610000}"/>
    <cellStyle name="Note 6 2 3 4 4" xfId="10350" xr:uid="{00000000-0005-0000-0000-0000F3610000}"/>
    <cellStyle name="Note 6 2 3 4 4 2" xfId="29322" xr:uid="{00000000-0005-0000-0000-0000F4610000}"/>
    <cellStyle name="Note 6 2 3 4 4 3" xfId="40167" xr:uid="{00000000-0005-0000-0000-0000F5610000}"/>
    <cellStyle name="Note 6 2 3 4 5" xfId="21146" xr:uid="{00000000-0005-0000-0000-0000F6610000}"/>
    <cellStyle name="Note 6 2 3 4 6" xfId="31991" xr:uid="{00000000-0005-0000-0000-0000F7610000}"/>
    <cellStyle name="Note 6 2 3 5" xfId="2557" xr:uid="{00000000-0005-0000-0000-0000F8610000}"/>
    <cellStyle name="Note 6 2 3 5 2" xfId="5409" xr:uid="{00000000-0005-0000-0000-0000F9610000}"/>
    <cellStyle name="Note 6 2 3 5 2 2" xfId="24381" xr:uid="{00000000-0005-0000-0000-0000FA610000}"/>
    <cellStyle name="Note 6 2 3 5 2 3" xfId="35226" xr:uid="{00000000-0005-0000-0000-0000FB610000}"/>
    <cellStyle name="Note 6 2 3 5 3" xfId="8080" xr:uid="{00000000-0005-0000-0000-0000FC610000}"/>
    <cellStyle name="Note 6 2 3 5 3 2" xfId="27052" xr:uid="{00000000-0005-0000-0000-0000FD610000}"/>
    <cellStyle name="Note 6 2 3 5 3 3" xfId="37897" xr:uid="{00000000-0005-0000-0000-0000FE610000}"/>
    <cellStyle name="Note 6 2 3 5 4" xfId="10739" xr:uid="{00000000-0005-0000-0000-0000FF610000}"/>
    <cellStyle name="Note 6 2 3 5 4 2" xfId="29711" xr:uid="{00000000-0005-0000-0000-000000620000}"/>
    <cellStyle name="Note 6 2 3 5 4 3" xfId="40556" xr:uid="{00000000-0005-0000-0000-000001620000}"/>
    <cellStyle name="Note 6 2 3 5 5" xfId="21535" xr:uid="{00000000-0005-0000-0000-000002620000}"/>
    <cellStyle name="Note 6 2 3 5 6" xfId="32380" xr:uid="{00000000-0005-0000-0000-000003620000}"/>
    <cellStyle name="Note 6 2 3 6" xfId="2943" xr:uid="{00000000-0005-0000-0000-000004620000}"/>
    <cellStyle name="Note 6 2 3 6 2" xfId="5794" xr:uid="{00000000-0005-0000-0000-000005620000}"/>
    <cellStyle name="Note 6 2 3 6 2 2" xfId="24766" xr:uid="{00000000-0005-0000-0000-000006620000}"/>
    <cellStyle name="Note 6 2 3 6 2 3" xfId="35611" xr:uid="{00000000-0005-0000-0000-000007620000}"/>
    <cellStyle name="Note 6 2 3 6 3" xfId="8465" xr:uid="{00000000-0005-0000-0000-000008620000}"/>
    <cellStyle name="Note 6 2 3 6 3 2" xfId="27437" xr:uid="{00000000-0005-0000-0000-000009620000}"/>
    <cellStyle name="Note 6 2 3 6 3 3" xfId="38282" xr:uid="{00000000-0005-0000-0000-00000A620000}"/>
    <cellStyle name="Note 6 2 3 6 4" xfId="11124" xr:uid="{00000000-0005-0000-0000-00000B620000}"/>
    <cellStyle name="Note 6 2 3 6 4 2" xfId="30096" xr:uid="{00000000-0005-0000-0000-00000C620000}"/>
    <cellStyle name="Note 6 2 3 6 4 3" xfId="40941" xr:uid="{00000000-0005-0000-0000-00000D620000}"/>
    <cellStyle name="Note 6 2 3 6 5" xfId="21920" xr:uid="{00000000-0005-0000-0000-00000E620000}"/>
    <cellStyle name="Note 6 2 3 6 6" xfId="32765" xr:uid="{00000000-0005-0000-0000-00000F620000}"/>
    <cellStyle name="Note 6 2 3 7" xfId="3632" xr:uid="{00000000-0005-0000-0000-000010620000}"/>
    <cellStyle name="Note 6 2 3 7 2" xfId="22604" xr:uid="{00000000-0005-0000-0000-000011620000}"/>
    <cellStyle name="Note 6 2 3 7 3" xfId="33449" xr:uid="{00000000-0005-0000-0000-000012620000}"/>
    <cellStyle name="Note 6 2 3 8" xfId="6307" xr:uid="{00000000-0005-0000-0000-000013620000}"/>
    <cellStyle name="Note 6 2 3 8 2" xfId="25279" xr:uid="{00000000-0005-0000-0000-000014620000}"/>
    <cellStyle name="Note 6 2 3 8 3" xfId="36124" xr:uid="{00000000-0005-0000-0000-000015620000}"/>
    <cellStyle name="Note 6 2 3 9" xfId="8966" xr:uid="{00000000-0005-0000-0000-000016620000}"/>
    <cellStyle name="Note 6 2 3 9 2" xfId="27938" xr:uid="{00000000-0005-0000-0000-000017620000}"/>
    <cellStyle name="Note 6 2 3 9 3" xfId="38783" xr:uid="{00000000-0005-0000-0000-000018620000}"/>
    <cellStyle name="Note 6 2 4" xfId="836" xr:uid="{00000000-0005-0000-0000-000019620000}"/>
    <cellStyle name="Note 6 2 4 10" xfId="19821" xr:uid="{00000000-0005-0000-0000-00001A620000}"/>
    <cellStyle name="Note 6 2 4 11" xfId="30666" xr:uid="{00000000-0005-0000-0000-00001B620000}"/>
    <cellStyle name="Note 6 2 4 2" xfId="1423" xr:uid="{00000000-0005-0000-0000-00001C620000}"/>
    <cellStyle name="Note 6 2 4 2 2" xfId="4276" xr:uid="{00000000-0005-0000-0000-00001D620000}"/>
    <cellStyle name="Note 6 2 4 2 2 2" xfId="23248" xr:uid="{00000000-0005-0000-0000-00001E620000}"/>
    <cellStyle name="Note 6 2 4 2 2 3" xfId="34093" xr:uid="{00000000-0005-0000-0000-00001F620000}"/>
    <cellStyle name="Note 6 2 4 2 3" xfId="6949" xr:uid="{00000000-0005-0000-0000-000020620000}"/>
    <cellStyle name="Note 6 2 4 2 3 2" xfId="25921" xr:uid="{00000000-0005-0000-0000-000021620000}"/>
    <cellStyle name="Note 6 2 4 2 3 3" xfId="36766" xr:uid="{00000000-0005-0000-0000-000022620000}"/>
    <cellStyle name="Note 6 2 4 2 4" xfId="9608" xr:uid="{00000000-0005-0000-0000-000023620000}"/>
    <cellStyle name="Note 6 2 4 2 4 2" xfId="28580" xr:uid="{00000000-0005-0000-0000-000024620000}"/>
    <cellStyle name="Note 6 2 4 2 4 3" xfId="39425" xr:uid="{00000000-0005-0000-0000-000025620000}"/>
    <cellStyle name="Note 6 2 4 2 5" xfId="20404" xr:uid="{00000000-0005-0000-0000-000026620000}"/>
    <cellStyle name="Note 6 2 4 2 6" xfId="31249" xr:uid="{00000000-0005-0000-0000-000027620000}"/>
    <cellStyle name="Note 6 2 4 3" xfId="1822" xr:uid="{00000000-0005-0000-0000-000028620000}"/>
    <cellStyle name="Note 6 2 4 3 2" xfId="4675" xr:uid="{00000000-0005-0000-0000-000029620000}"/>
    <cellStyle name="Note 6 2 4 3 2 2" xfId="23647" xr:uid="{00000000-0005-0000-0000-00002A620000}"/>
    <cellStyle name="Note 6 2 4 3 2 3" xfId="34492" xr:uid="{00000000-0005-0000-0000-00002B620000}"/>
    <cellStyle name="Note 6 2 4 3 3" xfId="7347" xr:uid="{00000000-0005-0000-0000-00002C620000}"/>
    <cellStyle name="Note 6 2 4 3 3 2" xfId="26319" xr:uid="{00000000-0005-0000-0000-00002D620000}"/>
    <cellStyle name="Note 6 2 4 3 3 3" xfId="37164" xr:uid="{00000000-0005-0000-0000-00002E620000}"/>
    <cellStyle name="Note 6 2 4 3 4" xfId="10006" xr:uid="{00000000-0005-0000-0000-00002F620000}"/>
    <cellStyle name="Note 6 2 4 3 4 2" xfId="28978" xr:uid="{00000000-0005-0000-0000-000030620000}"/>
    <cellStyle name="Note 6 2 4 3 4 3" xfId="39823" xr:uid="{00000000-0005-0000-0000-000031620000}"/>
    <cellStyle name="Note 6 2 4 3 5" xfId="20802" xr:uid="{00000000-0005-0000-0000-000032620000}"/>
    <cellStyle name="Note 6 2 4 3 6" xfId="31647" xr:uid="{00000000-0005-0000-0000-000033620000}"/>
    <cellStyle name="Note 6 2 4 4" xfId="2226" xr:uid="{00000000-0005-0000-0000-000034620000}"/>
    <cellStyle name="Note 6 2 4 4 2" xfId="5079" xr:uid="{00000000-0005-0000-0000-000035620000}"/>
    <cellStyle name="Note 6 2 4 4 2 2" xfId="24051" xr:uid="{00000000-0005-0000-0000-000036620000}"/>
    <cellStyle name="Note 6 2 4 4 2 3" xfId="34896" xr:uid="{00000000-0005-0000-0000-000037620000}"/>
    <cellStyle name="Note 6 2 4 4 3" xfId="7750" xr:uid="{00000000-0005-0000-0000-000038620000}"/>
    <cellStyle name="Note 6 2 4 4 3 2" xfId="26722" xr:uid="{00000000-0005-0000-0000-000039620000}"/>
    <cellStyle name="Note 6 2 4 4 3 3" xfId="37567" xr:uid="{00000000-0005-0000-0000-00003A620000}"/>
    <cellStyle name="Note 6 2 4 4 4" xfId="10409" xr:uid="{00000000-0005-0000-0000-00003B620000}"/>
    <cellStyle name="Note 6 2 4 4 4 2" xfId="29381" xr:uid="{00000000-0005-0000-0000-00003C620000}"/>
    <cellStyle name="Note 6 2 4 4 4 3" xfId="40226" xr:uid="{00000000-0005-0000-0000-00003D620000}"/>
    <cellStyle name="Note 6 2 4 4 5" xfId="21205" xr:uid="{00000000-0005-0000-0000-00003E620000}"/>
    <cellStyle name="Note 6 2 4 4 6" xfId="32050" xr:uid="{00000000-0005-0000-0000-00003F620000}"/>
    <cellStyle name="Note 6 2 4 5" xfId="2616" xr:uid="{00000000-0005-0000-0000-000040620000}"/>
    <cellStyle name="Note 6 2 4 5 2" xfId="5468" xr:uid="{00000000-0005-0000-0000-000041620000}"/>
    <cellStyle name="Note 6 2 4 5 2 2" xfId="24440" xr:uid="{00000000-0005-0000-0000-000042620000}"/>
    <cellStyle name="Note 6 2 4 5 2 3" xfId="35285" xr:uid="{00000000-0005-0000-0000-000043620000}"/>
    <cellStyle name="Note 6 2 4 5 3" xfId="8139" xr:uid="{00000000-0005-0000-0000-000044620000}"/>
    <cellStyle name="Note 6 2 4 5 3 2" xfId="27111" xr:uid="{00000000-0005-0000-0000-000045620000}"/>
    <cellStyle name="Note 6 2 4 5 3 3" xfId="37956" xr:uid="{00000000-0005-0000-0000-000046620000}"/>
    <cellStyle name="Note 6 2 4 5 4" xfId="10798" xr:uid="{00000000-0005-0000-0000-000047620000}"/>
    <cellStyle name="Note 6 2 4 5 4 2" xfId="29770" xr:uid="{00000000-0005-0000-0000-000048620000}"/>
    <cellStyle name="Note 6 2 4 5 4 3" xfId="40615" xr:uid="{00000000-0005-0000-0000-000049620000}"/>
    <cellStyle name="Note 6 2 4 5 5" xfId="21594" xr:uid="{00000000-0005-0000-0000-00004A620000}"/>
    <cellStyle name="Note 6 2 4 5 6" xfId="32439" xr:uid="{00000000-0005-0000-0000-00004B620000}"/>
    <cellStyle name="Note 6 2 4 6" xfId="3002" xr:uid="{00000000-0005-0000-0000-00004C620000}"/>
    <cellStyle name="Note 6 2 4 6 2" xfId="5853" xr:uid="{00000000-0005-0000-0000-00004D620000}"/>
    <cellStyle name="Note 6 2 4 6 2 2" xfId="24825" xr:uid="{00000000-0005-0000-0000-00004E620000}"/>
    <cellStyle name="Note 6 2 4 6 2 3" xfId="35670" xr:uid="{00000000-0005-0000-0000-00004F620000}"/>
    <cellStyle name="Note 6 2 4 6 3" xfId="8524" xr:uid="{00000000-0005-0000-0000-000050620000}"/>
    <cellStyle name="Note 6 2 4 6 3 2" xfId="27496" xr:uid="{00000000-0005-0000-0000-000051620000}"/>
    <cellStyle name="Note 6 2 4 6 3 3" xfId="38341" xr:uid="{00000000-0005-0000-0000-000052620000}"/>
    <cellStyle name="Note 6 2 4 6 4" xfId="11183" xr:uid="{00000000-0005-0000-0000-000053620000}"/>
    <cellStyle name="Note 6 2 4 6 4 2" xfId="30155" xr:uid="{00000000-0005-0000-0000-000054620000}"/>
    <cellStyle name="Note 6 2 4 6 4 3" xfId="41000" xr:uid="{00000000-0005-0000-0000-000055620000}"/>
    <cellStyle name="Note 6 2 4 6 5" xfId="21979" xr:uid="{00000000-0005-0000-0000-000056620000}"/>
    <cellStyle name="Note 6 2 4 6 6" xfId="32824" xr:uid="{00000000-0005-0000-0000-000057620000}"/>
    <cellStyle name="Note 6 2 4 7" xfId="3691" xr:uid="{00000000-0005-0000-0000-000058620000}"/>
    <cellStyle name="Note 6 2 4 7 2" xfId="22663" xr:uid="{00000000-0005-0000-0000-000059620000}"/>
    <cellStyle name="Note 6 2 4 7 3" xfId="33508" xr:uid="{00000000-0005-0000-0000-00005A620000}"/>
    <cellStyle name="Note 6 2 4 8" xfId="6366" xr:uid="{00000000-0005-0000-0000-00005B620000}"/>
    <cellStyle name="Note 6 2 4 8 2" xfId="25338" xr:uid="{00000000-0005-0000-0000-00005C620000}"/>
    <cellStyle name="Note 6 2 4 8 3" xfId="36183" xr:uid="{00000000-0005-0000-0000-00005D620000}"/>
    <cellStyle name="Note 6 2 4 9" xfId="9025" xr:uid="{00000000-0005-0000-0000-00005E620000}"/>
    <cellStyle name="Note 6 2 4 9 2" xfId="27997" xr:uid="{00000000-0005-0000-0000-00005F620000}"/>
    <cellStyle name="Note 6 2 4 9 3" xfId="38842" xr:uid="{00000000-0005-0000-0000-000060620000}"/>
    <cellStyle name="Note 6 2 5" xfId="895" xr:uid="{00000000-0005-0000-0000-000061620000}"/>
    <cellStyle name="Note 6 2 5 10" xfId="19880" xr:uid="{00000000-0005-0000-0000-000062620000}"/>
    <cellStyle name="Note 6 2 5 11" xfId="30725" xr:uid="{00000000-0005-0000-0000-000063620000}"/>
    <cellStyle name="Note 6 2 5 2" xfId="1482" xr:uid="{00000000-0005-0000-0000-000064620000}"/>
    <cellStyle name="Note 6 2 5 2 2" xfId="4335" xr:uid="{00000000-0005-0000-0000-000065620000}"/>
    <cellStyle name="Note 6 2 5 2 2 2" xfId="23307" xr:uid="{00000000-0005-0000-0000-000066620000}"/>
    <cellStyle name="Note 6 2 5 2 2 3" xfId="34152" xr:uid="{00000000-0005-0000-0000-000067620000}"/>
    <cellStyle name="Note 6 2 5 2 3" xfId="7008" xr:uid="{00000000-0005-0000-0000-000068620000}"/>
    <cellStyle name="Note 6 2 5 2 3 2" xfId="25980" xr:uid="{00000000-0005-0000-0000-000069620000}"/>
    <cellStyle name="Note 6 2 5 2 3 3" xfId="36825" xr:uid="{00000000-0005-0000-0000-00006A620000}"/>
    <cellStyle name="Note 6 2 5 2 4" xfId="9667" xr:uid="{00000000-0005-0000-0000-00006B620000}"/>
    <cellStyle name="Note 6 2 5 2 4 2" xfId="28639" xr:uid="{00000000-0005-0000-0000-00006C620000}"/>
    <cellStyle name="Note 6 2 5 2 4 3" xfId="39484" xr:uid="{00000000-0005-0000-0000-00006D620000}"/>
    <cellStyle name="Note 6 2 5 2 5" xfId="20463" xr:uid="{00000000-0005-0000-0000-00006E620000}"/>
    <cellStyle name="Note 6 2 5 2 6" xfId="31308" xr:uid="{00000000-0005-0000-0000-00006F620000}"/>
    <cellStyle name="Note 6 2 5 3" xfId="1881" xr:uid="{00000000-0005-0000-0000-000070620000}"/>
    <cellStyle name="Note 6 2 5 3 2" xfId="4734" xr:uid="{00000000-0005-0000-0000-000071620000}"/>
    <cellStyle name="Note 6 2 5 3 2 2" xfId="23706" xr:uid="{00000000-0005-0000-0000-000072620000}"/>
    <cellStyle name="Note 6 2 5 3 2 3" xfId="34551" xr:uid="{00000000-0005-0000-0000-000073620000}"/>
    <cellStyle name="Note 6 2 5 3 3" xfId="7406" xr:uid="{00000000-0005-0000-0000-000074620000}"/>
    <cellStyle name="Note 6 2 5 3 3 2" xfId="26378" xr:uid="{00000000-0005-0000-0000-000075620000}"/>
    <cellStyle name="Note 6 2 5 3 3 3" xfId="37223" xr:uid="{00000000-0005-0000-0000-000076620000}"/>
    <cellStyle name="Note 6 2 5 3 4" xfId="10065" xr:uid="{00000000-0005-0000-0000-000077620000}"/>
    <cellStyle name="Note 6 2 5 3 4 2" xfId="29037" xr:uid="{00000000-0005-0000-0000-000078620000}"/>
    <cellStyle name="Note 6 2 5 3 4 3" xfId="39882" xr:uid="{00000000-0005-0000-0000-000079620000}"/>
    <cellStyle name="Note 6 2 5 3 5" xfId="20861" xr:uid="{00000000-0005-0000-0000-00007A620000}"/>
    <cellStyle name="Note 6 2 5 3 6" xfId="31706" xr:uid="{00000000-0005-0000-0000-00007B620000}"/>
    <cellStyle name="Note 6 2 5 4" xfId="2285" xr:uid="{00000000-0005-0000-0000-00007C620000}"/>
    <cellStyle name="Note 6 2 5 4 2" xfId="5138" xr:uid="{00000000-0005-0000-0000-00007D620000}"/>
    <cellStyle name="Note 6 2 5 4 2 2" xfId="24110" xr:uid="{00000000-0005-0000-0000-00007E620000}"/>
    <cellStyle name="Note 6 2 5 4 2 3" xfId="34955" xr:uid="{00000000-0005-0000-0000-00007F620000}"/>
    <cellStyle name="Note 6 2 5 4 3" xfId="7809" xr:uid="{00000000-0005-0000-0000-000080620000}"/>
    <cellStyle name="Note 6 2 5 4 3 2" xfId="26781" xr:uid="{00000000-0005-0000-0000-000081620000}"/>
    <cellStyle name="Note 6 2 5 4 3 3" xfId="37626" xr:uid="{00000000-0005-0000-0000-000082620000}"/>
    <cellStyle name="Note 6 2 5 4 4" xfId="10468" xr:uid="{00000000-0005-0000-0000-000083620000}"/>
    <cellStyle name="Note 6 2 5 4 4 2" xfId="29440" xr:uid="{00000000-0005-0000-0000-000084620000}"/>
    <cellStyle name="Note 6 2 5 4 4 3" xfId="40285" xr:uid="{00000000-0005-0000-0000-000085620000}"/>
    <cellStyle name="Note 6 2 5 4 5" xfId="21264" xr:uid="{00000000-0005-0000-0000-000086620000}"/>
    <cellStyle name="Note 6 2 5 4 6" xfId="32109" xr:uid="{00000000-0005-0000-0000-000087620000}"/>
    <cellStyle name="Note 6 2 5 5" xfId="2675" xr:uid="{00000000-0005-0000-0000-000088620000}"/>
    <cellStyle name="Note 6 2 5 5 2" xfId="5527" xr:uid="{00000000-0005-0000-0000-000089620000}"/>
    <cellStyle name="Note 6 2 5 5 2 2" xfId="24499" xr:uid="{00000000-0005-0000-0000-00008A620000}"/>
    <cellStyle name="Note 6 2 5 5 2 3" xfId="35344" xr:uid="{00000000-0005-0000-0000-00008B620000}"/>
    <cellStyle name="Note 6 2 5 5 3" xfId="8198" xr:uid="{00000000-0005-0000-0000-00008C620000}"/>
    <cellStyle name="Note 6 2 5 5 3 2" xfId="27170" xr:uid="{00000000-0005-0000-0000-00008D620000}"/>
    <cellStyle name="Note 6 2 5 5 3 3" xfId="38015" xr:uid="{00000000-0005-0000-0000-00008E620000}"/>
    <cellStyle name="Note 6 2 5 5 4" xfId="10857" xr:uid="{00000000-0005-0000-0000-00008F620000}"/>
    <cellStyle name="Note 6 2 5 5 4 2" xfId="29829" xr:uid="{00000000-0005-0000-0000-000090620000}"/>
    <cellStyle name="Note 6 2 5 5 4 3" xfId="40674" xr:uid="{00000000-0005-0000-0000-000091620000}"/>
    <cellStyle name="Note 6 2 5 5 5" xfId="21653" xr:uid="{00000000-0005-0000-0000-000092620000}"/>
    <cellStyle name="Note 6 2 5 5 6" xfId="32498" xr:uid="{00000000-0005-0000-0000-000093620000}"/>
    <cellStyle name="Note 6 2 5 6" xfId="3061" xr:uid="{00000000-0005-0000-0000-000094620000}"/>
    <cellStyle name="Note 6 2 5 6 2" xfId="5912" xr:uid="{00000000-0005-0000-0000-000095620000}"/>
    <cellStyle name="Note 6 2 5 6 2 2" xfId="24884" xr:uid="{00000000-0005-0000-0000-000096620000}"/>
    <cellStyle name="Note 6 2 5 6 2 3" xfId="35729" xr:uid="{00000000-0005-0000-0000-000097620000}"/>
    <cellStyle name="Note 6 2 5 6 3" xfId="8583" xr:uid="{00000000-0005-0000-0000-000098620000}"/>
    <cellStyle name="Note 6 2 5 6 3 2" xfId="27555" xr:uid="{00000000-0005-0000-0000-000099620000}"/>
    <cellStyle name="Note 6 2 5 6 3 3" xfId="38400" xr:uid="{00000000-0005-0000-0000-00009A620000}"/>
    <cellStyle name="Note 6 2 5 6 4" xfId="11242" xr:uid="{00000000-0005-0000-0000-00009B620000}"/>
    <cellStyle name="Note 6 2 5 6 4 2" xfId="30214" xr:uid="{00000000-0005-0000-0000-00009C620000}"/>
    <cellStyle name="Note 6 2 5 6 4 3" xfId="41059" xr:uid="{00000000-0005-0000-0000-00009D620000}"/>
    <cellStyle name="Note 6 2 5 6 5" xfId="22038" xr:uid="{00000000-0005-0000-0000-00009E620000}"/>
    <cellStyle name="Note 6 2 5 6 6" xfId="32883" xr:uid="{00000000-0005-0000-0000-00009F620000}"/>
    <cellStyle name="Note 6 2 5 7" xfId="3750" xr:uid="{00000000-0005-0000-0000-0000A0620000}"/>
    <cellStyle name="Note 6 2 5 7 2" xfId="22722" xr:uid="{00000000-0005-0000-0000-0000A1620000}"/>
    <cellStyle name="Note 6 2 5 7 3" xfId="33567" xr:uid="{00000000-0005-0000-0000-0000A2620000}"/>
    <cellStyle name="Note 6 2 5 8" xfId="6425" xr:uid="{00000000-0005-0000-0000-0000A3620000}"/>
    <cellStyle name="Note 6 2 5 8 2" xfId="25397" xr:uid="{00000000-0005-0000-0000-0000A4620000}"/>
    <cellStyle name="Note 6 2 5 8 3" xfId="36242" xr:uid="{00000000-0005-0000-0000-0000A5620000}"/>
    <cellStyle name="Note 6 2 5 9" xfId="9084" xr:uid="{00000000-0005-0000-0000-0000A6620000}"/>
    <cellStyle name="Note 6 2 5 9 2" xfId="28056" xr:uid="{00000000-0005-0000-0000-0000A7620000}"/>
    <cellStyle name="Note 6 2 5 9 3" xfId="38901" xr:uid="{00000000-0005-0000-0000-0000A8620000}"/>
    <cellStyle name="Note 6 2 6" xfId="1125" xr:uid="{00000000-0005-0000-0000-0000A9620000}"/>
    <cellStyle name="Note 6 2 6 2" xfId="3978" xr:uid="{00000000-0005-0000-0000-0000AA620000}"/>
    <cellStyle name="Note 6 2 6 2 2" xfId="22950" xr:uid="{00000000-0005-0000-0000-0000AB620000}"/>
    <cellStyle name="Note 6 2 6 2 3" xfId="33795" xr:uid="{00000000-0005-0000-0000-0000AC620000}"/>
    <cellStyle name="Note 6 2 6 3" xfId="6651" xr:uid="{00000000-0005-0000-0000-0000AD620000}"/>
    <cellStyle name="Note 6 2 6 3 2" xfId="25623" xr:uid="{00000000-0005-0000-0000-0000AE620000}"/>
    <cellStyle name="Note 6 2 6 3 3" xfId="36468" xr:uid="{00000000-0005-0000-0000-0000AF620000}"/>
    <cellStyle name="Note 6 2 6 4" xfId="9310" xr:uid="{00000000-0005-0000-0000-0000B0620000}"/>
    <cellStyle name="Note 6 2 6 4 2" xfId="28282" xr:uid="{00000000-0005-0000-0000-0000B1620000}"/>
    <cellStyle name="Note 6 2 6 4 3" xfId="39127" xr:uid="{00000000-0005-0000-0000-0000B2620000}"/>
    <cellStyle name="Note 6 2 6 5" xfId="20106" xr:uid="{00000000-0005-0000-0000-0000B3620000}"/>
    <cellStyle name="Note 6 2 6 6" xfId="30951" xr:uid="{00000000-0005-0000-0000-0000B4620000}"/>
    <cellStyle name="Note 6 2 7" xfId="1521" xr:uid="{00000000-0005-0000-0000-0000B5620000}"/>
    <cellStyle name="Note 6 2 7 2" xfId="4374" xr:uid="{00000000-0005-0000-0000-0000B6620000}"/>
    <cellStyle name="Note 6 2 7 2 2" xfId="23346" xr:uid="{00000000-0005-0000-0000-0000B7620000}"/>
    <cellStyle name="Note 6 2 7 2 3" xfId="34191" xr:uid="{00000000-0005-0000-0000-0000B8620000}"/>
    <cellStyle name="Note 6 2 7 3" xfId="7047" xr:uid="{00000000-0005-0000-0000-0000B9620000}"/>
    <cellStyle name="Note 6 2 7 3 2" xfId="26019" xr:uid="{00000000-0005-0000-0000-0000BA620000}"/>
    <cellStyle name="Note 6 2 7 3 3" xfId="36864" xr:uid="{00000000-0005-0000-0000-0000BB620000}"/>
    <cellStyle name="Note 6 2 7 4" xfId="9706" xr:uid="{00000000-0005-0000-0000-0000BC620000}"/>
    <cellStyle name="Note 6 2 7 4 2" xfId="28678" xr:uid="{00000000-0005-0000-0000-0000BD620000}"/>
    <cellStyle name="Note 6 2 7 4 3" xfId="39523" xr:uid="{00000000-0005-0000-0000-0000BE620000}"/>
    <cellStyle name="Note 6 2 7 5" xfId="20502" xr:uid="{00000000-0005-0000-0000-0000BF620000}"/>
    <cellStyle name="Note 6 2 7 6" xfId="31347" xr:uid="{00000000-0005-0000-0000-0000C0620000}"/>
    <cellStyle name="Note 6 2 8" xfId="1927" xr:uid="{00000000-0005-0000-0000-0000C1620000}"/>
    <cellStyle name="Note 6 2 8 2" xfId="4780" xr:uid="{00000000-0005-0000-0000-0000C2620000}"/>
    <cellStyle name="Note 6 2 8 2 2" xfId="23752" xr:uid="{00000000-0005-0000-0000-0000C3620000}"/>
    <cellStyle name="Note 6 2 8 2 3" xfId="34597" xr:uid="{00000000-0005-0000-0000-0000C4620000}"/>
    <cellStyle name="Note 6 2 8 3" xfId="7452" xr:uid="{00000000-0005-0000-0000-0000C5620000}"/>
    <cellStyle name="Note 6 2 8 3 2" xfId="26424" xr:uid="{00000000-0005-0000-0000-0000C6620000}"/>
    <cellStyle name="Note 6 2 8 3 3" xfId="37269" xr:uid="{00000000-0005-0000-0000-0000C7620000}"/>
    <cellStyle name="Note 6 2 8 4" xfId="10111" xr:uid="{00000000-0005-0000-0000-0000C8620000}"/>
    <cellStyle name="Note 6 2 8 4 2" xfId="29083" xr:uid="{00000000-0005-0000-0000-0000C9620000}"/>
    <cellStyle name="Note 6 2 8 4 3" xfId="39928" xr:uid="{00000000-0005-0000-0000-0000CA620000}"/>
    <cellStyle name="Note 6 2 8 5" xfId="20907" xr:uid="{00000000-0005-0000-0000-0000CB620000}"/>
    <cellStyle name="Note 6 2 8 6" xfId="31752" xr:uid="{00000000-0005-0000-0000-0000CC620000}"/>
    <cellStyle name="Note 6 2 9" xfId="2320" xr:uid="{00000000-0005-0000-0000-0000CD620000}"/>
    <cellStyle name="Note 6 2 9 2" xfId="5173" xr:uid="{00000000-0005-0000-0000-0000CE620000}"/>
    <cellStyle name="Note 6 2 9 2 2" xfId="24145" xr:uid="{00000000-0005-0000-0000-0000CF620000}"/>
    <cellStyle name="Note 6 2 9 2 3" xfId="34990" xr:uid="{00000000-0005-0000-0000-0000D0620000}"/>
    <cellStyle name="Note 6 2 9 3" xfId="7844" xr:uid="{00000000-0005-0000-0000-0000D1620000}"/>
    <cellStyle name="Note 6 2 9 3 2" xfId="26816" xr:uid="{00000000-0005-0000-0000-0000D2620000}"/>
    <cellStyle name="Note 6 2 9 3 3" xfId="37661" xr:uid="{00000000-0005-0000-0000-0000D3620000}"/>
    <cellStyle name="Note 6 2 9 4" xfId="10503" xr:uid="{00000000-0005-0000-0000-0000D4620000}"/>
    <cellStyle name="Note 6 2 9 4 2" xfId="29475" xr:uid="{00000000-0005-0000-0000-0000D5620000}"/>
    <cellStyle name="Note 6 2 9 4 3" xfId="40320" xr:uid="{00000000-0005-0000-0000-0000D6620000}"/>
    <cellStyle name="Note 6 2 9 5" xfId="21299" xr:uid="{00000000-0005-0000-0000-0000D7620000}"/>
    <cellStyle name="Note 6 2 9 6" xfId="32144" xr:uid="{00000000-0005-0000-0000-0000D8620000}"/>
    <cellStyle name="Note 6 3" xfId="615" xr:uid="{00000000-0005-0000-0000-0000D9620000}"/>
    <cellStyle name="Note 6 3 10" xfId="19622" xr:uid="{00000000-0005-0000-0000-0000DA620000}"/>
    <cellStyle name="Note 6 3 11" xfId="30467" xr:uid="{00000000-0005-0000-0000-0000DB620000}"/>
    <cellStyle name="Note 6 3 2" xfId="1219" xr:uid="{00000000-0005-0000-0000-0000DC620000}"/>
    <cellStyle name="Note 6 3 2 2" xfId="4072" xr:uid="{00000000-0005-0000-0000-0000DD620000}"/>
    <cellStyle name="Note 6 3 2 2 2" xfId="23044" xr:uid="{00000000-0005-0000-0000-0000DE620000}"/>
    <cellStyle name="Note 6 3 2 2 3" xfId="33889" xr:uid="{00000000-0005-0000-0000-0000DF620000}"/>
    <cellStyle name="Note 6 3 2 3" xfId="6745" xr:uid="{00000000-0005-0000-0000-0000E0620000}"/>
    <cellStyle name="Note 6 3 2 3 2" xfId="25717" xr:uid="{00000000-0005-0000-0000-0000E1620000}"/>
    <cellStyle name="Note 6 3 2 3 3" xfId="36562" xr:uid="{00000000-0005-0000-0000-0000E2620000}"/>
    <cellStyle name="Note 6 3 2 4" xfId="9404" xr:uid="{00000000-0005-0000-0000-0000E3620000}"/>
    <cellStyle name="Note 6 3 2 4 2" xfId="28376" xr:uid="{00000000-0005-0000-0000-0000E4620000}"/>
    <cellStyle name="Note 6 3 2 4 3" xfId="39221" xr:uid="{00000000-0005-0000-0000-0000E5620000}"/>
    <cellStyle name="Note 6 3 2 5" xfId="20200" xr:uid="{00000000-0005-0000-0000-0000E6620000}"/>
    <cellStyle name="Note 6 3 2 6" xfId="31045" xr:uid="{00000000-0005-0000-0000-0000E7620000}"/>
    <cellStyle name="Note 6 3 3" xfId="1617" xr:uid="{00000000-0005-0000-0000-0000E8620000}"/>
    <cellStyle name="Note 6 3 3 2" xfId="4470" xr:uid="{00000000-0005-0000-0000-0000E9620000}"/>
    <cellStyle name="Note 6 3 3 2 2" xfId="23442" xr:uid="{00000000-0005-0000-0000-0000EA620000}"/>
    <cellStyle name="Note 6 3 3 2 3" xfId="34287" xr:uid="{00000000-0005-0000-0000-0000EB620000}"/>
    <cellStyle name="Note 6 3 3 3" xfId="7142" xr:uid="{00000000-0005-0000-0000-0000EC620000}"/>
    <cellStyle name="Note 6 3 3 3 2" xfId="26114" xr:uid="{00000000-0005-0000-0000-0000ED620000}"/>
    <cellStyle name="Note 6 3 3 3 3" xfId="36959" xr:uid="{00000000-0005-0000-0000-0000EE620000}"/>
    <cellStyle name="Note 6 3 3 4" xfId="9801" xr:uid="{00000000-0005-0000-0000-0000EF620000}"/>
    <cellStyle name="Note 6 3 3 4 2" xfId="28773" xr:uid="{00000000-0005-0000-0000-0000F0620000}"/>
    <cellStyle name="Note 6 3 3 4 3" xfId="39618" xr:uid="{00000000-0005-0000-0000-0000F1620000}"/>
    <cellStyle name="Note 6 3 3 5" xfId="20597" xr:uid="{00000000-0005-0000-0000-0000F2620000}"/>
    <cellStyle name="Note 6 3 3 6" xfId="31442" xr:uid="{00000000-0005-0000-0000-0000F3620000}"/>
    <cellStyle name="Note 6 3 4" xfId="2019" xr:uid="{00000000-0005-0000-0000-0000F4620000}"/>
    <cellStyle name="Note 6 3 4 2" xfId="4872" xr:uid="{00000000-0005-0000-0000-0000F5620000}"/>
    <cellStyle name="Note 6 3 4 2 2" xfId="23844" xr:uid="{00000000-0005-0000-0000-0000F6620000}"/>
    <cellStyle name="Note 6 3 4 2 3" xfId="34689" xr:uid="{00000000-0005-0000-0000-0000F7620000}"/>
    <cellStyle name="Note 6 3 4 3" xfId="7544" xr:uid="{00000000-0005-0000-0000-0000F8620000}"/>
    <cellStyle name="Note 6 3 4 3 2" xfId="26516" xr:uid="{00000000-0005-0000-0000-0000F9620000}"/>
    <cellStyle name="Note 6 3 4 3 3" xfId="37361" xr:uid="{00000000-0005-0000-0000-0000FA620000}"/>
    <cellStyle name="Note 6 3 4 4" xfId="10203" xr:uid="{00000000-0005-0000-0000-0000FB620000}"/>
    <cellStyle name="Note 6 3 4 4 2" xfId="29175" xr:uid="{00000000-0005-0000-0000-0000FC620000}"/>
    <cellStyle name="Note 6 3 4 4 3" xfId="40020" xr:uid="{00000000-0005-0000-0000-0000FD620000}"/>
    <cellStyle name="Note 6 3 4 5" xfId="20999" xr:uid="{00000000-0005-0000-0000-0000FE620000}"/>
    <cellStyle name="Note 6 3 4 6" xfId="31844" xr:uid="{00000000-0005-0000-0000-0000FF620000}"/>
    <cellStyle name="Note 6 3 5" xfId="2411" xr:uid="{00000000-0005-0000-0000-000000630000}"/>
    <cellStyle name="Note 6 3 5 2" xfId="5264" xr:uid="{00000000-0005-0000-0000-000001630000}"/>
    <cellStyle name="Note 6 3 5 2 2" xfId="24236" xr:uid="{00000000-0005-0000-0000-000002630000}"/>
    <cellStyle name="Note 6 3 5 2 3" xfId="35081" xr:uid="{00000000-0005-0000-0000-000003630000}"/>
    <cellStyle name="Note 6 3 5 3" xfId="7935" xr:uid="{00000000-0005-0000-0000-000004630000}"/>
    <cellStyle name="Note 6 3 5 3 2" xfId="26907" xr:uid="{00000000-0005-0000-0000-000005630000}"/>
    <cellStyle name="Note 6 3 5 3 3" xfId="37752" xr:uid="{00000000-0005-0000-0000-000006630000}"/>
    <cellStyle name="Note 6 3 5 4" xfId="10594" xr:uid="{00000000-0005-0000-0000-000007630000}"/>
    <cellStyle name="Note 6 3 5 4 2" xfId="29566" xr:uid="{00000000-0005-0000-0000-000008630000}"/>
    <cellStyle name="Note 6 3 5 4 3" xfId="40411" xr:uid="{00000000-0005-0000-0000-000009630000}"/>
    <cellStyle name="Note 6 3 5 5" xfId="21390" xr:uid="{00000000-0005-0000-0000-00000A630000}"/>
    <cellStyle name="Note 6 3 5 6" xfId="32235" xr:uid="{00000000-0005-0000-0000-00000B630000}"/>
    <cellStyle name="Note 6 3 6" xfId="2800" xr:uid="{00000000-0005-0000-0000-00000C630000}"/>
    <cellStyle name="Note 6 3 6 2" xfId="5652" xr:uid="{00000000-0005-0000-0000-00000D630000}"/>
    <cellStyle name="Note 6 3 6 2 2" xfId="24624" xr:uid="{00000000-0005-0000-0000-00000E630000}"/>
    <cellStyle name="Note 6 3 6 2 3" xfId="35469" xr:uid="{00000000-0005-0000-0000-00000F630000}"/>
    <cellStyle name="Note 6 3 6 3" xfId="8323" xr:uid="{00000000-0005-0000-0000-000010630000}"/>
    <cellStyle name="Note 6 3 6 3 2" xfId="27295" xr:uid="{00000000-0005-0000-0000-000011630000}"/>
    <cellStyle name="Note 6 3 6 3 3" xfId="38140" xr:uid="{00000000-0005-0000-0000-000012630000}"/>
    <cellStyle name="Note 6 3 6 4" xfId="10982" xr:uid="{00000000-0005-0000-0000-000013630000}"/>
    <cellStyle name="Note 6 3 6 4 2" xfId="29954" xr:uid="{00000000-0005-0000-0000-000014630000}"/>
    <cellStyle name="Note 6 3 6 4 3" xfId="40799" xr:uid="{00000000-0005-0000-0000-000015630000}"/>
    <cellStyle name="Note 6 3 6 5" xfId="21778" xr:uid="{00000000-0005-0000-0000-000016630000}"/>
    <cellStyle name="Note 6 3 6 6" xfId="32623" xr:uid="{00000000-0005-0000-0000-000017630000}"/>
    <cellStyle name="Note 6 3 7" xfId="3491" xr:uid="{00000000-0005-0000-0000-000018630000}"/>
    <cellStyle name="Note 6 3 7 2" xfId="22463" xr:uid="{00000000-0005-0000-0000-000019630000}"/>
    <cellStyle name="Note 6 3 7 3" xfId="33308" xr:uid="{00000000-0005-0000-0000-00001A630000}"/>
    <cellStyle name="Note 6 3 8" xfId="6167" xr:uid="{00000000-0005-0000-0000-00001B630000}"/>
    <cellStyle name="Note 6 3 8 2" xfId="25139" xr:uid="{00000000-0005-0000-0000-00001C630000}"/>
    <cellStyle name="Note 6 3 8 3" xfId="35984" xr:uid="{00000000-0005-0000-0000-00001D630000}"/>
    <cellStyle name="Note 6 3 9" xfId="8826" xr:uid="{00000000-0005-0000-0000-00001E630000}"/>
    <cellStyle name="Note 6 3 9 2" xfId="27798" xr:uid="{00000000-0005-0000-0000-00001F630000}"/>
    <cellStyle name="Note 6 3 9 3" xfId="38643" xr:uid="{00000000-0005-0000-0000-000020630000}"/>
    <cellStyle name="Note 7" xfId="316" xr:uid="{00000000-0005-0000-0000-000021630000}"/>
    <cellStyle name="Note 7 2" xfId="428" xr:uid="{00000000-0005-0000-0000-000022630000}"/>
    <cellStyle name="Note 7 2 10" xfId="2710" xr:uid="{00000000-0005-0000-0000-000023630000}"/>
    <cellStyle name="Note 7 2 10 2" xfId="5562" xr:uid="{00000000-0005-0000-0000-000024630000}"/>
    <cellStyle name="Note 7 2 10 2 2" xfId="24534" xr:uid="{00000000-0005-0000-0000-000025630000}"/>
    <cellStyle name="Note 7 2 10 2 3" xfId="35379" xr:uid="{00000000-0005-0000-0000-000026630000}"/>
    <cellStyle name="Note 7 2 10 3" xfId="8233" xr:uid="{00000000-0005-0000-0000-000027630000}"/>
    <cellStyle name="Note 7 2 10 3 2" xfId="27205" xr:uid="{00000000-0005-0000-0000-000028630000}"/>
    <cellStyle name="Note 7 2 10 3 3" xfId="38050" xr:uid="{00000000-0005-0000-0000-000029630000}"/>
    <cellStyle name="Note 7 2 10 4" xfId="10892" xr:uid="{00000000-0005-0000-0000-00002A630000}"/>
    <cellStyle name="Note 7 2 10 4 2" xfId="29864" xr:uid="{00000000-0005-0000-0000-00002B630000}"/>
    <cellStyle name="Note 7 2 10 4 3" xfId="40709" xr:uid="{00000000-0005-0000-0000-00002C630000}"/>
    <cellStyle name="Note 7 2 10 5" xfId="21688" xr:uid="{00000000-0005-0000-0000-00002D630000}"/>
    <cellStyle name="Note 7 2 10 6" xfId="32533" xr:uid="{00000000-0005-0000-0000-00002E630000}"/>
    <cellStyle name="Note 7 2 11" xfId="3095" xr:uid="{00000000-0005-0000-0000-00002F630000}"/>
    <cellStyle name="Note 7 2 11 2" xfId="5946" xr:uid="{00000000-0005-0000-0000-000030630000}"/>
    <cellStyle name="Note 7 2 11 2 2" xfId="24918" xr:uid="{00000000-0005-0000-0000-000031630000}"/>
    <cellStyle name="Note 7 2 11 2 3" xfId="35763" xr:uid="{00000000-0005-0000-0000-000032630000}"/>
    <cellStyle name="Note 7 2 11 3" xfId="8617" xr:uid="{00000000-0005-0000-0000-000033630000}"/>
    <cellStyle name="Note 7 2 11 3 2" xfId="27589" xr:uid="{00000000-0005-0000-0000-000034630000}"/>
    <cellStyle name="Note 7 2 11 3 3" xfId="38434" xr:uid="{00000000-0005-0000-0000-000035630000}"/>
    <cellStyle name="Note 7 2 11 4" xfId="11276" xr:uid="{00000000-0005-0000-0000-000036630000}"/>
    <cellStyle name="Note 7 2 11 4 2" xfId="30248" xr:uid="{00000000-0005-0000-0000-000037630000}"/>
    <cellStyle name="Note 7 2 11 4 3" xfId="41093" xr:uid="{00000000-0005-0000-0000-000038630000}"/>
    <cellStyle name="Note 7 2 11 5" xfId="22072" xr:uid="{00000000-0005-0000-0000-000039630000}"/>
    <cellStyle name="Note 7 2 11 6" xfId="32917" xr:uid="{00000000-0005-0000-0000-00003A630000}"/>
    <cellStyle name="Note 7 2 12" xfId="3152" xr:uid="{00000000-0005-0000-0000-00003B630000}"/>
    <cellStyle name="Note 7 2 12 2" xfId="6003" xr:uid="{00000000-0005-0000-0000-00003C630000}"/>
    <cellStyle name="Note 7 2 12 2 2" xfId="24975" xr:uid="{00000000-0005-0000-0000-00003D630000}"/>
    <cellStyle name="Note 7 2 12 2 3" xfId="35820" xr:uid="{00000000-0005-0000-0000-00003E630000}"/>
    <cellStyle name="Note 7 2 12 3" xfId="8674" xr:uid="{00000000-0005-0000-0000-00003F630000}"/>
    <cellStyle name="Note 7 2 12 3 2" xfId="27646" xr:uid="{00000000-0005-0000-0000-000040630000}"/>
    <cellStyle name="Note 7 2 12 3 3" xfId="38491" xr:uid="{00000000-0005-0000-0000-000041630000}"/>
    <cellStyle name="Note 7 2 12 4" xfId="11333" xr:uid="{00000000-0005-0000-0000-000042630000}"/>
    <cellStyle name="Note 7 2 12 4 2" xfId="30305" xr:uid="{00000000-0005-0000-0000-000043630000}"/>
    <cellStyle name="Note 7 2 12 4 3" xfId="41150" xr:uid="{00000000-0005-0000-0000-000044630000}"/>
    <cellStyle name="Note 7 2 12 5" xfId="22129" xr:uid="{00000000-0005-0000-0000-000045630000}"/>
    <cellStyle name="Note 7 2 12 6" xfId="32974" xr:uid="{00000000-0005-0000-0000-000046630000}"/>
    <cellStyle name="Note 7 2 13" xfId="3209" xr:uid="{00000000-0005-0000-0000-000047630000}"/>
    <cellStyle name="Note 7 2 13 2" xfId="6060" xr:uid="{00000000-0005-0000-0000-000048630000}"/>
    <cellStyle name="Note 7 2 13 2 2" xfId="25032" xr:uid="{00000000-0005-0000-0000-000049630000}"/>
    <cellStyle name="Note 7 2 13 2 3" xfId="35877" xr:uid="{00000000-0005-0000-0000-00004A630000}"/>
    <cellStyle name="Note 7 2 13 3" xfId="8731" xr:uid="{00000000-0005-0000-0000-00004B630000}"/>
    <cellStyle name="Note 7 2 13 3 2" xfId="27703" xr:uid="{00000000-0005-0000-0000-00004C630000}"/>
    <cellStyle name="Note 7 2 13 3 3" xfId="38548" xr:uid="{00000000-0005-0000-0000-00004D630000}"/>
    <cellStyle name="Note 7 2 13 4" xfId="11390" xr:uid="{00000000-0005-0000-0000-00004E630000}"/>
    <cellStyle name="Note 7 2 13 4 2" xfId="30362" xr:uid="{00000000-0005-0000-0000-00004F630000}"/>
    <cellStyle name="Note 7 2 13 4 3" xfId="41207" xr:uid="{00000000-0005-0000-0000-000050630000}"/>
    <cellStyle name="Note 7 2 13 5" xfId="22186" xr:uid="{00000000-0005-0000-0000-000051630000}"/>
    <cellStyle name="Note 7 2 13 6" xfId="33031" xr:uid="{00000000-0005-0000-0000-000052630000}"/>
    <cellStyle name="Note 7 2 14" xfId="3378" xr:uid="{00000000-0005-0000-0000-000053630000}"/>
    <cellStyle name="Note 7 2 14 2" xfId="22352" xr:uid="{00000000-0005-0000-0000-000054630000}"/>
    <cellStyle name="Note 7 2 14 3" xfId="33197" xr:uid="{00000000-0005-0000-0000-000055630000}"/>
    <cellStyle name="Note 7 2 15" xfId="3245" xr:uid="{00000000-0005-0000-0000-000056630000}"/>
    <cellStyle name="Note 7 2 15 2" xfId="22221" xr:uid="{00000000-0005-0000-0000-000057630000}"/>
    <cellStyle name="Note 7 2 15 3" xfId="33066" xr:uid="{00000000-0005-0000-0000-000058630000}"/>
    <cellStyle name="Note 7 2 16" xfId="6069" xr:uid="{00000000-0005-0000-0000-000059630000}"/>
    <cellStyle name="Note 7 2 16 2" xfId="25041" xr:uid="{00000000-0005-0000-0000-00005A630000}"/>
    <cellStyle name="Note 7 2 16 3" xfId="35886" xr:uid="{00000000-0005-0000-0000-00005B630000}"/>
    <cellStyle name="Note 7 2 17" xfId="19506" xr:uid="{00000000-0005-0000-0000-00005C630000}"/>
    <cellStyle name="Note 7 2 18" xfId="19515" xr:uid="{00000000-0005-0000-0000-00005D630000}"/>
    <cellStyle name="Note 7 2 2" xfId="719" xr:uid="{00000000-0005-0000-0000-00005E630000}"/>
    <cellStyle name="Note 7 2 2 10" xfId="19704" xr:uid="{00000000-0005-0000-0000-00005F630000}"/>
    <cellStyle name="Note 7 2 2 11" xfId="30549" xr:uid="{00000000-0005-0000-0000-000060630000}"/>
    <cellStyle name="Note 7 2 2 2" xfId="1306" xr:uid="{00000000-0005-0000-0000-000061630000}"/>
    <cellStyle name="Note 7 2 2 2 2" xfId="4159" xr:uid="{00000000-0005-0000-0000-000062630000}"/>
    <cellStyle name="Note 7 2 2 2 2 2" xfId="23131" xr:uid="{00000000-0005-0000-0000-000063630000}"/>
    <cellStyle name="Note 7 2 2 2 2 3" xfId="33976" xr:uid="{00000000-0005-0000-0000-000064630000}"/>
    <cellStyle name="Note 7 2 2 2 3" xfId="6832" xr:uid="{00000000-0005-0000-0000-000065630000}"/>
    <cellStyle name="Note 7 2 2 2 3 2" xfId="25804" xr:uid="{00000000-0005-0000-0000-000066630000}"/>
    <cellStyle name="Note 7 2 2 2 3 3" xfId="36649" xr:uid="{00000000-0005-0000-0000-000067630000}"/>
    <cellStyle name="Note 7 2 2 2 4" xfId="9491" xr:uid="{00000000-0005-0000-0000-000068630000}"/>
    <cellStyle name="Note 7 2 2 2 4 2" xfId="28463" xr:uid="{00000000-0005-0000-0000-000069630000}"/>
    <cellStyle name="Note 7 2 2 2 4 3" xfId="39308" xr:uid="{00000000-0005-0000-0000-00006A630000}"/>
    <cellStyle name="Note 7 2 2 2 5" xfId="20287" xr:uid="{00000000-0005-0000-0000-00006B630000}"/>
    <cellStyle name="Note 7 2 2 2 6" xfId="31132" xr:uid="{00000000-0005-0000-0000-00006C630000}"/>
    <cellStyle name="Note 7 2 2 3" xfId="1705" xr:uid="{00000000-0005-0000-0000-00006D630000}"/>
    <cellStyle name="Note 7 2 2 3 2" xfId="4558" xr:uid="{00000000-0005-0000-0000-00006E630000}"/>
    <cellStyle name="Note 7 2 2 3 2 2" xfId="23530" xr:uid="{00000000-0005-0000-0000-00006F630000}"/>
    <cellStyle name="Note 7 2 2 3 2 3" xfId="34375" xr:uid="{00000000-0005-0000-0000-000070630000}"/>
    <cellStyle name="Note 7 2 2 3 3" xfId="7230" xr:uid="{00000000-0005-0000-0000-000071630000}"/>
    <cellStyle name="Note 7 2 2 3 3 2" xfId="26202" xr:uid="{00000000-0005-0000-0000-000072630000}"/>
    <cellStyle name="Note 7 2 2 3 3 3" xfId="37047" xr:uid="{00000000-0005-0000-0000-000073630000}"/>
    <cellStyle name="Note 7 2 2 3 4" xfId="9889" xr:uid="{00000000-0005-0000-0000-000074630000}"/>
    <cellStyle name="Note 7 2 2 3 4 2" xfId="28861" xr:uid="{00000000-0005-0000-0000-000075630000}"/>
    <cellStyle name="Note 7 2 2 3 4 3" xfId="39706" xr:uid="{00000000-0005-0000-0000-000076630000}"/>
    <cellStyle name="Note 7 2 2 3 5" xfId="20685" xr:uid="{00000000-0005-0000-0000-000077630000}"/>
    <cellStyle name="Note 7 2 2 3 6" xfId="31530" xr:uid="{00000000-0005-0000-0000-000078630000}"/>
    <cellStyle name="Note 7 2 2 4" xfId="2109" xr:uid="{00000000-0005-0000-0000-000079630000}"/>
    <cellStyle name="Note 7 2 2 4 2" xfId="4962" xr:uid="{00000000-0005-0000-0000-00007A630000}"/>
    <cellStyle name="Note 7 2 2 4 2 2" xfId="23934" xr:uid="{00000000-0005-0000-0000-00007B630000}"/>
    <cellStyle name="Note 7 2 2 4 2 3" xfId="34779" xr:uid="{00000000-0005-0000-0000-00007C630000}"/>
    <cellStyle name="Note 7 2 2 4 3" xfId="7633" xr:uid="{00000000-0005-0000-0000-00007D630000}"/>
    <cellStyle name="Note 7 2 2 4 3 2" xfId="26605" xr:uid="{00000000-0005-0000-0000-00007E630000}"/>
    <cellStyle name="Note 7 2 2 4 3 3" xfId="37450" xr:uid="{00000000-0005-0000-0000-00007F630000}"/>
    <cellStyle name="Note 7 2 2 4 4" xfId="10292" xr:uid="{00000000-0005-0000-0000-000080630000}"/>
    <cellStyle name="Note 7 2 2 4 4 2" xfId="29264" xr:uid="{00000000-0005-0000-0000-000081630000}"/>
    <cellStyle name="Note 7 2 2 4 4 3" xfId="40109" xr:uid="{00000000-0005-0000-0000-000082630000}"/>
    <cellStyle name="Note 7 2 2 4 5" xfId="21088" xr:uid="{00000000-0005-0000-0000-000083630000}"/>
    <cellStyle name="Note 7 2 2 4 6" xfId="31933" xr:uid="{00000000-0005-0000-0000-000084630000}"/>
    <cellStyle name="Note 7 2 2 5" xfId="2499" xr:uid="{00000000-0005-0000-0000-000085630000}"/>
    <cellStyle name="Note 7 2 2 5 2" xfId="5351" xr:uid="{00000000-0005-0000-0000-000086630000}"/>
    <cellStyle name="Note 7 2 2 5 2 2" xfId="24323" xr:uid="{00000000-0005-0000-0000-000087630000}"/>
    <cellStyle name="Note 7 2 2 5 2 3" xfId="35168" xr:uid="{00000000-0005-0000-0000-000088630000}"/>
    <cellStyle name="Note 7 2 2 5 3" xfId="8022" xr:uid="{00000000-0005-0000-0000-000089630000}"/>
    <cellStyle name="Note 7 2 2 5 3 2" xfId="26994" xr:uid="{00000000-0005-0000-0000-00008A630000}"/>
    <cellStyle name="Note 7 2 2 5 3 3" xfId="37839" xr:uid="{00000000-0005-0000-0000-00008B630000}"/>
    <cellStyle name="Note 7 2 2 5 4" xfId="10681" xr:uid="{00000000-0005-0000-0000-00008C630000}"/>
    <cellStyle name="Note 7 2 2 5 4 2" xfId="29653" xr:uid="{00000000-0005-0000-0000-00008D630000}"/>
    <cellStyle name="Note 7 2 2 5 4 3" xfId="40498" xr:uid="{00000000-0005-0000-0000-00008E630000}"/>
    <cellStyle name="Note 7 2 2 5 5" xfId="21477" xr:uid="{00000000-0005-0000-0000-00008F630000}"/>
    <cellStyle name="Note 7 2 2 5 6" xfId="32322" xr:uid="{00000000-0005-0000-0000-000090630000}"/>
    <cellStyle name="Note 7 2 2 6" xfId="2885" xr:uid="{00000000-0005-0000-0000-000091630000}"/>
    <cellStyle name="Note 7 2 2 6 2" xfId="5736" xr:uid="{00000000-0005-0000-0000-000092630000}"/>
    <cellStyle name="Note 7 2 2 6 2 2" xfId="24708" xr:uid="{00000000-0005-0000-0000-000093630000}"/>
    <cellStyle name="Note 7 2 2 6 2 3" xfId="35553" xr:uid="{00000000-0005-0000-0000-000094630000}"/>
    <cellStyle name="Note 7 2 2 6 3" xfId="8407" xr:uid="{00000000-0005-0000-0000-000095630000}"/>
    <cellStyle name="Note 7 2 2 6 3 2" xfId="27379" xr:uid="{00000000-0005-0000-0000-000096630000}"/>
    <cellStyle name="Note 7 2 2 6 3 3" xfId="38224" xr:uid="{00000000-0005-0000-0000-000097630000}"/>
    <cellStyle name="Note 7 2 2 6 4" xfId="11066" xr:uid="{00000000-0005-0000-0000-000098630000}"/>
    <cellStyle name="Note 7 2 2 6 4 2" xfId="30038" xr:uid="{00000000-0005-0000-0000-000099630000}"/>
    <cellStyle name="Note 7 2 2 6 4 3" xfId="40883" xr:uid="{00000000-0005-0000-0000-00009A630000}"/>
    <cellStyle name="Note 7 2 2 6 5" xfId="21862" xr:uid="{00000000-0005-0000-0000-00009B630000}"/>
    <cellStyle name="Note 7 2 2 6 6" xfId="32707" xr:uid="{00000000-0005-0000-0000-00009C630000}"/>
    <cellStyle name="Note 7 2 2 7" xfId="3574" xr:uid="{00000000-0005-0000-0000-00009D630000}"/>
    <cellStyle name="Note 7 2 2 7 2" xfId="22546" xr:uid="{00000000-0005-0000-0000-00009E630000}"/>
    <cellStyle name="Note 7 2 2 7 3" xfId="33391" xr:uid="{00000000-0005-0000-0000-00009F630000}"/>
    <cellStyle name="Note 7 2 2 8" xfId="6249" xr:uid="{00000000-0005-0000-0000-0000A0630000}"/>
    <cellStyle name="Note 7 2 2 8 2" xfId="25221" xr:uid="{00000000-0005-0000-0000-0000A1630000}"/>
    <cellStyle name="Note 7 2 2 8 3" xfId="36066" xr:uid="{00000000-0005-0000-0000-0000A2630000}"/>
    <cellStyle name="Note 7 2 2 9" xfId="8908" xr:uid="{00000000-0005-0000-0000-0000A3630000}"/>
    <cellStyle name="Note 7 2 2 9 2" xfId="27880" xr:uid="{00000000-0005-0000-0000-0000A4630000}"/>
    <cellStyle name="Note 7 2 2 9 3" xfId="38725" xr:uid="{00000000-0005-0000-0000-0000A5630000}"/>
    <cellStyle name="Note 7 2 3" xfId="778" xr:uid="{00000000-0005-0000-0000-0000A6630000}"/>
    <cellStyle name="Note 7 2 3 10" xfId="19763" xr:uid="{00000000-0005-0000-0000-0000A7630000}"/>
    <cellStyle name="Note 7 2 3 11" xfId="30608" xr:uid="{00000000-0005-0000-0000-0000A8630000}"/>
    <cellStyle name="Note 7 2 3 2" xfId="1365" xr:uid="{00000000-0005-0000-0000-0000A9630000}"/>
    <cellStyle name="Note 7 2 3 2 2" xfId="4218" xr:uid="{00000000-0005-0000-0000-0000AA630000}"/>
    <cellStyle name="Note 7 2 3 2 2 2" xfId="23190" xr:uid="{00000000-0005-0000-0000-0000AB630000}"/>
    <cellStyle name="Note 7 2 3 2 2 3" xfId="34035" xr:uid="{00000000-0005-0000-0000-0000AC630000}"/>
    <cellStyle name="Note 7 2 3 2 3" xfId="6891" xr:uid="{00000000-0005-0000-0000-0000AD630000}"/>
    <cellStyle name="Note 7 2 3 2 3 2" xfId="25863" xr:uid="{00000000-0005-0000-0000-0000AE630000}"/>
    <cellStyle name="Note 7 2 3 2 3 3" xfId="36708" xr:uid="{00000000-0005-0000-0000-0000AF630000}"/>
    <cellStyle name="Note 7 2 3 2 4" xfId="9550" xr:uid="{00000000-0005-0000-0000-0000B0630000}"/>
    <cellStyle name="Note 7 2 3 2 4 2" xfId="28522" xr:uid="{00000000-0005-0000-0000-0000B1630000}"/>
    <cellStyle name="Note 7 2 3 2 4 3" xfId="39367" xr:uid="{00000000-0005-0000-0000-0000B2630000}"/>
    <cellStyle name="Note 7 2 3 2 5" xfId="20346" xr:uid="{00000000-0005-0000-0000-0000B3630000}"/>
    <cellStyle name="Note 7 2 3 2 6" xfId="31191" xr:uid="{00000000-0005-0000-0000-0000B4630000}"/>
    <cellStyle name="Note 7 2 3 3" xfId="1764" xr:uid="{00000000-0005-0000-0000-0000B5630000}"/>
    <cellStyle name="Note 7 2 3 3 2" xfId="4617" xr:uid="{00000000-0005-0000-0000-0000B6630000}"/>
    <cellStyle name="Note 7 2 3 3 2 2" xfId="23589" xr:uid="{00000000-0005-0000-0000-0000B7630000}"/>
    <cellStyle name="Note 7 2 3 3 2 3" xfId="34434" xr:uid="{00000000-0005-0000-0000-0000B8630000}"/>
    <cellStyle name="Note 7 2 3 3 3" xfId="7289" xr:uid="{00000000-0005-0000-0000-0000B9630000}"/>
    <cellStyle name="Note 7 2 3 3 3 2" xfId="26261" xr:uid="{00000000-0005-0000-0000-0000BA630000}"/>
    <cellStyle name="Note 7 2 3 3 3 3" xfId="37106" xr:uid="{00000000-0005-0000-0000-0000BB630000}"/>
    <cellStyle name="Note 7 2 3 3 4" xfId="9948" xr:uid="{00000000-0005-0000-0000-0000BC630000}"/>
    <cellStyle name="Note 7 2 3 3 4 2" xfId="28920" xr:uid="{00000000-0005-0000-0000-0000BD630000}"/>
    <cellStyle name="Note 7 2 3 3 4 3" xfId="39765" xr:uid="{00000000-0005-0000-0000-0000BE630000}"/>
    <cellStyle name="Note 7 2 3 3 5" xfId="20744" xr:uid="{00000000-0005-0000-0000-0000BF630000}"/>
    <cellStyle name="Note 7 2 3 3 6" xfId="31589" xr:uid="{00000000-0005-0000-0000-0000C0630000}"/>
    <cellStyle name="Note 7 2 3 4" xfId="2168" xr:uid="{00000000-0005-0000-0000-0000C1630000}"/>
    <cellStyle name="Note 7 2 3 4 2" xfId="5021" xr:uid="{00000000-0005-0000-0000-0000C2630000}"/>
    <cellStyle name="Note 7 2 3 4 2 2" xfId="23993" xr:uid="{00000000-0005-0000-0000-0000C3630000}"/>
    <cellStyle name="Note 7 2 3 4 2 3" xfId="34838" xr:uid="{00000000-0005-0000-0000-0000C4630000}"/>
    <cellStyle name="Note 7 2 3 4 3" xfId="7692" xr:uid="{00000000-0005-0000-0000-0000C5630000}"/>
    <cellStyle name="Note 7 2 3 4 3 2" xfId="26664" xr:uid="{00000000-0005-0000-0000-0000C6630000}"/>
    <cellStyle name="Note 7 2 3 4 3 3" xfId="37509" xr:uid="{00000000-0005-0000-0000-0000C7630000}"/>
    <cellStyle name="Note 7 2 3 4 4" xfId="10351" xr:uid="{00000000-0005-0000-0000-0000C8630000}"/>
    <cellStyle name="Note 7 2 3 4 4 2" xfId="29323" xr:uid="{00000000-0005-0000-0000-0000C9630000}"/>
    <cellStyle name="Note 7 2 3 4 4 3" xfId="40168" xr:uid="{00000000-0005-0000-0000-0000CA630000}"/>
    <cellStyle name="Note 7 2 3 4 5" xfId="21147" xr:uid="{00000000-0005-0000-0000-0000CB630000}"/>
    <cellStyle name="Note 7 2 3 4 6" xfId="31992" xr:uid="{00000000-0005-0000-0000-0000CC630000}"/>
    <cellStyle name="Note 7 2 3 5" xfId="2558" xr:uid="{00000000-0005-0000-0000-0000CD630000}"/>
    <cellStyle name="Note 7 2 3 5 2" xfId="5410" xr:uid="{00000000-0005-0000-0000-0000CE630000}"/>
    <cellStyle name="Note 7 2 3 5 2 2" xfId="24382" xr:uid="{00000000-0005-0000-0000-0000CF630000}"/>
    <cellStyle name="Note 7 2 3 5 2 3" xfId="35227" xr:uid="{00000000-0005-0000-0000-0000D0630000}"/>
    <cellStyle name="Note 7 2 3 5 3" xfId="8081" xr:uid="{00000000-0005-0000-0000-0000D1630000}"/>
    <cellStyle name="Note 7 2 3 5 3 2" xfId="27053" xr:uid="{00000000-0005-0000-0000-0000D2630000}"/>
    <cellStyle name="Note 7 2 3 5 3 3" xfId="37898" xr:uid="{00000000-0005-0000-0000-0000D3630000}"/>
    <cellStyle name="Note 7 2 3 5 4" xfId="10740" xr:uid="{00000000-0005-0000-0000-0000D4630000}"/>
    <cellStyle name="Note 7 2 3 5 4 2" xfId="29712" xr:uid="{00000000-0005-0000-0000-0000D5630000}"/>
    <cellStyle name="Note 7 2 3 5 4 3" xfId="40557" xr:uid="{00000000-0005-0000-0000-0000D6630000}"/>
    <cellStyle name="Note 7 2 3 5 5" xfId="21536" xr:uid="{00000000-0005-0000-0000-0000D7630000}"/>
    <cellStyle name="Note 7 2 3 5 6" xfId="32381" xr:uid="{00000000-0005-0000-0000-0000D8630000}"/>
    <cellStyle name="Note 7 2 3 6" xfId="2944" xr:uid="{00000000-0005-0000-0000-0000D9630000}"/>
    <cellStyle name="Note 7 2 3 6 2" xfId="5795" xr:uid="{00000000-0005-0000-0000-0000DA630000}"/>
    <cellStyle name="Note 7 2 3 6 2 2" xfId="24767" xr:uid="{00000000-0005-0000-0000-0000DB630000}"/>
    <cellStyle name="Note 7 2 3 6 2 3" xfId="35612" xr:uid="{00000000-0005-0000-0000-0000DC630000}"/>
    <cellStyle name="Note 7 2 3 6 3" xfId="8466" xr:uid="{00000000-0005-0000-0000-0000DD630000}"/>
    <cellStyle name="Note 7 2 3 6 3 2" xfId="27438" xr:uid="{00000000-0005-0000-0000-0000DE630000}"/>
    <cellStyle name="Note 7 2 3 6 3 3" xfId="38283" xr:uid="{00000000-0005-0000-0000-0000DF630000}"/>
    <cellStyle name="Note 7 2 3 6 4" xfId="11125" xr:uid="{00000000-0005-0000-0000-0000E0630000}"/>
    <cellStyle name="Note 7 2 3 6 4 2" xfId="30097" xr:uid="{00000000-0005-0000-0000-0000E1630000}"/>
    <cellStyle name="Note 7 2 3 6 4 3" xfId="40942" xr:uid="{00000000-0005-0000-0000-0000E2630000}"/>
    <cellStyle name="Note 7 2 3 6 5" xfId="21921" xr:uid="{00000000-0005-0000-0000-0000E3630000}"/>
    <cellStyle name="Note 7 2 3 6 6" xfId="32766" xr:uid="{00000000-0005-0000-0000-0000E4630000}"/>
    <cellStyle name="Note 7 2 3 7" xfId="3633" xr:uid="{00000000-0005-0000-0000-0000E5630000}"/>
    <cellStyle name="Note 7 2 3 7 2" xfId="22605" xr:uid="{00000000-0005-0000-0000-0000E6630000}"/>
    <cellStyle name="Note 7 2 3 7 3" xfId="33450" xr:uid="{00000000-0005-0000-0000-0000E7630000}"/>
    <cellStyle name="Note 7 2 3 8" xfId="6308" xr:uid="{00000000-0005-0000-0000-0000E8630000}"/>
    <cellStyle name="Note 7 2 3 8 2" xfId="25280" xr:uid="{00000000-0005-0000-0000-0000E9630000}"/>
    <cellStyle name="Note 7 2 3 8 3" xfId="36125" xr:uid="{00000000-0005-0000-0000-0000EA630000}"/>
    <cellStyle name="Note 7 2 3 9" xfId="8967" xr:uid="{00000000-0005-0000-0000-0000EB630000}"/>
    <cellStyle name="Note 7 2 3 9 2" xfId="27939" xr:uid="{00000000-0005-0000-0000-0000EC630000}"/>
    <cellStyle name="Note 7 2 3 9 3" xfId="38784" xr:uid="{00000000-0005-0000-0000-0000ED630000}"/>
    <cellStyle name="Note 7 2 4" xfId="837" xr:uid="{00000000-0005-0000-0000-0000EE630000}"/>
    <cellStyle name="Note 7 2 4 10" xfId="19822" xr:uid="{00000000-0005-0000-0000-0000EF630000}"/>
    <cellStyle name="Note 7 2 4 11" xfId="30667" xr:uid="{00000000-0005-0000-0000-0000F0630000}"/>
    <cellStyle name="Note 7 2 4 2" xfId="1424" xr:uid="{00000000-0005-0000-0000-0000F1630000}"/>
    <cellStyle name="Note 7 2 4 2 2" xfId="4277" xr:uid="{00000000-0005-0000-0000-0000F2630000}"/>
    <cellStyle name="Note 7 2 4 2 2 2" xfId="23249" xr:uid="{00000000-0005-0000-0000-0000F3630000}"/>
    <cellStyle name="Note 7 2 4 2 2 3" xfId="34094" xr:uid="{00000000-0005-0000-0000-0000F4630000}"/>
    <cellStyle name="Note 7 2 4 2 3" xfId="6950" xr:uid="{00000000-0005-0000-0000-0000F5630000}"/>
    <cellStyle name="Note 7 2 4 2 3 2" xfId="25922" xr:uid="{00000000-0005-0000-0000-0000F6630000}"/>
    <cellStyle name="Note 7 2 4 2 3 3" xfId="36767" xr:uid="{00000000-0005-0000-0000-0000F7630000}"/>
    <cellStyle name="Note 7 2 4 2 4" xfId="9609" xr:uid="{00000000-0005-0000-0000-0000F8630000}"/>
    <cellStyle name="Note 7 2 4 2 4 2" xfId="28581" xr:uid="{00000000-0005-0000-0000-0000F9630000}"/>
    <cellStyle name="Note 7 2 4 2 4 3" xfId="39426" xr:uid="{00000000-0005-0000-0000-0000FA630000}"/>
    <cellStyle name="Note 7 2 4 2 5" xfId="20405" xr:uid="{00000000-0005-0000-0000-0000FB630000}"/>
    <cellStyle name="Note 7 2 4 2 6" xfId="31250" xr:uid="{00000000-0005-0000-0000-0000FC630000}"/>
    <cellStyle name="Note 7 2 4 3" xfId="1823" xr:uid="{00000000-0005-0000-0000-0000FD630000}"/>
    <cellStyle name="Note 7 2 4 3 2" xfId="4676" xr:uid="{00000000-0005-0000-0000-0000FE630000}"/>
    <cellStyle name="Note 7 2 4 3 2 2" xfId="23648" xr:uid="{00000000-0005-0000-0000-0000FF630000}"/>
    <cellStyle name="Note 7 2 4 3 2 3" xfId="34493" xr:uid="{00000000-0005-0000-0000-000000640000}"/>
    <cellStyle name="Note 7 2 4 3 3" xfId="7348" xr:uid="{00000000-0005-0000-0000-000001640000}"/>
    <cellStyle name="Note 7 2 4 3 3 2" xfId="26320" xr:uid="{00000000-0005-0000-0000-000002640000}"/>
    <cellStyle name="Note 7 2 4 3 3 3" xfId="37165" xr:uid="{00000000-0005-0000-0000-000003640000}"/>
    <cellStyle name="Note 7 2 4 3 4" xfId="10007" xr:uid="{00000000-0005-0000-0000-000004640000}"/>
    <cellStyle name="Note 7 2 4 3 4 2" xfId="28979" xr:uid="{00000000-0005-0000-0000-000005640000}"/>
    <cellStyle name="Note 7 2 4 3 4 3" xfId="39824" xr:uid="{00000000-0005-0000-0000-000006640000}"/>
    <cellStyle name="Note 7 2 4 3 5" xfId="20803" xr:uid="{00000000-0005-0000-0000-000007640000}"/>
    <cellStyle name="Note 7 2 4 3 6" xfId="31648" xr:uid="{00000000-0005-0000-0000-000008640000}"/>
    <cellStyle name="Note 7 2 4 4" xfId="2227" xr:uid="{00000000-0005-0000-0000-000009640000}"/>
    <cellStyle name="Note 7 2 4 4 2" xfId="5080" xr:uid="{00000000-0005-0000-0000-00000A640000}"/>
    <cellStyle name="Note 7 2 4 4 2 2" xfId="24052" xr:uid="{00000000-0005-0000-0000-00000B640000}"/>
    <cellStyle name="Note 7 2 4 4 2 3" xfId="34897" xr:uid="{00000000-0005-0000-0000-00000C640000}"/>
    <cellStyle name="Note 7 2 4 4 3" xfId="7751" xr:uid="{00000000-0005-0000-0000-00000D640000}"/>
    <cellStyle name="Note 7 2 4 4 3 2" xfId="26723" xr:uid="{00000000-0005-0000-0000-00000E640000}"/>
    <cellStyle name="Note 7 2 4 4 3 3" xfId="37568" xr:uid="{00000000-0005-0000-0000-00000F640000}"/>
    <cellStyle name="Note 7 2 4 4 4" xfId="10410" xr:uid="{00000000-0005-0000-0000-000010640000}"/>
    <cellStyle name="Note 7 2 4 4 4 2" xfId="29382" xr:uid="{00000000-0005-0000-0000-000011640000}"/>
    <cellStyle name="Note 7 2 4 4 4 3" xfId="40227" xr:uid="{00000000-0005-0000-0000-000012640000}"/>
    <cellStyle name="Note 7 2 4 4 5" xfId="21206" xr:uid="{00000000-0005-0000-0000-000013640000}"/>
    <cellStyle name="Note 7 2 4 4 6" xfId="32051" xr:uid="{00000000-0005-0000-0000-000014640000}"/>
    <cellStyle name="Note 7 2 4 5" xfId="2617" xr:uid="{00000000-0005-0000-0000-000015640000}"/>
    <cellStyle name="Note 7 2 4 5 2" xfId="5469" xr:uid="{00000000-0005-0000-0000-000016640000}"/>
    <cellStyle name="Note 7 2 4 5 2 2" xfId="24441" xr:uid="{00000000-0005-0000-0000-000017640000}"/>
    <cellStyle name="Note 7 2 4 5 2 3" xfId="35286" xr:uid="{00000000-0005-0000-0000-000018640000}"/>
    <cellStyle name="Note 7 2 4 5 3" xfId="8140" xr:uid="{00000000-0005-0000-0000-000019640000}"/>
    <cellStyle name="Note 7 2 4 5 3 2" xfId="27112" xr:uid="{00000000-0005-0000-0000-00001A640000}"/>
    <cellStyle name="Note 7 2 4 5 3 3" xfId="37957" xr:uid="{00000000-0005-0000-0000-00001B640000}"/>
    <cellStyle name="Note 7 2 4 5 4" xfId="10799" xr:uid="{00000000-0005-0000-0000-00001C640000}"/>
    <cellStyle name="Note 7 2 4 5 4 2" xfId="29771" xr:uid="{00000000-0005-0000-0000-00001D640000}"/>
    <cellStyle name="Note 7 2 4 5 4 3" xfId="40616" xr:uid="{00000000-0005-0000-0000-00001E640000}"/>
    <cellStyle name="Note 7 2 4 5 5" xfId="21595" xr:uid="{00000000-0005-0000-0000-00001F640000}"/>
    <cellStyle name="Note 7 2 4 5 6" xfId="32440" xr:uid="{00000000-0005-0000-0000-000020640000}"/>
    <cellStyle name="Note 7 2 4 6" xfId="3003" xr:uid="{00000000-0005-0000-0000-000021640000}"/>
    <cellStyle name="Note 7 2 4 6 2" xfId="5854" xr:uid="{00000000-0005-0000-0000-000022640000}"/>
    <cellStyle name="Note 7 2 4 6 2 2" xfId="24826" xr:uid="{00000000-0005-0000-0000-000023640000}"/>
    <cellStyle name="Note 7 2 4 6 2 3" xfId="35671" xr:uid="{00000000-0005-0000-0000-000024640000}"/>
    <cellStyle name="Note 7 2 4 6 3" xfId="8525" xr:uid="{00000000-0005-0000-0000-000025640000}"/>
    <cellStyle name="Note 7 2 4 6 3 2" xfId="27497" xr:uid="{00000000-0005-0000-0000-000026640000}"/>
    <cellStyle name="Note 7 2 4 6 3 3" xfId="38342" xr:uid="{00000000-0005-0000-0000-000027640000}"/>
    <cellStyle name="Note 7 2 4 6 4" xfId="11184" xr:uid="{00000000-0005-0000-0000-000028640000}"/>
    <cellStyle name="Note 7 2 4 6 4 2" xfId="30156" xr:uid="{00000000-0005-0000-0000-000029640000}"/>
    <cellStyle name="Note 7 2 4 6 4 3" xfId="41001" xr:uid="{00000000-0005-0000-0000-00002A640000}"/>
    <cellStyle name="Note 7 2 4 6 5" xfId="21980" xr:uid="{00000000-0005-0000-0000-00002B640000}"/>
    <cellStyle name="Note 7 2 4 6 6" xfId="32825" xr:uid="{00000000-0005-0000-0000-00002C640000}"/>
    <cellStyle name="Note 7 2 4 7" xfId="3692" xr:uid="{00000000-0005-0000-0000-00002D640000}"/>
    <cellStyle name="Note 7 2 4 7 2" xfId="22664" xr:uid="{00000000-0005-0000-0000-00002E640000}"/>
    <cellStyle name="Note 7 2 4 7 3" xfId="33509" xr:uid="{00000000-0005-0000-0000-00002F640000}"/>
    <cellStyle name="Note 7 2 4 8" xfId="6367" xr:uid="{00000000-0005-0000-0000-000030640000}"/>
    <cellStyle name="Note 7 2 4 8 2" xfId="25339" xr:uid="{00000000-0005-0000-0000-000031640000}"/>
    <cellStyle name="Note 7 2 4 8 3" xfId="36184" xr:uid="{00000000-0005-0000-0000-000032640000}"/>
    <cellStyle name="Note 7 2 4 9" xfId="9026" xr:uid="{00000000-0005-0000-0000-000033640000}"/>
    <cellStyle name="Note 7 2 4 9 2" xfId="27998" xr:uid="{00000000-0005-0000-0000-000034640000}"/>
    <cellStyle name="Note 7 2 4 9 3" xfId="38843" xr:uid="{00000000-0005-0000-0000-000035640000}"/>
    <cellStyle name="Note 7 2 5" xfId="896" xr:uid="{00000000-0005-0000-0000-000036640000}"/>
    <cellStyle name="Note 7 2 5 10" xfId="19881" xr:uid="{00000000-0005-0000-0000-000037640000}"/>
    <cellStyle name="Note 7 2 5 11" xfId="30726" xr:uid="{00000000-0005-0000-0000-000038640000}"/>
    <cellStyle name="Note 7 2 5 2" xfId="1483" xr:uid="{00000000-0005-0000-0000-000039640000}"/>
    <cellStyle name="Note 7 2 5 2 2" xfId="4336" xr:uid="{00000000-0005-0000-0000-00003A640000}"/>
    <cellStyle name="Note 7 2 5 2 2 2" xfId="23308" xr:uid="{00000000-0005-0000-0000-00003B640000}"/>
    <cellStyle name="Note 7 2 5 2 2 3" xfId="34153" xr:uid="{00000000-0005-0000-0000-00003C640000}"/>
    <cellStyle name="Note 7 2 5 2 3" xfId="7009" xr:uid="{00000000-0005-0000-0000-00003D640000}"/>
    <cellStyle name="Note 7 2 5 2 3 2" xfId="25981" xr:uid="{00000000-0005-0000-0000-00003E640000}"/>
    <cellStyle name="Note 7 2 5 2 3 3" xfId="36826" xr:uid="{00000000-0005-0000-0000-00003F640000}"/>
    <cellStyle name="Note 7 2 5 2 4" xfId="9668" xr:uid="{00000000-0005-0000-0000-000040640000}"/>
    <cellStyle name="Note 7 2 5 2 4 2" xfId="28640" xr:uid="{00000000-0005-0000-0000-000041640000}"/>
    <cellStyle name="Note 7 2 5 2 4 3" xfId="39485" xr:uid="{00000000-0005-0000-0000-000042640000}"/>
    <cellStyle name="Note 7 2 5 2 5" xfId="20464" xr:uid="{00000000-0005-0000-0000-000043640000}"/>
    <cellStyle name="Note 7 2 5 2 6" xfId="31309" xr:uid="{00000000-0005-0000-0000-000044640000}"/>
    <cellStyle name="Note 7 2 5 3" xfId="1882" xr:uid="{00000000-0005-0000-0000-000045640000}"/>
    <cellStyle name="Note 7 2 5 3 2" xfId="4735" xr:uid="{00000000-0005-0000-0000-000046640000}"/>
    <cellStyle name="Note 7 2 5 3 2 2" xfId="23707" xr:uid="{00000000-0005-0000-0000-000047640000}"/>
    <cellStyle name="Note 7 2 5 3 2 3" xfId="34552" xr:uid="{00000000-0005-0000-0000-000048640000}"/>
    <cellStyle name="Note 7 2 5 3 3" xfId="7407" xr:uid="{00000000-0005-0000-0000-000049640000}"/>
    <cellStyle name="Note 7 2 5 3 3 2" xfId="26379" xr:uid="{00000000-0005-0000-0000-00004A640000}"/>
    <cellStyle name="Note 7 2 5 3 3 3" xfId="37224" xr:uid="{00000000-0005-0000-0000-00004B640000}"/>
    <cellStyle name="Note 7 2 5 3 4" xfId="10066" xr:uid="{00000000-0005-0000-0000-00004C640000}"/>
    <cellStyle name="Note 7 2 5 3 4 2" xfId="29038" xr:uid="{00000000-0005-0000-0000-00004D640000}"/>
    <cellStyle name="Note 7 2 5 3 4 3" xfId="39883" xr:uid="{00000000-0005-0000-0000-00004E640000}"/>
    <cellStyle name="Note 7 2 5 3 5" xfId="20862" xr:uid="{00000000-0005-0000-0000-00004F640000}"/>
    <cellStyle name="Note 7 2 5 3 6" xfId="31707" xr:uid="{00000000-0005-0000-0000-000050640000}"/>
    <cellStyle name="Note 7 2 5 4" xfId="2286" xr:uid="{00000000-0005-0000-0000-000051640000}"/>
    <cellStyle name="Note 7 2 5 4 2" xfId="5139" xr:uid="{00000000-0005-0000-0000-000052640000}"/>
    <cellStyle name="Note 7 2 5 4 2 2" xfId="24111" xr:uid="{00000000-0005-0000-0000-000053640000}"/>
    <cellStyle name="Note 7 2 5 4 2 3" xfId="34956" xr:uid="{00000000-0005-0000-0000-000054640000}"/>
    <cellStyle name="Note 7 2 5 4 3" xfId="7810" xr:uid="{00000000-0005-0000-0000-000055640000}"/>
    <cellStyle name="Note 7 2 5 4 3 2" xfId="26782" xr:uid="{00000000-0005-0000-0000-000056640000}"/>
    <cellStyle name="Note 7 2 5 4 3 3" xfId="37627" xr:uid="{00000000-0005-0000-0000-000057640000}"/>
    <cellStyle name="Note 7 2 5 4 4" xfId="10469" xr:uid="{00000000-0005-0000-0000-000058640000}"/>
    <cellStyle name="Note 7 2 5 4 4 2" xfId="29441" xr:uid="{00000000-0005-0000-0000-000059640000}"/>
    <cellStyle name="Note 7 2 5 4 4 3" xfId="40286" xr:uid="{00000000-0005-0000-0000-00005A640000}"/>
    <cellStyle name="Note 7 2 5 4 5" xfId="21265" xr:uid="{00000000-0005-0000-0000-00005B640000}"/>
    <cellStyle name="Note 7 2 5 4 6" xfId="32110" xr:uid="{00000000-0005-0000-0000-00005C640000}"/>
    <cellStyle name="Note 7 2 5 5" xfId="2676" xr:uid="{00000000-0005-0000-0000-00005D640000}"/>
    <cellStyle name="Note 7 2 5 5 2" xfId="5528" xr:uid="{00000000-0005-0000-0000-00005E640000}"/>
    <cellStyle name="Note 7 2 5 5 2 2" xfId="24500" xr:uid="{00000000-0005-0000-0000-00005F640000}"/>
    <cellStyle name="Note 7 2 5 5 2 3" xfId="35345" xr:uid="{00000000-0005-0000-0000-000060640000}"/>
    <cellStyle name="Note 7 2 5 5 3" xfId="8199" xr:uid="{00000000-0005-0000-0000-000061640000}"/>
    <cellStyle name="Note 7 2 5 5 3 2" xfId="27171" xr:uid="{00000000-0005-0000-0000-000062640000}"/>
    <cellStyle name="Note 7 2 5 5 3 3" xfId="38016" xr:uid="{00000000-0005-0000-0000-000063640000}"/>
    <cellStyle name="Note 7 2 5 5 4" xfId="10858" xr:uid="{00000000-0005-0000-0000-000064640000}"/>
    <cellStyle name="Note 7 2 5 5 4 2" xfId="29830" xr:uid="{00000000-0005-0000-0000-000065640000}"/>
    <cellStyle name="Note 7 2 5 5 4 3" xfId="40675" xr:uid="{00000000-0005-0000-0000-000066640000}"/>
    <cellStyle name="Note 7 2 5 5 5" xfId="21654" xr:uid="{00000000-0005-0000-0000-000067640000}"/>
    <cellStyle name="Note 7 2 5 5 6" xfId="32499" xr:uid="{00000000-0005-0000-0000-000068640000}"/>
    <cellStyle name="Note 7 2 5 6" xfId="3062" xr:uid="{00000000-0005-0000-0000-000069640000}"/>
    <cellStyle name="Note 7 2 5 6 2" xfId="5913" xr:uid="{00000000-0005-0000-0000-00006A640000}"/>
    <cellStyle name="Note 7 2 5 6 2 2" xfId="24885" xr:uid="{00000000-0005-0000-0000-00006B640000}"/>
    <cellStyle name="Note 7 2 5 6 2 3" xfId="35730" xr:uid="{00000000-0005-0000-0000-00006C640000}"/>
    <cellStyle name="Note 7 2 5 6 3" xfId="8584" xr:uid="{00000000-0005-0000-0000-00006D640000}"/>
    <cellStyle name="Note 7 2 5 6 3 2" xfId="27556" xr:uid="{00000000-0005-0000-0000-00006E640000}"/>
    <cellStyle name="Note 7 2 5 6 3 3" xfId="38401" xr:uid="{00000000-0005-0000-0000-00006F640000}"/>
    <cellStyle name="Note 7 2 5 6 4" xfId="11243" xr:uid="{00000000-0005-0000-0000-000070640000}"/>
    <cellStyle name="Note 7 2 5 6 4 2" xfId="30215" xr:uid="{00000000-0005-0000-0000-000071640000}"/>
    <cellStyle name="Note 7 2 5 6 4 3" xfId="41060" xr:uid="{00000000-0005-0000-0000-000072640000}"/>
    <cellStyle name="Note 7 2 5 6 5" xfId="22039" xr:uid="{00000000-0005-0000-0000-000073640000}"/>
    <cellStyle name="Note 7 2 5 6 6" xfId="32884" xr:uid="{00000000-0005-0000-0000-000074640000}"/>
    <cellStyle name="Note 7 2 5 7" xfId="3751" xr:uid="{00000000-0005-0000-0000-000075640000}"/>
    <cellStyle name="Note 7 2 5 7 2" xfId="22723" xr:uid="{00000000-0005-0000-0000-000076640000}"/>
    <cellStyle name="Note 7 2 5 7 3" xfId="33568" xr:uid="{00000000-0005-0000-0000-000077640000}"/>
    <cellStyle name="Note 7 2 5 8" xfId="6426" xr:uid="{00000000-0005-0000-0000-000078640000}"/>
    <cellStyle name="Note 7 2 5 8 2" xfId="25398" xr:uid="{00000000-0005-0000-0000-000079640000}"/>
    <cellStyle name="Note 7 2 5 8 3" xfId="36243" xr:uid="{00000000-0005-0000-0000-00007A640000}"/>
    <cellStyle name="Note 7 2 5 9" xfId="9085" xr:uid="{00000000-0005-0000-0000-00007B640000}"/>
    <cellStyle name="Note 7 2 5 9 2" xfId="28057" xr:uid="{00000000-0005-0000-0000-00007C640000}"/>
    <cellStyle name="Note 7 2 5 9 3" xfId="38902" xr:uid="{00000000-0005-0000-0000-00007D640000}"/>
    <cellStyle name="Note 7 2 6" xfId="1126" xr:uid="{00000000-0005-0000-0000-00007E640000}"/>
    <cellStyle name="Note 7 2 6 2" xfId="3979" xr:uid="{00000000-0005-0000-0000-00007F640000}"/>
    <cellStyle name="Note 7 2 6 2 2" xfId="22951" xr:uid="{00000000-0005-0000-0000-000080640000}"/>
    <cellStyle name="Note 7 2 6 2 3" xfId="33796" xr:uid="{00000000-0005-0000-0000-000081640000}"/>
    <cellStyle name="Note 7 2 6 3" xfId="6652" xr:uid="{00000000-0005-0000-0000-000082640000}"/>
    <cellStyle name="Note 7 2 6 3 2" xfId="25624" xr:uid="{00000000-0005-0000-0000-000083640000}"/>
    <cellStyle name="Note 7 2 6 3 3" xfId="36469" xr:uid="{00000000-0005-0000-0000-000084640000}"/>
    <cellStyle name="Note 7 2 6 4" xfId="9311" xr:uid="{00000000-0005-0000-0000-000085640000}"/>
    <cellStyle name="Note 7 2 6 4 2" xfId="28283" xr:uid="{00000000-0005-0000-0000-000086640000}"/>
    <cellStyle name="Note 7 2 6 4 3" xfId="39128" xr:uid="{00000000-0005-0000-0000-000087640000}"/>
    <cellStyle name="Note 7 2 6 5" xfId="20107" xr:uid="{00000000-0005-0000-0000-000088640000}"/>
    <cellStyle name="Note 7 2 6 6" xfId="30952" xr:uid="{00000000-0005-0000-0000-000089640000}"/>
    <cellStyle name="Note 7 2 7" xfId="1522" xr:uid="{00000000-0005-0000-0000-00008A640000}"/>
    <cellStyle name="Note 7 2 7 2" xfId="4375" xr:uid="{00000000-0005-0000-0000-00008B640000}"/>
    <cellStyle name="Note 7 2 7 2 2" xfId="23347" xr:uid="{00000000-0005-0000-0000-00008C640000}"/>
    <cellStyle name="Note 7 2 7 2 3" xfId="34192" xr:uid="{00000000-0005-0000-0000-00008D640000}"/>
    <cellStyle name="Note 7 2 7 3" xfId="7048" xr:uid="{00000000-0005-0000-0000-00008E640000}"/>
    <cellStyle name="Note 7 2 7 3 2" xfId="26020" xr:uid="{00000000-0005-0000-0000-00008F640000}"/>
    <cellStyle name="Note 7 2 7 3 3" xfId="36865" xr:uid="{00000000-0005-0000-0000-000090640000}"/>
    <cellStyle name="Note 7 2 7 4" xfId="9707" xr:uid="{00000000-0005-0000-0000-000091640000}"/>
    <cellStyle name="Note 7 2 7 4 2" xfId="28679" xr:uid="{00000000-0005-0000-0000-000092640000}"/>
    <cellStyle name="Note 7 2 7 4 3" xfId="39524" xr:uid="{00000000-0005-0000-0000-000093640000}"/>
    <cellStyle name="Note 7 2 7 5" xfId="20503" xr:uid="{00000000-0005-0000-0000-000094640000}"/>
    <cellStyle name="Note 7 2 7 6" xfId="31348" xr:uid="{00000000-0005-0000-0000-000095640000}"/>
    <cellStyle name="Note 7 2 8" xfId="1928" xr:uid="{00000000-0005-0000-0000-000096640000}"/>
    <cellStyle name="Note 7 2 8 2" xfId="4781" xr:uid="{00000000-0005-0000-0000-000097640000}"/>
    <cellStyle name="Note 7 2 8 2 2" xfId="23753" xr:uid="{00000000-0005-0000-0000-000098640000}"/>
    <cellStyle name="Note 7 2 8 2 3" xfId="34598" xr:uid="{00000000-0005-0000-0000-000099640000}"/>
    <cellStyle name="Note 7 2 8 3" xfId="7453" xr:uid="{00000000-0005-0000-0000-00009A640000}"/>
    <cellStyle name="Note 7 2 8 3 2" xfId="26425" xr:uid="{00000000-0005-0000-0000-00009B640000}"/>
    <cellStyle name="Note 7 2 8 3 3" xfId="37270" xr:uid="{00000000-0005-0000-0000-00009C640000}"/>
    <cellStyle name="Note 7 2 8 4" xfId="10112" xr:uid="{00000000-0005-0000-0000-00009D640000}"/>
    <cellStyle name="Note 7 2 8 4 2" xfId="29084" xr:uid="{00000000-0005-0000-0000-00009E640000}"/>
    <cellStyle name="Note 7 2 8 4 3" xfId="39929" xr:uid="{00000000-0005-0000-0000-00009F640000}"/>
    <cellStyle name="Note 7 2 8 5" xfId="20908" xr:uid="{00000000-0005-0000-0000-0000A0640000}"/>
    <cellStyle name="Note 7 2 8 6" xfId="31753" xr:uid="{00000000-0005-0000-0000-0000A1640000}"/>
    <cellStyle name="Note 7 2 9" xfId="2321" xr:uid="{00000000-0005-0000-0000-0000A2640000}"/>
    <cellStyle name="Note 7 2 9 2" xfId="5174" xr:uid="{00000000-0005-0000-0000-0000A3640000}"/>
    <cellStyle name="Note 7 2 9 2 2" xfId="24146" xr:uid="{00000000-0005-0000-0000-0000A4640000}"/>
    <cellStyle name="Note 7 2 9 2 3" xfId="34991" xr:uid="{00000000-0005-0000-0000-0000A5640000}"/>
    <cellStyle name="Note 7 2 9 3" xfId="7845" xr:uid="{00000000-0005-0000-0000-0000A6640000}"/>
    <cellStyle name="Note 7 2 9 3 2" xfId="26817" xr:uid="{00000000-0005-0000-0000-0000A7640000}"/>
    <cellStyle name="Note 7 2 9 3 3" xfId="37662" xr:uid="{00000000-0005-0000-0000-0000A8640000}"/>
    <cellStyle name="Note 7 2 9 4" xfId="10504" xr:uid="{00000000-0005-0000-0000-0000A9640000}"/>
    <cellStyle name="Note 7 2 9 4 2" xfId="29476" xr:uid="{00000000-0005-0000-0000-0000AA640000}"/>
    <cellStyle name="Note 7 2 9 4 3" xfId="40321" xr:uid="{00000000-0005-0000-0000-0000AB640000}"/>
    <cellStyle name="Note 7 2 9 5" xfId="21300" xr:uid="{00000000-0005-0000-0000-0000AC640000}"/>
    <cellStyle name="Note 7 2 9 6" xfId="32145" xr:uid="{00000000-0005-0000-0000-0000AD640000}"/>
    <cellStyle name="Note 7 3" xfId="616" xr:uid="{00000000-0005-0000-0000-0000AE640000}"/>
    <cellStyle name="Note 7 3 10" xfId="19623" xr:uid="{00000000-0005-0000-0000-0000AF640000}"/>
    <cellStyle name="Note 7 3 11" xfId="30468" xr:uid="{00000000-0005-0000-0000-0000B0640000}"/>
    <cellStyle name="Note 7 3 2" xfId="1220" xr:uid="{00000000-0005-0000-0000-0000B1640000}"/>
    <cellStyle name="Note 7 3 2 2" xfId="4073" xr:uid="{00000000-0005-0000-0000-0000B2640000}"/>
    <cellStyle name="Note 7 3 2 2 2" xfId="23045" xr:uid="{00000000-0005-0000-0000-0000B3640000}"/>
    <cellStyle name="Note 7 3 2 2 3" xfId="33890" xr:uid="{00000000-0005-0000-0000-0000B4640000}"/>
    <cellStyle name="Note 7 3 2 3" xfId="6746" xr:uid="{00000000-0005-0000-0000-0000B5640000}"/>
    <cellStyle name="Note 7 3 2 3 2" xfId="25718" xr:uid="{00000000-0005-0000-0000-0000B6640000}"/>
    <cellStyle name="Note 7 3 2 3 3" xfId="36563" xr:uid="{00000000-0005-0000-0000-0000B7640000}"/>
    <cellStyle name="Note 7 3 2 4" xfId="9405" xr:uid="{00000000-0005-0000-0000-0000B8640000}"/>
    <cellStyle name="Note 7 3 2 4 2" xfId="28377" xr:uid="{00000000-0005-0000-0000-0000B9640000}"/>
    <cellStyle name="Note 7 3 2 4 3" xfId="39222" xr:uid="{00000000-0005-0000-0000-0000BA640000}"/>
    <cellStyle name="Note 7 3 2 5" xfId="20201" xr:uid="{00000000-0005-0000-0000-0000BB640000}"/>
    <cellStyle name="Note 7 3 2 6" xfId="31046" xr:uid="{00000000-0005-0000-0000-0000BC640000}"/>
    <cellStyle name="Note 7 3 3" xfId="1618" xr:uid="{00000000-0005-0000-0000-0000BD640000}"/>
    <cellStyle name="Note 7 3 3 2" xfId="4471" xr:uid="{00000000-0005-0000-0000-0000BE640000}"/>
    <cellStyle name="Note 7 3 3 2 2" xfId="23443" xr:uid="{00000000-0005-0000-0000-0000BF640000}"/>
    <cellStyle name="Note 7 3 3 2 3" xfId="34288" xr:uid="{00000000-0005-0000-0000-0000C0640000}"/>
    <cellStyle name="Note 7 3 3 3" xfId="7143" xr:uid="{00000000-0005-0000-0000-0000C1640000}"/>
    <cellStyle name="Note 7 3 3 3 2" xfId="26115" xr:uid="{00000000-0005-0000-0000-0000C2640000}"/>
    <cellStyle name="Note 7 3 3 3 3" xfId="36960" xr:uid="{00000000-0005-0000-0000-0000C3640000}"/>
    <cellStyle name="Note 7 3 3 4" xfId="9802" xr:uid="{00000000-0005-0000-0000-0000C4640000}"/>
    <cellStyle name="Note 7 3 3 4 2" xfId="28774" xr:uid="{00000000-0005-0000-0000-0000C5640000}"/>
    <cellStyle name="Note 7 3 3 4 3" xfId="39619" xr:uid="{00000000-0005-0000-0000-0000C6640000}"/>
    <cellStyle name="Note 7 3 3 5" xfId="20598" xr:uid="{00000000-0005-0000-0000-0000C7640000}"/>
    <cellStyle name="Note 7 3 3 6" xfId="31443" xr:uid="{00000000-0005-0000-0000-0000C8640000}"/>
    <cellStyle name="Note 7 3 4" xfId="2020" xr:uid="{00000000-0005-0000-0000-0000C9640000}"/>
    <cellStyle name="Note 7 3 4 2" xfId="4873" xr:uid="{00000000-0005-0000-0000-0000CA640000}"/>
    <cellStyle name="Note 7 3 4 2 2" xfId="23845" xr:uid="{00000000-0005-0000-0000-0000CB640000}"/>
    <cellStyle name="Note 7 3 4 2 3" xfId="34690" xr:uid="{00000000-0005-0000-0000-0000CC640000}"/>
    <cellStyle name="Note 7 3 4 3" xfId="7545" xr:uid="{00000000-0005-0000-0000-0000CD640000}"/>
    <cellStyle name="Note 7 3 4 3 2" xfId="26517" xr:uid="{00000000-0005-0000-0000-0000CE640000}"/>
    <cellStyle name="Note 7 3 4 3 3" xfId="37362" xr:uid="{00000000-0005-0000-0000-0000CF640000}"/>
    <cellStyle name="Note 7 3 4 4" xfId="10204" xr:uid="{00000000-0005-0000-0000-0000D0640000}"/>
    <cellStyle name="Note 7 3 4 4 2" xfId="29176" xr:uid="{00000000-0005-0000-0000-0000D1640000}"/>
    <cellStyle name="Note 7 3 4 4 3" xfId="40021" xr:uid="{00000000-0005-0000-0000-0000D2640000}"/>
    <cellStyle name="Note 7 3 4 5" xfId="21000" xr:uid="{00000000-0005-0000-0000-0000D3640000}"/>
    <cellStyle name="Note 7 3 4 6" xfId="31845" xr:uid="{00000000-0005-0000-0000-0000D4640000}"/>
    <cellStyle name="Note 7 3 5" xfId="2412" xr:uid="{00000000-0005-0000-0000-0000D5640000}"/>
    <cellStyle name="Note 7 3 5 2" xfId="5265" xr:uid="{00000000-0005-0000-0000-0000D6640000}"/>
    <cellStyle name="Note 7 3 5 2 2" xfId="24237" xr:uid="{00000000-0005-0000-0000-0000D7640000}"/>
    <cellStyle name="Note 7 3 5 2 3" xfId="35082" xr:uid="{00000000-0005-0000-0000-0000D8640000}"/>
    <cellStyle name="Note 7 3 5 3" xfId="7936" xr:uid="{00000000-0005-0000-0000-0000D9640000}"/>
    <cellStyle name="Note 7 3 5 3 2" xfId="26908" xr:uid="{00000000-0005-0000-0000-0000DA640000}"/>
    <cellStyle name="Note 7 3 5 3 3" xfId="37753" xr:uid="{00000000-0005-0000-0000-0000DB640000}"/>
    <cellStyle name="Note 7 3 5 4" xfId="10595" xr:uid="{00000000-0005-0000-0000-0000DC640000}"/>
    <cellStyle name="Note 7 3 5 4 2" xfId="29567" xr:uid="{00000000-0005-0000-0000-0000DD640000}"/>
    <cellStyle name="Note 7 3 5 4 3" xfId="40412" xr:uid="{00000000-0005-0000-0000-0000DE640000}"/>
    <cellStyle name="Note 7 3 5 5" xfId="21391" xr:uid="{00000000-0005-0000-0000-0000DF640000}"/>
    <cellStyle name="Note 7 3 5 6" xfId="32236" xr:uid="{00000000-0005-0000-0000-0000E0640000}"/>
    <cellStyle name="Note 7 3 6" xfId="2801" xr:uid="{00000000-0005-0000-0000-0000E1640000}"/>
    <cellStyle name="Note 7 3 6 2" xfId="5653" xr:uid="{00000000-0005-0000-0000-0000E2640000}"/>
    <cellStyle name="Note 7 3 6 2 2" xfId="24625" xr:uid="{00000000-0005-0000-0000-0000E3640000}"/>
    <cellStyle name="Note 7 3 6 2 3" xfId="35470" xr:uid="{00000000-0005-0000-0000-0000E4640000}"/>
    <cellStyle name="Note 7 3 6 3" xfId="8324" xr:uid="{00000000-0005-0000-0000-0000E5640000}"/>
    <cellStyle name="Note 7 3 6 3 2" xfId="27296" xr:uid="{00000000-0005-0000-0000-0000E6640000}"/>
    <cellStyle name="Note 7 3 6 3 3" xfId="38141" xr:uid="{00000000-0005-0000-0000-0000E7640000}"/>
    <cellStyle name="Note 7 3 6 4" xfId="10983" xr:uid="{00000000-0005-0000-0000-0000E8640000}"/>
    <cellStyle name="Note 7 3 6 4 2" xfId="29955" xr:uid="{00000000-0005-0000-0000-0000E9640000}"/>
    <cellStyle name="Note 7 3 6 4 3" xfId="40800" xr:uid="{00000000-0005-0000-0000-0000EA640000}"/>
    <cellStyle name="Note 7 3 6 5" xfId="21779" xr:uid="{00000000-0005-0000-0000-0000EB640000}"/>
    <cellStyle name="Note 7 3 6 6" xfId="32624" xr:uid="{00000000-0005-0000-0000-0000EC640000}"/>
    <cellStyle name="Note 7 3 7" xfId="3492" xr:uid="{00000000-0005-0000-0000-0000ED640000}"/>
    <cellStyle name="Note 7 3 7 2" xfId="22464" xr:uid="{00000000-0005-0000-0000-0000EE640000}"/>
    <cellStyle name="Note 7 3 7 3" xfId="33309" xr:uid="{00000000-0005-0000-0000-0000EF640000}"/>
    <cellStyle name="Note 7 3 8" xfId="6168" xr:uid="{00000000-0005-0000-0000-0000F0640000}"/>
    <cellStyle name="Note 7 3 8 2" xfId="25140" xr:uid="{00000000-0005-0000-0000-0000F1640000}"/>
    <cellStyle name="Note 7 3 8 3" xfId="35985" xr:uid="{00000000-0005-0000-0000-0000F2640000}"/>
    <cellStyle name="Note 7 3 9" xfId="8827" xr:uid="{00000000-0005-0000-0000-0000F3640000}"/>
    <cellStyle name="Note 7 3 9 2" xfId="27799" xr:uid="{00000000-0005-0000-0000-0000F4640000}"/>
    <cellStyle name="Note 7 3 9 3" xfId="38644" xr:uid="{00000000-0005-0000-0000-0000F5640000}"/>
    <cellStyle name="Note 8" xfId="317" xr:uid="{00000000-0005-0000-0000-0000F6640000}"/>
    <cellStyle name="Note 8 2" xfId="429" xr:uid="{00000000-0005-0000-0000-0000F7640000}"/>
    <cellStyle name="Note 8 2 10" xfId="2711" xr:uid="{00000000-0005-0000-0000-0000F8640000}"/>
    <cellStyle name="Note 8 2 10 2" xfId="5563" xr:uid="{00000000-0005-0000-0000-0000F9640000}"/>
    <cellStyle name="Note 8 2 10 2 2" xfId="24535" xr:uid="{00000000-0005-0000-0000-0000FA640000}"/>
    <cellStyle name="Note 8 2 10 2 3" xfId="35380" xr:uid="{00000000-0005-0000-0000-0000FB640000}"/>
    <cellStyle name="Note 8 2 10 3" xfId="8234" xr:uid="{00000000-0005-0000-0000-0000FC640000}"/>
    <cellStyle name="Note 8 2 10 3 2" xfId="27206" xr:uid="{00000000-0005-0000-0000-0000FD640000}"/>
    <cellStyle name="Note 8 2 10 3 3" xfId="38051" xr:uid="{00000000-0005-0000-0000-0000FE640000}"/>
    <cellStyle name="Note 8 2 10 4" xfId="10893" xr:uid="{00000000-0005-0000-0000-0000FF640000}"/>
    <cellStyle name="Note 8 2 10 4 2" xfId="29865" xr:uid="{00000000-0005-0000-0000-000000650000}"/>
    <cellStyle name="Note 8 2 10 4 3" xfId="40710" xr:uid="{00000000-0005-0000-0000-000001650000}"/>
    <cellStyle name="Note 8 2 10 5" xfId="21689" xr:uid="{00000000-0005-0000-0000-000002650000}"/>
    <cellStyle name="Note 8 2 10 6" xfId="32534" xr:uid="{00000000-0005-0000-0000-000003650000}"/>
    <cellStyle name="Note 8 2 11" xfId="3096" xr:uid="{00000000-0005-0000-0000-000004650000}"/>
    <cellStyle name="Note 8 2 11 2" xfId="5947" xr:uid="{00000000-0005-0000-0000-000005650000}"/>
    <cellStyle name="Note 8 2 11 2 2" xfId="24919" xr:uid="{00000000-0005-0000-0000-000006650000}"/>
    <cellStyle name="Note 8 2 11 2 3" xfId="35764" xr:uid="{00000000-0005-0000-0000-000007650000}"/>
    <cellStyle name="Note 8 2 11 3" xfId="8618" xr:uid="{00000000-0005-0000-0000-000008650000}"/>
    <cellStyle name="Note 8 2 11 3 2" xfId="27590" xr:uid="{00000000-0005-0000-0000-000009650000}"/>
    <cellStyle name="Note 8 2 11 3 3" xfId="38435" xr:uid="{00000000-0005-0000-0000-00000A650000}"/>
    <cellStyle name="Note 8 2 11 4" xfId="11277" xr:uid="{00000000-0005-0000-0000-00000B650000}"/>
    <cellStyle name="Note 8 2 11 4 2" xfId="30249" xr:uid="{00000000-0005-0000-0000-00000C650000}"/>
    <cellStyle name="Note 8 2 11 4 3" xfId="41094" xr:uid="{00000000-0005-0000-0000-00000D650000}"/>
    <cellStyle name="Note 8 2 11 5" xfId="22073" xr:uid="{00000000-0005-0000-0000-00000E650000}"/>
    <cellStyle name="Note 8 2 11 6" xfId="32918" xr:uid="{00000000-0005-0000-0000-00000F650000}"/>
    <cellStyle name="Note 8 2 12" xfId="3153" xr:uid="{00000000-0005-0000-0000-000010650000}"/>
    <cellStyle name="Note 8 2 12 2" xfId="6004" xr:uid="{00000000-0005-0000-0000-000011650000}"/>
    <cellStyle name="Note 8 2 12 2 2" xfId="24976" xr:uid="{00000000-0005-0000-0000-000012650000}"/>
    <cellStyle name="Note 8 2 12 2 3" xfId="35821" xr:uid="{00000000-0005-0000-0000-000013650000}"/>
    <cellStyle name="Note 8 2 12 3" xfId="8675" xr:uid="{00000000-0005-0000-0000-000014650000}"/>
    <cellStyle name="Note 8 2 12 3 2" xfId="27647" xr:uid="{00000000-0005-0000-0000-000015650000}"/>
    <cellStyle name="Note 8 2 12 3 3" xfId="38492" xr:uid="{00000000-0005-0000-0000-000016650000}"/>
    <cellStyle name="Note 8 2 12 4" xfId="11334" xr:uid="{00000000-0005-0000-0000-000017650000}"/>
    <cellStyle name="Note 8 2 12 4 2" xfId="30306" xr:uid="{00000000-0005-0000-0000-000018650000}"/>
    <cellStyle name="Note 8 2 12 4 3" xfId="41151" xr:uid="{00000000-0005-0000-0000-000019650000}"/>
    <cellStyle name="Note 8 2 12 5" xfId="22130" xr:uid="{00000000-0005-0000-0000-00001A650000}"/>
    <cellStyle name="Note 8 2 12 6" xfId="32975" xr:uid="{00000000-0005-0000-0000-00001B650000}"/>
    <cellStyle name="Note 8 2 13" xfId="3210" xr:uid="{00000000-0005-0000-0000-00001C650000}"/>
    <cellStyle name="Note 8 2 13 2" xfId="6061" xr:uid="{00000000-0005-0000-0000-00001D650000}"/>
    <cellStyle name="Note 8 2 13 2 2" xfId="25033" xr:uid="{00000000-0005-0000-0000-00001E650000}"/>
    <cellStyle name="Note 8 2 13 2 3" xfId="35878" xr:uid="{00000000-0005-0000-0000-00001F650000}"/>
    <cellStyle name="Note 8 2 13 3" xfId="8732" xr:uid="{00000000-0005-0000-0000-000020650000}"/>
    <cellStyle name="Note 8 2 13 3 2" xfId="27704" xr:uid="{00000000-0005-0000-0000-000021650000}"/>
    <cellStyle name="Note 8 2 13 3 3" xfId="38549" xr:uid="{00000000-0005-0000-0000-000022650000}"/>
    <cellStyle name="Note 8 2 13 4" xfId="11391" xr:uid="{00000000-0005-0000-0000-000023650000}"/>
    <cellStyle name="Note 8 2 13 4 2" xfId="30363" xr:uid="{00000000-0005-0000-0000-000024650000}"/>
    <cellStyle name="Note 8 2 13 4 3" xfId="41208" xr:uid="{00000000-0005-0000-0000-000025650000}"/>
    <cellStyle name="Note 8 2 13 5" xfId="22187" xr:uid="{00000000-0005-0000-0000-000026650000}"/>
    <cellStyle name="Note 8 2 13 6" xfId="33032" xr:uid="{00000000-0005-0000-0000-000027650000}"/>
    <cellStyle name="Note 8 2 14" xfId="3379" xr:uid="{00000000-0005-0000-0000-000028650000}"/>
    <cellStyle name="Note 8 2 14 2" xfId="22353" xr:uid="{00000000-0005-0000-0000-000029650000}"/>
    <cellStyle name="Note 8 2 14 3" xfId="33198" xr:uid="{00000000-0005-0000-0000-00002A650000}"/>
    <cellStyle name="Note 8 2 15" xfId="3229" xr:uid="{00000000-0005-0000-0000-00002B650000}"/>
    <cellStyle name="Note 8 2 15 2" xfId="22206" xr:uid="{00000000-0005-0000-0000-00002C650000}"/>
    <cellStyle name="Note 8 2 15 3" xfId="33051" xr:uid="{00000000-0005-0000-0000-00002D650000}"/>
    <cellStyle name="Note 8 2 16" xfId="3370" xr:uid="{00000000-0005-0000-0000-00002E650000}"/>
    <cellStyle name="Note 8 2 16 2" xfId="22344" xr:uid="{00000000-0005-0000-0000-00002F650000}"/>
    <cellStyle name="Note 8 2 16 3" xfId="33189" xr:uid="{00000000-0005-0000-0000-000030650000}"/>
    <cellStyle name="Note 8 2 17" xfId="19507" xr:uid="{00000000-0005-0000-0000-000031650000}"/>
    <cellStyle name="Note 8 2 18" xfId="19423" xr:uid="{00000000-0005-0000-0000-000032650000}"/>
    <cellStyle name="Note 8 2 2" xfId="720" xr:uid="{00000000-0005-0000-0000-000033650000}"/>
    <cellStyle name="Note 8 2 2 10" xfId="19705" xr:uid="{00000000-0005-0000-0000-000034650000}"/>
    <cellStyle name="Note 8 2 2 11" xfId="30550" xr:uid="{00000000-0005-0000-0000-000035650000}"/>
    <cellStyle name="Note 8 2 2 2" xfId="1307" xr:uid="{00000000-0005-0000-0000-000036650000}"/>
    <cellStyle name="Note 8 2 2 2 2" xfId="4160" xr:uid="{00000000-0005-0000-0000-000037650000}"/>
    <cellStyle name="Note 8 2 2 2 2 2" xfId="23132" xr:uid="{00000000-0005-0000-0000-000038650000}"/>
    <cellStyle name="Note 8 2 2 2 2 3" xfId="33977" xr:uid="{00000000-0005-0000-0000-000039650000}"/>
    <cellStyle name="Note 8 2 2 2 3" xfId="6833" xr:uid="{00000000-0005-0000-0000-00003A650000}"/>
    <cellStyle name="Note 8 2 2 2 3 2" xfId="25805" xr:uid="{00000000-0005-0000-0000-00003B650000}"/>
    <cellStyle name="Note 8 2 2 2 3 3" xfId="36650" xr:uid="{00000000-0005-0000-0000-00003C650000}"/>
    <cellStyle name="Note 8 2 2 2 4" xfId="9492" xr:uid="{00000000-0005-0000-0000-00003D650000}"/>
    <cellStyle name="Note 8 2 2 2 4 2" xfId="28464" xr:uid="{00000000-0005-0000-0000-00003E650000}"/>
    <cellStyle name="Note 8 2 2 2 4 3" xfId="39309" xr:uid="{00000000-0005-0000-0000-00003F650000}"/>
    <cellStyle name="Note 8 2 2 2 5" xfId="20288" xr:uid="{00000000-0005-0000-0000-000040650000}"/>
    <cellStyle name="Note 8 2 2 2 6" xfId="31133" xr:uid="{00000000-0005-0000-0000-000041650000}"/>
    <cellStyle name="Note 8 2 2 3" xfId="1706" xr:uid="{00000000-0005-0000-0000-000042650000}"/>
    <cellStyle name="Note 8 2 2 3 2" xfId="4559" xr:uid="{00000000-0005-0000-0000-000043650000}"/>
    <cellStyle name="Note 8 2 2 3 2 2" xfId="23531" xr:uid="{00000000-0005-0000-0000-000044650000}"/>
    <cellStyle name="Note 8 2 2 3 2 3" xfId="34376" xr:uid="{00000000-0005-0000-0000-000045650000}"/>
    <cellStyle name="Note 8 2 2 3 3" xfId="7231" xr:uid="{00000000-0005-0000-0000-000046650000}"/>
    <cellStyle name="Note 8 2 2 3 3 2" xfId="26203" xr:uid="{00000000-0005-0000-0000-000047650000}"/>
    <cellStyle name="Note 8 2 2 3 3 3" xfId="37048" xr:uid="{00000000-0005-0000-0000-000048650000}"/>
    <cellStyle name="Note 8 2 2 3 4" xfId="9890" xr:uid="{00000000-0005-0000-0000-000049650000}"/>
    <cellStyle name="Note 8 2 2 3 4 2" xfId="28862" xr:uid="{00000000-0005-0000-0000-00004A650000}"/>
    <cellStyle name="Note 8 2 2 3 4 3" xfId="39707" xr:uid="{00000000-0005-0000-0000-00004B650000}"/>
    <cellStyle name="Note 8 2 2 3 5" xfId="20686" xr:uid="{00000000-0005-0000-0000-00004C650000}"/>
    <cellStyle name="Note 8 2 2 3 6" xfId="31531" xr:uid="{00000000-0005-0000-0000-00004D650000}"/>
    <cellStyle name="Note 8 2 2 4" xfId="2110" xr:uid="{00000000-0005-0000-0000-00004E650000}"/>
    <cellStyle name="Note 8 2 2 4 2" xfId="4963" xr:uid="{00000000-0005-0000-0000-00004F650000}"/>
    <cellStyle name="Note 8 2 2 4 2 2" xfId="23935" xr:uid="{00000000-0005-0000-0000-000050650000}"/>
    <cellStyle name="Note 8 2 2 4 2 3" xfId="34780" xr:uid="{00000000-0005-0000-0000-000051650000}"/>
    <cellStyle name="Note 8 2 2 4 3" xfId="7634" xr:uid="{00000000-0005-0000-0000-000052650000}"/>
    <cellStyle name="Note 8 2 2 4 3 2" xfId="26606" xr:uid="{00000000-0005-0000-0000-000053650000}"/>
    <cellStyle name="Note 8 2 2 4 3 3" xfId="37451" xr:uid="{00000000-0005-0000-0000-000054650000}"/>
    <cellStyle name="Note 8 2 2 4 4" xfId="10293" xr:uid="{00000000-0005-0000-0000-000055650000}"/>
    <cellStyle name="Note 8 2 2 4 4 2" xfId="29265" xr:uid="{00000000-0005-0000-0000-000056650000}"/>
    <cellStyle name="Note 8 2 2 4 4 3" xfId="40110" xr:uid="{00000000-0005-0000-0000-000057650000}"/>
    <cellStyle name="Note 8 2 2 4 5" xfId="21089" xr:uid="{00000000-0005-0000-0000-000058650000}"/>
    <cellStyle name="Note 8 2 2 4 6" xfId="31934" xr:uid="{00000000-0005-0000-0000-000059650000}"/>
    <cellStyle name="Note 8 2 2 5" xfId="2500" xr:uid="{00000000-0005-0000-0000-00005A650000}"/>
    <cellStyle name="Note 8 2 2 5 2" xfId="5352" xr:uid="{00000000-0005-0000-0000-00005B650000}"/>
    <cellStyle name="Note 8 2 2 5 2 2" xfId="24324" xr:uid="{00000000-0005-0000-0000-00005C650000}"/>
    <cellStyle name="Note 8 2 2 5 2 3" xfId="35169" xr:uid="{00000000-0005-0000-0000-00005D650000}"/>
    <cellStyle name="Note 8 2 2 5 3" xfId="8023" xr:uid="{00000000-0005-0000-0000-00005E650000}"/>
    <cellStyle name="Note 8 2 2 5 3 2" xfId="26995" xr:uid="{00000000-0005-0000-0000-00005F650000}"/>
    <cellStyle name="Note 8 2 2 5 3 3" xfId="37840" xr:uid="{00000000-0005-0000-0000-000060650000}"/>
    <cellStyle name="Note 8 2 2 5 4" xfId="10682" xr:uid="{00000000-0005-0000-0000-000061650000}"/>
    <cellStyle name="Note 8 2 2 5 4 2" xfId="29654" xr:uid="{00000000-0005-0000-0000-000062650000}"/>
    <cellStyle name="Note 8 2 2 5 4 3" xfId="40499" xr:uid="{00000000-0005-0000-0000-000063650000}"/>
    <cellStyle name="Note 8 2 2 5 5" xfId="21478" xr:uid="{00000000-0005-0000-0000-000064650000}"/>
    <cellStyle name="Note 8 2 2 5 6" xfId="32323" xr:uid="{00000000-0005-0000-0000-000065650000}"/>
    <cellStyle name="Note 8 2 2 6" xfId="2886" xr:uid="{00000000-0005-0000-0000-000066650000}"/>
    <cellStyle name="Note 8 2 2 6 2" xfId="5737" xr:uid="{00000000-0005-0000-0000-000067650000}"/>
    <cellStyle name="Note 8 2 2 6 2 2" xfId="24709" xr:uid="{00000000-0005-0000-0000-000068650000}"/>
    <cellStyle name="Note 8 2 2 6 2 3" xfId="35554" xr:uid="{00000000-0005-0000-0000-000069650000}"/>
    <cellStyle name="Note 8 2 2 6 3" xfId="8408" xr:uid="{00000000-0005-0000-0000-00006A650000}"/>
    <cellStyle name="Note 8 2 2 6 3 2" xfId="27380" xr:uid="{00000000-0005-0000-0000-00006B650000}"/>
    <cellStyle name="Note 8 2 2 6 3 3" xfId="38225" xr:uid="{00000000-0005-0000-0000-00006C650000}"/>
    <cellStyle name="Note 8 2 2 6 4" xfId="11067" xr:uid="{00000000-0005-0000-0000-00006D650000}"/>
    <cellStyle name="Note 8 2 2 6 4 2" xfId="30039" xr:uid="{00000000-0005-0000-0000-00006E650000}"/>
    <cellStyle name="Note 8 2 2 6 4 3" xfId="40884" xr:uid="{00000000-0005-0000-0000-00006F650000}"/>
    <cellStyle name="Note 8 2 2 6 5" xfId="21863" xr:uid="{00000000-0005-0000-0000-000070650000}"/>
    <cellStyle name="Note 8 2 2 6 6" xfId="32708" xr:uid="{00000000-0005-0000-0000-000071650000}"/>
    <cellStyle name="Note 8 2 2 7" xfId="3575" xr:uid="{00000000-0005-0000-0000-000072650000}"/>
    <cellStyle name="Note 8 2 2 7 2" xfId="22547" xr:uid="{00000000-0005-0000-0000-000073650000}"/>
    <cellStyle name="Note 8 2 2 7 3" xfId="33392" xr:uid="{00000000-0005-0000-0000-000074650000}"/>
    <cellStyle name="Note 8 2 2 8" xfId="6250" xr:uid="{00000000-0005-0000-0000-000075650000}"/>
    <cellStyle name="Note 8 2 2 8 2" xfId="25222" xr:uid="{00000000-0005-0000-0000-000076650000}"/>
    <cellStyle name="Note 8 2 2 8 3" xfId="36067" xr:uid="{00000000-0005-0000-0000-000077650000}"/>
    <cellStyle name="Note 8 2 2 9" xfId="8909" xr:uid="{00000000-0005-0000-0000-000078650000}"/>
    <cellStyle name="Note 8 2 2 9 2" xfId="27881" xr:uid="{00000000-0005-0000-0000-000079650000}"/>
    <cellStyle name="Note 8 2 2 9 3" xfId="38726" xr:uid="{00000000-0005-0000-0000-00007A650000}"/>
    <cellStyle name="Note 8 2 3" xfId="779" xr:uid="{00000000-0005-0000-0000-00007B650000}"/>
    <cellStyle name="Note 8 2 3 10" xfId="19764" xr:uid="{00000000-0005-0000-0000-00007C650000}"/>
    <cellStyle name="Note 8 2 3 11" xfId="30609" xr:uid="{00000000-0005-0000-0000-00007D650000}"/>
    <cellStyle name="Note 8 2 3 2" xfId="1366" xr:uid="{00000000-0005-0000-0000-00007E650000}"/>
    <cellStyle name="Note 8 2 3 2 2" xfId="4219" xr:uid="{00000000-0005-0000-0000-00007F650000}"/>
    <cellStyle name="Note 8 2 3 2 2 2" xfId="23191" xr:uid="{00000000-0005-0000-0000-000080650000}"/>
    <cellStyle name="Note 8 2 3 2 2 3" xfId="34036" xr:uid="{00000000-0005-0000-0000-000081650000}"/>
    <cellStyle name="Note 8 2 3 2 3" xfId="6892" xr:uid="{00000000-0005-0000-0000-000082650000}"/>
    <cellStyle name="Note 8 2 3 2 3 2" xfId="25864" xr:uid="{00000000-0005-0000-0000-000083650000}"/>
    <cellStyle name="Note 8 2 3 2 3 3" xfId="36709" xr:uid="{00000000-0005-0000-0000-000084650000}"/>
    <cellStyle name="Note 8 2 3 2 4" xfId="9551" xr:uid="{00000000-0005-0000-0000-000085650000}"/>
    <cellStyle name="Note 8 2 3 2 4 2" xfId="28523" xr:uid="{00000000-0005-0000-0000-000086650000}"/>
    <cellStyle name="Note 8 2 3 2 4 3" xfId="39368" xr:uid="{00000000-0005-0000-0000-000087650000}"/>
    <cellStyle name="Note 8 2 3 2 5" xfId="20347" xr:uid="{00000000-0005-0000-0000-000088650000}"/>
    <cellStyle name="Note 8 2 3 2 6" xfId="31192" xr:uid="{00000000-0005-0000-0000-000089650000}"/>
    <cellStyle name="Note 8 2 3 3" xfId="1765" xr:uid="{00000000-0005-0000-0000-00008A650000}"/>
    <cellStyle name="Note 8 2 3 3 2" xfId="4618" xr:uid="{00000000-0005-0000-0000-00008B650000}"/>
    <cellStyle name="Note 8 2 3 3 2 2" xfId="23590" xr:uid="{00000000-0005-0000-0000-00008C650000}"/>
    <cellStyle name="Note 8 2 3 3 2 3" xfId="34435" xr:uid="{00000000-0005-0000-0000-00008D650000}"/>
    <cellStyle name="Note 8 2 3 3 3" xfId="7290" xr:uid="{00000000-0005-0000-0000-00008E650000}"/>
    <cellStyle name="Note 8 2 3 3 3 2" xfId="26262" xr:uid="{00000000-0005-0000-0000-00008F650000}"/>
    <cellStyle name="Note 8 2 3 3 3 3" xfId="37107" xr:uid="{00000000-0005-0000-0000-000090650000}"/>
    <cellStyle name="Note 8 2 3 3 4" xfId="9949" xr:uid="{00000000-0005-0000-0000-000091650000}"/>
    <cellStyle name="Note 8 2 3 3 4 2" xfId="28921" xr:uid="{00000000-0005-0000-0000-000092650000}"/>
    <cellStyle name="Note 8 2 3 3 4 3" xfId="39766" xr:uid="{00000000-0005-0000-0000-000093650000}"/>
    <cellStyle name="Note 8 2 3 3 5" xfId="20745" xr:uid="{00000000-0005-0000-0000-000094650000}"/>
    <cellStyle name="Note 8 2 3 3 6" xfId="31590" xr:uid="{00000000-0005-0000-0000-000095650000}"/>
    <cellStyle name="Note 8 2 3 4" xfId="2169" xr:uid="{00000000-0005-0000-0000-000096650000}"/>
    <cellStyle name="Note 8 2 3 4 2" xfId="5022" xr:uid="{00000000-0005-0000-0000-000097650000}"/>
    <cellStyle name="Note 8 2 3 4 2 2" xfId="23994" xr:uid="{00000000-0005-0000-0000-000098650000}"/>
    <cellStyle name="Note 8 2 3 4 2 3" xfId="34839" xr:uid="{00000000-0005-0000-0000-000099650000}"/>
    <cellStyle name="Note 8 2 3 4 3" xfId="7693" xr:uid="{00000000-0005-0000-0000-00009A650000}"/>
    <cellStyle name="Note 8 2 3 4 3 2" xfId="26665" xr:uid="{00000000-0005-0000-0000-00009B650000}"/>
    <cellStyle name="Note 8 2 3 4 3 3" xfId="37510" xr:uid="{00000000-0005-0000-0000-00009C650000}"/>
    <cellStyle name="Note 8 2 3 4 4" xfId="10352" xr:uid="{00000000-0005-0000-0000-00009D650000}"/>
    <cellStyle name="Note 8 2 3 4 4 2" xfId="29324" xr:uid="{00000000-0005-0000-0000-00009E650000}"/>
    <cellStyle name="Note 8 2 3 4 4 3" xfId="40169" xr:uid="{00000000-0005-0000-0000-00009F650000}"/>
    <cellStyle name="Note 8 2 3 4 5" xfId="21148" xr:uid="{00000000-0005-0000-0000-0000A0650000}"/>
    <cellStyle name="Note 8 2 3 4 6" xfId="31993" xr:uid="{00000000-0005-0000-0000-0000A1650000}"/>
    <cellStyle name="Note 8 2 3 5" xfId="2559" xr:uid="{00000000-0005-0000-0000-0000A2650000}"/>
    <cellStyle name="Note 8 2 3 5 2" xfId="5411" xr:uid="{00000000-0005-0000-0000-0000A3650000}"/>
    <cellStyle name="Note 8 2 3 5 2 2" xfId="24383" xr:uid="{00000000-0005-0000-0000-0000A4650000}"/>
    <cellStyle name="Note 8 2 3 5 2 3" xfId="35228" xr:uid="{00000000-0005-0000-0000-0000A5650000}"/>
    <cellStyle name="Note 8 2 3 5 3" xfId="8082" xr:uid="{00000000-0005-0000-0000-0000A6650000}"/>
    <cellStyle name="Note 8 2 3 5 3 2" xfId="27054" xr:uid="{00000000-0005-0000-0000-0000A7650000}"/>
    <cellStyle name="Note 8 2 3 5 3 3" xfId="37899" xr:uid="{00000000-0005-0000-0000-0000A8650000}"/>
    <cellStyle name="Note 8 2 3 5 4" xfId="10741" xr:uid="{00000000-0005-0000-0000-0000A9650000}"/>
    <cellStyle name="Note 8 2 3 5 4 2" xfId="29713" xr:uid="{00000000-0005-0000-0000-0000AA650000}"/>
    <cellStyle name="Note 8 2 3 5 4 3" xfId="40558" xr:uid="{00000000-0005-0000-0000-0000AB650000}"/>
    <cellStyle name="Note 8 2 3 5 5" xfId="21537" xr:uid="{00000000-0005-0000-0000-0000AC650000}"/>
    <cellStyle name="Note 8 2 3 5 6" xfId="32382" xr:uid="{00000000-0005-0000-0000-0000AD650000}"/>
    <cellStyle name="Note 8 2 3 6" xfId="2945" xr:uid="{00000000-0005-0000-0000-0000AE650000}"/>
    <cellStyle name="Note 8 2 3 6 2" xfId="5796" xr:uid="{00000000-0005-0000-0000-0000AF650000}"/>
    <cellStyle name="Note 8 2 3 6 2 2" xfId="24768" xr:uid="{00000000-0005-0000-0000-0000B0650000}"/>
    <cellStyle name="Note 8 2 3 6 2 3" xfId="35613" xr:uid="{00000000-0005-0000-0000-0000B1650000}"/>
    <cellStyle name="Note 8 2 3 6 3" xfId="8467" xr:uid="{00000000-0005-0000-0000-0000B2650000}"/>
    <cellStyle name="Note 8 2 3 6 3 2" xfId="27439" xr:uid="{00000000-0005-0000-0000-0000B3650000}"/>
    <cellStyle name="Note 8 2 3 6 3 3" xfId="38284" xr:uid="{00000000-0005-0000-0000-0000B4650000}"/>
    <cellStyle name="Note 8 2 3 6 4" xfId="11126" xr:uid="{00000000-0005-0000-0000-0000B5650000}"/>
    <cellStyle name="Note 8 2 3 6 4 2" xfId="30098" xr:uid="{00000000-0005-0000-0000-0000B6650000}"/>
    <cellStyle name="Note 8 2 3 6 4 3" xfId="40943" xr:uid="{00000000-0005-0000-0000-0000B7650000}"/>
    <cellStyle name="Note 8 2 3 6 5" xfId="21922" xr:uid="{00000000-0005-0000-0000-0000B8650000}"/>
    <cellStyle name="Note 8 2 3 6 6" xfId="32767" xr:uid="{00000000-0005-0000-0000-0000B9650000}"/>
    <cellStyle name="Note 8 2 3 7" xfId="3634" xr:uid="{00000000-0005-0000-0000-0000BA650000}"/>
    <cellStyle name="Note 8 2 3 7 2" xfId="22606" xr:uid="{00000000-0005-0000-0000-0000BB650000}"/>
    <cellStyle name="Note 8 2 3 7 3" xfId="33451" xr:uid="{00000000-0005-0000-0000-0000BC650000}"/>
    <cellStyle name="Note 8 2 3 8" xfId="6309" xr:uid="{00000000-0005-0000-0000-0000BD650000}"/>
    <cellStyle name="Note 8 2 3 8 2" xfId="25281" xr:uid="{00000000-0005-0000-0000-0000BE650000}"/>
    <cellStyle name="Note 8 2 3 8 3" xfId="36126" xr:uid="{00000000-0005-0000-0000-0000BF650000}"/>
    <cellStyle name="Note 8 2 3 9" xfId="8968" xr:uid="{00000000-0005-0000-0000-0000C0650000}"/>
    <cellStyle name="Note 8 2 3 9 2" xfId="27940" xr:uid="{00000000-0005-0000-0000-0000C1650000}"/>
    <cellStyle name="Note 8 2 3 9 3" xfId="38785" xr:uid="{00000000-0005-0000-0000-0000C2650000}"/>
    <cellStyle name="Note 8 2 4" xfId="838" xr:uid="{00000000-0005-0000-0000-0000C3650000}"/>
    <cellStyle name="Note 8 2 4 10" xfId="19823" xr:uid="{00000000-0005-0000-0000-0000C4650000}"/>
    <cellStyle name="Note 8 2 4 11" xfId="30668" xr:uid="{00000000-0005-0000-0000-0000C5650000}"/>
    <cellStyle name="Note 8 2 4 2" xfId="1425" xr:uid="{00000000-0005-0000-0000-0000C6650000}"/>
    <cellStyle name="Note 8 2 4 2 2" xfId="4278" xr:uid="{00000000-0005-0000-0000-0000C7650000}"/>
    <cellStyle name="Note 8 2 4 2 2 2" xfId="23250" xr:uid="{00000000-0005-0000-0000-0000C8650000}"/>
    <cellStyle name="Note 8 2 4 2 2 3" xfId="34095" xr:uid="{00000000-0005-0000-0000-0000C9650000}"/>
    <cellStyle name="Note 8 2 4 2 3" xfId="6951" xr:uid="{00000000-0005-0000-0000-0000CA650000}"/>
    <cellStyle name="Note 8 2 4 2 3 2" xfId="25923" xr:uid="{00000000-0005-0000-0000-0000CB650000}"/>
    <cellStyle name="Note 8 2 4 2 3 3" xfId="36768" xr:uid="{00000000-0005-0000-0000-0000CC650000}"/>
    <cellStyle name="Note 8 2 4 2 4" xfId="9610" xr:uid="{00000000-0005-0000-0000-0000CD650000}"/>
    <cellStyle name="Note 8 2 4 2 4 2" xfId="28582" xr:uid="{00000000-0005-0000-0000-0000CE650000}"/>
    <cellStyle name="Note 8 2 4 2 4 3" xfId="39427" xr:uid="{00000000-0005-0000-0000-0000CF650000}"/>
    <cellStyle name="Note 8 2 4 2 5" xfId="20406" xr:uid="{00000000-0005-0000-0000-0000D0650000}"/>
    <cellStyle name="Note 8 2 4 2 6" xfId="31251" xr:uid="{00000000-0005-0000-0000-0000D1650000}"/>
    <cellStyle name="Note 8 2 4 3" xfId="1824" xr:uid="{00000000-0005-0000-0000-0000D2650000}"/>
    <cellStyle name="Note 8 2 4 3 2" xfId="4677" xr:uid="{00000000-0005-0000-0000-0000D3650000}"/>
    <cellStyle name="Note 8 2 4 3 2 2" xfId="23649" xr:uid="{00000000-0005-0000-0000-0000D4650000}"/>
    <cellStyle name="Note 8 2 4 3 2 3" xfId="34494" xr:uid="{00000000-0005-0000-0000-0000D5650000}"/>
    <cellStyle name="Note 8 2 4 3 3" xfId="7349" xr:uid="{00000000-0005-0000-0000-0000D6650000}"/>
    <cellStyle name="Note 8 2 4 3 3 2" xfId="26321" xr:uid="{00000000-0005-0000-0000-0000D7650000}"/>
    <cellStyle name="Note 8 2 4 3 3 3" xfId="37166" xr:uid="{00000000-0005-0000-0000-0000D8650000}"/>
    <cellStyle name="Note 8 2 4 3 4" xfId="10008" xr:uid="{00000000-0005-0000-0000-0000D9650000}"/>
    <cellStyle name="Note 8 2 4 3 4 2" xfId="28980" xr:uid="{00000000-0005-0000-0000-0000DA650000}"/>
    <cellStyle name="Note 8 2 4 3 4 3" xfId="39825" xr:uid="{00000000-0005-0000-0000-0000DB650000}"/>
    <cellStyle name="Note 8 2 4 3 5" xfId="20804" xr:uid="{00000000-0005-0000-0000-0000DC650000}"/>
    <cellStyle name="Note 8 2 4 3 6" xfId="31649" xr:uid="{00000000-0005-0000-0000-0000DD650000}"/>
    <cellStyle name="Note 8 2 4 4" xfId="2228" xr:uid="{00000000-0005-0000-0000-0000DE650000}"/>
    <cellStyle name="Note 8 2 4 4 2" xfId="5081" xr:uid="{00000000-0005-0000-0000-0000DF650000}"/>
    <cellStyle name="Note 8 2 4 4 2 2" xfId="24053" xr:uid="{00000000-0005-0000-0000-0000E0650000}"/>
    <cellStyle name="Note 8 2 4 4 2 3" xfId="34898" xr:uid="{00000000-0005-0000-0000-0000E1650000}"/>
    <cellStyle name="Note 8 2 4 4 3" xfId="7752" xr:uid="{00000000-0005-0000-0000-0000E2650000}"/>
    <cellStyle name="Note 8 2 4 4 3 2" xfId="26724" xr:uid="{00000000-0005-0000-0000-0000E3650000}"/>
    <cellStyle name="Note 8 2 4 4 3 3" xfId="37569" xr:uid="{00000000-0005-0000-0000-0000E4650000}"/>
    <cellStyle name="Note 8 2 4 4 4" xfId="10411" xr:uid="{00000000-0005-0000-0000-0000E5650000}"/>
    <cellStyle name="Note 8 2 4 4 4 2" xfId="29383" xr:uid="{00000000-0005-0000-0000-0000E6650000}"/>
    <cellStyle name="Note 8 2 4 4 4 3" xfId="40228" xr:uid="{00000000-0005-0000-0000-0000E7650000}"/>
    <cellStyle name="Note 8 2 4 4 5" xfId="21207" xr:uid="{00000000-0005-0000-0000-0000E8650000}"/>
    <cellStyle name="Note 8 2 4 4 6" xfId="32052" xr:uid="{00000000-0005-0000-0000-0000E9650000}"/>
    <cellStyle name="Note 8 2 4 5" xfId="2618" xr:uid="{00000000-0005-0000-0000-0000EA650000}"/>
    <cellStyle name="Note 8 2 4 5 2" xfId="5470" xr:uid="{00000000-0005-0000-0000-0000EB650000}"/>
    <cellStyle name="Note 8 2 4 5 2 2" xfId="24442" xr:uid="{00000000-0005-0000-0000-0000EC650000}"/>
    <cellStyle name="Note 8 2 4 5 2 3" xfId="35287" xr:uid="{00000000-0005-0000-0000-0000ED650000}"/>
    <cellStyle name="Note 8 2 4 5 3" xfId="8141" xr:uid="{00000000-0005-0000-0000-0000EE650000}"/>
    <cellStyle name="Note 8 2 4 5 3 2" xfId="27113" xr:uid="{00000000-0005-0000-0000-0000EF650000}"/>
    <cellStyle name="Note 8 2 4 5 3 3" xfId="37958" xr:uid="{00000000-0005-0000-0000-0000F0650000}"/>
    <cellStyle name="Note 8 2 4 5 4" xfId="10800" xr:uid="{00000000-0005-0000-0000-0000F1650000}"/>
    <cellStyle name="Note 8 2 4 5 4 2" xfId="29772" xr:uid="{00000000-0005-0000-0000-0000F2650000}"/>
    <cellStyle name="Note 8 2 4 5 4 3" xfId="40617" xr:uid="{00000000-0005-0000-0000-0000F3650000}"/>
    <cellStyle name="Note 8 2 4 5 5" xfId="21596" xr:uid="{00000000-0005-0000-0000-0000F4650000}"/>
    <cellStyle name="Note 8 2 4 5 6" xfId="32441" xr:uid="{00000000-0005-0000-0000-0000F5650000}"/>
    <cellStyle name="Note 8 2 4 6" xfId="3004" xr:uid="{00000000-0005-0000-0000-0000F6650000}"/>
    <cellStyle name="Note 8 2 4 6 2" xfId="5855" xr:uid="{00000000-0005-0000-0000-0000F7650000}"/>
    <cellStyle name="Note 8 2 4 6 2 2" xfId="24827" xr:uid="{00000000-0005-0000-0000-0000F8650000}"/>
    <cellStyle name="Note 8 2 4 6 2 3" xfId="35672" xr:uid="{00000000-0005-0000-0000-0000F9650000}"/>
    <cellStyle name="Note 8 2 4 6 3" xfId="8526" xr:uid="{00000000-0005-0000-0000-0000FA650000}"/>
    <cellStyle name="Note 8 2 4 6 3 2" xfId="27498" xr:uid="{00000000-0005-0000-0000-0000FB650000}"/>
    <cellStyle name="Note 8 2 4 6 3 3" xfId="38343" xr:uid="{00000000-0005-0000-0000-0000FC650000}"/>
    <cellStyle name="Note 8 2 4 6 4" xfId="11185" xr:uid="{00000000-0005-0000-0000-0000FD650000}"/>
    <cellStyle name="Note 8 2 4 6 4 2" xfId="30157" xr:uid="{00000000-0005-0000-0000-0000FE650000}"/>
    <cellStyle name="Note 8 2 4 6 4 3" xfId="41002" xr:uid="{00000000-0005-0000-0000-0000FF650000}"/>
    <cellStyle name="Note 8 2 4 6 5" xfId="21981" xr:uid="{00000000-0005-0000-0000-000000660000}"/>
    <cellStyle name="Note 8 2 4 6 6" xfId="32826" xr:uid="{00000000-0005-0000-0000-000001660000}"/>
    <cellStyle name="Note 8 2 4 7" xfId="3693" xr:uid="{00000000-0005-0000-0000-000002660000}"/>
    <cellStyle name="Note 8 2 4 7 2" xfId="22665" xr:uid="{00000000-0005-0000-0000-000003660000}"/>
    <cellStyle name="Note 8 2 4 7 3" xfId="33510" xr:uid="{00000000-0005-0000-0000-000004660000}"/>
    <cellStyle name="Note 8 2 4 8" xfId="6368" xr:uid="{00000000-0005-0000-0000-000005660000}"/>
    <cellStyle name="Note 8 2 4 8 2" xfId="25340" xr:uid="{00000000-0005-0000-0000-000006660000}"/>
    <cellStyle name="Note 8 2 4 8 3" xfId="36185" xr:uid="{00000000-0005-0000-0000-000007660000}"/>
    <cellStyle name="Note 8 2 4 9" xfId="9027" xr:uid="{00000000-0005-0000-0000-000008660000}"/>
    <cellStyle name="Note 8 2 4 9 2" xfId="27999" xr:uid="{00000000-0005-0000-0000-000009660000}"/>
    <cellStyle name="Note 8 2 4 9 3" xfId="38844" xr:uid="{00000000-0005-0000-0000-00000A660000}"/>
    <cellStyle name="Note 8 2 5" xfId="897" xr:uid="{00000000-0005-0000-0000-00000B660000}"/>
    <cellStyle name="Note 8 2 5 10" xfId="19882" xr:uid="{00000000-0005-0000-0000-00000C660000}"/>
    <cellStyle name="Note 8 2 5 11" xfId="30727" xr:uid="{00000000-0005-0000-0000-00000D660000}"/>
    <cellStyle name="Note 8 2 5 2" xfId="1484" xr:uid="{00000000-0005-0000-0000-00000E660000}"/>
    <cellStyle name="Note 8 2 5 2 2" xfId="4337" xr:uid="{00000000-0005-0000-0000-00000F660000}"/>
    <cellStyle name="Note 8 2 5 2 2 2" xfId="23309" xr:uid="{00000000-0005-0000-0000-000010660000}"/>
    <cellStyle name="Note 8 2 5 2 2 3" xfId="34154" xr:uid="{00000000-0005-0000-0000-000011660000}"/>
    <cellStyle name="Note 8 2 5 2 3" xfId="7010" xr:uid="{00000000-0005-0000-0000-000012660000}"/>
    <cellStyle name="Note 8 2 5 2 3 2" xfId="25982" xr:uid="{00000000-0005-0000-0000-000013660000}"/>
    <cellStyle name="Note 8 2 5 2 3 3" xfId="36827" xr:uid="{00000000-0005-0000-0000-000014660000}"/>
    <cellStyle name="Note 8 2 5 2 4" xfId="9669" xr:uid="{00000000-0005-0000-0000-000015660000}"/>
    <cellStyle name="Note 8 2 5 2 4 2" xfId="28641" xr:uid="{00000000-0005-0000-0000-000016660000}"/>
    <cellStyle name="Note 8 2 5 2 4 3" xfId="39486" xr:uid="{00000000-0005-0000-0000-000017660000}"/>
    <cellStyle name="Note 8 2 5 2 5" xfId="20465" xr:uid="{00000000-0005-0000-0000-000018660000}"/>
    <cellStyle name="Note 8 2 5 2 6" xfId="31310" xr:uid="{00000000-0005-0000-0000-000019660000}"/>
    <cellStyle name="Note 8 2 5 3" xfId="1883" xr:uid="{00000000-0005-0000-0000-00001A660000}"/>
    <cellStyle name="Note 8 2 5 3 2" xfId="4736" xr:uid="{00000000-0005-0000-0000-00001B660000}"/>
    <cellStyle name="Note 8 2 5 3 2 2" xfId="23708" xr:uid="{00000000-0005-0000-0000-00001C660000}"/>
    <cellStyle name="Note 8 2 5 3 2 3" xfId="34553" xr:uid="{00000000-0005-0000-0000-00001D660000}"/>
    <cellStyle name="Note 8 2 5 3 3" xfId="7408" xr:uid="{00000000-0005-0000-0000-00001E660000}"/>
    <cellStyle name="Note 8 2 5 3 3 2" xfId="26380" xr:uid="{00000000-0005-0000-0000-00001F660000}"/>
    <cellStyle name="Note 8 2 5 3 3 3" xfId="37225" xr:uid="{00000000-0005-0000-0000-000020660000}"/>
    <cellStyle name="Note 8 2 5 3 4" xfId="10067" xr:uid="{00000000-0005-0000-0000-000021660000}"/>
    <cellStyle name="Note 8 2 5 3 4 2" xfId="29039" xr:uid="{00000000-0005-0000-0000-000022660000}"/>
    <cellStyle name="Note 8 2 5 3 4 3" xfId="39884" xr:uid="{00000000-0005-0000-0000-000023660000}"/>
    <cellStyle name="Note 8 2 5 3 5" xfId="20863" xr:uid="{00000000-0005-0000-0000-000024660000}"/>
    <cellStyle name="Note 8 2 5 3 6" xfId="31708" xr:uid="{00000000-0005-0000-0000-000025660000}"/>
    <cellStyle name="Note 8 2 5 4" xfId="2287" xr:uid="{00000000-0005-0000-0000-000026660000}"/>
    <cellStyle name="Note 8 2 5 4 2" xfId="5140" xr:uid="{00000000-0005-0000-0000-000027660000}"/>
    <cellStyle name="Note 8 2 5 4 2 2" xfId="24112" xr:uid="{00000000-0005-0000-0000-000028660000}"/>
    <cellStyle name="Note 8 2 5 4 2 3" xfId="34957" xr:uid="{00000000-0005-0000-0000-000029660000}"/>
    <cellStyle name="Note 8 2 5 4 3" xfId="7811" xr:uid="{00000000-0005-0000-0000-00002A660000}"/>
    <cellStyle name="Note 8 2 5 4 3 2" xfId="26783" xr:uid="{00000000-0005-0000-0000-00002B660000}"/>
    <cellStyle name="Note 8 2 5 4 3 3" xfId="37628" xr:uid="{00000000-0005-0000-0000-00002C660000}"/>
    <cellStyle name="Note 8 2 5 4 4" xfId="10470" xr:uid="{00000000-0005-0000-0000-00002D660000}"/>
    <cellStyle name="Note 8 2 5 4 4 2" xfId="29442" xr:uid="{00000000-0005-0000-0000-00002E660000}"/>
    <cellStyle name="Note 8 2 5 4 4 3" xfId="40287" xr:uid="{00000000-0005-0000-0000-00002F660000}"/>
    <cellStyle name="Note 8 2 5 4 5" xfId="21266" xr:uid="{00000000-0005-0000-0000-000030660000}"/>
    <cellStyle name="Note 8 2 5 4 6" xfId="32111" xr:uid="{00000000-0005-0000-0000-000031660000}"/>
    <cellStyle name="Note 8 2 5 5" xfId="2677" xr:uid="{00000000-0005-0000-0000-000032660000}"/>
    <cellStyle name="Note 8 2 5 5 2" xfId="5529" xr:uid="{00000000-0005-0000-0000-000033660000}"/>
    <cellStyle name="Note 8 2 5 5 2 2" xfId="24501" xr:uid="{00000000-0005-0000-0000-000034660000}"/>
    <cellStyle name="Note 8 2 5 5 2 3" xfId="35346" xr:uid="{00000000-0005-0000-0000-000035660000}"/>
    <cellStyle name="Note 8 2 5 5 3" xfId="8200" xr:uid="{00000000-0005-0000-0000-000036660000}"/>
    <cellStyle name="Note 8 2 5 5 3 2" xfId="27172" xr:uid="{00000000-0005-0000-0000-000037660000}"/>
    <cellStyle name="Note 8 2 5 5 3 3" xfId="38017" xr:uid="{00000000-0005-0000-0000-000038660000}"/>
    <cellStyle name="Note 8 2 5 5 4" xfId="10859" xr:uid="{00000000-0005-0000-0000-000039660000}"/>
    <cellStyle name="Note 8 2 5 5 4 2" xfId="29831" xr:uid="{00000000-0005-0000-0000-00003A660000}"/>
    <cellStyle name="Note 8 2 5 5 4 3" xfId="40676" xr:uid="{00000000-0005-0000-0000-00003B660000}"/>
    <cellStyle name="Note 8 2 5 5 5" xfId="21655" xr:uid="{00000000-0005-0000-0000-00003C660000}"/>
    <cellStyle name="Note 8 2 5 5 6" xfId="32500" xr:uid="{00000000-0005-0000-0000-00003D660000}"/>
    <cellStyle name="Note 8 2 5 6" xfId="3063" xr:uid="{00000000-0005-0000-0000-00003E660000}"/>
    <cellStyle name="Note 8 2 5 6 2" xfId="5914" xr:uid="{00000000-0005-0000-0000-00003F660000}"/>
    <cellStyle name="Note 8 2 5 6 2 2" xfId="24886" xr:uid="{00000000-0005-0000-0000-000040660000}"/>
    <cellStyle name="Note 8 2 5 6 2 3" xfId="35731" xr:uid="{00000000-0005-0000-0000-000041660000}"/>
    <cellStyle name="Note 8 2 5 6 3" xfId="8585" xr:uid="{00000000-0005-0000-0000-000042660000}"/>
    <cellStyle name="Note 8 2 5 6 3 2" xfId="27557" xr:uid="{00000000-0005-0000-0000-000043660000}"/>
    <cellStyle name="Note 8 2 5 6 3 3" xfId="38402" xr:uid="{00000000-0005-0000-0000-000044660000}"/>
    <cellStyle name="Note 8 2 5 6 4" xfId="11244" xr:uid="{00000000-0005-0000-0000-000045660000}"/>
    <cellStyle name="Note 8 2 5 6 4 2" xfId="30216" xr:uid="{00000000-0005-0000-0000-000046660000}"/>
    <cellStyle name="Note 8 2 5 6 4 3" xfId="41061" xr:uid="{00000000-0005-0000-0000-000047660000}"/>
    <cellStyle name="Note 8 2 5 6 5" xfId="22040" xr:uid="{00000000-0005-0000-0000-000048660000}"/>
    <cellStyle name="Note 8 2 5 6 6" xfId="32885" xr:uid="{00000000-0005-0000-0000-000049660000}"/>
    <cellStyle name="Note 8 2 5 7" xfId="3752" xr:uid="{00000000-0005-0000-0000-00004A660000}"/>
    <cellStyle name="Note 8 2 5 7 2" xfId="22724" xr:uid="{00000000-0005-0000-0000-00004B660000}"/>
    <cellStyle name="Note 8 2 5 7 3" xfId="33569" xr:uid="{00000000-0005-0000-0000-00004C660000}"/>
    <cellStyle name="Note 8 2 5 8" xfId="6427" xr:uid="{00000000-0005-0000-0000-00004D660000}"/>
    <cellStyle name="Note 8 2 5 8 2" xfId="25399" xr:uid="{00000000-0005-0000-0000-00004E660000}"/>
    <cellStyle name="Note 8 2 5 8 3" xfId="36244" xr:uid="{00000000-0005-0000-0000-00004F660000}"/>
    <cellStyle name="Note 8 2 5 9" xfId="9086" xr:uid="{00000000-0005-0000-0000-000050660000}"/>
    <cellStyle name="Note 8 2 5 9 2" xfId="28058" xr:uid="{00000000-0005-0000-0000-000051660000}"/>
    <cellStyle name="Note 8 2 5 9 3" xfId="38903" xr:uid="{00000000-0005-0000-0000-000052660000}"/>
    <cellStyle name="Note 8 2 6" xfId="1127" xr:uid="{00000000-0005-0000-0000-000053660000}"/>
    <cellStyle name="Note 8 2 6 2" xfId="3980" xr:uid="{00000000-0005-0000-0000-000054660000}"/>
    <cellStyle name="Note 8 2 6 2 2" xfId="22952" xr:uid="{00000000-0005-0000-0000-000055660000}"/>
    <cellStyle name="Note 8 2 6 2 3" xfId="33797" xr:uid="{00000000-0005-0000-0000-000056660000}"/>
    <cellStyle name="Note 8 2 6 3" xfId="6653" xr:uid="{00000000-0005-0000-0000-000057660000}"/>
    <cellStyle name="Note 8 2 6 3 2" xfId="25625" xr:uid="{00000000-0005-0000-0000-000058660000}"/>
    <cellStyle name="Note 8 2 6 3 3" xfId="36470" xr:uid="{00000000-0005-0000-0000-000059660000}"/>
    <cellStyle name="Note 8 2 6 4" xfId="9312" xr:uid="{00000000-0005-0000-0000-00005A660000}"/>
    <cellStyle name="Note 8 2 6 4 2" xfId="28284" xr:uid="{00000000-0005-0000-0000-00005B660000}"/>
    <cellStyle name="Note 8 2 6 4 3" xfId="39129" xr:uid="{00000000-0005-0000-0000-00005C660000}"/>
    <cellStyle name="Note 8 2 6 5" xfId="20108" xr:uid="{00000000-0005-0000-0000-00005D660000}"/>
    <cellStyle name="Note 8 2 6 6" xfId="30953" xr:uid="{00000000-0005-0000-0000-00005E660000}"/>
    <cellStyle name="Note 8 2 7" xfId="1523" xr:uid="{00000000-0005-0000-0000-00005F660000}"/>
    <cellStyle name="Note 8 2 7 2" xfId="4376" xr:uid="{00000000-0005-0000-0000-000060660000}"/>
    <cellStyle name="Note 8 2 7 2 2" xfId="23348" xr:uid="{00000000-0005-0000-0000-000061660000}"/>
    <cellStyle name="Note 8 2 7 2 3" xfId="34193" xr:uid="{00000000-0005-0000-0000-000062660000}"/>
    <cellStyle name="Note 8 2 7 3" xfId="7049" xr:uid="{00000000-0005-0000-0000-000063660000}"/>
    <cellStyle name="Note 8 2 7 3 2" xfId="26021" xr:uid="{00000000-0005-0000-0000-000064660000}"/>
    <cellStyle name="Note 8 2 7 3 3" xfId="36866" xr:uid="{00000000-0005-0000-0000-000065660000}"/>
    <cellStyle name="Note 8 2 7 4" xfId="9708" xr:uid="{00000000-0005-0000-0000-000066660000}"/>
    <cellStyle name="Note 8 2 7 4 2" xfId="28680" xr:uid="{00000000-0005-0000-0000-000067660000}"/>
    <cellStyle name="Note 8 2 7 4 3" xfId="39525" xr:uid="{00000000-0005-0000-0000-000068660000}"/>
    <cellStyle name="Note 8 2 7 5" xfId="20504" xr:uid="{00000000-0005-0000-0000-000069660000}"/>
    <cellStyle name="Note 8 2 7 6" xfId="31349" xr:uid="{00000000-0005-0000-0000-00006A660000}"/>
    <cellStyle name="Note 8 2 8" xfId="1929" xr:uid="{00000000-0005-0000-0000-00006B660000}"/>
    <cellStyle name="Note 8 2 8 2" xfId="4782" xr:uid="{00000000-0005-0000-0000-00006C660000}"/>
    <cellStyle name="Note 8 2 8 2 2" xfId="23754" xr:uid="{00000000-0005-0000-0000-00006D660000}"/>
    <cellStyle name="Note 8 2 8 2 3" xfId="34599" xr:uid="{00000000-0005-0000-0000-00006E660000}"/>
    <cellStyle name="Note 8 2 8 3" xfId="7454" xr:uid="{00000000-0005-0000-0000-00006F660000}"/>
    <cellStyle name="Note 8 2 8 3 2" xfId="26426" xr:uid="{00000000-0005-0000-0000-000070660000}"/>
    <cellStyle name="Note 8 2 8 3 3" xfId="37271" xr:uid="{00000000-0005-0000-0000-000071660000}"/>
    <cellStyle name="Note 8 2 8 4" xfId="10113" xr:uid="{00000000-0005-0000-0000-000072660000}"/>
    <cellStyle name="Note 8 2 8 4 2" xfId="29085" xr:uid="{00000000-0005-0000-0000-000073660000}"/>
    <cellStyle name="Note 8 2 8 4 3" xfId="39930" xr:uid="{00000000-0005-0000-0000-000074660000}"/>
    <cellStyle name="Note 8 2 8 5" xfId="20909" xr:uid="{00000000-0005-0000-0000-000075660000}"/>
    <cellStyle name="Note 8 2 8 6" xfId="31754" xr:uid="{00000000-0005-0000-0000-000076660000}"/>
    <cellStyle name="Note 8 2 9" xfId="2322" xr:uid="{00000000-0005-0000-0000-000077660000}"/>
    <cellStyle name="Note 8 2 9 2" xfId="5175" xr:uid="{00000000-0005-0000-0000-000078660000}"/>
    <cellStyle name="Note 8 2 9 2 2" xfId="24147" xr:uid="{00000000-0005-0000-0000-000079660000}"/>
    <cellStyle name="Note 8 2 9 2 3" xfId="34992" xr:uid="{00000000-0005-0000-0000-00007A660000}"/>
    <cellStyle name="Note 8 2 9 3" xfId="7846" xr:uid="{00000000-0005-0000-0000-00007B660000}"/>
    <cellStyle name="Note 8 2 9 3 2" xfId="26818" xr:uid="{00000000-0005-0000-0000-00007C660000}"/>
    <cellStyle name="Note 8 2 9 3 3" xfId="37663" xr:uid="{00000000-0005-0000-0000-00007D660000}"/>
    <cellStyle name="Note 8 2 9 4" xfId="10505" xr:uid="{00000000-0005-0000-0000-00007E660000}"/>
    <cellStyle name="Note 8 2 9 4 2" xfId="29477" xr:uid="{00000000-0005-0000-0000-00007F660000}"/>
    <cellStyle name="Note 8 2 9 4 3" xfId="40322" xr:uid="{00000000-0005-0000-0000-000080660000}"/>
    <cellStyle name="Note 8 2 9 5" xfId="21301" xr:uid="{00000000-0005-0000-0000-000081660000}"/>
    <cellStyle name="Note 8 2 9 6" xfId="32146" xr:uid="{00000000-0005-0000-0000-000082660000}"/>
    <cellStyle name="Note 8 3" xfId="617" xr:uid="{00000000-0005-0000-0000-000083660000}"/>
    <cellStyle name="Note 8 3 10" xfId="19624" xr:uid="{00000000-0005-0000-0000-000084660000}"/>
    <cellStyle name="Note 8 3 11" xfId="30469" xr:uid="{00000000-0005-0000-0000-000085660000}"/>
    <cellStyle name="Note 8 3 2" xfId="1221" xr:uid="{00000000-0005-0000-0000-000086660000}"/>
    <cellStyle name="Note 8 3 2 2" xfId="4074" xr:uid="{00000000-0005-0000-0000-000087660000}"/>
    <cellStyle name="Note 8 3 2 2 2" xfId="23046" xr:uid="{00000000-0005-0000-0000-000088660000}"/>
    <cellStyle name="Note 8 3 2 2 3" xfId="33891" xr:uid="{00000000-0005-0000-0000-000089660000}"/>
    <cellStyle name="Note 8 3 2 3" xfId="6747" xr:uid="{00000000-0005-0000-0000-00008A660000}"/>
    <cellStyle name="Note 8 3 2 3 2" xfId="25719" xr:uid="{00000000-0005-0000-0000-00008B660000}"/>
    <cellStyle name="Note 8 3 2 3 3" xfId="36564" xr:uid="{00000000-0005-0000-0000-00008C660000}"/>
    <cellStyle name="Note 8 3 2 4" xfId="9406" xr:uid="{00000000-0005-0000-0000-00008D660000}"/>
    <cellStyle name="Note 8 3 2 4 2" xfId="28378" xr:uid="{00000000-0005-0000-0000-00008E660000}"/>
    <cellStyle name="Note 8 3 2 4 3" xfId="39223" xr:uid="{00000000-0005-0000-0000-00008F660000}"/>
    <cellStyle name="Note 8 3 2 5" xfId="20202" xr:uid="{00000000-0005-0000-0000-000090660000}"/>
    <cellStyle name="Note 8 3 2 6" xfId="31047" xr:uid="{00000000-0005-0000-0000-000091660000}"/>
    <cellStyle name="Note 8 3 3" xfId="1619" xr:uid="{00000000-0005-0000-0000-000092660000}"/>
    <cellStyle name="Note 8 3 3 2" xfId="4472" xr:uid="{00000000-0005-0000-0000-000093660000}"/>
    <cellStyle name="Note 8 3 3 2 2" xfId="23444" xr:uid="{00000000-0005-0000-0000-000094660000}"/>
    <cellStyle name="Note 8 3 3 2 3" xfId="34289" xr:uid="{00000000-0005-0000-0000-000095660000}"/>
    <cellStyle name="Note 8 3 3 3" xfId="7144" xr:uid="{00000000-0005-0000-0000-000096660000}"/>
    <cellStyle name="Note 8 3 3 3 2" xfId="26116" xr:uid="{00000000-0005-0000-0000-000097660000}"/>
    <cellStyle name="Note 8 3 3 3 3" xfId="36961" xr:uid="{00000000-0005-0000-0000-000098660000}"/>
    <cellStyle name="Note 8 3 3 4" xfId="9803" xr:uid="{00000000-0005-0000-0000-000099660000}"/>
    <cellStyle name="Note 8 3 3 4 2" xfId="28775" xr:uid="{00000000-0005-0000-0000-00009A660000}"/>
    <cellStyle name="Note 8 3 3 4 3" xfId="39620" xr:uid="{00000000-0005-0000-0000-00009B660000}"/>
    <cellStyle name="Note 8 3 3 5" xfId="20599" xr:uid="{00000000-0005-0000-0000-00009C660000}"/>
    <cellStyle name="Note 8 3 3 6" xfId="31444" xr:uid="{00000000-0005-0000-0000-00009D660000}"/>
    <cellStyle name="Note 8 3 4" xfId="2021" xr:uid="{00000000-0005-0000-0000-00009E660000}"/>
    <cellStyle name="Note 8 3 4 2" xfId="4874" xr:uid="{00000000-0005-0000-0000-00009F660000}"/>
    <cellStyle name="Note 8 3 4 2 2" xfId="23846" xr:uid="{00000000-0005-0000-0000-0000A0660000}"/>
    <cellStyle name="Note 8 3 4 2 3" xfId="34691" xr:uid="{00000000-0005-0000-0000-0000A1660000}"/>
    <cellStyle name="Note 8 3 4 3" xfId="7546" xr:uid="{00000000-0005-0000-0000-0000A2660000}"/>
    <cellStyle name="Note 8 3 4 3 2" xfId="26518" xr:uid="{00000000-0005-0000-0000-0000A3660000}"/>
    <cellStyle name="Note 8 3 4 3 3" xfId="37363" xr:uid="{00000000-0005-0000-0000-0000A4660000}"/>
    <cellStyle name="Note 8 3 4 4" xfId="10205" xr:uid="{00000000-0005-0000-0000-0000A5660000}"/>
    <cellStyle name="Note 8 3 4 4 2" xfId="29177" xr:uid="{00000000-0005-0000-0000-0000A6660000}"/>
    <cellStyle name="Note 8 3 4 4 3" xfId="40022" xr:uid="{00000000-0005-0000-0000-0000A7660000}"/>
    <cellStyle name="Note 8 3 4 5" xfId="21001" xr:uid="{00000000-0005-0000-0000-0000A8660000}"/>
    <cellStyle name="Note 8 3 4 6" xfId="31846" xr:uid="{00000000-0005-0000-0000-0000A9660000}"/>
    <cellStyle name="Note 8 3 5" xfId="2413" xr:uid="{00000000-0005-0000-0000-0000AA660000}"/>
    <cellStyle name="Note 8 3 5 2" xfId="5266" xr:uid="{00000000-0005-0000-0000-0000AB660000}"/>
    <cellStyle name="Note 8 3 5 2 2" xfId="24238" xr:uid="{00000000-0005-0000-0000-0000AC660000}"/>
    <cellStyle name="Note 8 3 5 2 3" xfId="35083" xr:uid="{00000000-0005-0000-0000-0000AD660000}"/>
    <cellStyle name="Note 8 3 5 3" xfId="7937" xr:uid="{00000000-0005-0000-0000-0000AE660000}"/>
    <cellStyle name="Note 8 3 5 3 2" xfId="26909" xr:uid="{00000000-0005-0000-0000-0000AF660000}"/>
    <cellStyle name="Note 8 3 5 3 3" xfId="37754" xr:uid="{00000000-0005-0000-0000-0000B0660000}"/>
    <cellStyle name="Note 8 3 5 4" xfId="10596" xr:uid="{00000000-0005-0000-0000-0000B1660000}"/>
    <cellStyle name="Note 8 3 5 4 2" xfId="29568" xr:uid="{00000000-0005-0000-0000-0000B2660000}"/>
    <cellStyle name="Note 8 3 5 4 3" xfId="40413" xr:uid="{00000000-0005-0000-0000-0000B3660000}"/>
    <cellStyle name="Note 8 3 5 5" xfId="21392" xr:uid="{00000000-0005-0000-0000-0000B4660000}"/>
    <cellStyle name="Note 8 3 5 6" xfId="32237" xr:uid="{00000000-0005-0000-0000-0000B5660000}"/>
    <cellStyle name="Note 8 3 6" xfId="2802" xr:uid="{00000000-0005-0000-0000-0000B6660000}"/>
    <cellStyle name="Note 8 3 6 2" xfId="5654" xr:uid="{00000000-0005-0000-0000-0000B7660000}"/>
    <cellStyle name="Note 8 3 6 2 2" xfId="24626" xr:uid="{00000000-0005-0000-0000-0000B8660000}"/>
    <cellStyle name="Note 8 3 6 2 3" xfId="35471" xr:uid="{00000000-0005-0000-0000-0000B9660000}"/>
    <cellStyle name="Note 8 3 6 3" xfId="8325" xr:uid="{00000000-0005-0000-0000-0000BA660000}"/>
    <cellStyle name="Note 8 3 6 3 2" xfId="27297" xr:uid="{00000000-0005-0000-0000-0000BB660000}"/>
    <cellStyle name="Note 8 3 6 3 3" xfId="38142" xr:uid="{00000000-0005-0000-0000-0000BC660000}"/>
    <cellStyle name="Note 8 3 6 4" xfId="10984" xr:uid="{00000000-0005-0000-0000-0000BD660000}"/>
    <cellStyle name="Note 8 3 6 4 2" xfId="29956" xr:uid="{00000000-0005-0000-0000-0000BE660000}"/>
    <cellStyle name="Note 8 3 6 4 3" xfId="40801" xr:uid="{00000000-0005-0000-0000-0000BF660000}"/>
    <cellStyle name="Note 8 3 6 5" xfId="21780" xr:uid="{00000000-0005-0000-0000-0000C0660000}"/>
    <cellStyle name="Note 8 3 6 6" xfId="32625" xr:uid="{00000000-0005-0000-0000-0000C1660000}"/>
    <cellStyle name="Note 8 3 7" xfId="3493" xr:uid="{00000000-0005-0000-0000-0000C2660000}"/>
    <cellStyle name="Note 8 3 7 2" xfId="22465" xr:uid="{00000000-0005-0000-0000-0000C3660000}"/>
    <cellStyle name="Note 8 3 7 3" xfId="33310" xr:uid="{00000000-0005-0000-0000-0000C4660000}"/>
    <cellStyle name="Note 8 3 8" xfId="6169" xr:uid="{00000000-0005-0000-0000-0000C5660000}"/>
    <cellStyle name="Note 8 3 8 2" xfId="25141" xr:uid="{00000000-0005-0000-0000-0000C6660000}"/>
    <cellStyle name="Note 8 3 8 3" xfId="35986" xr:uid="{00000000-0005-0000-0000-0000C7660000}"/>
    <cellStyle name="Note 8 3 9" xfId="8828" xr:uid="{00000000-0005-0000-0000-0000C8660000}"/>
    <cellStyle name="Note 8 3 9 2" xfId="27800" xr:uid="{00000000-0005-0000-0000-0000C9660000}"/>
    <cellStyle name="Note 8 3 9 3" xfId="38645" xr:uid="{00000000-0005-0000-0000-0000CA660000}"/>
    <cellStyle name="Note 9" xfId="318" xr:uid="{00000000-0005-0000-0000-0000CB660000}"/>
    <cellStyle name="Note 9 2" xfId="430" xr:uid="{00000000-0005-0000-0000-0000CC660000}"/>
    <cellStyle name="Note 9 2 10" xfId="2712" xr:uid="{00000000-0005-0000-0000-0000CD660000}"/>
    <cellStyle name="Note 9 2 10 2" xfId="5564" xr:uid="{00000000-0005-0000-0000-0000CE660000}"/>
    <cellStyle name="Note 9 2 10 2 2" xfId="24536" xr:uid="{00000000-0005-0000-0000-0000CF660000}"/>
    <cellStyle name="Note 9 2 10 2 3" xfId="35381" xr:uid="{00000000-0005-0000-0000-0000D0660000}"/>
    <cellStyle name="Note 9 2 10 3" xfId="8235" xr:uid="{00000000-0005-0000-0000-0000D1660000}"/>
    <cellStyle name="Note 9 2 10 3 2" xfId="27207" xr:uid="{00000000-0005-0000-0000-0000D2660000}"/>
    <cellStyle name="Note 9 2 10 3 3" xfId="38052" xr:uid="{00000000-0005-0000-0000-0000D3660000}"/>
    <cellStyle name="Note 9 2 10 4" xfId="10894" xr:uid="{00000000-0005-0000-0000-0000D4660000}"/>
    <cellStyle name="Note 9 2 10 4 2" xfId="29866" xr:uid="{00000000-0005-0000-0000-0000D5660000}"/>
    <cellStyle name="Note 9 2 10 4 3" xfId="40711" xr:uid="{00000000-0005-0000-0000-0000D6660000}"/>
    <cellStyle name="Note 9 2 10 5" xfId="21690" xr:uid="{00000000-0005-0000-0000-0000D7660000}"/>
    <cellStyle name="Note 9 2 10 6" xfId="32535" xr:uid="{00000000-0005-0000-0000-0000D8660000}"/>
    <cellStyle name="Note 9 2 11" xfId="3097" xr:uid="{00000000-0005-0000-0000-0000D9660000}"/>
    <cellStyle name="Note 9 2 11 2" xfId="5948" xr:uid="{00000000-0005-0000-0000-0000DA660000}"/>
    <cellStyle name="Note 9 2 11 2 2" xfId="24920" xr:uid="{00000000-0005-0000-0000-0000DB660000}"/>
    <cellStyle name="Note 9 2 11 2 3" xfId="35765" xr:uid="{00000000-0005-0000-0000-0000DC660000}"/>
    <cellStyle name="Note 9 2 11 3" xfId="8619" xr:uid="{00000000-0005-0000-0000-0000DD660000}"/>
    <cellStyle name="Note 9 2 11 3 2" xfId="27591" xr:uid="{00000000-0005-0000-0000-0000DE660000}"/>
    <cellStyle name="Note 9 2 11 3 3" xfId="38436" xr:uid="{00000000-0005-0000-0000-0000DF660000}"/>
    <cellStyle name="Note 9 2 11 4" xfId="11278" xr:uid="{00000000-0005-0000-0000-0000E0660000}"/>
    <cellStyle name="Note 9 2 11 4 2" xfId="30250" xr:uid="{00000000-0005-0000-0000-0000E1660000}"/>
    <cellStyle name="Note 9 2 11 4 3" xfId="41095" xr:uid="{00000000-0005-0000-0000-0000E2660000}"/>
    <cellStyle name="Note 9 2 11 5" xfId="22074" xr:uid="{00000000-0005-0000-0000-0000E3660000}"/>
    <cellStyle name="Note 9 2 11 6" xfId="32919" xr:uid="{00000000-0005-0000-0000-0000E4660000}"/>
    <cellStyle name="Note 9 2 12" xfId="3154" xr:uid="{00000000-0005-0000-0000-0000E5660000}"/>
    <cellStyle name="Note 9 2 12 2" xfId="6005" xr:uid="{00000000-0005-0000-0000-0000E6660000}"/>
    <cellStyle name="Note 9 2 12 2 2" xfId="24977" xr:uid="{00000000-0005-0000-0000-0000E7660000}"/>
    <cellStyle name="Note 9 2 12 2 3" xfId="35822" xr:uid="{00000000-0005-0000-0000-0000E8660000}"/>
    <cellStyle name="Note 9 2 12 3" xfId="8676" xr:uid="{00000000-0005-0000-0000-0000E9660000}"/>
    <cellStyle name="Note 9 2 12 3 2" xfId="27648" xr:uid="{00000000-0005-0000-0000-0000EA660000}"/>
    <cellStyle name="Note 9 2 12 3 3" xfId="38493" xr:uid="{00000000-0005-0000-0000-0000EB660000}"/>
    <cellStyle name="Note 9 2 12 4" xfId="11335" xr:uid="{00000000-0005-0000-0000-0000EC660000}"/>
    <cellStyle name="Note 9 2 12 4 2" xfId="30307" xr:uid="{00000000-0005-0000-0000-0000ED660000}"/>
    <cellStyle name="Note 9 2 12 4 3" xfId="41152" xr:uid="{00000000-0005-0000-0000-0000EE660000}"/>
    <cellStyle name="Note 9 2 12 5" xfId="22131" xr:uid="{00000000-0005-0000-0000-0000EF660000}"/>
    <cellStyle name="Note 9 2 12 6" xfId="32976" xr:uid="{00000000-0005-0000-0000-0000F0660000}"/>
    <cellStyle name="Note 9 2 13" xfId="3211" xr:uid="{00000000-0005-0000-0000-0000F1660000}"/>
    <cellStyle name="Note 9 2 13 2" xfId="6062" xr:uid="{00000000-0005-0000-0000-0000F2660000}"/>
    <cellStyle name="Note 9 2 13 2 2" xfId="25034" xr:uid="{00000000-0005-0000-0000-0000F3660000}"/>
    <cellStyle name="Note 9 2 13 2 3" xfId="35879" xr:uid="{00000000-0005-0000-0000-0000F4660000}"/>
    <cellStyle name="Note 9 2 13 3" xfId="8733" xr:uid="{00000000-0005-0000-0000-0000F5660000}"/>
    <cellStyle name="Note 9 2 13 3 2" xfId="27705" xr:uid="{00000000-0005-0000-0000-0000F6660000}"/>
    <cellStyle name="Note 9 2 13 3 3" xfId="38550" xr:uid="{00000000-0005-0000-0000-0000F7660000}"/>
    <cellStyle name="Note 9 2 13 4" xfId="11392" xr:uid="{00000000-0005-0000-0000-0000F8660000}"/>
    <cellStyle name="Note 9 2 13 4 2" xfId="30364" xr:uid="{00000000-0005-0000-0000-0000F9660000}"/>
    <cellStyle name="Note 9 2 13 4 3" xfId="41209" xr:uid="{00000000-0005-0000-0000-0000FA660000}"/>
    <cellStyle name="Note 9 2 13 5" xfId="22188" xr:uid="{00000000-0005-0000-0000-0000FB660000}"/>
    <cellStyle name="Note 9 2 13 6" xfId="33033" xr:uid="{00000000-0005-0000-0000-0000FC660000}"/>
    <cellStyle name="Note 9 2 14" xfId="3380" xr:uid="{00000000-0005-0000-0000-0000FD660000}"/>
    <cellStyle name="Note 9 2 14 2" xfId="22354" xr:uid="{00000000-0005-0000-0000-0000FE660000}"/>
    <cellStyle name="Note 9 2 14 3" xfId="33199" xr:uid="{00000000-0005-0000-0000-0000FF660000}"/>
    <cellStyle name="Note 9 2 15" xfId="3278" xr:uid="{00000000-0005-0000-0000-000000670000}"/>
    <cellStyle name="Note 9 2 15 2" xfId="22252" xr:uid="{00000000-0005-0000-0000-000001670000}"/>
    <cellStyle name="Note 9 2 15 3" xfId="33097" xr:uid="{00000000-0005-0000-0000-000002670000}"/>
    <cellStyle name="Note 9 2 16" xfId="3319" xr:uid="{00000000-0005-0000-0000-000003670000}"/>
    <cellStyle name="Note 9 2 16 2" xfId="22293" xr:uid="{00000000-0005-0000-0000-000004670000}"/>
    <cellStyle name="Note 9 2 16 3" xfId="33138" xr:uid="{00000000-0005-0000-0000-000005670000}"/>
    <cellStyle name="Note 9 2 17" xfId="19508" xr:uid="{00000000-0005-0000-0000-000006670000}"/>
    <cellStyle name="Note 9 2 18" xfId="19422" xr:uid="{00000000-0005-0000-0000-000007670000}"/>
    <cellStyle name="Note 9 2 2" xfId="721" xr:uid="{00000000-0005-0000-0000-000008670000}"/>
    <cellStyle name="Note 9 2 2 10" xfId="19706" xr:uid="{00000000-0005-0000-0000-000009670000}"/>
    <cellStyle name="Note 9 2 2 11" xfId="30551" xr:uid="{00000000-0005-0000-0000-00000A670000}"/>
    <cellStyle name="Note 9 2 2 2" xfId="1308" xr:uid="{00000000-0005-0000-0000-00000B670000}"/>
    <cellStyle name="Note 9 2 2 2 2" xfId="4161" xr:uid="{00000000-0005-0000-0000-00000C670000}"/>
    <cellStyle name="Note 9 2 2 2 2 2" xfId="23133" xr:uid="{00000000-0005-0000-0000-00000D670000}"/>
    <cellStyle name="Note 9 2 2 2 2 3" xfId="33978" xr:uid="{00000000-0005-0000-0000-00000E670000}"/>
    <cellStyle name="Note 9 2 2 2 3" xfId="6834" xr:uid="{00000000-0005-0000-0000-00000F670000}"/>
    <cellStyle name="Note 9 2 2 2 3 2" xfId="25806" xr:uid="{00000000-0005-0000-0000-000010670000}"/>
    <cellStyle name="Note 9 2 2 2 3 3" xfId="36651" xr:uid="{00000000-0005-0000-0000-000011670000}"/>
    <cellStyle name="Note 9 2 2 2 4" xfId="9493" xr:uid="{00000000-0005-0000-0000-000012670000}"/>
    <cellStyle name="Note 9 2 2 2 4 2" xfId="28465" xr:uid="{00000000-0005-0000-0000-000013670000}"/>
    <cellStyle name="Note 9 2 2 2 4 3" xfId="39310" xr:uid="{00000000-0005-0000-0000-000014670000}"/>
    <cellStyle name="Note 9 2 2 2 5" xfId="20289" xr:uid="{00000000-0005-0000-0000-000015670000}"/>
    <cellStyle name="Note 9 2 2 2 6" xfId="31134" xr:uid="{00000000-0005-0000-0000-000016670000}"/>
    <cellStyle name="Note 9 2 2 3" xfId="1707" xr:uid="{00000000-0005-0000-0000-000017670000}"/>
    <cellStyle name="Note 9 2 2 3 2" xfId="4560" xr:uid="{00000000-0005-0000-0000-000018670000}"/>
    <cellStyle name="Note 9 2 2 3 2 2" xfId="23532" xr:uid="{00000000-0005-0000-0000-000019670000}"/>
    <cellStyle name="Note 9 2 2 3 2 3" xfId="34377" xr:uid="{00000000-0005-0000-0000-00001A670000}"/>
    <cellStyle name="Note 9 2 2 3 3" xfId="7232" xr:uid="{00000000-0005-0000-0000-00001B670000}"/>
    <cellStyle name="Note 9 2 2 3 3 2" xfId="26204" xr:uid="{00000000-0005-0000-0000-00001C670000}"/>
    <cellStyle name="Note 9 2 2 3 3 3" xfId="37049" xr:uid="{00000000-0005-0000-0000-00001D670000}"/>
    <cellStyle name="Note 9 2 2 3 4" xfId="9891" xr:uid="{00000000-0005-0000-0000-00001E670000}"/>
    <cellStyle name="Note 9 2 2 3 4 2" xfId="28863" xr:uid="{00000000-0005-0000-0000-00001F670000}"/>
    <cellStyle name="Note 9 2 2 3 4 3" xfId="39708" xr:uid="{00000000-0005-0000-0000-000020670000}"/>
    <cellStyle name="Note 9 2 2 3 5" xfId="20687" xr:uid="{00000000-0005-0000-0000-000021670000}"/>
    <cellStyle name="Note 9 2 2 3 6" xfId="31532" xr:uid="{00000000-0005-0000-0000-000022670000}"/>
    <cellStyle name="Note 9 2 2 4" xfId="2111" xr:uid="{00000000-0005-0000-0000-000023670000}"/>
    <cellStyle name="Note 9 2 2 4 2" xfId="4964" xr:uid="{00000000-0005-0000-0000-000024670000}"/>
    <cellStyle name="Note 9 2 2 4 2 2" xfId="23936" xr:uid="{00000000-0005-0000-0000-000025670000}"/>
    <cellStyle name="Note 9 2 2 4 2 3" xfId="34781" xr:uid="{00000000-0005-0000-0000-000026670000}"/>
    <cellStyle name="Note 9 2 2 4 3" xfId="7635" xr:uid="{00000000-0005-0000-0000-000027670000}"/>
    <cellStyle name="Note 9 2 2 4 3 2" xfId="26607" xr:uid="{00000000-0005-0000-0000-000028670000}"/>
    <cellStyle name="Note 9 2 2 4 3 3" xfId="37452" xr:uid="{00000000-0005-0000-0000-000029670000}"/>
    <cellStyle name="Note 9 2 2 4 4" xfId="10294" xr:uid="{00000000-0005-0000-0000-00002A670000}"/>
    <cellStyle name="Note 9 2 2 4 4 2" xfId="29266" xr:uid="{00000000-0005-0000-0000-00002B670000}"/>
    <cellStyle name="Note 9 2 2 4 4 3" xfId="40111" xr:uid="{00000000-0005-0000-0000-00002C670000}"/>
    <cellStyle name="Note 9 2 2 4 5" xfId="21090" xr:uid="{00000000-0005-0000-0000-00002D670000}"/>
    <cellStyle name="Note 9 2 2 4 6" xfId="31935" xr:uid="{00000000-0005-0000-0000-00002E670000}"/>
    <cellStyle name="Note 9 2 2 5" xfId="2501" xr:uid="{00000000-0005-0000-0000-00002F670000}"/>
    <cellStyle name="Note 9 2 2 5 2" xfId="5353" xr:uid="{00000000-0005-0000-0000-000030670000}"/>
    <cellStyle name="Note 9 2 2 5 2 2" xfId="24325" xr:uid="{00000000-0005-0000-0000-000031670000}"/>
    <cellStyle name="Note 9 2 2 5 2 3" xfId="35170" xr:uid="{00000000-0005-0000-0000-000032670000}"/>
    <cellStyle name="Note 9 2 2 5 3" xfId="8024" xr:uid="{00000000-0005-0000-0000-000033670000}"/>
    <cellStyle name="Note 9 2 2 5 3 2" xfId="26996" xr:uid="{00000000-0005-0000-0000-000034670000}"/>
    <cellStyle name="Note 9 2 2 5 3 3" xfId="37841" xr:uid="{00000000-0005-0000-0000-000035670000}"/>
    <cellStyle name="Note 9 2 2 5 4" xfId="10683" xr:uid="{00000000-0005-0000-0000-000036670000}"/>
    <cellStyle name="Note 9 2 2 5 4 2" xfId="29655" xr:uid="{00000000-0005-0000-0000-000037670000}"/>
    <cellStyle name="Note 9 2 2 5 4 3" xfId="40500" xr:uid="{00000000-0005-0000-0000-000038670000}"/>
    <cellStyle name="Note 9 2 2 5 5" xfId="21479" xr:uid="{00000000-0005-0000-0000-000039670000}"/>
    <cellStyle name="Note 9 2 2 5 6" xfId="32324" xr:uid="{00000000-0005-0000-0000-00003A670000}"/>
    <cellStyle name="Note 9 2 2 6" xfId="2887" xr:uid="{00000000-0005-0000-0000-00003B670000}"/>
    <cellStyle name="Note 9 2 2 6 2" xfId="5738" xr:uid="{00000000-0005-0000-0000-00003C670000}"/>
    <cellStyle name="Note 9 2 2 6 2 2" xfId="24710" xr:uid="{00000000-0005-0000-0000-00003D670000}"/>
    <cellStyle name="Note 9 2 2 6 2 3" xfId="35555" xr:uid="{00000000-0005-0000-0000-00003E670000}"/>
    <cellStyle name="Note 9 2 2 6 3" xfId="8409" xr:uid="{00000000-0005-0000-0000-00003F670000}"/>
    <cellStyle name="Note 9 2 2 6 3 2" xfId="27381" xr:uid="{00000000-0005-0000-0000-000040670000}"/>
    <cellStyle name="Note 9 2 2 6 3 3" xfId="38226" xr:uid="{00000000-0005-0000-0000-000041670000}"/>
    <cellStyle name="Note 9 2 2 6 4" xfId="11068" xr:uid="{00000000-0005-0000-0000-000042670000}"/>
    <cellStyle name="Note 9 2 2 6 4 2" xfId="30040" xr:uid="{00000000-0005-0000-0000-000043670000}"/>
    <cellStyle name="Note 9 2 2 6 4 3" xfId="40885" xr:uid="{00000000-0005-0000-0000-000044670000}"/>
    <cellStyle name="Note 9 2 2 6 5" xfId="21864" xr:uid="{00000000-0005-0000-0000-000045670000}"/>
    <cellStyle name="Note 9 2 2 6 6" xfId="32709" xr:uid="{00000000-0005-0000-0000-000046670000}"/>
    <cellStyle name="Note 9 2 2 7" xfId="3576" xr:uid="{00000000-0005-0000-0000-000047670000}"/>
    <cellStyle name="Note 9 2 2 7 2" xfId="22548" xr:uid="{00000000-0005-0000-0000-000048670000}"/>
    <cellStyle name="Note 9 2 2 7 3" xfId="33393" xr:uid="{00000000-0005-0000-0000-000049670000}"/>
    <cellStyle name="Note 9 2 2 8" xfId="6251" xr:uid="{00000000-0005-0000-0000-00004A670000}"/>
    <cellStyle name="Note 9 2 2 8 2" xfId="25223" xr:uid="{00000000-0005-0000-0000-00004B670000}"/>
    <cellStyle name="Note 9 2 2 8 3" xfId="36068" xr:uid="{00000000-0005-0000-0000-00004C670000}"/>
    <cellStyle name="Note 9 2 2 9" xfId="8910" xr:uid="{00000000-0005-0000-0000-00004D670000}"/>
    <cellStyle name="Note 9 2 2 9 2" xfId="27882" xr:uid="{00000000-0005-0000-0000-00004E670000}"/>
    <cellStyle name="Note 9 2 2 9 3" xfId="38727" xr:uid="{00000000-0005-0000-0000-00004F670000}"/>
    <cellStyle name="Note 9 2 3" xfId="780" xr:uid="{00000000-0005-0000-0000-000050670000}"/>
    <cellStyle name="Note 9 2 3 10" xfId="19765" xr:uid="{00000000-0005-0000-0000-000051670000}"/>
    <cellStyle name="Note 9 2 3 11" xfId="30610" xr:uid="{00000000-0005-0000-0000-000052670000}"/>
    <cellStyle name="Note 9 2 3 2" xfId="1367" xr:uid="{00000000-0005-0000-0000-000053670000}"/>
    <cellStyle name="Note 9 2 3 2 2" xfId="4220" xr:uid="{00000000-0005-0000-0000-000054670000}"/>
    <cellStyle name="Note 9 2 3 2 2 2" xfId="23192" xr:uid="{00000000-0005-0000-0000-000055670000}"/>
    <cellStyle name="Note 9 2 3 2 2 3" xfId="34037" xr:uid="{00000000-0005-0000-0000-000056670000}"/>
    <cellStyle name="Note 9 2 3 2 3" xfId="6893" xr:uid="{00000000-0005-0000-0000-000057670000}"/>
    <cellStyle name="Note 9 2 3 2 3 2" xfId="25865" xr:uid="{00000000-0005-0000-0000-000058670000}"/>
    <cellStyle name="Note 9 2 3 2 3 3" xfId="36710" xr:uid="{00000000-0005-0000-0000-000059670000}"/>
    <cellStyle name="Note 9 2 3 2 4" xfId="9552" xr:uid="{00000000-0005-0000-0000-00005A670000}"/>
    <cellStyle name="Note 9 2 3 2 4 2" xfId="28524" xr:uid="{00000000-0005-0000-0000-00005B670000}"/>
    <cellStyle name="Note 9 2 3 2 4 3" xfId="39369" xr:uid="{00000000-0005-0000-0000-00005C670000}"/>
    <cellStyle name="Note 9 2 3 2 5" xfId="20348" xr:uid="{00000000-0005-0000-0000-00005D670000}"/>
    <cellStyle name="Note 9 2 3 2 6" xfId="31193" xr:uid="{00000000-0005-0000-0000-00005E670000}"/>
    <cellStyle name="Note 9 2 3 3" xfId="1766" xr:uid="{00000000-0005-0000-0000-00005F670000}"/>
    <cellStyle name="Note 9 2 3 3 2" xfId="4619" xr:uid="{00000000-0005-0000-0000-000060670000}"/>
    <cellStyle name="Note 9 2 3 3 2 2" xfId="23591" xr:uid="{00000000-0005-0000-0000-000061670000}"/>
    <cellStyle name="Note 9 2 3 3 2 3" xfId="34436" xr:uid="{00000000-0005-0000-0000-000062670000}"/>
    <cellStyle name="Note 9 2 3 3 3" xfId="7291" xr:uid="{00000000-0005-0000-0000-000063670000}"/>
    <cellStyle name="Note 9 2 3 3 3 2" xfId="26263" xr:uid="{00000000-0005-0000-0000-000064670000}"/>
    <cellStyle name="Note 9 2 3 3 3 3" xfId="37108" xr:uid="{00000000-0005-0000-0000-000065670000}"/>
    <cellStyle name="Note 9 2 3 3 4" xfId="9950" xr:uid="{00000000-0005-0000-0000-000066670000}"/>
    <cellStyle name="Note 9 2 3 3 4 2" xfId="28922" xr:uid="{00000000-0005-0000-0000-000067670000}"/>
    <cellStyle name="Note 9 2 3 3 4 3" xfId="39767" xr:uid="{00000000-0005-0000-0000-000068670000}"/>
    <cellStyle name="Note 9 2 3 3 5" xfId="20746" xr:uid="{00000000-0005-0000-0000-000069670000}"/>
    <cellStyle name="Note 9 2 3 3 6" xfId="31591" xr:uid="{00000000-0005-0000-0000-00006A670000}"/>
    <cellStyle name="Note 9 2 3 4" xfId="2170" xr:uid="{00000000-0005-0000-0000-00006B670000}"/>
    <cellStyle name="Note 9 2 3 4 2" xfId="5023" xr:uid="{00000000-0005-0000-0000-00006C670000}"/>
    <cellStyle name="Note 9 2 3 4 2 2" xfId="23995" xr:uid="{00000000-0005-0000-0000-00006D670000}"/>
    <cellStyle name="Note 9 2 3 4 2 3" xfId="34840" xr:uid="{00000000-0005-0000-0000-00006E670000}"/>
    <cellStyle name="Note 9 2 3 4 3" xfId="7694" xr:uid="{00000000-0005-0000-0000-00006F670000}"/>
    <cellStyle name="Note 9 2 3 4 3 2" xfId="26666" xr:uid="{00000000-0005-0000-0000-000070670000}"/>
    <cellStyle name="Note 9 2 3 4 3 3" xfId="37511" xr:uid="{00000000-0005-0000-0000-000071670000}"/>
    <cellStyle name="Note 9 2 3 4 4" xfId="10353" xr:uid="{00000000-0005-0000-0000-000072670000}"/>
    <cellStyle name="Note 9 2 3 4 4 2" xfId="29325" xr:uid="{00000000-0005-0000-0000-000073670000}"/>
    <cellStyle name="Note 9 2 3 4 4 3" xfId="40170" xr:uid="{00000000-0005-0000-0000-000074670000}"/>
    <cellStyle name="Note 9 2 3 4 5" xfId="21149" xr:uid="{00000000-0005-0000-0000-000075670000}"/>
    <cellStyle name="Note 9 2 3 4 6" xfId="31994" xr:uid="{00000000-0005-0000-0000-000076670000}"/>
    <cellStyle name="Note 9 2 3 5" xfId="2560" xr:uid="{00000000-0005-0000-0000-000077670000}"/>
    <cellStyle name="Note 9 2 3 5 2" xfId="5412" xr:uid="{00000000-0005-0000-0000-000078670000}"/>
    <cellStyle name="Note 9 2 3 5 2 2" xfId="24384" xr:uid="{00000000-0005-0000-0000-000079670000}"/>
    <cellStyle name="Note 9 2 3 5 2 3" xfId="35229" xr:uid="{00000000-0005-0000-0000-00007A670000}"/>
    <cellStyle name="Note 9 2 3 5 3" xfId="8083" xr:uid="{00000000-0005-0000-0000-00007B670000}"/>
    <cellStyle name="Note 9 2 3 5 3 2" xfId="27055" xr:uid="{00000000-0005-0000-0000-00007C670000}"/>
    <cellStyle name="Note 9 2 3 5 3 3" xfId="37900" xr:uid="{00000000-0005-0000-0000-00007D670000}"/>
    <cellStyle name="Note 9 2 3 5 4" xfId="10742" xr:uid="{00000000-0005-0000-0000-00007E670000}"/>
    <cellStyle name="Note 9 2 3 5 4 2" xfId="29714" xr:uid="{00000000-0005-0000-0000-00007F670000}"/>
    <cellStyle name="Note 9 2 3 5 4 3" xfId="40559" xr:uid="{00000000-0005-0000-0000-000080670000}"/>
    <cellStyle name="Note 9 2 3 5 5" xfId="21538" xr:uid="{00000000-0005-0000-0000-000081670000}"/>
    <cellStyle name="Note 9 2 3 5 6" xfId="32383" xr:uid="{00000000-0005-0000-0000-000082670000}"/>
    <cellStyle name="Note 9 2 3 6" xfId="2946" xr:uid="{00000000-0005-0000-0000-000083670000}"/>
    <cellStyle name="Note 9 2 3 6 2" xfId="5797" xr:uid="{00000000-0005-0000-0000-000084670000}"/>
    <cellStyle name="Note 9 2 3 6 2 2" xfId="24769" xr:uid="{00000000-0005-0000-0000-000085670000}"/>
    <cellStyle name="Note 9 2 3 6 2 3" xfId="35614" xr:uid="{00000000-0005-0000-0000-000086670000}"/>
    <cellStyle name="Note 9 2 3 6 3" xfId="8468" xr:uid="{00000000-0005-0000-0000-000087670000}"/>
    <cellStyle name="Note 9 2 3 6 3 2" xfId="27440" xr:uid="{00000000-0005-0000-0000-000088670000}"/>
    <cellStyle name="Note 9 2 3 6 3 3" xfId="38285" xr:uid="{00000000-0005-0000-0000-000089670000}"/>
    <cellStyle name="Note 9 2 3 6 4" xfId="11127" xr:uid="{00000000-0005-0000-0000-00008A670000}"/>
    <cellStyle name="Note 9 2 3 6 4 2" xfId="30099" xr:uid="{00000000-0005-0000-0000-00008B670000}"/>
    <cellStyle name="Note 9 2 3 6 4 3" xfId="40944" xr:uid="{00000000-0005-0000-0000-00008C670000}"/>
    <cellStyle name="Note 9 2 3 6 5" xfId="21923" xr:uid="{00000000-0005-0000-0000-00008D670000}"/>
    <cellStyle name="Note 9 2 3 6 6" xfId="32768" xr:uid="{00000000-0005-0000-0000-00008E670000}"/>
    <cellStyle name="Note 9 2 3 7" xfId="3635" xr:uid="{00000000-0005-0000-0000-00008F670000}"/>
    <cellStyle name="Note 9 2 3 7 2" xfId="22607" xr:uid="{00000000-0005-0000-0000-000090670000}"/>
    <cellStyle name="Note 9 2 3 7 3" xfId="33452" xr:uid="{00000000-0005-0000-0000-000091670000}"/>
    <cellStyle name="Note 9 2 3 8" xfId="6310" xr:uid="{00000000-0005-0000-0000-000092670000}"/>
    <cellStyle name="Note 9 2 3 8 2" xfId="25282" xr:uid="{00000000-0005-0000-0000-000093670000}"/>
    <cellStyle name="Note 9 2 3 8 3" xfId="36127" xr:uid="{00000000-0005-0000-0000-000094670000}"/>
    <cellStyle name="Note 9 2 3 9" xfId="8969" xr:uid="{00000000-0005-0000-0000-000095670000}"/>
    <cellStyle name="Note 9 2 3 9 2" xfId="27941" xr:uid="{00000000-0005-0000-0000-000096670000}"/>
    <cellStyle name="Note 9 2 3 9 3" xfId="38786" xr:uid="{00000000-0005-0000-0000-000097670000}"/>
    <cellStyle name="Note 9 2 4" xfId="839" xr:uid="{00000000-0005-0000-0000-000098670000}"/>
    <cellStyle name="Note 9 2 4 10" xfId="19824" xr:uid="{00000000-0005-0000-0000-000099670000}"/>
    <cellStyle name="Note 9 2 4 11" xfId="30669" xr:uid="{00000000-0005-0000-0000-00009A670000}"/>
    <cellStyle name="Note 9 2 4 2" xfId="1426" xr:uid="{00000000-0005-0000-0000-00009B670000}"/>
    <cellStyle name="Note 9 2 4 2 2" xfId="4279" xr:uid="{00000000-0005-0000-0000-00009C670000}"/>
    <cellStyle name="Note 9 2 4 2 2 2" xfId="23251" xr:uid="{00000000-0005-0000-0000-00009D670000}"/>
    <cellStyle name="Note 9 2 4 2 2 3" xfId="34096" xr:uid="{00000000-0005-0000-0000-00009E670000}"/>
    <cellStyle name="Note 9 2 4 2 3" xfId="6952" xr:uid="{00000000-0005-0000-0000-00009F670000}"/>
    <cellStyle name="Note 9 2 4 2 3 2" xfId="25924" xr:uid="{00000000-0005-0000-0000-0000A0670000}"/>
    <cellStyle name="Note 9 2 4 2 3 3" xfId="36769" xr:uid="{00000000-0005-0000-0000-0000A1670000}"/>
    <cellStyle name="Note 9 2 4 2 4" xfId="9611" xr:uid="{00000000-0005-0000-0000-0000A2670000}"/>
    <cellStyle name="Note 9 2 4 2 4 2" xfId="28583" xr:uid="{00000000-0005-0000-0000-0000A3670000}"/>
    <cellStyle name="Note 9 2 4 2 4 3" xfId="39428" xr:uid="{00000000-0005-0000-0000-0000A4670000}"/>
    <cellStyle name="Note 9 2 4 2 5" xfId="20407" xr:uid="{00000000-0005-0000-0000-0000A5670000}"/>
    <cellStyle name="Note 9 2 4 2 6" xfId="31252" xr:uid="{00000000-0005-0000-0000-0000A6670000}"/>
    <cellStyle name="Note 9 2 4 3" xfId="1825" xr:uid="{00000000-0005-0000-0000-0000A7670000}"/>
    <cellStyle name="Note 9 2 4 3 2" xfId="4678" xr:uid="{00000000-0005-0000-0000-0000A8670000}"/>
    <cellStyle name="Note 9 2 4 3 2 2" xfId="23650" xr:uid="{00000000-0005-0000-0000-0000A9670000}"/>
    <cellStyle name="Note 9 2 4 3 2 3" xfId="34495" xr:uid="{00000000-0005-0000-0000-0000AA670000}"/>
    <cellStyle name="Note 9 2 4 3 3" xfId="7350" xr:uid="{00000000-0005-0000-0000-0000AB670000}"/>
    <cellStyle name="Note 9 2 4 3 3 2" xfId="26322" xr:uid="{00000000-0005-0000-0000-0000AC670000}"/>
    <cellStyle name="Note 9 2 4 3 3 3" xfId="37167" xr:uid="{00000000-0005-0000-0000-0000AD670000}"/>
    <cellStyle name="Note 9 2 4 3 4" xfId="10009" xr:uid="{00000000-0005-0000-0000-0000AE670000}"/>
    <cellStyle name="Note 9 2 4 3 4 2" xfId="28981" xr:uid="{00000000-0005-0000-0000-0000AF670000}"/>
    <cellStyle name="Note 9 2 4 3 4 3" xfId="39826" xr:uid="{00000000-0005-0000-0000-0000B0670000}"/>
    <cellStyle name="Note 9 2 4 3 5" xfId="20805" xr:uid="{00000000-0005-0000-0000-0000B1670000}"/>
    <cellStyle name="Note 9 2 4 3 6" xfId="31650" xr:uid="{00000000-0005-0000-0000-0000B2670000}"/>
    <cellStyle name="Note 9 2 4 4" xfId="2229" xr:uid="{00000000-0005-0000-0000-0000B3670000}"/>
    <cellStyle name="Note 9 2 4 4 2" xfId="5082" xr:uid="{00000000-0005-0000-0000-0000B4670000}"/>
    <cellStyle name="Note 9 2 4 4 2 2" xfId="24054" xr:uid="{00000000-0005-0000-0000-0000B5670000}"/>
    <cellStyle name="Note 9 2 4 4 2 3" xfId="34899" xr:uid="{00000000-0005-0000-0000-0000B6670000}"/>
    <cellStyle name="Note 9 2 4 4 3" xfId="7753" xr:uid="{00000000-0005-0000-0000-0000B7670000}"/>
    <cellStyle name="Note 9 2 4 4 3 2" xfId="26725" xr:uid="{00000000-0005-0000-0000-0000B8670000}"/>
    <cellStyle name="Note 9 2 4 4 3 3" xfId="37570" xr:uid="{00000000-0005-0000-0000-0000B9670000}"/>
    <cellStyle name="Note 9 2 4 4 4" xfId="10412" xr:uid="{00000000-0005-0000-0000-0000BA670000}"/>
    <cellStyle name="Note 9 2 4 4 4 2" xfId="29384" xr:uid="{00000000-0005-0000-0000-0000BB670000}"/>
    <cellStyle name="Note 9 2 4 4 4 3" xfId="40229" xr:uid="{00000000-0005-0000-0000-0000BC670000}"/>
    <cellStyle name="Note 9 2 4 4 5" xfId="21208" xr:uid="{00000000-0005-0000-0000-0000BD670000}"/>
    <cellStyle name="Note 9 2 4 4 6" xfId="32053" xr:uid="{00000000-0005-0000-0000-0000BE670000}"/>
    <cellStyle name="Note 9 2 4 5" xfId="2619" xr:uid="{00000000-0005-0000-0000-0000BF670000}"/>
    <cellStyle name="Note 9 2 4 5 2" xfId="5471" xr:uid="{00000000-0005-0000-0000-0000C0670000}"/>
    <cellStyle name="Note 9 2 4 5 2 2" xfId="24443" xr:uid="{00000000-0005-0000-0000-0000C1670000}"/>
    <cellStyle name="Note 9 2 4 5 2 3" xfId="35288" xr:uid="{00000000-0005-0000-0000-0000C2670000}"/>
    <cellStyle name="Note 9 2 4 5 3" xfId="8142" xr:uid="{00000000-0005-0000-0000-0000C3670000}"/>
    <cellStyle name="Note 9 2 4 5 3 2" xfId="27114" xr:uid="{00000000-0005-0000-0000-0000C4670000}"/>
    <cellStyle name="Note 9 2 4 5 3 3" xfId="37959" xr:uid="{00000000-0005-0000-0000-0000C5670000}"/>
    <cellStyle name="Note 9 2 4 5 4" xfId="10801" xr:uid="{00000000-0005-0000-0000-0000C6670000}"/>
    <cellStyle name="Note 9 2 4 5 4 2" xfId="29773" xr:uid="{00000000-0005-0000-0000-0000C7670000}"/>
    <cellStyle name="Note 9 2 4 5 4 3" xfId="40618" xr:uid="{00000000-0005-0000-0000-0000C8670000}"/>
    <cellStyle name="Note 9 2 4 5 5" xfId="21597" xr:uid="{00000000-0005-0000-0000-0000C9670000}"/>
    <cellStyle name="Note 9 2 4 5 6" xfId="32442" xr:uid="{00000000-0005-0000-0000-0000CA670000}"/>
    <cellStyle name="Note 9 2 4 6" xfId="3005" xr:uid="{00000000-0005-0000-0000-0000CB670000}"/>
    <cellStyle name="Note 9 2 4 6 2" xfId="5856" xr:uid="{00000000-0005-0000-0000-0000CC670000}"/>
    <cellStyle name="Note 9 2 4 6 2 2" xfId="24828" xr:uid="{00000000-0005-0000-0000-0000CD670000}"/>
    <cellStyle name="Note 9 2 4 6 2 3" xfId="35673" xr:uid="{00000000-0005-0000-0000-0000CE670000}"/>
    <cellStyle name="Note 9 2 4 6 3" xfId="8527" xr:uid="{00000000-0005-0000-0000-0000CF670000}"/>
    <cellStyle name="Note 9 2 4 6 3 2" xfId="27499" xr:uid="{00000000-0005-0000-0000-0000D0670000}"/>
    <cellStyle name="Note 9 2 4 6 3 3" xfId="38344" xr:uid="{00000000-0005-0000-0000-0000D1670000}"/>
    <cellStyle name="Note 9 2 4 6 4" xfId="11186" xr:uid="{00000000-0005-0000-0000-0000D2670000}"/>
    <cellStyle name="Note 9 2 4 6 4 2" xfId="30158" xr:uid="{00000000-0005-0000-0000-0000D3670000}"/>
    <cellStyle name="Note 9 2 4 6 4 3" xfId="41003" xr:uid="{00000000-0005-0000-0000-0000D4670000}"/>
    <cellStyle name="Note 9 2 4 6 5" xfId="21982" xr:uid="{00000000-0005-0000-0000-0000D5670000}"/>
    <cellStyle name="Note 9 2 4 6 6" xfId="32827" xr:uid="{00000000-0005-0000-0000-0000D6670000}"/>
    <cellStyle name="Note 9 2 4 7" xfId="3694" xr:uid="{00000000-0005-0000-0000-0000D7670000}"/>
    <cellStyle name="Note 9 2 4 7 2" xfId="22666" xr:uid="{00000000-0005-0000-0000-0000D8670000}"/>
    <cellStyle name="Note 9 2 4 7 3" xfId="33511" xr:uid="{00000000-0005-0000-0000-0000D9670000}"/>
    <cellStyle name="Note 9 2 4 8" xfId="6369" xr:uid="{00000000-0005-0000-0000-0000DA670000}"/>
    <cellStyle name="Note 9 2 4 8 2" xfId="25341" xr:uid="{00000000-0005-0000-0000-0000DB670000}"/>
    <cellStyle name="Note 9 2 4 8 3" xfId="36186" xr:uid="{00000000-0005-0000-0000-0000DC670000}"/>
    <cellStyle name="Note 9 2 4 9" xfId="9028" xr:uid="{00000000-0005-0000-0000-0000DD670000}"/>
    <cellStyle name="Note 9 2 4 9 2" xfId="28000" xr:uid="{00000000-0005-0000-0000-0000DE670000}"/>
    <cellStyle name="Note 9 2 4 9 3" xfId="38845" xr:uid="{00000000-0005-0000-0000-0000DF670000}"/>
    <cellStyle name="Note 9 2 5" xfId="898" xr:uid="{00000000-0005-0000-0000-0000E0670000}"/>
    <cellStyle name="Note 9 2 5 10" xfId="19883" xr:uid="{00000000-0005-0000-0000-0000E1670000}"/>
    <cellStyle name="Note 9 2 5 11" xfId="30728" xr:uid="{00000000-0005-0000-0000-0000E2670000}"/>
    <cellStyle name="Note 9 2 5 2" xfId="1485" xr:uid="{00000000-0005-0000-0000-0000E3670000}"/>
    <cellStyle name="Note 9 2 5 2 2" xfId="4338" xr:uid="{00000000-0005-0000-0000-0000E4670000}"/>
    <cellStyle name="Note 9 2 5 2 2 2" xfId="23310" xr:uid="{00000000-0005-0000-0000-0000E5670000}"/>
    <cellStyle name="Note 9 2 5 2 2 3" xfId="34155" xr:uid="{00000000-0005-0000-0000-0000E6670000}"/>
    <cellStyle name="Note 9 2 5 2 3" xfId="7011" xr:uid="{00000000-0005-0000-0000-0000E7670000}"/>
    <cellStyle name="Note 9 2 5 2 3 2" xfId="25983" xr:uid="{00000000-0005-0000-0000-0000E8670000}"/>
    <cellStyle name="Note 9 2 5 2 3 3" xfId="36828" xr:uid="{00000000-0005-0000-0000-0000E9670000}"/>
    <cellStyle name="Note 9 2 5 2 4" xfId="9670" xr:uid="{00000000-0005-0000-0000-0000EA670000}"/>
    <cellStyle name="Note 9 2 5 2 4 2" xfId="28642" xr:uid="{00000000-0005-0000-0000-0000EB670000}"/>
    <cellStyle name="Note 9 2 5 2 4 3" xfId="39487" xr:uid="{00000000-0005-0000-0000-0000EC670000}"/>
    <cellStyle name="Note 9 2 5 2 5" xfId="20466" xr:uid="{00000000-0005-0000-0000-0000ED670000}"/>
    <cellStyle name="Note 9 2 5 2 6" xfId="31311" xr:uid="{00000000-0005-0000-0000-0000EE670000}"/>
    <cellStyle name="Note 9 2 5 3" xfId="1884" xr:uid="{00000000-0005-0000-0000-0000EF670000}"/>
    <cellStyle name="Note 9 2 5 3 2" xfId="4737" xr:uid="{00000000-0005-0000-0000-0000F0670000}"/>
    <cellStyle name="Note 9 2 5 3 2 2" xfId="23709" xr:uid="{00000000-0005-0000-0000-0000F1670000}"/>
    <cellStyle name="Note 9 2 5 3 2 3" xfId="34554" xr:uid="{00000000-0005-0000-0000-0000F2670000}"/>
    <cellStyle name="Note 9 2 5 3 3" xfId="7409" xr:uid="{00000000-0005-0000-0000-0000F3670000}"/>
    <cellStyle name="Note 9 2 5 3 3 2" xfId="26381" xr:uid="{00000000-0005-0000-0000-0000F4670000}"/>
    <cellStyle name="Note 9 2 5 3 3 3" xfId="37226" xr:uid="{00000000-0005-0000-0000-0000F5670000}"/>
    <cellStyle name="Note 9 2 5 3 4" xfId="10068" xr:uid="{00000000-0005-0000-0000-0000F6670000}"/>
    <cellStyle name="Note 9 2 5 3 4 2" xfId="29040" xr:uid="{00000000-0005-0000-0000-0000F7670000}"/>
    <cellStyle name="Note 9 2 5 3 4 3" xfId="39885" xr:uid="{00000000-0005-0000-0000-0000F8670000}"/>
    <cellStyle name="Note 9 2 5 3 5" xfId="20864" xr:uid="{00000000-0005-0000-0000-0000F9670000}"/>
    <cellStyle name="Note 9 2 5 3 6" xfId="31709" xr:uid="{00000000-0005-0000-0000-0000FA670000}"/>
    <cellStyle name="Note 9 2 5 4" xfId="2288" xr:uid="{00000000-0005-0000-0000-0000FB670000}"/>
    <cellStyle name="Note 9 2 5 4 2" xfId="5141" xr:uid="{00000000-0005-0000-0000-0000FC670000}"/>
    <cellStyle name="Note 9 2 5 4 2 2" xfId="24113" xr:uid="{00000000-0005-0000-0000-0000FD670000}"/>
    <cellStyle name="Note 9 2 5 4 2 3" xfId="34958" xr:uid="{00000000-0005-0000-0000-0000FE670000}"/>
    <cellStyle name="Note 9 2 5 4 3" xfId="7812" xr:uid="{00000000-0005-0000-0000-0000FF670000}"/>
    <cellStyle name="Note 9 2 5 4 3 2" xfId="26784" xr:uid="{00000000-0005-0000-0000-000000680000}"/>
    <cellStyle name="Note 9 2 5 4 3 3" xfId="37629" xr:uid="{00000000-0005-0000-0000-000001680000}"/>
    <cellStyle name="Note 9 2 5 4 4" xfId="10471" xr:uid="{00000000-0005-0000-0000-000002680000}"/>
    <cellStyle name="Note 9 2 5 4 4 2" xfId="29443" xr:uid="{00000000-0005-0000-0000-000003680000}"/>
    <cellStyle name="Note 9 2 5 4 4 3" xfId="40288" xr:uid="{00000000-0005-0000-0000-000004680000}"/>
    <cellStyle name="Note 9 2 5 4 5" xfId="21267" xr:uid="{00000000-0005-0000-0000-000005680000}"/>
    <cellStyle name="Note 9 2 5 4 6" xfId="32112" xr:uid="{00000000-0005-0000-0000-000006680000}"/>
    <cellStyle name="Note 9 2 5 5" xfId="2678" xr:uid="{00000000-0005-0000-0000-000007680000}"/>
    <cellStyle name="Note 9 2 5 5 2" xfId="5530" xr:uid="{00000000-0005-0000-0000-000008680000}"/>
    <cellStyle name="Note 9 2 5 5 2 2" xfId="24502" xr:uid="{00000000-0005-0000-0000-000009680000}"/>
    <cellStyle name="Note 9 2 5 5 2 3" xfId="35347" xr:uid="{00000000-0005-0000-0000-00000A680000}"/>
    <cellStyle name="Note 9 2 5 5 3" xfId="8201" xr:uid="{00000000-0005-0000-0000-00000B680000}"/>
    <cellStyle name="Note 9 2 5 5 3 2" xfId="27173" xr:uid="{00000000-0005-0000-0000-00000C680000}"/>
    <cellStyle name="Note 9 2 5 5 3 3" xfId="38018" xr:uid="{00000000-0005-0000-0000-00000D680000}"/>
    <cellStyle name="Note 9 2 5 5 4" xfId="10860" xr:uid="{00000000-0005-0000-0000-00000E680000}"/>
    <cellStyle name="Note 9 2 5 5 4 2" xfId="29832" xr:uid="{00000000-0005-0000-0000-00000F680000}"/>
    <cellStyle name="Note 9 2 5 5 4 3" xfId="40677" xr:uid="{00000000-0005-0000-0000-000010680000}"/>
    <cellStyle name="Note 9 2 5 5 5" xfId="21656" xr:uid="{00000000-0005-0000-0000-000011680000}"/>
    <cellStyle name="Note 9 2 5 5 6" xfId="32501" xr:uid="{00000000-0005-0000-0000-000012680000}"/>
    <cellStyle name="Note 9 2 5 6" xfId="3064" xr:uid="{00000000-0005-0000-0000-000013680000}"/>
    <cellStyle name="Note 9 2 5 6 2" xfId="5915" xr:uid="{00000000-0005-0000-0000-000014680000}"/>
    <cellStyle name="Note 9 2 5 6 2 2" xfId="24887" xr:uid="{00000000-0005-0000-0000-000015680000}"/>
    <cellStyle name="Note 9 2 5 6 2 3" xfId="35732" xr:uid="{00000000-0005-0000-0000-000016680000}"/>
    <cellStyle name="Note 9 2 5 6 3" xfId="8586" xr:uid="{00000000-0005-0000-0000-000017680000}"/>
    <cellStyle name="Note 9 2 5 6 3 2" xfId="27558" xr:uid="{00000000-0005-0000-0000-000018680000}"/>
    <cellStyle name="Note 9 2 5 6 3 3" xfId="38403" xr:uid="{00000000-0005-0000-0000-000019680000}"/>
    <cellStyle name="Note 9 2 5 6 4" xfId="11245" xr:uid="{00000000-0005-0000-0000-00001A680000}"/>
    <cellStyle name="Note 9 2 5 6 4 2" xfId="30217" xr:uid="{00000000-0005-0000-0000-00001B680000}"/>
    <cellStyle name="Note 9 2 5 6 4 3" xfId="41062" xr:uid="{00000000-0005-0000-0000-00001C680000}"/>
    <cellStyle name="Note 9 2 5 6 5" xfId="22041" xr:uid="{00000000-0005-0000-0000-00001D680000}"/>
    <cellStyle name="Note 9 2 5 6 6" xfId="32886" xr:uid="{00000000-0005-0000-0000-00001E680000}"/>
    <cellStyle name="Note 9 2 5 7" xfId="3753" xr:uid="{00000000-0005-0000-0000-00001F680000}"/>
    <cellStyle name="Note 9 2 5 7 2" xfId="22725" xr:uid="{00000000-0005-0000-0000-000020680000}"/>
    <cellStyle name="Note 9 2 5 7 3" xfId="33570" xr:uid="{00000000-0005-0000-0000-000021680000}"/>
    <cellStyle name="Note 9 2 5 8" xfId="6428" xr:uid="{00000000-0005-0000-0000-000022680000}"/>
    <cellStyle name="Note 9 2 5 8 2" xfId="25400" xr:uid="{00000000-0005-0000-0000-000023680000}"/>
    <cellStyle name="Note 9 2 5 8 3" xfId="36245" xr:uid="{00000000-0005-0000-0000-000024680000}"/>
    <cellStyle name="Note 9 2 5 9" xfId="9087" xr:uid="{00000000-0005-0000-0000-000025680000}"/>
    <cellStyle name="Note 9 2 5 9 2" xfId="28059" xr:uid="{00000000-0005-0000-0000-000026680000}"/>
    <cellStyle name="Note 9 2 5 9 3" xfId="38904" xr:uid="{00000000-0005-0000-0000-000027680000}"/>
    <cellStyle name="Note 9 2 6" xfId="1128" xr:uid="{00000000-0005-0000-0000-000028680000}"/>
    <cellStyle name="Note 9 2 6 2" xfId="3981" xr:uid="{00000000-0005-0000-0000-000029680000}"/>
    <cellStyle name="Note 9 2 6 2 2" xfId="22953" xr:uid="{00000000-0005-0000-0000-00002A680000}"/>
    <cellStyle name="Note 9 2 6 2 3" xfId="33798" xr:uid="{00000000-0005-0000-0000-00002B680000}"/>
    <cellStyle name="Note 9 2 6 3" xfId="6654" xr:uid="{00000000-0005-0000-0000-00002C680000}"/>
    <cellStyle name="Note 9 2 6 3 2" xfId="25626" xr:uid="{00000000-0005-0000-0000-00002D680000}"/>
    <cellStyle name="Note 9 2 6 3 3" xfId="36471" xr:uid="{00000000-0005-0000-0000-00002E680000}"/>
    <cellStyle name="Note 9 2 6 4" xfId="9313" xr:uid="{00000000-0005-0000-0000-00002F680000}"/>
    <cellStyle name="Note 9 2 6 4 2" xfId="28285" xr:uid="{00000000-0005-0000-0000-000030680000}"/>
    <cellStyle name="Note 9 2 6 4 3" xfId="39130" xr:uid="{00000000-0005-0000-0000-000031680000}"/>
    <cellStyle name="Note 9 2 6 5" xfId="20109" xr:uid="{00000000-0005-0000-0000-000032680000}"/>
    <cellStyle name="Note 9 2 6 6" xfId="30954" xr:uid="{00000000-0005-0000-0000-000033680000}"/>
    <cellStyle name="Note 9 2 7" xfId="1524" xr:uid="{00000000-0005-0000-0000-000034680000}"/>
    <cellStyle name="Note 9 2 7 2" xfId="4377" xr:uid="{00000000-0005-0000-0000-000035680000}"/>
    <cellStyle name="Note 9 2 7 2 2" xfId="23349" xr:uid="{00000000-0005-0000-0000-000036680000}"/>
    <cellStyle name="Note 9 2 7 2 3" xfId="34194" xr:uid="{00000000-0005-0000-0000-000037680000}"/>
    <cellStyle name="Note 9 2 7 3" xfId="7050" xr:uid="{00000000-0005-0000-0000-000038680000}"/>
    <cellStyle name="Note 9 2 7 3 2" xfId="26022" xr:uid="{00000000-0005-0000-0000-000039680000}"/>
    <cellStyle name="Note 9 2 7 3 3" xfId="36867" xr:uid="{00000000-0005-0000-0000-00003A680000}"/>
    <cellStyle name="Note 9 2 7 4" xfId="9709" xr:uid="{00000000-0005-0000-0000-00003B680000}"/>
    <cellStyle name="Note 9 2 7 4 2" xfId="28681" xr:uid="{00000000-0005-0000-0000-00003C680000}"/>
    <cellStyle name="Note 9 2 7 4 3" xfId="39526" xr:uid="{00000000-0005-0000-0000-00003D680000}"/>
    <cellStyle name="Note 9 2 7 5" xfId="20505" xr:uid="{00000000-0005-0000-0000-00003E680000}"/>
    <cellStyle name="Note 9 2 7 6" xfId="31350" xr:uid="{00000000-0005-0000-0000-00003F680000}"/>
    <cellStyle name="Note 9 2 8" xfId="1930" xr:uid="{00000000-0005-0000-0000-000040680000}"/>
    <cellStyle name="Note 9 2 8 2" xfId="4783" xr:uid="{00000000-0005-0000-0000-000041680000}"/>
    <cellStyle name="Note 9 2 8 2 2" xfId="23755" xr:uid="{00000000-0005-0000-0000-000042680000}"/>
    <cellStyle name="Note 9 2 8 2 3" xfId="34600" xr:uid="{00000000-0005-0000-0000-000043680000}"/>
    <cellStyle name="Note 9 2 8 3" xfId="7455" xr:uid="{00000000-0005-0000-0000-000044680000}"/>
    <cellStyle name="Note 9 2 8 3 2" xfId="26427" xr:uid="{00000000-0005-0000-0000-000045680000}"/>
    <cellStyle name="Note 9 2 8 3 3" xfId="37272" xr:uid="{00000000-0005-0000-0000-000046680000}"/>
    <cellStyle name="Note 9 2 8 4" xfId="10114" xr:uid="{00000000-0005-0000-0000-000047680000}"/>
    <cellStyle name="Note 9 2 8 4 2" xfId="29086" xr:uid="{00000000-0005-0000-0000-000048680000}"/>
    <cellStyle name="Note 9 2 8 4 3" xfId="39931" xr:uid="{00000000-0005-0000-0000-000049680000}"/>
    <cellStyle name="Note 9 2 8 5" xfId="20910" xr:uid="{00000000-0005-0000-0000-00004A680000}"/>
    <cellStyle name="Note 9 2 8 6" xfId="31755" xr:uid="{00000000-0005-0000-0000-00004B680000}"/>
    <cellStyle name="Note 9 2 9" xfId="2323" xr:uid="{00000000-0005-0000-0000-00004C680000}"/>
    <cellStyle name="Note 9 2 9 2" xfId="5176" xr:uid="{00000000-0005-0000-0000-00004D680000}"/>
    <cellStyle name="Note 9 2 9 2 2" xfId="24148" xr:uid="{00000000-0005-0000-0000-00004E680000}"/>
    <cellStyle name="Note 9 2 9 2 3" xfId="34993" xr:uid="{00000000-0005-0000-0000-00004F680000}"/>
    <cellStyle name="Note 9 2 9 3" xfId="7847" xr:uid="{00000000-0005-0000-0000-000050680000}"/>
    <cellStyle name="Note 9 2 9 3 2" xfId="26819" xr:uid="{00000000-0005-0000-0000-000051680000}"/>
    <cellStyle name="Note 9 2 9 3 3" xfId="37664" xr:uid="{00000000-0005-0000-0000-000052680000}"/>
    <cellStyle name="Note 9 2 9 4" xfId="10506" xr:uid="{00000000-0005-0000-0000-000053680000}"/>
    <cellStyle name="Note 9 2 9 4 2" xfId="29478" xr:uid="{00000000-0005-0000-0000-000054680000}"/>
    <cellStyle name="Note 9 2 9 4 3" xfId="40323" xr:uid="{00000000-0005-0000-0000-000055680000}"/>
    <cellStyle name="Note 9 2 9 5" xfId="21302" xr:uid="{00000000-0005-0000-0000-000056680000}"/>
    <cellStyle name="Note 9 2 9 6" xfId="32147" xr:uid="{00000000-0005-0000-0000-000057680000}"/>
    <cellStyle name="Note 9 3" xfId="618" xr:uid="{00000000-0005-0000-0000-000058680000}"/>
    <cellStyle name="Note 9 3 10" xfId="19625" xr:uid="{00000000-0005-0000-0000-000059680000}"/>
    <cellStyle name="Note 9 3 11" xfId="30470" xr:uid="{00000000-0005-0000-0000-00005A680000}"/>
    <cellStyle name="Note 9 3 2" xfId="1222" xr:uid="{00000000-0005-0000-0000-00005B680000}"/>
    <cellStyle name="Note 9 3 2 2" xfId="4075" xr:uid="{00000000-0005-0000-0000-00005C680000}"/>
    <cellStyle name="Note 9 3 2 2 2" xfId="23047" xr:uid="{00000000-0005-0000-0000-00005D680000}"/>
    <cellStyle name="Note 9 3 2 2 3" xfId="33892" xr:uid="{00000000-0005-0000-0000-00005E680000}"/>
    <cellStyle name="Note 9 3 2 3" xfId="6748" xr:uid="{00000000-0005-0000-0000-00005F680000}"/>
    <cellStyle name="Note 9 3 2 3 2" xfId="25720" xr:uid="{00000000-0005-0000-0000-000060680000}"/>
    <cellStyle name="Note 9 3 2 3 3" xfId="36565" xr:uid="{00000000-0005-0000-0000-000061680000}"/>
    <cellStyle name="Note 9 3 2 4" xfId="9407" xr:uid="{00000000-0005-0000-0000-000062680000}"/>
    <cellStyle name="Note 9 3 2 4 2" xfId="28379" xr:uid="{00000000-0005-0000-0000-000063680000}"/>
    <cellStyle name="Note 9 3 2 4 3" xfId="39224" xr:uid="{00000000-0005-0000-0000-000064680000}"/>
    <cellStyle name="Note 9 3 2 5" xfId="20203" xr:uid="{00000000-0005-0000-0000-000065680000}"/>
    <cellStyle name="Note 9 3 2 6" xfId="31048" xr:uid="{00000000-0005-0000-0000-000066680000}"/>
    <cellStyle name="Note 9 3 3" xfId="1620" xr:uid="{00000000-0005-0000-0000-000067680000}"/>
    <cellStyle name="Note 9 3 3 2" xfId="4473" xr:uid="{00000000-0005-0000-0000-000068680000}"/>
    <cellStyle name="Note 9 3 3 2 2" xfId="23445" xr:uid="{00000000-0005-0000-0000-000069680000}"/>
    <cellStyle name="Note 9 3 3 2 3" xfId="34290" xr:uid="{00000000-0005-0000-0000-00006A680000}"/>
    <cellStyle name="Note 9 3 3 3" xfId="7145" xr:uid="{00000000-0005-0000-0000-00006B680000}"/>
    <cellStyle name="Note 9 3 3 3 2" xfId="26117" xr:uid="{00000000-0005-0000-0000-00006C680000}"/>
    <cellStyle name="Note 9 3 3 3 3" xfId="36962" xr:uid="{00000000-0005-0000-0000-00006D680000}"/>
    <cellStyle name="Note 9 3 3 4" xfId="9804" xr:uid="{00000000-0005-0000-0000-00006E680000}"/>
    <cellStyle name="Note 9 3 3 4 2" xfId="28776" xr:uid="{00000000-0005-0000-0000-00006F680000}"/>
    <cellStyle name="Note 9 3 3 4 3" xfId="39621" xr:uid="{00000000-0005-0000-0000-000070680000}"/>
    <cellStyle name="Note 9 3 3 5" xfId="20600" xr:uid="{00000000-0005-0000-0000-000071680000}"/>
    <cellStyle name="Note 9 3 3 6" xfId="31445" xr:uid="{00000000-0005-0000-0000-000072680000}"/>
    <cellStyle name="Note 9 3 4" xfId="2022" xr:uid="{00000000-0005-0000-0000-000073680000}"/>
    <cellStyle name="Note 9 3 4 2" xfId="4875" xr:uid="{00000000-0005-0000-0000-000074680000}"/>
    <cellStyle name="Note 9 3 4 2 2" xfId="23847" xr:uid="{00000000-0005-0000-0000-000075680000}"/>
    <cellStyle name="Note 9 3 4 2 3" xfId="34692" xr:uid="{00000000-0005-0000-0000-000076680000}"/>
    <cellStyle name="Note 9 3 4 3" xfId="7547" xr:uid="{00000000-0005-0000-0000-000077680000}"/>
    <cellStyle name="Note 9 3 4 3 2" xfId="26519" xr:uid="{00000000-0005-0000-0000-000078680000}"/>
    <cellStyle name="Note 9 3 4 3 3" xfId="37364" xr:uid="{00000000-0005-0000-0000-000079680000}"/>
    <cellStyle name="Note 9 3 4 4" xfId="10206" xr:uid="{00000000-0005-0000-0000-00007A680000}"/>
    <cellStyle name="Note 9 3 4 4 2" xfId="29178" xr:uid="{00000000-0005-0000-0000-00007B680000}"/>
    <cellStyle name="Note 9 3 4 4 3" xfId="40023" xr:uid="{00000000-0005-0000-0000-00007C680000}"/>
    <cellStyle name="Note 9 3 4 5" xfId="21002" xr:uid="{00000000-0005-0000-0000-00007D680000}"/>
    <cellStyle name="Note 9 3 4 6" xfId="31847" xr:uid="{00000000-0005-0000-0000-00007E680000}"/>
    <cellStyle name="Note 9 3 5" xfId="2414" xr:uid="{00000000-0005-0000-0000-00007F680000}"/>
    <cellStyle name="Note 9 3 5 2" xfId="5267" xr:uid="{00000000-0005-0000-0000-000080680000}"/>
    <cellStyle name="Note 9 3 5 2 2" xfId="24239" xr:uid="{00000000-0005-0000-0000-000081680000}"/>
    <cellStyle name="Note 9 3 5 2 3" xfId="35084" xr:uid="{00000000-0005-0000-0000-000082680000}"/>
    <cellStyle name="Note 9 3 5 3" xfId="7938" xr:uid="{00000000-0005-0000-0000-000083680000}"/>
    <cellStyle name="Note 9 3 5 3 2" xfId="26910" xr:uid="{00000000-0005-0000-0000-000084680000}"/>
    <cellStyle name="Note 9 3 5 3 3" xfId="37755" xr:uid="{00000000-0005-0000-0000-000085680000}"/>
    <cellStyle name="Note 9 3 5 4" xfId="10597" xr:uid="{00000000-0005-0000-0000-000086680000}"/>
    <cellStyle name="Note 9 3 5 4 2" xfId="29569" xr:uid="{00000000-0005-0000-0000-000087680000}"/>
    <cellStyle name="Note 9 3 5 4 3" xfId="40414" xr:uid="{00000000-0005-0000-0000-000088680000}"/>
    <cellStyle name="Note 9 3 5 5" xfId="21393" xr:uid="{00000000-0005-0000-0000-000089680000}"/>
    <cellStyle name="Note 9 3 5 6" xfId="32238" xr:uid="{00000000-0005-0000-0000-00008A680000}"/>
    <cellStyle name="Note 9 3 6" xfId="2803" xr:uid="{00000000-0005-0000-0000-00008B680000}"/>
    <cellStyle name="Note 9 3 6 2" xfId="5655" xr:uid="{00000000-0005-0000-0000-00008C680000}"/>
    <cellStyle name="Note 9 3 6 2 2" xfId="24627" xr:uid="{00000000-0005-0000-0000-00008D680000}"/>
    <cellStyle name="Note 9 3 6 2 3" xfId="35472" xr:uid="{00000000-0005-0000-0000-00008E680000}"/>
    <cellStyle name="Note 9 3 6 3" xfId="8326" xr:uid="{00000000-0005-0000-0000-00008F680000}"/>
    <cellStyle name="Note 9 3 6 3 2" xfId="27298" xr:uid="{00000000-0005-0000-0000-000090680000}"/>
    <cellStyle name="Note 9 3 6 3 3" xfId="38143" xr:uid="{00000000-0005-0000-0000-000091680000}"/>
    <cellStyle name="Note 9 3 6 4" xfId="10985" xr:uid="{00000000-0005-0000-0000-000092680000}"/>
    <cellStyle name="Note 9 3 6 4 2" xfId="29957" xr:uid="{00000000-0005-0000-0000-000093680000}"/>
    <cellStyle name="Note 9 3 6 4 3" xfId="40802" xr:uid="{00000000-0005-0000-0000-000094680000}"/>
    <cellStyle name="Note 9 3 6 5" xfId="21781" xr:uid="{00000000-0005-0000-0000-000095680000}"/>
    <cellStyle name="Note 9 3 6 6" xfId="32626" xr:uid="{00000000-0005-0000-0000-000096680000}"/>
    <cellStyle name="Note 9 3 7" xfId="3494" xr:uid="{00000000-0005-0000-0000-000097680000}"/>
    <cellStyle name="Note 9 3 7 2" xfId="22466" xr:uid="{00000000-0005-0000-0000-000098680000}"/>
    <cellStyle name="Note 9 3 7 3" xfId="33311" xr:uid="{00000000-0005-0000-0000-000099680000}"/>
    <cellStyle name="Note 9 3 8" xfId="6170" xr:uid="{00000000-0005-0000-0000-00009A680000}"/>
    <cellStyle name="Note 9 3 8 2" xfId="25142" xr:uid="{00000000-0005-0000-0000-00009B680000}"/>
    <cellStyle name="Note 9 3 8 3" xfId="35987" xr:uid="{00000000-0005-0000-0000-00009C680000}"/>
    <cellStyle name="Note 9 3 9" xfId="8829" xr:uid="{00000000-0005-0000-0000-00009D680000}"/>
    <cellStyle name="Note 9 3 9 2" xfId="27801" xr:uid="{00000000-0005-0000-0000-00009E680000}"/>
    <cellStyle name="Note 9 3 9 3" xfId="38646" xr:uid="{00000000-0005-0000-0000-00009F680000}"/>
    <cellStyle name="Output" xfId="136" builtinId="21" customBuiltin="1"/>
    <cellStyle name="Output 2" xfId="137" xr:uid="{00000000-0005-0000-0000-0000A1680000}"/>
    <cellStyle name="Output 2 10" xfId="571" xr:uid="{00000000-0005-0000-0000-0000A2680000}"/>
    <cellStyle name="Output 2 10 10" xfId="19581" xr:uid="{00000000-0005-0000-0000-0000A3680000}"/>
    <cellStyle name="Output 2 10 11" xfId="30426" xr:uid="{00000000-0005-0000-0000-0000A4680000}"/>
    <cellStyle name="Output 2 10 12" xfId="11635" xr:uid="{00000000-0005-0000-0000-0000A5680000}"/>
    <cellStyle name="Output 2 10 2" xfId="1177" xr:uid="{00000000-0005-0000-0000-0000A6680000}"/>
    <cellStyle name="Output 2 10 2 2" xfId="4030" xr:uid="{00000000-0005-0000-0000-0000A7680000}"/>
    <cellStyle name="Output 2 10 2 2 2" xfId="23002" xr:uid="{00000000-0005-0000-0000-0000A8680000}"/>
    <cellStyle name="Output 2 10 2 2 3" xfId="33847" xr:uid="{00000000-0005-0000-0000-0000A9680000}"/>
    <cellStyle name="Output 2 10 2 2 4" xfId="14112" xr:uid="{00000000-0005-0000-0000-0000AA680000}"/>
    <cellStyle name="Output 2 10 2 3" xfId="6703" xr:uid="{00000000-0005-0000-0000-0000AB680000}"/>
    <cellStyle name="Output 2 10 2 3 2" xfId="25675" xr:uid="{00000000-0005-0000-0000-0000AC680000}"/>
    <cellStyle name="Output 2 10 2 3 3" xfId="36520" xr:uid="{00000000-0005-0000-0000-0000AD680000}"/>
    <cellStyle name="Output 2 10 2 3 4" xfId="16027" xr:uid="{00000000-0005-0000-0000-0000AE680000}"/>
    <cellStyle name="Output 2 10 2 4" xfId="9362" xr:uid="{00000000-0005-0000-0000-0000AF680000}"/>
    <cellStyle name="Output 2 10 2 4 2" xfId="28334" xr:uid="{00000000-0005-0000-0000-0000B0680000}"/>
    <cellStyle name="Output 2 10 2 4 3" xfId="39179" xr:uid="{00000000-0005-0000-0000-0000B1680000}"/>
    <cellStyle name="Output 2 10 2 4 4" xfId="17931" xr:uid="{00000000-0005-0000-0000-0000B2680000}"/>
    <cellStyle name="Output 2 10 2 5" xfId="20158" xr:uid="{00000000-0005-0000-0000-0000B3680000}"/>
    <cellStyle name="Output 2 10 2 6" xfId="31003" xr:uid="{00000000-0005-0000-0000-0000B4680000}"/>
    <cellStyle name="Output 2 10 2 7" xfId="12077" xr:uid="{00000000-0005-0000-0000-0000B5680000}"/>
    <cellStyle name="Output 2 10 3" xfId="1574" xr:uid="{00000000-0005-0000-0000-0000B6680000}"/>
    <cellStyle name="Output 2 10 3 2" xfId="4427" xr:uid="{00000000-0005-0000-0000-0000B7680000}"/>
    <cellStyle name="Output 2 10 3 2 2" xfId="23399" xr:uid="{00000000-0005-0000-0000-0000B8680000}"/>
    <cellStyle name="Output 2 10 3 2 3" xfId="34244" xr:uid="{00000000-0005-0000-0000-0000B9680000}"/>
    <cellStyle name="Output 2 10 3 2 4" xfId="14398" xr:uid="{00000000-0005-0000-0000-0000BA680000}"/>
    <cellStyle name="Output 2 10 3 3" xfId="7099" xr:uid="{00000000-0005-0000-0000-0000BB680000}"/>
    <cellStyle name="Output 2 10 3 3 2" xfId="26071" xr:uid="{00000000-0005-0000-0000-0000BC680000}"/>
    <cellStyle name="Output 2 10 3 3 3" xfId="36916" xr:uid="{00000000-0005-0000-0000-0000BD680000}"/>
    <cellStyle name="Output 2 10 3 3 4" xfId="16312" xr:uid="{00000000-0005-0000-0000-0000BE680000}"/>
    <cellStyle name="Output 2 10 3 4" xfId="9758" xr:uid="{00000000-0005-0000-0000-0000BF680000}"/>
    <cellStyle name="Output 2 10 3 4 2" xfId="28730" xr:uid="{00000000-0005-0000-0000-0000C0680000}"/>
    <cellStyle name="Output 2 10 3 4 3" xfId="39575" xr:uid="{00000000-0005-0000-0000-0000C1680000}"/>
    <cellStyle name="Output 2 10 3 4 4" xfId="18216" xr:uid="{00000000-0005-0000-0000-0000C2680000}"/>
    <cellStyle name="Output 2 10 3 5" xfId="20554" xr:uid="{00000000-0005-0000-0000-0000C3680000}"/>
    <cellStyle name="Output 2 10 3 6" xfId="31399" xr:uid="{00000000-0005-0000-0000-0000C4680000}"/>
    <cellStyle name="Output 2 10 3 7" xfId="12362" xr:uid="{00000000-0005-0000-0000-0000C5680000}"/>
    <cellStyle name="Output 2 10 4" xfId="1978" xr:uid="{00000000-0005-0000-0000-0000C6680000}"/>
    <cellStyle name="Output 2 10 4 2" xfId="4831" xr:uid="{00000000-0005-0000-0000-0000C7680000}"/>
    <cellStyle name="Output 2 10 4 2 2" xfId="23803" xr:uid="{00000000-0005-0000-0000-0000C8680000}"/>
    <cellStyle name="Output 2 10 4 2 3" xfId="34648" xr:uid="{00000000-0005-0000-0000-0000C9680000}"/>
    <cellStyle name="Output 2 10 4 2 4" xfId="14686" xr:uid="{00000000-0005-0000-0000-0000CA680000}"/>
    <cellStyle name="Output 2 10 4 3" xfId="7503" xr:uid="{00000000-0005-0000-0000-0000CB680000}"/>
    <cellStyle name="Output 2 10 4 3 2" xfId="26475" xr:uid="{00000000-0005-0000-0000-0000CC680000}"/>
    <cellStyle name="Output 2 10 4 3 3" xfId="37320" xr:uid="{00000000-0005-0000-0000-0000CD680000}"/>
    <cellStyle name="Output 2 10 4 3 4" xfId="16600" xr:uid="{00000000-0005-0000-0000-0000CE680000}"/>
    <cellStyle name="Output 2 10 4 4" xfId="10162" xr:uid="{00000000-0005-0000-0000-0000CF680000}"/>
    <cellStyle name="Output 2 10 4 4 2" xfId="29134" xr:uid="{00000000-0005-0000-0000-0000D0680000}"/>
    <cellStyle name="Output 2 10 4 4 3" xfId="39979" xr:uid="{00000000-0005-0000-0000-0000D1680000}"/>
    <cellStyle name="Output 2 10 4 4 4" xfId="18504" xr:uid="{00000000-0005-0000-0000-0000D2680000}"/>
    <cellStyle name="Output 2 10 4 5" xfId="20958" xr:uid="{00000000-0005-0000-0000-0000D3680000}"/>
    <cellStyle name="Output 2 10 4 6" xfId="31803" xr:uid="{00000000-0005-0000-0000-0000D4680000}"/>
    <cellStyle name="Output 2 10 4 7" xfId="12650" xr:uid="{00000000-0005-0000-0000-0000D5680000}"/>
    <cellStyle name="Output 2 10 5" xfId="2370" xr:uid="{00000000-0005-0000-0000-0000D6680000}"/>
    <cellStyle name="Output 2 10 5 2" xfId="5223" xr:uid="{00000000-0005-0000-0000-0000D7680000}"/>
    <cellStyle name="Output 2 10 5 2 2" xfId="24195" xr:uid="{00000000-0005-0000-0000-0000D8680000}"/>
    <cellStyle name="Output 2 10 5 2 3" xfId="35040" xr:uid="{00000000-0005-0000-0000-0000D9680000}"/>
    <cellStyle name="Output 2 10 5 2 4" xfId="14967" xr:uid="{00000000-0005-0000-0000-0000DA680000}"/>
    <cellStyle name="Output 2 10 5 3" xfId="7894" xr:uid="{00000000-0005-0000-0000-0000DB680000}"/>
    <cellStyle name="Output 2 10 5 3 2" xfId="26866" xr:uid="{00000000-0005-0000-0000-0000DC680000}"/>
    <cellStyle name="Output 2 10 5 3 3" xfId="37711" xr:uid="{00000000-0005-0000-0000-0000DD680000}"/>
    <cellStyle name="Output 2 10 5 3 4" xfId="16880" xr:uid="{00000000-0005-0000-0000-0000DE680000}"/>
    <cellStyle name="Output 2 10 5 4" xfId="10553" xr:uid="{00000000-0005-0000-0000-0000DF680000}"/>
    <cellStyle name="Output 2 10 5 4 2" xfId="29525" xr:uid="{00000000-0005-0000-0000-0000E0680000}"/>
    <cellStyle name="Output 2 10 5 4 3" xfId="40370" xr:uid="{00000000-0005-0000-0000-0000E1680000}"/>
    <cellStyle name="Output 2 10 5 4 4" xfId="18784" xr:uid="{00000000-0005-0000-0000-0000E2680000}"/>
    <cellStyle name="Output 2 10 5 5" xfId="21349" xr:uid="{00000000-0005-0000-0000-0000E3680000}"/>
    <cellStyle name="Output 2 10 5 6" xfId="32194" xr:uid="{00000000-0005-0000-0000-0000E4680000}"/>
    <cellStyle name="Output 2 10 5 7" xfId="12930" xr:uid="{00000000-0005-0000-0000-0000E5680000}"/>
    <cellStyle name="Output 2 10 6" xfId="2759" xr:uid="{00000000-0005-0000-0000-0000E6680000}"/>
    <cellStyle name="Output 2 10 6 2" xfId="5611" xr:uid="{00000000-0005-0000-0000-0000E7680000}"/>
    <cellStyle name="Output 2 10 6 2 2" xfId="24583" xr:uid="{00000000-0005-0000-0000-0000E8680000}"/>
    <cellStyle name="Output 2 10 6 2 3" xfId="35428" xr:uid="{00000000-0005-0000-0000-0000E9680000}"/>
    <cellStyle name="Output 2 10 6 2 4" xfId="15245" xr:uid="{00000000-0005-0000-0000-0000EA680000}"/>
    <cellStyle name="Output 2 10 6 3" xfId="8282" xr:uid="{00000000-0005-0000-0000-0000EB680000}"/>
    <cellStyle name="Output 2 10 6 3 2" xfId="27254" xr:uid="{00000000-0005-0000-0000-0000EC680000}"/>
    <cellStyle name="Output 2 10 6 3 3" xfId="38099" xr:uid="{00000000-0005-0000-0000-0000ED680000}"/>
    <cellStyle name="Output 2 10 6 3 4" xfId="17158" xr:uid="{00000000-0005-0000-0000-0000EE680000}"/>
    <cellStyle name="Output 2 10 6 4" xfId="10941" xr:uid="{00000000-0005-0000-0000-0000EF680000}"/>
    <cellStyle name="Output 2 10 6 4 2" xfId="29913" xr:uid="{00000000-0005-0000-0000-0000F0680000}"/>
    <cellStyle name="Output 2 10 6 4 3" xfId="40758" xr:uid="{00000000-0005-0000-0000-0000F1680000}"/>
    <cellStyle name="Output 2 10 6 4 4" xfId="19062" xr:uid="{00000000-0005-0000-0000-0000F2680000}"/>
    <cellStyle name="Output 2 10 6 5" xfId="21737" xr:uid="{00000000-0005-0000-0000-0000F3680000}"/>
    <cellStyle name="Output 2 10 6 6" xfId="32582" xr:uid="{00000000-0005-0000-0000-0000F4680000}"/>
    <cellStyle name="Output 2 10 6 7" xfId="13208" xr:uid="{00000000-0005-0000-0000-0000F5680000}"/>
    <cellStyle name="Output 2 10 7" xfId="3450" xr:uid="{00000000-0005-0000-0000-0000F6680000}"/>
    <cellStyle name="Output 2 10 7 2" xfId="22422" xr:uid="{00000000-0005-0000-0000-0000F7680000}"/>
    <cellStyle name="Output 2 10 7 3" xfId="33267" xr:uid="{00000000-0005-0000-0000-0000F8680000}"/>
    <cellStyle name="Output 2 10 7 4" xfId="13690" xr:uid="{00000000-0005-0000-0000-0000F9680000}"/>
    <cellStyle name="Output 2 10 8" xfId="6126" xr:uid="{00000000-0005-0000-0000-0000FA680000}"/>
    <cellStyle name="Output 2 10 8 2" xfId="25098" xr:uid="{00000000-0005-0000-0000-0000FB680000}"/>
    <cellStyle name="Output 2 10 8 3" xfId="35943" xr:uid="{00000000-0005-0000-0000-0000FC680000}"/>
    <cellStyle name="Output 2 10 8 4" xfId="15607" xr:uid="{00000000-0005-0000-0000-0000FD680000}"/>
    <cellStyle name="Output 2 10 9" xfId="8785" xr:uid="{00000000-0005-0000-0000-0000FE680000}"/>
    <cellStyle name="Output 2 10 9 2" xfId="27757" xr:uid="{00000000-0005-0000-0000-0000FF680000}"/>
    <cellStyle name="Output 2 10 9 3" xfId="38602" xr:uid="{00000000-0005-0000-0000-000000690000}"/>
    <cellStyle name="Output 2 10 9 4" xfId="17511" xr:uid="{00000000-0005-0000-0000-000001690000}"/>
    <cellStyle name="Output 2 11" xfId="11462" xr:uid="{00000000-0005-0000-0000-000002690000}"/>
    <cellStyle name="Output 2 2" xfId="138" xr:uid="{00000000-0005-0000-0000-000003690000}"/>
    <cellStyle name="Output 2 2 2" xfId="389" xr:uid="{00000000-0005-0000-0000-000004690000}"/>
    <cellStyle name="Output 2 2 2 10" xfId="1508" xr:uid="{00000000-0005-0000-0000-000005690000}"/>
    <cellStyle name="Output 2 2 2 10 2" xfId="4361" xr:uid="{00000000-0005-0000-0000-000006690000}"/>
    <cellStyle name="Output 2 2 2 10 2 2" xfId="23333" xr:uid="{00000000-0005-0000-0000-000007690000}"/>
    <cellStyle name="Output 2 2 2 10 2 3" xfId="34178" xr:uid="{00000000-0005-0000-0000-000008690000}"/>
    <cellStyle name="Output 2 2 2 10 2 4" xfId="14354" xr:uid="{00000000-0005-0000-0000-000009690000}"/>
    <cellStyle name="Output 2 2 2 10 3" xfId="7034" xr:uid="{00000000-0005-0000-0000-00000A690000}"/>
    <cellStyle name="Output 2 2 2 10 3 2" xfId="26006" xr:uid="{00000000-0005-0000-0000-00000B690000}"/>
    <cellStyle name="Output 2 2 2 10 3 3" xfId="36851" xr:uid="{00000000-0005-0000-0000-00000C690000}"/>
    <cellStyle name="Output 2 2 2 10 3 4" xfId="16269" xr:uid="{00000000-0005-0000-0000-00000D690000}"/>
    <cellStyle name="Output 2 2 2 10 4" xfId="9693" xr:uid="{00000000-0005-0000-0000-00000E690000}"/>
    <cellStyle name="Output 2 2 2 10 4 2" xfId="28665" xr:uid="{00000000-0005-0000-0000-00000F690000}"/>
    <cellStyle name="Output 2 2 2 10 4 3" xfId="39510" xr:uid="{00000000-0005-0000-0000-000010690000}"/>
    <cellStyle name="Output 2 2 2 10 4 4" xfId="18173" xr:uid="{00000000-0005-0000-0000-000011690000}"/>
    <cellStyle name="Output 2 2 2 10 5" xfId="20489" xr:uid="{00000000-0005-0000-0000-000012690000}"/>
    <cellStyle name="Output 2 2 2 10 6" xfId="31334" xr:uid="{00000000-0005-0000-0000-000013690000}"/>
    <cellStyle name="Output 2 2 2 10 7" xfId="12319" xr:uid="{00000000-0005-0000-0000-000014690000}"/>
    <cellStyle name="Output 2 2 2 11" xfId="1626" xr:uid="{00000000-0005-0000-0000-000015690000}"/>
    <cellStyle name="Output 2 2 2 11 2" xfId="4479" xr:uid="{00000000-0005-0000-0000-000016690000}"/>
    <cellStyle name="Output 2 2 2 11 2 2" xfId="23451" xr:uid="{00000000-0005-0000-0000-000017690000}"/>
    <cellStyle name="Output 2 2 2 11 2 3" xfId="34296" xr:uid="{00000000-0005-0000-0000-000018690000}"/>
    <cellStyle name="Output 2 2 2 11 2 4" xfId="14441" xr:uid="{00000000-0005-0000-0000-000019690000}"/>
    <cellStyle name="Output 2 2 2 11 3" xfId="7151" xr:uid="{00000000-0005-0000-0000-00001A690000}"/>
    <cellStyle name="Output 2 2 2 11 3 2" xfId="26123" xr:uid="{00000000-0005-0000-0000-00001B690000}"/>
    <cellStyle name="Output 2 2 2 11 3 3" xfId="36968" xr:uid="{00000000-0005-0000-0000-00001C690000}"/>
    <cellStyle name="Output 2 2 2 11 3 4" xfId="16355" xr:uid="{00000000-0005-0000-0000-00001D690000}"/>
    <cellStyle name="Output 2 2 2 11 4" xfId="9810" xr:uid="{00000000-0005-0000-0000-00001E690000}"/>
    <cellStyle name="Output 2 2 2 11 4 2" xfId="28782" xr:uid="{00000000-0005-0000-0000-00001F690000}"/>
    <cellStyle name="Output 2 2 2 11 4 3" xfId="39627" xr:uid="{00000000-0005-0000-0000-000020690000}"/>
    <cellStyle name="Output 2 2 2 11 4 4" xfId="18259" xr:uid="{00000000-0005-0000-0000-000021690000}"/>
    <cellStyle name="Output 2 2 2 11 5" xfId="20606" xr:uid="{00000000-0005-0000-0000-000022690000}"/>
    <cellStyle name="Output 2 2 2 11 6" xfId="31451" xr:uid="{00000000-0005-0000-0000-000023690000}"/>
    <cellStyle name="Output 2 2 2 11 7" xfId="12405" xr:uid="{00000000-0005-0000-0000-000024690000}"/>
    <cellStyle name="Output 2 2 2 12" xfId="3124" xr:uid="{00000000-0005-0000-0000-000025690000}"/>
    <cellStyle name="Output 2 2 2 12 2" xfId="5975" xr:uid="{00000000-0005-0000-0000-000026690000}"/>
    <cellStyle name="Output 2 2 2 12 2 2" xfId="24947" xr:uid="{00000000-0005-0000-0000-000027690000}"/>
    <cellStyle name="Output 2 2 2 12 2 3" xfId="35792" xr:uid="{00000000-0005-0000-0000-000028690000}"/>
    <cellStyle name="Output 2 2 2 12 2 4" xfId="15500" xr:uid="{00000000-0005-0000-0000-000029690000}"/>
    <cellStyle name="Output 2 2 2 12 3" xfId="8646" xr:uid="{00000000-0005-0000-0000-00002A690000}"/>
    <cellStyle name="Output 2 2 2 12 3 2" xfId="27618" xr:uid="{00000000-0005-0000-0000-00002B690000}"/>
    <cellStyle name="Output 2 2 2 12 3 3" xfId="38463" xr:uid="{00000000-0005-0000-0000-00002C690000}"/>
    <cellStyle name="Output 2 2 2 12 3 4" xfId="17413" xr:uid="{00000000-0005-0000-0000-00002D690000}"/>
    <cellStyle name="Output 2 2 2 12 4" xfId="11305" xr:uid="{00000000-0005-0000-0000-00002E690000}"/>
    <cellStyle name="Output 2 2 2 12 4 2" xfId="30277" xr:uid="{00000000-0005-0000-0000-00002F690000}"/>
    <cellStyle name="Output 2 2 2 12 4 3" xfId="41122" xr:uid="{00000000-0005-0000-0000-000030690000}"/>
    <cellStyle name="Output 2 2 2 12 4 4" xfId="19317" xr:uid="{00000000-0005-0000-0000-000031690000}"/>
    <cellStyle name="Output 2 2 2 12 5" xfId="22101" xr:uid="{00000000-0005-0000-0000-000032690000}"/>
    <cellStyle name="Output 2 2 2 12 6" xfId="32946" xr:uid="{00000000-0005-0000-0000-000033690000}"/>
    <cellStyle name="Output 2 2 2 12 7" xfId="13463" xr:uid="{00000000-0005-0000-0000-000034690000}"/>
    <cellStyle name="Output 2 2 2 13" xfId="3181" xr:uid="{00000000-0005-0000-0000-000035690000}"/>
    <cellStyle name="Output 2 2 2 13 2" xfId="6032" xr:uid="{00000000-0005-0000-0000-000036690000}"/>
    <cellStyle name="Output 2 2 2 13 2 2" xfId="25004" xr:uid="{00000000-0005-0000-0000-000037690000}"/>
    <cellStyle name="Output 2 2 2 13 2 3" xfId="35849" xr:uid="{00000000-0005-0000-0000-000038690000}"/>
    <cellStyle name="Output 2 2 2 13 2 4" xfId="15537" xr:uid="{00000000-0005-0000-0000-000039690000}"/>
    <cellStyle name="Output 2 2 2 13 3" xfId="8703" xr:uid="{00000000-0005-0000-0000-00003A690000}"/>
    <cellStyle name="Output 2 2 2 13 3 2" xfId="27675" xr:uid="{00000000-0005-0000-0000-00003B690000}"/>
    <cellStyle name="Output 2 2 2 13 3 3" xfId="38520" xr:uid="{00000000-0005-0000-0000-00003C690000}"/>
    <cellStyle name="Output 2 2 2 13 3 4" xfId="17450" xr:uid="{00000000-0005-0000-0000-00003D690000}"/>
    <cellStyle name="Output 2 2 2 13 4" xfId="11362" xr:uid="{00000000-0005-0000-0000-00003E690000}"/>
    <cellStyle name="Output 2 2 2 13 4 2" xfId="30334" xr:uid="{00000000-0005-0000-0000-00003F690000}"/>
    <cellStyle name="Output 2 2 2 13 4 3" xfId="41179" xr:uid="{00000000-0005-0000-0000-000040690000}"/>
    <cellStyle name="Output 2 2 2 13 4 4" xfId="19354" xr:uid="{00000000-0005-0000-0000-000041690000}"/>
    <cellStyle name="Output 2 2 2 13 5" xfId="22158" xr:uid="{00000000-0005-0000-0000-000042690000}"/>
    <cellStyle name="Output 2 2 2 13 6" xfId="33003" xr:uid="{00000000-0005-0000-0000-000043690000}"/>
    <cellStyle name="Output 2 2 2 13 7" xfId="13500" xr:uid="{00000000-0005-0000-0000-000044690000}"/>
    <cellStyle name="Output 2 2 2 14" xfId="3347" xr:uid="{00000000-0005-0000-0000-000045690000}"/>
    <cellStyle name="Output 2 2 2 14 2" xfId="22321" xr:uid="{00000000-0005-0000-0000-000046690000}"/>
    <cellStyle name="Output 2 2 2 14 3" xfId="33166" xr:uid="{00000000-0005-0000-0000-000047690000}"/>
    <cellStyle name="Output 2 2 2 14 4" xfId="13617" xr:uid="{00000000-0005-0000-0000-000048690000}"/>
    <cellStyle name="Output 2 2 2 15" xfId="3321" xr:uid="{00000000-0005-0000-0000-000049690000}"/>
    <cellStyle name="Output 2 2 2 15 2" xfId="22295" xr:uid="{00000000-0005-0000-0000-00004A690000}"/>
    <cellStyle name="Output 2 2 2 15 3" xfId="33140" xr:uid="{00000000-0005-0000-0000-00004B690000}"/>
    <cellStyle name="Output 2 2 2 15 4" xfId="13602" xr:uid="{00000000-0005-0000-0000-00004C690000}"/>
    <cellStyle name="Output 2 2 2 16" xfId="3246" xr:uid="{00000000-0005-0000-0000-00004D690000}"/>
    <cellStyle name="Output 2 2 2 16 2" xfId="22222" xr:uid="{00000000-0005-0000-0000-00004E690000}"/>
    <cellStyle name="Output 2 2 2 16 3" xfId="33067" xr:uid="{00000000-0005-0000-0000-00004F690000}"/>
    <cellStyle name="Output 2 2 2 16 4" xfId="13548" xr:uid="{00000000-0005-0000-0000-000050690000}"/>
    <cellStyle name="Output 2 2 2 17" xfId="19478" xr:uid="{00000000-0005-0000-0000-000051690000}"/>
    <cellStyle name="Output 2 2 2 18" xfId="19415" xr:uid="{00000000-0005-0000-0000-000052690000}"/>
    <cellStyle name="Output 2 2 2 19" xfId="11527" xr:uid="{00000000-0005-0000-0000-000053690000}"/>
    <cellStyle name="Output 2 2 2 2" xfId="689" xr:uid="{00000000-0005-0000-0000-000054690000}"/>
    <cellStyle name="Output 2 2 2 2 10" xfId="19674" xr:uid="{00000000-0005-0000-0000-000055690000}"/>
    <cellStyle name="Output 2 2 2 2 11" xfId="30519" xr:uid="{00000000-0005-0000-0000-000056690000}"/>
    <cellStyle name="Output 2 2 2 2 12" xfId="11731" xr:uid="{00000000-0005-0000-0000-000057690000}"/>
    <cellStyle name="Output 2 2 2 2 2" xfId="1276" xr:uid="{00000000-0005-0000-0000-000058690000}"/>
    <cellStyle name="Output 2 2 2 2 2 2" xfId="4129" xr:uid="{00000000-0005-0000-0000-000059690000}"/>
    <cellStyle name="Output 2 2 2 2 2 2 2" xfId="23101" xr:uid="{00000000-0005-0000-0000-00005A690000}"/>
    <cellStyle name="Output 2 2 2 2 2 2 3" xfId="33946" xr:uid="{00000000-0005-0000-0000-00005B690000}"/>
    <cellStyle name="Output 2 2 2 2 2 2 4" xfId="14192" xr:uid="{00000000-0005-0000-0000-00005C690000}"/>
    <cellStyle name="Output 2 2 2 2 2 3" xfId="6802" xr:uid="{00000000-0005-0000-0000-00005D690000}"/>
    <cellStyle name="Output 2 2 2 2 2 3 2" xfId="25774" xr:uid="{00000000-0005-0000-0000-00005E690000}"/>
    <cellStyle name="Output 2 2 2 2 2 3 3" xfId="36619" xr:uid="{00000000-0005-0000-0000-00005F690000}"/>
    <cellStyle name="Output 2 2 2 2 2 3 4" xfId="16107" xr:uid="{00000000-0005-0000-0000-000060690000}"/>
    <cellStyle name="Output 2 2 2 2 2 4" xfId="9461" xr:uid="{00000000-0005-0000-0000-000061690000}"/>
    <cellStyle name="Output 2 2 2 2 2 4 2" xfId="28433" xr:uid="{00000000-0005-0000-0000-000062690000}"/>
    <cellStyle name="Output 2 2 2 2 2 4 3" xfId="39278" xr:uid="{00000000-0005-0000-0000-000063690000}"/>
    <cellStyle name="Output 2 2 2 2 2 4 4" xfId="18011" xr:uid="{00000000-0005-0000-0000-000064690000}"/>
    <cellStyle name="Output 2 2 2 2 2 5" xfId="20257" xr:uid="{00000000-0005-0000-0000-000065690000}"/>
    <cellStyle name="Output 2 2 2 2 2 6" xfId="31102" xr:uid="{00000000-0005-0000-0000-000066690000}"/>
    <cellStyle name="Output 2 2 2 2 2 7" xfId="12157" xr:uid="{00000000-0005-0000-0000-000067690000}"/>
    <cellStyle name="Output 2 2 2 2 3" xfId="1675" xr:uid="{00000000-0005-0000-0000-000068690000}"/>
    <cellStyle name="Output 2 2 2 2 3 2" xfId="4528" xr:uid="{00000000-0005-0000-0000-000069690000}"/>
    <cellStyle name="Output 2 2 2 2 3 2 2" xfId="23500" xr:uid="{00000000-0005-0000-0000-00006A690000}"/>
    <cellStyle name="Output 2 2 2 2 3 2 3" xfId="34345" xr:uid="{00000000-0005-0000-0000-00006B690000}"/>
    <cellStyle name="Output 2 2 2 2 3 2 4" xfId="14479" xr:uid="{00000000-0005-0000-0000-00006C690000}"/>
    <cellStyle name="Output 2 2 2 2 3 3" xfId="7200" xr:uid="{00000000-0005-0000-0000-00006D690000}"/>
    <cellStyle name="Output 2 2 2 2 3 3 2" xfId="26172" xr:uid="{00000000-0005-0000-0000-00006E690000}"/>
    <cellStyle name="Output 2 2 2 2 3 3 3" xfId="37017" xr:uid="{00000000-0005-0000-0000-00006F690000}"/>
    <cellStyle name="Output 2 2 2 2 3 3 4" xfId="16393" xr:uid="{00000000-0005-0000-0000-000070690000}"/>
    <cellStyle name="Output 2 2 2 2 3 4" xfId="9859" xr:uid="{00000000-0005-0000-0000-000071690000}"/>
    <cellStyle name="Output 2 2 2 2 3 4 2" xfId="28831" xr:uid="{00000000-0005-0000-0000-000072690000}"/>
    <cellStyle name="Output 2 2 2 2 3 4 3" xfId="39676" xr:uid="{00000000-0005-0000-0000-000073690000}"/>
    <cellStyle name="Output 2 2 2 2 3 4 4" xfId="18297" xr:uid="{00000000-0005-0000-0000-000074690000}"/>
    <cellStyle name="Output 2 2 2 2 3 5" xfId="20655" xr:uid="{00000000-0005-0000-0000-000075690000}"/>
    <cellStyle name="Output 2 2 2 2 3 6" xfId="31500" xr:uid="{00000000-0005-0000-0000-000076690000}"/>
    <cellStyle name="Output 2 2 2 2 3 7" xfId="12443" xr:uid="{00000000-0005-0000-0000-000077690000}"/>
    <cellStyle name="Output 2 2 2 2 4" xfId="2079" xr:uid="{00000000-0005-0000-0000-000078690000}"/>
    <cellStyle name="Output 2 2 2 2 4 2" xfId="4932" xr:uid="{00000000-0005-0000-0000-000079690000}"/>
    <cellStyle name="Output 2 2 2 2 4 2 2" xfId="23904" xr:uid="{00000000-0005-0000-0000-00007A690000}"/>
    <cellStyle name="Output 2 2 2 2 4 2 3" xfId="34749" xr:uid="{00000000-0005-0000-0000-00007B690000}"/>
    <cellStyle name="Output 2 2 2 2 4 2 4" xfId="14766" xr:uid="{00000000-0005-0000-0000-00007C690000}"/>
    <cellStyle name="Output 2 2 2 2 4 3" xfId="7603" xr:uid="{00000000-0005-0000-0000-00007D690000}"/>
    <cellStyle name="Output 2 2 2 2 4 3 2" xfId="26575" xr:uid="{00000000-0005-0000-0000-00007E690000}"/>
    <cellStyle name="Output 2 2 2 2 4 3 3" xfId="37420" xr:uid="{00000000-0005-0000-0000-00007F690000}"/>
    <cellStyle name="Output 2 2 2 2 4 3 4" xfId="16679" xr:uid="{00000000-0005-0000-0000-000080690000}"/>
    <cellStyle name="Output 2 2 2 2 4 4" xfId="10262" xr:uid="{00000000-0005-0000-0000-000081690000}"/>
    <cellStyle name="Output 2 2 2 2 4 4 2" xfId="29234" xr:uid="{00000000-0005-0000-0000-000082690000}"/>
    <cellStyle name="Output 2 2 2 2 4 4 3" xfId="40079" xr:uid="{00000000-0005-0000-0000-000083690000}"/>
    <cellStyle name="Output 2 2 2 2 4 4 4" xfId="18583" xr:uid="{00000000-0005-0000-0000-000084690000}"/>
    <cellStyle name="Output 2 2 2 2 4 5" xfId="21058" xr:uid="{00000000-0005-0000-0000-000085690000}"/>
    <cellStyle name="Output 2 2 2 2 4 6" xfId="31903" xr:uid="{00000000-0005-0000-0000-000086690000}"/>
    <cellStyle name="Output 2 2 2 2 4 7" xfId="12729" xr:uid="{00000000-0005-0000-0000-000087690000}"/>
    <cellStyle name="Output 2 2 2 2 5" xfId="2469" xr:uid="{00000000-0005-0000-0000-000088690000}"/>
    <cellStyle name="Output 2 2 2 2 5 2" xfId="5321" xr:uid="{00000000-0005-0000-0000-000089690000}"/>
    <cellStyle name="Output 2 2 2 2 5 2 2" xfId="24293" xr:uid="{00000000-0005-0000-0000-00008A690000}"/>
    <cellStyle name="Output 2 2 2 2 5 2 3" xfId="35138" xr:uid="{00000000-0005-0000-0000-00008B690000}"/>
    <cellStyle name="Output 2 2 2 2 5 2 4" xfId="15045" xr:uid="{00000000-0005-0000-0000-00008C690000}"/>
    <cellStyle name="Output 2 2 2 2 5 3" xfId="7992" xr:uid="{00000000-0005-0000-0000-00008D690000}"/>
    <cellStyle name="Output 2 2 2 2 5 3 2" xfId="26964" xr:uid="{00000000-0005-0000-0000-00008E690000}"/>
    <cellStyle name="Output 2 2 2 2 5 3 3" xfId="37809" xr:uid="{00000000-0005-0000-0000-00008F690000}"/>
    <cellStyle name="Output 2 2 2 2 5 3 4" xfId="16958" xr:uid="{00000000-0005-0000-0000-000090690000}"/>
    <cellStyle name="Output 2 2 2 2 5 4" xfId="10651" xr:uid="{00000000-0005-0000-0000-000091690000}"/>
    <cellStyle name="Output 2 2 2 2 5 4 2" xfId="29623" xr:uid="{00000000-0005-0000-0000-000092690000}"/>
    <cellStyle name="Output 2 2 2 2 5 4 3" xfId="40468" xr:uid="{00000000-0005-0000-0000-000093690000}"/>
    <cellStyle name="Output 2 2 2 2 5 4 4" xfId="18862" xr:uid="{00000000-0005-0000-0000-000094690000}"/>
    <cellStyle name="Output 2 2 2 2 5 5" xfId="21447" xr:uid="{00000000-0005-0000-0000-000095690000}"/>
    <cellStyle name="Output 2 2 2 2 5 6" xfId="32292" xr:uid="{00000000-0005-0000-0000-000096690000}"/>
    <cellStyle name="Output 2 2 2 2 5 7" xfId="13008" xr:uid="{00000000-0005-0000-0000-000097690000}"/>
    <cellStyle name="Output 2 2 2 2 6" xfId="2855" xr:uid="{00000000-0005-0000-0000-000098690000}"/>
    <cellStyle name="Output 2 2 2 2 6 2" xfId="5706" xr:uid="{00000000-0005-0000-0000-000099690000}"/>
    <cellStyle name="Output 2 2 2 2 6 2 2" xfId="24678" xr:uid="{00000000-0005-0000-0000-00009A690000}"/>
    <cellStyle name="Output 2 2 2 2 6 2 3" xfId="35523" xr:uid="{00000000-0005-0000-0000-00009B690000}"/>
    <cellStyle name="Output 2 2 2 2 6 2 4" xfId="15321" xr:uid="{00000000-0005-0000-0000-00009C690000}"/>
    <cellStyle name="Output 2 2 2 2 6 3" xfId="8377" xr:uid="{00000000-0005-0000-0000-00009D690000}"/>
    <cellStyle name="Output 2 2 2 2 6 3 2" xfId="27349" xr:uid="{00000000-0005-0000-0000-00009E690000}"/>
    <cellStyle name="Output 2 2 2 2 6 3 3" xfId="38194" xr:uid="{00000000-0005-0000-0000-00009F690000}"/>
    <cellStyle name="Output 2 2 2 2 6 3 4" xfId="17234" xr:uid="{00000000-0005-0000-0000-0000A0690000}"/>
    <cellStyle name="Output 2 2 2 2 6 4" xfId="11036" xr:uid="{00000000-0005-0000-0000-0000A1690000}"/>
    <cellStyle name="Output 2 2 2 2 6 4 2" xfId="30008" xr:uid="{00000000-0005-0000-0000-0000A2690000}"/>
    <cellStyle name="Output 2 2 2 2 6 4 3" xfId="40853" xr:uid="{00000000-0005-0000-0000-0000A3690000}"/>
    <cellStyle name="Output 2 2 2 2 6 4 4" xfId="19138" xr:uid="{00000000-0005-0000-0000-0000A4690000}"/>
    <cellStyle name="Output 2 2 2 2 6 5" xfId="21832" xr:uid="{00000000-0005-0000-0000-0000A5690000}"/>
    <cellStyle name="Output 2 2 2 2 6 6" xfId="32677" xr:uid="{00000000-0005-0000-0000-0000A6690000}"/>
    <cellStyle name="Output 2 2 2 2 6 7" xfId="13284" xr:uid="{00000000-0005-0000-0000-0000A7690000}"/>
    <cellStyle name="Output 2 2 2 2 7" xfId="3544" xr:uid="{00000000-0005-0000-0000-0000A8690000}"/>
    <cellStyle name="Output 2 2 2 2 7 2" xfId="22516" xr:uid="{00000000-0005-0000-0000-0000A9690000}"/>
    <cellStyle name="Output 2 2 2 2 7 3" xfId="33361" xr:uid="{00000000-0005-0000-0000-0000AA690000}"/>
    <cellStyle name="Output 2 2 2 2 7 4" xfId="13765" xr:uid="{00000000-0005-0000-0000-0000AB690000}"/>
    <cellStyle name="Output 2 2 2 2 8" xfId="6219" xr:uid="{00000000-0005-0000-0000-0000AC690000}"/>
    <cellStyle name="Output 2 2 2 2 8 2" xfId="25191" xr:uid="{00000000-0005-0000-0000-0000AD690000}"/>
    <cellStyle name="Output 2 2 2 2 8 3" xfId="36036" xr:uid="{00000000-0005-0000-0000-0000AE690000}"/>
    <cellStyle name="Output 2 2 2 2 8 4" xfId="15681" xr:uid="{00000000-0005-0000-0000-0000AF690000}"/>
    <cellStyle name="Output 2 2 2 2 9" xfId="8878" xr:uid="{00000000-0005-0000-0000-0000B0690000}"/>
    <cellStyle name="Output 2 2 2 2 9 2" xfId="27850" xr:uid="{00000000-0005-0000-0000-0000B1690000}"/>
    <cellStyle name="Output 2 2 2 2 9 3" xfId="38695" xr:uid="{00000000-0005-0000-0000-0000B2690000}"/>
    <cellStyle name="Output 2 2 2 2 9 4" xfId="17585" xr:uid="{00000000-0005-0000-0000-0000B3690000}"/>
    <cellStyle name="Output 2 2 2 3" xfId="749" xr:uid="{00000000-0005-0000-0000-0000B4690000}"/>
    <cellStyle name="Output 2 2 2 3 10" xfId="19734" xr:uid="{00000000-0005-0000-0000-0000B5690000}"/>
    <cellStyle name="Output 2 2 2 3 11" xfId="30579" xr:uid="{00000000-0005-0000-0000-0000B6690000}"/>
    <cellStyle name="Output 2 2 2 3 12" xfId="11771" xr:uid="{00000000-0005-0000-0000-0000B7690000}"/>
    <cellStyle name="Output 2 2 2 3 2" xfId="1336" xr:uid="{00000000-0005-0000-0000-0000B8690000}"/>
    <cellStyle name="Output 2 2 2 3 2 2" xfId="4189" xr:uid="{00000000-0005-0000-0000-0000B9690000}"/>
    <cellStyle name="Output 2 2 2 3 2 2 2" xfId="23161" xr:uid="{00000000-0005-0000-0000-0000BA690000}"/>
    <cellStyle name="Output 2 2 2 3 2 2 3" xfId="34006" xr:uid="{00000000-0005-0000-0000-0000BB690000}"/>
    <cellStyle name="Output 2 2 2 3 2 2 4" xfId="14232" xr:uid="{00000000-0005-0000-0000-0000BC690000}"/>
    <cellStyle name="Output 2 2 2 3 2 3" xfId="6862" xr:uid="{00000000-0005-0000-0000-0000BD690000}"/>
    <cellStyle name="Output 2 2 2 3 2 3 2" xfId="25834" xr:uid="{00000000-0005-0000-0000-0000BE690000}"/>
    <cellStyle name="Output 2 2 2 3 2 3 3" xfId="36679" xr:uid="{00000000-0005-0000-0000-0000BF690000}"/>
    <cellStyle name="Output 2 2 2 3 2 3 4" xfId="16147" xr:uid="{00000000-0005-0000-0000-0000C0690000}"/>
    <cellStyle name="Output 2 2 2 3 2 4" xfId="9521" xr:uid="{00000000-0005-0000-0000-0000C1690000}"/>
    <cellStyle name="Output 2 2 2 3 2 4 2" xfId="28493" xr:uid="{00000000-0005-0000-0000-0000C2690000}"/>
    <cellStyle name="Output 2 2 2 3 2 4 3" xfId="39338" xr:uid="{00000000-0005-0000-0000-0000C3690000}"/>
    <cellStyle name="Output 2 2 2 3 2 4 4" xfId="18051" xr:uid="{00000000-0005-0000-0000-0000C4690000}"/>
    <cellStyle name="Output 2 2 2 3 2 5" xfId="20317" xr:uid="{00000000-0005-0000-0000-0000C5690000}"/>
    <cellStyle name="Output 2 2 2 3 2 6" xfId="31162" xr:uid="{00000000-0005-0000-0000-0000C6690000}"/>
    <cellStyle name="Output 2 2 2 3 2 7" xfId="12197" xr:uid="{00000000-0005-0000-0000-0000C7690000}"/>
    <cellStyle name="Output 2 2 2 3 3" xfId="1735" xr:uid="{00000000-0005-0000-0000-0000C8690000}"/>
    <cellStyle name="Output 2 2 2 3 3 2" xfId="4588" xr:uid="{00000000-0005-0000-0000-0000C9690000}"/>
    <cellStyle name="Output 2 2 2 3 3 2 2" xfId="23560" xr:uid="{00000000-0005-0000-0000-0000CA690000}"/>
    <cellStyle name="Output 2 2 2 3 3 2 3" xfId="34405" xr:uid="{00000000-0005-0000-0000-0000CB690000}"/>
    <cellStyle name="Output 2 2 2 3 3 2 4" xfId="14519" xr:uid="{00000000-0005-0000-0000-0000CC690000}"/>
    <cellStyle name="Output 2 2 2 3 3 3" xfId="7260" xr:uid="{00000000-0005-0000-0000-0000CD690000}"/>
    <cellStyle name="Output 2 2 2 3 3 3 2" xfId="26232" xr:uid="{00000000-0005-0000-0000-0000CE690000}"/>
    <cellStyle name="Output 2 2 2 3 3 3 3" xfId="37077" xr:uid="{00000000-0005-0000-0000-0000CF690000}"/>
    <cellStyle name="Output 2 2 2 3 3 3 4" xfId="16433" xr:uid="{00000000-0005-0000-0000-0000D0690000}"/>
    <cellStyle name="Output 2 2 2 3 3 4" xfId="9919" xr:uid="{00000000-0005-0000-0000-0000D1690000}"/>
    <cellStyle name="Output 2 2 2 3 3 4 2" xfId="28891" xr:uid="{00000000-0005-0000-0000-0000D2690000}"/>
    <cellStyle name="Output 2 2 2 3 3 4 3" xfId="39736" xr:uid="{00000000-0005-0000-0000-0000D3690000}"/>
    <cellStyle name="Output 2 2 2 3 3 4 4" xfId="18337" xr:uid="{00000000-0005-0000-0000-0000D4690000}"/>
    <cellStyle name="Output 2 2 2 3 3 5" xfId="20715" xr:uid="{00000000-0005-0000-0000-0000D5690000}"/>
    <cellStyle name="Output 2 2 2 3 3 6" xfId="31560" xr:uid="{00000000-0005-0000-0000-0000D6690000}"/>
    <cellStyle name="Output 2 2 2 3 3 7" xfId="12483" xr:uid="{00000000-0005-0000-0000-0000D7690000}"/>
    <cellStyle name="Output 2 2 2 3 4" xfId="2139" xr:uid="{00000000-0005-0000-0000-0000D8690000}"/>
    <cellStyle name="Output 2 2 2 3 4 2" xfId="4992" xr:uid="{00000000-0005-0000-0000-0000D9690000}"/>
    <cellStyle name="Output 2 2 2 3 4 2 2" xfId="23964" xr:uid="{00000000-0005-0000-0000-0000DA690000}"/>
    <cellStyle name="Output 2 2 2 3 4 2 3" xfId="34809" xr:uid="{00000000-0005-0000-0000-0000DB690000}"/>
    <cellStyle name="Output 2 2 2 3 4 2 4" xfId="14806" xr:uid="{00000000-0005-0000-0000-0000DC690000}"/>
    <cellStyle name="Output 2 2 2 3 4 3" xfId="7663" xr:uid="{00000000-0005-0000-0000-0000DD690000}"/>
    <cellStyle name="Output 2 2 2 3 4 3 2" xfId="26635" xr:uid="{00000000-0005-0000-0000-0000DE690000}"/>
    <cellStyle name="Output 2 2 2 3 4 3 3" xfId="37480" xr:uid="{00000000-0005-0000-0000-0000DF690000}"/>
    <cellStyle name="Output 2 2 2 3 4 3 4" xfId="16719" xr:uid="{00000000-0005-0000-0000-0000E0690000}"/>
    <cellStyle name="Output 2 2 2 3 4 4" xfId="10322" xr:uid="{00000000-0005-0000-0000-0000E1690000}"/>
    <cellStyle name="Output 2 2 2 3 4 4 2" xfId="29294" xr:uid="{00000000-0005-0000-0000-0000E2690000}"/>
    <cellStyle name="Output 2 2 2 3 4 4 3" xfId="40139" xr:uid="{00000000-0005-0000-0000-0000E3690000}"/>
    <cellStyle name="Output 2 2 2 3 4 4 4" xfId="18623" xr:uid="{00000000-0005-0000-0000-0000E4690000}"/>
    <cellStyle name="Output 2 2 2 3 4 5" xfId="21118" xr:uid="{00000000-0005-0000-0000-0000E5690000}"/>
    <cellStyle name="Output 2 2 2 3 4 6" xfId="31963" xr:uid="{00000000-0005-0000-0000-0000E6690000}"/>
    <cellStyle name="Output 2 2 2 3 4 7" xfId="12769" xr:uid="{00000000-0005-0000-0000-0000E7690000}"/>
    <cellStyle name="Output 2 2 2 3 5" xfId="2529" xr:uid="{00000000-0005-0000-0000-0000E8690000}"/>
    <cellStyle name="Output 2 2 2 3 5 2" xfId="5381" xr:uid="{00000000-0005-0000-0000-0000E9690000}"/>
    <cellStyle name="Output 2 2 2 3 5 2 2" xfId="24353" xr:uid="{00000000-0005-0000-0000-0000EA690000}"/>
    <cellStyle name="Output 2 2 2 3 5 2 3" xfId="35198" xr:uid="{00000000-0005-0000-0000-0000EB690000}"/>
    <cellStyle name="Output 2 2 2 3 5 2 4" xfId="15085" xr:uid="{00000000-0005-0000-0000-0000EC690000}"/>
    <cellStyle name="Output 2 2 2 3 5 3" xfId="8052" xr:uid="{00000000-0005-0000-0000-0000ED690000}"/>
    <cellStyle name="Output 2 2 2 3 5 3 2" xfId="27024" xr:uid="{00000000-0005-0000-0000-0000EE690000}"/>
    <cellStyle name="Output 2 2 2 3 5 3 3" xfId="37869" xr:uid="{00000000-0005-0000-0000-0000EF690000}"/>
    <cellStyle name="Output 2 2 2 3 5 3 4" xfId="16998" xr:uid="{00000000-0005-0000-0000-0000F0690000}"/>
    <cellStyle name="Output 2 2 2 3 5 4" xfId="10711" xr:uid="{00000000-0005-0000-0000-0000F1690000}"/>
    <cellStyle name="Output 2 2 2 3 5 4 2" xfId="29683" xr:uid="{00000000-0005-0000-0000-0000F2690000}"/>
    <cellStyle name="Output 2 2 2 3 5 4 3" xfId="40528" xr:uid="{00000000-0005-0000-0000-0000F3690000}"/>
    <cellStyle name="Output 2 2 2 3 5 4 4" xfId="18902" xr:uid="{00000000-0005-0000-0000-0000F4690000}"/>
    <cellStyle name="Output 2 2 2 3 5 5" xfId="21507" xr:uid="{00000000-0005-0000-0000-0000F5690000}"/>
    <cellStyle name="Output 2 2 2 3 5 6" xfId="32352" xr:uid="{00000000-0005-0000-0000-0000F6690000}"/>
    <cellStyle name="Output 2 2 2 3 5 7" xfId="13048" xr:uid="{00000000-0005-0000-0000-0000F7690000}"/>
    <cellStyle name="Output 2 2 2 3 6" xfId="2915" xr:uid="{00000000-0005-0000-0000-0000F8690000}"/>
    <cellStyle name="Output 2 2 2 3 6 2" xfId="5766" xr:uid="{00000000-0005-0000-0000-0000F9690000}"/>
    <cellStyle name="Output 2 2 2 3 6 2 2" xfId="24738" xr:uid="{00000000-0005-0000-0000-0000FA690000}"/>
    <cellStyle name="Output 2 2 2 3 6 2 3" xfId="35583" xr:uid="{00000000-0005-0000-0000-0000FB690000}"/>
    <cellStyle name="Output 2 2 2 3 6 2 4" xfId="15361" xr:uid="{00000000-0005-0000-0000-0000FC690000}"/>
    <cellStyle name="Output 2 2 2 3 6 3" xfId="8437" xr:uid="{00000000-0005-0000-0000-0000FD690000}"/>
    <cellStyle name="Output 2 2 2 3 6 3 2" xfId="27409" xr:uid="{00000000-0005-0000-0000-0000FE690000}"/>
    <cellStyle name="Output 2 2 2 3 6 3 3" xfId="38254" xr:uid="{00000000-0005-0000-0000-0000FF690000}"/>
    <cellStyle name="Output 2 2 2 3 6 3 4" xfId="17274" xr:uid="{00000000-0005-0000-0000-0000006A0000}"/>
    <cellStyle name="Output 2 2 2 3 6 4" xfId="11096" xr:uid="{00000000-0005-0000-0000-0000016A0000}"/>
    <cellStyle name="Output 2 2 2 3 6 4 2" xfId="30068" xr:uid="{00000000-0005-0000-0000-0000026A0000}"/>
    <cellStyle name="Output 2 2 2 3 6 4 3" xfId="40913" xr:uid="{00000000-0005-0000-0000-0000036A0000}"/>
    <cellStyle name="Output 2 2 2 3 6 4 4" xfId="19178" xr:uid="{00000000-0005-0000-0000-0000046A0000}"/>
    <cellStyle name="Output 2 2 2 3 6 5" xfId="21892" xr:uid="{00000000-0005-0000-0000-0000056A0000}"/>
    <cellStyle name="Output 2 2 2 3 6 6" xfId="32737" xr:uid="{00000000-0005-0000-0000-0000066A0000}"/>
    <cellStyle name="Output 2 2 2 3 6 7" xfId="13324" xr:uid="{00000000-0005-0000-0000-0000076A0000}"/>
    <cellStyle name="Output 2 2 2 3 7" xfId="3604" xr:uid="{00000000-0005-0000-0000-0000086A0000}"/>
    <cellStyle name="Output 2 2 2 3 7 2" xfId="22576" xr:uid="{00000000-0005-0000-0000-0000096A0000}"/>
    <cellStyle name="Output 2 2 2 3 7 3" xfId="33421" xr:uid="{00000000-0005-0000-0000-00000A6A0000}"/>
    <cellStyle name="Output 2 2 2 3 7 4" xfId="13805" xr:uid="{00000000-0005-0000-0000-00000B6A0000}"/>
    <cellStyle name="Output 2 2 2 3 8" xfId="6279" xr:uid="{00000000-0005-0000-0000-00000C6A0000}"/>
    <cellStyle name="Output 2 2 2 3 8 2" xfId="25251" xr:uid="{00000000-0005-0000-0000-00000D6A0000}"/>
    <cellStyle name="Output 2 2 2 3 8 3" xfId="36096" xr:uid="{00000000-0005-0000-0000-00000E6A0000}"/>
    <cellStyle name="Output 2 2 2 3 8 4" xfId="15721" xr:uid="{00000000-0005-0000-0000-00000F6A0000}"/>
    <cellStyle name="Output 2 2 2 3 9" xfId="8938" xr:uid="{00000000-0005-0000-0000-0000106A0000}"/>
    <cellStyle name="Output 2 2 2 3 9 2" xfId="27910" xr:uid="{00000000-0005-0000-0000-0000116A0000}"/>
    <cellStyle name="Output 2 2 2 3 9 3" xfId="38755" xr:uid="{00000000-0005-0000-0000-0000126A0000}"/>
    <cellStyle name="Output 2 2 2 3 9 4" xfId="17625" xr:uid="{00000000-0005-0000-0000-0000136A0000}"/>
    <cellStyle name="Output 2 2 2 4" xfId="809" xr:uid="{00000000-0005-0000-0000-0000146A0000}"/>
    <cellStyle name="Output 2 2 2 4 10" xfId="19794" xr:uid="{00000000-0005-0000-0000-0000156A0000}"/>
    <cellStyle name="Output 2 2 2 4 11" xfId="30639" xr:uid="{00000000-0005-0000-0000-0000166A0000}"/>
    <cellStyle name="Output 2 2 2 4 12" xfId="11811" xr:uid="{00000000-0005-0000-0000-0000176A0000}"/>
    <cellStyle name="Output 2 2 2 4 2" xfId="1396" xr:uid="{00000000-0005-0000-0000-0000186A0000}"/>
    <cellStyle name="Output 2 2 2 4 2 2" xfId="4249" xr:uid="{00000000-0005-0000-0000-0000196A0000}"/>
    <cellStyle name="Output 2 2 2 4 2 2 2" xfId="23221" xr:uid="{00000000-0005-0000-0000-00001A6A0000}"/>
    <cellStyle name="Output 2 2 2 4 2 2 3" xfId="34066" xr:uid="{00000000-0005-0000-0000-00001B6A0000}"/>
    <cellStyle name="Output 2 2 2 4 2 2 4" xfId="14272" xr:uid="{00000000-0005-0000-0000-00001C6A0000}"/>
    <cellStyle name="Output 2 2 2 4 2 3" xfId="6922" xr:uid="{00000000-0005-0000-0000-00001D6A0000}"/>
    <cellStyle name="Output 2 2 2 4 2 3 2" xfId="25894" xr:uid="{00000000-0005-0000-0000-00001E6A0000}"/>
    <cellStyle name="Output 2 2 2 4 2 3 3" xfId="36739" xr:uid="{00000000-0005-0000-0000-00001F6A0000}"/>
    <cellStyle name="Output 2 2 2 4 2 3 4" xfId="16187" xr:uid="{00000000-0005-0000-0000-0000206A0000}"/>
    <cellStyle name="Output 2 2 2 4 2 4" xfId="9581" xr:uid="{00000000-0005-0000-0000-0000216A0000}"/>
    <cellStyle name="Output 2 2 2 4 2 4 2" xfId="28553" xr:uid="{00000000-0005-0000-0000-0000226A0000}"/>
    <cellStyle name="Output 2 2 2 4 2 4 3" xfId="39398" xr:uid="{00000000-0005-0000-0000-0000236A0000}"/>
    <cellStyle name="Output 2 2 2 4 2 4 4" xfId="18091" xr:uid="{00000000-0005-0000-0000-0000246A0000}"/>
    <cellStyle name="Output 2 2 2 4 2 5" xfId="20377" xr:uid="{00000000-0005-0000-0000-0000256A0000}"/>
    <cellStyle name="Output 2 2 2 4 2 6" xfId="31222" xr:uid="{00000000-0005-0000-0000-0000266A0000}"/>
    <cellStyle name="Output 2 2 2 4 2 7" xfId="12237" xr:uid="{00000000-0005-0000-0000-0000276A0000}"/>
    <cellStyle name="Output 2 2 2 4 3" xfId="1795" xr:uid="{00000000-0005-0000-0000-0000286A0000}"/>
    <cellStyle name="Output 2 2 2 4 3 2" xfId="4648" xr:uid="{00000000-0005-0000-0000-0000296A0000}"/>
    <cellStyle name="Output 2 2 2 4 3 2 2" xfId="23620" xr:uid="{00000000-0005-0000-0000-00002A6A0000}"/>
    <cellStyle name="Output 2 2 2 4 3 2 3" xfId="34465" xr:uid="{00000000-0005-0000-0000-00002B6A0000}"/>
    <cellStyle name="Output 2 2 2 4 3 2 4" xfId="14559" xr:uid="{00000000-0005-0000-0000-00002C6A0000}"/>
    <cellStyle name="Output 2 2 2 4 3 3" xfId="7320" xr:uid="{00000000-0005-0000-0000-00002D6A0000}"/>
    <cellStyle name="Output 2 2 2 4 3 3 2" xfId="26292" xr:uid="{00000000-0005-0000-0000-00002E6A0000}"/>
    <cellStyle name="Output 2 2 2 4 3 3 3" xfId="37137" xr:uid="{00000000-0005-0000-0000-00002F6A0000}"/>
    <cellStyle name="Output 2 2 2 4 3 3 4" xfId="16473" xr:uid="{00000000-0005-0000-0000-0000306A0000}"/>
    <cellStyle name="Output 2 2 2 4 3 4" xfId="9979" xr:uid="{00000000-0005-0000-0000-0000316A0000}"/>
    <cellStyle name="Output 2 2 2 4 3 4 2" xfId="28951" xr:uid="{00000000-0005-0000-0000-0000326A0000}"/>
    <cellStyle name="Output 2 2 2 4 3 4 3" xfId="39796" xr:uid="{00000000-0005-0000-0000-0000336A0000}"/>
    <cellStyle name="Output 2 2 2 4 3 4 4" xfId="18377" xr:uid="{00000000-0005-0000-0000-0000346A0000}"/>
    <cellStyle name="Output 2 2 2 4 3 5" xfId="20775" xr:uid="{00000000-0005-0000-0000-0000356A0000}"/>
    <cellStyle name="Output 2 2 2 4 3 6" xfId="31620" xr:uid="{00000000-0005-0000-0000-0000366A0000}"/>
    <cellStyle name="Output 2 2 2 4 3 7" xfId="12523" xr:uid="{00000000-0005-0000-0000-0000376A0000}"/>
    <cellStyle name="Output 2 2 2 4 4" xfId="2199" xr:uid="{00000000-0005-0000-0000-0000386A0000}"/>
    <cellStyle name="Output 2 2 2 4 4 2" xfId="5052" xr:uid="{00000000-0005-0000-0000-0000396A0000}"/>
    <cellStyle name="Output 2 2 2 4 4 2 2" xfId="24024" xr:uid="{00000000-0005-0000-0000-00003A6A0000}"/>
    <cellStyle name="Output 2 2 2 4 4 2 3" xfId="34869" xr:uid="{00000000-0005-0000-0000-00003B6A0000}"/>
    <cellStyle name="Output 2 2 2 4 4 2 4" xfId="14846" xr:uid="{00000000-0005-0000-0000-00003C6A0000}"/>
    <cellStyle name="Output 2 2 2 4 4 3" xfId="7723" xr:uid="{00000000-0005-0000-0000-00003D6A0000}"/>
    <cellStyle name="Output 2 2 2 4 4 3 2" xfId="26695" xr:uid="{00000000-0005-0000-0000-00003E6A0000}"/>
    <cellStyle name="Output 2 2 2 4 4 3 3" xfId="37540" xr:uid="{00000000-0005-0000-0000-00003F6A0000}"/>
    <cellStyle name="Output 2 2 2 4 4 3 4" xfId="16759" xr:uid="{00000000-0005-0000-0000-0000406A0000}"/>
    <cellStyle name="Output 2 2 2 4 4 4" xfId="10382" xr:uid="{00000000-0005-0000-0000-0000416A0000}"/>
    <cellStyle name="Output 2 2 2 4 4 4 2" xfId="29354" xr:uid="{00000000-0005-0000-0000-0000426A0000}"/>
    <cellStyle name="Output 2 2 2 4 4 4 3" xfId="40199" xr:uid="{00000000-0005-0000-0000-0000436A0000}"/>
    <cellStyle name="Output 2 2 2 4 4 4 4" xfId="18663" xr:uid="{00000000-0005-0000-0000-0000446A0000}"/>
    <cellStyle name="Output 2 2 2 4 4 5" xfId="21178" xr:uid="{00000000-0005-0000-0000-0000456A0000}"/>
    <cellStyle name="Output 2 2 2 4 4 6" xfId="32023" xr:uid="{00000000-0005-0000-0000-0000466A0000}"/>
    <cellStyle name="Output 2 2 2 4 4 7" xfId="12809" xr:uid="{00000000-0005-0000-0000-0000476A0000}"/>
    <cellStyle name="Output 2 2 2 4 5" xfId="2589" xr:uid="{00000000-0005-0000-0000-0000486A0000}"/>
    <cellStyle name="Output 2 2 2 4 5 2" xfId="5441" xr:uid="{00000000-0005-0000-0000-0000496A0000}"/>
    <cellStyle name="Output 2 2 2 4 5 2 2" xfId="24413" xr:uid="{00000000-0005-0000-0000-00004A6A0000}"/>
    <cellStyle name="Output 2 2 2 4 5 2 3" xfId="35258" xr:uid="{00000000-0005-0000-0000-00004B6A0000}"/>
    <cellStyle name="Output 2 2 2 4 5 2 4" xfId="15125" xr:uid="{00000000-0005-0000-0000-00004C6A0000}"/>
    <cellStyle name="Output 2 2 2 4 5 3" xfId="8112" xr:uid="{00000000-0005-0000-0000-00004D6A0000}"/>
    <cellStyle name="Output 2 2 2 4 5 3 2" xfId="27084" xr:uid="{00000000-0005-0000-0000-00004E6A0000}"/>
    <cellStyle name="Output 2 2 2 4 5 3 3" xfId="37929" xr:uid="{00000000-0005-0000-0000-00004F6A0000}"/>
    <cellStyle name="Output 2 2 2 4 5 3 4" xfId="17038" xr:uid="{00000000-0005-0000-0000-0000506A0000}"/>
    <cellStyle name="Output 2 2 2 4 5 4" xfId="10771" xr:uid="{00000000-0005-0000-0000-0000516A0000}"/>
    <cellStyle name="Output 2 2 2 4 5 4 2" xfId="29743" xr:uid="{00000000-0005-0000-0000-0000526A0000}"/>
    <cellStyle name="Output 2 2 2 4 5 4 3" xfId="40588" xr:uid="{00000000-0005-0000-0000-0000536A0000}"/>
    <cellStyle name="Output 2 2 2 4 5 4 4" xfId="18942" xr:uid="{00000000-0005-0000-0000-0000546A0000}"/>
    <cellStyle name="Output 2 2 2 4 5 5" xfId="21567" xr:uid="{00000000-0005-0000-0000-0000556A0000}"/>
    <cellStyle name="Output 2 2 2 4 5 6" xfId="32412" xr:uid="{00000000-0005-0000-0000-0000566A0000}"/>
    <cellStyle name="Output 2 2 2 4 5 7" xfId="13088" xr:uid="{00000000-0005-0000-0000-0000576A0000}"/>
    <cellStyle name="Output 2 2 2 4 6" xfId="2975" xr:uid="{00000000-0005-0000-0000-0000586A0000}"/>
    <cellStyle name="Output 2 2 2 4 6 2" xfId="5826" xr:uid="{00000000-0005-0000-0000-0000596A0000}"/>
    <cellStyle name="Output 2 2 2 4 6 2 2" xfId="24798" xr:uid="{00000000-0005-0000-0000-00005A6A0000}"/>
    <cellStyle name="Output 2 2 2 4 6 2 3" xfId="35643" xr:uid="{00000000-0005-0000-0000-00005B6A0000}"/>
    <cellStyle name="Output 2 2 2 4 6 2 4" xfId="15401" xr:uid="{00000000-0005-0000-0000-00005C6A0000}"/>
    <cellStyle name="Output 2 2 2 4 6 3" xfId="8497" xr:uid="{00000000-0005-0000-0000-00005D6A0000}"/>
    <cellStyle name="Output 2 2 2 4 6 3 2" xfId="27469" xr:uid="{00000000-0005-0000-0000-00005E6A0000}"/>
    <cellStyle name="Output 2 2 2 4 6 3 3" xfId="38314" xr:uid="{00000000-0005-0000-0000-00005F6A0000}"/>
    <cellStyle name="Output 2 2 2 4 6 3 4" xfId="17314" xr:uid="{00000000-0005-0000-0000-0000606A0000}"/>
    <cellStyle name="Output 2 2 2 4 6 4" xfId="11156" xr:uid="{00000000-0005-0000-0000-0000616A0000}"/>
    <cellStyle name="Output 2 2 2 4 6 4 2" xfId="30128" xr:uid="{00000000-0005-0000-0000-0000626A0000}"/>
    <cellStyle name="Output 2 2 2 4 6 4 3" xfId="40973" xr:uid="{00000000-0005-0000-0000-0000636A0000}"/>
    <cellStyle name="Output 2 2 2 4 6 4 4" xfId="19218" xr:uid="{00000000-0005-0000-0000-0000646A0000}"/>
    <cellStyle name="Output 2 2 2 4 6 5" xfId="21952" xr:uid="{00000000-0005-0000-0000-0000656A0000}"/>
    <cellStyle name="Output 2 2 2 4 6 6" xfId="32797" xr:uid="{00000000-0005-0000-0000-0000666A0000}"/>
    <cellStyle name="Output 2 2 2 4 6 7" xfId="13364" xr:uid="{00000000-0005-0000-0000-0000676A0000}"/>
    <cellStyle name="Output 2 2 2 4 7" xfId="3664" xr:uid="{00000000-0005-0000-0000-0000686A0000}"/>
    <cellStyle name="Output 2 2 2 4 7 2" xfId="22636" xr:uid="{00000000-0005-0000-0000-0000696A0000}"/>
    <cellStyle name="Output 2 2 2 4 7 3" xfId="33481" xr:uid="{00000000-0005-0000-0000-00006A6A0000}"/>
    <cellStyle name="Output 2 2 2 4 7 4" xfId="13845" xr:uid="{00000000-0005-0000-0000-00006B6A0000}"/>
    <cellStyle name="Output 2 2 2 4 8" xfId="6339" xr:uid="{00000000-0005-0000-0000-00006C6A0000}"/>
    <cellStyle name="Output 2 2 2 4 8 2" xfId="25311" xr:uid="{00000000-0005-0000-0000-00006D6A0000}"/>
    <cellStyle name="Output 2 2 2 4 8 3" xfId="36156" xr:uid="{00000000-0005-0000-0000-00006E6A0000}"/>
    <cellStyle name="Output 2 2 2 4 8 4" xfId="15761" xr:uid="{00000000-0005-0000-0000-00006F6A0000}"/>
    <cellStyle name="Output 2 2 2 4 9" xfId="8998" xr:uid="{00000000-0005-0000-0000-0000706A0000}"/>
    <cellStyle name="Output 2 2 2 4 9 2" xfId="27970" xr:uid="{00000000-0005-0000-0000-0000716A0000}"/>
    <cellStyle name="Output 2 2 2 4 9 3" xfId="38815" xr:uid="{00000000-0005-0000-0000-0000726A0000}"/>
    <cellStyle name="Output 2 2 2 4 9 4" xfId="17665" xr:uid="{00000000-0005-0000-0000-0000736A0000}"/>
    <cellStyle name="Output 2 2 2 5" xfId="868" xr:uid="{00000000-0005-0000-0000-0000746A0000}"/>
    <cellStyle name="Output 2 2 2 5 10" xfId="19853" xr:uid="{00000000-0005-0000-0000-0000756A0000}"/>
    <cellStyle name="Output 2 2 2 5 11" xfId="30698" xr:uid="{00000000-0005-0000-0000-0000766A0000}"/>
    <cellStyle name="Output 2 2 2 5 12" xfId="11850" xr:uid="{00000000-0005-0000-0000-0000776A0000}"/>
    <cellStyle name="Output 2 2 2 5 2" xfId="1455" xr:uid="{00000000-0005-0000-0000-0000786A0000}"/>
    <cellStyle name="Output 2 2 2 5 2 2" xfId="4308" xr:uid="{00000000-0005-0000-0000-0000796A0000}"/>
    <cellStyle name="Output 2 2 2 5 2 2 2" xfId="23280" xr:uid="{00000000-0005-0000-0000-00007A6A0000}"/>
    <cellStyle name="Output 2 2 2 5 2 2 3" xfId="34125" xr:uid="{00000000-0005-0000-0000-00007B6A0000}"/>
    <cellStyle name="Output 2 2 2 5 2 2 4" xfId="14311" xr:uid="{00000000-0005-0000-0000-00007C6A0000}"/>
    <cellStyle name="Output 2 2 2 5 2 3" xfId="6981" xr:uid="{00000000-0005-0000-0000-00007D6A0000}"/>
    <cellStyle name="Output 2 2 2 5 2 3 2" xfId="25953" xr:uid="{00000000-0005-0000-0000-00007E6A0000}"/>
    <cellStyle name="Output 2 2 2 5 2 3 3" xfId="36798" xr:uid="{00000000-0005-0000-0000-00007F6A0000}"/>
    <cellStyle name="Output 2 2 2 5 2 3 4" xfId="16226" xr:uid="{00000000-0005-0000-0000-0000806A0000}"/>
    <cellStyle name="Output 2 2 2 5 2 4" xfId="9640" xr:uid="{00000000-0005-0000-0000-0000816A0000}"/>
    <cellStyle name="Output 2 2 2 5 2 4 2" xfId="28612" xr:uid="{00000000-0005-0000-0000-0000826A0000}"/>
    <cellStyle name="Output 2 2 2 5 2 4 3" xfId="39457" xr:uid="{00000000-0005-0000-0000-0000836A0000}"/>
    <cellStyle name="Output 2 2 2 5 2 4 4" xfId="18130" xr:uid="{00000000-0005-0000-0000-0000846A0000}"/>
    <cellStyle name="Output 2 2 2 5 2 5" xfId="20436" xr:uid="{00000000-0005-0000-0000-0000856A0000}"/>
    <cellStyle name="Output 2 2 2 5 2 6" xfId="31281" xr:uid="{00000000-0005-0000-0000-0000866A0000}"/>
    <cellStyle name="Output 2 2 2 5 2 7" xfId="12276" xr:uid="{00000000-0005-0000-0000-0000876A0000}"/>
    <cellStyle name="Output 2 2 2 5 3" xfId="1854" xr:uid="{00000000-0005-0000-0000-0000886A0000}"/>
    <cellStyle name="Output 2 2 2 5 3 2" xfId="4707" xr:uid="{00000000-0005-0000-0000-0000896A0000}"/>
    <cellStyle name="Output 2 2 2 5 3 2 2" xfId="23679" xr:uid="{00000000-0005-0000-0000-00008A6A0000}"/>
    <cellStyle name="Output 2 2 2 5 3 2 3" xfId="34524" xr:uid="{00000000-0005-0000-0000-00008B6A0000}"/>
    <cellStyle name="Output 2 2 2 5 3 2 4" xfId="14598" xr:uid="{00000000-0005-0000-0000-00008C6A0000}"/>
    <cellStyle name="Output 2 2 2 5 3 3" xfId="7379" xr:uid="{00000000-0005-0000-0000-00008D6A0000}"/>
    <cellStyle name="Output 2 2 2 5 3 3 2" xfId="26351" xr:uid="{00000000-0005-0000-0000-00008E6A0000}"/>
    <cellStyle name="Output 2 2 2 5 3 3 3" xfId="37196" xr:uid="{00000000-0005-0000-0000-00008F6A0000}"/>
    <cellStyle name="Output 2 2 2 5 3 3 4" xfId="16512" xr:uid="{00000000-0005-0000-0000-0000906A0000}"/>
    <cellStyle name="Output 2 2 2 5 3 4" xfId="10038" xr:uid="{00000000-0005-0000-0000-0000916A0000}"/>
    <cellStyle name="Output 2 2 2 5 3 4 2" xfId="29010" xr:uid="{00000000-0005-0000-0000-0000926A0000}"/>
    <cellStyle name="Output 2 2 2 5 3 4 3" xfId="39855" xr:uid="{00000000-0005-0000-0000-0000936A0000}"/>
    <cellStyle name="Output 2 2 2 5 3 4 4" xfId="18416" xr:uid="{00000000-0005-0000-0000-0000946A0000}"/>
    <cellStyle name="Output 2 2 2 5 3 5" xfId="20834" xr:uid="{00000000-0005-0000-0000-0000956A0000}"/>
    <cellStyle name="Output 2 2 2 5 3 6" xfId="31679" xr:uid="{00000000-0005-0000-0000-0000966A0000}"/>
    <cellStyle name="Output 2 2 2 5 3 7" xfId="12562" xr:uid="{00000000-0005-0000-0000-0000976A0000}"/>
    <cellStyle name="Output 2 2 2 5 4" xfId="2258" xr:uid="{00000000-0005-0000-0000-0000986A0000}"/>
    <cellStyle name="Output 2 2 2 5 4 2" xfId="5111" xr:uid="{00000000-0005-0000-0000-0000996A0000}"/>
    <cellStyle name="Output 2 2 2 5 4 2 2" xfId="24083" xr:uid="{00000000-0005-0000-0000-00009A6A0000}"/>
    <cellStyle name="Output 2 2 2 5 4 2 3" xfId="34928" xr:uid="{00000000-0005-0000-0000-00009B6A0000}"/>
    <cellStyle name="Output 2 2 2 5 4 2 4" xfId="14885" xr:uid="{00000000-0005-0000-0000-00009C6A0000}"/>
    <cellStyle name="Output 2 2 2 5 4 3" xfId="7782" xr:uid="{00000000-0005-0000-0000-00009D6A0000}"/>
    <cellStyle name="Output 2 2 2 5 4 3 2" xfId="26754" xr:uid="{00000000-0005-0000-0000-00009E6A0000}"/>
    <cellStyle name="Output 2 2 2 5 4 3 3" xfId="37599" xr:uid="{00000000-0005-0000-0000-00009F6A0000}"/>
    <cellStyle name="Output 2 2 2 5 4 3 4" xfId="16798" xr:uid="{00000000-0005-0000-0000-0000A06A0000}"/>
    <cellStyle name="Output 2 2 2 5 4 4" xfId="10441" xr:uid="{00000000-0005-0000-0000-0000A16A0000}"/>
    <cellStyle name="Output 2 2 2 5 4 4 2" xfId="29413" xr:uid="{00000000-0005-0000-0000-0000A26A0000}"/>
    <cellStyle name="Output 2 2 2 5 4 4 3" xfId="40258" xr:uid="{00000000-0005-0000-0000-0000A36A0000}"/>
    <cellStyle name="Output 2 2 2 5 4 4 4" xfId="18702" xr:uid="{00000000-0005-0000-0000-0000A46A0000}"/>
    <cellStyle name="Output 2 2 2 5 4 5" xfId="21237" xr:uid="{00000000-0005-0000-0000-0000A56A0000}"/>
    <cellStyle name="Output 2 2 2 5 4 6" xfId="32082" xr:uid="{00000000-0005-0000-0000-0000A66A0000}"/>
    <cellStyle name="Output 2 2 2 5 4 7" xfId="12848" xr:uid="{00000000-0005-0000-0000-0000A76A0000}"/>
    <cellStyle name="Output 2 2 2 5 5" xfId="2648" xr:uid="{00000000-0005-0000-0000-0000A86A0000}"/>
    <cellStyle name="Output 2 2 2 5 5 2" xfId="5500" xr:uid="{00000000-0005-0000-0000-0000A96A0000}"/>
    <cellStyle name="Output 2 2 2 5 5 2 2" xfId="24472" xr:uid="{00000000-0005-0000-0000-0000AA6A0000}"/>
    <cellStyle name="Output 2 2 2 5 5 2 3" xfId="35317" xr:uid="{00000000-0005-0000-0000-0000AB6A0000}"/>
    <cellStyle name="Output 2 2 2 5 5 2 4" xfId="15164" xr:uid="{00000000-0005-0000-0000-0000AC6A0000}"/>
    <cellStyle name="Output 2 2 2 5 5 3" xfId="8171" xr:uid="{00000000-0005-0000-0000-0000AD6A0000}"/>
    <cellStyle name="Output 2 2 2 5 5 3 2" xfId="27143" xr:uid="{00000000-0005-0000-0000-0000AE6A0000}"/>
    <cellStyle name="Output 2 2 2 5 5 3 3" xfId="37988" xr:uid="{00000000-0005-0000-0000-0000AF6A0000}"/>
    <cellStyle name="Output 2 2 2 5 5 3 4" xfId="17077" xr:uid="{00000000-0005-0000-0000-0000B06A0000}"/>
    <cellStyle name="Output 2 2 2 5 5 4" xfId="10830" xr:uid="{00000000-0005-0000-0000-0000B16A0000}"/>
    <cellStyle name="Output 2 2 2 5 5 4 2" xfId="29802" xr:uid="{00000000-0005-0000-0000-0000B26A0000}"/>
    <cellStyle name="Output 2 2 2 5 5 4 3" xfId="40647" xr:uid="{00000000-0005-0000-0000-0000B36A0000}"/>
    <cellStyle name="Output 2 2 2 5 5 4 4" xfId="18981" xr:uid="{00000000-0005-0000-0000-0000B46A0000}"/>
    <cellStyle name="Output 2 2 2 5 5 5" xfId="21626" xr:uid="{00000000-0005-0000-0000-0000B56A0000}"/>
    <cellStyle name="Output 2 2 2 5 5 6" xfId="32471" xr:uid="{00000000-0005-0000-0000-0000B66A0000}"/>
    <cellStyle name="Output 2 2 2 5 5 7" xfId="13127" xr:uid="{00000000-0005-0000-0000-0000B76A0000}"/>
    <cellStyle name="Output 2 2 2 5 6" xfId="3034" xr:uid="{00000000-0005-0000-0000-0000B86A0000}"/>
    <cellStyle name="Output 2 2 2 5 6 2" xfId="5885" xr:uid="{00000000-0005-0000-0000-0000B96A0000}"/>
    <cellStyle name="Output 2 2 2 5 6 2 2" xfId="24857" xr:uid="{00000000-0005-0000-0000-0000BA6A0000}"/>
    <cellStyle name="Output 2 2 2 5 6 2 3" xfId="35702" xr:uid="{00000000-0005-0000-0000-0000BB6A0000}"/>
    <cellStyle name="Output 2 2 2 5 6 2 4" xfId="15440" xr:uid="{00000000-0005-0000-0000-0000BC6A0000}"/>
    <cellStyle name="Output 2 2 2 5 6 3" xfId="8556" xr:uid="{00000000-0005-0000-0000-0000BD6A0000}"/>
    <cellStyle name="Output 2 2 2 5 6 3 2" xfId="27528" xr:uid="{00000000-0005-0000-0000-0000BE6A0000}"/>
    <cellStyle name="Output 2 2 2 5 6 3 3" xfId="38373" xr:uid="{00000000-0005-0000-0000-0000BF6A0000}"/>
    <cellStyle name="Output 2 2 2 5 6 3 4" xfId="17353" xr:uid="{00000000-0005-0000-0000-0000C06A0000}"/>
    <cellStyle name="Output 2 2 2 5 6 4" xfId="11215" xr:uid="{00000000-0005-0000-0000-0000C16A0000}"/>
    <cellStyle name="Output 2 2 2 5 6 4 2" xfId="30187" xr:uid="{00000000-0005-0000-0000-0000C26A0000}"/>
    <cellStyle name="Output 2 2 2 5 6 4 3" xfId="41032" xr:uid="{00000000-0005-0000-0000-0000C36A0000}"/>
    <cellStyle name="Output 2 2 2 5 6 4 4" xfId="19257" xr:uid="{00000000-0005-0000-0000-0000C46A0000}"/>
    <cellStyle name="Output 2 2 2 5 6 5" xfId="22011" xr:uid="{00000000-0005-0000-0000-0000C56A0000}"/>
    <cellStyle name="Output 2 2 2 5 6 6" xfId="32856" xr:uid="{00000000-0005-0000-0000-0000C66A0000}"/>
    <cellStyle name="Output 2 2 2 5 6 7" xfId="13403" xr:uid="{00000000-0005-0000-0000-0000C76A0000}"/>
    <cellStyle name="Output 2 2 2 5 7" xfId="3723" xr:uid="{00000000-0005-0000-0000-0000C86A0000}"/>
    <cellStyle name="Output 2 2 2 5 7 2" xfId="22695" xr:uid="{00000000-0005-0000-0000-0000C96A0000}"/>
    <cellStyle name="Output 2 2 2 5 7 3" xfId="33540" xr:uid="{00000000-0005-0000-0000-0000CA6A0000}"/>
    <cellStyle name="Output 2 2 2 5 7 4" xfId="13884" xr:uid="{00000000-0005-0000-0000-0000CB6A0000}"/>
    <cellStyle name="Output 2 2 2 5 8" xfId="6398" xr:uid="{00000000-0005-0000-0000-0000CC6A0000}"/>
    <cellStyle name="Output 2 2 2 5 8 2" xfId="25370" xr:uid="{00000000-0005-0000-0000-0000CD6A0000}"/>
    <cellStyle name="Output 2 2 2 5 8 3" xfId="36215" xr:uid="{00000000-0005-0000-0000-0000CE6A0000}"/>
    <cellStyle name="Output 2 2 2 5 8 4" xfId="15800" xr:uid="{00000000-0005-0000-0000-0000CF6A0000}"/>
    <cellStyle name="Output 2 2 2 5 9" xfId="9057" xr:uid="{00000000-0005-0000-0000-0000D06A0000}"/>
    <cellStyle name="Output 2 2 2 5 9 2" xfId="28029" xr:uid="{00000000-0005-0000-0000-0000D16A0000}"/>
    <cellStyle name="Output 2 2 2 5 9 3" xfId="38874" xr:uid="{00000000-0005-0000-0000-0000D26A0000}"/>
    <cellStyle name="Output 2 2 2 5 9 4" xfId="17704" xr:uid="{00000000-0005-0000-0000-0000D36A0000}"/>
    <cellStyle name="Output 2 2 2 6" xfId="1090" xr:uid="{00000000-0005-0000-0000-0000D46A0000}"/>
    <cellStyle name="Output 2 2 2 6 2" xfId="3943" xr:uid="{00000000-0005-0000-0000-0000D56A0000}"/>
    <cellStyle name="Output 2 2 2 6 2 2" xfId="22915" xr:uid="{00000000-0005-0000-0000-0000D66A0000}"/>
    <cellStyle name="Output 2 2 2 6 2 3" xfId="33760" xr:uid="{00000000-0005-0000-0000-0000D76A0000}"/>
    <cellStyle name="Output 2 2 2 6 2 4" xfId="14046" xr:uid="{00000000-0005-0000-0000-0000D86A0000}"/>
    <cellStyle name="Output 2 2 2 6 3" xfId="6617" xr:uid="{00000000-0005-0000-0000-0000D96A0000}"/>
    <cellStyle name="Output 2 2 2 6 3 2" xfId="25589" xr:uid="{00000000-0005-0000-0000-0000DA6A0000}"/>
    <cellStyle name="Output 2 2 2 6 3 3" xfId="36434" xr:uid="{00000000-0005-0000-0000-0000DB6A0000}"/>
    <cellStyle name="Output 2 2 2 6 3 4" xfId="15962" xr:uid="{00000000-0005-0000-0000-0000DC6A0000}"/>
    <cellStyle name="Output 2 2 2 6 4" xfId="9276" xr:uid="{00000000-0005-0000-0000-0000DD6A0000}"/>
    <cellStyle name="Output 2 2 2 6 4 2" xfId="28248" xr:uid="{00000000-0005-0000-0000-0000DE6A0000}"/>
    <cellStyle name="Output 2 2 2 6 4 3" xfId="39093" xr:uid="{00000000-0005-0000-0000-0000DF6A0000}"/>
    <cellStyle name="Output 2 2 2 6 4 4" xfId="17866" xr:uid="{00000000-0005-0000-0000-0000E06A0000}"/>
    <cellStyle name="Output 2 2 2 6 5" xfId="20072" xr:uid="{00000000-0005-0000-0000-0000E16A0000}"/>
    <cellStyle name="Output 2 2 2 6 6" xfId="30917" xr:uid="{00000000-0005-0000-0000-0000E26A0000}"/>
    <cellStyle name="Output 2 2 2 6 7" xfId="12012" xr:uid="{00000000-0005-0000-0000-0000E36A0000}"/>
    <cellStyle name="Output 2 2 2 7" xfId="1048" xr:uid="{00000000-0005-0000-0000-0000E46A0000}"/>
    <cellStyle name="Output 2 2 2 7 2" xfId="3901" xr:uid="{00000000-0005-0000-0000-0000E56A0000}"/>
    <cellStyle name="Output 2 2 2 7 2 2" xfId="22873" xr:uid="{00000000-0005-0000-0000-0000E66A0000}"/>
    <cellStyle name="Output 2 2 2 7 2 3" xfId="33718" xr:uid="{00000000-0005-0000-0000-0000E76A0000}"/>
    <cellStyle name="Output 2 2 2 7 2 4" xfId="14017" xr:uid="{00000000-0005-0000-0000-0000E86A0000}"/>
    <cellStyle name="Output 2 2 2 7 3" xfId="6575" xr:uid="{00000000-0005-0000-0000-0000E96A0000}"/>
    <cellStyle name="Output 2 2 2 7 3 2" xfId="25547" xr:uid="{00000000-0005-0000-0000-0000EA6A0000}"/>
    <cellStyle name="Output 2 2 2 7 3 3" xfId="36392" xr:uid="{00000000-0005-0000-0000-0000EB6A0000}"/>
    <cellStyle name="Output 2 2 2 7 3 4" xfId="15933" xr:uid="{00000000-0005-0000-0000-0000EC6A0000}"/>
    <cellStyle name="Output 2 2 2 7 4" xfId="9234" xr:uid="{00000000-0005-0000-0000-0000ED6A0000}"/>
    <cellStyle name="Output 2 2 2 7 4 2" xfId="28206" xr:uid="{00000000-0005-0000-0000-0000EE6A0000}"/>
    <cellStyle name="Output 2 2 2 7 4 3" xfId="39051" xr:uid="{00000000-0005-0000-0000-0000EF6A0000}"/>
    <cellStyle name="Output 2 2 2 7 4 4" xfId="17837" xr:uid="{00000000-0005-0000-0000-0000F06A0000}"/>
    <cellStyle name="Output 2 2 2 7 5" xfId="20030" xr:uid="{00000000-0005-0000-0000-0000F16A0000}"/>
    <cellStyle name="Output 2 2 2 7 6" xfId="30875" xr:uid="{00000000-0005-0000-0000-0000F26A0000}"/>
    <cellStyle name="Output 2 2 2 7 7" xfId="11983" xr:uid="{00000000-0005-0000-0000-0000F36A0000}"/>
    <cellStyle name="Output 2 2 2 8" xfId="1897" xr:uid="{00000000-0005-0000-0000-0000F46A0000}"/>
    <cellStyle name="Output 2 2 2 8 2" xfId="4750" xr:uid="{00000000-0005-0000-0000-0000F56A0000}"/>
    <cellStyle name="Output 2 2 2 8 2 2" xfId="23722" xr:uid="{00000000-0005-0000-0000-0000F66A0000}"/>
    <cellStyle name="Output 2 2 2 8 2 3" xfId="34567" xr:uid="{00000000-0005-0000-0000-0000F76A0000}"/>
    <cellStyle name="Output 2 2 2 8 2 4" xfId="14626" xr:uid="{00000000-0005-0000-0000-0000F86A0000}"/>
    <cellStyle name="Output 2 2 2 8 3" xfId="7422" xr:uid="{00000000-0005-0000-0000-0000F96A0000}"/>
    <cellStyle name="Output 2 2 2 8 3 2" xfId="26394" xr:uid="{00000000-0005-0000-0000-0000FA6A0000}"/>
    <cellStyle name="Output 2 2 2 8 3 3" xfId="37239" xr:uid="{00000000-0005-0000-0000-0000FB6A0000}"/>
    <cellStyle name="Output 2 2 2 8 3 4" xfId="16540" xr:uid="{00000000-0005-0000-0000-0000FC6A0000}"/>
    <cellStyle name="Output 2 2 2 8 4" xfId="10081" xr:uid="{00000000-0005-0000-0000-0000FD6A0000}"/>
    <cellStyle name="Output 2 2 2 8 4 2" xfId="29053" xr:uid="{00000000-0005-0000-0000-0000FE6A0000}"/>
    <cellStyle name="Output 2 2 2 8 4 3" xfId="39898" xr:uid="{00000000-0005-0000-0000-0000FF6A0000}"/>
    <cellStyle name="Output 2 2 2 8 4 4" xfId="18444" xr:uid="{00000000-0005-0000-0000-0000006B0000}"/>
    <cellStyle name="Output 2 2 2 8 5" xfId="20877" xr:uid="{00000000-0005-0000-0000-0000016B0000}"/>
    <cellStyle name="Output 2 2 2 8 6" xfId="31722" xr:uid="{00000000-0005-0000-0000-0000026B0000}"/>
    <cellStyle name="Output 2 2 2 8 7" xfId="12590" xr:uid="{00000000-0005-0000-0000-0000036B0000}"/>
    <cellStyle name="Output 2 2 2 9" xfId="988" xr:uid="{00000000-0005-0000-0000-0000046B0000}"/>
    <cellStyle name="Output 2 2 2 9 2" xfId="3841" xr:uid="{00000000-0005-0000-0000-0000056B0000}"/>
    <cellStyle name="Output 2 2 2 9 2 2" xfId="22813" xr:uid="{00000000-0005-0000-0000-0000066B0000}"/>
    <cellStyle name="Output 2 2 2 9 2 3" xfId="33658" xr:uid="{00000000-0005-0000-0000-0000076B0000}"/>
    <cellStyle name="Output 2 2 2 9 2 4" xfId="13974" xr:uid="{00000000-0005-0000-0000-0000086B0000}"/>
    <cellStyle name="Output 2 2 2 9 3" xfId="6516" xr:uid="{00000000-0005-0000-0000-0000096B0000}"/>
    <cellStyle name="Output 2 2 2 9 3 2" xfId="25488" xr:uid="{00000000-0005-0000-0000-00000A6B0000}"/>
    <cellStyle name="Output 2 2 2 9 3 3" xfId="36333" xr:uid="{00000000-0005-0000-0000-00000B6B0000}"/>
    <cellStyle name="Output 2 2 2 9 3 4" xfId="15890" xr:uid="{00000000-0005-0000-0000-00000C6B0000}"/>
    <cellStyle name="Output 2 2 2 9 4" xfId="9175" xr:uid="{00000000-0005-0000-0000-00000D6B0000}"/>
    <cellStyle name="Output 2 2 2 9 4 2" xfId="28147" xr:uid="{00000000-0005-0000-0000-00000E6B0000}"/>
    <cellStyle name="Output 2 2 2 9 4 3" xfId="38992" xr:uid="{00000000-0005-0000-0000-00000F6B0000}"/>
    <cellStyle name="Output 2 2 2 9 4 4" xfId="17794" xr:uid="{00000000-0005-0000-0000-0000106B0000}"/>
    <cellStyle name="Output 2 2 2 9 5" xfId="19971" xr:uid="{00000000-0005-0000-0000-0000116B0000}"/>
    <cellStyle name="Output 2 2 2 9 6" xfId="30816" xr:uid="{00000000-0005-0000-0000-0000126B0000}"/>
    <cellStyle name="Output 2 2 2 9 7" xfId="11940" xr:uid="{00000000-0005-0000-0000-0000136B0000}"/>
    <cellStyle name="Output 2 2 3" xfId="572" xr:uid="{00000000-0005-0000-0000-0000146B0000}"/>
    <cellStyle name="Output 2 2 3 10" xfId="19582" xr:uid="{00000000-0005-0000-0000-0000156B0000}"/>
    <cellStyle name="Output 2 2 3 11" xfId="30427" xr:uid="{00000000-0005-0000-0000-0000166B0000}"/>
    <cellStyle name="Output 2 2 3 12" xfId="11636" xr:uid="{00000000-0005-0000-0000-0000176B0000}"/>
    <cellStyle name="Output 2 2 3 2" xfId="1178" xr:uid="{00000000-0005-0000-0000-0000186B0000}"/>
    <cellStyle name="Output 2 2 3 2 2" xfId="4031" xr:uid="{00000000-0005-0000-0000-0000196B0000}"/>
    <cellStyle name="Output 2 2 3 2 2 2" xfId="23003" xr:uid="{00000000-0005-0000-0000-00001A6B0000}"/>
    <cellStyle name="Output 2 2 3 2 2 3" xfId="33848" xr:uid="{00000000-0005-0000-0000-00001B6B0000}"/>
    <cellStyle name="Output 2 2 3 2 2 4" xfId="14113" xr:uid="{00000000-0005-0000-0000-00001C6B0000}"/>
    <cellStyle name="Output 2 2 3 2 3" xfId="6704" xr:uid="{00000000-0005-0000-0000-00001D6B0000}"/>
    <cellStyle name="Output 2 2 3 2 3 2" xfId="25676" xr:uid="{00000000-0005-0000-0000-00001E6B0000}"/>
    <cellStyle name="Output 2 2 3 2 3 3" xfId="36521" xr:uid="{00000000-0005-0000-0000-00001F6B0000}"/>
    <cellStyle name="Output 2 2 3 2 3 4" xfId="16028" xr:uid="{00000000-0005-0000-0000-0000206B0000}"/>
    <cellStyle name="Output 2 2 3 2 4" xfId="9363" xr:uid="{00000000-0005-0000-0000-0000216B0000}"/>
    <cellStyle name="Output 2 2 3 2 4 2" xfId="28335" xr:uid="{00000000-0005-0000-0000-0000226B0000}"/>
    <cellStyle name="Output 2 2 3 2 4 3" xfId="39180" xr:uid="{00000000-0005-0000-0000-0000236B0000}"/>
    <cellStyle name="Output 2 2 3 2 4 4" xfId="17932" xr:uid="{00000000-0005-0000-0000-0000246B0000}"/>
    <cellStyle name="Output 2 2 3 2 5" xfId="20159" xr:uid="{00000000-0005-0000-0000-0000256B0000}"/>
    <cellStyle name="Output 2 2 3 2 6" xfId="31004" xr:uid="{00000000-0005-0000-0000-0000266B0000}"/>
    <cellStyle name="Output 2 2 3 2 7" xfId="12078" xr:uid="{00000000-0005-0000-0000-0000276B0000}"/>
    <cellStyle name="Output 2 2 3 3" xfId="1575" xr:uid="{00000000-0005-0000-0000-0000286B0000}"/>
    <cellStyle name="Output 2 2 3 3 2" xfId="4428" xr:uid="{00000000-0005-0000-0000-0000296B0000}"/>
    <cellStyle name="Output 2 2 3 3 2 2" xfId="23400" xr:uid="{00000000-0005-0000-0000-00002A6B0000}"/>
    <cellStyle name="Output 2 2 3 3 2 3" xfId="34245" xr:uid="{00000000-0005-0000-0000-00002B6B0000}"/>
    <cellStyle name="Output 2 2 3 3 2 4" xfId="14399" xr:uid="{00000000-0005-0000-0000-00002C6B0000}"/>
    <cellStyle name="Output 2 2 3 3 3" xfId="7100" xr:uid="{00000000-0005-0000-0000-00002D6B0000}"/>
    <cellStyle name="Output 2 2 3 3 3 2" xfId="26072" xr:uid="{00000000-0005-0000-0000-00002E6B0000}"/>
    <cellStyle name="Output 2 2 3 3 3 3" xfId="36917" xr:uid="{00000000-0005-0000-0000-00002F6B0000}"/>
    <cellStyle name="Output 2 2 3 3 3 4" xfId="16313" xr:uid="{00000000-0005-0000-0000-0000306B0000}"/>
    <cellStyle name="Output 2 2 3 3 4" xfId="9759" xr:uid="{00000000-0005-0000-0000-0000316B0000}"/>
    <cellStyle name="Output 2 2 3 3 4 2" xfId="28731" xr:uid="{00000000-0005-0000-0000-0000326B0000}"/>
    <cellStyle name="Output 2 2 3 3 4 3" xfId="39576" xr:uid="{00000000-0005-0000-0000-0000336B0000}"/>
    <cellStyle name="Output 2 2 3 3 4 4" xfId="18217" xr:uid="{00000000-0005-0000-0000-0000346B0000}"/>
    <cellStyle name="Output 2 2 3 3 5" xfId="20555" xr:uid="{00000000-0005-0000-0000-0000356B0000}"/>
    <cellStyle name="Output 2 2 3 3 6" xfId="31400" xr:uid="{00000000-0005-0000-0000-0000366B0000}"/>
    <cellStyle name="Output 2 2 3 3 7" xfId="12363" xr:uid="{00000000-0005-0000-0000-0000376B0000}"/>
    <cellStyle name="Output 2 2 3 4" xfId="1979" xr:uid="{00000000-0005-0000-0000-0000386B0000}"/>
    <cellStyle name="Output 2 2 3 4 2" xfId="4832" xr:uid="{00000000-0005-0000-0000-0000396B0000}"/>
    <cellStyle name="Output 2 2 3 4 2 2" xfId="23804" xr:uid="{00000000-0005-0000-0000-00003A6B0000}"/>
    <cellStyle name="Output 2 2 3 4 2 3" xfId="34649" xr:uid="{00000000-0005-0000-0000-00003B6B0000}"/>
    <cellStyle name="Output 2 2 3 4 2 4" xfId="14687" xr:uid="{00000000-0005-0000-0000-00003C6B0000}"/>
    <cellStyle name="Output 2 2 3 4 3" xfId="7504" xr:uid="{00000000-0005-0000-0000-00003D6B0000}"/>
    <cellStyle name="Output 2 2 3 4 3 2" xfId="26476" xr:uid="{00000000-0005-0000-0000-00003E6B0000}"/>
    <cellStyle name="Output 2 2 3 4 3 3" xfId="37321" xr:uid="{00000000-0005-0000-0000-00003F6B0000}"/>
    <cellStyle name="Output 2 2 3 4 3 4" xfId="16601" xr:uid="{00000000-0005-0000-0000-0000406B0000}"/>
    <cellStyle name="Output 2 2 3 4 4" xfId="10163" xr:uid="{00000000-0005-0000-0000-0000416B0000}"/>
    <cellStyle name="Output 2 2 3 4 4 2" xfId="29135" xr:uid="{00000000-0005-0000-0000-0000426B0000}"/>
    <cellStyle name="Output 2 2 3 4 4 3" xfId="39980" xr:uid="{00000000-0005-0000-0000-0000436B0000}"/>
    <cellStyle name="Output 2 2 3 4 4 4" xfId="18505" xr:uid="{00000000-0005-0000-0000-0000446B0000}"/>
    <cellStyle name="Output 2 2 3 4 5" xfId="20959" xr:uid="{00000000-0005-0000-0000-0000456B0000}"/>
    <cellStyle name="Output 2 2 3 4 6" xfId="31804" xr:uid="{00000000-0005-0000-0000-0000466B0000}"/>
    <cellStyle name="Output 2 2 3 4 7" xfId="12651" xr:uid="{00000000-0005-0000-0000-0000476B0000}"/>
    <cellStyle name="Output 2 2 3 5" xfId="2371" xr:uid="{00000000-0005-0000-0000-0000486B0000}"/>
    <cellStyle name="Output 2 2 3 5 2" xfId="5224" xr:uid="{00000000-0005-0000-0000-0000496B0000}"/>
    <cellStyle name="Output 2 2 3 5 2 2" xfId="24196" xr:uid="{00000000-0005-0000-0000-00004A6B0000}"/>
    <cellStyle name="Output 2 2 3 5 2 3" xfId="35041" xr:uid="{00000000-0005-0000-0000-00004B6B0000}"/>
    <cellStyle name="Output 2 2 3 5 2 4" xfId="14968" xr:uid="{00000000-0005-0000-0000-00004C6B0000}"/>
    <cellStyle name="Output 2 2 3 5 3" xfId="7895" xr:uid="{00000000-0005-0000-0000-00004D6B0000}"/>
    <cellStyle name="Output 2 2 3 5 3 2" xfId="26867" xr:uid="{00000000-0005-0000-0000-00004E6B0000}"/>
    <cellStyle name="Output 2 2 3 5 3 3" xfId="37712" xr:uid="{00000000-0005-0000-0000-00004F6B0000}"/>
    <cellStyle name="Output 2 2 3 5 3 4" xfId="16881" xr:uid="{00000000-0005-0000-0000-0000506B0000}"/>
    <cellStyle name="Output 2 2 3 5 4" xfId="10554" xr:uid="{00000000-0005-0000-0000-0000516B0000}"/>
    <cellStyle name="Output 2 2 3 5 4 2" xfId="29526" xr:uid="{00000000-0005-0000-0000-0000526B0000}"/>
    <cellStyle name="Output 2 2 3 5 4 3" xfId="40371" xr:uid="{00000000-0005-0000-0000-0000536B0000}"/>
    <cellStyle name="Output 2 2 3 5 4 4" xfId="18785" xr:uid="{00000000-0005-0000-0000-0000546B0000}"/>
    <cellStyle name="Output 2 2 3 5 5" xfId="21350" xr:uid="{00000000-0005-0000-0000-0000556B0000}"/>
    <cellStyle name="Output 2 2 3 5 6" xfId="32195" xr:uid="{00000000-0005-0000-0000-0000566B0000}"/>
    <cellStyle name="Output 2 2 3 5 7" xfId="12931" xr:uid="{00000000-0005-0000-0000-0000576B0000}"/>
    <cellStyle name="Output 2 2 3 6" xfId="2760" xr:uid="{00000000-0005-0000-0000-0000586B0000}"/>
    <cellStyle name="Output 2 2 3 6 2" xfId="5612" xr:uid="{00000000-0005-0000-0000-0000596B0000}"/>
    <cellStyle name="Output 2 2 3 6 2 2" xfId="24584" xr:uid="{00000000-0005-0000-0000-00005A6B0000}"/>
    <cellStyle name="Output 2 2 3 6 2 3" xfId="35429" xr:uid="{00000000-0005-0000-0000-00005B6B0000}"/>
    <cellStyle name="Output 2 2 3 6 2 4" xfId="15246" xr:uid="{00000000-0005-0000-0000-00005C6B0000}"/>
    <cellStyle name="Output 2 2 3 6 3" xfId="8283" xr:uid="{00000000-0005-0000-0000-00005D6B0000}"/>
    <cellStyle name="Output 2 2 3 6 3 2" xfId="27255" xr:uid="{00000000-0005-0000-0000-00005E6B0000}"/>
    <cellStyle name="Output 2 2 3 6 3 3" xfId="38100" xr:uid="{00000000-0005-0000-0000-00005F6B0000}"/>
    <cellStyle name="Output 2 2 3 6 3 4" xfId="17159" xr:uid="{00000000-0005-0000-0000-0000606B0000}"/>
    <cellStyle name="Output 2 2 3 6 4" xfId="10942" xr:uid="{00000000-0005-0000-0000-0000616B0000}"/>
    <cellStyle name="Output 2 2 3 6 4 2" xfId="29914" xr:uid="{00000000-0005-0000-0000-0000626B0000}"/>
    <cellStyle name="Output 2 2 3 6 4 3" xfId="40759" xr:uid="{00000000-0005-0000-0000-0000636B0000}"/>
    <cellStyle name="Output 2 2 3 6 4 4" xfId="19063" xr:uid="{00000000-0005-0000-0000-0000646B0000}"/>
    <cellStyle name="Output 2 2 3 6 5" xfId="21738" xr:uid="{00000000-0005-0000-0000-0000656B0000}"/>
    <cellStyle name="Output 2 2 3 6 6" xfId="32583" xr:uid="{00000000-0005-0000-0000-0000666B0000}"/>
    <cellStyle name="Output 2 2 3 6 7" xfId="13209" xr:uid="{00000000-0005-0000-0000-0000676B0000}"/>
    <cellStyle name="Output 2 2 3 7" xfId="3451" xr:uid="{00000000-0005-0000-0000-0000686B0000}"/>
    <cellStyle name="Output 2 2 3 7 2" xfId="22423" xr:uid="{00000000-0005-0000-0000-0000696B0000}"/>
    <cellStyle name="Output 2 2 3 7 3" xfId="33268" xr:uid="{00000000-0005-0000-0000-00006A6B0000}"/>
    <cellStyle name="Output 2 2 3 7 4" xfId="13691" xr:uid="{00000000-0005-0000-0000-00006B6B0000}"/>
    <cellStyle name="Output 2 2 3 8" xfId="6127" xr:uid="{00000000-0005-0000-0000-00006C6B0000}"/>
    <cellStyle name="Output 2 2 3 8 2" xfId="25099" xr:uid="{00000000-0005-0000-0000-00006D6B0000}"/>
    <cellStyle name="Output 2 2 3 8 3" xfId="35944" xr:uid="{00000000-0005-0000-0000-00006E6B0000}"/>
    <cellStyle name="Output 2 2 3 8 4" xfId="15608" xr:uid="{00000000-0005-0000-0000-00006F6B0000}"/>
    <cellStyle name="Output 2 2 3 9" xfId="8786" xr:uid="{00000000-0005-0000-0000-0000706B0000}"/>
    <cellStyle name="Output 2 2 3 9 2" xfId="27758" xr:uid="{00000000-0005-0000-0000-0000716B0000}"/>
    <cellStyle name="Output 2 2 3 9 3" xfId="38603" xr:uid="{00000000-0005-0000-0000-0000726B0000}"/>
    <cellStyle name="Output 2 2 3 9 4" xfId="17512" xr:uid="{00000000-0005-0000-0000-0000736B0000}"/>
    <cellStyle name="Output 2 2 4" xfId="11463" xr:uid="{00000000-0005-0000-0000-0000746B0000}"/>
    <cellStyle name="Output 2 3" xfId="139" xr:uid="{00000000-0005-0000-0000-0000756B0000}"/>
    <cellStyle name="Output 2 3 2" xfId="390" xr:uid="{00000000-0005-0000-0000-0000766B0000}"/>
    <cellStyle name="Output 2 3 2 10" xfId="928" xr:uid="{00000000-0005-0000-0000-0000776B0000}"/>
    <cellStyle name="Output 2 3 2 10 2" xfId="3783" xr:uid="{00000000-0005-0000-0000-0000786B0000}"/>
    <cellStyle name="Output 2 3 2 10 2 2" xfId="22755" xr:uid="{00000000-0005-0000-0000-0000796B0000}"/>
    <cellStyle name="Output 2 3 2 10 2 3" xfId="33600" xr:uid="{00000000-0005-0000-0000-00007A6B0000}"/>
    <cellStyle name="Output 2 3 2 10 2 4" xfId="13929" xr:uid="{00000000-0005-0000-0000-00007B6B0000}"/>
    <cellStyle name="Output 2 3 2 10 3" xfId="6458" xr:uid="{00000000-0005-0000-0000-00007C6B0000}"/>
    <cellStyle name="Output 2 3 2 10 3 2" xfId="25430" xr:uid="{00000000-0005-0000-0000-00007D6B0000}"/>
    <cellStyle name="Output 2 3 2 10 3 3" xfId="36275" xr:uid="{00000000-0005-0000-0000-00007E6B0000}"/>
    <cellStyle name="Output 2 3 2 10 3 4" xfId="15845" xr:uid="{00000000-0005-0000-0000-00007F6B0000}"/>
    <cellStyle name="Output 2 3 2 10 4" xfId="9117" xr:uid="{00000000-0005-0000-0000-0000806B0000}"/>
    <cellStyle name="Output 2 3 2 10 4 2" xfId="28089" xr:uid="{00000000-0005-0000-0000-0000816B0000}"/>
    <cellStyle name="Output 2 3 2 10 4 3" xfId="38934" xr:uid="{00000000-0005-0000-0000-0000826B0000}"/>
    <cellStyle name="Output 2 3 2 10 4 4" xfId="17749" xr:uid="{00000000-0005-0000-0000-0000836B0000}"/>
    <cellStyle name="Output 2 3 2 10 5" xfId="19913" xr:uid="{00000000-0005-0000-0000-0000846B0000}"/>
    <cellStyle name="Output 2 3 2 10 6" xfId="30758" xr:uid="{00000000-0005-0000-0000-0000856B0000}"/>
    <cellStyle name="Output 2 3 2 10 7" xfId="11895" xr:uid="{00000000-0005-0000-0000-0000866B0000}"/>
    <cellStyle name="Output 2 3 2 11" xfId="1045" xr:uid="{00000000-0005-0000-0000-0000876B0000}"/>
    <cellStyle name="Output 2 3 2 11 2" xfId="3898" xr:uid="{00000000-0005-0000-0000-0000886B0000}"/>
    <cellStyle name="Output 2 3 2 11 2 2" xfId="22870" xr:uid="{00000000-0005-0000-0000-0000896B0000}"/>
    <cellStyle name="Output 2 3 2 11 2 3" xfId="33715" xr:uid="{00000000-0005-0000-0000-00008A6B0000}"/>
    <cellStyle name="Output 2 3 2 11 2 4" xfId="14014" xr:uid="{00000000-0005-0000-0000-00008B6B0000}"/>
    <cellStyle name="Output 2 3 2 11 3" xfId="6572" xr:uid="{00000000-0005-0000-0000-00008C6B0000}"/>
    <cellStyle name="Output 2 3 2 11 3 2" xfId="25544" xr:uid="{00000000-0005-0000-0000-00008D6B0000}"/>
    <cellStyle name="Output 2 3 2 11 3 3" xfId="36389" xr:uid="{00000000-0005-0000-0000-00008E6B0000}"/>
    <cellStyle name="Output 2 3 2 11 3 4" xfId="15930" xr:uid="{00000000-0005-0000-0000-00008F6B0000}"/>
    <cellStyle name="Output 2 3 2 11 4" xfId="9231" xr:uid="{00000000-0005-0000-0000-0000906B0000}"/>
    <cellStyle name="Output 2 3 2 11 4 2" xfId="28203" xr:uid="{00000000-0005-0000-0000-0000916B0000}"/>
    <cellStyle name="Output 2 3 2 11 4 3" xfId="39048" xr:uid="{00000000-0005-0000-0000-0000926B0000}"/>
    <cellStyle name="Output 2 3 2 11 4 4" xfId="17834" xr:uid="{00000000-0005-0000-0000-0000936B0000}"/>
    <cellStyle name="Output 2 3 2 11 5" xfId="20027" xr:uid="{00000000-0005-0000-0000-0000946B0000}"/>
    <cellStyle name="Output 2 3 2 11 6" xfId="30872" xr:uid="{00000000-0005-0000-0000-0000956B0000}"/>
    <cellStyle name="Output 2 3 2 11 7" xfId="11980" xr:uid="{00000000-0005-0000-0000-0000966B0000}"/>
    <cellStyle name="Output 2 3 2 12" xfId="3125" xr:uid="{00000000-0005-0000-0000-0000976B0000}"/>
    <cellStyle name="Output 2 3 2 12 2" xfId="5976" xr:uid="{00000000-0005-0000-0000-0000986B0000}"/>
    <cellStyle name="Output 2 3 2 12 2 2" xfId="24948" xr:uid="{00000000-0005-0000-0000-0000996B0000}"/>
    <cellStyle name="Output 2 3 2 12 2 3" xfId="35793" xr:uid="{00000000-0005-0000-0000-00009A6B0000}"/>
    <cellStyle name="Output 2 3 2 12 2 4" xfId="15501" xr:uid="{00000000-0005-0000-0000-00009B6B0000}"/>
    <cellStyle name="Output 2 3 2 12 3" xfId="8647" xr:uid="{00000000-0005-0000-0000-00009C6B0000}"/>
    <cellStyle name="Output 2 3 2 12 3 2" xfId="27619" xr:uid="{00000000-0005-0000-0000-00009D6B0000}"/>
    <cellStyle name="Output 2 3 2 12 3 3" xfId="38464" xr:uid="{00000000-0005-0000-0000-00009E6B0000}"/>
    <cellStyle name="Output 2 3 2 12 3 4" xfId="17414" xr:uid="{00000000-0005-0000-0000-00009F6B0000}"/>
    <cellStyle name="Output 2 3 2 12 4" xfId="11306" xr:uid="{00000000-0005-0000-0000-0000A06B0000}"/>
    <cellStyle name="Output 2 3 2 12 4 2" xfId="30278" xr:uid="{00000000-0005-0000-0000-0000A16B0000}"/>
    <cellStyle name="Output 2 3 2 12 4 3" xfId="41123" xr:uid="{00000000-0005-0000-0000-0000A26B0000}"/>
    <cellStyle name="Output 2 3 2 12 4 4" xfId="19318" xr:uid="{00000000-0005-0000-0000-0000A36B0000}"/>
    <cellStyle name="Output 2 3 2 12 5" xfId="22102" xr:uid="{00000000-0005-0000-0000-0000A46B0000}"/>
    <cellStyle name="Output 2 3 2 12 6" xfId="32947" xr:uid="{00000000-0005-0000-0000-0000A56B0000}"/>
    <cellStyle name="Output 2 3 2 12 7" xfId="13464" xr:uid="{00000000-0005-0000-0000-0000A66B0000}"/>
    <cellStyle name="Output 2 3 2 13" xfId="3182" xr:uid="{00000000-0005-0000-0000-0000A76B0000}"/>
    <cellStyle name="Output 2 3 2 13 2" xfId="6033" xr:uid="{00000000-0005-0000-0000-0000A86B0000}"/>
    <cellStyle name="Output 2 3 2 13 2 2" xfId="25005" xr:uid="{00000000-0005-0000-0000-0000A96B0000}"/>
    <cellStyle name="Output 2 3 2 13 2 3" xfId="35850" xr:uid="{00000000-0005-0000-0000-0000AA6B0000}"/>
    <cellStyle name="Output 2 3 2 13 2 4" xfId="15538" xr:uid="{00000000-0005-0000-0000-0000AB6B0000}"/>
    <cellStyle name="Output 2 3 2 13 3" xfId="8704" xr:uid="{00000000-0005-0000-0000-0000AC6B0000}"/>
    <cellStyle name="Output 2 3 2 13 3 2" xfId="27676" xr:uid="{00000000-0005-0000-0000-0000AD6B0000}"/>
    <cellStyle name="Output 2 3 2 13 3 3" xfId="38521" xr:uid="{00000000-0005-0000-0000-0000AE6B0000}"/>
    <cellStyle name="Output 2 3 2 13 3 4" xfId="17451" xr:uid="{00000000-0005-0000-0000-0000AF6B0000}"/>
    <cellStyle name="Output 2 3 2 13 4" xfId="11363" xr:uid="{00000000-0005-0000-0000-0000B06B0000}"/>
    <cellStyle name="Output 2 3 2 13 4 2" xfId="30335" xr:uid="{00000000-0005-0000-0000-0000B16B0000}"/>
    <cellStyle name="Output 2 3 2 13 4 3" xfId="41180" xr:uid="{00000000-0005-0000-0000-0000B26B0000}"/>
    <cellStyle name="Output 2 3 2 13 4 4" xfId="19355" xr:uid="{00000000-0005-0000-0000-0000B36B0000}"/>
    <cellStyle name="Output 2 3 2 13 5" xfId="22159" xr:uid="{00000000-0005-0000-0000-0000B46B0000}"/>
    <cellStyle name="Output 2 3 2 13 6" xfId="33004" xr:uid="{00000000-0005-0000-0000-0000B56B0000}"/>
    <cellStyle name="Output 2 3 2 13 7" xfId="13501" xr:uid="{00000000-0005-0000-0000-0000B66B0000}"/>
    <cellStyle name="Output 2 3 2 14" xfId="3348" xr:uid="{00000000-0005-0000-0000-0000B76B0000}"/>
    <cellStyle name="Output 2 3 2 14 2" xfId="22322" xr:uid="{00000000-0005-0000-0000-0000B86B0000}"/>
    <cellStyle name="Output 2 3 2 14 3" xfId="33167" xr:uid="{00000000-0005-0000-0000-0000B96B0000}"/>
    <cellStyle name="Output 2 3 2 14 4" xfId="13618" xr:uid="{00000000-0005-0000-0000-0000BA6B0000}"/>
    <cellStyle name="Output 2 3 2 15" xfId="3305" xr:uid="{00000000-0005-0000-0000-0000BB6B0000}"/>
    <cellStyle name="Output 2 3 2 15 2" xfId="22279" xr:uid="{00000000-0005-0000-0000-0000BC6B0000}"/>
    <cellStyle name="Output 2 3 2 15 3" xfId="33124" xr:uid="{00000000-0005-0000-0000-0000BD6B0000}"/>
    <cellStyle name="Output 2 3 2 15 4" xfId="13590" xr:uid="{00000000-0005-0000-0000-0000BE6B0000}"/>
    <cellStyle name="Output 2 3 2 16" xfId="6074" xr:uid="{00000000-0005-0000-0000-0000BF6B0000}"/>
    <cellStyle name="Output 2 3 2 16 2" xfId="25046" xr:uid="{00000000-0005-0000-0000-0000C06B0000}"/>
    <cellStyle name="Output 2 3 2 16 3" xfId="35891" xr:uid="{00000000-0005-0000-0000-0000C16B0000}"/>
    <cellStyle name="Output 2 3 2 16 4" xfId="15568" xr:uid="{00000000-0005-0000-0000-0000C26B0000}"/>
    <cellStyle name="Output 2 3 2 17" xfId="19479" xr:uid="{00000000-0005-0000-0000-0000C36B0000}"/>
    <cellStyle name="Output 2 3 2 18" xfId="19395" xr:uid="{00000000-0005-0000-0000-0000C46B0000}"/>
    <cellStyle name="Output 2 3 2 19" xfId="11528" xr:uid="{00000000-0005-0000-0000-0000C56B0000}"/>
    <cellStyle name="Output 2 3 2 2" xfId="690" xr:uid="{00000000-0005-0000-0000-0000C66B0000}"/>
    <cellStyle name="Output 2 3 2 2 10" xfId="19675" xr:uid="{00000000-0005-0000-0000-0000C76B0000}"/>
    <cellStyle name="Output 2 3 2 2 11" xfId="30520" xr:uid="{00000000-0005-0000-0000-0000C86B0000}"/>
    <cellStyle name="Output 2 3 2 2 12" xfId="11732" xr:uid="{00000000-0005-0000-0000-0000C96B0000}"/>
    <cellStyle name="Output 2 3 2 2 2" xfId="1277" xr:uid="{00000000-0005-0000-0000-0000CA6B0000}"/>
    <cellStyle name="Output 2 3 2 2 2 2" xfId="4130" xr:uid="{00000000-0005-0000-0000-0000CB6B0000}"/>
    <cellStyle name="Output 2 3 2 2 2 2 2" xfId="23102" xr:uid="{00000000-0005-0000-0000-0000CC6B0000}"/>
    <cellStyle name="Output 2 3 2 2 2 2 3" xfId="33947" xr:uid="{00000000-0005-0000-0000-0000CD6B0000}"/>
    <cellStyle name="Output 2 3 2 2 2 2 4" xfId="14193" xr:uid="{00000000-0005-0000-0000-0000CE6B0000}"/>
    <cellStyle name="Output 2 3 2 2 2 3" xfId="6803" xr:uid="{00000000-0005-0000-0000-0000CF6B0000}"/>
    <cellStyle name="Output 2 3 2 2 2 3 2" xfId="25775" xr:uid="{00000000-0005-0000-0000-0000D06B0000}"/>
    <cellStyle name="Output 2 3 2 2 2 3 3" xfId="36620" xr:uid="{00000000-0005-0000-0000-0000D16B0000}"/>
    <cellStyle name="Output 2 3 2 2 2 3 4" xfId="16108" xr:uid="{00000000-0005-0000-0000-0000D26B0000}"/>
    <cellStyle name="Output 2 3 2 2 2 4" xfId="9462" xr:uid="{00000000-0005-0000-0000-0000D36B0000}"/>
    <cellStyle name="Output 2 3 2 2 2 4 2" xfId="28434" xr:uid="{00000000-0005-0000-0000-0000D46B0000}"/>
    <cellStyle name="Output 2 3 2 2 2 4 3" xfId="39279" xr:uid="{00000000-0005-0000-0000-0000D56B0000}"/>
    <cellStyle name="Output 2 3 2 2 2 4 4" xfId="18012" xr:uid="{00000000-0005-0000-0000-0000D66B0000}"/>
    <cellStyle name="Output 2 3 2 2 2 5" xfId="20258" xr:uid="{00000000-0005-0000-0000-0000D76B0000}"/>
    <cellStyle name="Output 2 3 2 2 2 6" xfId="31103" xr:uid="{00000000-0005-0000-0000-0000D86B0000}"/>
    <cellStyle name="Output 2 3 2 2 2 7" xfId="12158" xr:uid="{00000000-0005-0000-0000-0000D96B0000}"/>
    <cellStyle name="Output 2 3 2 2 3" xfId="1676" xr:uid="{00000000-0005-0000-0000-0000DA6B0000}"/>
    <cellStyle name="Output 2 3 2 2 3 2" xfId="4529" xr:uid="{00000000-0005-0000-0000-0000DB6B0000}"/>
    <cellStyle name="Output 2 3 2 2 3 2 2" xfId="23501" xr:uid="{00000000-0005-0000-0000-0000DC6B0000}"/>
    <cellStyle name="Output 2 3 2 2 3 2 3" xfId="34346" xr:uid="{00000000-0005-0000-0000-0000DD6B0000}"/>
    <cellStyle name="Output 2 3 2 2 3 2 4" xfId="14480" xr:uid="{00000000-0005-0000-0000-0000DE6B0000}"/>
    <cellStyle name="Output 2 3 2 2 3 3" xfId="7201" xr:uid="{00000000-0005-0000-0000-0000DF6B0000}"/>
    <cellStyle name="Output 2 3 2 2 3 3 2" xfId="26173" xr:uid="{00000000-0005-0000-0000-0000E06B0000}"/>
    <cellStyle name="Output 2 3 2 2 3 3 3" xfId="37018" xr:uid="{00000000-0005-0000-0000-0000E16B0000}"/>
    <cellStyle name="Output 2 3 2 2 3 3 4" xfId="16394" xr:uid="{00000000-0005-0000-0000-0000E26B0000}"/>
    <cellStyle name="Output 2 3 2 2 3 4" xfId="9860" xr:uid="{00000000-0005-0000-0000-0000E36B0000}"/>
    <cellStyle name="Output 2 3 2 2 3 4 2" xfId="28832" xr:uid="{00000000-0005-0000-0000-0000E46B0000}"/>
    <cellStyle name="Output 2 3 2 2 3 4 3" xfId="39677" xr:uid="{00000000-0005-0000-0000-0000E56B0000}"/>
    <cellStyle name="Output 2 3 2 2 3 4 4" xfId="18298" xr:uid="{00000000-0005-0000-0000-0000E66B0000}"/>
    <cellStyle name="Output 2 3 2 2 3 5" xfId="20656" xr:uid="{00000000-0005-0000-0000-0000E76B0000}"/>
    <cellStyle name="Output 2 3 2 2 3 6" xfId="31501" xr:uid="{00000000-0005-0000-0000-0000E86B0000}"/>
    <cellStyle name="Output 2 3 2 2 3 7" xfId="12444" xr:uid="{00000000-0005-0000-0000-0000E96B0000}"/>
    <cellStyle name="Output 2 3 2 2 4" xfId="2080" xr:uid="{00000000-0005-0000-0000-0000EA6B0000}"/>
    <cellStyle name="Output 2 3 2 2 4 2" xfId="4933" xr:uid="{00000000-0005-0000-0000-0000EB6B0000}"/>
    <cellStyle name="Output 2 3 2 2 4 2 2" xfId="23905" xr:uid="{00000000-0005-0000-0000-0000EC6B0000}"/>
    <cellStyle name="Output 2 3 2 2 4 2 3" xfId="34750" xr:uid="{00000000-0005-0000-0000-0000ED6B0000}"/>
    <cellStyle name="Output 2 3 2 2 4 2 4" xfId="14767" xr:uid="{00000000-0005-0000-0000-0000EE6B0000}"/>
    <cellStyle name="Output 2 3 2 2 4 3" xfId="7604" xr:uid="{00000000-0005-0000-0000-0000EF6B0000}"/>
    <cellStyle name="Output 2 3 2 2 4 3 2" xfId="26576" xr:uid="{00000000-0005-0000-0000-0000F06B0000}"/>
    <cellStyle name="Output 2 3 2 2 4 3 3" xfId="37421" xr:uid="{00000000-0005-0000-0000-0000F16B0000}"/>
    <cellStyle name="Output 2 3 2 2 4 3 4" xfId="16680" xr:uid="{00000000-0005-0000-0000-0000F26B0000}"/>
    <cellStyle name="Output 2 3 2 2 4 4" xfId="10263" xr:uid="{00000000-0005-0000-0000-0000F36B0000}"/>
    <cellStyle name="Output 2 3 2 2 4 4 2" xfId="29235" xr:uid="{00000000-0005-0000-0000-0000F46B0000}"/>
    <cellStyle name="Output 2 3 2 2 4 4 3" xfId="40080" xr:uid="{00000000-0005-0000-0000-0000F56B0000}"/>
    <cellStyle name="Output 2 3 2 2 4 4 4" xfId="18584" xr:uid="{00000000-0005-0000-0000-0000F66B0000}"/>
    <cellStyle name="Output 2 3 2 2 4 5" xfId="21059" xr:uid="{00000000-0005-0000-0000-0000F76B0000}"/>
    <cellStyle name="Output 2 3 2 2 4 6" xfId="31904" xr:uid="{00000000-0005-0000-0000-0000F86B0000}"/>
    <cellStyle name="Output 2 3 2 2 4 7" xfId="12730" xr:uid="{00000000-0005-0000-0000-0000F96B0000}"/>
    <cellStyle name="Output 2 3 2 2 5" xfId="2470" xr:uid="{00000000-0005-0000-0000-0000FA6B0000}"/>
    <cellStyle name="Output 2 3 2 2 5 2" xfId="5322" xr:uid="{00000000-0005-0000-0000-0000FB6B0000}"/>
    <cellStyle name="Output 2 3 2 2 5 2 2" xfId="24294" xr:uid="{00000000-0005-0000-0000-0000FC6B0000}"/>
    <cellStyle name="Output 2 3 2 2 5 2 3" xfId="35139" xr:uid="{00000000-0005-0000-0000-0000FD6B0000}"/>
    <cellStyle name="Output 2 3 2 2 5 2 4" xfId="15046" xr:uid="{00000000-0005-0000-0000-0000FE6B0000}"/>
    <cellStyle name="Output 2 3 2 2 5 3" xfId="7993" xr:uid="{00000000-0005-0000-0000-0000FF6B0000}"/>
    <cellStyle name="Output 2 3 2 2 5 3 2" xfId="26965" xr:uid="{00000000-0005-0000-0000-0000006C0000}"/>
    <cellStyle name="Output 2 3 2 2 5 3 3" xfId="37810" xr:uid="{00000000-0005-0000-0000-0000016C0000}"/>
    <cellStyle name="Output 2 3 2 2 5 3 4" xfId="16959" xr:uid="{00000000-0005-0000-0000-0000026C0000}"/>
    <cellStyle name="Output 2 3 2 2 5 4" xfId="10652" xr:uid="{00000000-0005-0000-0000-0000036C0000}"/>
    <cellStyle name="Output 2 3 2 2 5 4 2" xfId="29624" xr:uid="{00000000-0005-0000-0000-0000046C0000}"/>
    <cellStyle name="Output 2 3 2 2 5 4 3" xfId="40469" xr:uid="{00000000-0005-0000-0000-0000056C0000}"/>
    <cellStyle name="Output 2 3 2 2 5 4 4" xfId="18863" xr:uid="{00000000-0005-0000-0000-0000066C0000}"/>
    <cellStyle name="Output 2 3 2 2 5 5" xfId="21448" xr:uid="{00000000-0005-0000-0000-0000076C0000}"/>
    <cellStyle name="Output 2 3 2 2 5 6" xfId="32293" xr:uid="{00000000-0005-0000-0000-0000086C0000}"/>
    <cellStyle name="Output 2 3 2 2 5 7" xfId="13009" xr:uid="{00000000-0005-0000-0000-0000096C0000}"/>
    <cellStyle name="Output 2 3 2 2 6" xfId="2856" xr:uid="{00000000-0005-0000-0000-00000A6C0000}"/>
    <cellStyle name="Output 2 3 2 2 6 2" xfId="5707" xr:uid="{00000000-0005-0000-0000-00000B6C0000}"/>
    <cellStyle name="Output 2 3 2 2 6 2 2" xfId="24679" xr:uid="{00000000-0005-0000-0000-00000C6C0000}"/>
    <cellStyle name="Output 2 3 2 2 6 2 3" xfId="35524" xr:uid="{00000000-0005-0000-0000-00000D6C0000}"/>
    <cellStyle name="Output 2 3 2 2 6 2 4" xfId="15322" xr:uid="{00000000-0005-0000-0000-00000E6C0000}"/>
    <cellStyle name="Output 2 3 2 2 6 3" xfId="8378" xr:uid="{00000000-0005-0000-0000-00000F6C0000}"/>
    <cellStyle name="Output 2 3 2 2 6 3 2" xfId="27350" xr:uid="{00000000-0005-0000-0000-0000106C0000}"/>
    <cellStyle name="Output 2 3 2 2 6 3 3" xfId="38195" xr:uid="{00000000-0005-0000-0000-0000116C0000}"/>
    <cellStyle name="Output 2 3 2 2 6 3 4" xfId="17235" xr:uid="{00000000-0005-0000-0000-0000126C0000}"/>
    <cellStyle name="Output 2 3 2 2 6 4" xfId="11037" xr:uid="{00000000-0005-0000-0000-0000136C0000}"/>
    <cellStyle name="Output 2 3 2 2 6 4 2" xfId="30009" xr:uid="{00000000-0005-0000-0000-0000146C0000}"/>
    <cellStyle name="Output 2 3 2 2 6 4 3" xfId="40854" xr:uid="{00000000-0005-0000-0000-0000156C0000}"/>
    <cellStyle name="Output 2 3 2 2 6 4 4" xfId="19139" xr:uid="{00000000-0005-0000-0000-0000166C0000}"/>
    <cellStyle name="Output 2 3 2 2 6 5" xfId="21833" xr:uid="{00000000-0005-0000-0000-0000176C0000}"/>
    <cellStyle name="Output 2 3 2 2 6 6" xfId="32678" xr:uid="{00000000-0005-0000-0000-0000186C0000}"/>
    <cellStyle name="Output 2 3 2 2 6 7" xfId="13285" xr:uid="{00000000-0005-0000-0000-0000196C0000}"/>
    <cellStyle name="Output 2 3 2 2 7" xfId="3545" xr:uid="{00000000-0005-0000-0000-00001A6C0000}"/>
    <cellStyle name="Output 2 3 2 2 7 2" xfId="22517" xr:uid="{00000000-0005-0000-0000-00001B6C0000}"/>
    <cellStyle name="Output 2 3 2 2 7 3" xfId="33362" xr:uid="{00000000-0005-0000-0000-00001C6C0000}"/>
    <cellStyle name="Output 2 3 2 2 7 4" xfId="13766" xr:uid="{00000000-0005-0000-0000-00001D6C0000}"/>
    <cellStyle name="Output 2 3 2 2 8" xfId="6220" xr:uid="{00000000-0005-0000-0000-00001E6C0000}"/>
    <cellStyle name="Output 2 3 2 2 8 2" xfId="25192" xr:uid="{00000000-0005-0000-0000-00001F6C0000}"/>
    <cellStyle name="Output 2 3 2 2 8 3" xfId="36037" xr:uid="{00000000-0005-0000-0000-0000206C0000}"/>
    <cellStyle name="Output 2 3 2 2 8 4" xfId="15682" xr:uid="{00000000-0005-0000-0000-0000216C0000}"/>
    <cellStyle name="Output 2 3 2 2 9" xfId="8879" xr:uid="{00000000-0005-0000-0000-0000226C0000}"/>
    <cellStyle name="Output 2 3 2 2 9 2" xfId="27851" xr:uid="{00000000-0005-0000-0000-0000236C0000}"/>
    <cellStyle name="Output 2 3 2 2 9 3" xfId="38696" xr:uid="{00000000-0005-0000-0000-0000246C0000}"/>
    <cellStyle name="Output 2 3 2 2 9 4" xfId="17586" xr:uid="{00000000-0005-0000-0000-0000256C0000}"/>
    <cellStyle name="Output 2 3 2 3" xfId="750" xr:uid="{00000000-0005-0000-0000-0000266C0000}"/>
    <cellStyle name="Output 2 3 2 3 10" xfId="19735" xr:uid="{00000000-0005-0000-0000-0000276C0000}"/>
    <cellStyle name="Output 2 3 2 3 11" xfId="30580" xr:uid="{00000000-0005-0000-0000-0000286C0000}"/>
    <cellStyle name="Output 2 3 2 3 12" xfId="11772" xr:uid="{00000000-0005-0000-0000-0000296C0000}"/>
    <cellStyle name="Output 2 3 2 3 2" xfId="1337" xr:uid="{00000000-0005-0000-0000-00002A6C0000}"/>
    <cellStyle name="Output 2 3 2 3 2 2" xfId="4190" xr:uid="{00000000-0005-0000-0000-00002B6C0000}"/>
    <cellStyle name="Output 2 3 2 3 2 2 2" xfId="23162" xr:uid="{00000000-0005-0000-0000-00002C6C0000}"/>
    <cellStyle name="Output 2 3 2 3 2 2 3" xfId="34007" xr:uid="{00000000-0005-0000-0000-00002D6C0000}"/>
    <cellStyle name="Output 2 3 2 3 2 2 4" xfId="14233" xr:uid="{00000000-0005-0000-0000-00002E6C0000}"/>
    <cellStyle name="Output 2 3 2 3 2 3" xfId="6863" xr:uid="{00000000-0005-0000-0000-00002F6C0000}"/>
    <cellStyle name="Output 2 3 2 3 2 3 2" xfId="25835" xr:uid="{00000000-0005-0000-0000-0000306C0000}"/>
    <cellStyle name="Output 2 3 2 3 2 3 3" xfId="36680" xr:uid="{00000000-0005-0000-0000-0000316C0000}"/>
    <cellStyle name="Output 2 3 2 3 2 3 4" xfId="16148" xr:uid="{00000000-0005-0000-0000-0000326C0000}"/>
    <cellStyle name="Output 2 3 2 3 2 4" xfId="9522" xr:uid="{00000000-0005-0000-0000-0000336C0000}"/>
    <cellStyle name="Output 2 3 2 3 2 4 2" xfId="28494" xr:uid="{00000000-0005-0000-0000-0000346C0000}"/>
    <cellStyle name="Output 2 3 2 3 2 4 3" xfId="39339" xr:uid="{00000000-0005-0000-0000-0000356C0000}"/>
    <cellStyle name="Output 2 3 2 3 2 4 4" xfId="18052" xr:uid="{00000000-0005-0000-0000-0000366C0000}"/>
    <cellStyle name="Output 2 3 2 3 2 5" xfId="20318" xr:uid="{00000000-0005-0000-0000-0000376C0000}"/>
    <cellStyle name="Output 2 3 2 3 2 6" xfId="31163" xr:uid="{00000000-0005-0000-0000-0000386C0000}"/>
    <cellStyle name="Output 2 3 2 3 2 7" xfId="12198" xr:uid="{00000000-0005-0000-0000-0000396C0000}"/>
    <cellStyle name="Output 2 3 2 3 3" xfId="1736" xr:uid="{00000000-0005-0000-0000-00003A6C0000}"/>
    <cellStyle name="Output 2 3 2 3 3 2" xfId="4589" xr:uid="{00000000-0005-0000-0000-00003B6C0000}"/>
    <cellStyle name="Output 2 3 2 3 3 2 2" xfId="23561" xr:uid="{00000000-0005-0000-0000-00003C6C0000}"/>
    <cellStyle name="Output 2 3 2 3 3 2 3" xfId="34406" xr:uid="{00000000-0005-0000-0000-00003D6C0000}"/>
    <cellStyle name="Output 2 3 2 3 3 2 4" xfId="14520" xr:uid="{00000000-0005-0000-0000-00003E6C0000}"/>
    <cellStyle name="Output 2 3 2 3 3 3" xfId="7261" xr:uid="{00000000-0005-0000-0000-00003F6C0000}"/>
    <cellStyle name="Output 2 3 2 3 3 3 2" xfId="26233" xr:uid="{00000000-0005-0000-0000-0000406C0000}"/>
    <cellStyle name="Output 2 3 2 3 3 3 3" xfId="37078" xr:uid="{00000000-0005-0000-0000-0000416C0000}"/>
    <cellStyle name="Output 2 3 2 3 3 3 4" xfId="16434" xr:uid="{00000000-0005-0000-0000-0000426C0000}"/>
    <cellStyle name="Output 2 3 2 3 3 4" xfId="9920" xr:uid="{00000000-0005-0000-0000-0000436C0000}"/>
    <cellStyle name="Output 2 3 2 3 3 4 2" xfId="28892" xr:uid="{00000000-0005-0000-0000-0000446C0000}"/>
    <cellStyle name="Output 2 3 2 3 3 4 3" xfId="39737" xr:uid="{00000000-0005-0000-0000-0000456C0000}"/>
    <cellStyle name="Output 2 3 2 3 3 4 4" xfId="18338" xr:uid="{00000000-0005-0000-0000-0000466C0000}"/>
    <cellStyle name="Output 2 3 2 3 3 5" xfId="20716" xr:uid="{00000000-0005-0000-0000-0000476C0000}"/>
    <cellStyle name="Output 2 3 2 3 3 6" xfId="31561" xr:uid="{00000000-0005-0000-0000-0000486C0000}"/>
    <cellStyle name="Output 2 3 2 3 3 7" xfId="12484" xr:uid="{00000000-0005-0000-0000-0000496C0000}"/>
    <cellStyle name="Output 2 3 2 3 4" xfId="2140" xr:uid="{00000000-0005-0000-0000-00004A6C0000}"/>
    <cellStyle name="Output 2 3 2 3 4 2" xfId="4993" xr:uid="{00000000-0005-0000-0000-00004B6C0000}"/>
    <cellStyle name="Output 2 3 2 3 4 2 2" xfId="23965" xr:uid="{00000000-0005-0000-0000-00004C6C0000}"/>
    <cellStyle name="Output 2 3 2 3 4 2 3" xfId="34810" xr:uid="{00000000-0005-0000-0000-00004D6C0000}"/>
    <cellStyle name="Output 2 3 2 3 4 2 4" xfId="14807" xr:uid="{00000000-0005-0000-0000-00004E6C0000}"/>
    <cellStyle name="Output 2 3 2 3 4 3" xfId="7664" xr:uid="{00000000-0005-0000-0000-00004F6C0000}"/>
    <cellStyle name="Output 2 3 2 3 4 3 2" xfId="26636" xr:uid="{00000000-0005-0000-0000-0000506C0000}"/>
    <cellStyle name="Output 2 3 2 3 4 3 3" xfId="37481" xr:uid="{00000000-0005-0000-0000-0000516C0000}"/>
    <cellStyle name="Output 2 3 2 3 4 3 4" xfId="16720" xr:uid="{00000000-0005-0000-0000-0000526C0000}"/>
    <cellStyle name="Output 2 3 2 3 4 4" xfId="10323" xr:uid="{00000000-0005-0000-0000-0000536C0000}"/>
    <cellStyle name="Output 2 3 2 3 4 4 2" xfId="29295" xr:uid="{00000000-0005-0000-0000-0000546C0000}"/>
    <cellStyle name="Output 2 3 2 3 4 4 3" xfId="40140" xr:uid="{00000000-0005-0000-0000-0000556C0000}"/>
    <cellStyle name="Output 2 3 2 3 4 4 4" xfId="18624" xr:uid="{00000000-0005-0000-0000-0000566C0000}"/>
    <cellStyle name="Output 2 3 2 3 4 5" xfId="21119" xr:uid="{00000000-0005-0000-0000-0000576C0000}"/>
    <cellStyle name="Output 2 3 2 3 4 6" xfId="31964" xr:uid="{00000000-0005-0000-0000-0000586C0000}"/>
    <cellStyle name="Output 2 3 2 3 4 7" xfId="12770" xr:uid="{00000000-0005-0000-0000-0000596C0000}"/>
    <cellStyle name="Output 2 3 2 3 5" xfId="2530" xr:uid="{00000000-0005-0000-0000-00005A6C0000}"/>
    <cellStyle name="Output 2 3 2 3 5 2" xfId="5382" xr:uid="{00000000-0005-0000-0000-00005B6C0000}"/>
    <cellStyle name="Output 2 3 2 3 5 2 2" xfId="24354" xr:uid="{00000000-0005-0000-0000-00005C6C0000}"/>
    <cellStyle name="Output 2 3 2 3 5 2 3" xfId="35199" xr:uid="{00000000-0005-0000-0000-00005D6C0000}"/>
    <cellStyle name="Output 2 3 2 3 5 2 4" xfId="15086" xr:uid="{00000000-0005-0000-0000-00005E6C0000}"/>
    <cellStyle name="Output 2 3 2 3 5 3" xfId="8053" xr:uid="{00000000-0005-0000-0000-00005F6C0000}"/>
    <cellStyle name="Output 2 3 2 3 5 3 2" xfId="27025" xr:uid="{00000000-0005-0000-0000-0000606C0000}"/>
    <cellStyle name="Output 2 3 2 3 5 3 3" xfId="37870" xr:uid="{00000000-0005-0000-0000-0000616C0000}"/>
    <cellStyle name="Output 2 3 2 3 5 3 4" xfId="16999" xr:uid="{00000000-0005-0000-0000-0000626C0000}"/>
    <cellStyle name="Output 2 3 2 3 5 4" xfId="10712" xr:uid="{00000000-0005-0000-0000-0000636C0000}"/>
    <cellStyle name="Output 2 3 2 3 5 4 2" xfId="29684" xr:uid="{00000000-0005-0000-0000-0000646C0000}"/>
    <cellStyle name="Output 2 3 2 3 5 4 3" xfId="40529" xr:uid="{00000000-0005-0000-0000-0000656C0000}"/>
    <cellStyle name="Output 2 3 2 3 5 4 4" xfId="18903" xr:uid="{00000000-0005-0000-0000-0000666C0000}"/>
    <cellStyle name="Output 2 3 2 3 5 5" xfId="21508" xr:uid="{00000000-0005-0000-0000-0000676C0000}"/>
    <cellStyle name="Output 2 3 2 3 5 6" xfId="32353" xr:uid="{00000000-0005-0000-0000-0000686C0000}"/>
    <cellStyle name="Output 2 3 2 3 5 7" xfId="13049" xr:uid="{00000000-0005-0000-0000-0000696C0000}"/>
    <cellStyle name="Output 2 3 2 3 6" xfId="2916" xr:uid="{00000000-0005-0000-0000-00006A6C0000}"/>
    <cellStyle name="Output 2 3 2 3 6 2" xfId="5767" xr:uid="{00000000-0005-0000-0000-00006B6C0000}"/>
    <cellStyle name="Output 2 3 2 3 6 2 2" xfId="24739" xr:uid="{00000000-0005-0000-0000-00006C6C0000}"/>
    <cellStyle name="Output 2 3 2 3 6 2 3" xfId="35584" xr:uid="{00000000-0005-0000-0000-00006D6C0000}"/>
    <cellStyle name="Output 2 3 2 3 6 2 4" xfId="15362" xr:uid="{00000000-0005-0000-0000-00006E6C0000}"/>
    <cellStyle name="Output 2 3 2 3 6 3" xfId="8438" xr:uid="{00000000-0005-0000-0000-00006F6C0000}"/>
    <cellStyle name="Output 2 3 2 3 6 3 2" xfId="27410" xr:uid="{00000000-0005-0000-0000-0000706C0000}"/>
    <cellStyle name="Output 2 3 2 3 6 3 3" xfId="38255" xr:uid="{00000000-0005-0000-0000-0000716C0000}"/>
    <cellStyle name="Output 2 3 2 3 6 3 4" xfId="17275" xr:uid="{00000000-0005-0000-0000-0000726C0000}"/>
    <cellStyle name="Output 2 3 2 3 6 4" xfId="11097" xr:uid="{00000000-0005-0000-0000-0000736C0000}"/>
    <cellStyle name="Output 2 3 2 3 6 4 2" xfId="30069" xr:uid="{00000000-0005-0000-0000-0000746C0000}"/>
    <cellStyle name="Output 2 3 2 3 6 4 3" xfId="40914" xr:uid="{00000000-0005-0000-0000-0000756C0000}"/>
    <cellStyle name="Output 2 3 2 3 6 4 4" xfId="19179" xr:uid="{00000000-0005-0000-0000-0000766C0000}"/>
    <cellStyle name="Output 2 3 2 3 6 5" xfId="21893" xr:uid="{00000000-0005-0000-0000-0000776C0000}"/>
    <cellStyle name="Output 2 3 2 3 6 6" xfId="32738" xr:uid="{00000000-0005-0000-0000-0000786C0000}"/>
    <cellStyle name="Output 2 3 2 3 6 7" xfId="13325" xr:uid="{00000000-0005-0000-0000-0000796C0000}"/>
    <cellStyle name="Output 2 3 2 3 7" xfId="3605" xr:uid="{00000000-0005-0000-0000-00007A6C0000}"/>
    <cellStyle name="Output 2 3 2 3 7 2" xfId="22577" xr:uid="{00000000-0005-0000-0000-00007B6C0000}"/>
    <cellStyle name="Output 2 3 2 3 7 3" xfId="33422" xr:uid="{00000000-0005-0000-0000-00007C6C0000}"/>
    <cellStyle name="Output 2 3 2 3 7 4" xfId="13806" xr:uid="{00000000-0005-0000-0000-00007D6C0000}"/>
    <cellStyle name="Output 2 3 2 3 8" xfId="6280" xr:uid="{00000000-0005-0000-0000-00007E6C0000}"/>
    <cellStyle name="Output 2 3 2 3 8 2" xfId="25252" xr:uid="{00000000-0005-0000-0000-00007F6C0000}"/>
    <cellStyle name="Output 2 3 2 3 8 3" xfId="36097" xr:uid="{00000000-0005-0000-0000-0000806C0000}"/>
    <cellStyle name="Output 2 3 2 3 8 4" xfId="15722" xr:uid="{00000000-0005-0000-0000-0000816C0000}"/>
    <cellStyle name="Output 2 3 2 3 9" xfId="8939" xr:uid="{00000000-0005-0000-0000-0000826C0000}"/>
    <cellStyle name="Output 2 3 2 3 9 2" xfId="27911" xr:uid="{00000000-0005-0000-0000-0000836C0000}"/>
    <cellStyle name="Output 2 3 2 3 9 3" xfId="38756" xr:uid="{00000000-0005-0000-0000-0000846C0000}"/>
    <cellStyle name="Output 2 3 2 3 9 4" xfId="17626" xr:uid="{00000000-0005-0000-0000-0000856C0000}"/>
    <cellStyle name="Output 2 3 2 4" xfId="810" xr:uid="{00000000-0005-0000-0000-0000866C0000}"/>
    <cellStyle name="Output 2 3 2 4 10" xfId="19795" xr:uid="{00000000-0005-0000-0000-0000876C0000}"/>
    <cellStyle name="Output 2 3 2 4 11" xfId="30640" xr:uid="{00000000-0005-0000-0000-0000886C0000}"/>
    <cellStyle name="Output 2 3 2 4 12" xfId="11812" xr:uid="{00000000-0005-0000-0000-0000896C0000}"/>
    <cellStyle name="Output 2 3 2 4 2" xfId="1397" xr:uid="{00000000-0005-0000-0000-00008A6C0000}"/>
    <cellStyle name="Output 2 3 2 4 2 2" xfId="4250" xr:uid="{00000000-0005-0000-0000-00008B6C0000}"/>
    <cellStyle name="Output 2 3 2 4 2 2 2" xfId="23222" xr:uid="{00000000-0005-0000-0000-00008C6C0000}"/>
    <cellStyle name="Output 2 3 2 4 2 2 3" xfId="34067" xr:uid="{00000000-0005-0000-0000-00008D6C0000}"/>
    <cellStyle name="Output 2 3 2 4 2 2 4" xfId="14273" xr:uid="{00000000-0005-0000-0000-00008E6C0000}"/>
    <cellStyle name="Output 2 3 2 4 2 3" xfId="6923" xr:uid="{00000000-0005-0000-0000-00008F6C0000}"/>
    <cellStyle name="Output 2 3 2 4 2 3 2" xfId="25895" xr:uid="{00000000-0005-0000-0000-0000906C0000}"/>
    <cellStyle name="Output 2 3 2 4 2 3 3" xfId="36740" xr:uid="{00000000-0005-0000-0000-0000916C0000}"/>
    <cellStyle name="Output 2 3 2 4 2 3 4" xfId="16188" xr:uid="{00000000-0005-0000-0000-0000926C0000}"/>
    <cellStyle name="Output 2 3 2 4 2 4" xfId="9582" xr:uid="{00000000-0005-0000-0000-0000936C0000}"/>
    <cellStyle name="Output 2 3 2 4 2 4 2" xfId="28554" xr:uid="{00000000-0005-0000-0000-0000946C0000}"/>
    <cellStyle name="Output 2 3 2 4 2 4 3" xfId="39399" xr:uid="{00000000-0005-0000-0000-0000956C0000}"/>
    <cellStyle name="Output 2 3 2 4 2 4 4" xfId="18092" xr:uid="{00000000-0005-0000-0000-0000966C0000}"/>
    <cellStyle name="Output 2 3 2 4 2 5" xfId="20378" xr:uid="{00000000-0005-0000-0000-0000976C0000}"/>
    <cellStyle name="Output 2 3 2 4 2 6" xfId="31223" xr:uid="{00000000-0005-0000-0000-0000986C0000}"/>
    <cellStyle name="Output 2 3 2 4 2 7" xfId="12238" xr:uid="{00000000-0005-0000-0000-0000996C0000}"/>
    <cellStyle name="Output 2 3 2 4 3" xfId="1796" xr:uid="{00000000-0005-0000-0000-00009A6C0000}"/>
    <cellStyle name="Output 2 3 2 4 3 2" xfId="4649" xr:uid="{00000000-0005-0000-0000-00009B6C0000}"/>
    <cellStyle name="Output 2 3 2 4 3 2 2" xfId="23621" xr:uid="{00000000-0005-0000-0000-00009C6C0000}"/>
    <cellStyle name="Output 2 3 2 4 3 2 3" xfId="34466" xr:uid="{00000000-0005-0000-0000-00009D6C0000}"/>
    <cellStyle name="Output 2 3 2 4 3 2 4" xfId="14560" xr:uid="{00000000-0005-0000-0000-00009E6C0000}"/>
    <cellStyle name="Output 2 3 2 4 3 3" xfId="7321" xr:uid="{00000000-0005-0000-0000-00009F6C0000}"/>
    <cellStyle name="Output 2 3 2 4 3 3 2" xfId="26293" xr:uid="{00000000-0005-0000-0000-0000A06C0000}"/>
    <cellStyle name="Output 2 3 2 4 3 3 3" xfId="37138" xr:uid="{00000000-0005-0000-0000-0000A16C0000}"/>
    <cellStyle name="Output 2 3 2 4 3 3 4" xfId="16474" xr:uid="{00000000-0005-0000-0000-0000A26C0000}"/>
    <cellStyle name="Output 2 3 2 4 3 4" xfId="9980" xr:uid="{00000000-0005-0000-0000-0000A36C0000}"/>
    <cellStyle name="Output 2 3 2 4 3 4 2" xfId="28952" xr:uid="{00000000-0005-0000-0000-0000A46C0000}"/>
    <cellStyle name="Output 2 3 2 4 3 4 3" xfId="39797" xr:uid="{00000000-0005-0000-0000-0000A56C0000}"/>
    <cellStyle name="Output 2 3 2 4 3 4 4" xfId="18378" xr:uid="{00000000-0005-0000-0000-0000A66C0000}"/>
    <cellStyle name="Output 2 3 2 4 3 5" xfId="20776" xr:uid="{00000000-0005-0000-0000-0000A76C0000}"/>
    <cellStyle name="Output 2 3 2 4 3 6" xfId="31621" xr:uid="{00000000-0005-0000-0000-0000A86C0000}"/>
    <cellStyle name="Output 2 3 2 4 3 7" xfId="12524" xr:uid="{00000000-0005-0000-0000-0000A96C0000}"/>
    <cellStyle name="Output 2 3 2 4 4" xfId="2200" xr:uid="{00000000-0005-0000-0000-0000AA6C0000}"/>
    <cellStyle name="Output 2 3 2 4 4 2" xfId="5053" xr:uid="{00000000-0005-0000-0000-0000AB6C0000}"/>
    <cellStyle name="Output 2 3 2 4 4 2 2" xfId="24025" xr:uid="{00000000-0005-0000-0000-0000AC6C0000}"/>
    <cellStyle name="Output 2 3 2 4 4 2 3" xfId="34870" xr:uid="{00000000-0005-0000-0000-0000AD6C0000}"/>
    <cellStyle name="Output 2 3 2 4 4 2 4" xfId="14847" xr:uid="{00000000-0005-0000-0000-0000AE6C0000}"/>
    <cellStyle name="Output 2 3 2 4 4 3" xfId="7724" xr:uid="{00000000-0005-0000-0000-0000AF6C0000}"/>
    <cellStyle name="Output 2 3 2 4 4 3 2" xfId="26696" xr:uid="{00000000-0005-0000-0000-0000B06C0000}"/>
    <cellStyle name="Output 2 3 2 4 4 3 3" xfId="37541" xr:uid="{00000000-0005-0000-0000-0000B16C0000}"/>
    <cellStyle name="Output 2 3 2 4 4 3 4" xfId="16760" xr:uid="{00000000-0005-0000-0000-0000B26C0000}"/>
    <cellStyle name="Output 2 3 2 4 4 4" xfId="10383" xr:uid="{00000000-0005-0000-0000-0000B36C0000}"/>
    <cellStyle name="Output 2 3 2 4 4 4 2" xfId="29355" xr:uid="{00000000-0005-0000-0000-0000B46C0000}"/>
    <cellStyle name="Output 2 3 2 4 4 4 3" xfId="40200" xr:uid="{00000000-0005-0000-0000-0000B56C0000}"/>
    <cellStyle name="Output 2 3 2 4 4 4 4" xfId="18664" xr:uid="{00000000-0005-0000-0000-0000B66C0000}"/>
    <cellStyle name="Output 2 3 2 4 4 5" xfId="21179" xr:uid="{00000000-0005-0000-0000-0000B76C0000}"/>
    <cellStyle name="Output 2 3 2 4 4 6" xfId="32024" xr:uid="{00000000-0005-0000-0000-0000B86C0000}"/>
    <cellStyle name="Output 2 3 2 4 4 7" xfId="12810" xr:uid="{00000000-0005-0000-0000-0000B96C0000}"/>
    <cellStyle name="Output 2 3 2 4 5" xfId="2590" xr:uid="{00000000-0005-0000-0000-0000BA6C0000}"/>
    <cellStyle name="Output 2 3 2 4 5 2" xfId="5442" xr:uid="{00000000-0005-0000-0000-0000BB6C0000}"/>
    <cellStyle name="Output 2 3 2 4 5 2 2" xfId="24414" xr:uid="{00000000-0005-0000-0000-0000BC6C0000}"/>
    <cellStyle name="Output 2 3 2 4 5 2 3" xfId="35259" xr:uid="{00000000-0005-0000-0000-0000BD6C0000}"/>
    <cellStyle name="Output 2 3 2 4 5 2 4" xfId="15126" xr:uid="{00000000-0005-0000-0000-0000BE6C0000}"/>
    <cellStyle name="Output 2 3 2 4 5 3" xfId="8113" xr:uid="{00000000-0005-0000-0000-0000BF6C0000}"/>
    <cellStyle name="Output 2 3 2 4 5 3 2" xfId="27085" xr:uid="{00000000-0005-0000-0000-0000C06C0000}"/>
    <cellStyle name="Output 2 3 2 4 5 3 3" xfId="37930" xr:uid="{00000000-0005-0000-0000-0000C16C0000}"/>
    <cellStyle name="Output 2 3 2 4 5 3 4" xfId="17039" xr:uid="{00000000-0005-0000-0000-0000C26C0000}"/>
    <cellStyle name="Output 2 3 2 4 5 4" xfId="10772" xr:uid="{00000000-0005-0000-0000-0000C36C0000}"/>
    <cellStyle name="Output 2 3 2 4 5 4 2" xfId="29744" xr:uid="{00000000-0005-0000-0000-0000C46C0000}"/>
    <cellStyle name="Output 2 3 2 4 5 4 3" xfId="40589" xr:uid="{00000000-0005-0000-0000-0000C56C0000}"/>
    <cellStyle name="Output 2 3 2 4 5 4 4" xfId="18943" xr:uid="{00000000-0005-0000-0000-0000C66C0000}"/>
    <cellStyle name="Output 2 3 2 4 5 5" xfId="21568" xr:uid="{00000000-0005-0000-0000-0000C76C0000}"/>
    <cellStyle name="Output 2 3 2 4 5 6" xfId="32413" xr:uid="{00000000-0005-0000-0000-0000C86C0000}"/>
    <cellStyle name="Output 2 3 2 4 5 7" xfId="13089" xr:uid="{00000000-0005-0000-0000-0000C96C0000}"/>
    <cellStyle name="Output 2 3 2 4 6" xfId="2976" xr:uid="{00000000-0005-0000-0000-0000CA6C0000}"/>
    <cellStyle name="Output 2 3 2 4 6 2" xfId="5827" xr:uid="{00000000-0005-0000-0000-0000CB6C0000}"/>
    <cellStyle name="Output 2 3 2 4 6 2 2" xfId="24799" xr:uid="{00000000-0005-0000-0000-0000CC6C0000}"/>
    <cellStyle name="Output 2 3 2 4 6 2 3" xfId="35644" xr:uid="{00000000-0005-0000-0000-0000CD6C0000}"/>
    <cellStyle name="Output 2 3 2 4 6 2 4" xfId="15402" xr:uid="{00000000-0005-0000-0000-0000CE6C0000}"/>
    <cellStyle name="Output 2 3 2 4 6 3" xfId="8498" xr:uid="{00000000-0005-0000-0000-0000CF6C0000}"/>
    <cellStyle name="Output 2 3 2 4 6 3 2" xfId="27470" xr:uid="{00000000-0005-0000-0000-0000D06C0000}"/>
    <cellStyle name="Output 2 3 2 4 6 3 3" xfId="38315" xr:uid="{00000000-0005-0000-0000-0000D16C0000}"/>
    <cellStyle name="Output 2 3 2 4 6 3 4" xfId="17315" xr:uid="{00000000-0005-0000-0000-0000D26C0000}"/>
    <cellStyle name="Output 2 3 2 4 6 4" xfId="11157" xr:uid="{00000000-0005-0000-0000-0000D36C0000}"/>
    <cellStyle name="Output 2 3 2 4 6 4 2" xfId="30129" xr:uid="{00000000-0005-0000-0000-0000D46C0000}"/>
    <cellStyle name="Output 2 3 2 4 6 4 3" xfId="40974" xr:uid="{00000000-0005-0000-0000-0000D56C0000}"/>
    <cellStyle name="Output 2 3 2 4 6 4 4" xfId="19219" xr:uid="{00000000-0005-0000-0000-0000D66C0000}"/>
    <cellStyle name="Output 2 3 2 4 6 5" xfId="21953" xr:uid="{00000000-0005-0000-0000-0000D76C0000}"/>
    <cellStyle name="Output 2 3 2 4 6 6" xfId="32798" xr:uid="{00000000-0005-0000-0000-0000D86C0000}"/>
    <cellStyle name="Output 2 3 2 4 6 7" xfId="13365" xr:uid="{00000000-0005-0000-0000-0000D96C0000}"/>
    <cellStyle name="Output 2 3 2 4 7" xfId="3665" xr:uid="{00000000-0005-0000-0000-0000DA6C0000}"/>
    <cellStyle name="Output 2 3 2 4 7 2" xfId="22637" xr:uid="{00000000-0005-0000-0000-0000DB6C0000}"/>
    <cellStyle name="Output 2 3 2 4 7 3" xfId="33482" xr:uid="{00000000-0005-0000-0000-0000DC6C0000}"/>
    <cellStyle name="Output 2 3 2 4 7 4" xfId="13846" xr:uid="{00000000-0005-0000-0000-0000DD6C0000}"/>
    <cellStyle name="Output 2 3 2 4 8" xfId="6340" xr:uid="{00000000-0005-0000-0000-0000DE6C0000}"/>
    <cellStyle name="Output 2 3 2 4 8 2" xfId="25312" xr:uid="{00000000-0005-0000-0000-0000DF6C0000}"/>
    <cellStyle name="Output 2 3 2 4 8 3" xfId="36157" xr:uid="{00000000-0005-0000-0000-0000E06C0000}"/>
    <cellStyle name="Output 2 3 2 4 8 4" xfId="15762" xr:uid="{00000000-0005-0000-0000-0000E16C0000}"/>
    <cellStyle name="Output 2 3 2 4 9" xfId="8999" xr:uid="{00000000-0005-0000-0000-0000E26C0000}"/>
    <cellStyle name="Output 2 3 2 4 9 2" xfId="27971" xr:uid="{00000000-0005-0000-0000-0000E36C0000}"/>
    <cellStyle name="Output 2 3 2 4 9 3" xfId="38816" xr:uid="{00000000-0005-0000-0000-0000E46C0000}"/>
    <cellStyle name="Output 2 3 2 4 9 4" xfId="17666" xr:uid="{00000000-0005-0000-0000-0000E56C0000}"/>
    <cellStyle name="Output 2 3 2 5" xfId="869" xr:uid="{00000000-0005-0000-0000-0000E66C0000}"/>
    <cellStyle name="Output 2 3 2 5 10" xfId="19854" xr:uid="{00000000-0005-0000-0000-0000E76C0000}"/>
    <cellStyle name="Output 2 3 2 5 11" xfId="30699" xr:uid="{00000000-0005-0000-0000-0000E86C0000}"/>
    <cellStyle name="Output 2 3 2 5 12" xfId="11851" xr:uid="{00000000-0005-0000-0000-0000E96C0000}"/>
    <cellStyle name="Output 2 3 2 5 2" xfId="1456" xr:uid="{00000000-0005-0000-0000-0000EA6C0000}"/>
    <cellStyle name="Output 2 3 2 5 2 2" xfId="4309" xr:uid="{00000000-0005-0000-0000-0000EB6C0000}"/>
    <cellStyle name="Output 2 3 2 5 2 2 2" xfId="23281" xr:uid="{00000000-0005-0000-0000-0000EC6C0000}"/>
    <cellStyle name="Output 2 3 2 5 2 2 3" xfId="34126" xr:uid="{00000000-0005-0000-0000-0000ED6C0000}"/>
    <cellStyle name="Output 2 3 2 5 2 2 4" xfId="14312" xr:uid="{00000000-0005-0000-0000-0000EE6C0000}"/>
    <cellStyle name="Output 2 3 2 5 2 3" xfId="6982" xr:uid="{00000000-0005-0000-0000-0000EF6C0000}"/>
    <cellStyle name="Output 2 3 2 5 2 3 2" xfId="25954" xr:uid="{00000000-0005-0000-0000-0000F06C0000}"/>
    <cellStyle name="Output 2 3 2 5 2 3 3" xfId="36799" xr:uid="{00000000-0005-0000-0000-0000F16C0000}"/>
    <cellStyle name="Output 2 3 2 5 2 3 4" xfId="16227" xr:uid="{00000000-0005-0000-0000-0000F26C0000}"/>
    <cellStyle name="Output 2 3 2 5 2 4" xfId="9641" xr:uid="{00000000-0005-0000-0000-0000F36C0000}"/>
    <cellStyle name="Output 2 3 2 5 2 4 2" xfId="28613" xr:uid="{00000000-0005-0000-0000-0000F46C0000}"/>
    <cellStyle name="Output 2 3 2 5 2 4 3" xfId="39458" xr:uid="{00000000-0005-0000-0000-0000F56C0000}"/>
    <cellStyle name="Output 2 3 2 5 2 4 4" xfId="18131" xr:uid="{00000000-0005-0000-0000-0000F66C0000}"/>
    <cellStyle name="Output 2 3 2 5 2 5" xfId="20437" xr:uid="{00000000-0005-0000-0000-0000F76C0000}"/>
    <cellStyle name="Output 2 3 2 5 2 6" xfId="31282" xr:uid="{00000000-0005-0000-0000-0000F86C0000}"/>
    <cellStyle name="Output 2 3 2 5 2 7" xfId="12277" xr:uid="{00000000-0005-0000-0000-0000F96C0000}"/>
    <cellStyle name="Output 2 3 2 5 3" xfId="1855" xr:uid="{00000000-0005-0000-0000-0000FA6C0000}"/>
    <cellStyle name="Output 2 3 2 5 3 2" xfId="4708" xr:uid="{00000000-0005-0000-0000-0000FB6C0000}"/>
    <cellStyle name="Output 2 3 2 5 3 2 2" xfId="23680" xr:uid="{00000000-0005-0000-0000-0000FC6C0000}"/>
    <cellStyle name="Output 2 3 2 5 3 2 3" xfId="34525" xr:uid="{00000000-0005-0000-0000-0000FD6C0000}"/>
    <cellStyle name="Output 2 3 2 5 3 2 4" xfId="14599" xr:uid="{00000000-0005-0000-0000-0000FE6C0000}"/>
    <cellStyle name="Output 2 3 2 5 3 3" xfId="7380" xr:uid="{00000000-0005-0000-0000-0000FF6C0000}"/>
    <cellStyle name="Output 2 3 2 5 3 3 2" xfId="26352" xr:uid="{00000000-0005-0000-0000-0000006D0000}"/>
    <cellStyle name="Output 2 3 2 5 3 3 3" xfId="37197" xr:uid="{00000000-0005-0000-0000-0000016D0000}"/>
    <cellStyle name="Output 2 3 2 5 3 3 4" xfId="16513" xr:uid="{00000000-0005-0000-0000-0000026D0000}"/>
    <cellStyle name="Output 2 3 2 5 3 4" xfId="10039" xr:uid="{00000000-0005-0000-0000-0000036D0000}"/>
    <cellStyle name="Output 2 3 2 5 3 4 2" xfId="29011" xr:uid="{00000000-0005-0000-0000-0000046D0000}"/>
    <cellStyle name="Output 2 3 2 5 3 4 3" xfId="39856" xr:uid="{00000000-0005-0000-0000-0000056D0000}"/>
    <cellStyle name="Output 2 3 2 5 3 4 4" xfId="18417" xr:uid="{00000000-0005-0000-0000-0000066D0000}"/>
    <cellStyle name="Output 2 3 2 5 3 5" xfId="20835" xr:uid="{00000000-0005-0000-0000-0000076D0000}"/>
    <cellStyle name="Output 2 3 2 5 3 6" xfId="31680" xr:uid="{00000000-0005-0000-0000-0000086D0000}"/>
    <cellStyle name="Output 2 3 2 5 3 7" xfId="12563" xr:uid="{00000000-0005-0000-0000-0000096D0000}"/>
    <cellStyle name="Output 2 3 2 5 4" xfId="2259" xr:uid="{00000000-0005-0000-0000-00000A6D0000}"/>
    <cellStyle name="Output 2 3 2 5 4 2" xfId="5112" xr:uid="{00000000-0005-0000-0000-00000B6D0000}"/>
    <cellStyle name="Output 2 3 2 5 4 2 2" xfId="24084" xr:uid="{00000000-0005-0000-0000-00000C6D0000}"/>
    <cellStyle name="Output 2 3 2 5 4 2 3" xfId="34929" xr:uid="{00000000-0005-0000-0000-00000D6D0000}"/>
    <cellStyle name="Output 2 3 2 5 4 2 4" xfId="14886" xr:uid="{00000000-0005-0000-0000-00000E6D0000}"/>
    <cellStyle name="Output 2 3 2 5 4 3" xfId="7783" xr:uid="{00000000-0005-0000-0000-00000F6D0000}"/>
    <cellStyle name="Output 2 3 2 5 4 3 2" xfId="26755" xr:uid="{00000000-0005-0000-0000-0000106D0000}"/>
    <cellStyle name="Output 2 3 2 5 4 3 3" xfId="37600" xr:uid="{00000000-0005-0000-0000-0000116D0000}"/>
    <cellStyle name="Output 2 3 2 5 4 3 4" xfId="16799" xr:uid="{00000000-0005-0000-0000-0000126D0000}"/>
    <cellStyle name="Output 2 3 2 5 4 4" xfId="10442" xr:uid="{00000000-0005-0000-0000-0000136D0000}"/>
    <cellStyle name="Output 2 3 2 5 4 4 2" xfId="29414" xr:uid="{00000000-0005-0000-0000-0000146D0000}"/>
    <cellStyle name="Output 2 3 2 5 4 4 3" xfId="40259" xr:uid="{00000000-0005-0000-0000-0000156D0000}"/>
    <cellStyle name="Output 2 3 2 5 4 4 4" xfId="18703" xr:uid="{00000000-0005-0000-0000-0000166D0000}"/>
    <cellStyle name="Output 2 3 2 5 4 5" xfId="21238" xr:uid="{00000000-0005-0000-0000-0000176D0000}"/>
    <cellStyle name="Output 2 3 2 5 4 6" xfId="32083" xr:uid="{00000000-0005-0000-0000-0000186D0000}"/>
    <cellStyle name="Output 2 3 2 5 4 7" xfId="12849" xr:uid="{00000000-0005-0000-0000-0000196D0000}"/>
    <cellStyle name="Output 2 3 2 5 5" xfId="2649" xr:uid="{00000000-0005-0000-0000-00001A6D0000}"/>
    <cellStyle name="Output 2 3 2 5 5 2" xfId="5501" xr:uid="{00000000-0005-0000-0000-00001B6D0000}"/>
    <cellStyle name="Output 2 3 2 5 5 2 2" xfId="24473" xr:uid="{00000000-0005-0000-0000-00001C6D0000}"/>
    <cellStyle name="Output 2 3 2 5 5 2 3" xfId="35318" xr:uid="{00000000-0005-0000-0000-00001D6D0000}"/>
    <cellStyle name="Output 2 3 2 5 5 2 4" xfId="15165" xr:uid="{00000000-0005-0000-0000-00001E6D0000}"/>
    <cellStyle name="Output 2 3 2 5 5 3" xfId="8172" xr:uid="{00000000-0005-0000-0000-00001F6D0000}"/>
    <cellStyle name="Output 2 3 2 5 5 3 2" xfId="27144" xr:uid="{00000000-0005-0000-0000-0000206D0000}"/>
    <cellStyle name="Output 2 3 2 5 5 3 3" xfId="37989" xr:uid="{00000000-0005-0000-0000-0000216D0000}"/>
    <cellStyle name="Output 2 3 2 5 5 3 4" xfId="17078" xr:uid="{00000000-0005-0000-0000-0000226D0000}"/>
    <cellStyle name="Output 2 3 2 5 5 4" xfId="10831" xr:uid="{00000000-0005-0000-0000-0000236D0000}"/>
    <cellStyle name="Output 2 3 2 5 5 4 2" xfId="29803" xr:uid="{00000000-0005-0000-0000-0000246D0000}"/>
    <cellStyle name="Output 2 3 2 5 5 4 3" xfId="40648" xr:uid="{00000000-0005-0000-0000-0000256D0000}"/>
    <cellStyle name="Output 2 3 2 5 5 4 4" xfId="18982" xr:uid="{00000000-0005-0000-0000-0000266D0000}"/>
    <cellStyle name="Output 2 3 2 5 5 5" xfId="21627" xr:uid="{00000000-0005-0000-0000-0000276D0000}"/>
    <cellStyle name="Output 2 3 2 5 5 6" xfId="32472" xr:uid="{00000000-0005-0000-0000-0000286D0000}"/>
    <cellStyle name="Output 2 3 2 5 5 7" xfId="13128" xr:uid="{00000000-0005-0000-0000-0000296D0000}"/>
    <cellStyle name="Output 2 3 2 5 6" xfId="3035" xr:uid="{00000000-0005-0000-0000-00002A6D0000}"/>
    <cellStyle name="Output 2 3 2 5 6 2" xfId="5886" xr:uid="{00000000-0005-0000-0000-00002B6D0000}"/>
    <cellStyle name="Output 2 3 2 5 6 2 2" xfId="24858" xr:uid="{00000000-0005-0000-0000-00002C6D0000}"/>
    <cellStyle name="Output 2 3 2 5 6 2 3" xfId="35703" xr:uid="{00000000-0005-0000-0000-00002D6D0000}"/>
    <cellStyle name="Output 2 3 2 5 6 2 4" xfId="15441" xr:uid="{00000000-0005-0000-0000-00002E6D0000}"/>
    <cellStyle name="Output 2 3 2 5 6 3" xfId="8557" xr:uid="{00000000-0005-0000-0000-00002F6D0000}"/>
    <cellStyle name="Output 2 3 2 5 6 3 2" xfId="27529" xr:uid="{00000000-0005-0000-0000-0000306D0000}"/>
    <cellStyle name="Output 2 3 2 5 6 3 3" xfId="38374" xr:uid="{00000000-0005-0000-0000-0000316D0000}"/>
    <cellStyle name="Output 2 3 2 5 6 3 4" xfId="17354" xr:uid="{00000000-0005-0000-0000-0000326D0000}"/>
    <cellStyle name="Output 2 3 2 5 6 4" xfId="11216" xr:uid="{00000000-0005-0000-0000-0000336D0000}"/>
    <cellStyle name="Output 2 3 2 5 6 4 2" xfId="30188" xr:uid="{00000000-0005-0000-0000-0000346D0000}"/>
    <cellStyle name="Output 2 3 2 5 6 4 3" xfId="41033" xr:uid="{00000000-0005-0000-0000-0000356D0000}"/>
    <cellStyle name="Output 2 3 2 5 6 4 4" xfId="19258" xr:uid="{00000000-0005-0000-0000-0000366D0000}"/>
    <cellStyle name="Output 2 3 2 5 6 5" xfId="22012" xr:uid="{00000000-0005-0000-0000-0000376D0000}"/>
    <cellStyle name="Output 2 3 2 5 6 6" xfId="32857" xr:uid="{00000000-0005-0000-0000-0000386D0000}"/>
    <cellStyle name="Output 2 3 2 5 6 7" xfId="13404" xr:uid="{00000000-0005-0000-0000-0000396D0000}"/>
    <cellStyle name="Output 2 3 2 5 7" xfId="3724" xr:uid="{00000000-0005-0000-0000-00003A6D0000}"/>
    <cellStyle name="Output 2 3 2 5 7 2" xfId="22696" xr:uid="{00000000-0005-0000-0000-00003B6D0000}"/>
    <cellStyle name="Output 2 3 2 5 7 3" xfId="33541" xr:uid="{00000000-0005-0000-0000-00003C6D0000}"/>
    <cellStyle name="Output 2 3 2 5 7 4" xfId="13885" xr:uid="{00000000-0005-0000-0000-00003D6D0000}"/>
    <cellStyle name="Output 2 3 2 5 8" xfId="6399" xr:uid="{00000000-0005-0000-0000-00003E6D0000}"/>
    <cellStyle name="Output 2 3 2 5 8 2" xfId="25371" xr:uid="{00000000-0005-0000-0000-00003F6D0000}"/>
    <cellStyle name="Output 2 3 2 5 8 3" xfId="36216" xr:uid="{00000000-0005-0000-0000-0000406D0000}"/>
    <cellStyle name="Output 2 3 2 5 8 4" xfId="15801" xr:uid="{00000000-0005-0000-0000-0000416D0000}"/>
    <cellStyle name="Output 2 3 2 5 9" xfId="9058" xr:uid="{00000000-0005-0000-0000-0000426D0000}"/>
    <cellStyle name="Output 2 3 2 5 9 2" xfId="28030" xr:uid="{00000000-0005-0000-0000-0000436D0000}"/>
    <cellStyle name="Output 2 3 2 5 9 3" xfId="38875" xr:uid="{00000000-0005-0000-0000-0000446D0000}"/>
    <cellStyle name="Output 2 3 2 5 9 4" xfId="17705" xr:uid="{00000000-0005-0000-0000-0000456D0000}"/>
    <cellStyle name="Output 2 3 2 6" xfId="1091" xr:uid="{00000000-0005-0000-0000-0000466D0000}"/>
    <cellStyle name="Output 2 3 2 6 2" xfId="3944" xr:uid="{00000000-0005-0000-0000-0000476D0000}"/>
    <cellStyle name="Output 2 3 2 6 2 2" xfId="22916" xr:uid="{00000000-0005-0000-0000-0000486D0000}"/>
    <cellStyle name="Output 2 3 2 6 2 3" xfId="33761" xr:uid="{00000000-0005-0000-0000-0000496D0000}"/>
    <cellStyle name="Output 2 3 2 6 2 4" xfId="14047" xr:uid="{00000000-0005-0000-0000-00004A6D0000}"/>
    <cellStyle name="Output 2 3 2 6 3" xfId="6618" xr:uid="{00000000-0005-0000-0000-00004B6D0000}"/>
    <cellStyle name="Output 2 3 2 6 3 2" xfId="25590" xr:uid="{00000000-0005-0000-0000-00004C6D0000}"/>
    <cellStyle name="Output 2 3 2 6 3 3" xfId="36435" xr:uid="{00000000-0005-0000-0000-00004D6D0000}"/>
    <cellStyle name="Output 2 3 2 6 3 4" xfId="15963" xr:uid="{00000000-0005-0000-0000-00004E6D0000}"/>
    <cellStyle name="Output 2 3 2 6 4" xfId="9277" xr:uid="{00000000-0005-0000-0000-00004F6D0000}"/>
    <cellStyle name="Output 2 3 2 6 4 2" xfId="28249" xr:uid="{00000000-0005-0000-0000-0000506D0000}"/>
    <cellStyle name="Output 2 3 2 6 4 3" xfId="39094" xr:uid="{00000000-0005-0000-0000-0000516D0000}"/>
    <cellStyle name="Output 2 3 2 6 4 4" xfId="17867" xr:uid="{00000000-0005-0000-0000-0000526D0000}"/>
    <cellStyle name="Output 2 3 2 6 5" xfId="20073" xr:uid="{00000000-0005-0000-0000-0000536D0000}"/>
    <cellStyle name="Output 2 3 2 6 6" xfId="30918" xr:uid="{00000000-0005-0000-0000-0000546D0000}"/>
    <cellStyle name="Output 2 3 2 6 7" xfId="12013" xr:uid="{00000000-0005-0000-0000-0000556D0000}"/>
    <cellStyle name="Output 2 3 2 7" xfId="904" xr:uid="{00000000-0005-0000-0000-0000566D0000}"/>
    <cellStyle name="Output 2 3 2 7 2" xfId="3759" xr:uid="{00000000-0005-0000-0000-0000576D0000}"/>
    <cellStyle name="Output 2 3 2 7 2 2" xfId="22731" xr:uid="{00000000-0005-0000-0000-0000586D0000}"/>
    <cellStyle name="Output 2 3 2 7 2 3" xfId="33576" xr:uid="{00000000-0005-0000-0000-0000596D0000}"/>
    <cellStyle name="Output 2 3 2 7 2 4" xfId="13910" xr:uid="{00000000-0005-0000-0000-00005A6D0000}"/>
    <cellStyle name="Output 2 3 2 7 3" xfId="6434" xr:uid="{00000000-0005-0000-0000-00005B6D0000}"/>
    <cellStyle name="Output 2 3 2 7 3 2" xfId="25406" xr:uid="{00000000-0005-0000-0000-00005C6D0000}"/>
    <cellStyle name="Output 2 3 2 7 3 3" xfId="36251" xr:uid="{00000000-0005-0000-0000-00005D6D0000}"/>
    <cellStyle name="Output 2 3 2 7 3 4" xfId="15826" xr:uid="{00000000-0005-0000-0000-00005E6D0000}"/>
    <cellStyle name="Output 2 3 2 7 4" xfId="9093" xr:uid="{00000000-0005-0000-0000-00005F6D0000}"/>
    <cellStyle name="Output 2 3 2 7 4 2" xfId="28065" xr:uid="{00000000-0005-0000-0000-0000606D0000}"/>
    <cellStyle name="Output 2 3 2 7 4 3" xfId="38910" xr:uid="{00000000-0005-0000-0000-0000616D0000}"/>
    <cellStyle name="Output 2 3 2 7 4 4" xfId="17730" xr:uid="{00000000-0005-0000-0000-0000626D0000}"/>
    <cellStyle name="Output 2 3 2 7 5" xfId="19889" xr:uid="{00000000-0005-0000-0000-0000636D0000}"/>
    <cellStyle name="Output 2 3 2 7 6" xfId="30734" xr:uid="{00000000-0005-0000-0000-0000646D0000}"/>
    <cellStyle name="Output 2 3 2 7 7" xfId="11876" xr:uid="{00000000-0005-0000-0000-0000656D0000}"/>
    <cellStyle name="Output 2 3 2 8" xfId="1898" xr:uid="{00000000-0005-0000-0000-0000666D0000}"/>
    <cellStyle name="Output 2 3 2 8 2" xfId="4751" xr:uid="{00000000-0005-0000-0000-0000676D0000}"/>
    <cellStyle name="Output 2 3 2 8 2 2" xfId="23723" xr:uid="{00000000-0005-0000-0000-0000686D0000}"/>
    <cellStyle name="Output 2 3 2 8 2 3" xfId="34568" xr:uid="{00000000-0005-0000-0000-0000696D0000}"/>
    <cellStyle name="Output 2 3 2 8 2 4" xfId="14627" xr:uid="{00000000-0005-0000-0000-00006A6D0000}"/>
    <cellStyle name="Output 2 3 2 8 3" xfId="7423" xr:uid="{00000000-0005-0000-0000-00006B6D0000}"/>
    <cellStyle name="Output 2 3 2 8 3 2" xfId="26395" xr:uid="{00000000-0005-0000-0000-00006C6D0000}"/>
    <cellStyle name="Output 2 3 2 8 3 3" xfId="37240" xr:uid="{00000000-0005-0000-0000-00006D6D0000}"/>
    <cellStyle name="Output 2 3 2 8 3 4" xfId="16541" xr:uid="{00000000-0005-0000-0000-00006E6D0000}"/>
    <cellStyle name="Output 2 3 2 8 4" xfId="10082" xr:uid="{00000000-0005-0000-0000-00006F6D0000}"/>
    <cellStyle name="Output 2 3 2 8 4 2" xfId="29054" xr:uid="{00000000-0005-0000-0000-0000706D0000}"/>
    <cellStyle name="Output 2 3 2 8 4 3" xfId="39899" xr:uid="{00000000-0005-0000-0000-0000716D0000}"/>
    <cellStyle name="Output 2 3 2 8 4 4" xfId="18445" xr:uid="{00000000-0005-0000-0000-0000726D0000}"/>
    <cellStyle name="Output 2 3 2 8 5" xfId="20878" xr:uid="{00000000-0005-0000-0000-0000736D0000}"/>
    <cellStyle name="Output 2 3 2 8 6" xfId="31723" xr:uid="{00000000-0005-0000-0000-0000746D0000}"/>
    <cellStyle name="Output 2 3 2 8 7" xfId="12591" xr:uid="{00000000-0005-0000-0000-0000756D0000}"/>
    <cellStyle name="Output 2 3 2 9" xfId="1066" xr:uid="{00000000-0005-0000-0000-0000766D0000}"/>
    <cellStyle name="Output 2 3 2 9 2" xfId="3919" xr:uid="{00000000-0005-0000-0000-0000776D0000}"/>
    <cellStyle name="Output 2 3 2 9 2 2" xfId="22891" xr:uid="{00000000-0005-0000-0000-0000786D0000}"/>
    <cellStyle name="Output 2 3 2 9 2 3" xfId="33736" xr:uid="{00000000-0005-0000-0000-0000796D0000}"/>
    <cellStyle name="Output 2 3 2 9 2 4" xfId="14032" xr:uid="{00000000-0005-0000-0000-00007A6D0000}"/>
    <cellStyle name="Output 2 3 2 9 3" xfId="6593" xr:uid="{00000000-0005-0000-0000-00007B6D0000}"/>
    <cellStyle name="Output 2 3 2 9 3 2" xfId="25565" xr:uid="{00000000-0005-0000-0000-00007C6D0000}"/>
    <cellStyle name="Output 2 3 2 9 3 3" xfId="36410" xr:uid="{00000000-0005-0000-0000-00007D6D0000}"/>
    <cellStyle name="Output 2 3 2 9 3 4" xfId="15948" xr:uid="{00000000-0005-0000-0000-00007E6D0000}"/>
    <cellStyle name="Output 2 3 2 9 4" xfId="9252" xr:uid="{00000000-0005-0000-0000-00007F6D0000}"/>
    <cellStyle name="Output 2 3 2 9 4 2" xfId="28224" xr:uid="{00000000-0005-0000-0000-0000806D0000}"/>
    <cellStyle name="Output 2 3 2 9 4 3" xfId="39069" xr:uid="{00000000-0005-0000-0000-0000816D0000}"/>
    <cellStyle name="Output 2 3 2 9 4 4" xfId="17852" xr:uid="{00000000-0005-0000-0000-0000826D0000}"/>
    <cellStyle name="Output 2 3 2 9 5" xfId="20048" xr:uid="{00000000-0005-0000-0000-0000836D0000}"/>
    <cellStyle name="Output 2 3 2 9 6" xfId="30893" xr:uid="{00000000-0005-0000-0000-0000846D0000}"/>
    <cellStyle name="Output 2 3 2 9 7" xfId="11998" xr:uid="{00000000-0005-0000-0000-0000856D0000}"/>
    <cellStyle name="Output 2 3 3" xfId="573" xr:uid="{00000000-0005-0000-0000-0000866D0000}"/>
    <cellStyle name="Output 2 3 3 10" xfId="19583" xr:uid="{00000000-0005-0000-0000-0000876D0000}"/>
    <cellStyle name="Output 2 3 3 11" xfId="30428" xr:uid="{00000000-0005-0000-0000-0000886D0000}"/>
    <cellStyle name="Output 2 3 3 12" xfId="11637" xr:uid="{00000000-0005-0000-0000-0000896D0000}"/>
    <cellStyle name="Output 2 3 3 2" xfId="1179" xr:uid="{00000000-0005-0000-0000-00008A6D0000}"/>
    <cellStyle name="Output 2 3 3 2 2" xfId="4032" xr:uid="{00000000-0005-0000-0000-00008B6D0000}"/>
    <cellStyle name="Output 2 3 3 2 2 2" xfId="23004" xr:uid="{00000000-0005-0000-0000-00008C6D0000}"/>
    <cellStyle name="Output 2 3 3 2 2 3" xfId="33849" xr:uid="{00000000-0005-0000-0000-00008D6D0000}"/>
    <cellStyle name="Output 2 3 3 2 2 4" xfId="14114" xr:uid="{00000000-0005-0000-0000-00008E6D0000}"/>
    <cellStyle name="Output 2 3 3 2 3" xfId="6705" xr:uid="{00000000-0005-0000-0000-00008F6D0000}"/>
    <cellStyle name="Output 2 3 3 2 3 2" xfId="25677" xr:uid="{00000000-0005-0000-0000-0000906D0000}"/>
    <cellStyle name="Output 2 3 3 2 3 3" xfId="36522" xr:uid="{00000000-0005-0000-0000-0000916D0000}"/>
    <cellStyle name="Output 2 3 3 2 3 4" xfId="16029" xr:uid="{00000000-0005-0000-0000-0000926D0000}"/>
    <cellStyle name="Output 2 3 3 2 4" xfId="9364" xr:uid="{00000000-0005-0000-0000-0000936D0000}"/>
    <cellStyle name="Output 2 3 3 2 4 2" xfId="28336" xr:uid="{00000000-0005-0000-0000-0000946D0000}"/>
    <cellStyle name="Output 2 3 3 2 4 3" xfId="39181" xr:uid="{00000000-0005-0000-0000-0000956D0000}"/>
    <cellStyle name="Output 2 3 3 2 4 4" xfId="17933" xr:uid="{00000000-0005-0000-0000-0000966D0000}"/>
    <cellStyle name="Output 2 3 3 2 5" xfId="20160" xr:uid="{00000000-0005-0000-0000-0000976D0000}"/>
    <cellStyle name="Output 2 3 3 2 6" xfId="31005" xr:uid="{00000000-0005-0000-0000-0000986D0000}"/>
    <cellStyle name="Output 2 3 3 2 7" xfId="12079" xr:uid="{00000000-0005-0000-0000-0000996D0000}"/>
    <cellStyle name="Output 2 3 3 3" xfId="1576" xr:uid="{00000000-0005-0000-0000-00009A6D0000}"/>
    <cellStyle name="Output 2 3 3 3 2" xfId="4429" xr:uid="{00000000-0005-0000-0000-00009B6D0000}"/>
    <cellStyle name="Output 2 3 3 3 2 2" xfId="23401" xr:uid="{00000000-0005-0000-0000-00009C6D0000}"/>
    <cellStyle name="Output 2 3 3 3 2 3" xfId="34246" xr:uid="{00000000-0005-0000-0000-00009D6D0000}"/>
    <cellStyle name="Output 2 3 3 3 2 4" xfId="14400" xr:uid="{00000000-0005-0000-0000-00009E6D0000}"/>
    <cellStyle name="Output 2 3 3 3 3" xfId="7101" xr:uid="{00000000-0005-0000-0000-00009F6D0000}"/>
    <cellStyle name="Output 2 3 3 3 3 2" xfId="26073" xr:uid="{00000000-0005-0000-0000-0000A06D0000}"/>
    <cellStyle name="Output 2 3 3 3 3 3" xfId="36918" xr:uid="{00000000-0005-0000-0000-0000A16D0000}"/>
    <cellStyle name="Output 2 3 3 3 3 4" xfId="16314" xr:uid="{00000000-0005-0000-0000-0000A26D0000}"/>
    <cellStyle name="Output 2 3 3 3 4" xfId="9760" xr:uid="{00000000-0005-0000-0000-0000A36D0000}"/>
    <cellStyle name="Output 2 3 3 3 4 2" xfId="28732" xr:uid="{00000000-0005-0000-0000-0000A46D0000}"/>
    <cellStyle name="Output 2 3 3 3 4 3" xfId="39577" xr:uid="{00000000-0005-0000-0000-0000A56D0000}"/>
    <cellStyle name="Output 2 3 3 3 4 4" xfId="18218" xr:uid="{00000000-0005-0000-0000-0000A66D0000}"/>
    <cellStyle name="Output 2 3 3 3 5" xfId="20556" xr:uid="{00000000-0005-0000-0000-0000A76D0000}"/>
    <cellStyle name="Output 2 3 3 3 6" xfId="31401" xr:uid="{00000000-0005-0000-0000-0000A86D0000}"/>
    <cellStyle name="Output 2 3 3 3 7" xfId="12364" xr:uid="{00000000-0005-0000-0000-0000A96D0000}"/>
    <cellStyle name="Output 2 3 3 4" xfId="1980" xr:uid="{00000000-0005-0000-0000-0000AA6D0000}"/>
    <cellStyle name="Output 2 3 3 4 2" xfId="4833" xr:uid="{00000000-0005-0000-0000-0000AB6D0000}"/>
    <cellStyle name="Output 2 3 3 4 2 2" xfId="23805" xr:uid="{00000000-0005-0000-0000-0000AC6D0000}"/>
    <cellStyle name="Output 2 3 3 4 2 3" xfId="34650" xr:uid="{00000000-0005-0000-0000-0000AD6D0000}"/>
    <cellStyle name="Output 2 3 3 4 2 4" xfId="14688" xr:uid="{00000000-0005-0000-0000-0000AE6D0000}"/>
    <cellStyle name="Output 2 3 3 4 3" xfId="7505" xr:uid="{00000000-0005-0000-0000-0000AF6D0000}"/>
    <cellStyle name="Output 2 3 3 4 3 2" xfId="26477" xr:uid="{00000000-0005-0000-0000-0000B06D0000}"/>
    <cellStyle name="Output 2 3 3 4 3 3" xfId="37322" xr:uid="{00000000-0005-0000-0000-0000B16D0000}"/>
    <cellStyle name="Output 2 3 3 4 3 4" xfId="16602" xr:uid="{00000000-0005-0000-0000-0000B26D0000}"/>
    <cellStyle name="Output 2 3 3 4 4" xfId="10164" xr:uid="{00000000-0005-0000-0000-0000B36D0000}"/>
    <cellStyle name="Output 2 3 3 4 4 2" xfId="29136" xr:uid="{00000000-0005-0000-0000-0000B46D0000}"/>
    <cellStyle name="Output 2 3 3 4 4 3" xfId="39981" xr:uid="{00000000-0005-0000-0000-0000B56D0000}"/>
    <cellStyle name="Output 2 3 3 4 4 4" xfId="18506" xr:uid="{00000000-0005-0000-0000-0000B66D0000}"/>
    <cellStyle name="Output 2 3 3 4 5" xfId="20960" xr:uid="{00000000-0005-0000-0000-0000B76D0000}"/>
    <cellStyle name="Output 2 3 3 4 6" xfId="31805" xr:uid="{00000000-0005-0000-0000-0000B86D0000}"/>
    <cellStyle name="Output 2 3 3 4 7" xfId="12652" xr:uid="{00000000-0005-0000-0000-0000B96D0000}"/>
    <cellStyle name="Output 2 3 3 5" xfId="2372" xr:uid="{00000000-0005-0000-0000-0000BA6D0000}"/>
    <cellStyle name="Output 2 3 3 5 2" xfId="5225" xr:uid="{00000000-0005-0000-0000-0000BB6D0000}"/>
    <cellStyle name="Output 2 3 3 5 2 2" xfId="24197" xr:uid="{00000000-0005-0000-0000-0000BC6D0000}"/>
    <cellStyle name="Output 2 3 3 5 2 3" xfId="35042" xr:uid="{00000000-0005-0000-0000-0000BD6D0000}"/>
    <cellStyle name="Output 2 3 3 5 2 4" xfId="14969" xr:uid="{00000000-0005-0000-0000-0000BE6D0000}"/>
    <cellStyle name="Output 2 3 3 5 3" xfId="7896" xr:uid="{00000000-0005-0000-0000-0000BF6D0000}"/>
    <cellStyle name="Output 2 3 3 5 3 2" xfId="26868" xr:uid="{00000000-0005-0000-0000-0000C06D0000}"/>
    <cellStyle name="Output 2 3 3 5 3 3" xfId="37713" xr:uid="{00000000-0005-0000-0000-0000C16D0000}"/>
    <cellStyle name="Output 2 3 3 5 3 4" xfId="16882" xr:uid="{00000000-0005-0000-0000-0000C26D0000}"/>
    <cellStyle name="Output 2 3 3 5 4" xfId="10555" xr:uid="{00000000-0005-0000-0000-0000C36D0000}"/>
    <cellStyle name="Output 2 3 3 5 4 2" xfId="29527" xr:uid="{00000000-0005-0000-0000-0000C46D0000}"/>
    <cellStyle name="Output 2 3 3 5 4 3" xfId="40372" xr:uid="{00000000-0005-0000-0000-0000C56D0000}"/>
    <cellStyle name="Output 2 3 3 5 4 4" xfId="18786" xr:uid="{00000000-0005-0000-0000-0000C66D0000}"/>
    <cellStyle name="Output 2 3 3 5 5" xfId="21351" xr:uid="{00000000-0005-0000-0000-0000C76D0000}"/>
    <cellStyle name="Output 2 3 3 5 6" xfId="32196" xr:uid="{00000000-0005-0000-0000-0000C86D0000}"/>
    <cellStyle name="Output 2 3 3 5 7" xfId="12932" xr:uid="{00000000-0005-0000-0000-0000C96D0000}"/>
    <cellStyle name="Output 2 3 3 6" xfId="2761" xr:uid="{00000000-0005-0000-0000-0000CA6D0000}"/>
    <cellStyle name="Output 2 3 3 6 2" xfId="5613" xr:uid="{00000000-0005-0000-0000-0000CB6D0000}"/>
    <cellStyle name="Output 2 3 3 6 2 2" xfId="24585" xr:uid="{00000000-0005-0000-0000-0000CC6D0000}"/>
    <cellStyle name="Output 2 3 3 6 2 3" xfId="35430" xr:uid="{00000000-0005-0000-0000-0000CD6D0000}"/>
    <cellStyle name="Output 2 3 3 6 2 4" xfId="15247" xr:uid="{00000000-0005-0000-0000-0000CE6D0000}"/>
    <cellStyle name="Output 2 3 3 6 3" xfId="8284" xr:uid="{00000000-0005-0000-0000-0000CF6D0000}"/>
    <cellStyle name="Output 2 3 3 6 3 2" xfId="27256" xr:uid="{00000000-0005-0000-0000-0000D06D0000}"/>
    <cellStyle name="Output 2 3 3 6 3 3" xfId="38101" xr:uid="{00000000-0005-0000-0000-0000D16D0000}"/>
    <cellStyle name="Output 2 3 3 6 3 4" xfId="17160" xr:uid="{00000000-0005-0000-0000-0000D26D0000}"/>
    <cellStyle name="Output 2 3 3 6 4" xfId="10943" xr:uid="{00000000-0005-0000-0000-0000D36D0000}"/>
    <cellStyle name="Output 2 3 3 6 4 2" xfId="29915" xr:uid="{00000000-0005-0000-0000-0000D46D0000}"/>
    <cellStyle name="Output 2 3 3 6 4 3" xfId="40760" xr:uid="{00000000-0005-0000-0000-0000D56D0000}"/>
    <cellStyle name="Output 2 3 3 6 4 4" xfId="19064" xr:uid="{00000000-0005-0000-0000-0000D66D0000}"/>
    <cellStyle name="Output 2 3 3 6 5" xfId="21739" xr:uid="{00000000-0005-0000-0000-0000D76D0000}"/>
    <cellStyle name="Output 2 3 3 6 6" xfId="32584" xr:uid="{00000000-0005-0000-0000-0000D86D0000}"/>
    <cellStyle name="Output 2 3 3 6 7" xfId="13210" xr:uid="{00000000-0005-0000-0000-0000D96D0000}"/>
    <cellStyle name="Output 2 3 3 7" xfId="3452" xr:uid="{00000000-0005-0000-0000-0000DA6D0000}"/>
    <cellStyle name="Output 2 3 3 7 2" xfId="22424" xr:uid="{00000000-0005-0000-0000-0000DB6D0000}"/>
    <cellStyle name="Output 2 3 3 7 3" xfId="33269" xr:uid="{00000000-0005-0000-0000-0000DC6D0000}"/>
    <cellStyle name="Output 2 3 3 7 4" xfId="13692" xr:uid="{00000000-0005-0000-0000-0000DD6D0000}"/>
    <cellStyle name="Output 2 3 3 8" xfId="6128" xr:uid="{00000000-0005-0000-0000-0000DE6D0000}"/>
    <cellStyle name="Output 2 3 3 8 2" xfId="25100" xr:uid="{00000000-0005-0000-0000-0000DF6D0000}"/>
    <cellStyle name="Output 2 3 3 8 3" xfId="35945" xr:uid="{00000000-0005-0000-0000-0000E06D0000}"/>
    <cellStyle name="Output 2 3 3 8 4" xfId="15609" xr:uid="{00000000-0005-0000-0000-0000E16D0000}"/>
    <cellStyle name="Output 2 3 3 9" xfId="8787" xr:uid="{00000000-0005-0000-0000-0000E26D0000}"/>
    <cellStyle name="Output 2 3 3 9 2" xfId="27759" xr:uid="{00000000-0005-0000-0000-0000E36D0000}"/>
    <cellStyle name="Output 2 3 3 9 3" xfId="38604" xr:uid="{00000000-0005-0000-0000-0000E46D0000}"/>
    <cellStyle name="Output 2 3 3 9 4" xfId="17513" xr:uid="{00000000-0005-0000-0000-0000E56D0000}"/>
    <cellStyle name="Output 2 3 4" xfId="11464" xr:uid="{00000000-0005-0000-0000-0000E66D0000}"/>
    <cellStyle name="Output 2 4" xfId="140" xr:uid="{00000000-0005-0000-0000-0000E76D0000}"/>
    <cellStyle name="Output 2 4 2" xfId="391" xr:uid="{00000000-0005-0000-0000-0000E86D0000}"/>
    <cellStyle name="Output 2 4 2 10" xfId="1026" xr:uid="{00000000-0005-0000-0000-0000E96D0000}"/>
    <cellStyle name="Output 2 4 2 10 2" xfId="3879" xr:uid="{00000000-0005-0000-0000-0000EA6D0000}"/>
    <cellStyle name="Output 2 4 2 10 2 2" xfId="22851" xr:uid="{00000000-0005-0000-0000-0000EB6D0000}"/>
    <cellStyle name="Output 2 4 2 10 2 3" xfId="33696" xr:uid="{00000000-0005-0000-0000-0000EC6D0000}"/>
    <cellStyle name="Output 2 4 2 10 2 4" xfId="14000" xr:uid="{00000000-0005-0000-0000-0000ED6D0000}"/>
    <cellStyle name="Output 2 4 2 10 3" xfId="6553" xr:uid="{00000000-0005-0000-0000-0000EE6D0000}"/>
    <cellStyle name="Output 2 4 2 10 3 2" xfId="25525" xr:uid="{00000000-0005-0000-0000-0000EF6D0000}"/>
    <cellStyle name="Output 2 4 2 10 3 3" xfId="36370" xr:uid="{00000000-0005-0000-0000-0000F06D0000}"/>
    <cellStyle name="Output 2 4 2 10 3 4" xfId="15916" xr:uid="{00000000-0005-0000-0000-0000F16D0000}"/>
    <cellStyle name="Output 2 4 2 10 4" xfId="9212" xr:uid="{00000000-0005-0000-0000-0000F26D0000}"/>
    <cellStyle name="Output 2 4 2 10 4 2" xfId="28184" xr:uid="{00000000-0005-0000-0000-0000F36D0000}"/>
    <cellStyle name="Output 2 4 2 10 4 3" xfId="39029" xr:uid="{00000000-0005-0000-0000-0000F46D0000}"/>
    <cellStyle name="Output 2 4 2 10 4 4" xfId="17820" xr:uid="{00000000-0005-0000-0000-0000F56D0000}"/>
    <cellStyle name="Output 2 4 2 10 5" xfId="20008" xr:uid="{00000000-0005-0000-0000-0000F66D0000}"/>
    <cellStyle name="Output 2 4 2 10 6" xfId="30853" xr:uid="{00000000-0005-0000-0000-0000F76D0000}"/>
    <cellStyle name="Output 2 4 2 10 7" xfId="11966" xr:uid="{00000000-0005-0000-0000-0000F86D0000}"/>
    <cellStyle name="Output 2 4 2 11" xfId="956" xr:uid="{00000000-0005-0000-0000-0000F96D0000}"/>
    <cellStyle name="Output 2 4 2 11 2" xfId="3809" xr:uid="{00000000-0005-0000-0000-0000FA6D0000}"/>
    <cellStyle name="Output 2 4 2 11 2 2" xfId="22781" xr:uid="{00000000-0005-0000-0000-0000FB6D0000}"/>
    <cellStyle name="Output 2 4 2 11 2 3" xfId="33626" xr:uid="{00000000-0005-0000-0000-0000FC6D0000}"/>
    <cellStyle name="Output 2 4 2 11 2 4" xfId="13952" xr:uid="{00000000-0005-0000-0000-0000FD6D0000}"/>
    <cellStyle name="Output 2 4 2 11 3" xfId="6484" xr:uid="{00000000-0005-0000-0000-0000FE6D0000}"/>
    <cellStyle name="Output 2 4 2 11 3 2" xfId="25456" xr:uid="{00000000-0005-0000-0000-0000FF6D0000}"/>
    <cellStyle name="Output 2 4 2 11 3 3" xfId="36301" xr:uid="{00000000-0005-0000-0000-0000006E0000}"/>
    <cellStyle name="Output 2 4 2 11 3 4" xfId="15868" xr:uid="{00000000-0005-0000-0000-0000016E0000}"/>
    <cellStyle name="Output 2 4 2 11 4" xfId="9143" xr:uid="{00000000-0005-0000-0000-0000026E0000}"/>
    <cellStyle name="Output 2 4 2 11 4 2" xfId="28115" xr:uid="{00000000-0005-0000-0000-0000036E0000}"/>
    <cellStyle name="Output 2 4 2 11 4 3" xfId="38960" xr:uid="{00000000-0005-0000-0000-0000046E0000}"/>
    <cellStyle name="Output 2 4 2 11 4 4" xfId="17772" xr:uid="{00000000-0005-0000-0000-0000056E0000}"/>
    <cellStyle name="Output 2 4 2 11 5" xfId="19939" xr:uid="{00000000-0005-0000-0000-0000066E0000}"/>
    <cellStyle name="Output 2 4 2 11 6" xfId="30784" xr:uid="{00000000-0005-0000-0000-0000076E0000}"/>
    <cellStyle name="Output 2 4 2 11 7" xfId="11918" xr:uid="{00000000-0005-0000-0000-0000086E0000}"/>
    <cellStyle name="Output 2 4 2 12" xfId="3126" xr:uid="{00000000-0005-0000-0000-0000096E0000}"/>
    <cellStyle name="Output 2 4 2 12 2" xfId="5977" xr:uid="{00000000-0005-0000-0000-00000A6E0000}"/>
    <cellStyle name="Output 2 4 2 12 2 2" xfId="24949" xr:uid="{00000000-0005-0000-0000-00000B6E0000}"/>
    <cellStyle name="Output 2 4 2 12 2 3" xfId="35794" xr:uid="{00000000-0005-0000-0000-00000C6E0000}"/>
    <cellStyle name="Output 2 4 2 12 2 4" xfId="15502" xr:uid="{00000000-0005-0000-0000-00000D6E0000}"/>
    <cellStyle name="Output 2 4 2 12 3" xfId="8648" xr:uid="{00000000-0005-0000-0000-00000E6E0000}"/>
    <cellStyle name="Output 2 4 2 12 3 2" xfId="27620" xr:uid="{00000000-0005-0000-0000-00000F6E0000}"/>
    <cellStyle name="Output 2 4 2 12 3 3" xfId="38465" xr:uid="{00000000-0005-0000-0000-0000106E0000}"/>
    <cellStyle name="Output 2 4 2 12 3 4" xfId="17415" xr:uid="{00000000-0005-0000-0000-0000116E0000}"/>
    <cellStyle name="Output 2 4 2 12 4" xfId="11307" xr:uid="{00000000-0005-0000-0000-0000126E0000}"/>
    <cellStyle name="Output 2 4 2 12 4 2" xfId="30279" xr:uid="{00000000-0005-0000-0000-0000136E0000}"/>
    <cellStyle name="Output 2 4 2 12 4 3" xfId="41124" xr:uid="{00000000-0005-0000-0000-0000146E0000}"/>
    <cellStyle name="Output 2 4 2 12 4 4" xfId="19319" xr:uid="{00000000-0005-0000-0000-0000156E0000}"/>
    <cellStyle name="Output 2 4 2 12 5" xfId="22103" xr:uid="{00000000-0005-0000-0000-0000166E0000}"/>
    <cellStyle name="Output 2 4 2 12 6" xfId="32948" xr:uid="{00000000-0005-0000-0000-0000176E0000}"/>
    <cellStyle name="Output 2 4 2 12 7" xfId="13465" xr:uid="{00000000-0005-0000-0000-0000186E0000}"/>
    <cellStyle name="Output 2 4 2 13" xfId="3183" xr:uid="{00000000-0005-0000-0000-0000196E0000}"/>
    <cellStyle name="Output 2 4 2 13 2" xfId="6034" xr:uid="{00000000-0005-0000-0000-00001A6E0000}"/>
    <cellStyle name="Output 2 4 2 13 2 2" xfId="25006" xr:uid="{00000000-0005-0000-0000-00001B6E0000}"/>
    <cellStyle name="Output 2 4 2 13 2 3" xfId="35851" xr:uid="{00000000-0005-0000-0000-00001C6E0000}"/>
    <cellStyle name="Output 2 4 2 13 2 4" xfId="15539" xr:uid="{00000000-0005-0000-0000-00001D6E0000}"/>
    <cellStyle name="Output 2 4 2 13 3" xfId="8705" xr:uid="{00000000-0005-0000-0000-00001E6E0000}"/>
    <cellStyle name="Output 2 4 2 13 3 2" xfId="27677" xr:uid="{00000000-0005-0000-0000-00001F6E0000}"/>
    <cellStyle name="Output 2 4 2 13 3 3" xfId="38522" xr:uid="{00000000-0005-0000-0000-0000206E0000}"/>
    <cellStyle name="Output 2 4 2 13 3 4" xfId="17452" xr:uid="{00000000-0005-0000-0000-0000216E0000}"/>
    <cellStyle name="Output 2 4 2 13 4" xfId="11364" xr:uid="{00000000-0005-0000-0000-0000226E0000}"/>
    <cellStyle name="Output 2 4 2 13 4 2" xfId="30336" xr:uid="{00000000-0005-0000-0000-0000236E0000}"/>
    <cellStyle name="Output 2 4 2 13 4 3" xfId="41181" xr:uid="{00000000-0005-0000-0000-0000246E0000}"/>
    <cellStyle name="Output 2 4 2 13 4 4" xfId="19356" xr:uid="{00000000-0005-0000-0000-0000256E0000}"/>
    <cellStyle name="Output 2 4 2 13 5" xfId="22160" xr:uid="{00000000-0005-0000-0000-0000266E0000}"/>
    <cellStyle name="Output 2 4 2 13 6" xfId="33005" xr:uid="{00000000-0005-0000-0000-0000276E0000}"/>
    <cellStyle name="Output 2 4 2 13 7" xfId="13502" xr:uid="{00000000-0005-0000-0000-0000286E0000}"/>
    <cellStyle name="Output 2 4 2 14" xfId="3349" xr:uid="{00000000-0005-0000-0000-0000296E0000}"/>
    <cellStyle name="Output 2 4 2 14 2" xfId="22323" xr:uid="{00000000-0005-0000-0000-00002A6E0000}"/>
    <cellStyle name="Output 2 4 2 14 3" xfId="33168" xr:uid="{00000000-0005-0000-0000-00002B6E0000}"/>
    <cellStyle name="Output 2 4 2 14 4" xfId="13619" xr:uid="{00000000-0005-0000-0000-00002C6E0000}"/>
    <cellStyle name="Output 2 4 2 15" xfId="3392" xr:uid="{00000000-0005-0000-0000-00002D6E0000}"/>
    <cellStyle name="Output 2 4 2 15 2" xfId="22364" xr:uid="{00000000-0005-0000-0000-00002E6E0000}"/>
    <cellStyle name="Output 2 4 2 15 3" xfId="33209" xr:uid="{00000000-0005-0000-0000-00002F6E0000}"/>
    <cellStyle name="Output 2 4 2 15 4" xfId="13646" xr:uid="{00000000-0005-0000-0000-0000306E0000}"/>
    <cellStyle name="Output 2 4 2 16" xfId="3401" xr:uid="{00000000-0005-0000-0000-0000316E0000}"/>
    <cellStyle name="Output 2 4 2 16 2" xfId="22373" xr:uid="{00000000-0005-0000-0000-0000326E0000}"/>
    <cellStyle name="Output 2 4 2 16 3" xfId="33218" xr:uid="{00000000-0005-0000-0000-0000336E0000}"/>
    <cellStyle name="Output 2 4 2 16 4" xfId="13654" xr:uid="{00000000-0005-0000-0000-0000346E0000}"/>
    <cellStyle name="Output 2 4 2 17" xfId="19480" xr:uid="{00000000-0005-0000-0000-0000356E0000}"/>
    <cellStyle name="Output 2 4 2 18" xfId="19394" xr:uid="{00000000-0005-0000-0000-0000366E0000}"/>
    <cellStyle name="Output 2 4 2 19" xfId="11529" xr:uid="{00000000-0005-0000-0000-0000376E0000}"/>
    <cellStyle name="Output 2 4 2 2" xfId="691" xr:uid="{00000000-0005-0000-0000-0000386E0000}"/>
    <cellStyle name="Output 2 4 2 2 10" xfId="19676" xr:uid="{00000000-0005-0000-0000-0000396E0000}"/>
    <cellStyle name="Output 2 4 2 2 11" xfId="30521" xr:uid="{00000000-0005-0000-0000-00003A6E0000}"/>
    <cellStyle name="Output 2 4 2 2 12" xfId="11733" xr:uid="{00000000-0005-0000-0000-00003B6E0000}"/>
    <cellStyle name="Output 2 4 2 2 2" xfId="1278" xr:uid="{00000000-0005-0000-0000-00003C6E0000}"/>
    <cellStyle name="Output 2 4 2 2 2 2" xfId="4131" xr:uid="{00000000-0005-0000-0000-00003D6E0000}"/>
    <cellStyle name="Output 2 4 2 2 2 2 2" xfId="23103" xr:uid="{00000000-0005-0000-0000-00003E6E0000}"/>
    <cellStyle name="Output 2 4 2 2 2 2 3" xfId="33948" xr:uid="{00000000-0005-0000-0000-00003F6E0000}"/>
    <cellStyle name="Output 2 4 2 2 2 2 4" xfId="14194" xr:uid="{00000000-0005-0000-0000-0000406E0000}"/>
    <cellStyle name="Output 2 4 2 2 2 3" xfId="6804" xr:uid="{00000000-0005-0000-0000-0000416E0000}"/>
    <cellStyle name="Output 2 4 2 2 2 3 2" xfId="25776" xr:uid="{00000000-0005-0000-0000-0000426E0000}"/>
    <cellStyle name="Output 2 4 2 2 2 3 3" xfId="36621" xr:uid="{00000000-0005-0000-0000-0000436E0000}"/>
    <cellStyle name="Output 2 4 2 2 2 3 4" xfId="16109" xr:uid="{00000000-0005-0000-0000-0000446E0000}"/>
    <cellStyle name="Output 2 4 2 2 2 4" xfId="9463" xr:uid="{00000000-0005-0000-0000-0000456E0000}"/>
    <cellStyle name="Output 2 4 2 2 2 4 2" xfId="28435" xr:uid="{00000000-0005-0000-0000-0000466E0000}"/>
    <cellStyle name="Output 2 4 2 2 2 4 3" xfId="39280" xr:uid="{00000000-0005-0000-0000-0000476E0000}"/>
    <cellStyle name="Output 2 4 2 2 2 4 4" xfId="18013" xr:uid="{00000000-0005-0000-0000-0000486E0000}"/>
    <cellStyle name="Output 2 4 2 2 2 5" xfId="20259" xr:uid="{00000000-0005-0000-0000-0000496E0000}"/>
    <cellStyle name="Output 2 4 2 2 2 6" xfId="31104" xr:uid="{00000000-0005-0000-0000-00004A6E0000}"/>
    <cellStyle name="Output 2 4 2 2 2 7" xfId="12159" xr:uid="{00000000-0005-0000-0000-00004B6E0000}"/>
    <cellStyle name="Output 2 4 2 2 3" xfId="1677" xr:uid="{00000000-0005-0000-0000-00004C6E0000}"/>
    <cellStyle name="Output 2 4 2 2 3 2" xfId="4530" xr:uid="{00000000-0005-0000-0000-00004D6E0000}"/>
    <cellStyle name="Output 2 4 2 2 3 2 2" xfId="23502" xr:uid="{00000000-0005-0000-0000-00004E6E0000}"/>
    <cellStyle name="Output 2 4 2 2 3 2 3" xfId="34347" xr:uid="{00000000-0005-0000-0000-00004F6E0000}"/>
    <cellStyle name="Output 2 4 2 2 3 2 4" xfId="14481" xr:uid="{00000000-0005-0000-0000-0000506E0000}"/>
    <cellStyle name="Output 2 4 2 2 3 3" xfId="7202" xr:uid="{00000000-0005-0000-0000-0000516E0000}"/>
    <cellStyle name="Output 2 4 2 2 3 3 2" xfId="26174" xr:uid="{00000000-0005-0000-0000-0000526E0000}"/>
    <cellStyle name="Output 2 4 2 2 3 3 3" xfId="37019" xr:uid="{00000000-0005-0000-0000-0000536E0000}"/>
    <cellStyle name="Output 2 4 2 2 3 3 4" xfId="16395" xr:uid="{00000000-0005-0000-0000-0000546E0000}"/>
    <cellStyle name="Output 2 4 2 2 3 4" xfId="9861" xr:uid="{00000000-0005-0000-0000-0000556E0000}"/>
    <cellStyle name="Output 2 4 2 2 3 4 2" xfId="28833" xr:uid="{00000000-0005-0000-0000-0000566E0000}"/>
    <cellStyle name="Output 2 4 2 2 3 4 3" xfId="39678" xr:uid="{00000000-0005-0000-0000-0000576E0000}"/>
    <cellStyle name="Output 2 4 2 2 3 4 4" xfId="18299" xr:uid="{00000000-0005-0000-0000-0000586E0000}"/>
    <cellStyle name="Output 2 4 2 2 3 5" xfId="20657" xr:uid="{00000000-0005-0000-0000-0000596E0000}"/>
    <cellStyle name="Output 2 4 2 2 3 6" xfId="31502" xr:uid="{00000000-0005-0000-0000-00005A6E0000}"/>
    <cellStyle name="Output 2 4 2 2 3 7" xfId="12445" xr:uid="{00000000-0005-0000-0000-00005B6E0000}"/>
    <cellStyle name="Output 2 4 2 2 4" xfId="2081" xr:uid="{00000000-0005-0000-0000-00005C6E0000}"/>
    <cellStyle name="Output 2 4 2 2 4 2" xfId="4934" xr:uid="{00000000-0005-0000-0000-00005D6E0000}"/>
    <cellStyle name="Output 2 4 2 2 4 2 2" xfId="23906" xr:uid="{00000000-0005-0000-0000-00005E6E0000}"/>
    <cellStyle name="Output 2 4 2 2 4 2 3" xfId="34751" xr:uid="{00000000-0005-0000-0000-00005F6E0000}"/>
    <cellStyle name="Output 2 4 2 2 4 2 4" xfId="14768" xr:uid="{00000000-0005-0000-0000-0000606E0000}"/>
    <cellStyle name="Output 2 4 2 2 4 3" xfId="7605" xr:uid="{00000000-0005-0000-0000-0000616E0000}"/>
    <cellStyle name="Output 2 4 2 2 4 3 2" xfId="26577" xr:uid="{00000000-0005-0000-0000-0000626E0000}"/>
    <cellStyle name="Output 2 4 2 2 4 3 3" xfId="37422" xr:uid="{00000000-0005-0000-0000-0000636E0000}"/>
    <cellStyle name="Output 2 4 2 2 4 3 4" xfId="16681" xr:uid="{00000000-0005-0000-0000-0000646E0000}"/>
    <cellStyle name="Output 2 4 2 2 4 4" xfId="10264" xr:uid="{00000000-0005-0000-0000-0000656E0000}"/>
    <cellStyle name="Output 2 4 2 2 4 4 2" xfId="29236" xr:uid="{00000000-0005-0000-0000-0000666E0000}"/>
    <cellStyle name="Output 2 4 2 2 4 4 3" xfId="40081" xr:uid="{00000000-0005-0000-0000-0000676E0000}"/>
    <cellStyle name="Output 2 4 2 2 4 4 4" xfId="18585" xr:uid="{00000000-0005-0000-0000-0000686E0000}"/>
    <cellStyle name="Output 2 4 2 2 4 5" xfId="21060" xr:uid="{00000000-0005-0000-0000-0000696E0000}"/>
    <cellStyle name="Output 2 4 2 2 4 6" xfId="31905" xr:uid="{00000000-0005-0000-0000-00006A6E0000}"/>
    <cellStyle name="Output 2 4 2 2 4 7" xfId="12731" xr:uid="{00000000-0005-0000-0000-00006B6E0000}"/>
    <cellStyle name="Output 2 4 2 2 5" xfId="2471" xr:uid="{00000000-0005-0000-0000-00006C6E0000}"/>
    <cellStyle name="Output 2 4 2 2 5 2" xfId="5323" xr:uid="{00000000-0005-0000-0000-00006D6E0000}"/>
    <cellStyle name="Output 2 4 2 2 5 2 2" xfId="24295" xr:uid="{00000000-0005-0000-0000-00006E6E0000}"/>
    <cellStyle name="Output 2 4 2 2 5 2 3" xfId="35140" xr:uid="{00000000-0005-0000-0000-00006F6E0000}"/>
    <cellStyle name="Output 2 4 2 2 5 2 4" xfId="15047" xr:uid="{00000000-0005-0000-0000-0000706E0000}"/>
    <cellStyle name="Output 2 4 2 2 5 3" xfId="7994" xr:uid="{00000000-0005-0000-0000-0000716E0000}"/>
    <cellStyle name="Output 2 4 2 2 5 3 2" xfId="26966" xr:uid="{00000000-0005-0000-0000-0000726E0000}"/>
    <cellStyle name="Output 2 4 2 2 5 3 3" xfId="37811" xr:uid="{00000000-0005-0000-0000-0000736E0000}"/>
    <cellStyle name="Output 2 4 2 2 5 3 4" xfId="16960" xr:uid="{00000000-0005-0000-0000-0000746E0000}"/>
    <cellStyle name="Output 2 4 2 2 5 4" xfId="10653" xr:uid="{00000000-0005-0000-0000-0000756E0000}"/>
    <cellStyle name="Output 2 4 2 2 5 4 2" xfId="29625" xr:uid="{00000000-0005-0000-0000-0000766E0000}"/>
    <cellStyle name="Output 2 4 2 2 5 4 3" xfId="40470" xr:uid="{00000000-0005-0000-0000-0000776E0000}"/>
    <cellStyle name="Output 2 4 2 2 5 4 4" xfId="18864" xr:uid="{00000000-0005-0000-0000-0000786E0000}"/>
    <cellStyle name="Output 2 4 2 2 5 5" xfId="21449" xr:uid="{00000000-0005-0000-0000-0000796E0000}"/>
    <cellStyle name="Output 2 4 2 2 5 6" xfId="32294" xr:uid="{00000000-0005-0000-0000-00007A6E0000}"/>
    <cellStyle name="Output 2 4 2 2 5 7" xfId="13010" xr:uid="{00000000-0005-0000-0000-00007B6E0000}"/>
    <cellStyle name="Output 2 4 2 2 6" xfId="2857" xr:uid="{00000000-0005-0000-0000-00007C6E0000}"/>
    <cellStyle name="Output 2 4 2 2 6 2" xfId="5708" xr:uid="{00000000-0005-0000-0000-00007D6E0000}"/>
    <cellStyle name="Output 2 4 2 2 6 2 2" xfId="24680" xr:uid="{00000000-0005-0000-0000-00007E6E0000}"/>
    <cellStyle name="Output 2 4 2 2 6 2 3" xfId="35525" xr:uid="{00000000-0005-0000-0000-00007F6E0000}"/>
    <cellStyle name="Output 2 4 2 2 6 2 4" xfId="15323" xr:uid="{00000000-0005-0000-0000-0000806E0000}"/>
    <cellStyle name="Output 2 4 2 2 6 3" xfId="8379" xr:uid="{00000000-0005-0000-0000-0000816E0000}"/>
    <cellStyle name="Output 2 4 2 2 6 3 2" xfId="27351" xr:uid="{00000000-0005-0000-0000-0000826E0000}"/>
    <cellStyle name="Output 2 4 2 2 6 3 3" xfId="38196" xr:uid="{00000000-0005-0000-0000-0000836E0000}"/>
    <cellStyle name="Output 2 4 2 2 6 3 4" xfId="17236" xr:uid="{00000000-0005-0000-0000-0000846E0000}"/>
    <cellStyle name="Output 2 4 2 2 6 4" xfId="11038" xr:uid="{00000000-0005-0000-0000-0000856E0000}"/>
    <cellStyle name="Output 2 4 2 2 6 4 2" xfId="30010" xr:uid="{00000000-0005-0000-0000-0000866E0000}"/>
    <cellStyle name="Output 2 4 2 2 6 4 3" xfId="40855" xr:uid="{00000000-0005-0000-0000-0000876E0000}"/>
    <cellStyle name="Output 2 4 2 2 6 4 4" xfId="19140" xr:uid="{00000000-0005-0000-0000-0000886E0000}"/>
    <cellStyle name="Output 2 4 2 2 6 5" xfId="21834" xr:uid="{00000000-0005-0000-0000-0000896E0000}"/>
    <cellStyle name="Output 2 4 2 2 6 6" xfId="32679" xr:uid="{00000000-0005-0000-0000-00008A6E0000}"/>
    <cellStyle name="Output 2 4 2 2 6 7" xfId="13286" xr:uid="{00000000-0005-0000-0000-00008B6E0000}"/>
    <cellStyle name="Output 2 4 2 2 7" xfId="3546" xr:uid="{00000000-0005-0000-0000-00008C6E0000}"/>
    <cellStyle name="Output 2 4 2 2 7 2" xfId="22518" xr:uid="{00000000-0005-0000-0000-00008D6E0000}"/>
    <cellStyle name="Output 2 4 2 2 7 3" xfId="33363" xr:uid="{00000000-0005-0000-0000-00008E6E0000}"/>
    <cellStyle name="Output 2 4 2 2 7 4" xfId="13767" xr:uid="{00000000-0005-0000-0000-00008F6E0000}"/>
    <cellStyle name="Output 2 4 2 2 8" xfId="6221" xr:uid="{00000000-0005-0000-0000-0000906E0000}"/>
    <cellStyle name="Output 2 4 2 2 8 2" xfId="25193" xr:uid="{00000000-0005-0000-0000-0000916E0000}"/>
    <cellStyle name="Output 2 4 2 2 8 3" xfId="36038" xr:uid="{00000000-0005-0000-0000-0000926E0000}"/>
    <cellStyle name="Output 2 4 2 2 8 4" xfId="15683" xr:uid="{00000000-0005-0000-0000-0000936E0000}"/>
    <cellStyle name="Output 2 4 2 2 9" xfId="8880" xr:uid="{00000000-0005-0000-0000-0000946E0000}"/>
    <cellStyle name="Output 2 4 2 2 9 2" xfId="27852" xr:uid="{00000000-0005-0000-0000-0000956E0000}"/>
    <cellStyle name="Output 2 4 2 2 9 3" xfId="38697" xr:uid="{00000000-0005-0000-0000-0000966E0000}"/>
    <cellStyle name="Output 2 4 2 2 9 4" xfId="17587" xr:uid="{00000000-0005-0000-0000-0000976E0000}"/>
    <cellStyle name="Output 2 4 2 3" xfId="751" xr:uid="{00000000-0005-0000-0000-0000986E0000}"/>
    <cellStyle name="Output 2 4 2 3 10" xfId="19736" xr:uid="{00000000-0005-0000-0000-0000996E0000}"/>
    <cellStyle name="Output 2 4 2 3 11" xfId="30581" xr:uid="{00000000-0005-0000-0000-00009A6E0000}"/>
    <cellStyle name="Output 2 4 2 3 12" xfId="11773" xr:uid="{00000000-0005-0000-0000-00009B6E0000}"/>
    <cellStyle name="Output 2 4 2 3 2" xfId="1338" xr:uid="{00000000-0005-0000-0000-00009C6E0000}"/>
    <cellStyle name="Output 2 4 2 3 2 2" xfId="4191" xr:uid="{00000000-0005-0000-0000-00009D6E0000}"/>
    <cellStyle name="Output 2 4 2 3 2 2 2" xfId="23163" xr:uid="{00000000-0005-0000-0000-00009E6E0000}"/>
    <cellStyle name="Output 2 4 2 3 2 2 3" xfId="34008" xr:uid="{00000000-0005-0000-0000-00009F6E0000}"/>
    <cellStyle name="Output 2 4 2 3 2 2 4" xfId="14234" xr:uid="{00000000-0005-0000-0000-0000A06E0000}"/>
    <cellStyle name="Output 2 4 2 3 2 3" xfId="6864" xr:uid="{00000000-0005-0000-0000-0000A16E0000}"/>
    <cellStyle name="Output 2 4 2 3 2 3 2" xfId="25836" xr:uid="{00000000-0005-0000-0000-0000A26E0000}"/>
    <cellStyle name="Output 2 4 2 3 2 3 3" xfId="36681" xr:uid="{00000000-0005-0000-0000-0000A36E0000}"/>
    <cellStyle name="Output 2 4 2 3 2 3 4" xfId="16149" xr:uid="{00000000-0005-0000-0000-0000A46E0000}"/>
    <cellStyle name="Output 2 4 2 3 2 4" xfId="9523" xr:uid="{00000000-0005-0000-0000-0000A56E0000}"/>
    <cellStyle name="Output 2 4 2 3 2 4 2" xfId="28495" xr:uid="{00000000-0005-0000-0000-0000A66E0000}"/>
    <cellStyle name="Output 2 4 2 3 2 4 3" xfId="39340" xr:uid="{00000000-0005-0000-0000-0000A76E0000}"/>
    <cellStyle name="Output 2 4 2 3 2 4 4" xfId="18053" xr:uid="{00000000-0005-0000-0000-0000A86E0000}"/>
    <cellStyle name="Output 2 4 2 3 2 5" xfId="20319" xr:uid="{00000000-0005-0000-0000-0000A96E0000}"/>
    <cellStyle name="Output 2 4 2 3 2 6" xfId="31164" xr:uid="{00000000-0005-0000-0000-0000AA6E0000}"/>
    <cellStyle name="Output 2 4 2 3 2 7" xfId="12199" xr:uid="{00000000-0005-0000-0000-0000AB6E0000}"/>
    <cellStyle name="Output 2 4 2 3 3" xfId="1737" xr:uid="{00000000-0005-0000-0000-0000AC6E0000}"/>
    <cellStyle name="Output 2 4 2 3 3 2" xfId="4590" xr:uid="{00000000-0005-0000-0000-0000AD6E0000}"/>
    <cellStyle name="Output 2 4 2 3 3 2 2" xfId="23562" xr:uid="{00000000-0005-0000-0000-0000AE6E0000}"/>
    <cellStyle name="Output 2 4 2 3 3 2 3" xfId="34407" xr:uid="{00000000-0005-0000-0000-0000AF6E0000}"/>
    <cellStyle name="Output 2 4 2 3 3 2 4" xfId="14521" xr:uid="{00000000-0005-0000-0000-0000B06E0000}"/>
    <cellStyle name="Output 2 4 2 3 3 3" xfId="7262" xr:uid="{00000000-0005-0000-0000-0000B16E0000}"/>
    <cellStyle name="Output 2 4 2 3 3 3 2" xfId="26234" xr:uid="{00000000-0005-0000-0000-0000B26E0000}"/>
    <cellStyle name="Output 2 4 2 3 3 3 3" xfId="37079" xr:uid="{00000000-0005-0000-0000-0000B36E0000}"/>
    <cellStyle name="Output 2 4 2 3 3 3 4" xfId="16435" xr:uid="{00000000-0005-0000-0000-0000B46E0000}"/>
    <cellStyle name="Output 2 4 2 3 3 4" xfId="9921" xr:uid="{00000000-0005-0000-0000-0000B56E0000}"/>
    <cellStyle name="Output 2 4 2 3 3 4 2" xfId="28893" xr:uid="{00000000-0005-0000-0000-0000B66E0000}"/>
    <cellStyle name="Output 2 4 2 3 3 4 3" xfId="39738" xr:uid="{00000000-0005-0000-0000-0000B76E0000}"/>
    <cellStyle name="Output 2 4 2 3 3 4 4" xfId="18339" xr:uid="{00000000-0005-0000-0000-0000B86E0000}"/>
    <cellStyle name="Output 2 4 2 3 3 5" xfId="20717" xr:uid="{00000000-0005-0000-0000-0000B96E0000}"/>
    <cellStyle name="Output 2 4 2 3 3 6" xfId="31562" xr:uid="{00000000-0005-0000-0000-0000BA6E0000}"/>
    <cellStyle name="Output 2 4 2 3 3 7" xfId="12485" xr:uid="{00000000-0005-0000-0000-0000BB6E0000}"/>
    <cellStyle name="Output 2 4 2 3 4" xfId="2141" xr:uid="{00000000-0005-0000-0000-0000BC6E0000}"/>
    <cellStyle name="Output 2 4 2 3 4 2" xfId="4994" xr:uid="{00000000-0005-0000-0000-0000BD6E0000}"/>
    <cellStyle name="Output 2 4 2 3 4 2 2" xfId="23966" xr:uid="{00000000-0005-0000-0000-0000BE6E0000}"/>
    <cellStyle name="Output 2 4 2 3 4 2 3" xfId="34811" xr:uid="{00000000-0005-0000-0000-0000BF6E0000}"/>
    <cellStyle name="Output 2 4 2 3 4 2 4" xfId="14808" xr:uid="{00000000-0005-0000-0000-0000C06E0000}"/>
    <cellStyle name="Output 2 4 2 3 4 3" xfId="7665" xr:uid="{00000000-0005-0000-0000-0000C16E0000}"/>
    <cellStyle name="Output 2 4 2 3 4 3 2" xfId="26637" xr:uid="{00000000-0005-0000-0000-0000C26E0000}"/>
    <cellStyle name="Output 2 4 2 3 4 3 3" xfId="37482" xr:uid="{00000000-0005-0000-0000-0000C36E0000}"/>
    <cellStyle name="Output 2 4 2 3 4 3 4" xfId="16721" xr:uid="{00000000-0005-0000-0000-0000C46E0000}"/>
    <cellStyle name="Output 2 4 2 3 4 4" xfId="10324" xr:uid="{00000000-0005-0000-0000-0000C56E0000}"/>
    <cellStyle name="Output 2 4 2 3 4 4 2" xfId="29296" xr:uid="{00000000-0005-0000-0000-0000C66E0000}"/>
    <cellStyle name="Output 2 4 2 3 4 4 3" xfId="40141" xr:uid="{00000000-0005-0000-0000-0000C76E0000}"/>
    <cellStyle name="Output 2 4 2 3 4 4 4" xfId="18625" xr:uid="{00000000-0005-0000-0000-0000C86E0000}"/>
    <cellStyle name="Output 2 4 2 3 4 5" xfId="21120" xr:uid="{00000000-0005-0000-0000-0000C96E0000}"/>
    <cellStyle name="Output 2 4 2 3 4 6" xfId="31965" xr:uid="{00000000-0005-0000-0000-0000CA6E0000}"/>
    <cellStyle name="Output 2 4 2 3 4 7" xfId="12771" xr:uid="{00000000-0005-0000-0000-0000CB6E0000}"/>
    <cellStyle name="Output 2 4 2 3 5" xfId="2531" xr:uid="{00000000-0005-0000-0000-0000CC6E0000}"/>
    <cellStyle name="Output 2 4 2 3 5 2" xfId="5383" xr:uid="{00000000-0005-0000-0000-0000CD6E0000}"/>
    <cellStyle name="Output 2 4 2 3 5 2 2" xfId="24355" xr:uid="{00000000-0005-0000-0000-0000CE6E0000}"/>
    <cellStyle name="Output 2 4 2 3 5 2 3" xfId="35200" xr:uid="{00000000-0005-0000-0000-0000CF6E0000}"/>
    <cellStyle name="Output 2 4 2 3 5 2 4" xfId="15087" xr:uid="{00000000-0005-0000-0000-0000D06E0000}"/>
    <cellStyle name="Output 2 4 2 3 5 3" xfId="8054" xr:uid="{00000000-0005-0000-0000-0000D16E0000}"/>
    <cellStyle name="Output 2 4 2 3 5 3 2" xfId="27026" xr:uid="{00000000-0005-0000-0000-0000D26E0000}"/>
    <cellStyle name="Output 2 4 2 3 5 3 3" xfId="37871" xr:uid="{00000000-0005-0000-0000-0000D36E0000}"/>
    <cellStyle name="Output 2 4 2 3 5 3 4" xfId="17000" xr:uid="{00000000-0005-0000-0000-0000D46E0000}"/>
    <cellStyle name="Output 2 4 2 3 5 4" xfId="10713" xr:uid="{00000000-0005-0000-0000-0000D56E0000}"/>
    <cellStyle name="Output 2 4 2 3 5 4 2" xfId="29685" xr:uid="{00000000-0005-0000-0000-0000D66E0000}"/>
    <cellStyle name="Output 2 4 2 3 5 4 3" xfId="40530" xr:uid="{00000000-0005-0000-0000-0000D76E0000}"/>
    <cellStyle name="Output 2 4 2 3 5 4 4" xfId="18904" xr:uid="{00000000-0005-0000-0000-0000D86E0000}"/>
    <cellStyle name="Output 2 4 2 3 5 5" xfId="21509" xr:uid="{00000000-0005-0000-0000-0000D96E0000}"/>
    <cellStyle name="Output 2 4 2 3 5 6" xfId="32354" xr:uid="{00000000-0005-0000-0000-0000DA6E0000}"/>
    <cellStyle name="Output 2 4 2 3 5 7" xfId="13050" xr:uid="{00000000-0005-0000-0000-0000DB6E0000}"/>
    <cellStyle name="Output 2 4 2 3 6" xfId="2917" xr:uid="{00000000-0005-0000-0000-0000DC6E0000}"/>
    <cellStyle name="Output 2 4 2 3 6 2" xfId="5768" xr:uid="{00000000-0005-0000-0000-0000DD6E0000}"/>
    <cellStyle name="Output 2 4 2 3 6 2 2" xfId="24740" xr:uid="{00000000-0005-0000-0000-0000DE6E0000}"/>
    <cellStyle name="Output 2 4 2 3 6 2 3" xfId="35585" xr:uid="{00000000-0005-0000-0000-0000DF6E0000}"/>
    <cellStyle name="Output 2 4 2 3 6 2 4" xfId="15363" xr:uid="{00000000-0005-0000-0000-0000E06E0000}"/>
    <cellStyle name="Output 2 4 2 3 6 3" xfId="8439" xr:uid="{00000000-0005-0000-0000-0000E16E0000}"/>
    <cellStyle name="Output 2 4 2 3 6 3 2" xfId="27411" xr:uid="{00000000-0005-0000-0000-0000E26E0000}"/>
    <cellStyle name="Output 2 4 2 3 6 3 3" xfId="38256" xr:uid="{00000000-0005-0000-0000-0000E36E0000}"/>
    <cellStyle name="Output 2 4 2 3 6 3 4" xfId="17276" xr:uid="{00000000-0005-0000-0000-0000E46E0000}"/>
    <cellStyle name="Output 2 4 2 3 6 4" xfId="11098" xr:uid="{00000000-0005-0000-0000-0000E56E0000}"/>
    <cellStyle name="Output 2 4 2 3 6 4 2" xfId="30070" xr:uid="{00000000-0005-0000-0000-0000E66E0000}"/>
    <cellStyle name="Output 2 4 2 3 6 4 3" xfId="40915" xr:uid="{00000000-0005-0000-0000-0000E76E0000}"/>
    <cellStyle name="Output 2 4 2 3 6 4 4" xfId="19180" xr:uid="{00000000-0005-0000-0000-0000E86E0000}"/>
    <cellStyle name="Output 2 4 2 3 6 5" xfId="21894" xr:uid="{00000000-0005-0000-0000-0000E96E0000}"/>
    <cellStyle name="Output 2 4 2 3 6 6" xfId="32739" xr:uid="{00000000-0005-0000-0000-0000EA6E0000}"/>
    <cellStyle name="Output 2 4 2 3 6 7" xfId="13326" xr:uid="{00000000-0005-0000-0000-0000EB6E0000}"/>
    <cellStyle name="Output 2 4 2 3 7" xfId="3606" xr:uid="{00000000-0005-0000-0000-0000EC6E0000}"/>
    <cellStyle name="Output 2 4 2 3 7 2" xfId="22578" xr:uid="{00000000-0005-0000-0000-0000ED6E0000}"/>
    <cellStyle name="Output 2 4 2 3 7 3" xfId="33423" xr:uid="{00000000-0005-0000-0000-0000EE6E0000}"/>
    <cellStyle name="Output 2 4 2 3 7 4" xfId="13807" xr:uid="{00000000-0005-0000-0000-0000EF6E0000}"/>
    <cellStyle name="Output 2 4 2 3 8" xfId="6281" xr:uid="{00000000-0005-0000-0000-0000F06E0000}"/>
    <cellStyle name="Output 2 4 2 3 8 2" xfId="25253" xr:uid="{00000000-0005-0000-0000-0000F16E0000}"/>
    <cellStyle name="Output 2 4 2 3 8 3" xfId="36098" xr:uid="{00000000-0005-0000-0000-0000F26E0000}"/>
    <cellStyle name="Output 2 4 2 3 8 4" xfId="15723" xr:uid="{00000000-0005-0000-0000-0000F36E0000}"/>
    <cellStyle name="Output 2 4 2 3 9" xfId="8940" xr:uid="{00000000-0005-0000-0000-0000F46E0000}"/>
    <cellStyle name="Output 2 4 2 3 9 2" xfId="27912" xr:uid="{00000000-0005-0000-0000-0000F56E0000}"/>
    <cellStyle name="Output 2 4 2 3 9 3" xfId="38757" xr:uid="{00000000-0005-0000-0000-0000F66E0000}"/>
    <cellStyle name="Output 2 4 2 3 9 4" xfId="17627" xr:uid="{00000000-0005-0000-0000-0000F76E0000}"/>
    <cellStyle name="Output 2 4 2 4" xfId="811" xr:uid="{00000000-0005-0000-0000-0000F86E0000}"/>
    <cellStyle name="Output 2 4 2 4 10" xfId="19796" xr:uid="{00000000-0005-0000-0000-0000F96E0000}"/>
    <cellStyle name="Output 2 4 2 4 11" xfId="30641" xr:uid="{00000000-0005-0000-0000-0000FA6E0000}"/>
    <cellStyle name="Output 2 4 2 4 12" xfId="11813" xr:uid="{00000000-0005-0000-0000-0000FB6E0000}"/>
    <cellStyle name="Output 2 4 2 4 2" xfId="1398" xr:uid="{00000000-0005-0000-0000-0000FC6E0000}"/>
    <cellStyle name="Output 2 4 2 4 2 2" xfId="4251" xr:uid="{00000000-0005-0000-0000-0000FD6E0000}"/>
    <cellStyle name="Output 2 4 2 4 2 2 2" xfId="23223" xr:uid="{00000000-0005-0000-0000-0000FE6E0000}"/>
    <cellStyle name="Output 2 4 2 4 2 2 3" xfId="34068" xr:uid="{00000000-0005-0000-0000-0000FF6E0000}"/>
    <cellStyle name="Output 2 4 2 4 2 2 4" xfId="14274" xr:uid="{00000000-0005-0000-0000-0000006F0000}"/>
    <cellStyle name="Output 2 4 2 4 2 3" xfId="6924" xr:uid="{00000000-0005-0000-0000-0000016F0000}"/>
    <cellStyle name="Output 2 4 2 4 2 3 2" xfId="25896" xr:uid="{00000000-0005-0000-0000-0000026F0000}"/>
    <cellStyle name="Output 2 4 2 4 2 3 3" xfId="36741" xr:uid="{00000000-0005-0000-0000-0000036F0000}"/>
    <cellStyle name="Output 2 4 2 4 2 3 4" xfId="16189" xr:uid="{00000000-0005-0000-0000-0000046F0000}"/>
    <cellStyle name="Output 2 4 2 4 2 4" xfId="9583" xr:uid="{00000000-0005-0000-0000-0000056F0000}"/>
    <cellStyle name="Output 2 4 2 4 2 4 2" xfId="28555" xr:uid="{00000000-0005-0000-0000-0000066F0000}"/>
    <cellStyle name="Output 2 4 2 4 2 4 3" xfId="39400" xr:uid="{00000000-0005-0000-0000-0000076F0000}"/>
    <cellStyle name="Output 2 4 2 4 2 4 4" xfId="18093" xr:uid="{00000000-0005-0000-0000-0000086F0000}"/>
    <cellStyle name="Output 2 4 2 4 2 5" xfId="20379" xr:uid="{00000000-0005-0000-0000-0000096F0000}"/>
    <cellStyle name="Output 2 4 2 4 2 6" xfId="31224" xr:uid="{00000000-0005-0000-0000-00000A6F0000}"/>
    <cellStyle name="Output 2 4 2 4 2 7" xfId="12239" xr:uid="{00000000-0005-0000-0000-00000B6F0000}"/>
    <cellStyle name="Output 2 4 2 4 3" xfId="1797" xr:uid="{00000000-0005-0000-0000-00000C6F0000}"/>
    <cellStyle name="Output 2 4 2 4 3 2" xfId="4650" xr:uid="{00000000-0005-0000-0000-00000D6F0000}"/>
    <cellStyle name="Output 2 4 2 4 3 2 2" xfId="23622" xr:uid="{00000000-0005-0000-0000-00000E6F0000}"/>
    <cellStyle name="Output 2 4 2 4 3 2 3" xfId="34467" xr:uid="{00000000-0005-0000-0000-00000F6F0000}"/>
    <cellStyle name="Output 2 4 2 4 3 2 4" xfId="14561" xr:uid="{00000000-0005-0000-0000-0000106F0000}"/>
    <cellStyle name="Output 2 4 2 4 3 3" xfId="7322" xr:uid="{00000000-0005-0000-0000-0000116F0000}"/>
    <cellStyle name="Output 2 4 2 4 3 3 2" xfId="26294" xr:uid="{00000000-0005-0000-0000-0000126F0000}"/>
    <cellStyle name="Output 2 4 2 4 3 3 3" xfId="37139" xr:uid="{00000000-0005-0000-0000-0000136F0000}"/>
    <cellStyle name="Output 2 4 2 4 3 3 4" xfId="16475" xr:uid="{00000000-0005-0000-0000-0000146F0000}"/>
    <cellStyle name="Output 2 4 2 4 3 4" xfId="9981" xr:uid="{00000000-0005-0000-0000-0000156F0000}"/>
    <cellStyle name="Output 2 4 2 4 3 4 2" xfId="28953" xr:uid="{00000000-0005-0000-0000-0000166F0000}"/>
    <cellStyle name="Output 2 4 2 4 3 4 3" xfId="39798" xr:uid="{00000000-0005-0000-0000-0000176F0000}"/>
    <cellStyle name="Output 2 4 2 4 3 4 4" xfId="18379" xr:uid="{00000000-0005-0000-0000-0000186F0000}"/>
    <cellStyle name="Output 2 4 2 4 3 5" xfId="20777" xr:uid="{00000000-0005-0000-0000-0000196F0000}"/>
    <cellStyle name="Output 2 4 2 4 3 6" xfId="31622" xr:uid="{00000000-0005-0000-0000-00001A6F0000}"/>
    <cellStyle name="Output 2 4 2 4 3 7" xfId="12525" xr:uid="{00000000-0005-0000-0000-00001B6F0000}"/>
    <cellStyle name="Output 2 4 2 4 4" xfId="2201" xr:uid="{00000000-0005-0000-0000-00001C6F0000}"/>
    <cellStyle name="Output 2 4 2 4 4 2" xfId="5054" xr:uid="{00000000-0005-0000-0000-00001D6F0000}"/>
    <cellStyle name="Output 2 4 2 4 4 2 2" xfId="24026" xr:uid="{00000000-0005-0000-0000-00001E6F0000}"/>
    <cellStyle name="Output 2 4 2 4 4 2 3" xfId="34871" xr:uid="{00000000-0005-0000-0000-00001F6F0000}"/>
    <cellStyle name="Output 2 4 2 4 4 2 4" xfId="14848" xr:uid="{00000000-0005-0000-0000-0000206F0000}"/>
    <cellStyle name="Output 2 4 2 4 4 3" xfId="7725" xr:uid="{00000000-0005-0000-0000-0000216F0000}"/>
    <cellStyle name="Output 2 4 2 4 4 3 2" xfId="26697" xr:uid="{00000000-0005-0000-0000-0000226F0000}"/>
    <cellStyle name="Output 2 4 2 4 4 3 3" xfId="37542" xr:uid="{00000000-0005-0000-0000-0000236F0000}"/>
    <cellStyle name="Output 2 4 2 4 4 3 4" xfId="16761" xr:uid="{00000000-0005-0000-0000-0000246F0000}"/>
    <cellStyle name="Output 2 4 2 4 4 4" xfId="10384" xr:uid="{00000000-0005-0000-0000-0000256F0000}"/>
    <cellStyle name="Output 2 4 2 4 4 4 2" xfId="29356" xr:uid="{00000000-0005-0000-0000-0000266F0000}"/>
    <cellStyle name="Output 2 4 2 4 4 4 3" xfId="40201" xr:uid="{00000000-0005-0000-0000-0000276F0000}"/>
    <cellStyle name="Output 2 4 2 4 4 4 4" xfId="18665" xr:uid="{00000000-0005-0000-0000-0000286F0000}"/>
    <cellStyle name="Output 2 4 2 4 4 5" xfId="21180" xr:uid="{00000000-0005-0000-0000-0000296F0000}"/>
    <cellStyle name="Output 2 4 2 4 4 6" xfId="32025" xr:uid="{00000000-0005-0000-0000-00002A6F0000}"/>
    <cellStyle name="Output 2 4 2 4 4 7" xfId="12811" xr:uid="{00000000-0005-0000-0000-00002B6F0000}"/>
    <cellStyle name="Output 2 4 2 4 5" xfId="2591" xr:uid="{00000000-0005-0000-0000-00002C6F0000}"/>
    <cellStyle name="Output 2 4 2 4 5 2" xfId="5443" xr:uid="{00000000-0005-0000-0000-00002D6F0000}"/>
    <cellStyle name="Output 2 4 2 4 5 2 2" xfId="24415" xr:uid="{00000000-0005-0000-0000-00002E6F0000}"/>
    <cellStyle name="Output 2 4 2 4 5 2 3" xfId="35260" xr:uid="{00000000-0005-0000-0000-00002F6F0000}"/>
    <cellStyle name="Output 2 4 2 4 5 2 4" xfId="15127" xr:uid="{00000000-0005-0000-0000-0000306F0000}"/>
    <cellStyle name="Output 2 4 2 4 5 3" xfId="8114" xr:uid="{00000000-0005-0000-0000-0000316F0000}"/>
    <cellStyle name="Output 2 4 2 4 5 3 2" xfId="27086" xr:uid="{00000000-0005-0000-0000-0000326F0000}"/>
    <cellStyle name="Output 2 4 2 4 5 3 3" xfId="37931" xr:uid="{00000000-0005-0000-0000-0000336F0000}"/>
    <cellStyle name="Output 2 4 2 4 5 3 4" xfId="17040" xr:uid="{00000000-0005-0000-0000-0000346F0000}"/>
    <cellStyle name="Output 2 4 2 4 5 4" xfId="10773" xr:uid="{00000000-0005-0000-0000-0000356F0000}"/>
    <cellStyle name="Output 2 4 2 4 5 4 2" xfId="29745" xr:uid="{00000000-0005-0000-0000-0000366F0000}"/>
    <cellStyle name="Output 2 4 2 4 5 4 3" xfId="40590" xr:uid="{00000000-0005-0000-0000-0000376F0000}"/>
    <cellStyle name="Output 2 4 2 4 5 4 4" xfId="18944" xr:uid="{00000000-0005-0000-0000-0000386F0000}"/>
    <cellStyle name="Output 2 4 2 4 5 5" xfId="21569" xr:uid="{00000000-0005-0000-0000-0000396F0000}"/>
    <cellStyle name="Output 2 4 2 4 5 6" xfId="32414" xr:uid="{00000000-0005-0000-0000-00003A6F0000}"/>
    <cellStyle name="Output 2 4 2 4 5 7" xfId="13090" xr:uid="{00000000-0005-0000-0000-00003B6F0000}"/>
    <cellStyle name="Output 2 4 2 4 6" xfId="2977" xr:uid="{00000000-0005-0000-0000-00003C6F0000}"/>
    <cellStyle name="Output 2 4 2 4 6 2" xfId="5828" xr:uid="{00000000-0005-0000-0000-00003D6F0000}"/>
    <cellStyle name="Output 2 4 2 4 6 2 2" xfId="24800" xr:uid="{00000000-0005-0000-0000-00003E6F0000}"/>
    <cellStyle name="Output 2 4 2 4 6 2 3" xfId="35645" xr:uid="{00000000-0005-0000-0000-00003F6F0000}"/>
    <cellStyle name="Output 2 4 2 4 6 2 4" xfId="15403" xr:uid="{00000000-0005-0000-0000-0000406F0000}"/>
    <cellStyle name="Output 2 4 2 4 6 3" xfId="8499" xr:uid="{00000000-0005-0000-0000-0000416F0000}"/>
    <cellStyle name="Output 2 4 2 4 6 3 2" xfId="27471" xr:uid="{00000000-0005-0000-0000-0000426F0000}"/>
    <cellStyle name="Output 2 4 2 4 6 3 3" xfId="38316" xr:uid="{00000000-0005-0000-0000-0000436F0000}"/>
    <cellStyle name="Output 2 4 2 4 6 3 4" xfId="17316" xr:uid="{00000000-0005-0000-0000-0000446F0000}"/>
    <cellStyle name="Output 2 4 2 4 6 4" xfId="11158" xr:uid="{00000000-0005-0000-0000-0000456F0000}"/>
    <cellStyle name="Output 2 4 2 4 6 4 2" xfId="30130" xr:uid="{00000000-0005-0000-0000-0000466F0000}"/>
    <cellStyle name="Output 2 4 2 4 6 4 3" xfId="40975" xr:uid="{00000000-0005-0000-0000-0000476F0000}"/>
    <cellStyle name="Output 2 4 2 4 6 4 4" xfId="19220" xr:uid="{00000000-0005-0000-0000-0000486F0000}"/>
    <cellStyle name="Output 2 4 2 4 6 5" xfId="21954" xr:uid="{00000000-0005-0000-0000-0000496F0000}"/>
    <cellStyle name="Output 2 4 2 4 6 6" xfId="32799" xr:uid="{00000000-0005-0000-0000-00004A6F0000}"/>
    <cellStyle name="Output 2 4 2 4 6 7" xfId="13366" xr:uid="{00000000-0005-0000-0000-00004B6F0000}"/>
    <cellStyle name="Output 2 4 2 4 7" xfId="3666" xr:uid="{00000000-0005-0000-0000-00004C6F0000}"/>
    <cellStyle name="Output 2 4 2 4 7 2" xfId="22638" xr:uid="{00000000-0005-0000-0000-00004D6F0000}"/>
    <cellStyle name="Output 2 4 2 4 7 3" xfId="33483" xr:uid="{00000000-0005-0000-0000-00004E6F0000}"/>
    <cellStyle name="Output 2 4 2 4 7 4" xfId="13847" xr:uid="{00000000-0005-0000-0000-00004F6F0000}"/>
    <cellStyle name="Output 2 4 2 4 8" xfId="6341" xr:uid="{00000000-0005-0000-0000-0000506F0000}"/>
    <cellStyle name="Output 2 4 2 4 8 2" xfId="25313" xr:uid="{00000000-0005-0000-0000-0000516F0000}"/>
    <cellStyle name="Output 2 4 2 4 8 3" xfId="36158" xr:uid="{00000000-0005-0000-0000-0000526F0000}"/>
    <cellStyle name="Output 2 4 2 4 8 4" xfId="15763" xr:uid="{00000000-0005-0000-0000-0000536F0000}"/>
    <cellStyle name="Output 2 4 2 4 9" xfId="9000" xr:uid="{00000000-0005-0000-0000-0000546F0000}"/>
    <cellStyle name="Output 2 4 2 4 9 2" xfId="27972" xr:uid="{00000000-0005-0000-0000-0000556F0000}"/>
    <cellStyle name="Output 2 4 2 4 9 3" xfId="38817" xr:uid="{00000000-0005-0000-0000-0000566F0000}"/>
    <cellStyle name="Output 2 4 2 4 9 4" xfId="17667" xr:uid="{00000000-0005-0000-0000-0000576F0000}"/>
    <cellStyle name="Output 2 4 2 5" xfId="870" xr:uid="{00000000-0005-0000-0000-0000586F0000}"/>
    <cellStyle name="Output 2 4 2 5 10" xfId="19855" xr:uid="{00000000-0005-0000-0000-0000596F0000}"/>
    <cellStyle name="Output 2 4 2 5 11" xfId="30700" xr:uid="{00000000-0005-0000-0000-00005A6F0000}"/>
    <cellStyle name="Output 2 4 2 5 12" xfId="11852" xr:uid="{00000000-0005-0000-0000-00005B6F0000}"/>
    <cellStyle name="Output 2 4 2 5 2" xfId="1457" xr:uid="{00000000-0005-0000-0000-00005C6F0000}"/>
    <cellStyle name="Output 2 4 2 5 2 2" xfId="4310" xr:uid="{00000000-0005-0000-0000-00005D6F0000}"/>
    <cellStyle name="Output 2 4 2 5 2 2 2" xfId="23282" xr:uid="{00000000-0005-0000-0000-00005E6F0000}"/>
    <cellStyle name="Output 2 4 2 5 2 2 3" xfId="34127" xr:uid="{00000000-0005-0000-0000-00005F6F0000}"/>
    <cellStyle name="Output 2 4 2 5 2 2 4" xfId="14313" xr:uid="{00000000-0005-0000-0000-0000606F0000}"/>
    <cellStyle name="Output 2 4 2 5 2 3" xfId="6983" xr:uid="{00000000-0005-0000-0000-0000616F0000}"/>
    <cellStyle name="Output 2 4 2 5 2 3 2" xfId="25955" xr:uid="{00000000-0005-0000-0000-0000626F0000}"/>
    <cellStyle name="Output 2 4 2 5 2 3 3" xfId="36800" xr:uid="{00000000-0005-0000-0000-0000636F0000}"/>
    <cellStyle name="Output 2 4 2 5 2 3 4" xfId="16228" xr:uid="{00000000-0005-0000-0000-0000646F0000}"/>
    <cellStyle name="Output 2 4 2 5 2 4" xfId="9642" xr:uid="{00000000-0005-0000-0000-0000656F0000}"/>
    <cellStyle name="Output 2 4 2 5 2 4 2" xfId="28614" xr:uid="{00000000-0005-0000-0000-0000666F0000}"/>
    <cellStyle name="Output 2 4 2 5 2 4 3" xfId="39459" xr:uid="{00000000-0005-0000-0000-0000676F0000}"/>
    <cellStyle name="Output 2 4 2 5 2 4 4" xfId="18132" xr:uid="{00000000-0005-0000-0000-0000686F0000}"/>
    <cellStyle name="Output 2 4 2 5 2 5" xfId="20438" xr:uid="{00000000-0005-0000-0000-0000696F0000}"/>
    <cellStyle name="Output 2 4 2 5 2 6" xfId="31283" xr:uid="{00000000-0005-0000-0000-00006A6F0000}"/>
    <cellStyle name="Output 2 4 2 5 2 7" xfId="12278" xr:uid="{00000000-0005-0000-0000-00006B6F0000}"/>
    <cellStyle name="Output 2 4 2 5 3" xfId="1856" xr:uid="{00000000-0005-0000-0000-00006C6F0000}"/>
    <cellStyle name="Output 2 4 2 5 3 2" xfId="4709" xr:uid="{00000000-0005-0000-0000-00006D6F0000}"/>
    <cellStyle name="Output 2 4 2 5 3 2 2" xfId="23681" xr:uid="{00000000-0005-0000-0000-00006E6F0000}"/>
    <cellStyle name="Output 2 4 2 5 3 2 3" xfId="34526" xr:uid="{00000000-0005-0000-0000-00006F6F0000}"/>
    <cellStyle name="Output 2 4 2 5 3 2 4" xfId="14600" xr:uid="{00000000-0005-0000-0000-0000706F0000}"/>
    <cellStyle name="Output 2 4 2 5 3 3" xfId="7381" xr:uid="{00000000-0005-0000-0000-0000716F0000}"/>
    <cellStyle name="Output 2 4 2 5 3 3 2" xfId="26353" xr:uid="{00000000-0005-0000-0000-0000726F0000}"/>
    <cellStyle name="Output 2 4 2 5 3 3 3" xfId="37198" xr:uid="{00000000-0005-0000-0000-0000736F0000}"/>
    <cellStyle name="Output 2 4 2 5 3 3 4" xfId="16514" xr:uid="{00000000-0005-0000-0000-0000746F0000}"/>
    <cellStyle name="Output 2 4 2 5 3 4" xfId="10040" xr:uid="{00000000-0005-0000-0000-0000756F0000}"/>
    <cellStyle name="Output 2 4 2 5 3 4 2" xfId="29012" xr:uid="{00000000-0005-0000-0000-0000766F0000}"/>
    <cellStyle name="Output 2 4 2 5 3 4 3" xfId="39857" xr:uid="{00000000-0005-0000-0000-0000776F0000}"/>
    <cellStyle name="Output 2 4 2 5 3 4 4" xfId="18418" xr:uid="{00000000-0005-0000-0000-0000786F0000}"/>
    <cellStyle name="Output 2 4 2 5 3 5" xfId="20836" xr:uid="{00000000-0005-0000-0000-0000796F0000}"/>
    <cellStyle name="Output 2 4 2 5 3 6" xfId="31681" xr:uid="{00000000-0005-0000-0000-00007A6F0000}"/>
    <cellStyle name="Output 2 4 2 5 3 7" xfId="12564" xr:uid="{00000000-0005-0000-0000-00007B6F0000}"/>
    <cellStyle name="Output 2 4 2 5 4" xfId="2260" xr:uid="{00000000-0005-0000-0000-00007C6F0000}"/>
    <cellStyle name="Output 2 4 2 5 4 2" xfId="5113" xr:uid="{00000000-0005-0000-0000-00007D6F0000}"/>
    <cellStyle name="Output 2 4 2 5 4 2 2" xfId="24085" xr:uid="{00000000-0005-0000-0000-00007E6F0000}"/>
    <cellStyle name="Output 2 4 2 5 4 2 3" xfId="34930" xr:uid="{00000000-0005-0000-0000-00007F6F0000}"/>
    <cellStyle name="Output 2 4 2 5 4 2 4" xfId="14887" xr:uid="{00000000-0005-0000-0000-0000806F0000}"/>
    <cellStyle name="Output 2 4 2 5 4 3" xfId="7784" xr:uid="{00000000-0005-0000-0000-0000816F0000}"/>
    <cellStyle name="Output 2 4 2 5 4 3 2" xfId="26756" xr:uid="{00000000-0005-0000-0000-0000826F0000}"/>
    <cellStyle name="Output 2 4 2 5 4 3 3" xfId="37601" xr:uid="{00000000-0005-0000-0000-0000836F0000}"/>
    <cellStyle name="Output 2 4 2 5 4 3 4" xfId="16800" xr:uid="{00000000-0005-0000-0000-0000846F0000}"/>
    <cellStyle name="Output 2 4 2 5 4 4" xfId="10443" xr:uid="{00000000-0005-0000-0000-0000856F0000}"/>
    <cellStyle name="Output 2 4 2 5 4 4 2" xfId="29415" xr:uid="{00000000-0005-0000-0000-0000866F0000}"/>
    <cellStyle name="Output 2 4 2 5 4 4 3" xfId="40260" xr:uid="{00000000-0005-0000-0000-0000876F0000}"/>
    <cellStyle name="Output 2 4 2 5 4 4 4" xfId="18704" xr:uid="{00000000-0005-0000-0000-0000886F0000}"/>
    <cellStyle name="Output 2 4 2 5 4 5" xfId="21239" xr:uid="{00000000-0005-0000-0000-0000896F0000}"/>
    <cellStyle name="Output 2 4 2 5 4 6" xfId="32084" xr:uid="{00000000-0005-0000-0000-00008A6F0000}"/>
    <cellStyle name="Output 2 4 2 5 4 7" xfId="12850" xr:uid="{00000000-0005-0000-0000-00008B6F0000}"/>
    <cellStyle name="Output 2 4 2 5 5" xfId="2650" xr:uid="{00000000-0005-0000-0000-00008C6F0000}"/>
    <cellStyle name="Output 2 4 2 5 5 2" xfId="5502" xr:uid="{00000000-0005-0000-0000-00008D6F0000}"/>
    <cellStyle name="Output 2 4 2 5 5 2 2" xfId="24474" xr:uid="{00000000-0005-0000-0000-00008E6F0000}"/>
    <cellStyle name="Output 2 4 2 5 5 2 3" xfId="35319" xr:uid="{00000000-0005-0000-0000-00008F6F0000}"/>
    <cellStyle name="Output 2 4 2 5 5 2 4" xfId="15166" xr:uid="{00000000-0005-0000-0000-0000906F0000}"/>
    <cellStyle name="Output 2 4 2 5 5 3" xfId="8173" xr:uid="{00000000-0005-0000-0000-0000916F0000}"/>
    <cellStyle name="Output 2 4 2 5 5 3 2" xfId="27145" xr:uid="{00000000-0005-0000-0000-0000926F0000}"/>
    <cellStyle name="Output 2 4 2 5 5 3 3" xfId="37990" xr:uid="{00000000-0005-0000-0000-0000936F0000}"/>
    <cellStyle name="Output 2 4 2 5 5 3 4" xfId="17079" xr:uid="{00000000-0005-0000-0000-0000946F0000}"/>
    <cellStyle name="Output 2 4 2 5 5 4" xfId="10832" xr:uid="{00000000-0005-0000-0000-0000956F0000}"/>
    <cellStyle name="Output 2 4 2 5 5 4 2" xfId="29804" xr:uid="{00000000-0005-0000-0000-0000966F0000}"/>
    <cellStyle name="Output 2 4 2 5 5 4 3" xfId="40649" xr:uid="{00000000-0005-0000-0000-0000976F0000}"/>
    <cellStyle name="Output 2 4 2 5 5 4 4" xfId="18983" xr:uid="{00000000-0005-0000-0000-0000986F0000}"/>
    <cellStyle name="Output 2 4 2 5 5 5" xfId="21628" xr:uid="{00000000-0005-0000-0000-0000996F0000}"/>
    <cellStyle name="Output 2 4 2 5 5 6" xfId="32473" xr:uid="{00000000-0005-0000-0000-00009A6F0000}"/>
    <cellStyle name="Output 2 4 2 5 5 7" xfId="13129" xr:uid="{00000000-0005-0000-0000-00009B6F0000}"/>
    <cellStyle name="Output 2 4 2 5 6" xfId="3036" xr:uid="{00000000-0005-0000-0000-00009C6F0000}"/>
    <cellStyle name="Output 2 4 2 5 6 2" xfId="5887" xr:uid="{00000000-0005-0000-0000-00009D6F0000}"/>
    <cellStyle name="Output 2 4 2 5 6 2 2" xfId="24859" xr:uid="{00000000-0005-0000-0000-00009E6F0000}"/>
    <cellStyle name="Output 2 4 2 5 6 2 3" xfId="35704" xr:uid="{00000000-0005-0000-0000-00009F6F0000}"/>
    <cellStyle name="Output 2 4 2 5 6 2 4" xfId="15442" xr:uid="{00000000-0005-0000-0000-0000A06F0000}"/>
    <cellStyle name="Output 2 4 2 5 6 3" xfId="8558" xr:uid="{00000000-0005-0000-0000-0000A16F0000}"/>
    <cellStyle name="Output 2 4 2 5 6 3 2" xfId="27530" xr:uid="{00000000-0005-0000-0000-0000A26F0000}"/>
    <cellStyle name="Output 2 4 2 5 6 3 3" xfId="38375" xr:uid="{00000000-0005-0000-0000-0000A36F0000}"/>
    <cellStyle name="Output 2 4 2 5 6 3 4" xfId="17355" xr:uid="{00000000-0005-0000-0000-0000A46F0000}"/>
    <cellStyle name="Output 2 4 2 5 6 4" xfId="11217" xr:uid="{00000000-0005-0000-0000-0000A56F0000}"/>
    <cellStyle name="Output 2 4 2 5 6 4 2" xfId="30189" xr:uid="{00000000-0005-0000-0000-0000A66F0000}"/>
    <cellStyle name="Output 2 4 2 5 6 4 3" xfId="41034" xr:uid="{00000000-0005-0000-0000-0000A76F0000}"/>
    <cellStyle name="Output 2 4 2 5 6 4 4" xfId="19259" xr:uid="{00000000-0005-0000-0000-0000A86F0000}"/>
    <cellStyle name="Output 2 4 2 5 6 5" xfId="22013" xr:uid="{00000000-0005-0000-0000-0000A96F0000}"/>
    <cellStyle name="Output 2 4 2 5 6 6" xfId="32858" xr:uid="{00000000-0005-0000-0000-0000AA6F0000}"/>
    <cellStyle name="Output 2 4 2 5 6 7" xfId="13405" xr:uid="{00000000-0005-0000-0000-0000AB6F0000}"/>
    <cellStyle name="Output 2 4 2 5 7" xfId="3725" xr:uid="{00000000-0005-0000-0000-0000AC6F0000}"/>
    <cellStyle name="Output 2 4 2 5 7 2" xfId="22697" xr:uid="{00000000-0005-0000-0000-0000AD6F0000}"/>
    <cellStyle name="Output 2 4 2 5 7 3" xfId="33542" xr:uid="{00000000-0005-0000-0000-0000AE6F0000}"/>
    <cellStyle name="Output 2 4 2 5 7 4" xfId="13886" xr:uid="{00000000-0005-0000-0000-0000AF6F0000}"/>
    <cellStyle name="Output 2 4 2 5 8" xfId="6400" xr:uid="{00000000-0005-0000-0000-0000B06F0000}"/>
    <cellStyle name="Output 2 4 2 5 8 2" xfId="25372" xr:uid="{00000000-0005-0000-0000-0000B16F0000}"/>
    <cellStyle name="Output 2 4 2 5 8 3" xfId="36217" xr:uid="{00000000-0005-0000-0000-0000B26F0000}"/>
    <cellStyle name="Output 2 4 2 5 8 4" xfId="15802" xr:uid="{00000000-0005-0000-0000-0000B36F0000}"/>
    <cellStyle name="Output 2 4 2 5 9" xfId="9059" xr:uid="{00000000-0005-0000-0000-0000B46F0000}"/>
    <cellStyle name="Output 2 4 2 5 9 2" xfId="28031" xr:uid="{00000000-0005-0000-0000-0000B56F0000}"/>
    <cellStyle name="Output 2 4 2 5 9 3" xfId="38876" xr:uid="{00000000-0005-0000-0000-0000B66F0000}"/>
    <cellStyle name="Output 2 4 2 5 9 4" xfId="17706" xr:uid="{00000000-0005-0000-0000-0000B76F0000}"/>
    <cellStyle name="Output 2 4 2 6" xfId="1092" xr:uid="{00000000-0005-0000-0000-0000B86F0000}"/>
    <cellStyle name="Output 2 4 2 6 2" xfId="3945" xr:uid="{00000000-0005-0000-0000-0000B96F0000}"/>
    <cellStyle name="Output 2 4 2 6 2 2" xfId="22917" xr:uid="{00000000-0005-0000-0000-0000BA6F0000}"/>
    <cellStyle name="Output 2 4 2 6 2 3" xfId="33762" xr:uid="{00000000-0005-0000-0000-0000BB6F0000}"/>
    <cellStyle name="Output 2 4 2 6 2 4" xfId="14048" xr:uid="{00000000-0005-0000-0000-0000BC6F0000}"/>
    <cellStyle name="Output 2 4 2 6 3" xfId="6619" xr:uid="{00000000-0005-0000-0000-0000BD6F0000}"/>
    <cellStyle name="Output 2 4 2 6 3 2" xfId="25591" xr:uid="{00000000-0005-0000-0000-0000BE6F0000}"/>
    <cellStyle name="Output 2 4 2 6 3 3" xfId="36436" xr:uid="{00000000-0005-0000-0000-0000BF6F0000}"/>
    <cellStyle name="Output 2 4 2 6 3 4" xfId="15964" xr:uid="{00000000-0005-0000-0000-0000C06F0000}"/>
    <cellStyle name="Output 2 4 2 6 4" xfId="9278" xr:uid="{00000000-0005-0000-0000-0000C16F0000}"/>
    <cellStyle name="Output 2 4 2 6 4 2" xfId="28250" xr:uid="{00000000-0005-0000-0000-0000C26F0000}"/>
    <cellStyle name="Output 2 4 2 6 4 3" xfId="39095" xr:uid="{00000000-0005-0000-0000-0000C36F0000}"/>
    <cellStyle name="Output 2 4 2 6 4 4" xfId="17868" xr:uid="{00000000-0005-0000-0000-0000C46F0000}"/>
    <cellStyle name="Output 2 4 2 6 5" xfId="20074" xr:uid="{00000000-0005-0000-0000-0000C56F0000}"/>
    <cellStyle name="Output 2 4 2 6 6" xfId="30919" xr:uid="{00000000-0005-0000-0000-0000C66F0000}"/>
    <cellStyle name="Output 2 4 2 6 7" xfId="12014" xr:uid="{00000000-0005-0000-0000-0000C76F0000}"/>
    <cellStyle name="Output 2 4 2 7" xfId="1491" xr:uid="{00000000-0005-0000-0000-0000C86F0000}"/>
    <cellStyle name="Output 2 4 2 7 2" xfId="4344" xr:uid="{00000000-0005-0000-0000-0000C96F0000}"/>
    <cellStyle name="Output 2 4 2 7 2 2" xfId="23316" xr:uid="{00000000-0005-0000-0000-0000CA6F0000}"/>
    <cellStyle name="Output 2 4 2 7 2 3" xfId="34161" xr:uid="{00000000-0005-0000-0000-0000CB6F0000}"/>
    <cellStyle name="Output 2 4 2 7 2 4" xfId="14337" xr:uid="{00000000-0005-0000-0000-0000CC6F0000}"/>
    <cellStyle name="Output 2 4 2 7 3" xfId="7017" xr:uid="{00000000-0005-0000-0000-0000CD6F0000}"/>
    <cellStyle name="Output 2 4 2 7 3 2" xfId="25989" xr:uid="{00000000-0005-0000-0000-0000CE6F0000}"/>
    <cellStyle name="Output 2 4 2 7 3 3" xfId="36834" xr:uid="{00000000-0005-0000-0000-0000CF6F0000}"/>
    <cellStyle name="Output 2 4 2 7 3 4" xfId="16252" xr:uid="{00000000-0005-0000-0000-0000D06F0000}"/>
    <cellStyle name="Output 2 4 2 7 4" xfId="9676" xr:uid="{00000000-0005-0000-0000-0000D16F0000}"/>
    <cellStyle name="Output 2 4 2 7 4 2" xfId="28648" xr:uid="{00000000-0005-0000-0000-0000D26F0000}"/>
    <cellStyle name="Output 2 4 2 7 4 3" xfId="39493" xr:uid="{00000000-0005-0000-0000-0000D36F0000}"/>
    <cellStyle name="Output 2 4 2 7 4 4" xfId="18156" xr:uid="{00000000-0005-0000-0000-0000D46F0000}"/>
    <cellStyle name="Output 2 4 2 7 5" xfId="20472" xr:uid="{00000000-0005-0000-0000-0000D56F0000}"/>
    <cellStyle name="Output 2 4 2 7 6" xfId="31317" xr:uid="{00000000-0005-0000-0000-0000D66F0000}"/>
    <cellStyle name="Output 2 4 2 7 7" xfId="12302" xr:uid="{00000000-0005-0000-0000-0000D76F0000}"/>
    <cellStyle name="Output 2 4 2 8" xfId="1899" xr:uid="{00000000-0005-0000-0000-0000D86F0000}"/>
    <cellStyle name="Output 2 4 2 8 2" xfId="4752" xr:uid="{00000000-0005-0000-0000-0000D96F0000}"/>
    <cellStyle name="Output 2 4 2 8 2 2" xfId="23724" xr:uid="{00000000-0005-0000-0000-0000DA6F0000}"/>
    <cellStyle name="Output 2 4 2 8 2 3" xfId="34569" xr:uid="{00000000-0005-0000-0000-0000DB6F0000}"/>
    <cellStyle name="Output 2 4 2 8 2 4" xfId="14628" xr:uid="{00000000-0005-0000-0000-0000DC6F0000}"/>
    <cellStyle name="Output 2 4 2 8 3" xfId="7424" xr:uid="{00000000-0005-0000-0000-0000DD6F0000}"/>
    <cellStyle name="Output 2 4 2 8 3 2" xfId="26396" xr:uid="{00000000-0005-0000-0000-0000DE6F0000}"/>
    <cellStyle name="Output 2 4 2 8 3 3" xfId="37241" xr:uid="{00000000-0005-0000-0000-0000DF6F0000}"/>
    <cellStyle name="Output 2 4 2 8 3 4" xfId="16542" xr:uid="{00000000-0005-0000-0000-0000E06F0000}"/>
    <cellStyle name="Output 2 4 2 8 4" xfId="10083" xr:uid="{00000000-0005-0000-0000-0000E16F0000}"/>
    <cellStyle name="Output 2 4 2 8 4 2" xfId="29055" xr:uid="{00000000-0005-0000-0000-0000E26F0000}"/>
    <cellStyle name="Output 2 4 2 8 4 3" xfId="39900" xr:uid="{00000000-0005-0000-0000-0000E36F0000}"/>
    <cellStyle name="Output 2 4 2 8 4 4" xfId="18446" xr:uid="{00000000-0005-0000-0000-0000E46F0000}"/>
    <cellStyle name="Output 2 4 2 8 5" xfId="20879" xr:uid="{00000000-0005-0000-0000-0000E56F0000}"/>
    <cellStyle name="Output 2 4 2 8 6" xfId="31724" xr:uid="{00000000-0005-0000-0000-0000E66F0000}"/>
    <cellStyle name="Output 2 4 2 8 7" xfId="12592" xr:uid="{00000000-0005-0000-0000-0000E76F0000}"/>
    <cellStyle name="Output 2 4 2 9" xfId="951" xr:uid="{00000000-0005-0000-0000-0000E86F0000}"/>
    <cellStyle name="Output 2 4 2 9 2" xfId="3804" xr:uid="{00000000-0005-0000-0000-0000E96F0000}"/>
    <cellStyle name="Output 2 4 2 9 2 2" xfId="22776" xr:uid="{00000000-0005-0000-0000-0000EA6F0000}"/>
    <cellStyle name="Output 2 4 2 9 2 3" xfId="33621" xr:uid="{00000000-0005-0000-0000-0000EB6F0000}"/>
    <cellStyle name="Output 2 4 2 9 2 4" xfId="13949" xr:uid="{00000000-0005-0000-0000-0000EC6F0000}"/>
    <cellStyle name="Output 2 4 2 9 3" xfId="6479" xr:uid="{00000000-0005-0000-0000-0000ED6F0000}"/>
    <cellStyle name="Output 2 4 2 9 3 2" xfId="25451" xr:uid="{00000000-0005-0000-0000-0000EE6F0000}"/>
    <cellStyle name="Output 2 4 2 9 3 3" xfId="36296" xr:uid="{00000000-0005-0000-0000-0000EF6F0000}"/>
    <cellStyle name="Output 2 4 2 9 3 4" xfId="15865" xr:uid="{00000000-0005-0000-0000-0000F06F0000}"/>
    <cellStyle name="Output 2 4 2 9 4" xfId="9138" xr:uid="{00000000-0005-0000-0000-0000F16F0000}"/>
    <cellStyle name="Output 2 4 2 9 4 2" xfId="28110" xr:uid="{00000000-0005-0000-0000-0000F26F0000}"/>
    <cellStyle name="Output 2 4 2 9 4 3" xfId="38955" xr:uid="{00000000-0005-0000-0000-0000F36F0000}"/>
    <cellStyle name="Output 2 4 2 9 4 4" xfId="17769" xr:uid="{00000000-0005-0000-0000-0000F46F0000}"/>
    <cellStyle name="Output 2 4 2 9 5" xfId="19934" xr:uid="{00000000-0005-0000-0000-0000F56F0000}"/>
    <cellStyle name="Output 2 4 2 9 6" xfId="30779" xr:uid="{00000000-0005-0000-0000-0000F66F0000}"/>
    <cellStyle name="Output 2 4 2 9 7" xfId="11915" xr:uid="{00000000-0005-0000-0000-0000F76F0000}"/>
    <cellStyle name="Output 2 4 3" xfId="574" xr:uid="{00000000-0005-0000-0000-0000F86F0000}"/>
    <cellStyle name="Output 2 4 3 10" xfId="19584" xr:uid="{00000000-0005-0000-0000-0000F96F0000}"/>
    <cellStyle name="Output 2 4 3 11" xfId="30429" xr:uid="{00000000-0005-0000-0000-0000FA6F0000}"/>
    <cellStyle name="Output 2 4 3 12" xfId="11638" xr:uid="{00000000-0005-0000-0000-0000FB6F0000}"/>
    <cellStyle name="Output 2 4 3 2" xfId="1180" xr:uid="{00000000-0005-0000-0000-0000FC6F0000}"/>
    <cellStyle name="Output 2 4 3 2 2" xfId="4033" xr:uid="{00000000-0005-0000-0000-0000FD6F0000}"/>
    <cellStyle name="Output 2 4 3 2 2 2" xfId="23005" xr:uid="{00000000-0005-0000-0000-0000FE6F0000}"/>
    <cellStyle name="Output 2 4 3 2 2 3" xfId="33850" xr:uid="{00000000-0005-0000-0000-0000FF6F0000}"/>
    <cellStyle name="Output 2 4 3 2 2 4" xfId="14115" xr:uid="{00000000-0005-0000-0000-000000700000}"/>
    <cellStyle name="Output 2 4 3 2 3" xfId="6706" xr:uid="{00000000-0005-0000-0000-000001700000}"/>
    <cellStyle name="Output 2 4 3 2 3 2" xfId="25678" xr:uid="{00000000-0005-0000-0000-000002700000}"/>
    <cellStyle name="Output 2 4 3 2 3 3" xfId="36523" xr:uid="{00000000-0005-0000-0000-000003700000}"/>
    <cellStyle name="Output 2 4 3 2 3 4" xfId="16030" xr:uid="{00000000-0005-0000-0000-000004700000}"/>
    <cellStyle name="Output 2 4 3 2 4" xfId="9365" xr:uid="{00000000-0005-0000-0000-000005700000}"/>
    <cellStyle name="Output 2 4 3 2 4 2" xfId="28337" xr:uid="{00000000-0005-0000-0000-000006700000}"/>
    <cellStyle name="Output 2 4 3 2 4 3" xfId="39182" xr:uid="{00000000-0005-0000-0000-000007700000}"/>
    <cellStyle name="Output 2 4 3 2 4 4" xfId="17934" xr:uid="{00000000-0005-0000-0000-000008700000}"/>
    <cellStyle name="Output 2 4 3 2 5" xfId="20161" xr:uid="{00000000-0005-0000-0000-000009700000}"/>
    <cellStyle name="Output 2 4 3 2 6" xfId="31006" xr:uid="{00000000-0005-0000-0000-00000A700000}"/>
    <cellStyle name="Output 2 4 3 2 7" xfId="12080" xr:uid="{00000000-0005-0000-0000-00000B700000}"/>
    <cellStyle name="Output 2 4 3 3" xfId="1577" xr:uid="{00000000-0005-0000-0000-00000C700000}"/>
    <cellStyle name="Output 2 4 3 3 2" xfId="4430" xr:uid="{00000000-0005-0000-0000-00000D700000}"/>
    <cellStyle name="Output 2 4 3 3 2 2" xfId="23402" xr:uid="{00000000-0005-0000-0000-00000E700000}"/>
    <cellStyle name="Output 2 4 3 3 2 3" xfId="34247" xr:uid="{00000000-0005-0000-0000-00000F700000}"/>
    <cellStyle name="Output 2 4 3 3 2 4" xfId="14401" xr:uid="{00000000-0005-0000-0000-000010700000}"/>
    <cellStyle name="Output 2 4 3 3 3" xfId="7102" xr:uid="{00000000-0005-0000-0000-000011700000}"/>
    <cellStyle name="Output 2 4 3 3 3 2" xfId="26074" xr:uid="{00000000-0005-0000-0000-000012700000}"/>
    <cellStyle name="Output 2 4 3 3 3 3" xfId="36919" xr:uid="{00000000-0005-0000-0000-000013700000}"/>
    <cellStyle name="Output 2 4 3 3 3 4" xfId="16315" xr:uid="{00000000-0005-0000-0000-000014700000}"/>
    <cellStyle name="Output 2 4 3 3 4" xfId="9761" xr:uid="{00000000-0005-0000-0000-000015700000}"/>
    <cellStyle name="Output 2 4 3 3 4 2" xfId="28733" xr:uid="{00000000-0005-0000-0000-000016700000}"/>
    <cellStyle name="Output 2 4 3 3 4 3" xfId="39578" xr:uid="{00000000-0005-0000-0000-000017700000}"/>
    <cellStyle name="Output 2 4 3 3 4 4" xfId="18219" xr:uid="{00000000-0005-0000-0000-000018700000}"/>
    <cellStyle name="Output 2 4 3 3 5" xfId="20557" xr:uid="{00000000-0005-0000-0000-000019700000}"/>
    <cellStyle name="Output 2 4 3 3 6" xfId="31402" xr:uid="{00000000-0005-0000-0000-00001A700000}"/>
    <cellStyle name="Output 2 4 3 3 7" xfId="12365" xr:uid="{00000000-0005-0000-0000-00001B700000}"/>
    <cellStyle name="Output 2 4 3 4" xfId="1981" xr:uid="{00000000-0005-0000-0000-00001C700000}"/>
    <cellStyle name="Output 2 4 3 4 2" xfId="4834" xr:uid="{00000000-0005-0000-0000-00001D700000}"/>
    <cellStyle name="Output 2 4 3 4 2 2" xfId="23806" xr:uid="{00000000-0005-0000-0000-00001E700000}"/>
    <cellStyle name="Output 2 4 3 4 2 3" xfId="34651" xr:uid="{00000000-0005-0000-0000-00001F700000}"/>
    <cellStyle name="Output 2 4 3 4 2 4" xfId="14689" xr:uid="{00000000-0005-0000-0000-000020700000}"/>
    <cellStyle name="Output 2 4 3 4 3" xfId="7506" xr:uid="{00000000-0005-0000-0000-000021700000}"/>
    <cellStyle name="Output 2 4 3 4 3 2" xfId="26478" xr:uid="{00000000-0005-0000-0000-000022700000}"/>
    <cellStyle name="Output 2 4 3 4 3 3" xfId="37323" xr:uid="{00000000-0005-0000-0000-000023700000}"/>
    <cellStyle name="Output 2 4 3 4 3 4" xfId="16603" xr:uid="{00000000-0005-0000-0000-000024700000}"/>
    <cellStyle name="Output 2 4 3 4 4" xfId="10165" xr:uid="{00000000-0005-0000-0000-000025700000}"/>
    <cellStyle name="Output 2 4 3 4 4 2" xfId="29137" xr:uid="{00000000-0005-0000-0000-000026700000}"/>
    <cellStyle name="Output 2 4 3 4 4 3" xfId="39982" xr:uid="{00000000-0005-0000-0000-000027700000}"/>
    <cellStyle name="Output 2 4 3 4 4 4" xfId="18507" xr:uid="{00000000-0005-0000-0000-000028700000}"/>
    <cellStyle name="Output 2 4 3 4 5" xfId="20961" xr:uid="{00000000-0005-0000-0000-000029700000}"/>
    <cellStyle name="Output 2 4 3 4 6" xfId="31806" xr:uid="{00000000-0005-0000-0000-00002A700000}"/>
    <cellStyle name="Output 2 4 3 4 7" xfId="12653" xr:uid="{00000000-0005-0000-0000-00002B700000}"/>
    <cellStyle name="Output 2 4 3 5" xfId="2373" xr:uid="{00000000-0005-0000-0000-00002C700000}"/>
    <cellStyle name="Output 2 4 3 5 2" xfId="5226" xr:uid="{00000000-0005-0000-0000-00002D700000}"/>
    <cellStyle name="Output 2 4 3 5 2 2" xfId="24198" xr:uid="{00000000-0005-0000-0000-00002E700000}"/>
    <cellStyle name="Output 2 4 3 5 2 3" xfId="35043" xr:uid="{00000000-0005-0000-0000-00002F700000}"/>
    <cellStyle name="Output 2 4 3 5 2 4" xfId="14970" xr:uid="{00000000-0005-0000-0000-000030700000}"/>
    <cellStyle name="Output 2 4 3 5 3" xfId="7897" xr:uid="{00000000-0005-0000-0000-000031700000}"/>
    <cellStyle name="Output 2 4 3 5 3 2" xfId="26869" xr:uid="{00000000-0005-0000-0000-000032700000}"/>
    <cellStyle name="Output 2 4 3 5 3 3" xfId="37714" xr:uid="{00000000-0005-0000-0000-000033700000}"/>
    <cellStyle name="Output 2 4 3 5 3 4" xfId="16883" xr:uid="{00000000-0005-0000-0000-000034700000}"/>
    <cellStyle name="Output 2 4 3 5 4" xfId="10556" xr:uid="{00000000-0005-0000-0000-000035700000}"/>
    <cellStyle name="Output 2 4 3 5 4 2" xfId="29528" xr:uid="{00000000-0005-0000-0000-000036700000}"/>
    <cellStyle name="Output 2 4 3 5 4 3" xfId="40373" xr:uid="{00000000-0005-0000-0000-000037700000}"/>
    <cellStyle name="Output 2 4 3 5 4 4" xfId="18787" xr:uid="{00000000-0005-0000-0000-000038700000}"/>
    <cellStyle name="Output 2 4 3 5 5" xfId="21352" xr:uid="{00000000-0005-0000-0000-000039700000}"/>
    <cellStyle name="Output 2 4 3 5 6" xfId="32197" xr:uid="{00000000-0005-0000-0000-00003A700000}"/>
    <cellStyle name="Output 2 4 3 5 7" xfId="12933" xr:uid="{00000000-0005-0000-0000-00003B700000}"/>
    <cellStyle name="Output 2 4 3 6" xfId="2762" xr:uid="{00000000-0005-0000-0000-00003C700000}"/>
    <cellStyle name="Output 2 4 3 6 2" xfId="5614" xr:uid="{00000000-0005-0000-0000-00003D700000}"/>
    <cellStyle name="Output 2 4 3 6 2 2" xfId="24586" xr:uid="{00000000-0005-0000-0000-00003E700000}"/>
    <cellStyle name="Output 2 4 3 6 2 3" xfId="35431" xr:uid="{00000000-0005-0000-0000-00003F700000}"/>
    <cellStyle name="Output 2 4 3 6 2 4" xfId="15248" xr:uid="{00000000-0005-0000-0000-000040700000}"/>
    <cellStyle name="Output 2 4 3 6 3" xfId="8285" xr:uid="{00000000-0005-0000-0000-000041700000}"/>
    <cellStyle name="Output 2 4 3 6 3 2" xfId="27257" xr:uid="{00000000-0005-0000-0000-000042700000}"/>
    <cellStyle name="Output 2 4 3 6 3 3" xfId="38102" xr:uid="{00000000-0005-0000-0000-000043700000}"/>
    <cellStyle name="Output 2 4 3 6 3 4" xfId="17161" xr:uid="{00000000-0005-0000-0000-000044700000}"/>
    <cellStyle name="Output 2 4 3 6 4" xfId="10944" xr:uid="{00000000-0005-0000-0000-000045700000}"/>
    <cellStyle name="Output 2 4 3 6 4 2" xfId="29916" xr:uid="{00000000-0005-0000-0000-000046700000}"/>
    <cellStyle name="Output 2 4 3 6 4 3" xfId="40761" xr:uid="{00000000-0005-0000-0000-000047700000}"/>
    <cellStyle name="Output 2 4 3 6 4 4" xfId="19065" xr:uid="{00000000-0005-0000-0000-000048700000}"/>
    <cellStyle name="Output 2 4 3 6 5" xfId="21740" xr:uid="{00000000-0005-0000-0000-000049700000}"/>
    <cellStyle name="Output 2 4 3 6 6" xfId="32585" xr:uid="{00000000-0005-0000-0000-00004A700000}"/>
    <cellStyle name="Output 2 4 3 6 7" xfId="13211" xr:uid="{00000000-0005-0000-0000-00004B700000}"/>
    <cellStyle name="Output 2 4 3 7" xfId="3453" xr:uid="{00000000-0005-0000-0000-00004C700000}"/>
    <cellStyle name="Output 2 4 3 7 2" xfId="22425" xr:uid="{00000000-0005-0000-0000-00004D700000}"/>
    <cellStyle name="Output 2 4 3 7 3" xfId="33270" xr:uid="{00000000-0005-0000-0000-00004E700000}"/>
    <cellStyle name="Output 2 4 3 7 4" xfId="13693" xr:uid="{00000000-0005-0000-0000-00004F700000}"/>
    <cellStyle name="Output 2 4 3 8" xfId="6129" xr:uid="{00000000-0005-0000-0000-000050700000}"/>
    <cellStyle name="Output 2 4 3 8 2" xfId="25101" xr:uid="{00000000-0005-0000-0000-000051700000}"/>
    <cellStyle name="Output 2 4 3 8 3" xfId="35946" xr:uid="{00000000-0005-0000-0000-000052700000}"/>
    <cellStyle name="Output 2 4 3 8 4" xfId="15610" xr:uid="{00000000-0005-0000-0000-000053700000}"/>
    <cellStyle name="Output 2 4 3 9" xfId="8788" xr:uid="{00000000-0005-0000-0000-000054700000}"/>
    <cellStyle name="Output 2 4 3 9 2" xfId="27760" xr:uid="{00000000-0005-0000-0000-000055700000}"/>
    <cellStyle name="Output 2 4 3 9 3" xfId="38605" xr:uid="{00000000-0005-0000-0000-000056700000}"/>
    <cellStyle name="Output 2 4 3 9 4" xfId="17514" xr:uid="{00000000-0005-0000-0000-000057700000}"/>
    <cellStyle name="Output 2 4 4" xfId="11465" xr:uid="{00000000-0005-0000-0000-000058700000}"/>
    <cellStyle name="Output 2 5" xfId="141" xr:uid="{00000000-0005-0000-0000-000059700000}"/>
    <cellStyle name="Output 2 5 2" xfId="392" xr:uid="{00000000-0005-0000-0000-00005A700000}"/>
    <cellStyle name="Output 2 5 2 10" xfId="2684" xr:uid="{00000000-0005-0000-0000-00005B700000}"/>
    <cellStyle name="Output 2 5 2 10 2" xfId="5536" xr:uid="{00000000-0005-0000-0000-00005C700000}"/>
    <cellStyle name="Output 2 5 2 10 2 2" xfId="24508" xr:uid="{00000000-0005-0000-0000-00005D700000}"/>
    <cellStyle name="Output 2 5 2 10 2 3" xfId="35353" xr:uid="{00000000-0005-0000-0000-00005E700000}"/>
    <cellStyle name="Output 2 5 2 10 2 4" xfId="15190" xr:uid="{00000000-0005-0000-0000-00005F700000}"/>
    <cellStyle name="Output 2 5 2 10 3" xfId="8207" xr:uid="{00000000-0005-0000-0000-000060700000}"/>
    <cellStyle name="Output 2 5 2 10 3 2" xfId="27179" xr:uid="{00000000-0005-0000-0000-000061700000}"/>
    <cellStyle name="Output 2 5 2 10 3 3" xfId="38024" xr:uid="{00000000-0005-0000-0000-000062700000}"/>
    <cellStyle name="Output 2 5 2 10 3 4" xfId="17103" xr:uid="{00000000-0005-0000-0000-000063700000}"/>
    <cellStyle name="Output 2 5 2 10 4" xfId="10866" xr:uid="{00000000-0005-0000-0000-000064700000}"/>
    <cellStyle name="Output 2 5 2 10 4 2" xfId="29838" xr:uid="{00000000-0005-0000-0000-000065700000}"/>
    <cellStyle name="Output 2 5 2 10 4 3" xfId="40683" xr:uid="{00000000-0005-0000-0000-000066700000}"/>
    <cellStyle name="Output 2 5 2 10 4 4" xfId="19007" xr:uid="{00000000-0005-0000-0000-000067700000}"/>
    <cellStyle name="Output 2 5 2 10 5" xfId="21662" xr:uid="{00000000-0005-0000-0000-000068700000}"/>
    <cellStyle name="Output 2 5 2 10 6" xfId="32507" xr:uid="{00000000-0005-0000-0000-000069700000}"/>
    <cellStyle name="Output 2 5 2 10 7" xfId="13153" xr:uid="{00000000-0005-0000-0000-00006A700000}"/>
    <cellStyle name="Output 2 5 2 11" xfId="3070" xr:uid="{00000000-0005-0000-0000-00006B700000}"/>
    <cellStyle name="Output 2 5 2 11 2" xfId="5921" xr:uid="{00000000-0005-0000-0000-00006C700000}"/>
    <cellStyle name="Output 2 5 2 11 2 2" xfId="24893" xr:uid="{00000000-0005-0000-0000-00006D700000}"/>
    <cellStyle name="Output 2 5 2 11 2 3" xfId="35738" xr:uid="{00000000-0005-0000-0000-00006E700000}"/>
    <cellStyle name="Output 2 5 2 11 2 4" xfId="15466" xr:uid="{00000000-0005-0000-0000-00006F700000}"/>
    <cellStyle name="Output 2 5 2 11 3" xfId="8592" xr:uid="{00000000-0005-0000-0000-000070700000}"/>
    <cellStyle name="Output 2 5 2 11 3 2" xfId="27564" xr:uid="{00000000-0005-0000-0000-000071700000}"/>
    <cellStyle name="Output 2 5 2 11 3 3" xfId="38409" xr:uid="{00000000-0005-0000-0000-000072700000}"/>
    <cellStyle name="Output 2 5 2 11 3 4" xfId="17379" xr:uid="{00000000-0005-0000-0000-000073700000}"/>
    <cellStyle name="Output 2 5 2 11 4" xfId="11251" xr:uid="{00000000-0005-0000-0000-000074700000}"/>
    <cellStyle name="Output 2 5 2 11 4 2" xfId="30223" xr:uid="{00000000-0005-0000-0000-000075700000}"/>
    <cellStyle name="Output 2 5 2 11 4 3" xfId="41068" xr:uid="{00000000-0005-0000-0000-000076700000}"/>
    <cellStyle name="Output 2 5 2 11 4 4" xfId="19283" xr:uid="{00000000-0005-0000-0000-000077700000}"/>
    <cellStyle name="Output 2 5 2 11 5" xfId="22047" xr:uid="{00000000-0005-0000-0000-000078700000}"/>
    <cellStyle name="Output 2 5 2 11 6" xfId="32892" xr:uid="{00000000-0005-0000-0000-000079700000}"/>
    <cellStyle name="Output 2 5 2 11 7" xfId="13429" xr:uid="{00000000-0005-0000-0000-00007A700000}"/>
    <cellStyle name="Output 2 5 2 12" xfId="3127" xr:uid="{00000000-0005-0000-0000-00007B700000}"/>
    <cellStyle name="Output 2 5 2 12 2" xfId="5978" xr:uid="{00000000-0005-0000-0000-00007C700000}"/>
    <cellStyle name="Output 2 5 2 12 2 2" xfId="24950" xr:uid="{00000000-0005-0000-0000-00007D700000}"/>
    <cellStyle name="Output 2 5 2 12 2 3" xfId="35795" xr:uid="{00000000-0005-0000-0000-00007E700000}"/>
    <cellStyle name="Output 2 5 2 12 2 4" xfId="15503" xr:uid="{00000000-0005-0000-0000-00007F700000}"/>
    <cellStyle name="Output 2 5 2 12 3" xfId="8649" xr:uid="{00000000-0005-0000-0000-000080700000}"/>
    <cellStyle name="Output 2 5 2 12 3 2" xfId="27621" xr:uid="{00000000-0005-0000-0000-000081700000}"/>
    <cellStyle name="Output 2 5 2 12 3 3" xfId="38466" xr:uid="{00000000-0005-0000-0000-000082700000}"/>
    <cellStyle name="Output 2 5 2 12 3 4" xfId="17416" xr:uid="{00000000-0005-0000-0000-000083700000}"/>
    <cellStyle name="Output 2 5 2 12 4" xfId="11308" xr:uid="{00000000-0005-0000-0000-000084700000}"/>
    <cellStyle name="Output 2 5 2 12 4 2" xfId="30280" xr:uid="{00000000-0005-0000-0000-000085700000}"/>
    <cellStyle name="Output 2 5 2 12 4 3" xfId="41125" xr:uid="{00000000-0005-0000-0000-000086700000}"/>
    <cellStyle name="Output 2 5 2 12 4 4" xfId="19320" xr:uid="{00000000-0005-0000-0000-000087700000}"/>
    <cellStyle name="Output 2 5 2 12 5" xfId="22104" xr:uid="{00000000-0005-0000-0000-000088700000}"/>
    <cellStyle name="Output 2 5 2 12 6" xfId="32949" xr:uid="{00000000-0005-0000-0000-000089700000}"/>
    <cellStyle name="Output 2 5 2 12 7" xfId="13466" xr:uid="{00000000-0005-0000-0000-00008A700000}"/>
    <cellStyle name="Output 2 5 2 13" xfId="3184" xr:uid="{00000000-0005-0000-0000-00008B700000}"/>
    <cellStyle name="Output 2 5 2 13 2" xfId="6035" xr:uid="{00000000-0005-0000-0000-00008C700000}"/>
    <cellStyle name="Output 2 5 2 13 2 2" xfId="25007" xr:uid="{00000000-0005-0000-0000-00008D700000}"/>
    <cellStyle name="Output 2 5 2 13 2 3" xfId="35852" xr:uid="{00000000-0005-0000-0000-00008E700000}"/>
    <cellStyle name="Output 2 5 2 13 2 4" xfId="15540" xr:uid="{00000000-0005-0000-0000-00008F700000}"/>
    <cellStyle name="Output 2 5 2 13 3" xfId="8706" xr:uid="{00000000-0005-0000-0000-000090700000}"/>
    <cellStyle name="Output 2 5 2 13 3 2" xfId="27678" xr:uid="{00000000-0005-0000-0000-000091700000}"/>
    <cellStyle name="Output 2 5 2 13 3 3" xfId="38523" xr:uid="{00000000-0005-0000-0000-000092700000}"/>
    <cellStyle name="Output 2 5 2 13 3 4" xfId="17453" xr:uid="{00000000-0005-0000-0000-000093700000}"/>
    <cellStyle name="Output 2 5 2 13 4" xfId="11365" xr:uid="{00000000-0005-0000-0000-000094700000}"/>
    <cellStyle name="Output 2 5 2 13 4 2" xfId="30337" xr:uid="{00000000-0005-0000-0000-000095700000}"/>
    <cellStyle name="Output 2 5 2 13 4 3" xfId="41182" xr:uid="{00000000-0005-0000-0000-000096700000}"/>
    <cellStyle name="Output 2 5 2 13 4 4" xfId="19357" xr:uid="{00000000-0005-0000-0000-000097700000}"/>
    <cellStyle name="Output 2 5 2 13 5" xfId="22161" xr:uid="{00000000-0005-0000-0000-000098700000}"/>
    <cellStyle name="Output 2 5 2 13 6" xfId="33006" xr:uid="{00000000-0005-0000-0000-000099700000}"/>
    <cellStyle name="Output 2 5 2 13 7" xfId="13503" xr:uid="{00000000-0005-0000-0000-00009A700000}"/>
    <cellStyle name="Output 2 5 2 14" xfId="3350" xr:uid="{00000000-0005-0000-0000-00009B700000}"/>
    <cellStyle name="Output 2 5 2 14 2" xfId="22324" xr:uid="{00000000-0005-0000-0000-00009C700000}"/>
    <cellStyle name="Output 2 5 2 14 3" xfId="33169" xr:uid="{00000000-0005-0000-0000-00009D700000}"/>
    <cellStyle name="Output 2 5 2 14 4" xfId="13620" xr:uid="{00000000-0005-0000-0000-00009E700000}"/>
    <cellStyle name="Output 2 5 2 15" xfId="3318" xr:uid="{00000000-0005-0000-0000-00009F700000}"/>
    <cellStyle name="Output 2 5 2 15 2" xfId="22292" xr:uid="{00000000-0005-0000-0000-0000A0700000}"/>
    <cellStyle name="Output 2 5 2 15 3" xfId="33137" xr:uid="{00000000-0005-0000-0000-0000A1700000}"/>
    <cellStyle name="Output 2 5 2 15 4" xfId="13601" xr:uid="{00000000-0005-0000-0000-0000A2700000}"/>
    <cellStyle name="Output 2 5 2 16" xfId="3241" xr:uid="{00000000-0005-0000-0000-0000A3700000}"/>
    <cellStyle name="Output 2 5 2 16 2" xfId="22218" xr:uid="{00000000-0005-0000-0000-0000A4700000}"/>
    <cellStyle name="Output 2 5 2 16 3" xfId="33063" xr:uid="{00000000-0005-0000-0000-0000A5700000}"/>
    <cellStyle name="Output 2 5 2 16 4" xfId="13545" xr:uid="{00000000-0005-0000-0000-0000A6700000}"/>
    <cellStyle name="Output 2 5 2 17" xfId="19481" xr:uid="{00000000-0005-0000-0000-0000A7700000}"/>
    <cellStyle name="Output 2 5 2 18" xfId="19519" xr:uid="{00000000-0005-0000-0000-0000A8700000}"/>
    <cellStyle name="Output 2 5 2 19" xfId="11530" xr:uid="{00000000-0005-0000-0000-0000A9700000}"/>
    <cellStyle name="Output 2 5 2 2" xfId="692" xr:uid="{00000000-0005-0000-0000-0000AA700000}"/>
    <cellStyle name="Output 2 5 2 2 10" xfId="19677" xr:uid="{00000000-0005-0000-0000-0000AB700000}"/>
    <cellStyle name="Output 2 5 2 2 11" xfId="30522" xr:uid="{00000000-0005-0000-0000-0000AC700000}"/>
    <cellStyle name="Output 2 5 2 2 12" xfId="11734" xr:uid="{00000000-0005-0000-0000-0000AD700000}"/>
    <cellStyle name="Output 2 5 2 2 2" xfId="1279" xr:uid="{00000000-0005-0000-0000-0000AE700000}"/>
    <cellStyle name="Output 2 5 2 2 2 2" xfId="4132" xr:uid="{00000000-0005-0000-0000-0000AF700000}"/>
    <cellStyle name="Output 2 5 2 2 2 2 2" xfId="23104" xr:uid="{00000000-0005-0000-0000-0000B0700000}"/>
    <cellStyle name="Output 2 5 2 2 2 2 3" xfId="33949" xr:uid="{00000000-0005-0000-0000-0000B1700000}"/>
    <cellStyle name="Output 2 5 2 2 2 2 4" xfId="14195" xr:uid="{00000000-0005-0000-0000-0000B2700000}"/>
    <cellStyle name="Output 2 5 2 2 2 3" xfId="6805" xr:uid="{00000000-0005-0000-0000-0000B3700000}"/>
    <cellStyle name="Output 2 5 2 2 2 3 2" xfId="25777" xr:uid="{00000000-0005-0000-0000-0000B4700000}"/>
    <cellStyle name="Output 2 5 2 2 2 3 3" xfId="36622" xr:uid="{00000000-0005-0000-0000-0000B5700000}"/>
    <cellStyle name="Output 2 5 2 2 2 3 4" xfId="16110" xr:uid="{00000000-0005-0000-0000-0000B6700000}"/>
    <cellStyle name="Output 2 5 2 2 2 4" xfId="9464" xr:uid="{00000000-0005-0000-0000-0000B7700000}"/>
    <cellStyle name="Output 2 5 2 2 2 4 2" xfId="28436" xr:uid="{00000000-0005-0000-0000-0000B8700000}"/>
    <cellStyle name="Output 2 5 2 2 2 4 3" xfId="39281" xr:uid="{00000000-0005-0000-0000-0000B9700000}"/>
    <cellStyle name="Output 2 5 2 2 2 4 4" xfId="18014" xr:uid="{00000000-0005-0000-0000-0000BA700000}"/>
    <cellStyle name="Output 2 5 2 2 2 5" xfId="20260" xr:uid="{00000000-0005-0000-0000-0000BB700000}"/>
    <cellStyle name="Output 2 5 2 2 2 6" xfId="31105" xr:uid="{00000000-0005-0000-0000-0000BC700000}"/>
    <cellStyle name="Output 2 5 2 2 2 7" xfId="12160" xr:uid="{00000000-0005-0000-0000-0000BD700000}"/>
    <cellStyle name="Output 2 5 2 2 3" xfId="1678" xr:uid="{00000000-0005-0000-0000-0000BE700000}"/>
    <cellStyle name="Output 2 5 2 2 3 2" xfId="4531" xr:uid="{00000000-0005-0000-0000-0000BF700000}"/>
    <cellStyle name="Output 2 5 2 2 3 2 2" xfId="23503" xr:uid="{00000000-0005-0000-0000-0000C0700000}"/>
    <cellStyle name="Output 2 5 2 2 3 2 3" xfId="34348" xr:uid="{00000000-0005-0000-0000-0000C1700000}"/>
    <cellStyle name="Output 2 5 2 2 3 2 4" xfId="14482" xr:uid="{00000000-0005-0000-0000-0000C2700000}"/>
    <cellStyle name="Output 2 5 2 2 3 3" xfId="7203" xr:uid="{00000000-0005-0000-0000-0000C3700000}"/>
    <cellStyle name="Output 2 5 2 2 3 3 2" xfId="26175" xr:uid="{00000000-0005-0000-0000-0000C4700000}"/>
    <cellStyle name="Output 2 5 2 2 3 3 3" xfId="37020" xr:uid="{00000000-0005-0000-0000-0000C5700000}"/>
    <cellStyle name="Output 2 5 2 2 3 3 4" xfId="16396" xr:uid="{00000000-0005-0000-0000-0000C6700000}"/>
    <cellStyle name="Output 2 5 2 2 3 4" xfId="9862" xr:uid="{00000000-0005-0000-0000-0000C7700000}"/>
    <cellStyle name="Output 2 5 2 2 3 4 2" xfId="28834" xr:uid="{00000000-0005-0000-0000-0000C8700000}"/>
    <cellStyle name="Output 2 5 2 2 3 4 3" xfId="39679" xr:uid="{00000000-0005-0000-0000-0000C9700000}"/>
    <cellStyle name="Output 2 5 2 2 3 4 4" xfId="18300" xr:uid="{00000000-0005-0000-0000-0000CA700000}"/>
    <cellStyle name="Output 2 5 2 2 3 5" xfId="20658" xr:uid="{00000000-0005-0000-0000-0000CB700000}"/>
    <cellStyle name="Output 2 5 2 2 3 6" xfId="31503" xr:uid="{00000000-0005-0000-0000-0000CC700000}"/>
    <cellStyle name="Output 2 5 2 2 3 7" xfId="12446" xr:uid="{00000000-0005-0000-0000-0000CD700000}"/>
    <cellStyle name="Output 2 5 2 2 4" xfId="2082" xr:uid="{00000000-0005-0000-0000-0000CE700000}"/>
    <cellStyle name="Output 2 5 2 2 4 2" xfId="4935" xr:uid="{00000000-0005-0000-0000-0000CF700000}"/>
    <cellStyle name="Output 2 5 2 2 4 2 2" xfId="23907" xr:uid="{00000000-0005-0000-0000-0000D0700000}"/>
    <cellStyle name="Output 2 5 2 2 4 2 3" xfId="34752" xr:uid="{00000000-0005-0000-0000-0000D1700000}"/>
    <cellStyle name="Output 2 5 2 2 4 2 4" xfId="14769" xr:uid="{00000000-0005-0000-0000-0000D2700000}"/>
    <cellStyle name="Output 2 5 2 2 4 3" xfId="7606" xr:uid="{00000000-0005-0000-0000-0000D3700000}"/>
    <cellStyle name="Output 2 5 2 2 4 3 2" xfId="26578" xr:uid="{00000000-0005-0000-0000-0000D4700000}"/>
    <cellStyle name="Output 2 5 2 2 4 3 3" xfId="37423" xr:uid="{00000000-0005-0000-0000-0000D5700000}"/>
    <cellStyle name="Output 2 5 2 2 4 3 4" xfId="16682" xr:uid="{00000000-0005-0000-0000-0000D6700000}"/>
    <cellStyle name="Output 2 5 2 2 4 4" xfId="10265" xr:uid="{00000000-0005-0000-0000-0000D7700000}"/>
    <cellStyle name="Output 2 5 2 2 4 4 2" xfId="29237" xr:uid="{00000000-0005-0000-0000-0000D8700000}"/>
    <cellStyle name="Output 2 5 2 2 4 4 3" xfId="40082" xr:uid="{00000000-0005-0000-0000-0000D9700000}"/>
    <cellStyle name="Output 2 5 2 2 4 4 4" xfId="18586" xr:uid="{00000000-0005-0000-0000-0000DA700000}"/>
    <cellStyle name="Output 2 5 2 2 4 5" xfId="21061" xr:uid="{00000000-0005-0000-0000-0000DB700000}"/>
    <cellStyle name="Output 2 5 2 2 4 6" xfId="31906" xr:uid="{00000000-0005-0000-0000-0000DC700000}"/>
    <cellStyle name="Output 2 5 2 2 4 7" xfId="12732" xr:uid="{00000000-0005-0000-0000-0000DD700000}"/>
    <cellStyle name="Output 2 5 2 2 5" xfId="2472" xr:uid="{00000000-0005-0000-0000-0000DE700000}"/>
    <cellStyle name="Output 2 5 2 2 5 2" xfId="5324" xr:uid="{00000000-0005-0000-0000-0000DF700000}"/>
    <cellStyle name="Output 2 5 2 2 5 2 2" xfId="24296" xr:uid="{00000000-0005-0000-0000-0000E0700000}"/>
    <cellStyle name="Output 2 5 2 2 5 2 3" xfId="35141" xr:uid="{00000000-0005-0000-0000-0000E1700000}"/>
    <cellStyle name="Output 2 5 2 2 5 2 4" xfId="15048" xr:uid="{00000000-0005-0000-0000-0000E2700000}"/>
    <cellStyle name="Output 2 5 2 2 5 3" xfId="7995" xr:uid="{00000000-0005-0000-0000-0000E3700000}"/>
    <cellStyle name="Output 2 5 2 2 5 3 2" xfId="26967" xr:uid="{00000000-0005-0000-0000-0000E4700000}"/>
    <cellStyle name="Output 2 5 2 2 5 3 3" xfId="37812" xr:uid="{00000000-0005-0000-0000-0000E5700000}"/>
    <cellStyle name="Output 2 5 2 2 5 3 4" xfId="16961" xr:uid="{00000000-0005-0000-0000-0000E6700000}"/>
    <cellStyle name="Output 2 5 2 2 5 4" xfId="10654" xr:uid="{00000000-0005-0000-0000-0000E7700000}"/>
    <cellStyle name="Output 2 5 2 2 5 4 2" xfId="29626" xr:uid="{00000000-0005-0000-0000-0000E8700000}"/>
    <cellStyle name="Output 2 5 2 2 5 4 3" xfId="40471" xr:uid="{00000000-0005-0000-0000-0000E9700000}"/>
    <cellStyle name="Output 2 5 2 2 5 4 4" xfId="18865" xr:uid="{00000000-0005-0000-0000-0000EA700000}"/>
    <cellStyle name="Output 2 5 2 2 5 5" xfId="21450" xr:uid="{00000000-0005-0000-0000-0000EB700000}"/>
    <cellStyle name="Output 2 5 2 2 5 6" xfId="32295" xr:uid="{00000000-0005-0000-0000-0000EC700000}"/>
    <cellStyle name="Output 2 5 2 2 5 7" xfId="13011" xr:uid="{00000000-0005-0000-0000-0000ED700000}"/>
    <cellStyle name="Output 2 5 2 2 6" xfId="2858" xr:uid="{00000000-0005-0000-0000-0000EE700000}"/>
    <cellStyle name="Output 2 5 2 2 6 2" xfId="5709" xr:uid="{00000000-0005-0000-0000-0000EF700000}"/>
    <cellStyle name="Output 2 5 2 2 6 2 2" xfId="24681" xr:uid="{00000000-0005-0000-0000-0000F0700000}"/>
    <cellStyle name="Output 2 5 2 2 6 2 3" xfId="35526" xr:uid="{00000000-0005-0000-0000-0000F1700000}"/>
    <cellStyle name="Output 2 5 2 2 6 2 4" xfId="15324" xr:uid="{00000000-0005-0000-0000-0000F2700000}"/>
    <cellStyle name="Output 2 5 2 2 6 3" xfId="8380" xr:uid="{00000000-0005-0000-0000-0000F3700000}"/>
    <cellStyle name="Output 2 5 2 2 6 3 2" xfId="27352" xr:uid="{00000000-0005-0000-0000-0000F4700000}"/>
    <cellStyle name="Output 2 5 2 2 6 3 3" xfId="38197" xr:uid="{00000000-0005-0000-0000-0000F5700000}"/>
    <cellStyle name="Output 2 5 2 2 6 3 4" xfId="17237" xr:uid="{00000000-0005-0000-0000-0000F6700000}"/>
    <cellStyle name="Output 2 5 2 2 6 4" xfId="11039" xr:uid="{00000000-0005-0000-0000-0000F7700000}"/>
    <cellStyle name="Output 2 5 2 2 6 4 2" xfId="30011" xr:uid="{00000000-0005-0000-0000-0000F8700000}"/>
    <cellStyle name="Output 2 5 2 2 6 4 3" xfId="40856" xr:uid="{00000000-0005-0000-0000-0000F9700000}"/>
    <cellStyle name="Output 2 5 2 2 6 4 4" xfId="19141" xr:uid="{00000000-0005-0000-0000-0000FA700000}"/>
    <cellStyle name="Output 2 5 2 2 6 5" xfId="21835" xr:uid="{00000000-0005-0000-0000-0000FB700000}"/>
    <cellStyle name="Output 2 5 2 2 6 6" xfId="32680" xr:uid="{00000000-0005-0000-0000-0000FC700000}"/>
    <cellStyle name="Output 2 5 2 2 6 7" xfId="13287" xr:uid="{00000000-0005-0000-0000-0000FD700000}"/>
    <cellStyle name="Output 2 5 2 2 7" xfId="3547" xr:uid="{00000000-0005-0000-0000-0000FE700000}"/>
    <cellStyle name="Output 2 5 2 2 7 2" xfId="22519" xr:uid="{00000000-0005-0000-0000-0000FF700000}"/>
    <cellStyle name="Output 2 5 2 2 7 3" xfId="33364" xr:uid="{00000000-0005-0000-0000-000000710000}"/>
    <cellStyle name="Output 2 5 2 2 7 4" xfId="13768" xr:uid="{00000000-0005-0000-0000-000001710000}"/>
    <cellStyle name="Output 2 5 2 2 8" xfId="6222" xr:uid="{00000000-0005-0000-0000-000002710000}"/>
    <cellStyle name="Output 2 5 2 2 8 2" xfId="25194" xr:uid="{00000000-0005-0000-0000-000003710000}"/>
    <cellStyle name="Output 2 5 2 2 8 3" xfId="36039" xr:uid="{00000000-0005-0000-0000-000004710000}"/>
    <cellStyle name="Output 2 5 2 2 8 4" xfId="15684" xr:uid="{00000000-0005-0000-0000-000005710000}"/>
    <cellStyle name="Output 2 5 2 2 9" xfId="8881" xr:uid="{00000000-0005-0000-0000-000006710000}"/>
    <cellStyle name="Output 2 5 2 2 9 2" xfId="27853" xr:uid="{00000000-0005-0000-0000-000007710000}"/>
    <cellStyle name="Output 2 5 2 2 9 3" xfId="38698" xr:uid="{00000000-0005-0000-0000-000008710000}"/>
    <cellStyle name="Output 2 5 2 2 9 4" xfId="17588" xr:uid="{00000000-0005-0000-0000-000009710000}"/>
    <cellStyle name="Output 2 5 2 3" xfId="752" xr:uid="{00000000-0005-0000-0000-00000A710000}"/>
    <cellStyle name="Output 2 5 2 3 10" xfId="19737" xr:uid="{00000000-0005-0000-0000-00000B710000}"/>
    <cellStyle name="Output 2 5 2 3 11" xfId="30582" xr:uid="{00000000-0005-0000-0000-00000C710000}"/>
    <cellStyle name="Output 2 5 2 3 12" xfId="11774" xr:uid="{00000000-0005-0000-0000-00000D710000}"/>
    <cellStyle name="Output 2 5 2 3 2" xfId="1339" xr:uid="{00000000-0005-0000-0000-00000E710000}"/>
    <cellStyle name="Output 2 5 2 3 2 2" xfId="4192" xr:uid="{00000000-0005-0000-0000-00000F710000}"/>
    <cellStyle name="Output 2 5 2 3 2 2 2" xfId="23164" xr:uid="{00000000-0005-0000-0000-000010710000}"/>
    <cellStyle name="Output 2 5 2 3 2 2 3" xfId="34009" xr:uid="{00000000-0005-0000-0000-000011710000}"/>
    <cellStyle name="Output 2 5 2 3 2 2 4" xfId="14235" xr:uid="{00000000-0005-0000-0000-000012710000}"/>
    <cellStyle name="Output 2 5 2 3 2 3" xfId="6865" xr:uid="{00000000-0005-0000-0000-000013710000}"/>
    <cellStyle name="Output 2 5 2 3 2 3 2" xfId="25837" xr:uid="{00000000-0005-0000-0000-000014710000}"/>
    <cellStyle name="Output 2 5 2 3 2 3 3" xfId="36682" xr:uid="{00000000-0005-0000-0000-000015710000}"/>
    <cellStyle name="Output 2 5 2 3 2 3 4" xfId="16150" xr:uid="{00000000-0005-0000-0000-000016710000}"/>
    <cellStyle name="Output 2 5 2 3 2 4" xfId="9524" xr:uid="{00000000-0005-0000-0000-000017710000}"/>
    <cellStyle name="Output 2 5 2 3 2 4 2" xfId="28496" xr:uid="{00000000-0005-0000-0000-000018710000}"/>
    <cellStyle name="Output 2 5 2 3 2 4 3" xfId="39341" xr:uid="{00000000-0005-0000-0000-000019710000}"/>
    <cellStyle name="Output 2 5 2 3 2 4 4" xfId="18054" xr:uid="{00000000-0005-0000-0000-00001A710000}"/>
    <cellStyle name="Output 2 5 2 3 2 5" xfId="20320" xr:uid="{00000000-0005-0000-0000-00001B710000}"/>
    <cellStyle name="Output 2 5 2 3 2 6" xfId="31165" xr:uid="{00000000-0005-0000-0000-00001C710000}"/>
    <cellStyle name="Output 2 5 2 3 2 7" xfId="12200" xr:uid="{00000000-0005-0000-0000-00001D710000}"/>
    <cellStyle name="Output 2 5 2 3 3" xfId="1738" xr:uid="{00000000-0005-0000-0000-00001E710000}"/>
    <cellStyle name="Output 2 5 2 3 3 2" xfId="4591" xr:uid="{00000000-0005-0000-0000-00001F710000}"/>
    <cellStyle name="Output 2 5 2 3 3 2 2" xfId="23563" xr:uid="{00000000-0005-0000-0000-000020710000}"/>
    <cellStyle name="Output 2 5 2 3 3 2 3" xfId="34408" xr:uid="{00000000-0005-0000-0000-000021710000}"/>
    <cellStyle name="Output 2 5 2 3 3 2 4" xfId="14522" xr:uid="{00000000-0005-0000-0000-000022710000}"/>
    <cellStyle name="Output 2 5 2 3 3 3" xfId="7263" xr:uid="{00000000-0005-0000-0000-000023710000}"/>
    <cellStyle name="Output 2 5 2 3 3 3 2" xfId="26235" xr:uid="{00000000-0005-0000-0000-000024710000}"/>
    <cellStyle name="Output 2 5 2 3 3 3 3" xfId="37080" xr:uid="{00000000-0005-0000-0000-000025710000}"/>
    <cellStyle name="Output 2 5 2 3 3 3 4" xfId="16436" xr:uid="{00000000-0005-0000-0000-000026710000}"/>
    <cellStyle name="Output 2 5 2 3 3 4" xfId="9922" xr:uid="{00000000-0005-0000-0000-000027710000}"/>
    <cellStyle name="Output 2 5 2 3 3 4 2" xfId="28894" xr:uid="{00000000-0005-0000-0000-000028710000}"/>
    <cellStyle name="Output 2 5 2 3 3 4 3" xfId="39739" xr:uid="{00000000-0005-0000-0000-000029710000}"/>
    <cellStyle name="Output 2 5 2 3 3 4 4" xfId="18340" xr:uid="{00000000-0005-0000-0000-00002A710000}"/>
    <cellStyle name="Output 2 5 2 3 3 5" xfId="20718" xr:uid="{00000000-0005-0000-0000-00002B710000}"/>
    <cellStyle name="Output 2 5 2 3 3 6" xfId="31563" xr:uid="{00000000-0005-0000-0000-00002C710000}"/>
    <cellStyle name="Output 2 5 2 3 3 7" xfId="12486" xr:uid="{00000000-0005-0000-0000-00002D710000}"/>
    <cellStyle name="Output 2 5 2 3 4" xfId="2142" xr:uid="{00000000-0005-0000-0000-00002E710000}"/>
    <cellStyle name="Output 2 5 2 3 4 2" xfId="4995" xr:uid="{00000000-0005-0000-0000-00002F710000}"/>
    <cellStyle name="Output 2 5 2 3 4 2 2" xfId="23967" xr:uid="{00000000-0005-0000-0000-000030710000}"/>
    <cellStyle name="Output 2 5 2 3 4 2 3" xfId="34812" xr:uid="{00000000-0005-0000-0000-000031710000}"/>
    <cellStyle name="Output 2 5 2 3 4 2 4" xfId="14809" xr:uid="{00000000-0005-0000-0000-000032710000}"/>
    <cellStyle name="Output 2 5 2 3 4 3" xfId="7666" xr:uid="{00000000-0005-0000-0000-000033710000}"/>
    <cellStyle name="Output 2 5 2 3 4 3 2" xfId="26638" xr:uid="{00000000-0005-0000-0000-000034710000}"/>
    <cellStyle name="Output 2 5 2 3 4 3 3" xfId="37483" xr:uid="{00000000-0005-0000-0000-000035710000}"/>
    <cellStyle name="Output 2 5 2 3 4 3 4" xfId="16722" xr:uid="{00000000-0005-0000-0000-000036710000}"/>
    <cellStyle name="Output 2 5 2 3 4 4" xfId="10325" xr:uid="{00000000-0005-0000-0000-000037710000}"/>
    <cellStyle name="Output 2 5 2 3 4 4 2" xfId="29297" xr:uid="{00000000-0005-0000-0000-000038710000}"/>
    <cellStyle name="Output 2 5 2 3 4 4 3" xfId="40142" xr:uid="{00000000-0005-0000-0000-000039710000}"/>
    <cellStyle name="Output 2 5 2 3 4 4 4" xfId="18626" xr:uid="{00000000-0005-0000-0000-00003A710000}"/>
    <cellStyle name="Output 2 5 2 3 4 5" xfId="21121" xr:uid="{00000000-0005-0000-0000-00003B710000}"/>
    <cellStyle name="Output 2 5 2 3 4 6" xfId="31966" xr:uid="{00000000-0005-0000-0000-00003C710000}"/>
    <cellStyle name="Output 2 5 2 3 4 7" xfId="12772" xr:uid="{00000000-0005-0000-0000-00003D710000}"/>
    <cellStyle name="Output 2 5 2 3 5" xfId="2532" xr:uid="{00000000-0005-0000-0000-00003E710000}"/>
    <cellStyle name="Output 2 5 2 3 5 2" xfId="5384" xr:uid="{00000000-0005-0000-0000-00003F710000}"/>
    <cellStyle name="Output 2 5 2 3 5 2 2" xfId="24356" xr:uid="{00000000-0005-0000-0000-000040710000}"/>
    <cellStyle name="Output 2 5 2 3 5 2 3" xfId="35201" xr:uid="{00000000-0005-0000-0000-000041710000}"/>
    <cellStyle name="Output 2 5 2 3 5 2 4" xfId="15088" xr:uid="{00000000-0005-0000-0000-000042710000}"/>
    <cellStyle name="Output 2 5 2 3 5 3" xfId="8055" xr:uid="{00000000-0005-0000-0000-000043710000}"/>
    <cellStyle name="Output 2 5 2 3 5 3 2" xfId="27027" xr:uid="{00000000-0005-0000-0000-000044710000}"/>
    <cellStyle name="Output 2 5 2 3 5 3 3" xfId="37872" xr:uid="{00000000-0005-0000-0000-000045710000}"/>
    <cellStyle name="Output 2 5 2 3 5 3 4" xfId="17001" xr:uid="{00000000-0005-0000-0000-000046710000}"/>
    <cellStyle name="Output 2 5 2 3 5 4" xfId="10714" xr:uid="{00000000-0005-0000-0000-000047710000}"/>
    <cellStyle name="Output 2 5 2 3 5 4 2" xfId="29686" xr:uid="{00000000-0005-0000-0000-000048710000}"/>
    <cellStyle name="Output 2 5 2 3 5 4 3" xfId="40531" xr:uid="{00000000-0005-0000-0000-000049710000}"/>
    <cellStyle name="Output 2 5 2 3 5 4 4" xfId="18905" xr:uid="{00000000-0005-0000-0000-00004A710000}"/>
    <cellStyle name="Output 2 5 2 3 5 5" xfId="21510" xr:uid="{00000000-0005-0000-0000-00004B710000}"/>
    <cellStyle name="Output 2 5 2 3 5 6" xfId="32355" xr:uid="{00000000-0005-0000-0000-00004C710000}"/>
    <cellStyle name="Output 2 5 2 3 5 7" xfId="13051" xr:uid="{00000000-0005-0000-0000-00004D710000}"/>
    <cellStyle name="Output 2 5 2 3 6" xfId="2918" xr:uid="{00000000-0005-0000-0000-00004E710000}"/>
    <cellStyle name="Output 2 5 2 3 6 2" xfId="5769" xr:uid="{00000000-0005-0000-0000-00004F710000}"/>
    <cellStyle name="Output 2 5 2 3 6 2 2" xfId="24741" xr:uid="{00000000-0005-0000-0000-000050710000}"/>
    <cellStyle name="Output 2 5 2 3 6 2 3" xfId="35586" xr:uid="{00000000-0005-0000-0000-000051710000}"/>
    <cellStyle name="Output 2 5 2 3 6 2 4" xfId="15364" xr:uid="{00000000-0005-0000-0000-000052710000}"/>
    <cellStyle name="Output 2 5 2 3 6 3" xfId="8440" xr:uid="{00000000-0005-0000-0000-000053710000}"/>
    <cellStyle name="Output 2 5 2 3 6 3 2" xfId="27412" xr:uid="{00000000-0005-0000-0000-000054710000}"/>
    <cellStyle name="Output 2 5 2 3 6 3 3" xfId="38257" xr:uid="{00000000-0005-0000-0000-000055710000}"/>
    <cellStyle name="Output 2 5 2 3 6 3 4" xfId="17277" xr:uid="{00000000-0005-0000-0000-000056710000}"/>
    <cellStyle name="Output 2 5 2 3 6 4" xfId="11099" xr:uid="{00000000-0005-0000-0000-000057710000}"/>
    <cellStyle name="Output 2 5 2 3 6 4 2" xfId="30071" xr:uid="{00000000-0005-0000-0000-000058710000}"/>
    <cellStyle name="Output 2 5 2 3 6 4 3" xfId="40916" xr:uid="{00000000-0005-0000-0000-000059710000}"/>
    <cellStyle name="Output 2 5 2 3 6 4 4" xfId="19181" xr:uid="{00000000-0005-0000-0000-00005A710000}"/>
    <cellStyle name="Output 2 5 2 3 6 5" xfId="21895" xr:uid="{00000000-0005-0000-0000-00005B710000}"/>
    <cellStyle name="Output 2 5 2 3 6 6" xfId="32740" xr:uid="{00000000-0005-0000-0000-00005C710000}"/>
    <cellStyle name="Output 2 5 2 3 6 7" xfId="13327" xr:uid="{00000000-0005-0000-0000-00005D710000}"/>
    <cellStyle name="Output 2 5 2 3 7" xfId="3607" xr:uid="{00000000-0005-0000-0000-00005E710000}"/>
    <cellStyle name="Output 2 5 2 3 7 2" xfId="22579" xr:uid="{00000000-0005-0000-0000-00005F710000}"/>
    <cellStyle name="Output 2 5 2 3 7 3" xfId="33424" xr:uid="{00000000-0005-0000-0000-000060710000}"/>
    <cellStyle name="Output 2 5 2 3 7 4" xfId="13808" xr:uid="{00000000-0005-0000-0000-000061710000}"/>
    <cellStyle name="Output 2 5 2 3 8" xfId="6282" xr:uid="{00000000-0005-0000-0000-000062710000}"/>
    <cellStyle name="Output 2 5 2 3 8 2" xfId="25254" xr:uid="{00000000-0005-0000-0000-000063710000}"/>
    <cellStyle name="Output 2 5 2 3 8 3" xfId="36099" xr:uid="{00000000-0005-0000-0000-000064710000}"/>
    <cellStyle name="Output 2 5 2 3 8 4" xfId="15724" xr:uid="{00000000-0005-0000-0000-000065710000}"/>
    <cellStyle name="Output 2 5 2 3 9" xfId="8941" xr:uid="{00000000-0005-0000-0000-000066710000}"/>
    <cellStyle name="Output 2 5 2 3 9 2" xfId="27913" xr:uid="{00000000-0005-0000-0000-000067710000}"/>
    <cellStyle name="Output 2 5 2 3 9 3" xfId="38758" xr:uid="{00000000-0005-0000-0000-000068710000}"/>
    <cellStyle name="Output 2 5 2 3 9 4" xfId="17628" xr:uid="{00000000-0005-0000-0000-000069710000}"/>
    <cellStyle name="Output 2 5 2 4" xfId="812" xr:uid="{00000000-0005-0000-0000-00006A710000}"/>
    <cellStyle name="Output 2 5 2 4 10" xfId="19797" xr:uid="{00000000-0005-0000-0000-00006B710000}"/>
    <cellStyle name="Output 2 5 2 4 11" xfId="30642" xr:uid="{00000000-0005-0000-0000-00006C710000}"/>
    <cellStyle name="Output 2 5 2 4 12" xfId="11814" xr:uid="{00000000-0005-0000-0000-00006D710000}"/>
    <cellStyle name="Output 2 5 2 4 2" xfId="1399" xr:uid="{00000000-0005-0000-0000-00006E710000}"/>
    <cellStyle name="Output 2 5 2 4 2 2" xfId="4252" xr:uid="{00000000-0005-0000-0000-00006F710000}"/>
    <cellStyle name="Output 2 5 2 4 2 2 2" xfId="23224" xr:uid="{00000000-0005-0000-0000-000070710000}"/>
    <cellStyle name="Output 2 5 2 4 2 2 3" xfId="34069" xr:uid="{00000000-0005-0000-0000-000071710000}"/>
    <cellStyle name="Output 2 5 2 4 2 2 4" xfId="14275" xr:uid="{00000000-0005-0000-0000-000072710000}"/>
    <cellStyle name="Output 2 5 2 4 2 3" xfId="6925" xr:uid="{00000000-0005-0000-0000-000073710000}"/>
    <cellStyle name="Output 2 5 2 4 2 3 2" xfId="25897" xr:uid="{00000000-0005-0000-0000-000074710000}"/>
    <cellStyle name="Output 2 5 2 4 2 3 3" xfId="36742" xr:uid="{00000000-0005-0000-0000-000075710000}"/>
    <cellStyle name="Output 2 5 2 4 2 3 4" xfId="16190" xr:uid="{00000000-0005-0000-0000-000076710000}"/>
    <cellStyle name="Output 2 5 2 4 2 4" xfId="9584" xr:uid="{00000000-0005-0000-0000-000077710000}"/>
    <cellStyle name="Output 2 5 2 4 2 4 2" xfId="28556" xr:uid="{00000000-0005-0000-0000-000078710000}"/>
    <cellStyle name="Output 2 5 2 4 2 4 3" xfId="39401" xr:uid="{00000000-0005-0000-0000-000079710000}"/>
    <cellStyle name="Output 2 5 2 4 2 4 4" xfId="18094" xr:uid="{00000000-0005-0000-0000-00007A710000}"/>
    <cellStyle name="Output 2 5 2 4 2 5" xfId="20380" xr:uid="{00000000-0005-0000-0000-00007B710000}"/>
    <cellStyle name="Output 2 5 2 4 2 6" xfId="31225" xr:uid="{00000000-0005-0000-0000-00007C710000}"/>
    <cellStyle name="Output 2 5 2 4 2 7" xfId="12240" xr:uid="{00000000-0005-0000-0000-00007D710000}"/>
    <cellStyle name="Output 2 5 2 4 3" xfId="1798" xr:uid="{00000000-0005-0000-0000-00007E710000}"/>
    <cellStyle name="Output 2 5 2 4 3 2" xfId="4651" xr:uid="{00000000-0005-0000-0000-00007F710000}"/>
    <cellStyle name="Output 2 5 2 4 3 2 2" xfId="23623" xr:uid="{00000000-0005-0000-0000-000080710000}"/>
    <cellStyle name="Output 2 5 2 4 3 2 3" xfId="34468" xr:uid="{00000000-0005-0000-0000-000081710000}"/>
    <cellStyle name="Output 2 5 2 4 3 2 4" xfId="14562" xr:uid="{00000000-0005-0000-0000-000082710000}"/>
    <cellStyle name="Output 2 5 2 4 3 3" xfId="7323" xr:uid="{00000000-0005-0000-0000-000083710000}"/>
    <cellStyle name="Output 2 5 2 4 3 3 2" xfId="26295" xr:uid="{00000000-0005-0000-0000-000084710000}"/>
    <cellStyle name="Output 2 5 2 4 3 3 3" xfId="37140" xr:uid="{00000000-0005-0000-0000-000085710000}"/>
    <cellStyle name="Output 2 5 2 4 3 3 4" xfId="16476" xr:uid="{00000000-0005-0000-0000-000086710000}"/>
    <cellStyle name="Output 2 5 2 4 3 4" xfId="9982" xr:uid="{00000000-0005-0000-0000-000087710000}"/>
    <cellStyle name="Output 2 5 2 4 3 4 2" xfId="28954" xr:uid="{00000000-0005-0000-0000-000088710000}"/>
    <cellStyle name="Output 2 5 2 4 3 4 3" xfId="39799" xr:uid="{00000000-0005-0000-0000-000089710000}"/>
    <cellStyle name="Output 2 5 2 4 3 4 4" xfId="18380" xr:uid="{00000000-0005-0000-0000-00008A710000}"/>
    <cellStyle name="Output 2 5 2 4 3 5" xfId="20778" xr:uid="{00000000-0005-0000-0000-00008B710000}"/>
    <cellStyle name="Output 2 5 2 4 3 6" xfId="31623" xr:uid="{00000000-0005-0000-0000-00008C710000}"/>
    <cellStyle name="Output 2 5 2 4 3 7" xfId="12526" xr:uid="{00000000-0005-0000-0000-00008D710000}"/>
    <cellStyle name="Output 2 5 2 4 4" xfId="2202" xr:uid="{00000000-0005-0000-0000-00008E710000}"/>
    <cellStyle name="Output 2 5 2 4 4 2" xfId="5055" xr:uid="{00000000-0005-0000-0000-00008F710000}"/>
    <cellStyle name="Output 2 5 2 4 4 2 2" xfId="24027" xr:uid="{00000000-0005-0000-0000-000090710000}"/>
    <cellStyle name="Output 2 5 2 4 4 2 3" xfId="34872" xr:uid="{00000000-0005-0000-0000-000091710000}"/>
    <cellStyle name="Output 2 5 2 4 4 2 4" xfId="14849" xr:uid="{00000000-0005-0000-0000-000092710000}"/>
    <cellStyle name="Output 2 5 2 4 4 3" xfId="7726" xr:uid="{00000000-0005-0000-0000-000093710000}"/>
    <cellStyle name="Output 2 5 2 4 4 3 2" xfId="26698" xr:uid="{00000000-0005-0000-0000-000094710000}"/>
    <cellStyle name="Output 2 5 2 4 4 3 3" xfId="37543" xr:uid="{00000000-0005-0000-0000-000095710000}"/>
    <cellStyle name="Output 2 5 2 4 4 3 4" xfId="16762" xr:uid="{00000000-0005-0000-0000-000096710000}"/>
    <cellStyle name="Output 2 5 2 4 4 4" xfId="10385" xr:uid="{00000000-0005-0000-0000-000097710000}"/>
    <cellStyle name="Output 2 5 2 4 4 4 2" xfId="29357" xr:uid="{00000000-0005-0000-0000-000098710000}"/>
    <cellStyle name="Output 2 5 2 4 4 4 3" xfId="40202" xr:uid="{00000000-0005-0000-0000-000099710000}"/>
    <cellStyle name="Output 2 5 2 4 4 4 4" xfId="18666" xr:uid="{00000000-0005-0000-0000-00009A710000}"/>
    <cellStyle name="Output 2 5 2 4 4 5" xfId="21181" xr:uid="{00000000-0005-0000-0000-00009B710000}"/>
    <cellStyle name="Output 2 5 2 4 4 6" xfId="32026" xr:uid="{00000000-0005-0000-0000-00009C710000}"/>
    <cellStyle name="Output 2 5 2 4 4 7" xfId="12812" xr:uid="{00000000-0005-0000-0000-00009D710000}"/>
    <cellStyle name="Output 2 5 2 4 5" xfId="2592" xr:uid="{00000000-0005-0000-0000-00009E710000}"/>
    <cellStyle name="Output 2 5 2 4 5 2" xfId="5444" xr:uid="{00000000-0005-0000-0000-00009F710000}"/>
    <cellStyle name="Output 2 5 2 4 5 2 2" xfId="24416" xr:uid="{00000000-0005-0000-0000-0000A0710000}"/>
    <cellStyle name="Output 2 5 2 4 5 2 3" xfId="35261" xr:uid="{00000000-0005-0000-0000-0000A1710000}"/>
    <cellStyle name="Output 2 5 2 4 5 2 4" xfId="15128" xr:uid="{00000000-0005-0000-0000-0000A2710000}"/>
    <cellStyle name="Output 2 5 2 4 5 3" xfId="8115" xr:uid="{00000000-0005-0000-0000-0000A3710000}"/>
    <cellStyle name="Output 2 5 2 4 5 3 2" xfId="27087" xr:uid="{00000000-0005-0000-0000-0000A4710000}"/>
    <cellStyle name="Output 2 5 2 4 5 3 3" xfId="37932" xr:uid="{00000000-0005-0000-0000-0000A5710000}"/>
    <cellStyle name="Output 2 5 2 4 5 3 4" xfId="17041" xr:uid="{00000000-0005-0000-0000-0000A6710000}"/>
    <cellStyle name="Output 2 5 2 4 5 4" xfId="10774" xr:uid="{00000000-0005-0000-0000-0000A7710000}"/>
    <cellStyle name="Output 2 5 2 4 5 4 2" xfId="29746" xr:uid="{00000000-0005-0000-0000-0000A8710000}"/>
    <cellStyle name="Output 2 5 2 4 5 4 3" xfId="40591" xr:uid="{00000000-0005-0000-0000-0000A9710000}"/>
    <cellStyle name="Output 2 5 2 4 5 4 4" xfId="18945" xr:uid="{00000000-0005-0000-0000-0000AA710000}"/>
    <cellStyle name="Output 2 5 2 4 5 5" xfId="21570" xr:uid="{00000000-0005-0000-0000-0000AB710000}"/>
    <cellStyle name="Output 2 5 2 4 5 6" xfId="32415" xr:uid="{00000000-0005-0000-0000-0000AC710000}"/>
    <cellStyle name="Output 2 5 2 4 5 7" xfId="13091" xr:uid="{00000000-0005-0000-0000-0000AD710000}"/>
    <cellStyle name="Output 2 5 2 4 6" xfId="2978" xr:uid="{00000000-0005-0000-0000-0000AE710000}"/>
    <cellStyle name="Output 2 5 2 4 6 2" xfId="5829" xr:uid="{00000000-0005-0000-0000-0000AF710000}"/>
    <cellStyle name="Output 2 5 2 4 6 2 2" xfId="24801" xr:uid="{00000000-0005-0000-0000-0000B0710000}"/>
    <cellStyle name="Output 2 5 2 4 6 2 3" xfId="35646" xr:uid="{00000000-0005-0000-0000-0000B1710000}"/>
    <cellStyle name="Output 2 5 2 4 6 2 4" xfId="15404" xr:uid="{00000000-0005-0000-0000-0000B2710000}"/>
    <cellStyle name="Output 2 5 2 4 6 3" xfId="8500" xr:uid="{00000000-0005-0000-0000-0000B3710000}"/>
    <cellStyle name="Output 2 5 2 4 6 3 2" xfId="27472" xr:uid="{00000000-0005-0000-0000-0000B4710000}"/>
    <cellStyle name="Output 2 5 2 4 6 3 3" xfId="38317" xr:uid="{00000000-0005-0000-0000-0000B5710000}"/>
    <cellStyle name="Output 2 5 2 4 6 3 4" xfId="17317" xr:uid="{00000000-0005-0000-0000-0000B6710000}"/>
    <cellStyle name="Output 2 5 2 4 6 4" xfId="11159" xr:uid="{00000000-0005-0000-0000-0000B7710000}"/>
    <cellStyle name="Output 2 5 2 4 6 4 2" xfId="30131" xr:uid="{00000000-0005-0000-0000-0000B8710000}"/>
    <cellStyle name="Output 2 5 2 4 6 4 3" xfId="40976" xr:uid="{00000000-0005-0000-0000-0000B9710000}"/>
    <cellStyle name="Output 2 5 2 4 6 4 4" xfId="19221" xr:uid="{00000000-0005-0000-0000-0000BA710000}"/>
    <cellStyle name="Output 2 5 2 4 6 5" xfId="21955" xr:uid="{00000000-0005-0000-0000-0000BB710000}"/>
    <cellStyle name="Output 2 5 2 4 6 6" xfId="32800" xr:uid="{00000000-0005-0000-0000-0000BC710000}"/>
    <cellStyle name="Output 2 5 2 4 6 7" xfId="13367" xr:uid="{00000000-0005-0000-0000-0000BD710000}"/>
    <cellStyle name="Output 2 5 2 4 7" xfId="3667" xr:uid="{00000000-0005-0000-0000-0000BE710000}"/>
    <cellStyle name="Output 2 5 2 4 7 2" xfId="22639" xr:uid="{00000000-0005-0000-0000-0000BF710000}"/>
    <cellStyle name="Output 2 5 2 4 7 3" xfId="33484" xr:uid="{00000000-0005-0000-0000-0000C0710000}"/>
    <cellStyle name="Output 2 5 2 4 7 4" xfId="13848" xr:uid="{00000000-0005-0000-0000-0000C1710000}"/>
    <cellStyle name="Output 2 5 2 4 8" xfId="6342" xr:uid="{00000000-0005-0000-0000-0000C2710000}"/>
    <cellStyle name="Output 2 5 2 4 8 2" xfId="25314" xr:uid="{00000000-0005-0000-0000-0000C3710000}"/>
    <cellStyle name="Output 2 5 2 4 8 3" xfId="36159" xr:uid="{00000000-0005-0000-0000-0000C4710000}"/>
    <cellStyle name="Output 2 5 2 4 8 4" xfId="15764" xr:uid="{00000000-0005-0000-0000-0000C5710000}"/>
    <cellStyle name="Output 2 5 2 4 9" xfId="9001" xr:uid="{00000000-0005-0000-0000-0000C6710000}"/>
    <cellStyle name="Output 2 5 2 4 9 2" xfId="27973" xr:uid="{00000000-0005-0000-0000-0000C7710000}"/>
    <cellStyle name="Output 2 5 2 4 9 3" xfId="38818" xr:uid="{00000000-0005-0000-0000-0000C8710000}"/>
    <cellStyle name="Output 2 5 2 4 9 4" xfId="17668" xr:uid="{00000000-0005-0000-0000-0000C9710000}"/>
    <cellStyle name="Output 2 5 2 5" xfId="871" xr:uid="{00000000-0005-0000-0000-0000CA710000}"/>
    <cellStyle name="Output 2 5 2 5 10" xfId="19856" xr:uid="{00000000-0005-0000-0000-0000CB710000}"/>
    <cellStyle name="Output 2 5 2 5 11" xfId="30701" xr:uid="{00000000-0005-0000-0000-0000CC710000}"/>
    <cellStyle name="Output 2 5 2 5 12" xfId="11853" xr:uid="{00000000-0005-0000-0000-0000CD710000}"/>
    <cellStyle name="Output 2 5 2 5 2" xfId="1458" xr:uid="{00000000-0005-0000-0000-0000CE710000}"/>
    <cellStyle name="Output 2 5 2 5 2 2" xfId="4311" xr:uid="{00000000-0005-0000-0000-0000CF710000}"/>
    <cellStyle name="Output 2 5 2 5 2 2 2" xfId="23283" xr:uid="{00000000-0005-0000-0000-0000D0710000}"/>
    <cellStyle name="Output 2 5 2 5 2 2 3" xfId="34128" xr:uid="{00000000-0005-0000-0000-0000D1710000}"/>
    <cellStyle name="Output 2 5 2 5 2 2 4" xfId="14314" xr:uid="{00000000-0005-0000-0000-0000D2710000}"/>
    <cellStyle name="Output 2 5 2 5 2 3" xfId="6984" xr:uid="{00000000-0005-0000-0000-0000D3710000}"/>
    <cellStyle name="Output 2 5 2 5 2 3 2" xfId="25956" xr:uid="{00000000-0005-0000-0000-0000D4710000}"/>
    <cellStyle name="Output 2 5 2 5 2 3 3" xfId="36801" xr:uid="{00000000-0005-0000-0000-0000D5710000}"/>
    <cellStyle name="Output 2 5 2 5 2 3 4" xfId="16229" xr:uid="{00000000-0005-0000-0000-0000D6710000}"/>
    <cellStyle name="Output 2 5 2 5 2 4" xfId="9643" xr:uid="{00000000-0005-0000-0000-0000D7710000}"/>
    <cellStyle name="Output 2 5 2 5 2 4 2" xfId="28615" xr:uid="{00000000-0005-0000-0000-0000D8710000}"/>
    <cellStyle name="Output 2 5 2 5 2 4 3" xfId="39460" xr:uid="{00000000-0005-0000-0000-0000D9710000}"/>
    <cellStyle name="Output 2 5 2 5 2 4 4" xfId="18133" xr:uid="{00000000-0005-0000-0000-0000DA710000}"/>
    <cellStyle name="Output 2 5 2 5 2 5" xfId="20439" xr:uid="{00000000-0005-0000-0000-0000DB710000}"/>
    <cellStyle name="Output 2 5 2 5 2 6" xfId="31284" xr:uid="{00000000-0005-0000-0000-0000DC710000}"/>
    <cellStyle name="Output 2 5 2 5 2 7" xfId="12279" xr:uid="{00000000-0005-0000-0000-0000DD710000}"/>
    <cellStyle name="Output 2 5 2 5 3" xfId="1857" xr:uid="{00000000-0005-0000-0000-0000DE710000}"/>
    <cellStyle name="Output 2 5 2 5 3 2" xfId="4710" xr:uid="{00000000-0005-0000-0000-0000DF710000}"/>
    <cellStyle name="Output 2 5 2 5 3 2 2" xfId="23682" xr:uid="{00000000-0005-0000-0000-0000E0710000}"/>
    <cellStyle name="Output 2 5 2 5 3 2 3" xfId="34527" xr:uid="{00000000-0005-0000-0000-0000E1710000}"/>
    <cellStyle name="Output 2 5 2 5 3 2 4" xfId="14601" xr:uid="{00000000-0005-0000-0000-0000E2710000}"/>
    <cellStyle name="Output 2 5 2 5 3 3" xfId="7382" xr:uid="{00000000-0005-0000-0000-0000E3710000}"/>
    <cellStyle name="Output 2 5 2 5 3 3 2" xfId="26354" xr:uid="{00000000-0005-0000-0000-0000E4710000}"/>
    <cellStyle name="Output 2 5 2 5 3 3 3" xfId="37199" xr:uid="{00000000-0005-0000-0000-0000E5710000}"/>
    <cellStyle name="Output 2 5 2 5 3 3 4" xfId="16515" xr:uid="{00000000-0005-0000-0000-0000E6710000}"/>
    <cellStyle name="Output 2 5 2 5 3 4" xfId="10041" xr:uid="{00000000-0005-0000-0000-0000E7710000}"/>
    <cellStyle name="Output 2 5 2 5 3 4 2" xfId="29013" xr:uid="{00000000-0005-0000-0000-0000E8710000}"/>
    <cellStyle name="Output 2 5 2 5 3 4 3" xfId="39858" xr:uid="{00000000-0005-0000-0000-0000E9710000}"/>
    <cellStyle name="Output 2 5 2 5 3 4 4" xfId="18419" xr:uid="{00000000-0005-0000-0000-0000EA710000}"/>
    <cellStyle name="Output 2 5 2 5 3 5" xfId="20837" xr:uid="{00000000-0005-0000-0000-0000EB710000}"/>
    <cellStyle name="Output 2 5 2 5 3 6" xfId="31682" xr:uid="{00000000-0005-0000-0000-0000EC710000}"/>
    <cellStyle name="Output 2 5 2 5 3 7" xfId="12565" xr:uid="{00000000-0005-0000-0000-0000ED710000}"/>
    <cellStyle name="Output 2 5 2 5 4" xfId="2261" xr:uid="{00000000-0005-0000-0000-0000EE710000}"/>
    <cellStyle name="Output 2 5 2 5 4 2" xfId="5114" xr:uid="{00000000-0005-0000-0000-0000EF710000}"/>
    <cellStyle name="Output 2 5 2 5 4 2 2" xfId="24086" xr:uid="{00000000-0005-0000-0000-0000F0710000}"/>
    <cellStyle name="Output 2 5 2 5 4 2 3" xfId="34931" xr:uid="{00000000-0005-0000-0000-0000F1710000}"/>
    <cellStyle name="Output 2 5 2 5 4 2 4" xfId="14888" xr:uid="{00000000-0005-0000-0000-0000F2710000}"/>
    <cellStyle name="Output 2 5 2 5 4 3" xfId="7785" xr:uid="{00000000-0005-0000-0000-0000F3710000}"/>
    <cellStyle name="Output 2 5 2 5 4 3 2" xfId="26757" xr:uid="{00000000-0005-0000-0000-0000F4710000}"/>
    <cellStyle name="Output 2 5 2 5 4 3 3" xfId="37602" xr:uid="{00000000-0005-0000-0000-0000F5710000}"/>
    <cellStyle name="Output 2 5 2 5 4 3 4" xfId="16801" xr:uid="{00000000-0005-0000-0000-0000F6710000}"/>
    <cellStyle name="Output 2 5 2 5 4 4" xfId="10444" xr:uid="{00000000-0005-0000-0000-0000F7710000}"/>
    <cellStyle name="Output 2 5 2 5 4 4 2" xfId="29416" xr:uid="{00000000-0005-0000-0000-0000F8710000}"/>
    <cellStyle name="Output 2 5 2 5 4 4 3" xfId="40261" xr:uid="{00000000-0005-0000-0000-0000F9710000}"/>
    <cellStyle name="Output 2 5 2 5 4 4 4" xfId="18705" xr:uid="{00000000-0005-0000-0000-0000FA710000}"/>
    <cellStyle name="Output 2 5 2 5 4 5" xfId="21240" xr:uid="{00000000-0005-0000-0000-0000FB710000}"/>
    <cellStyle name="Output 2 5 2 5 4 6" xfId="32085" xr:uid="{00000000-0005-0000-0000-0000FC710000}"/>
    <cellStyle name="Output 2 5 2 5 4 7" xfId="12851" xr:uid="{00000000-0005-0000-0000-0000FD710000}"/>
    <cellStyle name="Output 2 5 2 5 5" xfId="2651" xr:uid="{00000000-0005-0000-0000-0000FE710000}"/>
    <cellStyle name="Output 2 5 2 5 5 2" xfId="5503" xr:uid="{00000000-0005-0000-0000-0000FF710000}"/>
    <cellStyle name="Output 2 5 2 5 5 2 2" xfId="24475" xr:uid="{00000000-0005-0000-0000-000000720000}"/>
    <cellStyle name="Output 2 5 2 5 5 2 3" xfId="35320" xr:uid="{00000000-0005-0000-0000-000001720000}"/>
    <cellStyle name="Output 2 5 2 5 5 2 4" xfId="15167" xr:uid="{00000000-0005-0000-0000-000002720000}"/>
    <cellStyle name="Output 2 5 2 5 5 3" xfId="8174" xr:uid="{00000000-0005-0000-0000-000003720000}"/>
    <cellStyle name="Output 2 5 2 5 5 3 2" xfId="27146" xr:uid="{00000000-0005-0000-0000-000004720000}"/>
    <cellStyle name="Output 2 5 2 5 5 3 3" xfId="37991" xr:uid="{00000000-0005-0000-0000-000005720000}"/>
    <cellStyle name="Output 2 5 2 5 5 3 4" xfId="17080" xr:uid="{00000000-0005-0000-0000-000006720000}"/>
    <cellStyle name="Output 2 5 2 5 5 4" xfId="10833" xr:uid="{00000000-0005-0000-0000-000007720000}"/>
    <cellStyle name="Output 2 5 2 5 5 4 2" xfId="29805" xr:uid="{00000000-0005-0000-0000-000008720000}"/>
    <cellStyle name="Output 2 5 2 5 5 4 3" xfId="40650" xr:uid="{00000000-0005-0000-0000-000009720000}"/>
    <cellStyle name="Output 2 5 2 5 5 4 4" xfId="18984" xr:uid="{00000000-0005-0000-0000-00000A720000}"/>
    <cellStyle name="Output 2 5 2 5 5 5" xfId="21629" xr:uid="{00000000-0005-0000-0000-00000B720000}"/>
    <cellStyle name="Output 2 5 2 5 5 6" xfId="32474" xr:uid="{00000000-0005-0000-0000-00000C720000}"/>
    <cellStyle name="Output 2 5 2 5 5 7" xfId="13130" xr:uid="{00000000-0005-0000-0000-00000D720000}"/>
    <cellStyle name="Output 2 5 2 5 6" xfId="3037" xr:uid="{00000000-0005-0000-0000-00000E720000}"/>
    <cellStyle name="Output 2 5 2 5 6 2" xfId="5888" xr:uid="{00000000-0005-0000-0000-00000F720000}"/>
    <cellStyle name="Output 2 5 2 5 6 2 2" xfId="24860" xr:uid="{00000000-0005-0000-0000-000010720000}"/>
    <cellStyle name="Output 2 5 2 5 6 2 3" xfId="35705" xr:uid="{00000000-0005-0000-0000-000011720000}"/>
    <cellStyle name="Output 2 5 2 5 6 2 4" xfId="15443" xr:uid="{00000000-0005-0000-0000-000012720000}"/>
    <cellStyle name="Output 2 5 2 5 6 3" xfId="8559" xr:uid="{00000000-0005-0000-0000-000013720000}"/>
    <cellStyle name="Output 2 5 2 5 6 3 2" xfId="27531" xr:uid="{00000000-0005-0000-0000-000014720000}"/>
    <cellStyle name="Output 2 5 2 5 6 3 3" xfId="38376" xr:uid="{00000000-0005-0000-0000-000015720000}"/>
    <cellStyle name="Output 2 5 2 5 6 3 4" xfId="17356" xr:uid="{00000000-0005-0000-0000-000016720000}"/>
    <cellStyle name="Output 2 5 2 5 6 4" xfId="11218" xr:uid="{00000000-0005-0000-0000-000017720000}"/>
    <cellStyle name="Output 2 5 2 5 6 4 2" xfId="30190" xr:uid="{00000000-0005-0000-0000-000018720000}"/>
    <cellStyle name="Output 2 5 2 5 6 4 3" xfId="41035" xr:uid="{00000000-0005-0000-0000-000019720000}"/>
    <cellStyle name="Output 2 5 2 5 6 4 4" xfId="19260" xr:uid="{00000000-0005-0000-0000-00001A720000}"/>
    <cellStyle name="Output 2 5 2 5 6 5" xfId="22014" xr:uid="{00000000-0005-0000-0000-00001B720000}"/>
    <cellStyle name="Output 2 5 2 5 6 6" xfId="32859" xr:uid="{00000000-0005-0000-0000-00001C720000}"/>
    <cellStyle name="Output 2 5 2 5 6 7" xfId="13406" xr:uid="{00000000-0005-0000-0000-00001D720000}"/>
    <cellStyle name="Output 2 5 2 5 7" xfId="3726" xr:uid="{00000000-0005-0000-0000-00001E720000}"/>
    <cellStyle name="Output 2 5 2 5 7 2" xfId="22698" xr:uid="{00000000-0005-0000-0000-00001F720000}"/>
    <cellStyle name="Output 2 5 2 5 7 3" xfId="33543" xr:uid="{00000000-0005-0000-0000-000020720000}"/>
    <cellStyle name="Output 2 5 2 5 7 4" xfId="13887" xr:uid="{00000000-0005-0000-0000-000021720000}"/>
    <cellStyle name="Output 2 5 2 5 8" xfId="6401" xr:uid="{00000000-0005-0000-0000-000022720000}"/>
    <cellStyle name="Output 2 5 2 5 8 2" xfId="25373" xr:uid="{00000000-0005-0000-0000-000023720000}"/>
    <cellStyle name="Output 2 5 2 5 8 3" xfId="36218" xr:uid="{00000000-0005-0000-0000-000024720000}"/>
    <cellStyle name="Output 2 5 2 5 8 4" xfId="15803" xr:uid="{00000000-0005-0000-0000-000025720000}"/>
    <cellStyle name="Output 2 5 2 5 9" xfId="9060" xr:uid="{00000000-0005-0000-0000-000026720000}"/>
    <cellStyle name="Output 2 5 2 5 9 2" xfId="28032" xr:uid="{00000000-0005-0000-0000-000027720000}"/>
    <cellStyle name="Output 2 5 2 5 9 3" xfId="38877" xr:uid="{00000000-0005-0000-0000-000028720000}"/>
    <cellStyle name="Output 2 5 2 5 9 4" xfId="17707" xr:uid="{00000000-0005-0000-0000-000029720000}"/>
    <cellStyle name="Output 2 5 2 6" xfId="1093" xr:uid="{00000000-0005-0000-0000-00002A720000}"/>
    <cellStyle name="Output 2 5 2 6 2" xfId="3946" xr:uid="{00000000-0005-0000-0000-00002B720000}"/>
    <cellStyle name="Output 2 5 2 6 2 2" xfId="22918" xr:uid="{00000000-0005-0000-0000-00002C720000}"/>
    <cellStyle name="Output 2 5 2 6 2 3" xfId="33763" xr:uid="{00000000-0005-0000-0000-00002D720000}"/>
    <cellStyle name="Output 2 5 2 6 2 4" xfId="14049" xr:uid="{00000000-0005-0000-0000-00002E720000}"/>
    <cellStyle name="Output 2 5 2 6 3" xfId="6620" xr:uid="{00000000-0005-0000-0000-00002F720000}"/>
    <cellStyle name="Output 2 5 2 6 3 2" xfId="25592" xr:uid="{00000000-0005-0000-0000-000030720000}"/>
    <cellStyle name="Output 2 5 2 6 3 3" xfId="36437" xr:uid="{00000000-0005-0000-0000-000031720000}"/>
    <cellStyle name="Output 2 5 2 6 3 4" xfId="15965" xr:uid="{00000000-0005-0000-0000-000032720000}"/>
    <cellStyle name="Output 2 5 2 6 4" xfId="9279" xr:uid="{00000000-0005-0000-0000-000033720000}"/>
    <cellStyle name="Output 2 5 2 6 4 2" xfId="28251" xr:uid="{00000000-0005-0000-0000-000034720000}"/>
    <cellStyle name="Output 2 5 2 6 4 3" xfId="39096" xr:uid="{00000000-0005-0000-0000-000035720000}"/>
    <cellStyle name="Output 2 5 2 6 4 4" xfId="17869" xr:uid="{00000000-0005-0000-0000-000036720000}"/>
    <cellStyle name="Output 2 5 2 6 5" xfId="20075" xr:uid="{00000000-0005-0000-0000-000037720000}"/>
    <cellStyle name="Output 2 5 2 6 6" xfId="30920" xr:uid="{00000000-0005-0000-0000-000038720000}"/>
    <cellStyle name="Output 2 5 2 6 7" xfId="12015" xr:uid="{00000000-0005-0000-0000-000039720000}"/>
    <cellStyle name="Output 2 5 2 7" xfId="1492" xr:uid="{00000000-0005-0000-0000-00003A720000}"/>
    <cellStyle name="Output 2 5 2 7 2" xfId="4345" xr:uid="{00000000-0005-0000-0000-00003B720000}"/>
    <cellStyle name="Output 2 5 2 7 2 2" xfId="23317" xr:uid="{00000000-0005-0000-0000-00003C720000}"/>
    <cellStyle name="Output 2 5 2 7 2 3" xfId="34162" xr:uid="{00000000-0005-0000-0000-00003D720000}"/>
    <cellStyle name="Output 2 5 2 7 2 4" xfId="14338" xr:uid="{00000000-0005-0000-0000-00003E720000}"/>
    <cellStyle name="Output 2 5 2 7 3" xfId="7018" xr:uid="{00000000-0005-0000-0000-00003F720000}"/>
    <cellStyle name="Output 2 5 2 7 3 2" xfId="25990" xr:uid="{00000000-0005-0000-0000-000040720000}"/>
    <cellStyle name="Output 2 5 2 7 3 3" xfId="36835" xr:uid="{00000000-0005-0000-0000-000041720000}"/>
    <cellStyle name="Output 2 5 2 7 3 4" xfId="16253" xr:uid="{00000000-0005-0000-0000-000042720000}"/>
    <cellStyle name="Output 2 5 2 7 4" xfId="9677" xr:uid="{00000000-0005-0000-0000-000043720000}"/>
    <cellStyle name="Output 2 5 2 7 4 2" xfId="28649" xr:uid="{00000000-0005-0000-0000-000044720000}"/>
    <cellStyle name="Output 2 5 2 7 4 3" xfId="39494" xr:uid="{00000000-0005-0000-0000-000045720000}"/>
    <cellStyle name="Output 2 5 2 7 4 4" xfId="18157" xr:uid="{00000000-0005-0000-0000-000046720000}"/>
    <cellStyle name="Output 2 5 2 7 5" xfId="20473" xr:uid="{00000000-0005-0000-0000-000047720000}"/>
    <cellStyle name="Output 2 5 2 7 6" xfId="31318" xr:uid="{00000000-0005-0000-0000-000048720000}"/>
    <cellStyle name="Output 2 5 2 7 7" xfId="12303" xr:uid="{00000000-0005-0000-0000-000049720000}"/>
    <cellStyle name="Output 2 5 2 8" xfId="1900" xr:uid="{00000000-0005-0000-0000-00004A720000}"/>
    <cellStyle name="Output 2 5 2 8 2" xfId="4753" xr:uid="{00000000-0005-0000-0000-00004B720000}"/>
    <cellStyle name="Output 2 5 2 8 2 2" xfId="23725" xr:uid="{00000000-0005-0000-0000-00004C720000}"/>
    <cellStyle name="Output 2 5 2 8 2 3" xfId="34570" xr:uid="{00000000-0005-0000-0000-00004D720000}"/>
    <cellStyle name="Output 2 5 2 8 2 4" xfId="14629" xr:uid="{00000000-0005-0000-0000-00004E720000}"/>
    <cellStyle name="Output 2 5 2 8 3" xfId="7425" xr:uid="{00000000-0005-0000-0000-00004F720000}"/>
    <cellStyle name="Output 2 5 2 8 3 2" xfId="26397" xr:uid="{00000000-0005-0000-0000-000050720000}"/>
    <cellStyle name="Output 2 5 2 8 3 3" xfId="37242" xr:uid="{00000000-0005-0000-0000-000051720000}"/>
    <cellStyle name="Output 2 5 2 8 3 4" xfId="16543" xr:uid="{00000000-0005-0000-0000-000052720000}"/>
    <cellStyle name="Output 2 5 2 8 4" xfId="10084" xr:uid="{00000000-0005-0000-0000-000053720000}"/>
    <cellStyle name="Output 2 5 2 8 4 2" xfId="29056" xr:uid="{00000000-0005-0000-0000-000054720000}"/>
    <cellStyle name="Output 2 5 2 8 4 3" xfId="39901" xr:uid="{00000000-0005-0000-0000-000055720000}"/>
    <cellStyle name="Output 2 5 2 8 4 4" xfId="18447" xr:uid="{00000000-0005-0000-0000-000056720000}"/>
    <cellStyle name="Output 2 5 2 8 5" xfId="20880" xr:uid="{00000000-0005-0000-0000-000057720000}"/>
    <cellStyle name="Output 2 5 2 8 6" xfId="31725" xr:uid="{00000000-0005-0000-0000-000058720000}"/>
    <cellStyle name="Output 2 5 2 8 7" xfId="12593" xr:uid="{00000000-0005-0000-0000-000059720000}"/>
    <cellStyle name="Output 2 5 2 9" xfId="2294" xr:uid="{00000000-0005-0000-0000-00005A720000}"/>
    <cellStyle name="Output 2 5 2 9 2" xfId="5147" xr:uid="{00000000-0005-0000-0000-00005B720000}"/>
    <cellStyle name="Output 2 5 2 9 2 2" xfId="24119" xr:uid="{00000000-0005-0000-0000-00005C720000}"/>
    <cellStyle name="Output 2 5 2 9 2 3" xfId="34964" xr:uid="{00000000-0005-0000-0000-00005D720000}"/>
    <cellStyle name="Output 2 5 2 9 2 4" xfId="14911" xr:uid="{00000000-0005-0000-0000-00005E720000}"/>
    <cellStyle name="Output 2 5 2 9 3" xfId="7818" xr:uid="{00000000-0005-0000-0000-00005F720000}"/>
    <cellStyle name="Output 2 5 2 9 3 2" xfId="26790" xr:uid="{00000000-0005-0000-0000-000060720000}"/>
    <cellStyle name="Output 2 5 2 9 3 3" xfId="37635" xr:uid="{00000000-0005-0000-0000-000061720000}"/>
    <cellStyle name="Output 2 5 2 9 3 4" xfId="16824" xr:uid="{00000000-0005-0000-0000-000062720000}"/>
    <cellStyle name="Output 2 5 2 9 4" xfId="10477" xr:uid="{00000000-0005-0000-0000-000063720000}"/>
    <cellStyle name="Output 2 5 2 9 4 2" xfId="29449" xr:uid="{00000000-0005-0000-0000-000064720000}"/>
    <cellStyle name="Output 2 5 2 9 4 3" xfId="40294" xr:uid="{00000000-0005-0000-0000-000065720000}"/>
    <cellStyle name="Output 2 5 2 9 4 4" xfId="18728" xr:uid="{00000000-0005-0000-0000-000066720000}"/>
    <cellStyle name="Output 2 5 2 9 5" xfId="21273" xr:uid="{00000000-0005-0000-0000-000067720000}"/>
    <cellStyle name="Output 2 5 2 9 6" xfId="32118" xr:uid="{00000000-0005-0000-0000-000068720000}"/>
    <cellStyle name="Output 2 5 2 9 7" xfId="12874" xr:uid="{00000000-0005-0000-0000-000069720000}"/>
    <cellStyle name="Output 2 5 3" xfId="575" xr:uid="{00000000-0005-0000-0000-00006A720000}"/>
    <cellStyle name="Output 2 5 3 10" xfId="19585" xr:uid="{00000000-0005-0000-0000-00006B720000}"/>
    <cellStyle name="Output 2 5 3 11" xfId="30430" xr:uid="{00000000-0005-0000-0000-00006C720000}"/>
    <cellStyle name="Output 2 5 3 12" xfId="11639" xr:uid="{00000000-0005-0000-0000-00006D720000}"/>
    <cellStyle name="Output 2 5 3 2" xfId="1181" xr:uid="{00000000-0005-0000-0000-00006E720000}"/>
    <cellStyle name="Output 2 5 3 2 2" xfId="4034" xr:uid="{00000000-0005-0000-0000-00006F720000}"/>
    <cellStyle name="Output 2 5 3 2 2 2" xfId="23006" xr:uid="{00000000-0005-0000-0000-000070720000}"/>
    <cellStyle name="Output 2 5 3 2 2 3" xfId="33851" xr:uid="{00000000-0005-0000-0000-000071720000}"/>
    <cellStyle name="Output 2 5 3 2 2 4" xfId="14116" xr:uid="{00000000-0005-0000-0000-000072720000}"/>
    <cellStyle name="Output 2 5 3 2 3" xfId="6707" xr:uid="{00000000-0005-0000-0000-000073720000}"/>
    <cellStyle name="Output 2 5 3 2 3 2" xfId="25679" xr:uid="{00000000-0005-0000-0000-000074720000}"/>
    <cellStyle name="Output 2 5 3 2 3 3" xfId="36524" xr:uid="{00000000-0005-0000-0000-000075720000}"/>
    <cellStyle name="Output 2 5 3 2 3 4" xfId="16031" xr:uid="{00000000-0005-0000-0000-000076720000}"/>
    <cellStyle name="Output 2 5 3 2 4" xfId="9366" xr:uid="{00000000-0005-0000-0000-000077720000}"/>
    <cellStyle name="Output 2 5 3 2 4 2" xfId="28338" xr:uid="{00000000-0005-0000-0000-000078720000}"/>
    <cellStyle name="Output 2 5 3 2 4 3" xfId="39183" xr:uid="{00000000-0005-0000-0000-000079720000}"/>
    <cellStyle name="Output 2 5 3 2 4 4" xfId="17935" xr:uid="{00000000-0005-0000-0000-00007A720000}"/>
    <cellStyle name="Output 2 5 3 2 5" xfId="20162" xr:uid="{00000000-0005-0000-0000-00007B720000}"/>
    <cellStyle name="Output 2 5 3 2 6" xfId="31007" xr:uid="{00000000-0005-0000-0000-00007C720000}"/>
    <cellStyle name="Output 2 5 3 2 7" xfId="12081" xr:uid="{00000000-0005-0000-0000-00007D720000}"/>
    <cellStyle name="Output 2 5 3 3" xfId="1578" xr:uid="{00000000-0005-0000-0000-00007E720000}"/>
    <cellStyle name="Output 2 5 3 3 2" xfId="4431" xr:uid="{00000000-0005-0000-0000-00007F720000}"/>
    <cellStyle name="Output 2 5 3 3 2 2" xfId="23403" xr:uid="{00000000-0005-0000-0000-000080720000}"/>
    <cellStyle name="Output 2 5 3 3 2 3" xfId="34248" xr:uid="{00000000-0005-0000-0000-000081720000}"/>
    <cellStyle name="Output 2 5 3 3 2 4" xfId="14402" xr:uid="{00000000-0005-0000-0000-000082720000}"/>
    <cellStyle name="Output 2 5 3 3 3" xfId="7103" xr:uid="{00000000-0005-0000-0000-000083720000}"/>
    <cellStyle name="Output 2 5 3 3 3 2" xfId="26075" xr:uid="{00000000-0005-0000-0000-000084720000}"/>
    <cellStyle name="Output 2 5 3 3 3 3" xfId="36920" xr:uid="{00000000-0005-0000-0000-000085720000}"/>
    <cellStyle name="Output 2 5 3 3 3 4" xfId="16316" xr:uid="{00000000-0005-0000-0000-000086720000}"/>
    <cellStyle name="Output 2 5 3 3 4" xfId="9762" xr:uid="{00000000-0005-0000-0000-000087720000}"/>
    <cellStyle name="Output 2 5 3 3 4 2" xfId="28734" xr:uid="{00000000-0005-0000-0000-000088720000}"/>
    <cellStyle name="Output 2 5 3 3 4 3" xfId="39579" xr:uid="{00000000-0005-0000-0000-000089720000}"/>
    <cellStyle name="Output 2 5 3 3 4 4" xfId="18220" xr:uid="{00000000-0005-0000-0000-00008A720000}"/>
    <cellStyle name="Output 2 5 3 3 5" xfId="20558" xr:uid="{00000000-0005-0000-0000-00008B720000}"/>
    <cellStyle name="Output 2 5 3 3 6" xfId="31403" xr:uid="{00000000-0005-0000-0000-00008C720000}"/>
    <cellStyle name="Output 2 5 3 3 7" xfId="12366" xr:uid="{00000000-0005-0000-0000-00008D720000}"/>
    <cellStyle name="Output 2 5 3 4" xfId="1982" xr:uid="{00000000-0005-0000-0000-00008E720000}"/>
    <cellStyle name="Output 2 5 3 4 2" xfId="4835" xr:uid="{00000000-0005-0000-0000-00008F720000}"/>
    <cellStyle name="Output 2 5 3 4 2 2" xfId="23807" xr:uid="{00000000-0005-0000-0000-000090720000}"/>
    <cellStyle name="Output 2 5 3 4 2 3" xfId="34652" xr:uid="{00000000-0005-0000-0000-000091720000}"/>
    <cellStyle name="Output 2 5 3 4 2 4" xfId="14690" xr:uid="{00000000-0005-0000-0000-000092720000}"/>
    <cellStyle name="Output 2 5 3 4 3" xfId="7507" xr:uid="{00000000-0005-0000-0000-000093720000}"/>
    <cellStyle name="Output 2 5 3 4 3 2" xfId="26479" xr:uid="{00000000-0005-0000-0000-000094720000}"/>
    <cellStyle name="Output 2 5 3 4 3 3" xfId="37324" xr:uid="{00000000-0005-0000-0000-000095720000}"/>
    <cellStyle name="Output 2 5 3 4 3 4" xfId="16604" xr:uid="{00000000-0005-0000-0000-000096720000}"/>
    <cellStyle name="Output 2 5 3 4 4" xfId="10166" xr:uid="{00000000-0005-0000-0000-000097720000}"/>
    <cellStyle name="Output 2 5 3 4 4 2" xfId="29138" xr:uid="{00000000-0005-0000-0000-000098720000}"/>
    <cellStyle name="Output 2 5 3 4 4 3" xfId="39983" xr:uid="{00000000-0005-0000-0000-000099720000}"/>
    <cellStyle name="Output 2 5 3 4 4 4" xfId="18508" xr:uid="{00000000-0005-0000-0000-00009A720000}"/>
    <cellStyle name="Output 2 5 3 4 5" xfId="20962" xr:uid="{00000000-0005-0000-0000-00009B720000}"/>
    <cellStyle name="Output 2 5 3 4 6" xfId="31807" xr:uid="{00000000-0005-0000-0000-00009C720000}"/>
    <cellStyle name="Output 2 5 3 4 7" xfId="12654" xr:uid="{00000000-0005-0000-0000-00009D720000}"/>
    <cellStyle name="Output 2 5 3 5" xfId="2374" xr:uid="{00000000-0005-0000-0000-00009E720000}"/>
    <cellStyle name="Output 2 5 3 5 2" xfId="5227" xr:uid="{00000000-0005-0000-0000-00009F720000}"/>
    <cellStyle name="Output 2 5 3 5 2 2" xfId="24199" xr:uid="{00000000-0005-0000-0000-0000A0720000}"/>
    <cellStyle name="Output 2 5 3 5 2 3" xfId="35044" xr:uid="{00000000-0005-0000-0000-0000A1720000}"/>
    <cellStyle name="Output 2 5 3 5 2 4" xfId="14971" xr:uid="{00000000-0005-0000-0000-0000A2720000}"/>
    <cellStyle name="Output 2 5 3 5 3" xfId="7898" xr:uid="{00000000-0005-0000-0000-0000A3720000}"/>
    <cellStyle name="Output 2 5 3 5 3 2" xfId="26870" xr:uid="{00000000-0005-0000-0000-0000A4720000}"/>
    <cellStyle name="Output 2 5 3 5 3 3" xfId="37715" xr:uid="{00000000-0005-0000-0000-0000A5720000}"/>
    <cellStyle name="Output 2 5 3 5 3 4" xfId="16884" xr:uid="{00000000-0005-0000-0000-0000A6720000}"/>
    <cellStyle name="Output 2 5 3 5 4" xfId="10557" xr:uid="{00000000-0005-0000-0000-0000A7720000}"/>
    <cellStyle name="Output 2 5 3 5 4 2" xfId="29529" xr:uid="{00000000-0005-0000-0000-0000A8720000}"/>
    <cellStyle name="Output 2 5 3 5 4 3" xfId="40374" xr:uid="{00000000-0005-0000-0000-0000A9720000}"/>
    <cellStyle name="Output 2 5 3 5 4 4" xfId="18788" xr:uid="{00000000-0005-0000-0000-0000AA720000}"/>
    <cellStyle name="Output 2 5 3 5 5" xfId="21353" xr:uid="{00000000-0005-0000-0000-0000AB720000}"/>
    <cellStyle name="Output 2 5 3 5 6" xfId="32198" xr:uid="{00000000-0005-0000-0000-0000AC720000}"/>
    <cellStyle name="Output 2 5 3 5 7" xfId="12934" xr:uid="{00000000-0005-0000-0000-0000AD720000}"/>
    <cellStyle name="Output 2 5 3 6" xfId="2763" xr:uid="{00000000-0005-0000-0000-0000AE720000}"/>
    <cellStyle name="Output 2 5 3 6 2" xfId="5615" xr:uid="{00000000-0005-0000-0000-0000AF720000}"/>
    <cellStyle name="Output 2 5 3 6 2 2" xfId="24587" xr:uid="{00000000-0005-0000-0000-0000B0720000}"/>
    <cellStyle name="Output 2 5 3 6 2 3" xfId="35432" xr:uid="{00000000-0005-0000-0000-0000B1720000}"/>
    <cellStyle name="Output 2 5 3 6 2 4" xfId="15249" xr:uid="{00000000-0005-0000-0000-0000B2720000}"/>
    <cellStyle name="Output 2 5 3 6 3" xfId="8286" xr:uid="{00000000-0005-0000-0000-0000B3720000}"/>
    <cellStyle name="Output 2 5 3 6 3 2" xfId="27258" xr:uid="{00000000-0005-0000-0000-0000B4720000}"/>
    <cellStyle name="Output 2 5 3 6 3 3" xfId="38103" xr:uid="{00000000-0005-0000-0000-0000B5720000}"/>
    <cellStyle name="Output 2 5 3 6 3 4" xfId="17162" xr:uid="{00000000-0005-0000-0000-0000B6720000}"/>
    <cellStyle name="Output 2 5 3 6 4" xfId="10945" xr:uid="{00000000-0005-0000-0000-0000B7720000}"/>
    <cellStyle name="Output 2 5 3 6 4 2" xfId="29917" xr:uid="{00000000-0005-0000-0000-0000B8720000}"/>
    <cellStyle name="Output 2 5 3 6 4 3" xfId="40762" xr:uid="{00000000-0005-0000-0000-0000B9720000}"/>
    <cellStyle name="Output 2 5 3 6 4 4" xfId="19066" xr:uid="{00000000-0005-0000-0000-0000BA720000}"/>
    <cellStyle name="Output 2 5 3 6 5" xfId="21741" xr:uid="{00000000-0005-0000-0000-0000BB720000}"/>
    <cellStyle name="Output 2 5 3 6 6" xfId="32586" xr:uid="{00000000-0005-0000-0000-0000BC720000}"/>
    <cellStyle name="Output 2 5 3 6 7" xfId="13212" xr:uid="{00000000-0005-0000-0000-0000BD720000}"/>
    <cellStyle name="Output 2 5 3 7" xfId="3454" xr:uid="{00000000-0005-0000-0000-0000BE720000}"/>
    <cellStyle name="Output 2 5 3 7 2" xfId="22426" xr:uid="{00000000-0005-0000-0000-0000BF720000}"/>
    <cellStyle name="Output 2 5 3 7 3" xfId="33271" xr:uid="{00000000-0005-0000-0000-0000C0720000}"/>
    <cellStyle name="Output 2 5 3 7 4" xfId="13694" xr:uid="{00000000-0005-0000-0000-0000C1720000}"/>
    <cellStyle name="Output 2 5 3 8" xfId="6130" xr:uid="{00000000-0005-0000-0000-0000C2720000}"/>
    <cellStyle name="Output 2 5 3 8 2" xfId="25102" xr:uid="{00000000-0005-0000-0000-0000C3720000}"/>
    <cellStyle name="Output 2 5 3 8 3" xfId="35947" xr:uid="{00000000-0005-0000-0000-0000C4720000}"/>
    <cellStyle name="Output 2 5 3 8 4" xfId="15611" xr:uid="{00000000-0005-0000-0000-0000C5720000}"/>
    <cellStyle name="Output 2 5 3 9" xfId="8789" xr:uid="{00000000-0005-0000-0000-0000C6720000}"/>
    <cellStyle name="Output 2 5 3 9 2" xfId="27761" xr:uid="{00000000-0005-0000-0000-0000C7720000}"/>
    <cellStyle name="Output 2 5 3 9 3" xfId="38606" xr:uid="{00000000-0005-0000-0000-0000C8720000}"/>
    <cellStyle name="Output 2 5 3 9 4" xfId="17515" xr:uid="{00000000-0005-0000-0000-0000C9720000}"/>
    <cellStyle name="Output 2 5 4" xfId="11466" xr:uid="{00000000-0005-0000-0000-0000CA720000}"/>
    <cellStyle name="Output 2 6" xfId="142" xr:uid="{00000000-0005-0000-0000-0000CB720000}"/>
    <cellStyle name="Output 2 6 2" xfId="393" xr:uid="{00000000-0005-0000-0000-0000CC720000}"/>
    <cellStyle name="Output 2 6 2 10" xfId="2685" xr:uid="{00000000-0005-0000-0000-0000CD720000}"/>
    <cellStyle name="Output 2 6 2 10 2" xfId="5537" xr:uid="{00000000-0005-0000-0000-0000CE720000}"/>
    <cellStyle name="Output 2 6 2 10 2 2" xfId="24509" xr:uid="{00000000-0005-0000-0000-0000CF720000}"/>
    <cellStyle name="Output 2 6 2 10 2 3" xfId="35354" xr:uid="{00000000-0005-0000-0000-0000D0720000}"/>
    <cellStyle name="Output 2 6 2 10 2 4" xfId="15191" xr:uid="{00000000-0005-0000-0000-0000D1720000}"/>
    <cellStyle name="Output 2 6 2 10 3" xfId="8208" xr:uid="{00000000-0005-0000-0000-0000D2720000}"/>
    <cellStyle name="Output 2 6 2 10 3 2" xfId="27180" xr:uid="{00000000-0005-0000-0000-0000D3720000}"/>
    <cellStyle name="Output 2 6 2 10 3 3" xfId="38025" xr:uid="{00000000-0005-0000-0000-0000D4720000}"/>
    <cellStyle name="Output 2 6 2 10 3 4" xfId="17104" xr:uid="{00000000-0005-0000-0000-0000D5720000}"/>
    <cellStyle name="Output 2 6 2 10 4" xfId="10867" xr:uid="{00000000-0005-0000-0000-0000D6720000}"/>
    <cellStyle name="Output 2 6 2 10 4 2" xfId="29839" xr:uid="{00000000-0005-0000-0000-0000D7720000}"/>
    <cellStyle name="Output 2 6 2 10 4 3" xfId="40684" xr:uid="{00000000-0005-0000-0000-0000D8720000}"/>
    <cellStyle name="Output 2 6 2 10 4 4" xfId="19008" xr:uid="{00000000-0005-0000-0000-0000D9720000}"/>
    <cellStyle name="Output 2 6 2 10 5" xfId="21663" xr:uid="{00000000-0005-0000-0000-0000DA720000}"/>
    <cellStyle name="Output 2 6 2 10 6" xfId="32508" xr:uid="{00000000-0005-0000-0000-0000DB720000}"/>
    <cellStyle name="Output 2 6 2 10 7" xfId="13154" xr:uid="{00000000-0005-0000-0000-0000DC720000}"/>
    <cellStyle name="Output 2 6 2 11" xfId="3071" xr:uid="{00000000-0005-0000-0000-0000DD720000}"/>
    <cellStyle name="Output 2 6 2 11 2" xfId="5922" xr:uid="{00000000-0005-0000-0000-0000DE720000}"/>
    <cellStyle name="Output 2 6 2 11 2 2" xfId="24894" xr:uid="{00000000-0005-0000-0000-0000DF720000}"/>
    <cellStyle name="Output 2 6 2 11 2 3" xfId="35739" xr:uid="{00000000-0005-0000-0000-0000E0720000}"/>
    <cellStyle name="Output 2 6 2 11 2 4" xfId="15467" xr:uid="{00000000-0005-0000-0000-0000E1720000}"/>
    <cellStyle name="Output 2 6 2 11 3" xfId="8593" xr:uid="{00000000-0005-0000-0000-0000E2720000}"/>
    <cellStyle name="Output 2 6 2 11 3 2" xfId="27565" xr:uid="{00000000-0005-0000-0000-0000E3720000}"/>
    <cellStyle name="Output 2 6 2 11 3 3" xfId="38410" xr:uid="{00000000-0005-0000-0000-0000E4720000}"/>
    <cellStyle name="Output 2 6 2 11 3 4" xfId="17380" xr:uid="{00000000-0005-0000-0000-0000E5720000}"/>
    <cellStyle name="Output 2 6 2 11 4" xfId="11252" xr:uid="{00000000-0005-0000-0000-0000E6720000}"/>
    <cellStyle name="Output 2 6 2 11 4 2" xfId="30224" xr:uid="{00000000-0005-0000-0000-0000E7720000}"/>
    <cellStyle name="Output 2 6 2 11 4 3" xfId="41069" xr:uid="{00000000-0005-0000-0000-0000E8720000}"/>
    <cellStyle name="Output 2 6 2 11 4 4" xfId="19284" xr:uid="{00000000-0005-0000-0000-0000E9720000}"/>
    <cellStyle name="Output 2 6 2 11 5" xfId="22048" xr:uid="{00000000-0005-0000-0000-0000EA720000}"/>
    <cellStyle name="Output 2 6 2 11 6" xfId="32893" xr:uid="{00000000-0005-0000-0000-0000EB720000}"/>
    <cellStyle name="Output 2 6 2 11 7" xfId="13430" xr:uid="{00000000-0005-0000-0000-0000EC720000}"/>
    <cellStyle name="Output 2 6 2 12" xfId="3128" xr:uid="{00000000-0005-0000-0000-0000ED720000}"/>
    <cellStyle name="Output 2 6 2 12 2" xfId="5979" xr:uid="{00000000-0005-0000-0000-0000EE720000}"/>
    <cellStyle name="Output 2 6 2 12 2 2" xfId="24951" xr:uid="{00000000-0005-0000-0000-0000EF720000}"/>
    <cellStyle name="Output 2 6 2 12 2 3" xfId="35796" xr:uid="{00000000-0005-0000-0000-0000F0720000}"/>
    <cellStyle name="Output 2 6 2 12 2 4" xfId="15504" xr:uid="{00000000-0005-0000-0000-0000F1720000}"/>
    <cellStyle name="Output 2 6 2 12 3" xfId="8650" xr:uid="{00000000-0005-0000-0000-0000F2720000}"/>
    <cellStyle name="Output 2 6 2 12 3 2" xfId="27622" xr:uid="{00000000-0005-0000-0000-0000F3720000}"/>
    <cellStyle name="Output 2 6 2 12 3 3" xfId="38467" xr:uid="{00000000-0005-0000-0000-0000F4720000}"/>
    <cellStyle name="Output 2 6 2 12 3 4" xfId="17417" xr:uid="{00000000-0005-0000-0000-0000F5720000}"/>
    <cellStyle name="Output 2 6 2 12 4" xfId="11309" xr:uid="{00000000-0005-0000-0000-0000F6720000}"/>
    <cellStyle name="Output 2 6 2 12 4 2" xfId="30281" xr:uid="{00000000-0005-0000-0000-0000F7720000}"/>
    <cellStyle name="Output 2 6 2 12 4 3" xfId="41126" xr:uid="{00000000-0005-0000-0000-0000F8720000}"/>
    <cellStyle name="Output 2 6 2 12 4 4" xfId="19321" xr:uid="{00000000-0005-0000-0000-0000F9720000}"/>
    <cellStyle name="Output 2 6 2 12 5" xfId="22105" xr:uid="{00000000-0005-0000-0000-0000FA720000}"/>
    <cellStyle name="Output 2 6 2 12 6" xfId="32950" xr:uid="{00000000-0005-0000-0000-0000FB720000}"/>
    <cellStyle name="Output 2 6 2 12 7" xfId="13467" xr:uid="{00000000-0005-0000-0000-0000FC720000}"/>
    <cellStyle name="Output 2 6 2 13" xfId="3185" xr:uid="{00000000-0005-0000-0000-0000FD720000}"/>
    <cellStyle name="Output 2 6 2 13 2" xfId="6036" xr:uid="{00000000-0005-0000-0000-0000FE720000}"/>
    <cellStyle name="Output 2 6 2 13 2 2" xfId="25008" xr:uid="{00000000-0005-0000-0000-0000FF720000}"/>
    <cellStyle name="Output 2 6 2 13 2 3" xfId="35853" xr:uid="{00000000-0005-0000-0000-000000730000}"/>
    <cellStyle name="Output 2 6 2 13 2 4" xfId="15541" xr:uid="{00000000-0005-0000-0000-000001730000}"/>
    <cellStyle name="Output 2 6 2 13 3" xfId="8707" xr:uid="{00000000-0005-0000-0000-000002730000}"/>
    <cellStyle name="Output 2 6 2 13 3 2" xfId="27679" xr:uid="{00000000-0005-0000-0000-000003730000}"/>
    <cellStyle name="Output 2 6 2 13 3 3" xfId="38524" xr:uid="{00000000-0005-0000-0000-000004730000}"/>
    <cellStyle name="Output 2 6 2 13 3 4" xfId="17454" xr:uid="{00000000-0005-0000-0000-000005730000}"/>
    <cellStyle name="Output 2 6 2 13 4" xfId="11366" xr:uid="{00000000-0005-0000-0000-000006730000}"/>
    <cellStyle name="Output 2 6 2 13 4 2" xfId="30338" xr:uid="{00000000-0005-0000-0000-000007730000}"/>
    <cellStyle name="Output 2 6 2 13 4 3" xfId="41183" xr:uid="{00000000-0005-0000-0000-000008730000}"/>
    <cellStyle name="Output 2 6 2 13 4 4" xfId="19358" xr:uid="{00000000-0005-0000-0000-000009730000}"/>
    <cellStyle name="Output 2 6 2 13 5" xfId="22162" xr:uid="{00000000-0005-0000-0000-00000A730000}"/>
    <cellStyle name="Output 2 6 2 13 6" xfId="33007" xr:uid="{00000000-0005-0000-0000-00000B730000}"/>
    <cellStyle name="Output 2 6 2 13 7" xfId="13504" xr:uid="{00000000-0005-0000-0000-00000C730000}"/>
    <cellStyle name="Output 2 6 2 14" xfId="3351" xr:uid="{00000000-0005-0000-0000-00000D730000}"/>
    <cellStyle name="Output 2 6 2 14 2" xfId="22325" xr:uid="{00000000-0005-0000-0000-00000E730000}"/>
    <cellStyle name="Output 2 6 2 14 3" xfId="33170" xr:uid="{00000000-0005-0000-0000-00000F730000}"/>
    <cellStyle name="Output 2 6 2 14 4" xfId="13621" xr:uid="{00000000-0005-0000-0000-000010730000}"/>
    <cellStyle name="Output 2 6 2 15" xfId="3223" xr:uid="{00000000-0005-0000-0000-000011730000}"/>
    <cellStyle name="Output 2 6 2 15 2" xfId="22200" xr:uid="{00000000-0005-0000-0000-000012730000}"/>
    <cellStyle name="Output 2 6 2 15 3" xfId="33045" xr:uid="{00000000-0005-0000-0000-000013730000}"/>
    <cellStyle name="Output 2 6 2 15 4" xfId="13531" xr:uid="{00000000-0005-0000-0000-000014730000}"/>
    <cellStyle name="Output 2 6 2 16" xfId="3402" xr:uid="{00000000-0005-0000-0000-000015730000}"/>
    <cellStyle name="Output 2 6 2 16 2" xfId="22374" xr:uid="{00000000-0005-0000-0000-000016730000}"/>
    <cellStyle name="Output 2 6 2 16 3" xfId="33219" xr:uid="{00000000-0005-0000-0000-000017730000}"/>
    <cellStyle name="Output 2 6 2 16 4" xfId="13655" xr:uid="{00000000-0005-0000-0000-000018730000}"/>
    <cellStyle name="Output 2 6 2 17" xfId="19482" xr:uid="{00000000-0005-0000-0000-000019730000}"/>
    <cellStyle name="Output 2 6 2 18" xfId="19429" xr:uid="{00000000-0005-0000-0000-00001A730000}"/>
    <cellStyle name="Output 2 6 2 19" xfId="11531" xr:uid="{00000000-0005-0000-0000-00001B730000}"/>
    <cellStyle name="Output 2 6 2 2" xfId="693" xr:uid="{00000000-0005-0000-0000-00001C730000}"/>
    <cellStyle name="Output 2 6 2 2 10" xfId="19678" xr:uid="{00000000-0005-0000-0000-00001D730000}"/>
    <cellStyle name="Output 2 6 2 2 11" xfId="30523" xr:uid="{00000000-0005-0000-0000-00001E730000}"/>
    <cellStyle name="Output 2 6 2 2 12" xfId="11735" xr:uid="{00000000-0005-0000-0000-00001F730000}"/>
    <cellStyle name="Output 2 6 2 2 2" xfId="1280" xr:uid="{00000000-0005-0000-0000-000020730000}"/>
    <cellStyle name="Output 2 6 2 2 2 2" xfId="4133" xr:uid="{00000000-0005-0000-0000-000021730000}"/>
    <cellStyle name="Output 2 6 2 2 2 2 2" xfId="23105" xr:uid="{00000000-0005-0000-0000-000022730000}"/>
    <cellStyle name="Output 2 6 2 2 2 2 3" xfId="33950" xr:uid="{00000000-0005-0000-0000-000023730000}"/>
    <cellStyle name="Output 2 6 2 2 2 2 4" xfId="14196" xr:uid="{00000000-0005-0000-0000-000024730000}"/>
    <cellStyle name="Output 2 6 2 2 2 3" xfId="6806" xr:uid="{00000000-0005-0000-0000-000025730000}"/>
    <cellStyle name="Output 2 6 2 2 2 3 2" xfId="25778" xr:uid="{00000000-0005-0000-0000-000026730000}"/>
    <cellStyle name="Output 2 6 2 2 2 3 3" xfId="36623" xr:uid="{00000000-0005-0000-0000-000027730000}"/>
    <cellStyle name="Output 2 6 2 2 2 3 4" xfId="16111" xr:uid="{00000000-0005-0000-0000-000028730000}"/>
    <cellStyle name="Output 2 6 2 2 2 4" xfId="9465" xr:uid="{00000000-0005-0000-0000-000029730000}"/>
    <cellStyle name="Output 2 6 2 2 2 4 2" xfId="28437" xr:uid="{00000000-0005-0000-0000-00002A730000}"/>
    <cellStyle name="Output 2 6 2 2 2 4 3" xfId="39282" xr:uid="{00000000-0005-0000-0000-00002B730000}"/>
    <cellStyle name="Output 2 6 2 2 2 4 4" xfId="18015" xr:uid="{00000000-0005-0000-0000-00002C730000}"/>
    <cellStyle name="Output 2 6 2 2 2 5" xfId="20261" xr:uid="{00000000-0005-0000-0000-00002D730000}"/>
    <cellStyle name="Output 2 6 2 2 2 6" xfId="31106" xr:uid="{00000000-0005-0000-0000-00002E730000}"/>
    <cellStyle name="Output 2 6 2 2 2 7" xfId="12161" xr:uid="{00000000-0005-0000-0000-00002F730000}"/>
    <cellStyle name="Output 2 6 2 2 3" xfId="1679" xr:uid="{00000000-0005-0000-0000-000030730000}"/>
    <cellStyle name="Output 2 6 2 2 3 2" xfId="4532" xr:uid="{00000000-0005-0000-0000-000031730000}"/>
    <cellStyle name="Output 2 6 2 2 3 2 2" xfId="23504" xr:uid="{00000000-0005-0000-0000-000032730000}"/>
    <cellStyle name="Output 2 6 2 2 3 2 3" xfId="34349" xr:uid="{00000000-0005-0000-0000-000033730000}"/>
    <cellStyle name="Output 2 6 2 2 3 2 4" xfId="14483" xr:uid="{00000000-0005-0000-0000-000034730000}"/>
    <cellStyle name="Output 2 6 2 2 3 3" xfId="7204" xr:uid="{00000000-0005-0000-0000-000035730000}"/>
    <cellStyle name="Output 2 6 2 2 3 3 2" xfId="26176" xr:uid="{00000000-0005-0000-0000-000036730000}"/>
    <cellStyle name="Output 2 6 2 2 3 3 3" xfId="37021" xr:uid="{00000000-0005-0000-0000-000037730000}"/>
    <cellStyle name="Output 2 6 2 2 3 3 4" xfId="16397" xr:uid="{00000000-0005-0000-0000-000038730000}"/>
    <cellStyle name="Output 2 6 2 2 3 4" xfId="9863" xr:uid="{00000000-0005-0000-0000-000039730000}"/>
    <cellStyle name="Output 2 6 2 2 3 4 2" xfId="28835" xr:uid="{00000000-0005-0000-0000-00003A730000}"/>
    <cellStyle name="Output 2 6 2 2 3 4 3" xfId="39680" xr:uid="{00000000-0005-0000-0000-00003B730000}"/>
    <cellStyle name="Output 2 6 2 2 3 4 4" xfId="18301" xr:uid="{00000000-0005-0000-0000-00003C730000}"/>
    <cellStyle name="Output 2 6 2 2 3 5" xfId="20659" xr:uid="{00000000-0005-0000-0000-00003D730000}"/>
    <cellStyle name="Output 2 6 2 2 3 6" xfId="31504" xr:uid="{00000000-0005-0000-0000-00003E730000}"/>
    <cellStyle name="Output 2 6 2 2 3 7" xfId="12447" xr:uid="{00000000-0005-0000-0000-00003F730000}"/>
    <cellStyle name="Output 2 6 2 2 4" xfId="2083" xr:uid="{00000000-0005-0000-0000-000040730000}"/>
    <cellStyle name="Output 2 6 2 2 4 2" xfId="4936" xr:uid="{00000000-0005-0000-0000-000041730000}"/>
    <cellStyle name="Output 2 6 2 2 4 2 2" xfId="23908" xr:uid="{00000000-0005-0000-0000-000042730000}"/>
    <cellStyle name="Output 2 6 2 2 4 2 3" xfId="34753" xr:uid="{00000000-0005-0000-0000-000043730000}"/>
    <cellStyle name="Output 2 6 2 2 4 2 4" xfId="14770" xr:uid="{00000000-0005-0000-0000-000044730000}"/>
    <cellStyle name="Output 2 6 2 2 4 3" xfId="7607" xr:uid="{00000000-0005-0000-0000-000045730000}"/>
    <cellStyle name="Output 2 6 2 2 4 3 2" xfId="26579" xr:uid="{00000000-0005-0000-0000-000046730000}"/>
    <cellStyle name="Output 2 6 2 2 4 3 3" xfId="37424" xr:uid="{00000000-0005-0000-0000-000047730000}"/>
    <cellStyle name="Output 2 6 2 2 4 3 4" xfId="16683" xr:uid="{00000000-0005-0000-0000-000048730000}"/>
    <cellStyle name="Output 2 6 2 2 4 4" xfId="10266" xr:uid="{00000000-0005-0000-0000-000049730000}"/>
    <cellStyle name="Output 2 6 2 2 4 4 2" xfId="29238" xr:uid="{00000000-0005-0000-0000-00004A730000}"/>
    <cellStyle name="Output 2 6 2 2 4 4 3" xfId="40083" xr:uid="{00000000-0005-0000-0000-00004B730000}"/>
    <cellStyle name="Output 2 6 2 2 4 4 4" xfId="18587" xr:uid="{00000000-0005-0000-0000-00004C730000}"/>
    <cellStyle name="Output 2 6 2 2 4 5" xfId="21062" xr:uid="{00000000-0005-0000-0000-00004D730000}"/>
    <cellStyle name="Output 2 6 2 2 4 6" xfId="31907" xr:uid="{00000000-0005-0000-0000-00004E730000}"/>
    <cellStyle name="Output 2 6 2 2 4 7" xfId="12733" xr:uid="{00000000-0005-0000-0000-00004F730000}"/>
    <cellStyle name="Output 2 6 2 2 5" xfId="2473" xr:uid="{00000000-0005-0000-0000-000050730000}"/>
    <cellStyle name="Output 2 6 2 2 5 2" xfId="5325" xr:uid="{00000000-0005-0000-0000-000051730000}"/>
    <cellStyle name="Output 2 6 2 2 5 2 2" xfId="24297" xr:uid="{00000000-0005-0000-0000-000052730000}"/>
    <cellStyle name="Output 2 6 2 2 5 2 3" xfId="35142" xr:uid="{00000000-0005-0000-0000-000053730000}"/>
    <cellStyle name="Output 2 6 2 2 5 2 4" xfId="15049" xr:uid="{00000000-0005-0000-0000-000054730000}"/>
    <cellStyle name="Output 2 6 2 2 5 3" xfId="7996" xr:uid="{00000000-0005-0000-0000-000055730000}"/>
    <cellStyle name="Output 2 6 2 2 5 3 2" xfId="26968" xr:uid="{00000000-0005-0000-0000-000056730000}"/>
    <cellStyle name="Output 2 6 2 2 5 3 3" xfId="37813" xr:uid="{00000000-0005-0000-0000-000057730000}"/>
    <cellStyle name="Output 2 6 2 2 5 3 4" xfId="16962" xr:uid="{00000000-0005-0000-0000-000058730000}"/>
    <cellStyle name="Output 2 6 2 2 5 4" xfId="10655" xr:uid="{00000000-0005-0000-0000-000059730000}"/>
    <cellStyle name="Output 2 6 2 2 5 4 2" xfId="29627" xr:uid="{00000000-0005-0000-0000-00005A730000}"/>
    <cellStyle name="Output 2 6 2 2 5 4 3" xfId="40472" xr:uid="{00000000-0005-0000-0000-00005B730000}"/>
    <cellStyle name="Output 2 6 2 2 5 4 4" xfId="18866" xr:uid="{00000000-0005-0000-0000-00005C730000}"/>
    <cellStyle name="Output 2 6 2 2 5 5" xfId="21451" xr:uid="{00000000-0005-0000-0000-00005D730000}"/>
    <cellStyle name="Output 2 6 2 2 5 6" xfId="32296" xr:uid="{00000000-0005-0000-0000-00005E730000}"/>
    <cellStyle name="Output 2 6 2 2 5 7" xfId="13012" xr:uid="{00000000-0005-0000-0000-00005F730000}"/>
    <cellStyle name="Output 2 6 2 2 6" xfId="2859" xr:uid="{00000000-0005-0000-0000-000060730000}"/>
    <cellStyle name="Output 2 6 2 2 6 2" xfId="5710" xr:uid="{00000000-0005-0000-0000-000061730000}"/>
    <cellStyle name="Output 2 6 2 2 6 2 2" xfId="24682" xr:uid="{00000000-0005-0000-0000-000062730000}"/>
    <cellStyle name="Output 2 6 2 2 6 2 3" xfId="35527" xr:uid="{00000000-0005-0000-0000-000063730000}"/>
    <cellStyle name="Output 2 6 2 2 6 2 4" xfId="15325" xr:uid="{00000000-0005-0000-0000-000064730000}"/>
    <cellStyle name="Output 2 6 2 2 6 3" xfId="8381" xr:uid="{00000000-0005-0000-0000-000065730000}"/>
    <cellStyle name="Output 2 6 2 2 6 3 2" xfId="27353" xr:uid="{00000000-0005-0000-0000-000066730000}"/>
    <cellStyle name="Output 2 6 2 2 6 3 3" xfId="38198" xr:uid="{00000000-0005-0000-0000-000067730000}"/>
    <cellStyle name="Output 2 6 2 2 6 3 4" xfId="17238" xr:uid="{00000000-0005-0000-0000-000068730000}"/>
    <cellStyle name="Output 2 6 2 2 6 4" xfId="11040" xr:uid="{00000000-0005-0000-0000-000069730000}"/>
    <cellStyle name="Output 2 6 2 2 6 4 2" xfId="30012" xr:uid="{00000000-0005-0000-0000-00006A730000}"/>
    <cellStyle name="Output 2 6 2 2 6 4 3" xfId="40857" xr:uid="{00000000-0005-0000-0000-00006B730000}"/>
    <cellStyle name="Output 2 6 2 2 6 4 4" xfId="19142" xr:uid="{00000000-0005-0000-0000-00006C730000}"/>
    <cellStyle name="Output 2 6 2 2 6 5" xfId="21836" xr:uid="{00000000-0005-0000-0000-00006D730000}"/>
    <cellStyle name="Output 2 6 2 2 6 6" xfId="32681" xr:uid="{00000000-0005-0000-0000-00006E730000}"/>
    <cellStyle name="Output 2 6 2 2 6 7" xfId="13288" xr:uid="{00000000-0005-0000-0000-00006F730000}"/>
    <cellStyle name="Output 2 6 2 2 7" xfId="3548" xr:uid="{00000000-0005-0000-0000-000070730000}"/>
    <cellStyle name="Output 2 6 2 2 7 2" xfId="22520" xr:uid="{00000000-0005-0000-0000-000071730000}"/>
    <cellStyle name="Output 2 6 2 2 7 3" xfId="33365" xr:uid="{00000000-0005-0000-0000-000072730000}"/>
    <cellStyle name="Output 2 6 2 2 7 4" xfId="13769" xr:uid="{00000000-0005-0000-0000-000073730000}"/>
    <cellStyle name="Output 2 6 2 2 8" xfId="6223" xr:uid="{00000000-0005-0000-0000-000074730000}"/>
    <cellStyle name="Output 2 6 2 2 8 2" xfId="25195" xr:uid="{00000000-0005-0000-0000-000075730000}"/>
    <cellStyle name="Output 2 6 2 2 8 3" xfId="36040" xr:uid="{00000000-0005-0000-0000-000076730000}"/>
    <cellStyle name="Output 2 6 2 2 8 4" xfId="15685" xr:uid="{00000000-0005-0000-0000-000077730000}"/>
    <cellStyle name="Output 2 6 2 2 9" xfId="8882" xr:uid="{00000000-0005-0000-0000-000078730000}"/>
    <cellStyle name="Output 2 6 2 2 9 2" xfId="27854" xr:uid="{00000000-0005-0000-0000-000079730000}"/>
    <cellStyle name="Output 2 6 2 2 9 3" xfId="38699" xr:uid="{00000000-0005-0000-0000-00007A730000}"/>
    <cellStyle name="Output 2 6 2 2 9 4" xfId="17589" xr:uid="{00000000-0005-0000-0000-00007B730000}"/>
    <cellStyle name="Output 2 6 2 3" xfId="753" xr:uid="{00000000-0005-0000-0000-00007C730000}"/>
    <cellStyle name="Output 2 6 2 3 10" xfId="19738" xr:uid="{00000000-0005-0000-0000-00007D730000}"/>
    <cellStyle name="Output 2 6 2 3 11" xfId="30583" xr:uid="{00000000-0005-0000-0000-00007E730000}"/>
    <cellStyle name="Output 2 6 2 3 12" xfId="11775" xr:uid="{00000000-0005-0000-0000-00007F730000}"/>
    <cellStyle name="Output 2 6 2 3 2" xfId="1340" xr:uid="{00000000-0005-0000-0000-000080730000}"/>
    <cellStyle name="Output 2 6 2 3 2 2" xfId="4193" xr:uid="{00000000-0005-0000-0000-000081730000}"/>
    <cellStyle name="Output 2 6 2 3 2 2 2" xfId="23165" xr:uid="{00000000-0005-0000-0000-000082730000}"/>
    <cellStyle name="Output 2 6 2 3 2 2 3" xfId="34010" xr:uid="{00000000-0005-0000-0000-000083730000}"/>
    <cellStyle name="Output 2 6 2 3 2 2 4" xfId="14236" xr:uid="{00000000-0005-0000-0000-000084730000}"/>
    <cellStyle name="Output 2 6 2 3 2 3" xfId="6866" xr:uid="{00000000-0005-0000-0000-000085730000}"/>
    <cellStyle name="Output 2 6 2 3 2 3 2" xfId="25838" xr:uid="{00000000-0005-0000-0000-000086730000}"/>
    <cellStyle name="Output 2 6 2 3 2 3 3" xfId="36683" xr:uid="{00000000-0005-0000-0000-000087730000}"/>
    <cellStyle name="Output 2 6 2 3 2 3 4" xfId="16151" xr:uid="{00000000-0005-0000-0000-000088730000}"/>
    <cellStyle name="Output 2 6 2 3 2 4" xfId="9525" xr:uid="{00000000-0005-0000-0000-000089730000}"/>
    <cellStyle name="Output 2 6 2 3 2 4 2" xfId="28497" xr:uid="{00000000-0005-0000-0000-00008A730000}"/>
    <cellStyle name="Output 2 6 2 3 2 4 3" xfId="39342" xr:uid="{00000000-0005-0000-0000-00008B730000}"/>
    <cellStyle name="Output 2 6 2 3 2 4 4" xfId="18055" xr:uid="{00000000-0005-0000-0000-00008C730000}"/>
    <cellStyle name="Output 2 6 2 3 2 5" xfId="20321" xr:uid="{00000000-0005-0000-0000-00008D730000}"/>
    <cellStyle name="Output 2 6 2 3 2 6" xfId="31166" xr:uid="{00000000-0005-0000-0000-00008E730000}"/>
    <cellStyle name="Output 2 6 2 3 2 7" xfId="12201" xr:uid="{00000000-0005-0000-0000-00008F730000}"/>
    <cellStyle name="Output 2 6 2 3 3" xfId="1739" xr:uid="{00000000-0005-0000-0000-000090730000}"/>
    <cellStyle name="Output 2 6 2 3 3 2" xfId="4592" xr:uid="{00000000-0005-0000-0000-000091730000}"/>
    <cellStyle name="Output 2 6 2 3 3 2 2" xfId="23564" xr:uid="{00000000-0005-0000-0000-000092730000}"/>
    <cellStyle name="Output 2 6 2 3 3 2 3" xfId="34409" xr:uid="{00000000-0005-0000-0000-000093730000}"/>
    <cellStyle name="Output 2 6 2 3 3 2 4" xfId="14523" xr:uid="{00000000-0005-0000-0000-000094730000}"/>
    <cellStyle name="Output 2 6 2 3 3 3" xfId="7264" xr:uid="{00000000-0005-0000-0000-000095730000}"/>
    <cellStyle name="Output 2 6 2 3 3 3 2" xfId="26236" xr:uid="{00000000-0005-0000-0000-000096730000}"/>
    <cellStyle name="Output 2 6 2 3 3 3 3" xfId="37081" xr:uid="{00000000-0005-0000-0000-000097730000}"/>
    <cellStyle name="Output 2 6 2 3 3 3 4" xfId="16437" xr:uid="{00000000-0005-0000-0000-000098730000}"/>
    <cellStyle name="Output 2 6 2 3 3 4" xfId="9923" xr:uid="{00000000-0005-0000-0000-000099730000}"/>
    <cellStyle name="Output 2 6 2 3 3 4 2" xfId="28895" xr:uid="{00000000-0005-0000-0000-00009A730000}"/>
    <cellStyle name="Output 2 6 2 3 3 4 3" xfId="39740" xr:uid="{00000000-0005-0000-0000-00009B730000}"/>
    <cellStyle name="Output 2 6 2 3 3 4 4" xfId="18341" xr:uid="{00000000-0005-0000-0000-00009C730000}"/>
    <cellStyle name="Output 2 6 2 3 3 5" xfId="20719" xr:uid="{00000000-0005-0000-0000-00009D730000}"/>
    <cellStyle name="Output 2 6 2 3 3 6" xfId="31564" xr:uid="{00000000-0005-0000-0000-00009E730000}"/>
    <cellStyle name="Output 2 6 2 3 3 7" xfId="12487" xr:uid="{00000000-0005-0000-0000-00009F730000}"/>
    <cellStyle name="Output 2 6 2 3 4" xfId="2143" xr:uid="{00000000-0005-0000-0000-0000A0730000}"/>
    <cellStyle name="Output 2 6 2 3 4 2" xfId="4996" xr:uid="{00000000-0005-0000-0000-0000A1730000}"/>
    <cellStyle name="Output 2 6 2 3 4 2 2" xfId="23968" xr:uid="{00000000-0005-0000-0000-0000A2730000}"/>
    <cellStyle name="Output 2 6 2 3 4 2 3" xfId="34813" xr:uid="{00000000-0005-0000-0000-0000A3730000}"/>
    <cellStyle name="Output 2 6 2 3 4 2 4" xfId="14810" xr:uid="{00000000-0005-0000-0000-0000A4730000}"/>
    <cellStyle name="Output 2 6 2 3 4 3" xfId="7667" xr:uid="{00000000-0005-0000-0000-0000A5730000}"/>
    <cellStyle name="Output 2 6 2 3 4 3 2" xfId="26639" xr:uid="{00000000-0005-0000-0000-0000A6730000}"/>
    <cellStyle name="Output 2 6 2 3 4 3 3" xfId="37484" xr:uid="{00000000-0005-0000-0000-0000A7730000}"/>
    <cellStyle name="Output 2 6 2 3 4 3 4" xfId="16723" xr:uid="{00000000-0005-0000-0000-0000A8730000}"/>
    <cellStyle name="Output 2 6 2 3 4 4" xfId="10326" xr:uid="{00000000-0005-0000-0000-0000A9730000}"/>
    <cellStyle name="Output 2 6 2 3 4 4 2" xfId="29298" xr:uid="{00000000-0005-0000-0000-0000AA730000}"/>
    <cellStyle name="Output 2 6 2 3 4 4 3" xfId="40143" xr:uid="{00000000-0005-0000-0000-0000AB730000}"/>
    <cellStyle name="Output 2 6 2 3 4 4 4" xfId="18627" xr:uid="{00000000-0005-0000-0000-0000AC730000}"/>
    <cellStyle name="Output 2 6 2 3 4 5" xfId="21122" xr:uid="{00000000-0005-0000-0000-0000AD730000}"/>
    <cellStyle name="Output 2 6 2 3 4 6" xfId="31967" xr:uid="{00000000-0005-0000-0000-0000AE730000}"/>
    <cellStyle name="Output 2 6 2 3 4 7" xfId="12773" xr:uid="{00000000-0005-0000-0000-0000AF730000}"/>
    <cellStyle name="Output 2 6 2 3 5" xfId="2533" xr:uid="{00000000-0005-0000-0000-0000B0730000}"/>
    <cellStyle name="Output 2 6 2 3 5 2" xfId="5385" xr:uid="{00000000-0005-0000-0000-0000B1730000}"/>
    <cellStyle name="Output 2 6 2 3 5 2 2" xfId="24357" xr:uid="{00000000-0005-0000-0000-0000B2730000}"/>
    <cellStyle name="Output 2 6 2 3 5 2 3" xfId="35202" xr:uid="{00000000-0005-0000-0000-0000B3730000}"/>
    <cellStyle name="Output 2 6 2 3 5 2 4" xfId="15089" xr:uid="{00000000-0005-0000-0000-0000B4730000}"/>
    <cellStyle name="Output 2 6 2 3 5 3" xfId="8056" xr:uid="{00000000-0005-0000-0000-0000B5730000}"/>
    <cellStyle name="Output 2 6 2 3 5 3 2" xfId="27028" xr:uid="{00000000-0005-0000-0000-0000B6730000}"/>
    <cellStyle name="Output 2 6 2 3 5 3 3" xfId="37873" xr:uid="{00000000-0005-0000-0000-0000B7730000}"/>
    <cellStyle name="Output 2 6 2 3 5 3 4" xfId="17002" xr:uid="{00000000-0005-0000-0000-0000B8730000}"/>
    <cellStyle name="Output 2 6 2 3 5 4" xfId="10715" xr:uid="{00000000-0005-0000-0000-0000B9730000}"/>
    <cellStyle name="Output 2 6 2 3 5 4 2" xfId="29687" xr:uid="{00000000-0005-0000-0000-0000BA730000}"/>
    <cellStyle name="Output 2 6 2 3 5 4 3" xfId="40532" xr:uid="{00000000-0005-0000-0000-0000BB730000}"/>
    <cellStyle name="Output 2 6 2 3 5 4 4" xfId="18906" xr:uid="{00000000-0005-0000-0000-0000BC730000}"/>
    <cellStyle name="Output 2 6 2 3 5 5" xfId="21511" xr:uid="{00000000-0005-0000-0000-0000BD730000}"/>
    <cellStyle name="Output 2 6 2 3 5 6" xfId="32356" xr:uid="{00000000-0005-0000-0000-0000BE730000}"/>
    <cellStyle name="Output 2 6 2 3 5 7" xfId="13052" xr:uid="{00000000-0005-0000-0000-0000BF730000}"/>
    <cellStyle name="Output 2 6 2 3 6" xfId="2919" xr:uid="{00000000-0005-0000-0000-0000C0730000}"/>
    <cellStyle name="Output 2 6 2 3 6 2" xfId="5770" xr:uid="{00000000-0005-0000-0000-0000C1730000}"/>
    <cellStyle name="Output 2 6 2 3 6 2 2" xfId="24742" xr:uid="{00000000-0005-0000-0000-0000C2730000}"/>
    <cellStyle name="Output 2 6 2 3 6 2 3" xfId="35587" xr:uid="{00000000-0005-0000-0000-0000C3730000}"/>
    <cellStyle name="Output 2 6 2 3 6 2 4" xfId="15365" xr:uid="{00000000-0005-0000-0000-0000C4730000}"/>
    <cellStyle name="Output 2 6 2 3 6 3" xfId="8441" xr:uid="{00000000-0005-0000-0000-0000C5730000}"/>
    <cellStyle name="Output 2 6 2 3 6 3 2" xfId="27413" xr:uid="{00000000-0005-0000-0000-0000C6730000}"/>
    <cellStyle name="Output 2 6 2 3 6 3 3" xfId="38258" xr:uid="{00000000-0005-0000-0000-0000C7730000}"/>
    <cellStyle name="Output 2 6 2 3 6 3 4" xfId="17278" xr:uid="{00000000-0005-0000-0000-0000C8730000}"/>
    <cellStyle name="Output 2 6 2 3 6 4" xfId="11100" xr:uid="{00000000-0005-0000-0000-0000C9730000}"/>
    <cellStyle name="Output 2 6 2 3 6 4 2" xfId="30072" xr:uid="{00000000-0005-0000-0000-0000CA730000}"/>
    <cellStyle name="Output 2 6 2 3 6 4 3" xfId="40917" xr:uid="{00000000-0005-0000-0000-0000CB730000}"/>
    <cellStyle name="Output 2 6 2 3 6 4 4" xfId="19182" xr:uid="{00000000-0005-0000-0000-0000CC730000}"/>
    <cellStyle name="Output 2 6 2 3 6 5" xfId="21896" xr:uid="{00000000-0005-0000-0000-0000CD730000}"/>
    <cellStyle name="Output 2 6 2 3 6 6" xfId="32741" xr:uid="{00000000-0005-0000-0000-0000CE730000}"/>
    <cellStyle name="Output 2 6 2 3 6 7" xfId="13328" xr:uid="{00000000-0005-0000-0000-0000CF730000}"/>
    <cellStyle name="Output 2 6 2 3 7" xfId="3608" xr:uid="{00000000-0005-0000-0000-0000D0730000}"/>
    <cellStyle name="Output 2 6 2 3 7 2" xfId="22580" xr:uid="{00000000-0005-0000-0000-0000D1730000}"/>
    <cellStyle name="Output 2 6 2 3 7 3" xfId="33425" xr:uid="{00000000-0005-0000-0000-0000D2730000}"/>
    <cellStyle name="Output 2 6 2 3 7 4" xfId="13809" xr:uid="{00000000-0005-0000-0000-0000D3730000}"/>
    <cellStyle name="Output 2 6 2 3 8" xfId="6283" xr:uid="{00000000-0005-0000-0000-0000D4730000}"/>
    <cellStyle name="Output 2 6 2 3 8 2" xfId="25255" xr:uid="{00000000-0005-0000-0000-0000D5730000}"/>
    <cellStyle name="Output 2 6 2 3 8 3" xfId="36100" xr:uid="{00000000-0005-0000-0000-0000D6730000}"/>
    <cellStyle name="Output 2 6 2 3 8 4" xfId="15725" xr:uid="{00000000-0005-0000-0000-0000D7730000}"/>
    <cellStyle name="Output 2 6 2 3 9" xfId="8942" xr:uid="{00000000-0005-0000-0000-0000D8730000}"/>
    <cellStyle name="Output 2 6 2 3 9 2" xfId="27914" xr:uid="{00000000-0005-0000-0000-0000D9730000}"/>
    <cellStyle name="Output 2 6 2 3 9 3" xfId="38759" xr:uid="{00000000-0005-0000-0000-0000DA730000}"/>
    <cellStyle name="Output 2 6 2 3 9 4" xfId="17629" xr:uid="{00000000-0005-0000-0000-0000DB730000}"/>
    <cellStyle name="Output 2 6 2 4" xfId="813" xr:uid="{00000000-0005-0000-0000-0000DC730000}"/>
    <cellStyle name="Output 2 6 2 4 10" xfId="19798" xr:uid="{00000000-0005-0000-0000-0000DD730000}"/>
    <cellStyle name="Output 2 6 2 4 11" xfId="30643" xr:uid="{00000000-0005-0000-0000-0000DE730000}"/>
    <cellStyle name="Output 2 6 2 4 12" xfId="11815" xr:uid="{00000000-0005-0000-0000-0000DF730000}"/>
    <cellStyle name="Output 2 6 2 4 2" xfId="1400" xr:uid="{00000000-0005-0000-0000-0000E0730000}"/>
    <cellStyle name="Output 2 6 2 4 2 2" xfId="4253" xr:uid="{00000000-0005-0000-0000-0000E1730000}"/>
    <cellStyle name="Output 2 6 2 4 2 2 2" xfId="23225" xr:uid="{00000000-0005-0000-0000-0000E2730000}"/>
    <cellStyle name="Output 2 6 2 4 2 2 3" xfId="34070" xr:uid="{00000000-0005-0000-0000-0000E3730000}"/>
    <cellStyle name="Output 2 6 2 4 2 2 4" xfId="14276" xr:uid="{00000000-0005-0000-0000-0000E4730000}"/>
    <cellStyle name="Output 2 6 2 4 2 3" xfId="6926" xr:uid="{00000000-0005-0000-0000-0000E5730000}"/>
    <cellStyle name="Output 2 6 2 4 2 3 2" xfId="25898" xr:uid="{00000000-0005-0000-0000-0000E6730000}"/>
    <cellStyle name="Output 2 6 2 4 2 3 3" xfId="36743" xr:uid="{00000000-0005-0000-0000-0000E7730000}"/>
    <cellStyle name="Output 2 6 2 4 2 3 4" xfId="16191" xr:uid="{00000000-0005-0000-0000-0000E8730000}"/>
    <cellStyle name="Output 2 6 2 4 2 4" xfId="9585" xr:uid="{00000000-0005-0000-0000-0000E9730000}"/>
    <cellStyle name="Output 2 6 2 4 2 4 2" xfId="28557" xr:uid="{00000000-0005-0000-0000-0000EA730000}"/>
    <cellStyle name="Output 2 6 2 4 2 4 3" xfId="39402" xr:uid="{00000000-0005-0000-0000-0000EB730000}"/>
    <cellStyle name="Output 2 6 2 4 2 4 4" xfId="18095" xr:uid="{00000000-0005-0000-0000-0000EC730000}"/>
    <cellStyle name="Output 2 6 2 4 2 5" xfId="20381" xr:uid="{00000000-0005-0000-0000-0000ED730000}"/>
    <cellStyle name="Output 2 6 2 4 2 6" xfId="31226" xr:uid="{00000000-0005-0000-0000-0000EE730000}"/>
    <cellStyle name="Output 2 6 2 4 2 7" xfId="12241" xr:uid="{00000000-0005-0000-0000-0000EF730000}"/>
    <cellStyle name="Output 2 6 2 4 3" xfId="1799" xr:uid="{00000000-0005-0000-0000-0000F0730000}"/>
    <cellStyle name="Output 2 6 2 4 3 2" xfId="4652" xr:uid="{00000000-0005-0000-0000-0000F1730000}"/>
    <cellStyle name="Output 2 6 2 4 3 2 2" xfId="23624" xr:uid="{00000000-0005-0000-0000-0000F2730000}"/>
    <cellStyle name="Output 2 6 2 4 3 2 3" xfId="34469" xr:uid="{00000000-0005-0000-0000-0000F3730000}"/>
    <cellStyle name="Output 2 6 2 4 3 2 4" xfId="14563" xr:uid="{00000000-0005-0000-0000-0000F4730000}"/>
    <cellStyle name="Output 2 6 2 4 3 3" xfId="7324" xr:uid="{00000000-0005-0000-0000-0000F5730000}"/>
    <cellStyle name="Output 2 6 2 4 3 3 2" xfId="26296" xr:uid="{00000000-0005-0000-0000-0000F6730000}"/>
    <cellStyle name="Output 2 6 2 4 3 3 3" xfId="37141" xr:uid="{00000000-0005-0000-0000-0000F7730000}"/>
    <cellStyle name="Output 2 6 2 4 3 3 4" xfId="16477" xr:uid="{00000000-0005-0000-0000-0000F8730000}"/>
    <cellStyle name="Output 2 6 2 4 3 4" xfId="9983" xr:uid="{00000000-0005-0000-0000-0000F9730000}"/>
    <cellStyle name="Output 2 6 2 4 3 4 2" xfId="28955" xr:uid="{00000000-0005-0000-0000-0000FA730000}"/>
    <cellStyle name="Output 2 6 2 4 3 4 3" xfId="39800" xr:uid="{00000000-0005-0000-0000-0000FB730000}"/>
    <cellStyle name="Output 2 6 2 4 3 4 4" xfId="18381" xr:uid="{00000000-0005-0000-0000-0000FC730000}"/>
    <cellStyle name="Output 2 6 2 4 3 5" xfId="20779" xr:uid="{00000000-0005-0000-0000-0000FD730000}"/>
    <cellStyle name="Output 2 6 2 4 3 6" xfId="31624" xr:uid="{00000000-0005-0000-0000-0000FE730000}"/>
    <cellStyle name="Output 2 6 2 4 3 7" xfId="12527" xr:uid="{00000000-0005-0000-0000-0000FF730000}"/>
    <cellStyle name="Output 2 6 2 4 4" xfId="2203" xr:uid="{00000000-0005-0000-0000-000000740000}"/>
    <cellStyle name="Output 2 6 2 4 4 2" xfId="5056" xr:uid="{00000000-0005-0000-0000-000001740000}"/>
    <cellStyle name="Output 2 6 2 4 4 2 2" xfId="24028" xr:uid="{00000000-0005-0000-0000-000002740000}"/>
    <cellStyle name="Output 2 6 2 4 4 2 3" xfId="34873" xr:uid="{00000000-0005-0000-0000-000003740000}"/>
    <cellStyle name="Output 2 6 2 4 4 2 4" xfId="14850" xr:uid="{00000000-0005-0000-0000-000004740000}"/>
    <cellStyle name="Output 2 6 2 4 4 3" xfId="7727" xr:uid="{00000000-0005-0000-0000-000005740000}"/>
    <cellStyle name="Output 2 6 2 4 4 3 2" xfId="26699" xr:uid="{00000000-0005-0000-0000-000006740000}"/>
    <cellStyle name="Output 2 6 2 4 4 3 3" xfId="37544" xr:uid="{00000000-0005-0000-0000-000007740000}"/>
    <cellStyle name="Output 2 6 2 4 4 3 4" xfId="16763" xr:uid="{00000000-0005-0000-0000-000008740000}"/>
    <cellStyle name="Output 2 6 2 4 4 4" xfId="10386" xr:uid="{00000000-0005-0000-0000-000009740000}"/>
    <cellStyle name="Output 2 6 2 4 4 4 2" xfId="29358" xr:uid="{00000000-0005-0000-0000-00000A740000}"/>
    <cellStyle name="Output 2 6 2 4 4 4 3" xfId="40203" xr:uid="{00000000-0005-0000-0000-00000B740000}"/>
    <cellStyle name="Output 2 6 2 4 4 4 4" xfId="18667" xr:uid="{00000000-0005-0000-0000-00000C740000}"/>
    <cellStyle name="Output 2 6 2 4 4 5" xfId="21182" xr:uid="{00000000-0005-0000-0000-00000D740000}"/>
    <cellStyle name="Output 2 6 2 4 4 6" xfId="32027" xr:uid="{00000000-0005-0000-0000-00000E740000}"/>
    <cellStyle name="Output 2 6 2 4 4 7" xfId="12813" xr:uid="{00000000-0005-0000-0000-00000F740000}"/>
    <cellStyle name="Output 2 6 2 4 5" xfId="2593" xr:uid="{00000000-0005-0000-0000-000010740000}"/>
    <cellStyle name="Output 2 6 2 4 5 2" xfId="5445" xr:uid="{00000000-0005-0000-0000-000011740000}"/>
    <cellStyle name="Output 2 6 2 4 5 2 2" xfId="24417" xr:uid="{00000000-0005-0000-0000-000012740000}"/>
    <cellStyle name="Output 2 6 2 4 5 2 3" xfId="35262" xr:uid="{00000000-0005-0000-0000-000013740000}"/>
    <cellStyle name="Output 2 6 2 4 5 2 4" xfId="15129" xr:uid="{00000000-0005-0000-0000-000014740000}"/>
    <cellStyle name="Output 2 6 2 4 5 3" xfId="8116" xr:uid="{00000000-0005-0000-0000-000015740000}"/>
    <cellStyle name="Output 2 6 2 4 5 3 2" xfId="27088" xr:uid="{00000000-0005-0000-0000-000016740000}"/>
    <cellStyle name="Output 2 6 2 4 5 3 3" xfId="37933" xr:uid="{00000000-0005-0000-0000-000017740000}"/>
    <cellStyle name="Output 2 6 2 4 5 3 4" xfId="17042" xr:uid="{00000000-0005-0000-0000-000018740000}"/>
    <cellStyle name="Output 2 6 2 4 5 4" xfId="10775" xr:uid="{00000000-0005-0000-0000-000019740000}"/>
    <cellStyle name="Output 2 6 2 4 5 4 2" xfId="29747" xr:uid="{00000000-0005-0000-0000-00001A740000}"/>
    <cellStyle name="Output 2 6 2 4 5 4 3" xfId="40592" xr:uid="{00000000-0005-0000-0000-00001B740000}"/>
    <cellStyle name="Output 2 6 2 4 5 4 4" xfId="18946" xr:uid="{00000000-0005-0000-0000-00001C740000}"/>
    <cellStyle name="Output 2 6 2 4 5 5" xfId="21571" xr:uid="{00000000-0005-0000-0000-00001D740000}"/>
    <cellStyle name="Output 2 6 2 4 5 6" xfId="32416" xr:uid="{00000000-0005-0000-0000-00001E740000}"/>
    <cellStyle name="Output 2 6 2 4 5 7" xfId="13092" xr:uid="{00000000-0005-0000-0000-00001F740000}"/>
    <cellStyle name="Output 2 6 2 4 6" xfId="2979" xr:uid="{00000000-0005-0000-0000-000020740000}"/>
    <cellStyle name="Output 2 6 2 4 6 2" xfId="5830" xr:uid="{00000000-0005-0000-0000-000021740000}"/>
    <cellStyle name="Output 2 6 2 4 6 2 2" xfId="24802" xr:uid="{00000000-0005-0000-0000-000022740000}"/>
    <cellStyle name="Output 2 6 2 4 6 2 3" xfId="35647" xr:uid="{00000000-0005-0000-0000-000023740000}"/>
    <cellStyle name="Output 2 6 2 4 6 2 4" xfId="15405" xr:uid="{00000000-0005-0000-0000-000024740000}"/>
    <cellStyle name="Output 2 6 2 4 6 3" xfId="8501" xr:uid="{00000000-0005-0000-0000-000025740000}"/>
    <cellStyle name="Output 2 6 2 4 6 3 2" xfId="27473" xr:uid="{00000000-0005-0000-0000-000026740000}"/>
    <cellStyle name="Output 2 6 2 4 6 3 3" xfId="38318" xr:uid="{00000000-0005-0000-0000-000027740000}"/>
    <cellStyle name="Output 2 6 2 4 6 3 4" xfId="17318" xr:uid="{00000000-0005-0000-0000-000028740000}"/>
    <cellStyle name="Output 2 6 2 4 6 4" xfId="11160" xr:uid="{00000000-0005-0000-0000-000029740000}"/>
    <cellStyle name="Output 2 6 2 4 6 4 2" xfId="30132" xr:uid="{00000000-0005-0000-0000-00002A740000}"/>
    <cellStyle name="Output 2 6 2 4 6 4 3" xfId="40977" xr:uid="{00000000-0005-0000-0000-00002B740000}"/>
    <cellStyle name="Output 2 6 2 4 6 4 4" xfId="19222" xr:uid="{00000000-0005-0000-0000-00002C740000}"/>
    <cellStyle name="Output 2 6 2 4 6 5" xfId="21956" xr:uid="{00000000-0005-0000-0000-00002D740000}"/>
    <cellStyle name="Output 2 6 2 4 6 6" xfId="32801" xr:uid="{00000000-0005-0000-0000-00002E740000}"/>
    <cellStyle name="Output 2 6 2 4 6 7" xfId="13368" xr:uid="{00000000-0005-0000-0000-00002F740000}"/>
    <cellStyle name="Output 2 6 2 4 7" xfId="3668" xr:uid="{00000000-0005-0000-0000-000030740000}"/>
    <cellStyle name="Output 2 6 2 4 7 2" xfId="22640" xr:uid="{00000000-0005-0000-0000-000031740000}"/>
    <cellStyle name="Output 2 6 2 4 7 3" xfId="33485" xr:uid="{00000000-0005-0000-0000-000032740000}"/>
    <cellStyle name="Output 2 6 2 4 7 4" xfId="13849" xr:uid="{00000000-0005-0000-0000-000033740000}"/>
    <cellStyle name="Output 2 6 2 4 8" xfId="6343" xr:uid="{00000000-0005-0000-0000-000034740000}"/>
    <cellStyle name="Output 2 6 2 4 8 2" xfId="25315" xr:uid="{00000000-0005-0000-0000-000035740000}"/>
    <cellStyle name="Output 2 6 2 4 8 3" xfId="36160" xr:uid="{00000000-0005-0000-0000-000036740000}"/>
    <cellStyle name="Output 2 6 2 4 8 4" xfId="15765" xr:uid="{00000000-0005-0000-0000-000037740000}"/>
    <cellStyle name="Output 2 6 2 4 9" xfId="9002" xr:uid="{00000000-0005-0000-0000-000038740000}"/>
    <cellStyle name="Output 2 6 2 4 9 2" xfId="27974" xr:uid="{00000000-0005-0000-0000-000039740000}"/>
    <cellStyle name="Output 2 6 2 4 9 3" xfId="38819" xr:uid="{00000000-0005-0000-0000-00003A740000}"/>
    <cellStyle name="Output 2 6 2 4 9 4" xfId="17669" xr:uid="{00000000-0005-0000-0000-00003B740000}"/>
    <cellStyle name="Output 2 6 2 5" xfId="872" xr:uid="{00000000-0005-0000-0000-00003C740000}"/>
    <cellStyle name="Output 2 6 2 5 10" xfId="19857" xr:uid="{00000000-0005-0000-0000-00003D740000}"/>
    <cellStyle name="Output 2 6 2 5 11" xfId="30702" xr:uid="{00000000-0005-0000-0000-00003E740000}"/>
    <cellStyle name="Output 2 6 2 5 12" xfId="11854" xr:uid="{00000000-0005-0000-0000-00003F740000}"/>
    <cellStyle name="Output 2 6 2 5 2" xfId="1459" xr:uid="{00000000-0005-0000-0000-000040740000}"/>
    <cellStyle name="Output 2 6 2 5 2 2" xfId="4312" xr:uid="{00000000-0005-0000-0000-000041740000}"/>
    <cellStyle name="Output 2 6 2 5 2 2 2" xfId="23284" xr:uid="{00000000-0005-0000-0000-000042740000}"/>
    <cellStyle name="Output 2 6 2 5 2 2 3" xfId="34129" xr:uid="{00000000-0005-0000-0000-000043740000}"/>
    <cellStyle name="Output 2 6 2 5 2 2 4" xfId="14315" xr:uid="{00000000-0005-0000-0000-000044740000}"/>
    <cellStyle name="Output 2 6 2 5 2 3" xfId="6985" xr:uid="{00000000-0005-0000-0000-000045740000}"/>
    <cellStyle name="Output 2 6 2 5 2 3 2" xfId="25957" xr:uid="{00000000-0005-0000-0000-000046740000}"/>
    <cellStyle name="Output 2 6 2 5 2 3 3" xfId="36802" xr:uid="{00000000-0005-0000-0000-000047740000}"/>
    <cellStyle name="Output 2 6 2 5 2 3 4" xfId="16230" xr:uid="{00000000-0005-0000-0000-000048740000}"/>
    <cellStyle name="Output 2 6 2 5 2 4" xfId="9644" xr:uid="{00000000-0005-0000-0000-000049740000}"/>
    <cellStyle name="Output 2 6 2 5 2 4 2" xfId="28616" xr:uid="{00000000-0005-0000-0000-00004A740000}"/>
    <cellStyle name="Output 2 6 2 5 2 4 3" xfId="39461" xr:uid="{00000000-0005-0000-0000-00004B740000}"/>
    <cellStyle name="Output 2 6 2 5 2 4 4" xfId="18134" xr:uid="{00000000-0005-0000-0000-00004C740000}"/>
    <cellStyle name="Output 2 6 2 5 2 5" xfId="20440" xr:uid="{00000000-0005-0000-0000-00004D740000}"/>
    <cellStyle name="Output 2 6 2 5 2 6" xfId="31285" xr:uid="{00000000-0005-0000-0000-00004E740000}"/>
    <cellStyle name="Output 2 6 2 5 2 7" xfId="12280" xr:uid="{00000000-0005-0000-0000-00004F740000}"/>
    <cellStyle name="Output 2 6 2 5 3" xfId="1858" xr:uid="{00000000-0005-0000-0000-000050740000}"/>
    <cellStyle name="Output 2 6 2 5 3 2" xfId="4711" xr:uid="{00000000-0005-0000-0000-000051740000}"/>
    <cellStyle name="Output 2 6 2 5 3 2 2" xfId="23683" xr:uid="{00000000-0005-0000-0000-000052740000}"/>
    <cellStyle name="Output 2 6 2 5 3 2 3" xfId="34528" xr:uid="{00000000-0005-0000-0000-000053740000}"/>
    <cellStyle name="Output 2 6 2 5 3 2 4" xfId="14602" xr:uid="{00000000-0005-0000-0000-000054740000}"/>
    <cellStyle name="Output 2 6 2 5 3 3" xfId="7383" xr:uid="{00000000-0005-0000-0000-000055740000}"/>
    <cellStyle name="Output 2 6 2 5 3 3 2" xfId="26355" xr:uid="{00000000-0005-0000-0000-000056740000}"/>
    <cellStyle name="Output 2 6 2 5 3 3 3" xfId="37200" xr:uid="{00000000-0005-0000-0000-000057740000}"/>
    <cellStyle name="Output 2 6 2 5 3 3 4" xfId="16516" xr:uid="{00000000-0005-0000-0000-000058740000}"/>
    <cellStyle name="Output 2 6 2 5 3 4" xfId="10042" xr:uid="{00000000-0005-0000-0000-000059740000}"/>
    <cellStyle name="Output 2 6 2 5 3 4 2" xfId="29014" xr:uid="{00000000-0005-0000-0000-00005A740000}"/>
    <cellStyle name="Output 2 6 2 5 3 4 3" xfId="39859" xr:uid="{00000000-0005-0000-0000-00005B740000}"/>
    <cellStyle name="Output 2 6 2 5 3 4 4" xfId="18420" xr:uid="{00000000-0005-0000-0000-00005C740000}"/>
    <cellStyle name="Output 2 6 2 5 3 5" xfId="20838" xr:uid="{00000000-0005-0000-0000-00005D740000}"/>
    <cellStyle name="Output 2 6 2 5 3 6" xfId="31683" xr:uid="{00000000-0005-0000-0000-00005E740000}"/>
    <cellStyle name="Output 2 6 2 5 3 7" xfId="12566" xr:uid="{00000000-0005-0000-0000-00005F740000}"/>
    <cellStyle name="Output 2 6 2 5 4" xfId="2262" xr:uid="{00000000-0005-0000-0000-000060740000}"/>
    <cellStyle name="Output 2 6 2 5 4 2" xfId="5115" xr:uid="{00000000-0005-0000-0000-000061740000}"/>
    <cellStyle name="Output 2 6 2 5 4 2 2" xfId="24087" xr:uid="{00000000-0005-0000-0000-000062740000}"/>
    <cellStyle name="Output 2 6 2 5 4 2 3" xfId="34932" xr:uid="{00000000-0005-0000-0000-000063740000}"/>
    <cellStyle name="Output 2 6 2 5 4 2 4" xfId="14889" xr:uid="{00000000-0005-0000-0000-000064740000}"/>
    <cellStyle name="Output 2 6 2 5 4 3" xfId="7786" xr:uid="{00000000-0005-0000-0000-000065740000}"/>
    <cellStyle name="Output 2 6 2 5 4 3 2" xfId="26758" xr:uid="{00000000-0005-0000-0000-000066740000}"/>
    <cellStyle name="Output 2 6 2 5 4 3 3" xfId="37603" xr:uid="{00000000-0005-0000-0000-000067740000}"/>
    <cellStyle name="Output 2 6 2 5 4 3 4" xfId="16802" xr:uid="{00000000-0005-0000-0000-000068740000}"/>
    <cellStyle name="Output 2 6 2 5 4 4" xfId="10445" xr:uid="{00000000-0005-0000-0000-000069740000}"/>
    <cellStyle name="Output 2 6 2 5 4 4 2" xfId="29417" xr:uid="{00000000-0005-0000-0000-00006A740000}"/>
    <cellStyle name="Output 2 6 2 5 4 4 3" xfId="40262" xr:uid="{00000000-0005-0000-0000-00006B740000}"/>
    <cellStyle name="Output 2 6 2 5 4 4 4" xfId="18706" xr:uid="{00000000-0005-0000-0000-00006C740000}"/>
    <cellStyle name="Output 2 6 2 5 4 5" xfId="21241" xr:uid="{00000000-0005-0000-0000-00006D740000}"/>
    <cellStyle name="Output 2 6 2 5 4 6" xfId="32086" xr:uid="{00000000-0005-0000-0000-00006E740000}"/>
    <cellStyle name="Output 2 6 2 5 4 7" xfId="12852" xr:uid="{00000000-0005-0000-0000-00006F740000}"/>
    <cellStyle name="Output 2 6 2 5 5" xfId="2652" xr:uid="{00000000-0005-0000-0000-000070740000}"/>
    <cellStyle name="Output 2 6 2 5 5 2" xfId="5504" xr:uid="{00000000-0005-0000-0000-000071740000}"/>
    <cellStyle name="Output 2 6 2 5 5 2 2" xfId="24476" xr:uid="{00000000-0005-0000-0000-000072740000}"/>
    <cellStyle name="Output 2 6 2 5 5 2 3" xfId="35321" xr:uid="{00000000-0005-0000-0000-000073740000}"/>
    <cellStyle name="Output 2 6 2 5 5 2 4" xfId="15168" xr:uid="{00000000-0005-0000-0000-000074740000}"/>
    <cellStyle name="Output 2 6 2 5 5 3" xfId="8175" xr:uid="{00000000-0005-0000-0000-000075740000}"/>
    <cellStyle name="Output 2 6 2 5 5 3 2" xfId="27147" xr:uid="{00000000-0005-0000-0000-000076740000}"/>
    <cellStyle name="Output 2 6 2 5 5 3 3" xfId="37992" xr:uid="{00000000-0005-0000-0000-000077740000}"/>
    <cellStyle name="Output 2 6 2 5 5 3 4" xfId="17081" xr:uid="{00000000-0005-0000-0000-000078740000}"/>
    <cellStyle name="Output 2 6 2 5 5 4" xfId="10834" xr:uid="{00000000-0005-0000-0000-000079740000}"/>
    <cellStyle name="Output 2 6 2 5 5 4 2" xfId="29806" xr:uid="{00000000-0005-0000-0000-00007A740000}"/>
    <cellStyle name="Output 2 6 2 5 5 4 3" xfId="40651" xr:uid="{00000000-0005-0000-0000-00007B740000}"/>
    <cellStyle name="Output 2 6 2 5 5 4 4" xfId="18985" xr:uid="{00000000-0005-0000-0000-00007C740000}"/>
    <cellStyle name="Output 2 6 2 5 5 5" xfId="21630" xr:uid="{00000000-0005-0000-0000-00007D740000}"/>
    <cellStyle name="Output 2 6 2 5 5 6" xfId="32475" xr:uid="{00000000-0005-0000-0000-00007E740000}"/>
    <cellStyle name="Output 2 6 2 5 5 7" xfId="13131" xr:uid="{00000000-0005-0000-0000-00007F740000}"/>
    <cellStyle name="Output 2 6 2 5 6" xfId="3038" xr:uid="{00000000-0005-0000-0000-000080740000}"/>
    <cellStyle name="Output 2 6 2 5 6 2" xfId="5889" xr:uid="{00000000-0005-0000-0000-000081740000}"/>
    <cellStyle name="Output 2 6 2 5 6 2 2" xfId="24861" xr:uid="{00000000-0005-0000-0000-000082740000}"/>
    <cellStyle name="Output 2 6 2 5 6 2 3" xfId="35706" xr:uid="{00000000-0005-0000-0000-000083740000}"/>
    <cellStyle name="Output 2 6 2 5 6 2 4" xfId="15444" xr:uid="{00000000-0005-0000-0000-000084740000}"/>
    <cellStyle name="Output 2 6 2 5 6 3" xfId="8560" xr:uid="{00000000-0005-0000-0000-000085740000}"/>
    <cellStyle name="Output 2 6 2 5 6 3 2" xfId="27532" xr:uid="{00000000-0005-0000-0000-000086740000}"/>
    <cellStyle name="Output 2 6 2 5 6 3 3" xfId="38377" xr:uid="{00000000-0005-0000-0000-000087740000}"/>
    <cellStyle name="Output 2 6 2 5 6 3 4" xfId="17357" xr:uid="{00000000-0005-0000-0000-000088740000}"/>
    <cellStyle name="Output 2 6 2 5 6 4" xfId="11219" xr:uid="{00000000-0005-0000-0000-000089740000}"/>
    <cellStyle name="Output 2 6 2 5 6 4 2" xfId="30191" xr:uid="{00000000-0005-0000-0000-00008A740000}"/>
    <cellStyle name="Output 2 6 2 5 6 4 3" xfId="41036" xr:uid="{00000000-0005-0000-0000-00008B740000}"/>
    <cellStyle name="Output 2 6 2 5 6 4 4" xfId="19261" xr:uid="{00000000-0005-0000-0000-00008C740000}"/>
    <cellStyle name="Output 2 6 2 5 6 5" xfId="22015" xr:uid="{00000000-0005-0000-0000-00008D740000}"/>
    <cellStyle name="Output 2 6 2 5 6 6" xfId="32860" xr:uid="{00000000-0005-0000-0000-00008E740000}"/>
    <cellStyle name="Output 2 6 2 5 6 7" xfId="13407" xr:uid="{00000000-0005-0000-0000-00008F740000}"/>
    <cellStyle name="Output 2 6 2 5 7" xfId="3727" xr:uid="{00000000-0005-0000-0000-000090740000}"/>
    <cellStyle name="Output 2 6 2 5 7 2" xfId="22699" xr:uid="{00000000-0005-0000-0000-000091740000}"/>
    <cellStyle name="Output 2 6 2 5 7 3" xfId="33544" xr:uid="{00000000-0005-0000-0000-000092740000}"/>
    <cellStyle name="Output 2 6 2 5 7 4" xfId="13888" xr:uid="{00000000-0005-0000-0000-000093740000}"/>
    <cellStyle name="Output 2 6 2 5 8" xfId="6402" xr:uid="{00000000-0005-0000-0000-000094740000}"/>
    <cellStyle name="Output 2 6 2 5 8 2" xfId="25374" xr:uid="{00000000-0005-0000-0000-000095740000}"/>
    <cellStyle name="Output 2 6 2 5 8 3" xfId="36219" xr:uid="{00000000-0005-0000-0000-000096740000}"/>
    <cellStyle name="Output 2 6 2 5 8 4" xfId="15804" xr:uid="{00000000-0005-0000-0000-000097740000}"/>
    <cellStyle name="Output 2 6 2 5 9" xfId="9061" xr:uid="{00000000-0005-0000-0000-000098740000}"/>
    <cellStyle name="Output 2 6 2 5 9 2" xfId="28033" xr:uid="{00000000-0005-0000-0000-000099740000}"/>
    <cellStyle name="Output 2 6 2 5 9 3" xfId="38878" xr:uid="{00000000-0005-0000-0000-00009A740000}"/>
    <cellStyle name="Output 2 6 2 5 9 4" xfId="17708" xr:uid="{00000000-0005-0000-0000-00009B740000}"/>
    <cellStyle name="Output 2 6 2 6" xfId="1094" xr:uid="{00000000-0005-0000-0000-00009C740000}"/>
    <cellStyle name="Output 2 6 2 6 2" xfId="3947" xr:uid="{00000000-0005-0000-0000-00009D740000}"/>
    <cellStyle name="Output 2 6 2 6 2 2" xfId="22919" xr:uid="{00000000-0005-0000-0000-00009E740000}"/>
    <cellStyle name="Output 2 6 2 6 2 3" xfId="33764" xr:uid="{00000000-0005-0000-0000-00009F740000}"/>
    <cellStyle name="Output 2 6 2 6 2 4" xfId="14050" xr:uid="{00000000-0005-0000-0000-0000A0740000}"/>
    <cellStyle name="Output 2 6 2 6 3" xfId="6621" xr:uid="{00000000-0005-0000-0000-0000A1740000}"/>
    <cellStyle name="Output 2 6 2 6 3 2" xfId="25593" xr:uid="{00000000-0005-0000-0000-0000A2740000}"/>
    <cellStyle name="Output 2 6 2 6 3 3" xfId="36438" xr:uid="{00000000-0005-0000-0000-0000A3740000}"/>
    <cellStyle name="Output 2 6 2 6 3 4" xfId="15966" xr:uid="{00000000-0005-0000-0000-0000A4740000}"/>
    <cellStyle name="Output 2 6 2 6 4" xfId="9280" xr:uid="{00000000-0005-0000-0000-0000A5740000}"/>
    <cellStyle name="Output 2 6 2 6 4 2" xfId="28252" xr:uid="{00000000-0005-0000-0000-0000A6740000}"/>
    <cellStyle name="Output 2 6 2 6 4 3" xfId="39097" xr:uid="{00000000-0005-0000-0000-0000A7740000}"/>
    <cellStyle name="Output 2 6 2 6 4 4" xfId="17870" xr:uid="{00000000-0005-0000-0000-0000A8740000}"/>
    <cellStyle name="Output 2 6 2 6 5" xfId="20076" xr:uid="{00000000-0005-0000-0000-0000A9740000}"/>
    <cellStyle name="Output 2 6 2 6 6" xfId="30921" xr:uid="{00000000-0005-0000-0000-0000AA740000}"/>
    <cellStyle name="Output 2 6 2 6 7" xfId="12016" xr:uid="{00000000-0005-0000-0000-0000AB740000}"/>
    <cellStyle name="Output 2 6 2 7" xfId="1493" xr:uid="{00000000-0005-0000-0000-0000AC740000}"/>
    <cellStyle name="Output 2 6 2 7 2" xfId="4346" xr:uid="{00000000-0005-0000-0000-0000AD740000}"/>
    <cellStyle name="Output 2 6 2 7 2 2" xfId="23318" xr:uid="{00000000-0005-0000-0000-0000AE740000}"/>
    <cellStyle name="Output 2 6 2 7 2 3" xfId="34163" xr:uid="{00000000-0005-0000-0000-0000AF740000}"/>
    <cellStyle name="Output 2 6 2 7 2 4" xfId="14339" xr:uid="{00000000-0005-0000-0000-0000B0740000}"/>
    <cellStyle name="Output 2 6 2 7 3" xfId="7019" xr:uid="{00000000-0005-0000-0000-0000B1740000}"/>
    <cellStyle name="Output 2 6 2 7 3 2" xfId="25991" xr:uid="{00000000-0005-0000-0000-0000B2740000}"/>
    <cellStyle name="Output 2 6 2 7 3 3" xfId="36836" xr:uid="{00000000-0005-0000-0000-0000B3740000}"/>
    <cellStyle name="Output 2 6 2 7 3 4" xfId="16254" xr:uid="{00000000-0005-0000-0000-0000B4740000}"/>
    <cellStyle name="Output 2 6 2 7 4" xfId="9678" xr:uid="{00000000-0005-0000-0000-0000B5740000}"/>
    <cellStyle name="Output 2 6 2 7 4 2" xfId="28650" xr:uid="{00000000-0005-0000-0000-0000B6740000}"/>
    <cellStyle name="Output 2 6 2 7 4 3" xfId="39495" xr:uid="{00000000-0005-0000-0000-0000B7740000}"/>
    <cellStyle name="Output 2 6 2 7 4 4" xfId="18158" xr:uid="{00000000-0005-0000-0000-0000B8740000}"/>
    <cellStyle name="Output 2 6 2 7 5" xfId="20474" xr:uid="{00000000-0005-0000-0000-0000B9740000}"/>
    <cellStyle name="Output 2 6 2 7 6" xfId="31319" xr:uid="{00000000-0005-0000-0000-0000BA740000}"/>
    <cellStyle name="Output 2 6 2 7 7" xfId="12304" xr:uid="{00000000-0005-0000-0000-0000BB740000}"/>
    <cellStyle name="Output 2 6 2 8" xfId="1901" xr:uid="{00000000-0005-0000-0000-0000BC740000}"/>
    <cellStyle name="Output 2 6 2 8 2" xfId="4754" xr:uid="{00000000-0005-0000-0000-0000BD740000}"/>
    <cellStyle name="Output 2 6 2 8 2 2" xfId="23726" xr:uid="{00000000-0005-0000-0000-0000BE740000}"/>
    <cellStyle name="Output 2 6 2 8 2 3" xfId="34571" xr:uid="{00000000-0005-0000-0000-0000BF740000}"/>
    <cellStyle name="Output 2 6 2 8 2 4" xfId="14630" xr:uid="{00000000-0005-0000-0000-0000C0740000}"/>
    <cellStyle name="Output 2 6 2 8 3" xfId="7426" xr:uid="{00000000-0005-0000-0000-0000C1740000}"/>
    <cellStyle name="Output 2 6 2 8 3 2" xfId="26398" xr:uid="{00000000-0005-0000-0000-0000C2740000}"/>
    <cellStyle name="Output 2 6 2 8 3 3" xfId="37243" xr:uid="{00000000-0005-0000-0000-0000C3740000}"/>
    <cellStyle name="Output 2 6 2 8 3 4" xfId="16544" xr:uid="{00000000-0005-0000-0000-0000C4740000}"/>
    <cellStyle name="Output 2 6 2 8 4" xfId="10085" xr:uid="{00000000-0005-0000-0000-0000C5740000}"/>
    <cellStyle name="Output 2 6 2 8 4 2" xfId="29057" xr:uid="{00000000-0005-0000-0000-0000C6740000}"/>
    <cellStyle name="Output 2 6 2 8 4 3" xfId="39902" xr:uid="{00000000-0005-0000-0000-0000C7740000}"/>
    <cellStyle name="Output 2 6 2 8 4 4" xfId="18448" xr:uid="{00000000-0005-0000-0000-0000C8740000}"/>
    <cellStyle name="Output 2 6 2 8 5" xfId="20881" xr:uid="{00000000-0005-0000-0000-0000C9740000}"/>
    <cellStyle name="Output 2 6 2 8 6" xfId="31726" xr:uid="{00000000-0005-0000-0000-0000CA740000}"/>
    <cellStyle name="Output 2 6 2 8 7" xfId="12594" xr:uid="{00000000-0005-0000-0000-0000CB740000}"/>
    <cellStyle name="Output 2 6 2 9" xfId="2295" xr:uid="{00000000-0005-0000-0000-0000CC740000}"/>
    <cellStyle name="Output 2 6 2 9 2" xfId="5148" xr:uid="{00000000-0005-0000-0000-0000CD740000}"/>
    <cellStyle name="Output 2 6 2 9 2 2" xfId="24120" xr:uid="{00000000-0005-0000-0000-0000CE740000}"/>
    <cellStyle name="Output 2 6 2 9 2 3" xfId="34965" xr:uid="{00000000-0005-0000-0000-0000CF740000}"/>
    <cellStyle name="Output 2 6 2 9 2 4" xfId="14912" xr:uid="{00000000-0005-0000-0000-0000D0740000}"/>
    <cellStyle name="Output 2 6 2 9 3" xfId="7819" xr:uid="{00000000-0005-0000-0000-0000D1740000}"/>
    <cellStyle name="Output 2 6 2 9 3 2" xfId="26791" xr:uid="{00000000-0005-0000-0000-0000D2740000}"/>
    <cellStyle name="Output 2 6 2 9 3 3" xfId="37636" xr:uid="{00000000-0005-0000-0000-0000D3740000}"/>
    <cellStyle name="Output 2 6 2 9 3 4" xfId="16825" xr:uid="{00000000-0005-0000-0000-0000D4740000}"/>
    <cellStyle name="Output 2 6 2 9 4" xfId="10478" xr:uid="{00000000-0005-0000-0000-0000D5740000}"/>
    <cellStyle name="Output 2 6 2 9 4 2" xfId="29450" xr:uid="{00000000-0005-0000-0000-0000D6740000}"/>
    <cellStyle name="Output 2 6 2 9 4 3" xfId="40295" xr:uid="{00000000-0005-0000-0000-0000D7740000}"/>
    <cellStyle name="Output 2 6 2 9 4 4" xfId="18729" xr:uid="{00000000-0005-0000-0000-0000D8740000}"/>
    <cellStyle name="Output 2 6 2 9 5" xfId="21274" xr:uid="{00000000-0005-0000-0000-0000D9740000}"/>
    <cellStyle name="Output 2 6 2 9 6" xfId="32119" xr:uid="{00000000-0005-0000-0000-0000DA740000}"/>
    <cellStyle name="Output 2 6 2 9 7" xfId="12875" xr:uid="{00000000-0005-0000-0000-0000DB740000}"/>
    <cellStyle name="Output 2 6 3" xfId="576" xr:uid="{00000000-0005-0000-0000-0000DC740000}"/>
    <cellStyle name="Output 2 6 3 10" xfId="19586" xr:uid="{00000000-0005-0000-0000-0000DD740000}"/>
    <cellStyle name="Output 2 6 3 11" xfId="30431" xr:uid="{00000000-0005-0000-0000-0000DE740000}"/>
    <cellStyle name="Output 2 6 3 12" xfId="11640" xr:uid="{00000000-0005-0000-0000-0000DF740000}"/>
    <cellStyle name="Output 2 6 3 2" xfId="1182" xr:uid="{00000000-0005-0000-0000-0000E0740000}"/>
    <cellStyle name="Output 2 6 3 2 2" xfId="4035" xr:uid="{00000000-0005-0000-0000-0000E1740000}"/>
    <cellStyle name="Output 2 6 3 2 2 2" xfId="23007" xr:uid="{00000000-0005-0000-0000-0000E2740000}"/>
    <cellStyle name="Output 2 6 3 2 2 3" xfId="33852" xr:uid="{00000000-0005-0000-0000-0000E3740000}"/>
    <cellStyle name="Output 2 6 3 2 2 4" xfId="14117" xr:uid="{00000000-0005-0000-0000-0000E4740000}"/>
    <cellStyle name="Output 2 6 3 2 3" xfId="6708" xr:uid="{00000000-0005-0000-0000-0000E5740000}"/>
    <cellStyle name="Output 2 6 3 2 3 2" xfId="25680" xr:uid="{00000000-0005-0000-0000-0000E6740000}"/>
    <cellStyle name="Output 2 6 3 2 3 3" xfId="36525" xr:uid="{00000000-0005-0000-0000-0000E7740000}"/>
    <cellStyle name="Output 2 6 3 2 3 4" xfId="16032" xr:uid="{00000000-0005-0000-0000-0000E8740000}"/>
    <cellStyle name="Output 2 6 3 2 4" xfId="9367" xr:uid="{00000000-0005-0000-0000-0000E9740000}"/>
    <cellStyle name="Output 2 6 3 2 4 2" xfId="28339" xr:uid="{00000000-0005-0000-0000-0000EA740000}"/>
    <cellStyle name="Output 2 6 3 2 4 3" xfId="39184" xr:uid="{00000000-0005-0000-0000-0000EB740000}"/>
    <cellStyle name="Output 2 6 3 2 4 4" xfId="17936" xr:uid="{00000000-0005-0000-0000-0000EC740000}"/>
    <cellStyle name="Output 2 6 3 2 5" xfId="20163" xr:uid="{00000000-0005-0000-0000-0000ED740000}"/>
    <cellStyle name="Output 2 6 3 2 6" xfId="31008" xr:uid="{00000000-0005-0000-0000-0000EE740000}"/>
    <cellStyle name="Output 2 6 3 2 7" xfId="12082" xr:uid="{00000000-0005-0000-0000-0000EF740000}"/>
    <cellStyle name="Output 2 6 3 3" xfId="1579" xr:uid="{00000000-0005-0000-0000-0000F0740000}"/>
    <cellStyle name="Output 2 6 3 3 2" xfId="4432" xr:uid="{00000000-0005-0000-0000-0000F1740000}"/>
    <cellStyle name="Output 2 6 3 3 2 2" xfId="23404" xr:uid="{00000000-0005-0000-0000-0000F2740000}"/>
    <cellStyle name="Output 2 6 3 3 2 3" xfId="34249" xr:uid="{00000000-0005-0000-0000-0000F3740000}"/>
    <cellStyle name="Output 2 6 3 3 2 4" xfId="14403" xr:uid="{00000000-0005-0000-0000-0000F4740000}"/>
    <cellStyle name="Output 2 6 3 3 3" xfId="7104" xr:uid="{00000000-0005-0000-0000-0000F5740000}"/>
    <cellStyle name="Output 2 6 3 3 3 2" xfId="26076" xr:uid="{00000000-0005-0000-0000-0000F6740000}"/>
    <cellStyle name="Output 2 6 3 3 3 3" xfId="36921" xr:uid="{00000000-0005-0000-0000-0000F7740000}"/>
    <cellStyle name="Output 2 6 3 3 3 4" xfId="16317" xr:uid="{00000000-0005-0000-0000-0000F8740000}"/>
    <cellStyle name="Output 2 6 3 3 4" xfId="9763" xr:uid="{00000000-0005-0000-0000-0000F9740000}"/>
    <cellStyle name="Output 2 6 3 3 4 2" xfId="28735" xr:uid="{00000000-0005-0000-0000-0000FA740000}"/>
    <cellStyle name="Output 2 6 3 3 4 3" xfId="39580" xr:uid="{00000000-0005-0000-0000-0000FB740000}"/>
    <cellStyle name="Output 2 6 3 3 4 4" xfId="18221" xr:uid="{00000000-0005-0000-0000-0000FC740000}"/>
    <cellStyle name="Output 2 6 3 3 5" xfId="20559" xr:uid="{00000000-0005-0000-0000-0000FD740000}"/>
    <cellStyle name="Output 2 6 3 3 6" xfId="31404" xr:uid="{00000000-0005-0000-0000-0000FE740000}"/>
    <cellStyle name="Output 2 6 3 3 7" xfId="12367" xr:uid="{00000000-0005-0000-0000-0000FF740000}"/>
    <cellStyle name="Output 2 6 3 4" xfId="1983" xr:uid="{00000000-0005-0000-0000-000000750000}"/>
    <cellStyle name="Output 2 6 3 4 2" xfId="4836" xr:uid="{00000000-0005-0000-0000-000001750000}"/>
    <cellStyle name="Output 2 6 3 4 2 2" xfId="23808" xr:uid="{00000000-0005-0000-0000-000002750000}"/>
    <cellStyle name="Output 2 6 3 4 2 3" xfId="34653" xr:uid="{00000000-0005-0000-0000-000003750000}"/>
    <cellStyle name="Output 2 6 3 4 2 4" xfId="14691" xr:uid="{00000000-0005-0000-0000-000004750000}"/>
    <cellStyle name="Output 2 6 3 4 3" xfId="7508" xr:uid="{00000000-0005-0000-0000-000005750000}"/>
    <cellStyle name="Output 2 6 3 4 3 2" xfId="26480" xr:uid="{00000000-0005-0000-0000-000006750000}"/>
    <cellStyle name="Output 2 6 3 4 3 3" xfId="37325" xr:uid="{00000000-0005-0000-0000-000007750000}"/>
    <cellStyle name="Output 2 6 3 4 3 4" xfId="16605" xr:uid="{00000000-0005-0000-0000-000008750000}"/>
    <cellStyle name="Output 2 6 3 4 4" xfId="10167" xr:uid="{00000000-0005-0000-0000-000009750000}"/>
    <cellStyle name="Output 2 6 3 4 4 2" xfId="29139" xr:uid="{00000000-0005-0000-0000-00000A750000}"/>
    <cellStyle name="Output 2 6 3 4 4 3" xfId="39984" xr:uid="{00000000-0005-0000-0000-00000B750000}"/>
    <cellStyle name="Output 2 6 3 4 4 4" xfId="18509" xr:uid="{00000000-0005-0000-0000-00000C750000}"/>
    <cellStyle name="Output 2 6 3 4 5" xfId="20963" xr:uid="{00000000-0005-0000-0000-00000D750000}"/>
    <cellStyle name="Output 2 6 3 4 6" xfId="31808" xr:uid="{00000000-0005-0000-0000-00000E750000}"/>
    <cellStyle name="Output 2 6 3 4 7" xfId="12655" xr:uid="{00000000-0005-0000-0000-00000F750000}"/>
    <cellStyle name="Output 2 6 3 5" xfId="2375" xr:uid="{00000000-0005-0000-0000-000010750000}"/>
    <cellStyle name="Output 2 6 3 5 2" xfId="5228" xr:uid="{00000000-0005-0000-0000-000011750000}"/>
    <cellStyle name="Output 2 6 3 5 2 2" xfId="24200" xr:uid="{00000000-0005-0000-0000-000012750000}"/>
    <cellStyle name="Output 2 6 3 5 2 3" xfId="35045" xr:uid="{00000000-0005-0000-0000-000013750000}"/>
    <cellStyle name="Output 2 6 3 5 2 4" xfId="14972" xr:uid="{00000000-0005-0000-0000-000014750000}"/>
    <cellStyle name="Output 2 6 3 5 3" xfId="7899" xr:uid="{00000000-0005-0000-0000-000015750000}"/>
    <cellStyle name="Output 2 6 3 5 3 2" xfId="26871" xr:uid="{00000000-0005-0000-0000-000016750000}"/>
    <cellStyle name="Output 2 6 3 5 3 3" xfId="37716" xr:uid="{00000000-0005-0000-0000-000017750000}"/>
    <cellStyle name="Output 2 6 3 5 3 4" xfId="16885" xr:uid="{00000000-0005-0000-0000-000018750000}"/>
    <cellStyle name="Output 2 6 3 5 4" xfId="10558" xr:uid="{00000000-0005-0000-0000-000019750000}"/>
    <cellStyle name="Output 2 6 3 5 4 2" xfId="29530" xr:uid="{00000000-0005-0000-0000-00001A750000}"/>
    <cellStyle name="Output 2 6 3 5 4 3" xfId="40375" xr:uid="{00000000-0005-0000-0000-00001B750000}"/>
    <cellStyle name="Output 2 6 3 5 4 4" xfId="18789" xr:uid="{00000000-0005-0000-0000-00001C750000}"/>
    <cellStyle name="Output 2 6 3 5 5" xfId="21354" xr:uid="{00000000-0005-0000-0000-00001D750000}"/>
    <cellStyle name="Output 2 6 3 5 6" xfId="32199" xr:uid="{00000000-0005-0000-0000-00001E750000}"/>
    <cellStyle name="Output 2 6 3 5 7" xfId="12935" xr:uid="{00000000-0005-0000-0000-00001F750000}"/>
    <cellStyle name="Output 2 6 3 6" xfId="2764" xr:uid="{00000000-0005-0000-0000-000020750000}"/>
    <cellStyle name="Output 2 6 3 6 2" xfId="5616" xr:uid="{00000000-0005-0000-0000-000021750000}"/>
    <cellStyle name="Output 2 6 3 6 2 2" xfId="24588" xr:uid="{00000000-0005-0000-0000-000022750000}"/>
    <cellStyle name="Output 2 6 3 6 2 3" xfId="35433" xr:uid="{00000000-0005-0000-0000-000023750000}"/>
    <cellStyle name="Output 2 6 3 6 2 4" xfId="15250" xr:uid="{00000000-0005-0000-0000-000024750000}"/>
    <cellStyle name="Output 2 6 3 6 3" xfId="8287" xr:uid="{00000000-0005-0000-0000-000025750000}"/>
    <cellStyle name="Output 2 6 3 6 3 2" xfId="27259" xr:uid="{00000000-0005-0000-0000-000026750000}"/>
    <cellStyle name="Output 2 6 3 6 3 3" xfId="38104" xr:uid="{00000000-0005-0000-0000-000027750000}"/>
    <cellStyle name="Output 2 6 3 6 3 4" xfId="17163" xr:uid="{00000000-0005-0000-0000-000028750000}"/>
    <cellStyle name="Output 2 6 3 6 4" xfId="10946" xr:uid="{00000000-0005-0000-0000-000029750000}"/>
    <cellStyle name="Output 2 6 3 6 4 2" xfId="29918" xr:uid="{00000000-0005-0000-0000-00002A750000}"/>
    <cellStyle name="Output 2 6 3 6 4 3" xfId="40763" xr:uid="{00000000-0005-0000-0000-00002B750000}"/>
    <cellStyle name="Output 2 6 3 6 4 4" xfId="19067" xr:uid="{00000000-0005-0000-0000-00002C750000}"/>
    <cellStyle name="Output 2 6 3 6 5" xfId="21742" xr:uid="{00000000-0005-0000-0000-00002D750000}"/>
    <cellStyle name="Output 2 6 3 6 6" xfId="32587" xr:uid="{00000000-0005-0000-0000-00002E750000}"/>
    <cellStyle name="Output 2 6 3 6 7" xfId="13213" xr:uid="{00000000-0005-0000-0000-00002F750000}"/>
    <cellStyle name="Output 2 6 3 7" xfId="3455" xr:uid="{00000000-0005-0000-0000-000030750000}"/>
    <cellStyle name="Output 2 6 3 7 2" xfId="22427" xr:uid="{00000000-0005-0000-0000-000031750000}"/>
    <cellStyle name="Output 2 6 3 7 3" xfId="33272" xr:uid="{00000000-0005-0000-0000-000032750000}"/>
    <cellStyle name="Output 2 6 3 7 4" xfId="13695" xr:uid="{00000000-0005-0000-0000-000033750000}"/>
    <cellStyle name="Output 2 6 3 8" xfId="6131" xr:uid="{00000000-0005-0000-0000-000034750000}"/>
    <cellStyle name="Output 2 6 3 8 2" xfId="25103" xr:uid="{00000000-0005-0000-0000-000035750000}"/>
    <cellStyle name="Output 2 6 3 8 3" xfId="35948" xr:uid="{00000000-0005-0000-0000-000036750000}"/>
    <cellStyle name="Output 2 6 3 8 4" xfId="15612" xr:uid="{00000000-0005-0000-0000-000037750000}"/>
    <cellStyle name="Output 2 6 3 9" xfId="8790" xr:uid="{00000000-0005-0000-0000-000038750000}"/>
    <cellStyle name="Output 2 6 3 9 2" xfId="27762" xr:uid="{00000000-0005-0000-0000-000039750000}"/>
    <cellStyle name="Output 2 6 3 9 3" xfId="38607" xr:uid="{00000000-0005-0000-0000-00003A750000}"/>
    <cellStyle name="Output 2 6 3 9 4" xfId="17516" xr:uid="{00000000-0005-0000-0000-00003B750000}"/>
    <cellStyle name="Output 2 6 4" xfId="11467" xr:uid="{00000000-0005-0000-0000-00003C750000}"/>
    <cellStyle name="Output 2 7" xfId="143" xr:uid="{00000000-0005-0000-0000-00003D750000}"/>
    <cellStyle name="Output 2 7 2" xfId="394" xr:uid="{00000000-0005-0000-0000-00003E750000}"/>
    <cellStyle name="Output 2 7 2 10" xfId="2686" xr:uid="{00000000-0005-0000-0000-00003F750000}"/>
    <cellStyle name="Output 2 7 2 10 2" xfId="5538" xr:uid="{00000000-0005-0000-0000-000040750000}"/>
    <cellStyle name="Output 2 7 2 10 2 2" xfId="24510" xr:uid="{00000000-0005-0000-0000-000041750000}"/>
    <cellStyle name="Output 2 7 2 10 2 3" xfId="35355" xr:uid="{00000000-0005-0000-0000-000042750000}"/>
    <cellStyle name="Output 2 7 2 10 2 4" xfId="15192" xr:uid="{00000000-0005-0000-0000-000043750000}"/>
    <cellStyle name="Output 2 7 2 10 3" xfId="8209" xr:uid="{00000000-0005-0000-0000-000044750000}"/>
    <cellStyle name="Output 2 7 2 10 3 2" xfId="27181" xr:uid="{00000000-0005-0000-0000-000045750000}"/>
    <cellStyle name="Output 2 7 2 10 3 3" xfId="38026" xr:uid="{00000000-0005-0000-0000-000046750000}"/>
    <cellStyle name="Output 2 7 2 10 3 4" xfId="17105" xr:uid="{00000000-0005-0000-0000-000047750000}"/>
    <cellStyle name="Output 2 7 2 10 4" xfId="10868" xr:uid="{00000000-0005-0000-0000-000048750000}"/>
    <cellStyle name="Output 2 7 2 10 4 2" xfId="29840" xr:uid="{00000000-0005-0000-0000-000049750000}"/>
    <cellStyle name="Output 2 7 2 10 4 3" xfId="40685" xr:uid="{00000000-0005-0000-0000-00004A750000}"/>
    <cellStyle name="Output 2 7 2 10 4 4" xfId="19009" xr:uid="{00000000-0005-0000-0000-00004B750000}"/>
    <cellStyle name="Output 2 7 2 10 5" xfId="21664" xr:uid="{00000000-0005-0000-0000-00004C750000}"/>
    <cellStyle name="Output 2 7 2 10 6" xfId="32509" xr:uid="{00000000-0005-0000-0000-00004D750000}"/>
    <cellStyle name="Output 2 7 2 10 7" xfId="13155" xr:uid="{00000000-0005-0000-0000-00004E750000}"/>
    <cellStyle name="Output 2 7 2 11" xfId="3072" xr:uid="{00000000-0005-0000-0000-00004F750000}"/>
    <cellStyle name="Output 2 7 2 11 2" xfId="5923" xr:uid="{00000000-0005-0000-0000-000050750000}"/>
    <cellStyle name="Output 2 7 2 11 2 2" xfId="24895" xr:uid="{00000000-0005-0000-0000-000051750000}"/>
    <cellStyle name="Output 2 7 2 11 2 3" xfId="35740" xr:uid="{00000000-0005-0000-0000-000052750000}"/>
    <cellStyle name="Output 2 7 2 11 2 4" xfId="15468" xr:uid="{00000000-0005-0000-0000-000053750000}"/>
    <cellStyle name="Output 2 7 2 11 3" xfId="8594" xr:uid="{00000000-0005-0000-0000-000054750000}"/>
    <cellStyle name="Output 2 7 2 11 3 2" xfId="27566" xr:uid="{00000000-0005-0000-0000-000055750000}"/>
    <cellStyle name="Output 2 7 2 11 3 3" xfId="38411" xr:uid="{00000000-0005-0000-0000-000056750000}"/>
    <cellStyle name="Output 2 7 2 11 3 4" xfId="17381" xr:uid="{00000000-0005-0000-0000-000057750000}"/>
    <cellStyle name="Output 2 7 2 11 4" xfId="11253" xr:uid="{00000000-0005-0000-0000-000058750000}"/>
    <cellStyle name="Output 2 7 2 11 4 2" xfId="30225" xr:uid="{00000000-0005-0000-0000-000059750000}"/>
    <cellStyle name="Output 2 7 2 11 4 3" xfId="41070" xr:uid="{00000000-0005-0000-0000-00005A750000}"/>
    <cellStyle name="Output 2 7 2 11 4 4" xfId="19285" xr:uid="{00000000-0005-0000-0000-00005B750000}"/>
    <cellStyle name="Output 2 7 2 11 5" xfId="22049" xr:uid="{00000000-0005-0000-0000-00005C750000}"/>
    <cellStyle name="Output 2 7 2 11 6" xfId="32894" xr:uid="{00000000-0005-0000-0000-00005D750000}"/>
    <cellStyle name="Output 2 7 2 11 7" xfId="13431" xr:uid="{00000000-0005-0000-0000-00005E750000}"/>
    <cellStyle name="Output 2 7 2 12" xfId="3129" xr:uid="{00000000-0005-0000-0000-00005F750000}"/>
    <cellStyle name="Output 2 7 2 12 2" xfId="5980" xr:uid="{00000000-0005-0000-0000-000060750000}"/>
    <cellStyle name="Output 2 7 2 12 2 2" xfId="24952" xr:uid="{00000000-0005-0000-0000-000061750000}"/>
    <cellStyle name="Output 2 7 2 12 2 3" xfId="35797" xr:uid="{00000000-0005-0000-0000-000062750000}"/>
    <cellStyle name="Output 2 7 2 12 2 4" xfId="15505" xr:uid="{00000000-0005-0000-0000-000063750000}"/>
    <cellStyle name="Output 2 7 2 12 3" xfId="8651" xr:uid="{00000000-0005-0000-0000-000064750000}"/>
    <cellStyle name="Output 2 7 2 12 3 2" xfId="27623" xr:uid="{00000000-0005-0000-0000-000065750000}"/>
    <cellStyle name="Output 2 7 2 12 3 3" xfId="38468" xr:uid="{00000000-0005-0000-0000-000066750000}"/>
    <cellStyle name="Output 2 7 2 12 3 4" xfId="17418" xr:uid="{00000000-0005-0000-0000-000067750000}"/>
    <cellStyle name="Output 2 7 2 12 4" xfId="11310" xr:uid="{00000000-0005-0000-0000-000068750000}"/>
    <cellStyle name="Output 2 7 2 12 4 2" xfId="30282" xr:uid="{00000000-0005-0000-0000-000069750000}"/>
    <cellStyle name="Output 2 7 2 12 4 3" xfId="41127" xr:uid="{00000000-0005-0000-0000-00006A750000}"/>
    <cellStyle name="Output 2 7 2 12 4 4" xfId="19322" xr:uid="{00000000-0005-0000-0000-00006B750000}"/>
    <cellStyle name="Output 2 7 2 12 5" xfId="22106" xr:uid="{00000000-0005-0000-0000-00006C750000}"/>
    <cellStyle name="Output 2 7 2 12 6" xfId="32951" xr:uid="{00000000-0005-0000-0000-00006D750000}"/>
    <cellStyle name="Output 2 7 2 12 7" xfId="13468" xr:uid="{00000000-0005-0000-0000-00006E750000}"/>
    <cellStyle name="Output 2 7 2 13" xfId="3186" xr:uid="{00000000-0005-0000-0000-00006F750000}"/>
    <cellStyle name="Output 2 7 2 13 2" xfId="6037" xr:uid="{00000000-0005-0000-0000-000070750000}"/>
    <cellStyle name="Output 2 7 2 13 2 2" xfId="25009" xr:uid="{00000000-0005-0000-0000-000071750000}"/>
    <cellStyle name="Output 2 7 2 13 2 3" xfId="35854" xr:uid="{00000000-0005-0000-0000-000072750000}"/>
    <cellStyle name="Output 2 7 2 13 2 4" xfId="15542" xr:uid="{00000000-0005-0000-0000-000073750000}"/>
    <cellStyle name="Output 2 7 2 13 3" xfId="8708" xr:uid="{00000000-0005-0000-0000-000074750000}"/>
    <cellStyle name="Output 2 7 2 13 3 2" xfId="27680" xr:uid="{00000000-0005-0000-0000-000075750000}"/>
    <cellStyle name="Output 2 7 2 13 3 3" xfId="38525" xr:uid="{00000000-0005-0000-0000-000076750000}"/>
    <cellStyle name="Output 2 7 2 13 3 4" xfId="17455" xr:uid="{00000000-0005-0000-0000-000077750000}"/>
    <cellStyle name="Output 2 7 2 13 4" xfId="11367" xr:uid="{00000000-0005-0000-0000-000078750000}"/>
    <cellStyle name="Output 2 7 2 13 4 2" xfId="30339" xr:uid="{00000000-0005-0000-0000-000079750000}"/>
    <cellStyle name="Output 2 7 2 13 4 3" xfId="41184" xr:uid="{00000000-0005-0000-0000-00007A750000}"/>
    <cellStyle name="Output 2 7 2 13 4 4" xfId="19359" xr:uid="{00000000-0005-0000-0000-00007B750000}"/>
    <cellStyle name="Output 2 7 2 13 5" xfId="22163" xr:uid="{00000000-0005-0000-0000-00007C750000}"/>
    <cellStyle name="Output 2 7 2 13 6" xfId="33008" xr:uid="{00000000-0005-0000-0000-00007D750000}"/>
    <cellStyle name="Output 2 7 2 13 7" xfId="13505" xr:uid="{00000000-0005-0000-0000-00007E750000}"/>
    <cellStyle name="Output 2 7 2 14" xfId="3352" xr:uid="{00000000-0005-0000-0000-00007F750000}"/>
    <cellStyle name="Output 2 7 2 14 2" xfId="22326" xr:uid="{00000000-0005-0000-0000-000080750000}"/>
    <cellStyle name="Output 2 7 2 14 3" xfId="33171" xr:uid="{00000000-0005-0000-0000-000081750000}"/>
    <cellStyle name="Output 2 7 2 14 4" xfId="13622" xr:uid="{00000000-0005-0000-0000-000082750000}"/>
    <cellStyle name="Output 2 7 2 15" xfId="3283" xr:uid="{00000000-0005-0000-0000-000083750000}"/>
    <cellStyle name="Output 2 7 2 15 2" xfId="22257" xr:uid="{00000000-0005-0000-0000-000084750000}"/>
    <cellStyle name="Output 2 7 2 15 3" xfId="33102" xr:uid="{00000000-0005-0000-0000-000085750000}"/>
    <cellStyle name="Output 2 7 2 15 4" xfId="13576" xr:uid="{00000000-0005-0000-0000-000086750000}"/>
    <cellStyle name="Output 2 7 2 16" xfId="3248" xr:uid="{00000000-0005-0000-0000-000087750000}"/>
    <cellStyle name="Output 2 7 2 16 2" xfId="22224" xr:uid="{00000000-0005-0000-0000-000088750000}"/>
    <cellStyle name="Output 2 7 2 16 3" xfId="33069" xr:uid="{00000000-0005-0000-0000-000089750000}"/>
    <cellStyle name="Output 2 7 2 16 4" xfId="13550" xr:uid="{00000000-0005-0000-0000-00008A750000}"/>
    <cellStyle name="Output 2 7 2 17" xfId="19483" xr:uid="{00000000-0005-0000-0000-00008B750000}"/>
    <cellStyle name="Output 2 7 2 18" xfId="19393" xr:uid="{00000000-0005-0000-0000-00008C750000}"/>
    <cellStyle name="Output 2 7 2 19" xfId="11532" xr:uid="{00000000-0005-0000-0000-00008D750000}"/>
    <cellStyle name="Output 2 7 2 2" xfId="694" xr:uid="{00000000-0005-0000-0000-00008E750000}"/>
    <cellStyle name="Output 2 7 2 2 10" xfId="19679" xr:uid="{00000000-0005-0000-0000-00008F750000}"/>
    <cellStyle name="Output 2 7 2 2 11" xfId="30524" xr:uid="{00000000-0005-0000-0000-000090750000}"/>
    <cellStyle name="Output 2 7 2 2 12" xfId="11736" xr:uid="{00000000-0005-0000-0000-000091750000}"/>
    <cellStyle name="Output 2 7 2 2 2" xfId="1281" xr:uid="{00000000-0005-0000-0000-000092750000}"/>
    <cellStyle name="Output 2 7 2 2 2 2" xfId="4134" xr:uid="{00000000-0005-0000-0000-000093750000}"/>
    <cellStyle name="Output 2 7 2 2 2 2 2" xfId="23106" xr:uid="{00000000-0005-0000-0000-000094750000}"/>
    <cellStyle name="Output 2 7 2 2 2 2 3" xfId="33951" xr:uid="{00000000-0005-0000-0000-000095750000}"/>
    <cellStyle name="Output 2 7 2 2 2 2 4" xfId="14197" xr:uid="{00000000-0005-0000-0000-000096750000}"/>
    <cellStyle name="Output 2 7 2 2 2 3" xfId="6807" xr:uid="{00000000-0005-0000-0000-000097750000}"/>
    <cellStyle name="Output 2 7 2 2 2 3 2" xfId="25779" xr:uid="{00000000-0005-0000-0000-000098750000}"/>
    <cellStyle name="Output 2 7 2 2 2 3 3" xfId="36624" xr:uid="{00000000-0005-0000-0000-000099750000}"/>
    <cellStyle name="Output 2 7 2 2 2 3 4" xfId="16112" xr:uid="{00000000-0005-0000-0000-00009A750000}"/>
    <cellStyle name="Output 2 7 2 2 2 4" xfId="9466" xr:uid="{00000000-0005-0000-0000-00009B750000}"/>
    <cellStyle name="Output 2 7 2 2 2 4 2" xfId="28438" xr:uid="{00000000-0005-0000-0000-00009C750000}"/>
    <cellStyle name="Output 2 7 2 2 2 4 3" xfId="39283" xr:uid="{00000000-0005-0000-0000-00009D750000}"/>
    <cellStyle name="Output 2 7 2 2 2 4 4" xfId="18016" xr:uid="{00000000-0005-0000-0000-00009E750000}"/>
    <cellStyle name="Output 2 7 2 2 2 5" xfId="20262" xr:uid="{00000000-0005-0000-0000-00009F750000}"/>
    <cellStyle name="Output 2 7 2 2 2 6" xfId="31107" xr:uid="{00000000-0005-0000-0000-0000A0750000}"/>
    <cellStyle name="Output 2 7 2 2 2 7" xfId="12162" xr:uid="{00000000-0005-0000-0000-0000A1750000}"/>
    <cellStyle name="Output 2 7 2 2 3" xfId="1680" xr:uid="{00000000-0005-0000-0000-0000A2750000}"/>
    <cellStyle name="Output 2 7 2 2 3 2" xfId="4533" xr:uid="{00000000-0005-0000-0000-0000A3750000}"/>
    <cellStyle name="Output 2 7 2 2 3 2 2" xfId="23505" xr:uid="{00000000-0005-0000-0000-0000A4750000}"/>
    <cellStyle name="Output 2 7 2 2 3 2 3" xfId="34350" xr:uid="{00000000-0005-0000-0000-0000A5750000}"/>
    <cellStyle name="Output 2 7 2 2 3 2 4" xfId="14484" xr:uid="{00000000-0005-0000-0000-0000A6750000}"/>
    <cellStyle name="Output 2 7 2 2 3 3" xfId="7205" xr:uid="{00000000-0005-0000-0000-0000A7750000}"/>
    <cellStyle name="Output 2 7 2 2 3 3 2" xfId="26177" xr:uid="{00000000-0005-0000-0000-0000A8750000}"/>
    <cellStyle name="Output 2 7 2 2 3 3 3" xfId="37022" xr:uid="{00000000-0005-0000-0000-0000A9750000}"/>
    <cellStyle name="Output 2 7 2 2 3 3 4" xfId="16398" xr:uid="{00000000-0005-0000-0000-0000AA750000}"/>
    <cellStyle name="Output 2 7 2 2 3 4" xfId="9864" xr:uid="{00000000-0005-0000-0000-0000AB750000}"/>
    <cellStyle name="Output 2 7 2 2 3 4 2" xfId="28836" xr:uid="{00000000-0005-0000-0000-0000AC750000}"/>
    <cellStyle name="Output 2 7 2 2 3 4 3" xfId="39681" xr:uid="{00000000-0005-0000-0000-0000AD750000}"/>
    <cellStyle name="Output 2 7 2 2 3 4 4" xfId="18302" xr:uid="{00000000-0005-0000-0000-0000AE750000}"/>
    <cellStyle name="Output 2 7 2 2 3 5" xfId="20660" xr:uid="{00000000-0005-0000-0000-0000AF750000}"/>
    <cellStyle name="Output 2 7 2 2 3 6" xfId="31505" xr:uid="{00000000-0005-0000-0000-0000B0750000}"/>
    <cellStyle name="Output 2 7 2 2 3 7" xfId="12448" xr:uid="{00000000-0005-0000-0000-0000B1750000}"/>
    <cellStyle name="Output 2 7 2 2 4" xfId="2084" xr:uid="{00000000-0005-0000-0000-0000B2750000}"/>
    <cellStyle name="Output 2 7 2 2 4 2" xfId="4937" xr:uid="{00000000-0005-0000-0000-0000B3750000}"/>
    <cellStyle name="Output 2 7 2 2 4 2 2" xfId="23909" xr:uid="{00000000-0005-0000-0000-0000B4750000}"/>
    <cellStyle name="Output 2 7 2 2 4 2 3" xfId="34754" xr:uid="{00000000-0005-0000-0000-0000B5750000}"/>
    <cellStyle name="Output 2 7 2 2 4 2 4" xfId="14771" xr:uid="{00000000-0005-0000-0000-0000B6750000}"/>
    <cellStyle name="Output 2 7 2 2 4 3" xfId="7608" xr:uid="{00000000-0005-0000-0000-0000B7750000}"/>
    <cellStyle name="Output 2 7 2 2 4 3 2" xfId="26580" xr:uid="{00000000-0005-0000-0000-0000B8750000}"/>
    <cellStyle name="Output 2 7 2 2 4 3 3" xfId="37425" xr:uid="{00000000-0005-0000-0000-0000B9750000}"/>
    <cellStyle name="Output 2 7 2 2 4 3 4" xfId="16684" xr:uid="{00000000-0005-0000-0000-0000BA750000}"/>
    <cellStyle name="Output 2 7 2 2 4 4" xfId="10267" xr:uid="{00000000-0005-0000-0000-0000BB750000}"/>
    <cellStyle name="Output 2 7 2 2 4 4 2" xfId="29239" xr:uid="{00000000-0005-0000-0000-0000BC750000}"/>
    <cellStyle name="Output 2 7 2 2 4 4 3" xfId="40084" xr:uid="{00000000-0005-0000-0000-0000BD750000}"/>
    <cellStyle name="Output 2 7 2 2 4 4 4" xfId="18588" xr:uid="{00000000-0005-0000-0000-0000BE750000}"/>
    <cellStyle name="Output 2 7 2 2 4 5" xfId="21063" xr:uid="{00000000-0005-0000-0000-0000BF750000}"/>
    <cellStyle name="Output 2 7 2 2 4 6" xfId="31908" xr:uid="{00000000-0005-0000-0000-0000C0750000}"/>
    <cellStyle name="Output 2 7 2 2 4 7" xfId="12734" xr:uid="{00000000-0005-0000-0000-0000C1750000}"/>
    <cellStyle name="Output 2 7 2 2 5" xfId="2474" xr:uid="{00000000-0005-0000-0000-0000C2750000}"/>
    <cellStyle name="Output 2 7 2 2 5 2" xfId="5326" xr:uid="{00000000-0005-0000-0000-0000C3750000}"/>
    <cellStyle name="Output 2 7 2 2 5 2 2" xfId="24298" xr:uid="{00000000-0005-0000-0000-0000C4750000}"/>
    <cellStyle name="Output 2 7 2 2 5 2 3" xfId="35143" xr:uid="{00000000-0005-0000-0000-0000C5750000}"/>
    <cellStyle name="Output 2 7 2 2 5 2 4" xfId="15050" xr:uid="{00000000-0005-0000-0000-0000C6750000}"/>
    <cellStyle name="Output 2 7 2 2 5 3" xfId="7997" xr:uid="{00000000-0005-0000-0000-0000C7750000}"/>
    <cellStyle name="Output 2 7 2 2 5 3 2" xfId="26969" xr:uid="{00000000-0005-0000-0000-0000C8750000}"/>
    <cellStyle name="Output 2 7 2 2 5 3 3" xfId="37814" xr:uid="{00000000-0005-0000-0000-0000C9750000}"/>
    <cellStyle name="Output 2 7 2 2 5 3 4" xfId="16963" xr:uid="{00000000-0005-0000-0000-0000CA750000}"/>
    <cellStyle name="Output 2 7 2 2 5 4" xfId="10656" xr:uid="{00000000-0005-0000-0000-0000CB750000}"/>
    <cellStyle name="Output 2 7 2 2 5 4 2" xfId="29628" xr:uid="{00000000-0005-0000-0000-0000CC750000}"/>
    <cellStyle name="Output 2 7 2 2 5 4 3" xfId="40473" xr:uid="{00000000-0005-0000-0000-0000CD750000}"/>
    <cellStyle name="Output 2 7 2 2 5 4 4" xfId="18867" xr:uid="{00000000-0005-0000-0000-0000CE750000}"/>
    <cellStyle name="Output 2 7 2 2 5 5" xfId="21452" xr:uid="{00000000-0005-0000-0000-0000CF750000}"/>
    <cellStyle name="Output 2 7 2 2 5 6" xfId="32297" xr:uid="{00000000-0005-0000-0000-0000D0750000}"/>
    <cellStyle name="Output 2 7 2 2 5 7" xfId="13013" xr:uid="{00000000-0005-0000-0000-0000D1750000}"/>
    <cellStyle name="Output 2 7 2 2 6" xfId="2860" xr:uid="{00000000-0005-0000-0000-0000D2750000}"/>
    <cellStyle name="Output 2 7 2 2 6 2" xfId="5711" xr:uid="{00000000-0005-0000-0000-0000D3750000}"/>
    <cellStyle name="Output 2 7 2 2 6 2 2" xfId="24683" xr:uid="{00000000-0005-0000-0000-0000D4750000}"/>
    <cellStyle name="Output 2 7 2 2 6 2 3" xfId="35528" xr:uid="{00000000-0005-0000-0000-0000D5750000}"/>
    <cellStyle name="Output 2 7 2 2 6 2 4" xfId="15326" xr:uid="{00000000-0005-0000-0000-0000D6750000}"/>
    <cellStyle name="Output 2 7 2 2 6 3" xfId="8382" xr:uid="{00000000-0005-0000-0000-0000D7750000}"/>
    <cellStyle name="Output 2 7 2 2 6 3 2" xfId="27354" xr:uid="{00000000-0005-0000-0000-0000D8750000}"/>
    <cellStyle name="Output 2 7 2 2 6 3 3" xfId="38199" xr:uid="{00000000-0005-0000-0000-0000D9750000}"/>
    <cellStyle name="Output 2 7 2 2 6 3 4" xfId="17239" xr:uid="{00000000-0005-0000-0000-0000DA750000}"/>
    <cellStyle name="Output 2 7 2 2 6 4" xfId="11041" xr:uid="{00000000-0005-0000-0000-0000DB750000}"/>
    <cellStyle name="Output 2 7 2 2 6 4 2" xfId="30013" xr:uid="{00000000-0005-0000-0000-0000DC750000}"/>
    <cellStyle name="Output 2 7 2 2 6 4 3" xfId="40858" xr:uid="{00000000-0005-0000-0000-0000DD750000}"/>
    <cellStyle name="Output 2 7 2 2 6 4 4" xfId="19143" xr:uid="{00000000-0005-0000-0000-0000DE750000}"/>
    <cellStyle name="Output 2 7 2 2 6 5" xfId="21837" xr:uid="{00000000-0005-0000-0000-0000DF750000}"/>
    <cellStyle name="Output 2 7 2 2 6 6" xfId="32682" xr:uid="{00000000-0005-0000-0000-0000E0750000}"/>
    <cellStyle name="Output 2 7 2 2 6 7" xfId="13289" xr:uid="{00000000-0005-0000-0000-0000E1750000}"/>
    <cellStyle name="Output 2 7 2 2 7" xfId="3549" xr:uid="{00000000-0005-0000-0000-0000E2750000}"/>
    <cellStyle name="Output 2 7 2 2 7 2" xfId="22521" xr:uid="{00000000-0005-0000-0000-0000E3750000}"/>
    <cellStyle name="Output 2 7 2 2 7 3" xfId="33366" xr:uid="{00000000-0005-0000-0000-0000E4750000}"/>
    <cellStyle name="Output 2 7 2 2 7 4" xfId="13770" xr:uid="{00000000-0005-0000-0000-0000E5750000}"/>
    <cellStyle name="Output 2 7 2 2 8" xfId="6224" xr:uid="{00000000-0005-0000-0000-0000E6750000}"/>
    <cellStyle name="Output 2 7 2 2 8 2" xfId="25196" xr:uid="{00000000-0005-0000-0000-0000E7750000}"/>
    <cellStyle name="Output 2 7 2 2 8 3" xfId="36041" xr:uid="{00000000-0005-0000-0000-0000E8750000}"/>
    <cellStyle name="Output 2 7 2 2 8 4" xfId="15686" xr:uid="{00000000-0005-0000-0000-0000E9750000}"/>
    <cellStyle name="Output 2 7 2 2 9" xfId="8883" xr:uid="{00000000-0005-0000-0000-0000EA750000}"/>
    <cellStyle name="Output 2 7 2 2 9 2" xfId="27855" xr:uid="{00000000-0005-0000-0000-0000EB750000}"/>
    <cellStyle name="Output 2 7 2 2 9 3" xfId="38700" xr:uid="{00000000-0005-0000-0000-0000EC750000}"/>
    <cellStyle name="Output 2 7 2 2 9 4" xfId="17590" xr:uid="{00000000-0005-0000-0000-0000ED750000}"/>
    <cellStyle name="Output 2 7 2 3" xfId="754" xr:uid="{00000000-0005-0000-0000-0000EE750000}"/>
    <cellStyle name="Output 2 7 2 3 10" xfId="19739" xr:uid="{00000000-0005-0000-0000-0000EF750000}"/>
    <cellStyle name="Output 2 7 2 3 11" xfId="30584" xr:uid="{00000000-0005-0000-0000-0000F0750000}"/>
    <cellStyle name="Output 2 7 2 3 12" xfId="11776" xr:uid="{00000000-0005-0000-0000-0000F1750000}"/>
    <cellStyle name="Output 2 7 2 3 2" xfId="1341" xr:uid="{00000000-0005-0000-0000-0000F2750000}"/>
    <cellStyle name="Output 2 7 2 3 2 2" xfId="4194" xr:uid="{00000000-0005-0000-0000-0000F3750000}"/>
    <cellStyle name="Output 2 7 2 3 2 2 2" xfId="23166" xr:uid="{00000000-0005-0000-0000-0000F4750000}"/>
    <cellStyle name="Output 2 7 2 3 2 2 3" xfId="34011" xr:uid="{00000000-0005-0000-0000-0000F5750000}"/>
    <cellStyle name="Output 2 7 2 3 2 2 4" xfId="14237" xr:uid="{00000000-0005-0000-0000-0000F6750000}"/>
    <cellStyle name="Output 2 7 2 3 2 3" xfId="6867" xr:uid="{00000000-0005-0000-0000-0000F7750000}"/>
    <cellStyle name="Output 2 7 2 3 2 3 2" xfId="25839" xr:uid="{00000000-0005-0000-0000-0000F8750000}"/>
    <cellStyle name="Output 2 7 2 3 2 3 3" xfId="36684" xr:uid="{00000000-0005-0000-0000-0000F9750000}"/>
    <cellStyle name="Output 2 7 2 3 2 3 4" xfId="16152" xr:uid="{00000000-0005-0000-0000-0000FA750000}"/>
    <cellStyle name="Output 2 7 2 3 2 4" xfId="9526" xr:uid="{00000000-0005-0000-0000-0000FB750000}"/>
    <cellStyle name="Output 2 7 2 3 2 4 2" xfId="28498" xr:uid="{00000000-0005-0000-0000-0000FC750000}"/>
    <cellStyle name="Output 2 7 2 3 2 4 3" xfId="39343" xr:uid="{00000000-0005-0000-0000-0000FD750000}"/>
    <cellStyle name="Output 2 7 2 3 2 4 4" xfId="18056" xr:uid="{00000000-0005-0000-0000-0000FE750000}"/>
    <cellStyle name="Output 2 7 2 3 2 5" xfId="20322" xr:uid="{00000000-0005-0000-0000-0000FF750000}"/>
    <cellStyle name="Output 2 7 2 3 2 6" xfId="31167" xr:uid="{00000000-0005-0000-0000-000000760000}"/>
    <cellStyle name="Output 2 7 2 3 2 7" xfId="12202" xr:uid="{00000000-0005-0000-0000-000001760000}"/>
    <cellStyle name="Output 2 7 2 3 3" xfId="1740" xr:uid="{00000000-0005-0000-0000-000002760000}"/>
    <cellStyle name="Output 2 7 2 3 3 2" xfId="4593" xr:uid="{00000000-0005-0000-0000-000003760000}"/>
    <cellStyle name="Output 2 7 2 3 3 2 2" xfId="23565" xr:uid="{00000000-0005-0000-0000-000004760000}"/>
    <cellStyle name="Output 2 7 2 3 3 2 3" xfId="34410" xr:uid="{00000000-0005-0000-0000-000005760000}"/>
    <cellStyle name="Output 2 7 2 3 3 2 4" xfId="14524" xr:uid="{00000000-0005-0000-0000-000006760000}"/>
    <cellStyle name="Output 2 7 2 3 3 3" xfId="7265" xr:uid="{00000000-0005-0000-0000-000007760000}"/>
    <cellStyle name="Output 2 7 2 3 3 3 2" xfId="26237" xr:uid="{00000000-0005-0000-0000-000008760000}"/>
    <cellStyle name="Output 2 7 2 3 3 3 3" xfId="37082" xr:uid="{00000000-0005-0000-0000-000009760000}"/>
    <cellStyle name="Output 2 7 2 3 3 3 4" xfId="16438" xr:uid="{00000000-0005-0000-0000-00000A760000}"/>
    <cellStyle name="Output 2 7 2 3 3 4" xfId="9924" xr:uid="{00000000-0005-0000-0000-00000B760000}"/>
    <cellStyle name="Output 2 7 2 3 3 4 2" xfId="28896" xr:uid="{00000000-0005-0000-0000-00000C760000}"/>
    <cellStyle name="Output 2 7 2 3 3 4 3" xfId="39741" xr:uid="{00000000-0005-0000-0000-00000D760000}"/>
    <cellStyle name="Output 2 7 2 3 3 4 4" xfId="18342" xr:uid="{00000000-0005-0000-0000-00000E760000}"/>
    <cellStyle name="Output 2 7 2 3 3 5" xfId="20720" xr:uid="{00000000-0005-0000-0000-00000F760000}"/>
    <cellStyle name="Output 2 7 2 3 3 6" xfId="31565" xr:uid="{00000000-0005-0000-0000-000010760000}"/>
    <cellStyle name="Output 2 7 2 3 3 7" xfId="12488" xr:uid="{00000000-0005-0000-0000-000011760000}"/>
    <cellStyle name="Output 2 7 2 3 4" xfId="2144" xr:uid="{00000000-0005-0000-0000-000012760000}"/>
    <cellStyle name="Output 2 7 2 3 4 2" xfId="4997" xr:uid="{00000000-0005-0000-0000-000013760000}"/>
    <cellStyle name="Output 2 7 2 3 4 2 2" xfId="23969" xr:uid="{00000000-0005-0000-0000-000014760000}"/>
    <cellStyle name="Output 2 7 2 3 4 2 3" xfId="34814" xr:uid="{00000000-0005-0000-0000-000015760000}"/>
    <cellStyle name="Output 2 7 2 3 4 2 4" xfId="14811" xr:uid="{00000000-0005-0000-0000-000016760000}"/>
    <cellStyle name="Output 2 7 2 3 4 3" xfId="7668" xr:uid="{00000000-0005-0000-0000-000017760000}"/>
    <cellStyle name="Output 2 7 2 3 4 3 2" xfId="26640" xr:uid="{00000000-0005-0000-0000-000018760000}"/>
    <cellStyle name="Output 2 7 2 3 4 3 3" xfId="37485" xr:uid="{00000000-0005-0000-0000-000019760000}"/>
    <cellStyle name="Output 2 7 2 3 4 3 4" xfId="16724" xr:uid="{00000000-0005-0000-0000-00001A760000}"/>
    <cellStyle name="Output 2 7 2 3 4 4" xfId="10327" xr:uid="{00000000-0005-0000-0000-00001B760000}"/>
    <cellStyle name="Output 2 7 2 3 4 4 2" xfId="29299" xr:uid="{00000000-0005-0000-0000-00001C760000}"/>
    <cellStyle name="Output 2 7 2 3 4 4 3" xfId="40144" xr:uid="{00000000-0005-0000-0000-00001D760000}"/>
    <cellStyle name="Output 2 7 2 3 4 4 4" xfId="18628" xr:uid="{00000000-0005-0000-0000-00001E760000}"/>
    <cellStyle name="Output 2 7 2 3 4 5" xfId="21123" xr:uid="{00000000-0005-0000-0000-00001F760000}"/>
    <cellStyle name="Output 2 7 2 3 4 6" xfId="31968" xr:uid="{00000000-0005-0000-0000-000020760000}"/>
    <cellStyle name="Output 2 7 2 3 4 7" xfId="12774" xr:uid="{00000000-0005-0000-0000-000021760000}"/>
    <cellStyle name="Output 2 7 2 3 5" xfId="2534" xr:uid="{00000000-0005-0000-0000-000022760000}"/>
    <cellStyle name="Output 2 7 2 3 5 2" xfId="5386" xr:uid="{00000000-0005-0000-0000-000023760000}"/>
    <cellStyle name="Output 2 7 2 3 5 2 2" xfId="24358" xr:uid="{00000000-0005-0000-0000-000024760000}"/>
    <cellStyle name="Output 2 7 2 3 5 2 3" xfId="35203" xr:uid="{00000000-0005-0000-0000-000025760000}"/>
    <cellStyle name="Output 2 7 2 3 5 2 4" xfId="15090" xr:uid="{00000000-0005-0000-0000-000026760000}"/>
    <cellStyle name="Output 2 7 2 3 5 3" xfId="8057" xr:uid="{00000000-0005-0000-0000-000027760000}"/>
    <cellStyle name="Output 2 7 2 3 5 3 2" xfId="27029" xr:uid="{00000000-0005-0000-0000-000028760000}"/>
    <cellStyle name="Output 2 7 2 3 5 3 3" xfId="37874" xr:uid="{00000000-0005-0000-0000-000029760000}"/>
    <cellStyle name="Output 2 7 2 3 5 3 4" xfId="17003" xr:uid="{00000000-0005-0000-0000-00002A760000}"/>
    <cellStyle name="Output 2 7 2 3 5 4" xfId="10716" xr:uid="{00000000-0005-0000-0000-00002B760000}"/>
    <cellStyle name="Output 2 7 2 3 5 4 2" xfId="29688" xr:uid="{00000000-0005-0000-0000-00002C760000}"/>
    <cellStyle name="Output 2 7 2 3 5 4 3" xfId="40533" xr:uid="{00000000-0005-0000-0000-00002D760000}"/>
    <cellStyle name="Output 2 7 2 3 5 4 4" xfId="18907" xr:uid="{00000000-0005-0000-0000-00002E760000}"/>
    <cellStyle name="Output 2 7 2 3 5 5" xfId="21512" xr:uid="{00000000-0005-0000-0000-00002F760000}"/>
    <cellStyle name="Output 2 7 2 3 5 6" xfId="32357" xr:uid="{00000000-0005-0000-0000-000030760000}"/>
    <cellStyle name="Output 2 7 2 3 5 7" xfId="13053" xr:uid="{00000000-0005-0000-0000-000031760000}"/>
    <cellStyle name="Output 2 7 2 3 6" xfId="2920" xr:uid="{00000000-0005-0000-0000-000032760000}"/>
    <cellStyle name="Output 2 7 2 3 6 2" xfId="5771" xr:uid="{00000000-0005-0000-0000-000033760000}"/>
    <cellStyle name="Output 2 7 2 3 6 2 2" xfId="24743" xr:uid="{00000000-0005-0000-0000-000034760000}"/>
    <cellStyle name="Output 2 7 2 3 6 2 3" xfId="35588" xr:uid="{00000000-0005-0000-0000-000035760000}"/>
    <cellStyle name="Output 2 7 2 3 6 2 4" xfId="15366" xr:uid="{00000000-0005-0000-0000-000036760000}"/>
    <cellStyle name="Output 2 7 2 3 6 3" xfId="8442" xr:uid="{00000000-0005-0000-0000-000037760000}"/>
    <cellStyle name="Output 2 7 2 3 6 3 2" xfId="27414" xr:uid="{00000000-0005-0000-0000-000038760000}"/>
    <cellStyle name="Output 2 7 2 3 6 3 3" xfId="38259" xr:uid="{00000000-0005-0000-0000-000039760000}"/>
    <cellStyle name="Output 2 7 2 3 6 3 4" xfId="17279" xr:uid="{00000000-0005-0000-0000-00003A760000}"/>
    <cellStyle name="Output 2 7 2 3 6 4" xfId="11101" xr:uid="{00000000-0005-0000-0000-00003B760000}"/>
    <cellStyle name="Output 2 7 2 3 6 4 2" xfId="30073" xr:uid="{00000000-0005-0000-0000-00003C760000}"/>
    <cellStyle name="Output 2 7 2 3 6 4 3" xfId="40918" xr:uid="{00000000-0005-0000-0000-00003D760000}"/>
    <cellStyle name="Output 2 7 2 3 6 4 4" xfId="19183" xr:uid="{00000000-0005-0000-0000-00003E760000}"/>
    <cellStyle name="Output 2 7 2 3 6 5" xfId="21897" xr:uid="{00000000-0005-0000-0000-00003F760000}"/>
    <cellStyle name="Output 2 7 2 3 6 6" xfId="32742" xr:uid="{00000000-0005-0000-0000-000040760000}"/>
    <cellStyle name="Output 2 7 2 3 6 7" xfId="13329" xr:uid="{00000000-0005-0000-0000-000041760000}"/>
    <cellStyle name="Output 2 7 2 3 7" xfId="3609" xr:uid="{00000000-0005-0000-0000-000042760000}"/>
    <cellStyle name="Output 2 7 2 3 7 2" xfId="22581" xr:uid="{00000000-0005-0000-0000-000043760000}"/>
    <cellStyle name="Output 2 7 2 3 7 3" xfId="33426" xr:uid="{00000000-0005-0000-0000-000044760000}"/>
    <cellStyle name="Output 2 7 2 3 7 4" xfId="13810" xr:uid="{00000000-0005-0000-0000-000045760000}"/>
    <cellStyle name="Output 2 7 2 3 8" xfId="6284" xr:uid="{00000000-0005-0000-0000-000046760000}"/>
    <cellStyle name="Output 2 7 2 3 8 2" xfId="25256" xr:uid="{00000000-0005-0000-0000-000047760000}"/>
    <cellStyle name="Output 2 7 2 3 8 3" xfId="36101" xr:uid="{00000000-0005-0000-0000-000048760000}"/>
    <cellStyle name="Output 2 7 2 3 8 4" xfId="15726" xr:uid="{00000000-0005-0000-0000-000049760000}"/>
    <cellStyle name="Output 2 7 2 3 9" xfId="8943" xr:uid="{00000000-0005-0000-0000-00004A760000}"/>
    <cellStyle name="Output 2 7 2 3 9 2" xfId="27915" xr:uid="{00000000-0005-0000-0000-00004B760000}"/>
    <cellStyle name="Output 2 7 2 3 9 3" xfId="38760" xr:uid="{00000000-0005-0000-0000-00004C760000}"/>
    <cellStyle name="Output 2 7 2 3 9 4" xfId="17630" xr:uid="{00000000-0005-0000-0000-00004D760000}"/>
    <cellStyle name="Output 2 7 2 4" xfId="814" xr:uid="{00000000-0005-0000-0000-00004E760000}"/>
    <cellStyle name="Output 2 7 2 4 10" xfId="19799" xr:uid="{00000000-0005-0000-0000-00004F760000}"/>
    <cellStyle name="Output 2 7 2 4 11" xfId="30644" xr:uid="{00000000-0005-0000-0000-000050760000}"/>
    <cellStyle name="Output 2 7 2 4 12" xfId="11816" xr:uid="{00000000-0005-0000-0000-000051760000}"/>
    <cellStyle name="Output 2 7 2 4 2" xfId="1401" xr:uid="{00000000-0005-0000-0000-000052760000}"/>
    <cellStyle name="Output 2 7 2 4 2 2" xfId="4254" xr:uid="{00000000-0005-0000-0000-000053760000}"/>
    <cellStyle name="Output 2 7 2 4 2 2 2" xfId="23226" xr:uid="{00000000-0005-0000-0000-000054760000}"/>
    <cellStyle name="Output 2 7 2 4 2 2 3" xfId="34071" xr:uid="{00000000-0005-0000-0000-000055760000}"/>
    <cellStyle name="Output 2 7 2 4 2 2 4" xfId="14277" xr:uid="{00000000-0005-0000-0000-000056760000}"/>
    <cellStyle name="Output 2 7 2 4 2 3" xfId="6927" xr:uid="{00000000-0005-0000-0000-000057760000}"/>
    <cellStyle name="Output 2 7 2 4 2 3 2" xfId="25899" xr:uid="{00000000-0005-0000-0000-000058760000}"/>
    <cellStyle name="Output 2 7 2 4 2 3 3" xfId="36744" xr:uid="{00000000-0005-0000-0000-000059760000}"/>
    <cellStyle name="Output 2 7 2 4 2 3 4" xfId="16192" xr:uid="{00000000-0005-0000-0000-00005A760000}"/>
    <cellStyle name="Output 2 7 2 4 2 4" xfId="9586" xr:uid="{00000000-0005-0000-0000-00005B760000}"/>
    <cellStyle name="Output 2 7 2 4 2 4 2" xfId="28558" xr:uid="{00000000-0005-0000-0000-00005C760000}"/>
    <cellStyle name="Output 2 7 2 4 2 4 3" xfId="39403" xr:uid="{00000000-0005-0000-0000-00005D760000}"/>
    <cellStyle name="Output 2 7 2 4 2 4 4" xfId="18096" xr:uid="{00000000-0005-0000-0000-00005E760000}"/>
    <cellStyle name="Output 2 7 2 4 2 5" xfId="20382" xr:uid="{00000000-0005-0000-0000-00005F760000}"/>
    <cellStyle name="Output 2 7 2 4 2 6" xfId="31227" xr:uid="{00000000-0005-0000-0000-000060760000}"/>
    <cellStyle name="Output 2 7 2 4 2 7" xfId="12242" xr:uid="{00000000-0005-0000-0000-000061760000}"/>
    <cellStyle name="Output 2 7 2 4 3" xfId="1800" xr:uid="{00000000-0005-0000-0000-000062760000}"/>
    <cellStyle name="Output 2 7 2 4 3 2" xfId="4653" xr:uid="{00000000-0005-0000-0000-000063760000}"/>
    <cellStyle name="Output 2 7 2 4 3 2 2" xfId="23625" xr:uid="{00000000-0005-0000-0000-000064760000}"/>
    <cellStyle name="Output 2 7 2 4 3 2 3" xfId="34470" xr:uid="{00000000-0005-0000-0000-000065760000}"/>
    <cellStyle name="Output 2 7 2 4 3 2 4" xfId="14564" xr:uid="{00000000-0005-0000-0000-000066760000}"/>
    <cellStyle name="Output 2 7 2 4 3 3" xfId="7325" xr:uid="{00000000-0005-0000-0000-000067760000}"/>
    <cellStyle name="Output 2 7 2 4 3 3 2" xfId="26297" xr:uid="{00000000-0005-0000-0000-000068760000}"/>
    <cellStyle name="Output 2 7 2 4 3 3 3" xfId="37142" xr:uid="{00000000-0005-0000-0000-000069760000}"/>
    <cellStyle name="Output 2 7 2 4 3 3 4" xfId="16478" xr:uid="{00000000-0005-0000-0000-00006A760000}"/>
    <cellStyle name="Output 2 7 2 4 3 4" xfId="9984" xr:uid="{00000000-0005-0000-0000-00006B760000}"/>
    <cellStyle name="Output 2 7 2 4 3 4 2" xfId="28956" xr:uid="{00000000-0005-0000-0000-00006C760000}"/>
    <cellStyle name="Output 2 7 2 4 3 4 3" xfId="39801" xr:uid="{00000000-0005-0000-0000-00006D760000}"/>
    <cellStyle name="Output 2 7 2 4 3 4 4" xfId="18382" xr:uid="{00000000-0005-0000-0000-00006E760000}"/>
    <cellStyle name="Output 2 7 2 4 3 5" xfId="20780" xr:uid="{00000000-0005-0000-0000-00006F760000}"/>
    <cellStyle name="Output 2 7 2 4 3 6" xfId="31625" xr:uid="{00000000-0005-0000-0000-000070760000}"/>
    <cellStyle name="Output 2 7 2 4 3 7" xfId="12528" xr:uid="{00000000-0005-0000-0000-000071760000}"/>
    <cellStyle name="Output 2 7 2 4 4" xfId="2204" xr:uid="{00000000-0005-0000-0000-000072760000}"/>
    <cellStyle name="Output 2 7 2 4 4 2" xfId="5057" xr:uid="{00000000-0005-0000-0000-000073760000}"/>
    <cellStyle name="Output 2 7 2 4 4 2 2" xfId="24029" xr:uid="{00000000-0005-0000-0000-000074760000}"/>
    <cellStyle name="Output 2 7 2 4 4 2 3" xfId="34874" xr:uid="{00000000-0005-0000-0000-000075760000}"/>
    <cellStyle name="Output 2 7 2 4 4 2 4" xfId="14851" xr:uid="{00000000-0005-0000-0000-000076760000}"/>
    <cellStyle name="Output 2 7 2 4 4 3" xfId="7728" xr:uid="{00000000-0005-0000-0000-000077760000}"/>
    <cellStyle name="Output 2 7 2 4 4 3 2" xfId="26700" xr:uid="{00000000-0005-0000-0000-000078760000}"/>
    <cellStyle name="Output 2 7 2 4 4 3 3" xfId="37545" xr:uid="{00000000-0005-0000-0000-000079760000}"/>
    <cellStyle name="Output 2 7 2 4 4 3 4" xfId="16764" xr:uid="{00000000-0005-0000-0000-00007A760000}"/>
    <cellStyle name="Output 2 7 2 4 4 4" xfId="10387" xr:uid="{00000000-0005-0000-0000-00007B760000}"/>
    <cellStyle name="Output 2 7 2 4 4 4 2" xfId="29359" xr:uid="{00000000-0005-0000-0000-00007C760000}"/>
    <cellStyle name="Output 2 7 2 4 4 4 3" xfId="40204" xr:uid="{00000000-0005-0000-0000-00007D760000}"/>
    <cellStyle name="Output 2 7 2 4 4 4 4" xfId="18668" xr:uid="{00000000-0005-0000-0000-00007E760000}"/>
    <cellStyle name="Output 2 7 2 4 4 5" xfId="21183" xr:uid="{00000000-0005-0000-0000-00007F760000}"/>
    <cellStyle name="Output 2 7 2 4 4 6" xfId="32028" xr:uid="{00000000-0005-0000-0000-000080760000}"/>
    <cellStyle name="Output 2 7 2 4 4 7" xfId="12814" xr:uid="{00000000-0005-0000-0000-000081760000}"/>
    <cellStyle name="Output 2 7 2 4 5" xfId="2594" xr:uid="{00000000-0005-0000-0000-000082760000}"/>
    <cellStyle name="Output 2 7 2 4 5 2" xfId="5446" xr:uid="{00000000-0005-0000-0000-000083760000}"/>
    <cellStyle name="Output 2 7 2 4 5 2 2" xfId="24418" xr:uid="{00000000-0005-0000-0000-000084760000}"/>
    <cellStyle name="Output 2 7 2 4 5 2 3" xfId="35263" xr:uid="{00000000-0005-0000-0000-000085760000}"/>
    <cellStyle name="Output 2 7 2 4 5 2 4" xfId="15130" xr:uid="{00000000-0005-0000-0000-000086760000}"/>
    <cellStyle name="Output 2 7 2 4 5 3" xfId="8117" xr:uid="{00000000-0005-0000-0000-000087760000}"/>
    <cellStyle name="Output 2 7 2 4 5 3 2" xfId="27089" xr:uid="{00000000-0005-0000-0000-000088760000}"/>
    <cellStyle name="Output 2 7 2 4 5 3 3" xfId="37934" xr:uid="{00000000-0005-0000-0000-000089760000}"/>
    <cellStyle name="Output 2 7 2 4 5 3 4" xfId="17043" xr:uid="{00000000-0005-0000-0000-00008A760000}"/>
    <cellStyle name="Output 2 7 2 4 5 4" xfId="10776" xr:uid="{00000000-0005-0000-0000-00008B760000}"/>
    <cellStyle name="Output 2 7 2 4 5 4 2" xfId="29748" xr:uid="{00000000-0005-0000-0000-00008C760000}"/>
    <cellStyle name="Output 2 7 2 4 5 4 3" xfId="40593" xr:uid="{00000000-0005-0000-0000-00008D760000}"/>
    <cellStyle name="Output 2 7 2 4 5 4 4" xfId="18947" xr:uid="{00000000-0005-0000-0000-00008E760000}"/>
    <cellStyle name="Output 2 7 2 4 5 5" xfId="21572" xr:uid="{00000000-0005-0000-0000-00008F760000}"/>
    <cellStyle name="Output 2 7 2 4 5 6" xfId="32417" xr:uid="{00000000-0005-0000-0000-000090760000}"/>
    <cellStyle name="Output 2 7 2 4 5 7" xfId="13093" xr:uid="{00000000-0005-0000-0000-000091760000}"/>
    <cellStyle name="Output 2 7 2 4 6" xfId="2980" xr:uid="{00000000-0005-0000-0000-000092760000}"/>
    <cellStyle name="Output 2 7 2 4 6 2" xfId="5831" xr:uid="{00000000-0005-0000-0000-000093760000}"/>
    <cellStyle name="Output 2 7 2 4 6 2 2" xfId="24803" xr:uid="{00000000-0005-0000-0000-000094760000}"/>
    <cellStyle name="Output 2 7 2 4 6 2 3" xfId="35648" xr:uid="{00000000-0005-0000-0000-000095760000}"/>
    <cellStyle name="Output 2 7 2 4 6 2 4" xfId="15406" xr:uid="{00000000-0005-0000-0000-000096760000}"/>
    <cellStyle name="Output 2 7 2 4 6 3" xfId="8502" xr:uid="{00000000-0005-0000-0000-000097760000}"/>
    <cellStyle name="Output 2 7 2 4 6 3 2" xfId="27474" xr:uid="{00000000-0005-0000-0000-000098760000}"/>
    <cellStyle name="Output 2 7 2 4 6 3 3" xfId="38319" xr:uid="{00000000-0005-0000-0000-000099760000}"/>
    <cellStyle name="Output 2 7 2 4 6 3 4" xfId="17319" xr:uid="{00000000-0005-0000-0000-00009A760000}"/>
    <cellStyle name="Output 2 7 2 4 6 4" xfId="11161" xr:uid="{00000000-0005-0000-0000-00009B760000}"/>
    <cellStyle name="Output 2 7 2 4 6 4 2" xfId="30133" xr:uid="{00000000-0005-0000-0000-00009C760000}"/>
    <cellStyle name="Output 2 7 2 4 6 4 3" xfId="40978" xr:uid="{00000000-0005-0000-0000-00009D760000}"/>
    <cellStyle name="Output 2 7 2 4 6 4 4" xfId="19223" xr:uid="{00000000-0005-0000-0000-00009E760000}"/>
    <cellStyle name="Output 2 7 2 4 6 5" xfId="21957" xr:uid="{00000000-0005-0000-0000-00009F760000}"/>
    <cellStyle name="Output 2 7 2 4 6 6" xfId="32802" xr:uid="{00000000-0005-0000-0000-0000A0760000}"/>
    <cellStyle name="Output 2 7 2 4 6 7" xfId="13369" xr:uid="{00000000-0005-0000-0000-0000A1760000}"/>
    <cellStyle name="Output 2 7 2 4 7" xfId="3669" xr:uid="{00000000-0005-0000-0000-0000A2760000}"/>
    <cellStyle name="Output 2 7 2 4 7 2" xfId="22641" xr:uid="{00000000-0005-0000-0000-0000A3760000}"/>
    <cellStyle name="Output 2 7 2 4 7 3" xfId="33486" xr:uid="{00000000-0005-0000-0000-0000A4760000}"/>
    <cellStyle name="Output 2 7 2 4 7 4" xfId="13850" xr:uid="{00000000-0005-0000-0000-0000A5760000}"/>
    <cellStyle name="Output 2 7 2 4 8" xfId="6344" xr:uid="{00000000-0005-0000-0000-0000A6760000}"/>
    <cellStyle name="Output 2 7 2 4 8 2" xfId="25316" xr:uid="{00000000-0005-0000-0000-0000A7760000}"/>
    <cellStyle name="Output 2 7 2 4 8 3" xfId="36161" xr:uid="{00000000-0005-0000-0000-0000A8760000}"/>
    <cellStyle name="Output 2 7 2 4 8 4" xfId="15766" xr:uid="{00000000-0005-0000-0000-0000A9760000}"/>
    <cellStyle name="Output 2 7 2 4 9" xfId="9003" xr:uid="{00000000-0005-0000-0000-0000AA760000}"/>
    <cellStyle name="Output 2 7 2 4 9 2" xfId="27975" xr:uid="{00000000-0005-0000-0000-0000AB760000}"/>
    <cellStyle name="Output 2 7 2 4 9 3" xfId="38820" xr:uid="{00000000-0005-0000-0000-0000AC760000}"/>
    <cellStyle name="Output 2 7 2 4 9 4" xfId="17670" xr:uid="{00000000-0005-0000-0000-0000AD760000}"/>
    <cellStyle name="Output 2 7 2 5" xfId="873" xr:uid="{00000000-0005-0000-0000-0000AE760000}"/>
    <cellStyle name="Output 2 7 2 5 10" xfId="19858" xr:uid="{00000000-0005-0000-0000-0000AF760000}"/>
    <cellStyle name="Output 2 7 2 5 11" xfId="30703" xr:uid="{00000000-0005-0000-0000-0000B0760000}"/>
    <cellStyle name="Output 2 7 2 5 12" xfId="11855" xr:uid="{00000000-0005-0000-0000-0000B1760000}"/>
    <cellStyle name="Output 2 7 2 5 2" xfId="1460" xr:uid="{00000000-0005-0000-0000-0000B2760000}"/>
    <cellStyle name="Output 2 7 2 5 2 2" xfId="4313" xr:uid="{00000000-0005-0000-0000-0000B3760000}"/>
    <cellStyle name="Output 2 7 2 5 2 2 2" xfId="23285" xr:uid="{00000000-0005-0000-0000-0000B4760000}"/>
    <cellStyle name="Output 2 7 2 5 2 2 3" xfId="34130" xr:uid="{00000000-0005-0000-0000-0000B5760000}"/>
    <cellStyle name="Output 2 7 2 5 2 2 4" xfId="14316" xr:uid="{00000000-0005-0000-0000-0000B6760000}"/>
    <cellStyle name="Output 2 7 2 5 2 3" xfId="6986" xr:uid="{00000000-0005-0000-0000-0000B7760000}"/>
    <cellStyle name="Output 2 7 2 5 2 3 2" xfId="25958" xr:uid="{00000000-0005-0000-0000-0000B8760000}"/>
    <cellStyle name="Output 2 7 2 5 2 3 3" xfId="36803" xr:uid="{00000000-0005-0000-0000-0000B9760000}"/>
    <cellStyle name="Output 2 7 2 5 2 3 4" xfId="16231" xr:uid="{00000000-0005-0000-0000-0000BA760000}"/>
    <cellStyle name="Output 2 7 2 5 2 4" xfId="9645" xr:uid="{00000000-0005-0000-0000-0000BB760000}"/>
    <cellStyle name="Output 2 7 2 5 2 4 2" xfId="28617" xr:uid="{00000000-0005-0000-0000-0000BC760000}"/>
    <cellStyle name="Output 2 7 2 5 2 4 3" xfId="39462" xr:uid="{00000000-0005-0000-0000-0000BD760000}"/>
    <cellStyle name="Output 2 7 2 5 2 4 4" xfId="18135" xr:uid="{00000000-0005-0000-0000-0000BE760000}"/>
    <cellStyle name="Output 2 7 2 5 2 5" xfId="20441" xr:uid="{00000000-0005-0000-0000-0000BF760000}"/>
    <cellStyle name="Output 2 7 2 5 2 6" xfId="31286" xr:uid="{00000000-0005-0000-0000-0000C0760000}"/>
    <cellStyle name="Output 2 7 2 5 2 7" xfId="12281" xr:uid="{00000000-0005-0000-0000-0000C1760000}"/>
    <cellStyle name="Output 2 7 2 5 3" xfId="1859" xr:uid="{00000000-0005-0000-0000-0000C2760000}"/>
    <cellStyle name="Output 2 7 2 5 3 2" xfId="4712" xr:uid="{00000000-0005-0000-0000-0000C3760000}"/>
    <cellStyle name="Output 2 7 2 5 3 2 2" xfId="23684" xr:uid="{00000000-0005-0000-0000-0000C4760000}"/>
    <cellStyle name="Output 2 7 2 5 3 2 3" xfId="34529" xr:uid="{00000000-0005-0000-0000-0000C5760000}"/>
    <cellStyle name="Output 2 7 2 5 3 2 4" xfId="14603" xr:uid="{00000000-0005-0000-0000-0000C6760000}"/>
    <cellStyle name="Output 2 7 2 5 3 3" xfId="7384" xr:uid="{00000000-0005-0000-0000-0000C7760000}"/>
    <cellStyle name="Output 2 7 2 5 3 3 2" xfId="26356" xr:uid="{00000000-0005-0000-0000-0000C8760000}"/>
    <cellStyle name="Output 2 7 2 5 3 3 3" xfId="37201" xr:uid="{00000000-0005-0000-0000-0000C9760000}"/>
    <cellStyle name="Output 2 7 2 5 3 3 4" xfId="16517" xr:uid="{00000000-0005-0000-0000-0000CA760000}"/>
    <cellStyle name="Output 2 7 2 5 3 4" xfId="10043" xr:uid="{00000000-0005-0000-0000-0000CB760000}"/>
    <cellStyle name="Output 2 7 2 5 3 4 2" xfId="29015" xr:uid="{00000000-0005-0000-0000-0000CC760000}"/>
    <cellStyle name="Output 2 7 2 5 3 4 3" xfId="39860" xr:uid="{00000000-0005-0000-0000-0000CD760000}"/>
    <cellStyle name="Output 2 7 2 5 3 4 4" xfId="18421" xr:uid="{00000000-0005-0000-0000-0000CE760000}"/>
    <cellStyle name="Output 2 7 2 5 3 5" xfId="20839" xr:uid="{00000000-0005-0000-0000-0000CF760000}"/>
    <cellStyle name="Output 2 7 2 5 3 6" xfId="31684" xr:uid="{00000000-0005-0000-0000-0000D0760000}"/>
    <cellStyle name="Output 2 7 2 5 3 7" xfId="12567" xr:uid="{00000000-0005-0000-0000-0000D1760000}"/>
    <cellStyle name="Output 2 7 2 5 4" xfId="2263" xr:uid="{00000000-0005-0000-0000-0000D2760000}"/>
    <cellStyle name="Output 2 7 2 5 4 2" xfId="5116" xr:uid="{00000000-0005-0000-0000-0000D3760000}"/>
    <cellStyle name="Output 2 7 2 5 4 2 2" xfId="24088" xr:uid="{00000000-0005-0000-0000-0000D4760000}"/>
    <cellStyle name="Output 2 7 2 5 4 2 3" xfId="34933" xr:uid="{00000000-0005-0000-0000-0000D5760000}"/>
    <cellStyle name="Output 2 7 2 5 4 2 4" xfId="14890" xr:uid="{00000000-0005-0000-0000-0000D6760000}"/>
    <cellStyle name="Output 2 7 2 5 4 3" xfId="7787" xr:uid="{00000000-0005-0000-0000-0000D7760000}"/>
    <cellStyle name="Output 2 7 2 5 4 3 2" xfId="26759" xr:uid="{00000000-0005-0000-0000-0000D8760000}"/>
    <cellStyle name="Output 2 7 2 5 4 3 3" xfId="37604" xr:uid="{00000000-0005-0000-0000-0000D9760000}"/>
    <cellStyle name="Output 2 7 2 5 4 3 4" xfId="16803" xr:uid="{00000000-0005-0000-0000-0000DA760000}"/>
    <cellStyle name="Output 2 7 2 5 4 4" xfId="10446" xr:uid="{00000000-0005-0000-0000-0000DB760000}"/>
    <cellStyle name="Output 2 7 2 5 4 4 2" xfId="29418" xr:uid="{00000000-0005-0000-0000-0000DC760000}"/>
    <cellStyle name="Output 2 7 2 5 4 4 3" xfId="40263" xr:uid="{00000000-0005-0000-0000-0000DD760000}"/>
    <cellStyle name="Output 2 7 2 5 4 4 4" xfId="18707" xr:uid="{00000000-0005-0000-0000-0000DE760000}"/>
    <cellStyle name="Output 2 7 2 5 4 5" xfId="21242" xr:uid="{00000000-0005-0000-0000-0000DF760000}"/>
    <cellStyle name="Output 2 7 2 5 4 6" xfId="32087" xr:uid="{00000000-0005-0000-0000-0000E0760000}"/>
    <cellStyle name="Output 2 7 2 5 4 7" xfId="12853" xr:uid="{00000000-0005-0000-0000-0000E1760000}"/>
    <cellStyle name="Output 2 7 2 5 5" xfId="2653" xr:uid="{00000000-0005-0000-0000-0000E2760000}"/>
    <cellStyle name="Output 2 7 2 5 5 2" xfId="5505" xr:uid="{00000000-0005-0000-0000-0000E3760000}"/>
    <cellStyle name="Output 2 7 2 5 5 2 2" xfId="24477" xr:uid="{00000000-0005-0000-0000-0000E4760000}"/>
    <cellStyle name="Output 2 7 2 5 5 2 3" xfId="35322" xr:uid="{00000000-0005-0000-0000-0000E5760000}"/>
    <cellStyle name="Output 2 7 2 5 5 2 4" xfId="15169" xr:uid="{00000000-0005-0000-0000-0000E6760000}"/>
    <cellStyle name="Output 2 7 2 5 5 3" xfId="8176" xr:uid="{00000000-0005-0000-0000-0000E7760000}"/>
    <cellStyle name="Output 2 7 2 5 5 3 2" xfId="27148" xr:uid="{00000000-0005-0000-0000-0000E8760000}"/>
    <cellStyle name="Output 2 7 2 5 5 3 3" xfId="37993" xr:uid="{00000000-0005-0000-0000-0000E9760000}"/>
    <cellStyle name="Output 2 7 2 5 5 3 4" xfId="17082" xr:uid="{00000000-0005-0000-0000-0000EA760000}"/>
    <cellStyle name="Output 2 7 2 5 5 4" xfId="10835" xr:uid="{00000000-0005-0000-0000-0000EB760000}"/>
    <cellStyle name="Output 2 7 2 5 5 4 2" xfId="29807" xr:uid="{00000000-0005-0000-0000-0000EC760000}"/>
    <cellStyle name="Output 2 7 2 5 5 4 3" xfId="40652" xr:uid="{00000000-0005-0000-0000-0000ED760000}"/>
    <cellStyle name="Output 2 7 2 5 5 4 4" xfId="18986" xr:uid="{00000000-0005-0000-0000-0000EE760000}"/>
    <cellStyle name="Output 2 7 2 5 5 5" xfId="21631" xr:uid="{00000000-0005-0000-0000-0000EF760000}"/>
    <cellStyle name="Output 2 7 2 5 5 6" xfId="32476" xr:uid="{00000000-0005-0000-0000-0000F0760000}"/>
    <cellStyle name="Output 2 7 2 5 5 7" xfId="13132" xr:uid="{00000000-0005-0000-0000-0000F1760000}"/>
    <cellStyle name="Output 2 7 2 5 6" xfId="3039" xr:uid="{00000000-0005-0000-0000-0000F2760000}"/>
    <cellStyle name="Output 2 7 2 5 6 2" xfId="5890" xr:uid="{00000000-0005-0000-0000-0000F3760000}"/>
    <cellStyle name="Output 2 7 2 5 6 2 2" xfId="24862" xr:uid="{00000000-0005-0000-0000-0000F4760000}"/>
    <cellStyle name="Output 2 7 2 5 6 2 3" xfId="35707" xr:uid="{00000000-0005-0000-0000-0000F5760000}"/>
    <cellStyle name="Output 2 7 2 5 6 2 4" xfId="15445" xr:uid="{00000000-0005-0000-0000-0000F6760000}"/>
    <cellStyle name="Output 2 7 2 5 6 3" xfId="8561" xr:uid="{00000000-0005-0000-0000-0000F7760000}"/>
    <cellStyle name="Output 2 7 2 5 6 3 2" xfId="27533" xr:uid="{00000000-0005-0000-0000-0000F8760000}"/>
    <cellStyle name="Output 2 7 2 5 6 3 3" xfId="38378" xr:uid="{00000000-0005-0000-0000-0000F9760000}"/>
    <cellStyle name="Output 2 7 2 5 6 3 4" xfId="17358" xr:uid="{00000000-0005-0000-0000-0000FA760000}"/>
    <cellStyle name="Output 2 7 2 5 6 4" xfId="11220" xr:uid="{00000000-0005-0000-0000-0000FB760000}"/>
    <cellStyle name="Output 2 7 2 5 6 4 2" xfId="30192" xr:uid="{00000000-0005-0000-0000-0000FC760000}"/>
    <cellStyle name="Output 2 7 2 5 6 4 3" xfId="41037" xr:uid="{00000000-0005-0000-0000-0000FD760000}"/>
    <cellStyle name="Output 2 7 2 5 6 4 4" xfId="19262" xr:uid="{00000000-0005-0000-0000-0000FE760000}"/>
    <cellStyle name="Output 2 7 2 5 6 5" xfId="22016" xr:uid="{00000000-0005-0000-0000-0000FF760000}"/>
    <cellStyle name="Output 2 7 2 5 6 6" xfId="32861" xr:uid="{00000000-0005-0000-0000-000000770000}"/>
    <cellStyle name="Output 2 7 2 5 6 7" xfId="13408" xr:uid="{00000000-0005-0000-0000-000001770000}"/>
    <cellStyle name="Output 2 7 2 5 7" xfId="3728" xr:uid="{00000000-0005-0000-0000-000002770000}"/>
    <cellStyle name="Output 2 7 2 5 7 2" xfId="22700" xr:uid="{00000000-0005-0000-0000-000003770000}"/>
    <cellStyle name="Output 2 7 2 5 7 3" xfId="33545" xr:uid="{00000000-0005-0000-0000-000004770000}"/>
    <cellStyle name="Output 2 7 2 5 7 4" xfId="13889" xr:uid="{00000000-0005-0000-0000-000005770000}"/>
    <cellStyle name="Output 2 7 2 5 8" xfId="6403" xr:uid="{00000000-0005-0000-0000-000006770000}"/>
    <cellStyle name="Output 2 7 2 5 8 2" xfId="25375" xr:uid="{00000000-0005-0000-0000-000007770000}"/>
    <cellStyle name="Output 2 7 2 5 8 3" xfId="36220" xr:uid="{00000000-0005-0000-0000-000008770000}"/>
    <cellStyle name="Output 2 7 2 5 8 4" xfId="15805" xr:uid="{00000000-0005-0000-0000-000009770000}"/>
    <cellStyle name="Output 2 7 2 5 9" xfId="9062" xr:uid="{00000000-0005-0000-0000-00000A770000}"/>
    <cellStyle name="Output 2 7 2 5 9 2" xfId="28034" xr:uid="{00000000-0005-0000-0000-00000B770000}"/>
    <cellStyle name="Output 2 7 2 5 9 3" xfId="38879" xr:uid="{00000000-0005-0000-0000-00000C770000}"/>
    <cellStyle name="Output 2 7 2 5 9 4" xfId="17709" xr:uid="{00000000-0005-0000-0000-00000D770000}"/>
    <cellStyle name="Output 2 7 2 6" xfId="1095" xr:uid="{00000000-0005-0000-0000-00000E770000}"/>
    <cellStyle name="Output 2 7 2 6 2" xfId="3948" xr:uid="{00000000-0005-0000-0000-00000F770000}"/>
    <cellStyle name="Output 2 7 2 6 2 2" xfId="22920" xr:uid="{00000000-0005-0000-0000-000010770000}"/>
    <cellStyle name="Output 2 7 2 6 2 3" xfId="33765" xr:uid="{00000000-0005-0000-0000-000011770000}"/>
    <cellStyle name="Output 2 7 2 6 2 4" xfId="14051" xr:uid="{00000000-0005-0000-0000-000012770000}"/>
    <cellStyle name="Output 2 7 2 6 3" xfId="6622" xr:uid="{00000000-0005-0000-0000-000013770000}"/>
    <cellStyle name="Output 2 7 2 6 3 2" xfId="25594" xr:uid="{00000000-0005-0000-0000-000014770000}"/>
    <cellStyle name="Output 2 7 2 6 3 3" xfId="36439" xr:uid="{00000000-0005-0000-0000-000015770000}"/>
    <cellStyle name="Output 2 7 2 6 3 4" xfId="15967" xr:uid="{00000000-0005-0000-0000-000016770000}"/>
    <cellStyle name="Output 2 7 2 6 4" xfId="9281" xr:uid="{00000000-0005-0000-0000-000017770000}"/>
    <cellStyle name="Output 2 7 2 6 4 2" xfId="28253" xr:uid="{00000000-0005-0000-0000-000018770000}"/>
    <cellStyle name="Output 2 7 2 6 4 3" xfId="39098" xr:uid="{00000000-0005-0000-0000-000019770000}"/>
    <cellStyle name="Output 2 7 2 6 4 4" xfId="17871" xr:uid="{00000000-0005-0000-0000-00001A770000}"/>
    <cellStyle name="Output 2 7 2 6 5" xfId="20077" xr:uid="{00000000-0005-0000-0000-00001B770000}"/>
    <cellStyle name="Output 2 7 2 6 6" xfId="30922" xr:uid="{00000000-0005-0000-0000-00001C770000}"/>
    <cellStyle name="Output 2 7 2 6 7" xfId="12017" xr:uid="{00000000-0005-0000-0000-00001D770000}"/>
    <cellStyle name="Output 2 7 2 7" xfId="1494" xr:uid="{00000000-0005-0000-0000-00001E770000}"/>
    <cellStyle name="Output 2 7 2 7 2" xfId="4347" xr:uid="{00000000-0005-0000-0000-00001F770000}"/>
    <cellStyle name="Output 2 7 2 7 2 2" xfId="23319" xr:uid="{00000000-0005-0000-0000-000020770000}"/>
    <cellStyle name="Output 2 7 2 7 2 3" xfId="34164" xr:uid="{00000000-0005-0000-0000-000021770000}"/>
    <cellStyle name="Output 2 7 2 7 2 4" xfId="14340" xr:uid="{00000000-0005-0000-0000-000022770000}"/>
    <cellStyle name="Output 2 7 2 7 3" xfId="7020" xr:uid="{00000000-0005-0000-0000-000023770000}"/>
    <cellStyle name="Output 2 7 2 7 3 2" xfId="25992" xr:uid="{00000000-0005-0000-0000-000024770000}"/>
    <cellStyle name="Output 2 7 2 7 3 3" xfId="36837" xr:uid="{00000000-0005-0000-0000-000025770000}"/>
    <cellStyle name="Output 2 7 2 7 3 4" xfId="16255" xr:uid="{00000000-0005-0000-0000-000026770000}"/>
    <cellStyle name="Output 2 7 2 7 4" xfId="9679" xr:uid="{00000000-0005-0000-0000-000027770000}"/>
    <cellStyle name="Output 2 7 2 7 4 2" xfId="28651" xr:uid="{00000000-0005-0000-0000-000028770000}"/>
    <cellStyle name="Output 2 7 2 7 4 3" xfId="39496" xr:uid="{00000000-0005-0000-0000-000029770000}"/>
    <cellStyle name="Output 2 7 2 7 4 4" xfId="18159" xr:uid="{00000000-0005-0000-0000-00002A770000}"/>
    <cellStyle name="Output 2 7 2 7 5" xfId="20475" xr:uid="{00000000-0005-0000-0000-00002B770000}"/>
    <cellStyle name="Output 2 7 2 7 6" xfId="31320" xr:uid="{00000000-0005-0000-0000-00002C770000}"/>
    <cellStyle name="Output 2 7 2 7 7" xfId="12305" xr:uid="{00000000-0005-0000-0000-00002D770000}"/>
    <cellStyle name="Output 2 7 2 8" xfId="1902" xr:uid="{00000000-0005-0000-0000-00002E770000}"/>
    <cellStyle name="Output 2 7 2 8 2" xfId="4755" xr:uid="{00000000-0005-0000-0000-00002F770000}"/>
    <cellStyle name="Output 2 7 2 8 2 2" xfId="23727" xr:uid="{00000000-0005-0000-0000-000030770000}"/>
    <cellStyle name="Output 2 7 2 8 2 3" xfId="34572" xr:uid="{00000000-0005-0000-0000-000031770000}"/>
    <cellStyle name="Output 2 7 2 8 2 4" xfId="14631" xr:uid="{00000000-0005-0000-0000-000032770000}"/>
    <cellStyle name="Output 2 7 2 8 3" xfId="7427" xr:uid="{00000000-0005-0000-0000-000033770000}"/>
    <cellStyle name="Output 2 7 2 8 3 2" xfId="26399" xr:uid="{00000000-0005-0000-0000-000034770000}"/>
    <cellStyle name="Output 2 7 2 8 3 3" xfId="37244" xr:uid="{00000000-0005-0000-0000-000035770000}"/>
    <cellStyle name="Output 2 7 2 8 3 4" xfId="16545" xr:uid="{00000000-0005-0000-0000-000036770000}"/>
    <cellStyle name="Output 2 7 2 8 4" xfId="10086" xr:uid="{00000000-0005-0000-0000-000037770000}"/>
    <cellStyle name="Output 2 7 2 8 4 2" xfId="29058" xr:uid="{00000000-0005-0000-0000-000038770000}"/>
    <cellStyle name="Output 2 7 2 8 4 3" xfId="39903" xr:uid="{00000000-0005-0000-0000-000039770000}"/>
    <cellStyle name="Output 2 7 2 8 4 4" xfId="18449" xr:uid="{00000000-0005-0000-0000-00003A770000}"/>
    <cellStyle name="Output 2 7 2 8 5" xfId="20882" xr:uid="{00000000-0005-0000-0000-00003B770000}"/>
    <cellStyle name="Output 2 7 2 8 6" xfId="31727" xr:uid="{00000000-0005-0000-0000-00003C770000}"/>
    <cellStyle name="Output 2 7 2 8 7" xfId="12595" xr:uid="{00000000-0005-0000-0000-00003D770000}"/>
    <cellStyle name="Output 2 7 2 9" xfId="2296" xr:uid="{00000000-0005-0000-0000-00003E770000}"/>
    <cellStyle name="Output 2 7 2 9 2" xfId="5149" xr:uid="{00000000-0005-0000-0000-00003F770000}"/>
    <cellStyle name="Output 2 7 2 9 2 2" xfId="24121" xr:uid="{00000000-0005-0000-0000-000040770000}"/>
    <cellStyle name="Output 2 7 2 9 2 3" xfId="34966" xr:uid="{00000000-0005-0000-0000-000041770000}"/>
    <cellStyle name="Output 2 7 2 9 2 4" xfId="14913" xr:uid="{00000000-0005-0000-0000-000042770000}"/>
    <cellStyle name="Output 2 7 2 9 3" xfId="7820" xr:uid="{00000000-0005-0000-0000-000043770000}"/>
    <cellStyle name="Output 2 7 2 9 3 2" xfId="26792" xr:uid="{00000000-0005-0000-0000-000044770000}"/>
    <cellStyle name="Output 2 7 2 9 3 3" xfId="37637" xr:uid="{00000000-0005-0000-0000-000045770000}"/>
    <cellStyle name="Output 2 7 2 9 3 4" xfId="16826" xr:uid="{00000000-0005-0000-0000-000046770000}"/>
    <cellStyle name="Output 2 7 2 9 4" xfId="10479" xr:uid="{00000000-0005-0000-0000-000047770000}"/>
    <cellStyle name="Output 2 7 2 9 4 2" xfId="29451" xr:uid="{00000000-0005-0000-0000-000048770000}"/>
    <cellStyle name="Output 2 7 2 9 4 3" xfId="40296" xr:uid="{00000000-0005-0000-0000-000049770000}"/>
    <cellStyle name="Output 2 7 2 9 4 4" xfId="18730" xr:uid="{00000000-0005-0000-0000-00004A770000}"/>
    <cellStyle name="Output 2 7 2 9 5" xfId="21275" xr:uid="{00000000-0005-0000-0000-00004B770000}"/>
    <cellStyle name="Output 2 7 2 9 6" xfId="32120" xr:uid="{00000000-0005-0000-0000-00004C770000}"/>
    <cellStyle name="Output 2 7 2 9 7" xfId="12876" xr:uid="{00000000-0005-0000-0000-00004D770000}"/>
    <cellStyle name="Output 2 7 3" xfId="577" xr:uid="{00000000-0005-0000-0000-00004E770000}"/>
    <cellStyle name="Output 2 7 3 10" xfId="19587" xr:uid="{00000000-0005-0000-0000-00004F770000}"/>
    <cellStyle name="Output 2 7 3 11" xfId="30432" xr:uid="{00000000-0005-0000-0000-000050770000}"/>
    <cellStyle name="Output 2 7 3 12" xfId="11641" xr:uid="{00000000-0005-0000-0000-000051770000}"/>
    <cellStyle name="Output 2 7 3 2" xfId="1183" xr:uid="{00000000-0005-0000-0000-000052770000}"/>
    <cellStyle name="Output 2 7 3 2 2" xfId="4036" xr:uid="{00000000-0005-0000-0000-000053770000}"/>
    <cellStyle name="Output 2 7 3 2 2 2" xfId="23008" xr:uid="{00000000-0005-0000-0000-000054770000}"/>
    <cellStyle name="Output 2 7 3 2 2 3" xfId="33853" xr:uid="{00000000-0005-0000-0000-000055770000}"/>
    <cellStyle name="Output 2 7 3 2 2 4" xfId="14118" xr:uid="{00000000-0005-0000-0000-000056770000}"/>
    <cellStyle name="Output 2 7 3 2 3" xfId="6709" xr:uid="{00000000-0005-0000-0000-000057770000}"/>
    <cellStyle name="Output 2 7 3 2 3 2" xfId="25681" xr:uid="{00000000-0005-0000-0000-000058770000}"/>
    <cellStyle name="Output 2 7 3 2 3 3" xfId="36526" xr:uid="{00000000-0005-0000-0000-000059770000}"/>
    <cellStyle name="Output 2 7 3 2 3 4" xfId="16033" xr:uid="{00000000-0005-0000-0000-00005A770000}"/>
    <cellStyle name="Output 2 7 3 2 4" xfId="9368" xr:uid="{00000000-0005-0000-0000-00005B770000}"/>
    <cellStyle name="Output 2 7 3 2 4 2" xfId="28340" xr:uid="{00000000-0005-0000-0000-00005C770000}"/>
    <cellStyle name="Output 2 7 3 2 4 3" xfId="39185" xr:uid="{00000000-0005-0000-0000-00005D770000}"/>
    <cellStyle name="Output 2 7 3 2 4 4" xfId="17937" xr:uid="{00000000-0005-0000-0000-00005E770000}"/>
    <cellStyle name="Output 2 7 3 2 5" xfId="20164" xr:uid="{00000000-0005-0000-0000-00005F770000}"/>
    <cellStyle name="Output 2 7 3 2 6" xfId="31009" xr:uid="{00000000-0005-0000-0000-000060770000}"/>
    <cellStyle name="Output 2 7 3 2 7" xfId="12083" xr:uid="{00000000-0005-0000-0000-000061770000}"/>
    <cellStyle name="Output 2 7 3 3" xfId="1580" xr:uid="{00000000-0005-0000-0000-000062770000}"/>
    <cellStyle name="Output 2 7 3 3 2" xfId="4433" xr:uid="{00000000-0005-0000-0000-000063770000}"/>
    <cellStyle name="Output 2 7 3 3 2 2" xfId="23405" xr:uid="{00000000-0005-0000-0000-000064770000}"/>
    <cellStyle name="Output 2 7 3 3 2 3" xfId="34250" xr:uid="{00000000-0005-0000-0000-000065770000}"/>
    <cellStyle name="Output 2 7 3 3 2 4" xfId="14404" xr:uid="{00000000-0005-0000-0000-000066770000}"/>
    <cellStyle name="Output 2 7 3 3 3" xfId="7105" xr:uid="{00000000-0005-0000-0000-000067770000}"/>
    <cellStyle name="Output 2 7 3 3 3 2" xfId="26077" xr:uid="{00000000-0005-0000-0000-000068770000}"/>
    <cellStyle name="Output 2 7 3 3 3 3" xfId="36922" xr:uid="{00000000-0005-0000-0000-000069770000}"/>
    <cellStyle name="Output 2 7 3 3 3 4" xfId="16318" xr:uid="{00000000-0005-0000-0000-00006A770000}"/>
    <cellStyle name="Output 2 7 3 3 4" xfId="9764" xr:uid="{00000000-0005-0000-0000-00006B770000}"/>
    <cellStyle name="Output 2 7 3 3 4 2" xfId="28736" xr:uid="{00000000-0005-0000-0000-00006C770000}"/>
    <cellStyle name="Output 2 7 3 3 4 3" xfId="39581" xr:uid="{00000000-0005-0000-0000-00006D770000}"/>
    <cellStyle name="Output 2 7 3 3 4 4" xfId="18222" xr:uid="{00000000-0005-0000-0000-00006E770000}"/>
    <cellStyle name="Output 2 7 3 3 5" xfId="20560" xr:uid="{00000000-0005-0000-0000-00006F770000}"/>
    <cellStyle name="Output 2 7 3 3 6" xfId="31405" xr:uid="{00000000-0005-0000-0000-000070770000}"/>
    <cellStyle name="Output 2 7 3 3 7" xfId="12368" xr:uid="{00000000-0005-0000-0000-000071770000}"/>
    <cellStyle name="Output 2 7 3 4" xfId="1984" xr:uid="{00000000-0005-0000-0000-000072770000}"/>
    <cellStyle name="Output 2 7 3 4 2" xfId="4837" xr:uid="{00000000-0005-0000-0000-000073770000}"/>
    <cellStyle name="Output 2 7 3 4 2 2" xfId="23809" xr:uid="{00000000-0005-0000-0000-000074770000}"/>
    <cellStyle name="Output 2 7 3 4 2 3" xfId="34654" xr:uid="{00000000-0005-0000-0000-000075770000}"/>
    <cellStyle name="Output 2 7 3 4 2 4" xfId="14692" xr:uid="{00000000-0005-0000-0000-000076770000}"/>
    <cellStyle name="Output 2 7 3 4 3" xfId="7509" xr:uid="{00000000-0005-0000-0000-000077770000}"/>
    <cellStyle name="Output 2 7 3 4 3 2" xfId="26481" xr:uid="{00000000-0005-0000-0000-000078770000}"/>
    <cellStyle name="Output 2 7 3 4 3 3" xfId="37326" xr:uid="{00000000-0005-0000-0000-000079770000}"/>
    <cellStyle name="Output 2 7 3 4 3 4" xfId="16606" xr:uid="{00000000-0005-0000-0000-00007A770000}"/>
    <cellStyle name="Output 2 7 3 4 4" xfId="10168" xr:uid="{00000000-0005-0000-0000-00007B770000}"/>
    <cellStyle name="Output 2 7 3 4 4 2" xfId="29140" xr:uid="{00000000-0005-0000-0000-00007C770000}"/>
    <cellStyle name="Output 2 7 3 4 4 3" xfId="39985" xr:uid="{00000000-0005-0000-0000-00007D770000}"/>
    <cellStyle name="Output 2 7 3 4 4 4" xfId="18510" xr:uid="{00000000-0005-0000-0000-00007E770000}"/>
    <cellStyle name="Output 2 7 3 4 5" xfId="20964" xr:uid="{00000000-0005-0000-0000-00007F770000}"/>
    <cellStyle name="Output 2 7 3 4 6" xfId="31809" xr:uid="{00000000-0005-0000-0000-000080770000}"/>
    <cellStyle name="Output 2 7 3 4 7" xfId="12656" xr:uid="{00000000-0005-0000-0000-000081770000}"/>
    <cellStyle name="Output 2 7 3 5" xfId="2376" xr:uid="{00000000-0005-0000-0000-000082770000}"/>
    <cellStyle name="Output 2 7 3 5 2" xfId="5229" xr:uid="{00000000-0005-0000-0000-000083770000}"/>
    <cellStyle name="Output 2 7 3 5 2 2" xfId="24201" xr:uid="{00000000-0005-0000-0000-000084770000}"/>
    <cellStyle name="Output 2 7 3 5 2 3" xfId="35046" xr:uid="{00000000-0005-0000-0000-000085770000}"/>
    <cellStyle name="Output 2 7 3 5 2 4" xfId="14973" xr:uid="{00000000-0005-0000-0000-000086770000}"/>
    <cellStyle name="Output 2 7 3 5 3" xfId="7900" xr:uid="{00000000-0005-0000-0000-000087770000}"/>
    <cellStyle name="Output 2 7 3 5 3 2" xfId="26872" xr:uid="{00000000-0005-0000-0000-000088770000}"/>
    <cellStyle name="Output 2 7 3 5 3 3" xfId="37717" xr:uid="{00000000-0005-0000-0000-000089770000}"/>
    <cellStyle name="Output 2 7 3 5 3 4" xfId="16886" xr:uid="{00000000-0005-0000-0000-00008A770000}"/>
    <cellStyle name="Output 2 7 3 5 4" xfId="10559" xr:uid="{00000000-0005-0000-0000-00008B770000}"/>
    <cellStyle name="Output 2 7 3 5 4 2" xfId="29531" xr:uid="{00000000-0005-0000-0000-00008C770000}"/>
    <cellStyle name="Output 2 7 3 5 4 3" xfId="40376" xr:uid="{00000000-0005-0000-0000-00008D770000}"/>
    <cellStyle name="Output 2 7 3 5 4 4" xfId="18790" xr:uid="{00000000-0005-0000-0000-00008E770000}"/>
    <cellStyle name="Output 2 7 3 5 5" xfId="21355" xr:uid="{00000000-0005-0000-0000-00008F770000}"/>
    <cellStyle name="Output 2 7 3 5 6" xfId="32200" xr:uid="{00000000-0005-0000-0000-000090770000}"/>
    <cellStyle name="Output 2 7 3 5 7" xfId="12936" xr:uid="{00000000-0005-0000-0000-000091770000}"/>
    <cellStyle name="Output 2 7 3 6" xfId="2765" xr:uid="{00000000-0005-0000-0000-000092770000}"/>
    <cellStyle name="Output 2 7 3 6 2" xfId="5617" xr:uid="{00000000-0005-0000-0000-000093770000}"/>
    <cellStyle name="Output 2 7 3 6 2 2" xfId="24589" xr:uid="{00000000-0005-0000-0000-000094770000}"/>
    <cellStyle name="Output 2 7 3 6 2 3" xfId="35434" xr:uid="{00000000-0005-0000-0000-000095770000}"/>
    <cellStyle name="Output 2 7 3 6 2 4" xfId="15251" xr:uid="{00000000-0005-0000-0000-000096770000}"/>
    <cellStyle name="Output 2 7 3 6 3" xfId="8288" xr:uid="{00000000-0005-0000-0000-000097770000}"/>
    <cellStyle name="Output 2 7 3 6 3 2" xfId="27260" xr:uid="{00000000-0005-0000-0000-000098770000}"/>
    <cellStyle name="Output 2 7 3 6 3 3" xfId="38105" xr:uid="{00000000-0005-0000-0000-000099770000}"/>
    <cellStyle name="Output 2 7 3 6 3 4" xfId="17164" xr:uid="{00000000-0005-0000-0000-00009A770000}"/>
    <cellStyle name="Output 2 7 3 6 4" xfId="10947" xr:uid="{00000000-0005-0000-0000-00009B770000}"/>
    <cellStyle name="Output 2 7 3 6 4 2" xfId="29919" xr:uid="{00000000-0005-0000-0000-00009C770000}"/>
    <cellStyle name="Output 2 7 3 6 4 3" xfId="40764" xr:uid="{00000000-0005-0000-0000-00009D770000}"/>
    <cellStyle name="Output 2 7 3 6 4 4" xfId="19068" xr:uid="{00000000-0005-0000-0000-00009E770000}"/>
    <cellStyle name="Output 2 7 3 6 5" xfId="21743" xr:uid="{00000000-0005-0000-0000-00009F770000}"/>
    <cellStyle name="Output 2 7 3 6 6" xfId="32588" xr:uid="{00000000-0005-0000-0000-0000A0770000}"/>
    <cellStyle name="Output 2 7 3 6 7" xfId="13214" xr:uid="{00000000-0005-0000-0000-0000A1770000}"/>
    <cellStyle name="Output 2 7 3 7" xfId="3456" xr:uid="{00000000-0005-0000-0000-0000A2770000}"/>
    <cellStyle name="Output 2 7 3 7 2" xfId="22428" xr:uid="{00000000-0005-0000-0000-0000A3770000}"/>
    <cellStyle name="Output 2 7 3 7 3" xfId="33273" xr:uid="{00000000-0005-0000-0000-0000A4770000}"/>
    <cellStyle name="Output 2 7 3 7 4" xfId="13696" xr:uid="{00000000-0005-0000-0000-0000A5770000}"/>
    <cellStyle name="Output 2 7 3 8" xfId="6132" xr:uid="{00000000-0005-0000-0000-0000A6770000}"/>
    <cellStyle name="Output 2 7 3 8 2" xfId="25104" xr:uid="{00000000-0005-0000-0000-0000A7770000}"/>
    <cellStyle name="Output 2 7 3 8 3" xfId="35949" xr:uid="{00000000-0005-0000-0000-0000A8770000}"/>
    <cellStyle name="Output 2 7 3 8 4" xfId="15613" xr:uid="{00000000-0005-0000-0000-0000A9770000}"/>
    <cellStyle name="Output 2 7 3 9" xfId="8791" xr:uid="{00000000-0005-0000-0000-0000AA770000}"/>
    <cellStyle name="Output 2 7 3 9 2" xfId="27763" xr:uid="{00000000-0005-0000-0000-0000AB770000}"/>
    <cellStyle name="Output 2 7 3 9 3" xfId="38608" xr:uid="{00000000-0005-0000-0000-0000AC770000}"/>
    <cellStyle name="Output 2 7 3 9 4" xfId="17517" xr:uid="{00000000-0005-0000-0000-0000AD770000}"/>
    <cellStyle name="Output 2 7 4" xfId="11468" xr:uid="{00000000-0005-0000-0000-0000AE770000}"/>
    <cellStyle name="Output 2 8" xfId="144" xr:uid="{00000000-0005-0000-0000-0000AF770000}"/>
    <cellStyle name="Output 2 8 2" xfId="395" xr:uid="{00000000-0005-0000-0000-0000B0770000}"/>
    <cellStyle name="Output 2 8 2 10" xfId="2687" xr:uid="{00000000-0005-0000-0000-0000B1770000}"/>
    <cellStyle name="Output 2 8 2 10 2" xfId="5539" xr:uid="{00000000-0005-0000-0000-0000B2770000}"/>
    <cellStyle name="Output 2 8 2 10 2 2" xfId="24511" xr:uid="{00000000-0005-0000-0000-0000B3770000}"/>
    <cellStyle name="Output 2 8 2 10 2 3" xfId="35356" xr:uid="{00000000-0005-0000-0000-0000B4770000}"/>
    <cellStyle name="Output 2 8 2 10 2 4" xfId="15193" xr:uid="{00000000-0005-0000-0000-0000B5770000}"/>
    <cellStyle name="Output 2 8 2 10 3" xfId="8210" xr:uid="{00000000-0005-0000-0000-0000B6770000}"/>
    <cellStyle name="Output 2 8 2 10 3 2" xfId="27182" xr:uid="{00000000-0005-0000-0000-0000B7770000}"/>
    <cellStyle name="Output 2 8 2 10 3 3" xfId="38027" xr:uid="{00000000-0005-0000-0000-0000B8770000}"/>
    <cellStyle name="Output 2 8 2 10 3 4" xfId="17106" xr:uid="{00000000-0005-0000-0000-0000B9770000}"/>
    <cellStyle name="Output 2 8 2 10 4" xfId="10869" xr:uid="{00000000-0005-0000-0000-0000BA770000}"/>
    <cellStyle name="Output 2 8 2 10 4 2" xfId="29841" xr:uid="{00000000-0005-0000-0000-0000BB770000}"/>
    <cellStyle name="Output 2 8 2 10 4 3" xfId="40686" xr:uid="{00000000-0005-0000-0000-0000BC770000}"/>
    <cellStyle name="Output 2 8 2 10 4 4" xfId="19010" xr:uid="{00000000-0005-0000-0000-0000BD770000}"/>
    <cellStyle name="Output 2 8 2 10 5" xfId="21665" xr:uid="{00000000-0005-0000-0000-0000BE770000}"/>
    <cellStyle name="Output 2 8 2 10 6" xfId="32510" xr:uid="{00000000-0005-0000-0000-0000BF770000}"/>
    <cellStyle name="Output 2 8 2 10 7" xfId="13156" xr:uid="{00000000-0005-0000-0000-0000C0770000}"/>
    <cellStyle name="Output 2 8 2 11" xfId="3073" xr:uid="{00000000-0005-0000-0000-0000C1770000}"/>
    <cellStyle name="Output 2 8 2 11 2" xfId="5924" xr:uid="{00000000-0005-0000-0000-0000C2770000}"/>
    <cellStyle name="Output 2 8 2 11 2 2" xfId="24896" xr:uid="{00000000-0005-0000-0000-0000C3770000}"/>
    <cellStyle name="Output 2 8 2 11 2 3" xfId="35741" xr:uid="{00000000-0005-0000-0000-0000C4770000}"/>
    <cellStyle name="Output 2 8 2 11 2 4" xfId="15469" xr:uid="{00000000-0005-0000-0000-0000C5770000}"/>
    <cellStyle name="Output 2 8 2 11 3" xfId="8595" xr:uid="{00000000-0005-0000-0000-0000C6770000}"/>
    <cellStyle name="Output 2 8 2 11 3 2" xfId="27567" xr:uid="{00000000-0005-0000-0000-0000C7770000}"/>
    <cellStyle name="Output 2 8 2 11 3 3" xfId="38412" xr:uid="{00000000-0005-0000-0000-0000C8770000}"/>
    <cellStyle name="Output 2 8 2 11 3 4" xfId="17382" xr:uid="{00000000-0005-0000-0000-0000C9770000}"/>
    <cellStyle name="Output 2 8 2 11 4" xfId="11254" xr:uid="{00000000-0005-0000-0000-0000CA770000}"/>
    <cellStyle name="Output 2 8 2 11 4 2" xfId="30226" xr:uid="{00000000-0005-0000-0000-0000CB770000}"/>
    <cellStyle name="Output 2 8 2 11 4 3" xfId="41071" xr:uid="{00000000-0005-0000-0000-0000CC770000}"/>
    <cellStyle name="Output 2 8 2 11 4 4" xfId="19286" xr:uid="{00000000-0005-0000-0000-0000CD770000}"/>
    <cellStyle name="Output 2 8 2 11 5" xfId="22050" xr:uid="{00000000-0005-0000-0000-0000CE770000}"/>
    <cellStyle name="Output 2 8 2 11 6" xfId="32895" xr:uid="{00000000-0005-0000-0000-0000CF770000}"/>
    <cellStyle name="Output 2 8 2 11 7" xfId="13432" xr:uid="{00000000-0005-0000-0000-0000D0770000}"/>
    <cellStyle name="Output 2 8 2 12" xfId="3130" xr:uid="{00000000-0005-0000-0000-0000D1770000}"/>
    <cellStyle name="Output 2 8 2 12 2" xfId="5981" xr:uid="{00000000-0005-0000-0000-0000D2770000}"/>
    <cellStyle name="Output 2 8 2 12 2 2" xfId="24953" xr:uid="{00000000-0005-0000-0000-0000D3770000}"/>
    <cellStyle name="Output 2 8 2 12 2 3" xfId="35798" xr:uid="{00000000-0005-0000-0000-0000D4770000}"/>
    <cellStyle name="Output 2 8 2 12 2 4" xfId="15506" xr:uid="{00000000-0005-0000-0000-0000D5770000}"/>
    <cellStyle name="Output 2 8 2 12 3" xfId="8652" xr:uid="{00000000-0005-0000-0000-0000D6770000}"/>
    <cellStyle name="Output 2 8 2 12 3 2" xfId="27624" xr:uid="{00000000-0005-0000-0000-0000D7770000}"/>
    <cellStyle name="Output 2 8 2 12 3 3" xfId="38469" xr:uid="{00000000-0005-0000-0000-0000D8770000}"/>
    <cellStyle name="Output 2 8 2 12 3 4" xfId="17419" xr:uid="{00000000-0005-0000-0000-0000D9770000}"/>
    <cellStyle name="Output 2 8 2 12 4" xfId="11311" xr:uid="{00000000-0005-0000-0000-0000DA770000}"/>
    <cellStyle name="Output 2 8 2 12 4 2" xfId="30283" xr:uid="{00000000-0005-0000-0000-0000DB770000}"/>
    <cellStyle name="Output 2 8 2 12 4 3" xfId="41128" xr:uid="{00000000-0005-0000-0000-0000DC770000}"/>
    <cellStyle name="Output 2 8 2 12 4 4" xfId="19323" xr:uid="{00000000-0005-0000-0000-0000DD770000}"/>
    <cellStyle name="Output 2 8 2 12 5" xfId="22107" xr:uid="{00000000-0005-0000-0000-0000DE770000}"/>
    <cellStyle name="Output 2 8 2 12 6" xfId="32952" xr:uid="{00000000-0005-0000-0000-0000DF770000}"/>
    <cellStyle name="Output 2 8 2 12 7" xfId="13469" xr:uid="{00000000-0005-0000-0000-0000E0770000}"/>
    <cellStyle name="Output 2 8 2 13" xfId="3187" xr:uid="{00000000-0005-0000-0000-0000E1770000}"/>
    <cellStyle name="Output 2 8 2 13 2" xfId="6038" xr:uid="{00000000-0005-0000-0000-0000E2770000}"/>
    <cellStyle name="Output 2 8 2 13 2 2" xfId="25010" xr:uid="{00000000-0005-0000-0000-0000E3770000}"/>
    <cellStyle name="Output 2 8 2 13 2 3" xfId="35855" xr:uid="{00000000-0005-0000-0000-0000E4770000}"/>
    <cellStyle name="Output 2 8 2 13 2 4" xfId="15543" xr:uid="{00000000-0005-0000-0000-0000E5770000}"/>
    <cellStyle name="Output 2 8 2 13 3" xfId="8709" xr:uid="{00000000-0005-0000-0000-0000E6770000}"/>
    <cellStyle name="Output 2 8 2 13 3 2" xfId="27681" xr:uid="{00000000-0005-0000-0000-0000E7770000}"/>
    <cellStyle name="Output 2 8 2 13 3 3" xfId="38526" xr:uid="{00000000-0005-0000-0000-0000E8770000}"/>
    <cellStyle name="Output 2 8 2 13 3 4" xfId="17456" xr:uid="{00000000-0005-0000-0000-0000E9770000}"/>
    <cellStyle name="Output 2 8 2 13 4" xfId="11368" xr:uid="{00000000-0005-0000-0000-0000EA770000}"/>
    <cellStyle name="Output 2 8 2 13 4 2" xfId="30340" xr:uid="{00000000-0005-0000-0000-0000EB770000}"/>
    <cellStyle name="Output 2 8 2 13 4 3" xfId="41185" xr:uid="{00000000-0005-0000-0000-0000EC770000}"/>
    <cellStyle name="Output 2 8 2 13 4 4" xfId="19360" xr:uid="{00000000-0005-0000-0000-0000ED770000}"/>
    <cellStyle name="Output 2 8 2 13 5" xfId="22164" xr:uid="{00000000-0005-0000-0000-0000EE770000}"/>
    <cellStyle name="Output 2 8 2 13 6" xfId="33009" xr:uid="{00000000-0005-0000-0000-0000EF770000}"/>
    <cellStyle name="Output 2 8 2 13 7" xfId="13506" xr:uid="{00000000-0005-0000-0000-0000F0770000}"/>
    <cellStyle name="Output 2 8 2 14" xfId="3353" xr:uid="{00000000-0005-0000-0000-0000F1770000}"/>
    <cellStyle name="Output 2 8 2 14 2" xfId="22327" xr:uid="{00000000-0005-0000-0000-0000F2770000}"/>
    <cellStyle name="Output 2 8 2 14 3" xfId="33172" xr:uid="{00000000-0005-0000-0000-0000F3770000}"/>
    <cellStyle name="Output 2 8 2 14 4" xfId="13623" xr:uid="{00000000-0005-0000-0000-0000F4770000}"/>
    <cellStyle name="Output 2 8 2 15" xfId="3297" xr:uid="{00000000-0005-0000-0000-0000F5770000}"/>
    <cellStyle name="Output 2 8 2 15 2" xfId="22271" xr:uid="{00000000-0005-0000-0000-0000F6770000}"/>
    <cellStyle name="Output 2 8 2 15 3" xfId="33116" xr:uid="{00000000-0005-0000-0000-0000F7770000}"/>
    <cellStyle name="Output 2 8 2 15 4" xfId="13584" xr:uid="{00000000-0005-0000-0000-0000F8770000}"/>
    <cellStyle name="Output 2 8 2 16" xfId="498" xr:uid="{00000000-0005-0000-0000-0000F9770000}"/>
    <cellStyle name="Output 2 8 2 16 2" xfId="19531" xr:uid="{00000000-0005-0000-0000-0000FA770000}"/>
    <cellStyle name="Output 2 8 2 16 3" xfId="30376" xr:uid="{00000000-0005-0000-0000-0000FB770000}"/>
    <cellStyle name="Output 2 8 2 16 4" xfId="11577" xr:uid="{00000000-0005-0000-0000-0000FC770000}"/>
    <cellStyle name="Output 2 8 2 17" xfId="19484" xr:uid="{00000000-0005-0000-0000-0000FD770000}"/>
    <cellStyle name="Output 2 8 2 18" xfId="19392" xr:uid="{00000000-0005-0000-0000-0000FE770000}"/>
    <cellStyle name="Output 2 8 2 19" xfId="11533" xr:uid="{00000000-0005-0000-0000-0000FF770000}"/>
    <cellStyle name="Output 2 8 2 2" xfId="695" xr:uid="{00000000-0005-0000-0000-000000780000}"/>
    <cellStyle name="Output 2 8 2 2 10" xfId="19680" xr:uid="{00000000-0005-0000-0000-000001780000}"/>
    <cellStyle name="Output 2 8 2 2 11" xfId="30525" xr:uid="{00000000-0005-0000-0000-000002780000}"/>
    <cellStyle name="Output 2 8 2 2 12" xfId="11737" xr:uid="{00000000-0005-0000-0000-000003780000}"/>
    <cellStyle name="Output 2 8 2 2 2" xfId="1282" xr:uid="{00000000-0005-0000-0000-000004780000}"/>
    <cellStyle name="Output 2 8 2 2 2 2" xfId="4135" xr:uid="{00000000-0005-0000-0000-000005780000}"/>
    <cellStyle name="Output 2 8 2 2 2 2 2" xfId="23107" xr:uid="{00000000-0005-0000-0000-000006780000}"/>
    <cellStyle name="Output 2 8 2 2 2 2 3" xfId="33952" xr:uid="{00000000-0005-0000-0000-000007780000}"/>
    <cellStyle name="Output 2 8 2 2 2 2 4" xfId="14198" xr:uid="{00000000-0005-0000-0000-000008780000}"/>
    <cellStyle name="Output 2 8 2 2 2 3" xfId="6808" xr:uid="{00000000-0005-0000-0000-000009780000}"/>
    <cellStyle name="Output 2 8 2 2 2 3 2" xfId="25780" xr:uid="{00000000-0005-0000-0000-00000A780000}"/>
    <cellStyle name="Output 2 8 2 2 2 3 3" xfId="36625" xr:uid="{00000000-0005-0000-0000-00000B780000}"/>
    <cellStyle name="Output 2 8 2 2 2 3 4" xfId="16113" xr:uid="{00000000-0005-0000-0000-00000C780000}"/>
    <cellStyle name="Output 2 8 2 2 2 4" xfId="9467" xr:uid="{00000000-0005-0000-0000-00000D780000}"/>
    <cellStyle name="Output 2 8 2 2 2 4 2" xfId="28439" xr:uid="{00000000-0005-0000-0000-00000E780000}"/>
    <cellStyle name="Output 2 8 2 2 2 4 3" xfId="39284" xr:uid="{00000000-0005-0000-0000-00000F780000}"/>
    <cellStyle name="Output 2 8 2 2 2 4 4" xfId="18017" xr:uid="{00000000-0005-0000-0000-000010780000}"/>
    <cellStyle name="Output 2 8 2 2 2 5" xfId="20263" xr:uid="{00000000-0005-0000-0000-000011780000}"/>
    <cellStyle name="Output 2 8 2 2 2 6" xfId="31108" xr:uid="{00000000-0005-0000-0000-000012780000}"/>
    <cellStyle name="Output 2 8 2 2 2 7" xfId="12163" xr:uid="{00000000-0005-0000-0000-000013780000}"/>
    <cellStyle name="Output 2 8 2 2 3" xfId="1681" xr:uid="{00000000-0005-0000-0000-000014780000}"/>
    <cellStyle name="Output 2 8 2 2 3 2" xfId="4534" xr:uid="{00000000-0005-0000-0000-000015780000}"/>
    <cellStyle name="Output 2 8 2 2 3 2 2" xfId="23506" xr:uid="{00000000-0005-0000-0000-000016780000}"/>
    <cellStyle name="Output 2 8 2 2 3 2 3" xfId="34351" xr:uid="{00000000-0005-0000-0000-000017780000}"/>
    <cellStyle name="Output 2 8 2 2 3 2 4" xfId="14485" xr:uid="{00000000-0005-0000-0000-000018780000}"/>
    <cellStyle name="Output 2 8 2 2 3 3" xfId="7206" xr:uid="{00000000-0005-0000-0000-000019780000}"/>
    <cellStyle name="Output 2 8 2 2 3 3 2" xfId="26178" xr:uid="{00000000-0005-0000-0000-00001A780000}"/>
    <cellStyle name="Output 2 8 2 2 3 3 3" xfId="37023" xr:uid="{00000000-0005-0000-0000-00001B780000}"/>
    <cellStyle name="Output 2 8 2 2 3 3 4" xfId="16399" xr:uid="{00000000-0005-0000-0000-00001C780000}"/>
    <cellStyle name="Output 2 8 2 2 3 4" xfId="9865" xr:uid="{00000000-0005-0000-0000-00001D780000}"/>
    <cellStyle name="Output 2 8 2 2 3 4 2" xfId="28837" xr:uid="{00000000-0005-0000-0000-00001E780000}"/>
    <cellStyle name="Output 2 8 2 2 3 4 3" xfId="39682" xr:uid="{00000000-0005-0000-0000-00001F780000}"/>
    <cellStyle name="Output 2 8 2 2 3 4 4" xfId="18303" xr:uid="{00000000-0005-0000-0000-000020780000}"/>
    <cellStyle name="Output 2 8 2 2 3 5" xfId="20661" xr:uid="{00000000-0005-0000-0000-000021780000}"/>
    <cellStyle name="Output 2 8 2 2 3 6" xfId="31506" xr:uid="{00000000-0005-0000-0000-000022780000}"/>
    <cellStyle name="Output 2 8 2 2 3 7" xfId="12449" xr:uid="{00000000-0005-0000-0000-000023780000}"/>
    <cellStyle name="Output 2 8 2 2 4" xfId="2085" xr:uid="{00000000-0005-0000-0000-000024780000}"/>
    <cellStyle name="Output 2 8 2 2 4 2" xfId="4938" xr:uid="{00000000-0005-0000-0000-000025780000}"/>
    <cellStyle name="Output 2 8 2 2 4 2 2" xfId="23910" xr:uid="{00000000-0005-0000-0000-000026780000}"/>
    <cellStyle name="Output 2 8 2 2 4 2 3" xfId="34755" xr:uid="{00000000-0005-0000-0000-000027780000}"/>
    <cellStyle name="Output 2 8 2 2 4 2 4" xfId="14772" xr:uid="{00000000-0005-0000-0000-000028780000}"/>
    <cellStyle name="Output 2 8 2 2 4 3" xfId="7609" xr:uid="{00000000-0005-0000-0000-000029780000}"/>
    <cellStyle name="Output 2 8 2 2 4 3 2" xfId="26581" xr:uid="{00000000-0005-0000-0000-00002A780000}"/>
    <cellStyle name="Output 2 8 2 2 4 3 3" xfId="37426" xr:uid="{00000000-0005-0000-0000-00002B780000}"/>
    <cellStyle name="Output 2 8 2 2 4 3 4" xfId="16685" xr:uid="{00000000-0005-0000-0000-00002C780000}"/>
    <cellStyle name="Output 2 8 2 2 4 4" xfId="10268" xr:uid="{00000000-0005-0000-0000-00002D780000}"/>
    <cellStyle name="Output 2 8 2 2 4 4 2" xfId="29240" xr:uid="{00000000-0005-0000-0000-00002E780000}"/>
    <cellStyle name="Output 2 8 2 2 4 4 3" xfId="40085" xr:uid="{00000000-0005-0000-0000-00002F780000}"/>
    <cellStyle name="Output 2 8 2 2 4 4 4" xfId="18589" xr:uid="{00000000-0005-0000-0000-000030780000}"/>
    <cellStyle name="Output 2 8 2 2 4 5" xfId="21064" xr:uid="{00000000-0005-0000-0000-000031780000}"/>
    <cellStyle name="Output 2 8 2 2 4 6" xfId="31909" xr:uid="{00000000-0005-0000-0000-000032780000}"/>
    <cellStyle name="Output 2 8 2 2 4 7" xfId="12735" xr:uid="{00000000-0005-0000-0000-000033780000}"/>
    <cellStyle name="Output 2 8 2 2 5" xfId="2475" xr:uid="{00000000-0005-0000-0000-000034780000}"/>
    <cellStyle name="Output 2 8 2 2 5 2" xfId="5327" xr:uid="{00000000-0005-0000-0000-000035780000}"/>
    <cellStyle name="Output 2 8 2 2 5 2 2" xfId="24299" xr:uid="{00000000-0005-0000-0000-000036780000}"/>
    <cellStyle name="Output 2 8 2 2 5 2 3" xfId="35144" xr:uid="{00000000-0005-0000-0000-000037780000}"/>
    <cellStyle name="Output 2 8 2 2 5 2 4" xfId="15051" xr:uid="{00000000-0005-0000-0000-000038780000}"/>
    <cellStyle name="Output 2 8 2 2 5 3" xfId="7998" xr:uid="{00000000-0005-0000-0000-000039780000}"/>
    <cellStyle name="Output 2 8 2 2 5 3 2" xfId="26970" xr:uid="{00000000-0005-0000-0000-00003A780000}"/>
    <cellStyle name="Output 2 8 2 2 5 3 3" xfId="37815" xr:uid="{00000000-0005-0000-0000-00003B780000}"/>
    <cellStyle name="Output 2 8 2 2 5 3 4" xfId="16964" xr:uid="{00000000-0005-0000-0000-00003C780000}"/>
    <cellStyle name="Output 2 8 2 2 5 4" xfId="10657" xr:uid="{00000000-0005-0000-0000-00003D780000}"/>
    <cellStyle name="Output 2 8 2 2 5 4 2" xfId="29629" xr:uid="{00000000-0005-0000-0000-00003E780000}"/>
    <cellStyle name="Output 2 8 2 2 5 4 3" xfId="40474" xr:uid="{00000000-0005-0000-0000-00003F780000}"/>
    <cellStyle name="Output 2 8 2 2 5 4 4" xfId="18868" xr:uid="{00000000-0005-0000-0000-000040780000}"/>
    <cellStyle name="Output 2 8 2 2 5 5" xfId="21453" xr:uid="{00000000-0005-0000-0000-000041780000}"/>
    <cellStyle name="Output 2 8 2 2 5 6" xfId="32298" xr:uid="{00000000-0005-0000-0000-000042780000}"/>
    <cellStyle name="Output 2 8 2 2 5 7" xfId="13014" xr:uid="{00000000-0005-0000-0000-000043780000}"/>
    <cellStyle name="Output 2 8 2 2 6" xfId="2861" xr:uid="{00000000-0005-0000-0000-000044780000}"/>
    <cellStyle name="Output 2 8 2 2 6 2" xfId="5712" xr:uid="{00000000-0005-0000-0000-000045780000}"/>
    <cellStyle name="Output 2 8 2 2 6 2 2" xfId="24684" xr:uid="{00000000-0005-0000-0000-000046780000}"/>
    <cellStyle name="Output 2 8 2 2 6 2 3" xfId="35529" xr:uid="{00000000-0005-0000-0000-000047780000}"/>
    <cellStyle name="Output 2 8 2 2 6 2 4" xfId="15327" xr:uid="{00000000-0005-0000-0000-000048780000}"/>
    <cellStyle name="Output 2 8 2 2 6 3" xfId="8383" xr:uid="{00000000-0005-0000-0000-000049780000}"/>
    <cellStyle name="Output 2 8 2 2 6 3 2" xfId="27355" xr:uid="{00000000-0005-0000-0000-00004A780000}"/>
    <cellStyle name="Output 2 8 2 2 6 3 3" xfId="38200" xr:uid="{00000000-0005-0000-0000-00004B780000}"/>
    <cellStyle name="Output 2 8 2 2 6 3 4" xfId="17240" xr:uid="{00000000-0005-0000-0000-00004C780000}"/>
    <cellStyle name="Output 2 8 2 2 6 4" xfId="11042" xr:uid="{00000000-0005-0000-0000-00004D780000}"/>
    <cellStyle name="Output 2 8 2 2 6 4 2" xfId="30014" xr:uid="{00000000-0005-0000-0000-00004E780000}"/>
    <cellStyle name="Output 2 8 2 2 6 4 3" xfId="40859" xr:uid="{00000000-0005-0000-0000-00004F780000}"/>
    <cellStyle name="Output 2 8 2 2 6 4 4" xfId="19144" xr:uid="{00000000-0005-0000-0000-000050780000}"/>
    <cellStyle name="Output 2 8 2 2 6 5" xfId="21838" xr:uid="{00000000-0005-0000-0000-000051780000}"/>
    <cellStyle name="Output 2 8 2 2 6 6" xfId="32683" xr:uid="{00000000-0005-0000-0000-000052780000}"/>
    <cellStyle name="Output 2 8 2 2 6 7" xfId="13290" xr:uid="{00000000-0005-0000-0000-000053780000}"/>
    <cellStyle name="Output 2 8 2 2 7" xfId="3550" xr:uid="{00000000-0005-0000-0000-000054780000}"/>
    <cellStyle name="Output 2 8 2 2 7 2" xfId="22522" xr:uid="{00000000-0005-0000-0000-000055780000}"/>
    <cellStyle name="Output 2 8 2 2 7 3" xfId="33367" xr:uid="{00000000-0005-0000-0000-000056780000}"/>
    <cellStyle name="Output 2 8 2 2 7 4" xfId="13771" xr:uid="{00000000-0005-0000-0000-000057780000}"/>
    <cellStyle name="Output 2 8 2 2 8" xfId="6225" xr:uid="{00000000-0005-0000-0000-000058780000}"/>
    <cellStyle name="Output 2 8 2 2 8 2" xfId="25197" xr:uid="{00000000-0005-0000-0000-000059780000}"/>
    <cellStyle name="Output 2 8 2 2 8 3" xfId="36042" xr:uid="{00000000-0005-0000-0000-00005A780000}"/>
    <cellStyle name="Output 2 8 2 2 8 4" xfId="15687" xr:uid="{00000000-0005-0000-0000-00005B780000}"/>
    <cellStyle name="Output 2 8 2 2 9" xfId="8884" xr:uid="{00000000-0005-0000-0000-00005C780000}"/>
    <cellStyle name="Output 2 8 2 2 9 2" xfId="27856" xr:uid="{00000000-0005-0000-0000-00005D780000}"/>
    <cellStyle name="Output 2 8 2 2 9 3" xfId="38701" xr:uid="{00000000-0005-0000-0000-00005E780000}"/>
    <cellStyle name="Output 2 8 2 2 9 4" xfId="17591" xr:uid="{00000000-0005-0000-0000-00005F780000}"/>
    <cellStyle name="Output 2 8 2 3" xfId="755" xr:uid="{00000000-0005-0000-0000-000060780000}"/>
    <cellStyle name="Output 2 8 2 3 10" xfId="19740" xr:uid="{00000000-0005-0000-0000-000061780000}"/>
    <cellStyle name="Output 2 8 2 3 11" xfId="30585" xr:uid="{00000000-0005-0000-0000-000062780000}"/>
    <cellStyle name="Output 2 8 2 3 12" xfId="11777" xr:uid="{00000000-0005-0000-0000-000063780000}"/>
    <cellStyle name="Output 2 8 2 3 2" xfId="1342" xr:uid="{00000000-0005-0000-0000-000064780000}"/>
    <cellStyle name="Output 2 8 2 3 2 2" xfId="4195" xr:uid="{00000000-0005-0000-0000-000065780000}"/>
    <cellStyle name="Output 2 8 2 3 2 2 2" xfId="23167" xr:uid="{00000000-0005-0000-0000-000066780000}"/>
    <cellStyle name="Output 2 8 2 3 2 2 3" xfId="34012" xr:uid="{00000000-0005-0000-0000-000067780000}"/>
    <cellStyle name="Output 2 8 2 3 2 2 4" xfId="14238" xr:uid="{00000000-0005-0000-0000-000068780000}"/>
    <cellStyle name="Output 2 8 2 3 2 3" xfId="6868" xr:uid="{00000000-0005-0000-0000-000069780000}"/>
    <cellStyle name="Output 2 8 2 3 2 3 2" xfId="25840" xr:uid="{00000000-0005-0000-0000-00006A780000}"/>
    <cellStyle name="Output 2 8 2 3 2 3 3" xfId="36685" xr:uid="{00000000-0005-0000-0000-00006B780000}"/>
    <cellStyle name="Output 2 8 2 3 2 3 4" xfId="16153" xr:uid="{00000000-0005-0000-0000-00006C780000}"/>
    <cellStyle name="Output 2 8 2 3 2 4" xfId="9527" xr:uid="{00000000-0005-0000-0000-00006D780000}"/>
    <cellStyle name="Output 2 8 2 3 2 4 2" xfId="28499" xr:uid="{00000000-0005-0000-0000-00006E780000}"/>
    <cellStyle name="Output 2 8 2 3 2 4 3" xfId="39344" xr:uid="{00000000-0005-0000-0000-00006F780000}"/>
    <cellStyle name="Output 2 8 2 3 2 4 4" xfId="18057" xr:uid="{00000000-0005-0000-0000-000070780000}"/>
    <cellStyle name="Output 2 8 2 3 2 5" xfId="20323" xr:uid="{00000000-0005-0000-0000-000071780000}"/>
    <cellStyle name="Output 2 8 2 3 2 6" xfId="31168" xr:uid="{00000000-0005-0000-0000-000072780000}"/>
    <cellStyle name="Output 2 8 2 3 2 7" xfId="12203" xr:uid="{00000000-0005-0000-0000-000073780000}"/>
    <cellStyle name="Output 2 8 2 3 3" xfId="1741" xr:uid="{00000000-0005-0000-0000-000074780000}"/>
    <cellStyle name="Output 2 8 2 3 3 2" xfId="4594" xr:uid="{00000000-0005-0000-0000-000075780000}"/>
    <cellStyle name="Output 2 8 2 3 3 2 2" xfId="23566" xr:uid="{00000000-0005-0000-0000-000076780000}"/>
    <cellStyle name="Output 2 8 2 3 3 2 3" xfId="34411" xr:uid="{00000000-0005-0000-0000-000077780000}"/>
    <cellStyle name="Output 2 8 2 3 3 2 4" xfId="14525" xr:uid="{00000000-0005-0000-0000-000078780000}"/>
    <cellStyle name="Output 2 8 2 3 3 3" xfId="7266" xr:uid="{00000000-0005-0000-0000-000079780000}"/>
    <cellStyle name="Output 2 8 2 3 3 3 2" xfId="26238" xr:uid="{00000000-0005-0000-0000-00007A780000}"/>
    <cellStyle name="Output 2 8 2 3 3 3 3" xfId="37083" xr:uid="{00000000-0005-0000-0000-00007B780000}"/>
    <cellStyle name="Output 2 8 2 3 3 3 4" xfId="16439" xr:uid="{00000000-0005-0000-0000-00007C780000}"/>
    <cellStyle name="Output 2 8 2 3 3 4" xfId="9925" xr:uid="{00000000-0005-0000-0000-00007D780000}"/>
    <cellStyle name="Output 2 8 2 3 3 4 2" xfId="28897" xr:uid="{00000000-0005-0000-0000-00007E780000}"/>
    <cellStyle name="Output 2 8 2 3 3 4 3" xfId="39742" xr:uid="{00000000-0005-0000-0000-00007F780000}"/>
    <cellStyle name="Output 2 8 2 3 3 4 4" xfId="18343" xr:uid="{00000000-0005-0000-0000-000080780000}"/>
    <cellStyle name="Output 2 8 2 3 3 5" xfId="20721" xr:uid="{00000000-0005-0000-0000-000081780000}"/>
    <cellStyle name="Output 2 8 2 3 3 6" xfId="31566" xr:uid="{00000000-0005-0000-0000-000082780000}"/>
    <cellStyle name="Output 2 8 2 3 3 7" xfId="12489" xr:uid="{00000000-0005-0000-0000-000083780000}"/>
    <cellStyle name="Output 2 8 2 3 4" xfId="2145" xr:uid="{00000000-0005-0000-0000-000084780000}"/>
    <cellStyle name="Output 2 8 2 3 4 2" xfId="4998" xr:uid="{00000000-0005-0000-0000-000085780000}"/>
    <cellStyle name="Output 2 8 2 3 4 2 2" xfId="23970" xr:uid="{00000000-0005-0000-0000-000086780000}"/>
    <cellStyle name="Output 2 8 2 3 4 2 3" xfId="34815" xr:uid="{00000000-0005-0000-0000-000087780000}"/>
    <cellStyle name="Output 2 8 2 3 4 2 4" xfId="14812" xr:uid="{00000000-0005-0000-0000-000088780000}"/>
    <cellStyle name="Output 2 8 2 3 4 3" xfId="7669" xr:uid="{00000000-0005-0000-0000-000089780000}"/>
    <cellStyle name="Output 2 8 2 3 4 3 2" xfId="26641" xr:uid="{00000000-0005-0000-0000-00008A780000}"/>
    <cellStyle name="Output 2 8 2 3 4 3 3" xfId="37486" xr:uid="{00000000-0005-0000-0000-00008B780000}"/>
    <cellStyle name="Output 2 8 2 3 4 3 4" xfId="16725" xr:uid="{00000000-0005-0000-0000-00008C780000}"/>
    <cellStyle name="Output 2 8 2 3 4 4" xfId="10328" xr:uid="{00000000-0005-0000-0000-00008D780000}"/>
    <cellStyle name="Output 2 8 2 3 4 4 2" xfId="29300" xr:uid="{00000000-0005-0000-0000-00008E780000}"/>
    <cellStyle name="Output 2 8 2 3 4 4 3" xfId="40145" xr:uid="{00000000-0005-0000-0000-00008F780000}"/>
    <cellStyle name="Output 2 8 2 3 4 4 4" xfId="18629" xr:uid="{00000000-0005-0000-0000-000090780000}"/>
    <cellStyle name="Output 2 8 2 3 4 5" xfId="21124" xr:uid="{00000000-0005-0000-0000-000091780000}"/>
    <cellStyle name="Output 2 8 2 3 4 6" xfId="31969" xr:uid="{00000000-0005-0000-0000-000092780000}"/>
    <cellStyle name="Output 2 8 2 3 4 7" xfId="12775" xr:uid="{00000000-0005-0000-0000-000093780000}"/>
    <cellStyle name="Output 2 8 2 3 5" xfId="2535" xr:uid="{00000000-0005-0000-0000-000094780000}"/>
    <cellStyle name="Output 2 8 2 3 5 2" xfId="5387" xr:uid="{00000000-0005-0000-0000-000095780000}"/>
    <cellStyle name="Output 2 8 2 3 5 2 2" xfId="24359" xr:uid="{00000000-0005-0000-0000-000096780000}"/>
    <cellStyle name="Output 2 8 2 3 5 2 3" xfId="35204" xr:uid="{00000000-0005-0000-0000-000097780000}"/>
    <cellStyle name="Output 2 8 2 3 5 2 4" xfId="15091" xr:uid="{00000000-0005-0000-0000-000098780000}"/>
    <cellStyle name="Output 2 8 2 3 5 3" xfId="8058" xr:uid="{00000000-0005-0000-0000-000099780000}"/>
    <cellStyle name="Output 2 8 2 3 5 3 2" xfId="27030" xr:uid="{00000000-0005-0000-0000-00009A780000}"/>
    <cellStyle name="Output 2 8 2 3 5 3 3" xfId="37875" xr:uid="{00000000-0005-0000-0000-00009B780000}"/>
    <cellStyle name="Output 2 8 2 3 5 3 4" xfId="17004" xr:uid="{00000000-0005-0000-0000-00009C780000}"/>
    <cellStyle name="Output 2 8 2 3 5 4" xfId="10717" xr:uid="{00000000-0005-0000-0000-00009D780000}"/>
    <cellStyle name="Output 2 8 2 3 5 4 2" xfId="29689" xr:uid="{00000000-0005-0000-0000-00009E780000}"/>
    <cellStyle name="Output 2 8 2 3 5 4 3" xfId="40534" xr:uid="{00000000-0005-0000-0000-00009F780000}"/>
    <cellStyle name="Output 2 8 2 3 5 4 4" xfId="18908" xr:uid="{00000000-0005-0000-0000-0000A0780000}"/>
    <cellStyle name="Output 2 8 2 3 5 5" xfId="21513" xr:uid="{00000000-0005-0000-0000-0000A1780000}"/>
    <cellStyle name="Output 2 8 2 3 5 6" xfId="32358" xr:uid="{00000000-0005-0000-0000-0000A2780000}"/>
    <cellStyle name="Output 2 8 2 3 5 7" xfId="13054" xr:uid="{00000000-0005-0000-0000-0000A3780000}"/>
    <cellStyle name="Output 2 8 2 3 6" xfId="2921" xr:uid="{00000000-0005-0000-0000-0000A4780000}"/>
    <cellStyle name="Output 2 8 2 3 6 2" xfId="5772" xr:uid="{00000000-0005-0000-0000-0000A5780000}"/>
    <cellStyle name="Output 2 8 2 3 6 2 2" xfId="24744" xr:uid="{00000000-0005-0000-0000-0000A6780000}"/>
    <cellStyle name="Output 2 8 2 3 6 2 3" xfId="35589" xr:uid="{00000000-0005-0000-0000-0000A7780000}"/>
    <cellStyle name="Output 2 8 2 3 6 2 4" xfId="15367" xr:uid="{00000000-0005-0000-0000-0000A8780000}"/>
    <cellStyle name="Output 2 8 2 3 6 3" xfId="8443" xr:uid="{00000000-0005-0000-0000-0000A9780000}"/>
    <cellStyle name="Output 2 8 2 3 6 3 2" xfId="27415" xr:uid="{00000000-0005-0000-0000-0000AA780000}"/>
    <cellStyle name="Output 2 8 2 3 6 3 3" xfId="38260" xr:uid="{00000000-0005-0000-0000-0000AB780000}"/>
    <cellStyle name="Output 2 8 2 3 6 3 4" xfId="17280" xr:uid="{00000000-0005-0000-0000-0000AC780000}"/>
    <cellStyle name="Output 2 8 2 3 6 4" xfId="11102" xr:uid="{00000000-0005-0000-0000-0000AD780000}"/>
    <cellStyle name="Output 2 8 2 3 6 4 2" xfId="30074" xr:uid="{00000000-0005-0000-0000-0000AE780000}"/>
    <cellStyle name="Output 2 8 2 3 6 4 3" xfId="40919" xr:uid="{00000000-0005-0000-0000-0000AF780000}"/>
    <cellStyle name="Output 2 8 2 3 6 4 4" xfId="19184" xr:uid="{00000000-0005-0000-0000-0000B0780000}"/>
    <cellStyle name="Output 2 8 2 3 6 5" xfId="21898" xr:uid="{00000000-0005-0000-0000-0000B1780000}"/>
    <cellStyle name="Output 2 8 2 3 6 6" xfId="32743" xr:uid="{00000000-0005-0000-0000-0000B2780000}"/>
    <cellStyle name="Output 2 8 2 3 6 7" xfId="13330" xr:uid="{00000000-0005-0000-0000-0000B3780000}"/>
    <cellStyle name="Output 2 8 2 3 7" xfId="3610" xr:uid="{00000000-0005-0000-0000-0000B4780000}"/>
    <cellStyle name="Output 2 8 2 3 7 2" xfId="22582" xr:uid="{00000000-0005-0000-0000-0000B5780000}"/>
    <cellStyle name="Output 2 8 2 3 7 3" xfId="33427" xr:uid="{00000000-0005-0000-0000-0000B6780000}"/>
    <cellStyle name="Output 2 8 2 3 7 4" xfId="13811" xr:uid="{00000000-0005-0000-0000-0000B7780000}"/>
    <cellStyle name="Output 2 8 2 3 8" xfId="6285" xr:uid="{00000000-0005-0000-0000-0000B8780000}"/>
    <cellStyle name="Output 2 8 2 3 8 2" xfId="25257" xr:uid="{00000000-0005-0000-0000-0000B9780000}"/>
    <cellStyle name="Output 2 8 2 3 8 3" xfId="36102" xr:uid="{00000000-0005-0000-0000-0000BA780000}"/>
    <cellStyle name="Output 2 8 2 3 8 4" xfId="15727" xr:uid="{00000000-0005-0000-0000-0000BB780000}"/>
    <cellStyle name="Output 2 8 2 3 9" xfId="8944" xr:uid="{00000000-0005-0000-0000-0000BC780000}"/>
    <cellStyle name="Output 2 8 2 3 9 2" xfId="27916" xr:uid="{00000000-0005-0000-0000-0000BD780000}"/>
    <cellStyle name="Output 2 8 2 3 9 3" xfId="38761" xr:uid="{00000000-0005-0000-0000-0000BE780000}"/>
    <cellStyle name="Output 2 8 2 3 9 4" xfId="17631" xr:uid="{00000000-0005-0000-0000-0000BF780000}"/>
    <cellStyle name="Output 2 8 2 4" xfId="815" xr:uid="{00000000-0005-0000-0000-0000C0780000}"/>
    <cellStyle name="Output 2 8 2 4 10" xfId="19800" xr:uid="{00000000-0005-0000-0000-0000C1780000}"/>
    <cellStyle name="Output 2 8 2 4 11" xfId="30645" xr:uid="{00000000-0005-0000-0000-0000C2780000}"/>
    <cellStyle name="Output 2 8 2 4 12" xfId="11817" xr:uid="{00000000-0005-0000-0000-0000C3780000}"/>
    <cellStyle name="Output 2 8 2 4 2" xfId="1402" xr:uid="{00000000-0005-0000-0000-0000C4780000}"/>
    <cellStyle name="Output 2 8 2 4 2 2" xfId="4255" xr:uid="{00000000-0005-0000-0000-0000C5780000}"/>
    <cellStyle name="Output 2 8 2 4 2 2 2" xfId="23227" xr:uid="{00000000-0005-0000-0000-0000C6780000}"/>
    <cellStyle name="Output 2 8 2 4 2 2 3" xfId="34072" xr:uid="{00000000-0005-0000-0000-0000C7780000}"/>
    <cellStyle name="Output 2 8 2 4 2 2 4" xfId="14278" xr:uid="{00000000-0005-0000-0000-0000C8780000}"/>
    <cellStyle name="Output 2 8 2 4 2 3" xfId="6928" xr:uid="{00000000-0005-0000-0000-0000C9780000}"/>
    <cellStyle name="Output 2 8 2 4 2 3 2" xfId="25900" xr:uid="{00000000-0005-0000-0000-0000CA780000}"/>
    <cellStyle name="Output 2 8 2 4 2 3 3" xfId="36745" xr:uid="{00000000-0005-0000-0000-0000CB780000}"/>
    <cellStyle name="Output 2 8 2 4 2 3 4" xfId="16193" xr:uid="{00000000-0005-0000-0000-0000CC780000}"/>
    <cellStyle name="Output 2 8 2 4 2 4" xfId="9587" xr:uid="{00000000-0005-0000-0000-0000CD780000}"/>
    <cellStyle name="Output 2 8 2 4 2 4 2" xfId="28559" xr:uid="{00000000-0005-0000-0000-0000CE780000}"/>
    <cellStyle name="Output 2 8 2 4 2 4 3" xfId="39404" xr:uid="{00000000-0005-0000-0000-0000CF780000}"/>
    <cellStyle name="Output 2 8 2 4 2 4 4" xfId="18097" xr:uid="{00000000-0005-0000-0000-0000D0780000}"/>
    <cellStyle name="Output 2 8 2 4 2 5" xfId="20383" xr:uid="{00000000-0005-0000-0000-0000D1780000}"/>
    <cellStyle name="Output 2 8 2 4 2 6" xfId="31228" xr:uid="{00000000-0005-0000-0000-0000D2780000}"/>
    <cellStyle name="Output 2 8 2 4 2 7" xfId="12243" xr:uid="{00000000-0005-0000-0000-0000D3780000}"/>
    <cellStyle name="Output 2 8 2 4 3" xfId="1801" xr:uid="{00000000-0005-0000-0000-0000D4780000}"/>
    <cellStyle name="Output 2 8 2 4 3 2" xfId="4654" xr:uid="{00000000-0005-0000-0000-0000D5780000}"/>
    <cellStyle name="Output 2 8 2 4 3 2 2" xfId="23626" xr:uid="{00000000-0005-0000-0000-0000D6780000}"/>
    <cellStyle name="Output 2 8 2 4 3 2 3" xfId="34471" xr:uid="{00000000-0005-0000-0000-0000D7780000}"/>
    <cellStyle name="Output 2 8 2 4 3 2 4" xfId="14565" xr:uid="{00000000-0005-0000-0000-0000D8780000}"/>
    <cellStyle name="Output 2 8 2 4 3 3" xfId="7326" xr:uid="{00000000-0005-0000-0000-0000D9780000}"/>
    <cellStyle name="Output 2 8 2 4 3 3 2" xfId="26298" xr:uid="{00000000-0005-0000-0000-0000DA780000}"/>
    <cellStyle name="Output 2 8 2 4 3 3 3" xfId="37143" xr:uid="{00000000-0005-0000-0000-0000DB780000}"/>
    <cellStyle name="Output 2 8 2 4 3 3 4" xfId="16479" xr:uid="{00000000-0005-0000-0000-0000DC780000}"/>
    <cellStyle name="Output 2 8 2 4 3 4" xfId="9985" xr:uid="{00000000-0005-0000-0000-0000DD780000}"/>
    <cellStyle name="Output 2 8 2 4 3 4 2" xfId="28957" xr:uid="{00000000-0005-0000-0000-0000DE780000}"/>
    <cellStyle name="Output 2 8 2 4 3 4 3" xfId="39802" xr:uid="{00000000-0005-0000-0000-0000DF780000}"/>
    <cellStyle name="Output 2 8 2 4 3 4 4" xfId="18383" xr:uid="{00000000-0005-0000-0000-0000E0780000}"/>
    <cellStyle name="Output 2 8 2 4 3 5" xfId="20781" xr:uid="{00000000-0005-0000-0000-0000E1780000}"/>
    <cellStyle name="Output 2 8 2 4 3 6" xfId="31626" xr:uid="{00000000-0005-0000-0000-0000E2780000}"/>
    <cellStyle name="Output 2 8 2 4 3 7" xfId="12529" xr:uid="{00000000-0005-0000-0000-0000E3780000}"/>
    <cellStyle name="Output 2 8 2 4 4" xfId="2205" xr:uid="{00000000-0005-0000-0000-0000E4780000}"/>
    <cellStyle name="Output 2 8 2 4 4 2" xfId="5058" xr:uid="{00000000-0005-0000-0000-0000E5780000}"/>
    <cellStyle name="Output 2 8 2 4 4 2 2" xfId="24030" xr:uid="{00000000-0005-0000-0000-0000E6780000}"/>
    <cellStyle name="Output 2 8 2 4 4 2 3" xfId="34875" xr:uid="{00000000-0005-0000-0000-0000E7780000}"/>
    <cellStyle name="Output 2 8 2 4 4 2 4" xfId="14852" xr:uid="{00000000-0005-0000-0000-0000E8780000}"/>
    <cellStyle name="Output 2 8 2 4 4 3" xfId="7729" xr:uid="{00000000-0005-0000-0000-0000E9780000}"/>
    <cellStyle name="Output 2 8 2 4 4 3 2" xfId="26701" xr:uid="{00000000-0005-0000-0000-0000EA780000}"/>
    <cellStyle name="Output 2 8 2 4 4 3 3" xfId="37546" xr:uid="{00000000-0005-0000-0000-0000EB780000}"/>
    <cellStyle name="Output 2 8 2 4 4 3 4" xfId="16765" xr:uid="{00000000-0005-0000-0000-0000EC780000}"/>
    <cellStyle name="Output 2 8 2 4 4 4" xfId="10388" xr:uid="{00000000-0005-0000-0000-0000ED780000}"/>
    <cellStyle name="Output 2 8 2 4 4 4 2" xfId="29360" xr:uid="{00000000-0005-0000-0000-0000EE780000}"/>
    <cellStyle name="Output 2 8 2 4 4 4 3" xfId="40205" xr:uid="{00000000-0005-0000-0000-0000EF780000}"/>
    <cellStyle name="Output 2 8 2 4 4 4 4" xfId="18669" xr:uid="{00000000-0005-0000-0000-0000F0780000}"/>
    <cellStyle name="Output 2 8 2 4 4 5" xfId="21184" xr:uid="{00000000-0005-0000-0000-0000F1780000}"/>
    <cellStyle name="Output 2 8 2 4 4 6" xfId="32029" xr:uid="{00000000-0005-0000-0000-0000F2780000}"/>
    <cellStyle name="Output 2 8 2 4 4 7" xfId="12815" xr:uid="{00000000-0005-0000-0000-0000F3780000}"/>
    <cellStyle name="Output 2 8 2 4 5" xfId="2595" xr:uid="{00000000-0005-0000-0000-0000F4780000}"/>
    <cellStyle name="Output 2 8 2 4 5 2" xfId="5447" xr:uid="{00000000-0005-0000-0000-0000F5780000}"/>
    <cellStyle name="Output 2 8 2 4 5 2 2" xfId="24419" xr:uid="{00000000-0005-0000-0000-0000F6780000}"/>
    <cellStyle name="Output 2 8 2 4 5 2 3" xfId="35264" xr:uid="{00000000-0005-0000-0000-0000F7780000}"/>
    <cellStyle name="Output 2 8 2 4 5 2 4" xfId="15131" xr:uid="{00000000-0005-0000-0000-0000F8780000}"/>
    <cellStyle name="Output 2 8 2 4 5 3" xfId="8118" xr:uid="{00000000-0005-0000-0000-0000F9780000}"/>
    <cellStyle name="Output 2 8 2 4 5 3 2" xfId="27090" xr:uid="{00000000-0005-0000-0000-0000FA780000}"/>
    <cellStyle name="Output 2 8 2 4 5 3 3" xfId="37935" xr:uid="{00000000-0005-0000-0000-0000FB780000}"/>
    <cellStyle name="Output 2 8 2 4 5 3 4" xfId="17044" xr:uid="{00000000-0005-0000-0000-0000FC780000}"/>
    <cellStyle name="Output 2 8 2 4 5 4" xfId="10777" xr:uid="{00000000-0005-0000-0000-0000FD780000}"/>
    <cellStyle name="Output 2 8 2 4 5 4 2" xfId="29749" xr:uid="{00000000-0005-0000-0000-0000FE780000}"/>
    <cellStyle name="Output 2 8 2 4 5 4 3" xfId="40594" xr:uid="{00000000-0005-0000-0000-0000FF780000}"/>
    <cellStyle name="Output 2 8 2 4 5 4 4" xfId="18948" xr:uid="{00000000-0005-0000-0000-000000790000}"/>
    <cellStyle name="Output 2 8 2 4 5 5" xfId="21573" xr:uid="{00000000-0005-0000-0000-000001790000}"/>
    <cellStyle name="Output 2 8 2 4 5 6" xfId="32418" xr:uid="{00000000-0005-0000-0000-000002790000}"/>
    <cellStyle name="Output 2 8 2 4 5 7" xfId="13094" xr:uid="{00000000-0005-0000-0000-000003790000}"/>
    <cellStyle name="Output 2 8 2 4 6" xfId="2981" xr:uid="{00000000-0005-0000-0000-000004790000}"/>
    <cellStyle name="Output 2 8 2 4 6 2" xfId="5832" xr:uid="{00000000-0005-0000-0000-000005790000}"/>
    <cellStyle name="Output 2 8 2 4 6 2 2" xfId="24804" xr:uid="{00000000-0005-0000-0000-000006790000}"/>
    <cellStyle name="Output 2 8 2 4 6 2 3" xfId="35649" xr:uid="{00000000-0005-0000-0000-000007790000}"/>
    <cellStyle name="Output 2 8 2 4 6 2 4" xfId="15407" xr:uid="{00000000-0005-0000-0000-000008790000}"/>
    <cellStyle name="Output 2 8 2 4 6 3" xfId="8503" xr:uid="{00000000-0005-0000-0000-000009790000}"/>
    <cellStyle name="Output 2 8 2 4 6 3 2" xfId="27475" xr:uid="{00000000-0005-0000-0000-00000A790000}"/>
    <cellStyle name="Output 2 8 2 4 6 3 3" xfId="38320" xr:uid="{00000000-0005-0000-0000-00000B790000}"/>
    <cellStyle name="Output 2 8 2 4 6 3 4" xfId="17320" xr:uid="{00000000-0005-0000-0000-00000C790000}"/>
    <cellStyle name="Output 2 8 2 4 6 4" xfId="11162" xr:uid="{00000000-0005-0000-0000-00000D790000}"/>
    <cellStyle name="Output 2 8 2 4 6 4 2" xfId="30134" xr:uid="{00000000-0005-0000-0000-00000E790000}"/>
    <cellStyle name="Output 2 8 2 4 6 4 3" xfId="40979" xr:uid="{00000000-0005-0000-0000-00000F790000}"/>
    <cellStyle name="Output 2 8 2 4 6 4 4" xfId="19224" xr:uid="{00000000-0005-0000-0000-000010790000}"/>
    <cellStyle name="Output 2 8 2 4 6 5" xfId="21958" xr:uid="{00000000-0005-0000-0000-000011790000}"/>
    <cellStyle name="Output 2 8 2 4 6 6" xfId="32803" xr:uid="{00000000-0005-0000-0000-000012790000}"/>
    <cellStyle name="Output 2 8 2 4 6 7" xfId="13370" xr:uid="{00000000-0005-0000-0000-000013790000}"/>
    <cellStyle name="Output 2 8 2 4 7" xfId="3670" xr:uid="{00000000-0005-0000-0000-000014790000}"/>
    <cellStyle name="Output 2 8 2 4 7 2" xfId="22642" xr:uid="{00000000-0005-0000-0000-000015790000}"/>
    <cellStyle name="Output 2 8 2 4 7 3" xfId="33487" xr:uid="{00000000-0005-0000-0000-000016790000}"/>
    <cellStyle name="Output 2 8 2 4 7 4" xfId="13851" xr:uid="{00000000-0005-0000-0000-000017790000}"/>
    <cellStyle name="Output 2 8 2 4 8" xfId="6345" xr:uid="{00000000-0005-0000-0000-000018790000}"/>
    <cellStyle name="Output 2 8 2 4 8 2" xfId="25317" xr:uid="{00000000-0005-0000-0000-000019790000}"/>
    <cellStyle name="Output 2 8 2 4 8 3" xfId="36162" xr:uid="{00000000-0005-0000-0000-00001A790000}"/>
    <cellStyle name="Output 2 8 2 4 8 4" xfId="15767" xr:uid="{00000000-0005-0000-0000-00001B790000}"/>
    <cellStyle name="Output 2 8 2 4 9" xfId="9004" xr:uid="{00000000-0005-0000-0000-00001C790000}"/>
    <cellStyle name="Output 2 8 2 4 9 2" xfId="27976" xr:uid="{00000000-0005-0000-0000-00001D790000}"/>
    <cellStyle name="Output 2 8 2 4 9 3" xfId="38821" xr:uid="{00000000-0005-0000-0000-00001E790000}"/>
    <cellStyle name="Output 2 8 2 4 9 4" xfId="17671" xr:uid="{00000000-0005-0000-0000-00001F790000}"/>
    <cellStyle name="Output 2 8 2 5" xfId="874" xr:uid="{00000000-0005-0000-0000-000020790000}"/>
    <cellStyle name="Output 2 8 2 5 10" xfId="19859" xr:uid="{00000000-0005-0000-0000-000021790000}"/>
    <cellStyle name="Output 2 8 2 5 11" xfId="30704" xr:uid="{00000000-0005-0000-0000-000022790000}"/>
    <cellStyle name="Output 2 8 2 5 12" xfId="11856" xr:uid="{00000000-0005-0000-0000-000023790000}"/>
    <cellStyle name="Output 2 8 2 5 2" xfId="1461" xr:uid="{00000000-0005-0000-0000-000024790000}"/>
    <cellStyle name="Output 2 8 2 5 2 2" xfId="4314" xr:uid="{00000000-0005-0000-0000-000025790000}"/>
    <cellStyle name="Output 2 8 2 5 2 2 2" xfId="23286" xr:uid="{00000000-0005-0000-0000-000026790000}"/>
    <cellStyle name="Output 2 8 2 5 2 2 3" xfId="34131" xr:uid="{00000000-0005-0000-0000-000027790000}"/>
    <cellStyle name="Output 2 8 2 5 2 2 4" xfId="14317" xr:uid="{00000000-0005-0000-0000-000028790000}"/>
    <cellStyle name="Output 2 8 2 5 2 3" xfId="6987" xr:uid="{00000000-0005-0000-0000-000029790000}"/>
    <cellStyle name="Output 2 8 2 5 2 3 2" xfId="25959" xr:uid="{00000000-0005-0000-0000-00002A790000}"/>
    <cellStyle name="Output 2 8 2 5 2 3 3" xfId="36804" xr:uid="{00000000-0005-0000-0000-00002B790000}"/>
    <cellStyle name="Output 2 8 2 5 2 3 4" xfId="16232" xr:uid="{00000000-0005-0000-0000-00002C790000}"/>
    <cellStyle name="Output 2 8 2 5 2 4" xfId="9646" xr:uid="{00000000-0005-0000-0000-00002D790000}"/>
    <cellStyle name="Output 2 8 2 5 2 4 2" xfId="28618" xr:uid="{00000000-0005-0000-0000-00002E790000}"/>
    <cellStyle name="Output 2 8 2 5 2 4 3" xfId="39463" xr:uid="{00000000-0005-0000-0000-00002F790000}"/>
    <cellStyle name="Output 2 8 2 5 2 4 4" xfId="18136" xr:uid="{00000000-0005-0000-0000-000030790000}"/>
    <cellStyle name="Output 2 8 2 5 2 5" xfId="20442" xr:uid="{00000000-0005-0000-0000-000031790000}"/>
    <cellStyle name="Output 2 8 2 5 2 6" xfId="31287" xr:uid="{00000000-0005-0000-0000-000032790000}"/>
    <cellStyle name="Output 2 8 2 5 2 7" xfId="12282" xr:uid="{00000000-0005-0000-0000-000033790000}"/>
    <cellStyle name="Output 2 8 2 5 3" xfId="1860" xr:uid="{00000000-0005-0000-0000-000034790000}"/>
    <cellStyle name="Output 2 8 2 5 3 2" xfId="4713" xr:uid="{00000000-0005-0000-0000-000035790000}"/>
    <cellStyle name="Output 2 8 2 5 3 2 2" xfId="23685" xr:uid="{00000000-0005-0000-0000-000036790000}"/>
    <cellStyle name="Output 2 8 2 5 3 2 3" xfId="34530" xr:uid="{00000000-0005-0000-0000-000037790000}"/>
    <cellStyle name="Output 2 8 2 5 3 2 4" xfId="14604" xr:uid="{00000000-0005-0000-0000-000038790000}"/>
    <cellStyle name="Output 2 8 2 5 3 3" xfId="7385" xr:uid="{00000000-0005-0000-0000-000039790000}"/>
    <cellStyle name="Output 2 8 2 5 3 3 2" xfId="26357" xr:uid="{00000000-0005-0000-0000-00003A790000}"/>
    <cellStyle name="Output 2 8 2 5 3 3 3" xfId="37202" xr:uid="{00000000-0005-0000-0000-00003B790000}"/>
    <cellStyle name="Output 2 8 2 5 3 3 4" xfId="16518" xr:uid="{00000000-0005-0000-0000-00003C790000}"/>
    <cellStyle name="Output 2 8 2 5 3 4" xfId="10044" xr:uid="{00000000-0005-0000-0000-00003D790000}"/>
    <cellStyle name="Output 2 8 2 5 3 4 2" xfId="29016" xr:uid="{00000000-0005-0000-0000-00003E790000}"/>
    <cellStyle name="Output 2 8 2 5 3 4 3" xfId="39861" xr:uid="{00000000-0005-0000-0000-00003F790000}"/>
    <cellStyle name="Output 2 8 2 5 3 4 4" xfId="18422" xr:uid="{00000000-0005-0000-0000-000040790000}"/>
    <cellStyle name="Output 2 8 2 5 3 5" xfId="20840" xr:uid="{00000000-0005-0000-0000-000041790000}"/>
    <cellStyle name="Output 2 8 2 5 3 6" xfId="31685" xr:uid="{00000000-0005-0000-0000-000042790000}"/>
    <cellStyle name="Output 2 8 2 5 3 7" xfId="12568" xr:uid="{00000000-0005-0000-0000-000043790000}"/>
    <cellStyle name="Output 2 8 2 5 4" xfId="2264" xr:uid="{00000000-0005-0000-0000-000044790000}"/>
    <cellStyle name="Output 2 8 2 5 4 2" xfId="5117" xr:uid="{00000000-0005-0000-0000-000045790000}"/>
    <cellStyle name="Output 2 8 2 5 4 2 2" xfId="24089" xr:uid="{00000000-0005-0000-0000-000046790000}"/>
    <cellStyle name="Output 2 8 2 5 4 2 3" xfId="34934" xr:uid="{00000000-0005-0000-0000-000047790000}"/>
    <cellStyle name="Output 2 8 2 5 4 2 4" xfId="14891" xr:uid="{00000000-0005-0000-0000-000048790000}"/>
    <cellStyle name="Output 2 8 2 5 4 3" xfId="7788" xr:uid="{00000000-0005-0000-0000-000049790000}"/>
    <cellStyle name="Output 2 8 2 5 4 3 2" xfId="26760" xr:uid="{00000000-0005-0000-0000-00004A790000}"/>
    <cellStyle name="Output 2 8 2 5 4 3 3" xfId="37605" xr:uid="{00000000-0005-0000-0000-00004B790000}"/>
    <cellStyle name="Output 2 8 2 5 4 3 4" xfId="16804" xr:uid="{00000000-0005-0000-0000-00004C790000}"/>
    <cellStyle name="Output 2 8 2 5 4 4" xfId="10447" xr:uid="{00000000-0005-0000-0000-00004D790000}"/>
    <cellStyle name="Output 2 8 2 5 4 4 2" xfId="29419" xr:uid="{00000000-0005-0000-0000-00004E790000}"/>
    <cellStyle name="Output 2 8 2 5 4 4 3" xfId="40264" xr:uid="{00000000-0005-0000-0000-00004F790000}"/>
    <cellStyle name="Output 2 8 2 5 4 4 4" xfId="18708" xr:uid="{00000000-0005-0000-0000-000050790000}"/>
    <cellStyle name="Output 2 8 2 5 4 5" xfId="21243" xr:uid="{00000000-0005-0000-0000-000051790000}"/>
    <cellStyle name="Output 2 8 2 5 4 6" xfId="32088" xr:uid="{00000000-0005-0000-0000-000052790000}"/>
    <cellStyle name="Output 2 8 2 5 4 7" xfId="12854" xr:uid="{00000000-0005-0000-0000-000053790000}"/>
    <cellStyle name="Output 2 8 2 5 5" xfId="2654" xr:uid="{00000000-0005-0000-0000-000054790000}"/>
    <cellStyle name="Output 2 8 2 5 5 2" xfId="5506" xr:uid="{00000000-0005-0000-0000-000055790000}"/>
    <cellStyle name="Output 2 8 2 5 5 2 2" xfId="24478" xr:uid="{00000000-0005-0000-0000-000056790000}"/>
    <cellStyle name="Output 2 8 2 5 5 2 3" xfId="35323" xr:uid="{00000000-0005-0000-0000-000057790000}"/>
    <cellStyle name="Output 2 8 2 5 5 2 4" xfId="15170" xr:uid="{00000000-0005-0000-0000-000058790000}"/>
    <cellStyle name="Output 2 8 2 5 5 3" xfId="8177" xr:uid="{00000000-0005-0000-0000-000059790000}"/>
    <cellStyle name="Output 2 8 2 5 5 3 2" xfId="27149" xr:uid="{00000000-0005-0000-0000-00005A790000}"/>
    <cellStyle name="Output 2 8 2 5 5 3 3" xfId="37994" xr:uid="{00000000-0005-0000-0000-00005B790000}"/>
    <cellStyle name="Output 2 8 2 5 5 3 4" xfId="17083" xr:uid="{00000000-0005-0000-0000-00005C790000}"/>
    <cellStyle name="Output 2 8 2 5 5 4" xfId="10836" xr:uid="{00000000-0005-0000-0000-00005D790000}"/>
    <cellStyle name="Output 2 8 2 5 5 4 2" xfId="29808" xr:uid="{00000000-0005-0000-0000-00005E790000}"/>
    <cellStyle name="Output 2 8 2 5 5 4 3" xfId="40653" xr:uid="{00000000-0005-0000-0000-00005F790000}"/>
    <cellStyle name="Output 2 8 2 5 5 4 4" xfId="18987" xr:uid="{00000000-0005-0000-0000-000060790000}"/>
    <cellStyle name="Output 2 8 2 5 5 5" xfId="21632" xr:uid="{00000000-0005-0000-0000-000061790000}"/>
    <cellStyle name="Output 2 8 2 5 5 6" xfId="32477" xr:uid="{00000000-0005-0000-0000-000062790000}"/>
    <cellStyle name="Output 2 8 2 5 5 7" xfId="13133" xr:uid="{00000000-0005-0000-0000-000063790000}"/>
    <cellStyle name="Output 2 8 2 5 6" xfId="3040" xr:uid="{00000000-0005-0000-0000-000064790000}"/>
    <cellStyle name="Output 2 8 2 5 6 2" xfId="5891" xr:uid="{00000000-0005-0000-0000-000065790000}"/>
    <cellStyle name="Output 2 8 2 5 6 2 2" xfId="24863" xr:uid="{00000000-0005-0000-0000-000066790000}"/>
    <cellStyle name="Output 2 8 2 5 6 2 3" xfId="35708" xr:uid="{00000000-0005-0000-0000-000067790000}"/>
    <cellStyle name="Output 2 8 2 5 6 2 4" xfId="15446" xr:uid="{00000000-0005-0000-0000-000068790000}"/>
    <cellStyle name="Output 2 8 2 5 6 3" xfId="8562" xr:uid="{00000000-0005-0000-0000-000069790000}"/>
    <cellStyle name="Output 2 8 2 5 6 3 2" xfId="27534" xr:uid="{00000000-0005-0000-0000-00006A790000}"/>
    <cellStyle name="Output 2 8 2 5 6 3 3" xfId="38379" xr:uid="{00000000-0005-0000-0000-00006B790000}"/>
    <cellStyle name="Output 2 8 2 5 6 3 4" xfId="17359" xr:uid="{00000000-0005-0000-0000-00006C790000}"/>
    <cellStyle name="Output 2 8 2 5 6 4" xfId="11221" xr:uid="{00000000-0005-0000-0000-00006D790000}"/>
    <cellStyle name="Output 2 8 2 5 6 4 2" xfId="30193" xr:uid="{00000000-0005-0000-0000-00006E790000}"/>
    <cellStyle name="Output 2 8 2 5 6 4 3" xfId="41038" xr:uid="{00000000-0005-0000-0000-00006F790000}"/>
    <cellStyle name="Output 2 8 2 5 6 4 4" xfId="19263" xr:uid="{00000000-0005-0000-0000-000070790000}"/>
    <cellStyle name="Output 2 8 2 5 6 5" xfId="22017" xr:uid="{00000000-0005-0000-0000-000071790000}"/>
    <cellStyle name="Output 2 8 2 5 6 6" xfId="32862" xr:uid="{00000000-0005-0000-0000-000072790000}"/>
    <cellStyle name="Output 2 8 2 5 6 7" xfId="13409" xr:uid="{00000000-0005-0000-0000-000073790000}"/>
    <cellStyle name="Output 2 8 2 5 7" xfId="3729" xr:uid="{00000000-0005-0000-0000-000074790000}"/>
    <cellStyle name="Output 2 8 2 5 7 2" xfId="22701" xr:uid="{00000000-0005-0000-0000-000075790000}"/>
    <cellStyle name="Output 2 8 2 5 7 3" xfId="33546" xr:uid="{00000000-0005-0000-0000-000076790000}"/>
    <cellStyle name="Output 2 8 2 5 7 4" xfId="13890" xr:uid="{00000000-0005-0000-0000-000077790000}"/>
    <cellStyle name="Output 2 8 2 5 8" xfId="6404" xr:uid="{00000000-0005-0000-0000-000078790000}"/>
    <cellStyle name="Output 2 8 2 5 8 2" xfId="25376" xr:uid="{00000000-0005-0000-0000-000079790000}"/>
    <cellStyle name="Output 2 8 2 5 8 3" xfId="36221" xr:uid="{00000000-0005-0000-0000-00007A790000}"/>
    <cellStyle name="Output 2 8 2 5 8 4" xfId="15806" xr:uid="{00000000-0005-0000-0000-00007B790000}"/>
    <cellStyle name="Output 2 8 2 5 9" xfId="9063" xr:uid="{00000000-0005-0000-0000-00007C790000}"/>
    <cellStyle name="Output 2 8 2 5 9 2" xfId="28035" xr:uid="{00000000-0005-0000-0000-00007D790000}"/>
    <cellStyle name="Output 2 8 2 5 9 3" xfId="38880" xr:uid="{00000000-0005-0000-0000-00007E790000}"/>
    <cellStyle name="Output 2 8 2 5 9 4" xfId="17710" xr:uid="{00000000-0005-0000-0000-00007F790000}"/>
    <cellStyle name="Output 2 8 2 6" xfId="1096" xr:uid="{00000000-0005-0000-0000-000080790000}"/>
    <cellStyle name="Output 2 8 2 6 2" xfId="3949" xr:uid="{00000000-0005-0000-0000-000081790000}"/>
    <cellStyle name="Output 2 8 2 6 2 2" xfId="22921" xr:uid="{00000000-0005-0000-0000-000082790000}"/>
    <cellStyle name="Output 2 8 2 6 2 3" xfId="33766" xr:uid="{00000000-0005-0000-0000-000083790000}"/>
    <cellStyle name="Output 2 8 2 6 2 4" xfId="14052" xr:uid="{00000000-0005-0000-0000-000084790000}"/>
    <cellStyle name="Output 2 8 2 6 3" xfId="6623" xr:uid="{00000000-0005-0000-0000-000085790000}"/>
    <cellStyle name="Output 2 8 2 6 3 2" xfId="25595" xr:uid="{00000000-0005-0000-0000-000086790000}"/>
    <cellStyle name="Output 2 8 2 6 3 3" xfId="36440" xr:uid="{00000000-0005-0000-0000-000087790000}"/>
    <cellStyle name="Output 2 8 2 6 3 4" xfId="15968" xr:uid="{00000000-0005-0000-0000-000088790000}"/>
    <cellStyle name="Output 2 8 2 6 4" xfId="9282" xr:uid="{00000000-0005-0000-0000-000089790000}"/>
    <cellStyle name="Output 2 8 2 6 4 2" xfId="28254" xr:uid="{00000000-0005-0000-0000-00008A790000}"/>
    <cellStyle name="Output 2 8 2 6 4 3" xfId="39099" xr:uid="{00000000-0005-0000-0000-00008B790000}"/>
    <cellStyle name="Output 2 8 2 6 4 4" xfId="17872" xr:uid="{00000000-0005-0000-0000-00008C790000}"/>
    <cellStyle name="Output 2 8 2 6 5" xfId="20078" xr:uid="{00000000-0005-0000-0000-00008D790000}"/>
    <cellStyle name="Output 2 8 2 6 6" xfId="30923" xr:uid="{00000000-0005-0000-0000-00008E790000}"/>
    <cellStyle name="Output 2 8 2 6 7" xfId="12018" xr:uid="{00000000-0005-0000-0000-00008F790000}"/>
    <cellStyle name="Output 2 8 2 7" xfId="1495" xr:uid="{00000000-0005-0000-0000-000090790000}"/>
    <cellStyle name="Output 2 8 2 7 2" xfId="4348" xr:uid="{00000000-0005-0000-0000-000091790000}"/>
    <cellStyle name="Output 2 8 2 7 2 2" xfId="23320" xr:uid="{00000000-0005-0000-0000-000092790000}"/>
    <cellStyle name="Output 2 8 2 7 2 3" xfId="34165" xr:uid="{00000000-0005-0000-0000-000093790000}"/>
    <cellStyle name="Output 2 8 2 7 2 4" xfId="14341" xr:uid="{00000000-0005-0000-0000-000094790000}"/>
    <cellStyle name="Output 2 8 2 7 3" xfId="7021" xr:uid="{00000000-0005-0000-0000-000095790000}"/>
    <cellStyle name="Output 2 8 2 7 3 2" xfId="25993" xr:uid="{00000000-0005-0000-0000-000096790000}"/>
    <cellStyle name="Output 2 8 2 7 3 3" xfId="36838" xr:uid="{00000000-0005-0000-0000-000097790000}"/>
    <cellStyle name="Output 2 8 2 7 3 4" xfId="16256" xr:uid="{00000000-0005-0000-0000-000098790000}"/>
    <cellStyle name="Output 2 8 2 7 4" xfId="9680" xr:uid="{00000000-0005-0000-0000-000099790000}"/>
    <cellStyle name="Output 2 8 2 7 4 2" xfId="28652" xr:uid="{00000000-0005-0000-0000-00009A790000}"/>
    <cellStyle name="Output 2 8 2 7 4 3" xfId="39497" xr:uid="{00000000-0005-0000-0000-00009B790000}"/>
    <cellStyle name="Output 2 8 2 7 4 4" xfId="18160" xr:uid="{00000000-0005-0000-0000-00009C790000}"/>
    <cellStyle name="Output 2 8 2 7 5" xfId="20476" xr:uid="{00000000-0005-0000-0000-00009D790000}"/>
    <cellStyle name="Output 2 8 2 7 6" xfId="31321" xr:uid="{00000000-0005-0000-0000-00009E790000}"/>
    <cellStyle name="Output 2 8 2 7 7" xfId="12306" xr:uid="{00000000-0005-0000-0000-00009F790000}"/>
    <cellStyle name="Output 2 8 2 8" xfId="1903" xr:uid="{00000000-0005-0000-0000-0000A0790000}"/>
    <cellStyle name="Output 2 8 2 8 2" xfId="4756" xr:uid="{00000000-0005-0000-0000-0000A1790000}"/>
    <cellStyle name="Output 2 8 2 8 2 2" xfId="23728" xr:uid="{00000000-0005-0000-0000-0000A2790000}"/>
    <cellStyle name="Output 2 8 2 8 2 3" xfId="34573" xr:uid="{00000000-0005-0000-0000-0000A3790000}"/>
    <cellStyle name="Output 2 8 2 8 2 4" xfId="14632" xr:uid="{00000000-0005-0000-0000-0000A4790000}"/>
    <cellStyle name="Output 2 8 2 8 3" xfId="7428" xr:uid="{00000000-0005-0000-0000-0000A5790000}"/>
    <cellStyle name="Output 2 8 2 8 3 2" xfId="26400" xr:uid="{00000000-0005-0000-0000-0000A6790000}"/>
    <cellStyle name="Output 2 8 2 8 3 3" xfId="37245" xr:uid="{00000000-0005-0000-0000-0000A7790000}"/>
    <cellStyle name="Output 2 8 2 8 3 4" xfId="16546" xr:uid="{00000000-0005-0000-0000-0000A8790000}"/>
    <cellStyle name="Output 2 8 2 8 4" xfId="10087" xr:uid="{00000000-0005-0000-0000-0000A9790000}"/>
    <cellStyle name="Output 2 8 2 8 4 2" xfId="29059" xr:uid="{00000000-0005-0000-0000-0000AA790000}"/>
    <cellStyle name="Output 2 8 2 8 4 3" xfId="39904" xr:uid="{00000000-0005-0000-0000-0000AB790000}"/>
    <cellStyle name="Output 2 8 2 8 4 4" xfId="18450" xr:uid="{00000000-0005-0000-0000-0000AC790000}"/>
    <cellStyle name="Output 2 8 2 8 5" xfId="20883" xr:uid="{00000000-0005-0000-0000-0000AD790000}"/>
    <cellStyle name="Output 2 8 2 8 6" xfId="31728" xr:uid="{00000000-0005-0000-0000-0000AE790000}"/>
    <cellStyle name="Output 2 8 2 8 7" xfId="12596" xr:uid="{00000000-0005-0000-0000-0000AF790000}"/>
    <cellStyle name="Output 2 8 2 9" xfId="2297" xr:uid="{00000000-0005-0000-0000-0000B0790000}"/>
    <cellStyle name="Output 2 8 2 9 2" xfId="5150" xr:uid="{00000000-0005-0000-0000-0000B1790000}"/>
    <cellStyle name="Output 2 8 2 9 2 2" xfId="24122" xr:uid="{00000000-0005-0000-0000-0000B2790000}"/>
    <cellStyle name="Output 2 8 2 9 2 3" xfId="34967" xr:uid="{00000000-0005-0000-0000-0000B3790000}"/>
    <cellStyle name="Output 2 8 2 9 2 4" xfId="14914" xr:uid="{00000000-0005-0000-0000-0000B4790000}"/>
    <cellStyle name="Output 2 8 2 9 3" xfId="7821" xr:uid="{00000000-0005-0000-0000-0000B5790000}"/>
    <cellStyle name="Output 2 8 2 9 3 2" xfId="26793" xr:uid="{00000000-0005-0000-0000-0000B6790000}"/>
    <cellStyle name="Output 2 8 2 9 3 3" xfId="37638" xr:uid="{00000000-0005-0000-0000-0000B7790000}"/>
    <cellStyle name="Output 2 8 2 9 3 4" xfId="16827" xr:uid="{00000000-0005-0000-0000-0000B8790000}"/>
    <cellStyle name="Output 2 8 2 9 4" xfId="10480" xr:uid="{00000000-0005-0000-0000-0000B9790000}"/>
    <cellStyle name="Output 2 8 2 9 4 2" xfId="29452" xr:uid="{00000000-0005-0000-0000-0000BA790000}"/>
    <cellStyle name="Output 2 8 2 9 4 3" xfId="40297" xr:uid="{00000000-0005-0000-0000-0000BB790000}"/>
    <cellStyle name="Output 2 8 2 9 4 4" xfId="18731" xr:uid="{00000000-0005-0000-0000-0000BC790000}"/>
    <cellStyle name="Output 2 8 2 9 5" xfId="21276" xr:uid="{00000000-0005-0000-0000-0000BD790000}"/>
    <cellStyle name="Output 2 8 2 9 6" xfId="32121" xr:uid="{00000000-0005-0000-0000-0000BE790000}"/>
    <cellStyle name="Output 2 8 2 9 7" xfId="12877" xr:uid="{00000000-0005-0000-0000-0000BF790000}"/>
    <cellStyle name="Output 2 8 3" xfId="578" xr:uid="{00000000-0005-0000-0000-0000C0790000}"/>
    <cellStyle name="Output 2 8 3 10" xfId="19588" xr:uid="{00000000-0005-0000-0000-0000C1790000}"/>
    <cellStyle name="Output 2 8 3 11" xfId="30433" xr:uid="{00000000-0005-0000-0000-0000C2790000}"/>
    <cellStyle name="Output 2 8 3 12" xfId="11642" xr:uid="{00000000-0005-0000-0000-0000C3790000}"/>
    <cellStyle name="Output 2 8 3 2" xfId="1184" xr:uid="{00000000-0005-0000-0000-0000C4790000}"/>
    <cellStyle name="Output 2 8 3 2 2" xfId="4037" xr:uid="{00000000-0005-0000-0000-0000C5790000}"/>
    <cellStyle name="Output 2 8 3 2 2 2" xfId="23009" xr:uid="{00000000-0005-0000-0000-0000C6790000}"/>
    <cellStyle name="Output 2 8 3 2 2 3" xfId="33854" xr:uid="{00000000-0005-0000-0000-0000C7790000}"/>
    <cellStyle name="Output 2 8 3 2 2 4" xfId="14119" xr:uid="{00000000-0005-0000-0000-0000C8790000}"/>
    <cellStyle name="Output 2 8 3 2 3" xfId="6710" xr:uid="{00000000-0005-0000-0000-0000C9790000}"/>
    <cellStyle name="Output 2 8 3 2 3 2" xfId="25682" xr:uid="{00000000-0005-0000-0000-0000CA790000}"/>
    <cellStyle name="Output 2 8 3 2 3 3" xfId="36527" xr:uid="{00000000-0005-0000-0000-0000CB790000}"/>
    <cellStyle name="Output 2 8 3 2 3 4" xfId="16034" xr:uid="{00000000-0005-0000-0000-0000CC790000}"/>
    <cellStyle name="Output 2 8 3 2 4" xfId="9369" xr:uid="{00000000-0005-0000-0000-0000CD790000}"/>
    <cellStyle name="Output 2 8 3 2 4 2" xfId="28341" xr:uid="{00000000-0005-0000-0000-0000CE790000}"/>
    <cellStyle name="Output 2 8 3 2 4 3" xfId="39186" xr:uid="{00000000-0005-0000-0000-0000CF790000}"/>
    <cellStyle name="Output 2 8 3 2 4 4" xfId="17938" xr:uid="{00000000-0005-0000-0000-0000D0790000}"/>
    <cellStyle name="Output 2 8 3 2 5" xfId="20165" xr:uid="{00000000-0005-0000-0000-0000D1790000}"/>
    <cellStyle name="Output 2 8 3 2 6" xfId="31010" xr:uid="{00000000-0005-0000-0000-0000D2790000}"/>
    <cellStyle name="Output 2 8 3 2 7" xfId="12084" xr:uid="{00000000-0005-0000-0000-0000D3790000}"/>
    <cellStyle name="Output 2 8 3 3" xfId="1581" xr:uid="{00000000-0005-0000-0000-0000D4790000}"/>
    <cellStyle name="Output 2 8 3 3 2" xfId="4434" xr:uid="{00000000-0005-0000-0000-0000D5790000}"/>
    <cellStyle name="Output 2 8 3 3 2 2" xfId="23406" xr:uid="{00000000-0005-0000-0000-0000D6790000}"/>
    <cellStyle name="Output 2 8 3 3 2 3" xfId="34251" xr:uid="{00000000-0005-0000-0000-0000D7790000}"/>
    <cellStyle name="Output 2 8 3 3 2 4" xfId="14405" xr:uid="{00000000-0005-0000-0000-0000D8790000}"/>
    <cellStyle name="Output 2 8 3 3 3" xfId="7106" xr:uid="{00000000-0005-0000-0000-0000D9790000}"/>
    <cellStyle name="Output 2 8 3 3 3 2" xfId="26078" xr:uid="{00000000-0005-0000-0000-0000DA790000}"/>
    <cellStyle name="Output 2 8 3 3 3 3" xfId="36923" xr:uid="{00000000-0005-0000-0000-0000DB790000}"/>
    <cellStyle name="Output 2 8 3 3 3 4" xfId="16319" xr:uid="{00000000-0005-0000-0000-0000DC790000}"/>
    <cellStyle name="Output 2 8 3 3 4" xfId="9765" xr:uid="{00000000-0005-0000-0000-0000DD790000}"/>
    <cellStyle name="Output 2 8 3 3 4 2" xfId="28737" xr:uid="{00000000-0005-0000-0000-0000DE790000}"/>
    <cellStyle name="Output 2 8 3 3 4 3" xfId="39582" xr:uid="{00000000-0005-0000-0000-0000DF790000}"/>
    <cellStyle name="Output 2 8 3 3 4 4" xfId="18223" xr:uid="{00000000-0005-0000-0000-0000E0790000}"/>
    <cellStyle name="Output 2 8 3 3 5" xfId="20561" xr:uid="{00000000-0005-0000-0000-0000E1790000}"/>
    <cellStyle name="Output 2 8 3 3 6" xfId="31406" xr:uid="{00000000-0005-0000-0000-0000E2790000}"/>
    <cellStyle name="Output 2 8 3 3 7" xfId="12369" xr:uid="{00000000-0005-0000-0000-0000E3790000}"/>
    <cellStyle name="Output 2 8 3 4" xfId="1985" xr:uid="{00000000-0005-0000-0000-0000E4790000}"/>
    <cellStyle name="Output 2 8 3 4 2" xfId="4838" xr:uid="{00000000-0005-0000-0000-0000E5790000}"/>
    <cellStyle name="Output 2 8 3 4 2 2" xfId="23810" xr:uid="{00000000-0005-0000-0000-0000E6790000}"/>
    <cellStyle name="Output 2 8 3 4 2 3" xfId="34655" xr:uid="{00000000-0005-0000-0000-0000E7790000}"/>
    <cellStyle name="Output 2 8 3 4 2 4" xfId="14693" xr:uid="{00000000-0005-0000-0000-0000E8790000}"/>
    <cellStyle name="Output 2 8 3 4 3" xfId="7510" xr:uid="{00000000-0005-0000-0000-0000E9790000}"/>
    <cellStyle name="Output 2 8 3 4 3 2" xfId="26482" xr:uid="{00000000-0005-0000-0000-0000EA790000}"/>
    <cellStyle name="Output 2 8 3 4 3 3" xfId="37327" xr:uid="{00000000-0005-0000-0000-0000EB790000}"/>
    <cellStyle name="Output 2 8 3 4 3 4" xfId="16607" xr:uid="{00000000-0005-0000-0000-0000EC790000}"/>
    <cellStyle name="Output 2 8 3 4 4" xfId="10169" xr:uid="{00000000-0005-0000-0000-0000ED790000}"/>
    <cellStyle name="Output 2 8 3 4 4 2" xfId="29141" xr:uid="{00000000-0005-0000-0000-0000EE790000}"/>
    <cellStyle name="Output 2 8 3 4 4 3" xfId="39986" xr:uid="{00000000-0005-0000-0000-0000EF790000}"/>
    <cellStyle name="Output 2 8 3 4 4 4" xfId="18511" xr:uid="{00000000-0005-0000-0000-0000F0790000}"/>
    <cellStyle name="Output 2 8 3 4 5" xfId="20965" xr:uid="{00000000-0005-0000-0000-0000F1790000}"/>
    <cellStyle name="Output 2 8 3 4 6" xfId="31810" xr:uid="{00000000-0005-0000-0000-0000F2790000}"/>
    <cellStyle name="Output 2 8 3 4 7" xfId="12657" xr:uid="{00000000-0005-0000-0000-0000F3790000}"/>
    <cellStyle name="Output 2 8 3 5" xfId="2377" xr:uid="{00000000-0005-0000-0000-0000F4790000}"/>
    <cellStyle name="Output 2 8 3 5 2" xfId="5230" xr:uid="{00000000-0005-0000-0000-0000F5790000}"/>
    <cellStyle name="Output 2 8 3 5 2 2" xfId="24202" xr:uid="{00000000-0005-0000-0000-0000F6790000}"/>
    <cellStyle name="Output 2 8 3 5 2 3" xfId="35047" xr:uid="{00000000-0005-0000-0000-0000F7790000}"/>
    <cellStyle name="Output 2 8 3 5 2 4" xfId="14974" xr:uid="{00000000-0005-0000-0000-0000F8790000}"/>
    <cellStyle name="Output 2 8 3 5 3" xfId="7901" xr:uid="{00000000-0005-0000-0000-0000F9790000}"/>
    <cellStyle name="Output 2 8 3 5 3 2" xfId="26873" xr:uid="{00000000-0005-0000-0000-0000FA790000}"/>
    <cellStyle name="Output 2 8 3 5 3 3" xfId="37718" xr:uid="{00000000-0005-0000-0000-0000FB790000}"/>
    <cellStyle name="Output 2 8 3 5 3 4" xfId="16887" xr:uid="{00000000-0005-0000-0000-0000FC790000}"/>
    <cellStyle name="Output 2 8 3 5 4" xfId="10560" xr:uid="{00000000-0005-0000-0000-0000FD790000}"/>
    <cellStyle name="Output 2 8 3 5 4 2" xfId="29532" xr:uid="{00000000-0005-0000-0000-0000FE790000}"/>
    <cellStyle name="Output 2 8 3 5 4 3" xfId="40377" xr:uid="{00000000-0005-0000-0000-0000FF790000}"/>
    <cellStyle name="Output 2 8 3 5 4 4" xfId="18791" xr:uid="{00000000-0005-0000-0000-0000007A0000}"/>
    <cellStyle name="Output 2 8 3 5 5" xfId="21356" xr:uid="{00000000-0005-0000-0000-0000017A0000}"/>
    <cellStyle name="Output 2 8 3 5 6" xfId="32201" xr:uid="{00000000-0005-0000-0000-0000027A0000}"/>
    <cellStyle name="Output 2 8 3 5 7" xfId="12937" xr:uid="{00000000-0005-0000-0000-0000037A0000}"/>
    <cellStyle name="Output 2 8 3 6" xfId="2766" xr:uid="{00000000-0005-0000-0000-0000047A0000}"/>
    <cellStyle name="Output 2 8 3 6 2" xfId="5618" xr:uid="{00000000-0005-0000-0000-0000057A0000}"/>
    <cellStyle name="Output 2 8 3 6 2 2" xfId="24590" xr:uid="{00000000-0005-0000-0000-0000067A0000}"/>
    <cellStyle name="Output 2 8 3 6 2 3" xfId="35435" xr:uid="{00000000-0005-0000-0000-0000077A0000}"/>
    <cellStyle name="Output 2 8 3 6 2 4" xfId="15252" xr:uid="{00000000-0005-0000-0000-0000087A0000}"/>
    <cellStyle name="Output 2 8 3 6 3" xfId="8289" xr:uid="{00000000-0005-0000-0000-0000097A0000}"/>
    <cellStyle name="Output 2 8 3 6 3 2" xfId="27261" xr:uid="{00000000-0005-0000-0000-00000A7A0000}"/>
    <cellStyle name="Output 2 8 3 6 3 3" xfId="38106" xr:uid="{00000000-0005-0000-0000-00000B7A0000}"/>
    <cellStyle name="Output 2 8 3 6 3 4" xfId="17165" xr:uid="{00000000-0005-0000-0000-00000C7A0000}"/>
    <cellStyle name="Output 2 8 3 6 4" xfId="10948" xr:uid="{00000000-0005-0000-0000-00000D7A0000}"/>
    <cellStyle name="Output 2 8 3 6 4 2" xfId="29920" xr:uid="{00000000-0005-0000-0000-00000E7A0000}"/>
    <cellStyle name="Output 2 8 3 6 4 3" xfId="40765" xr:uid="{00000000-0005-0000-0000-00000F7A0000}"/>
    <cellStyle name="Output 2 8 3 6 4 4" xfId="19069" xr:uid="{00000000-0005-0000-0000-0000107A0000}"/>
    <cellStyle name="Output 2 8 3 6 5" xfId="21744" xr:uid="{00000000-0005-0000-0000-0000117A0000}"/>
    <cellStyle name="Output 2 8 3 6 6" xfId="32589" xr:uid="{00000000-0005-0000-0000-0000127A0000}"/>
    <cellStyle name="Output 2 8 3 6 7" xfId="13215" xr:uid="{00000000-0005-0000-0000-0000137A0000}"/>
    <cellStyle name="Output 2 8 3 7" xfId="3457" xr:uid="{00000000-0005-0000-0000-0000147A0000}"/>
    <cellStyle name="Output 2 8 3 7 2" xfId="22429" xr:uid="{00000000-0005-0000-0000-0000157A0000}"/>
    <cellStyle name="Output 2 8 3 7 3" xfId="33274" xr:uid="{00000000-0005-0000-0000-0000167A0000}"/>
    <cellStyle name="Output 2 8 3 7 4" xfId="13697" xr:uid="{00000000-0005-0000-0000-0000177A0000}"/>
    <cellStyle name="Output 2 8 3 8" xfId="6133" xr:uid="{00000000-0005-0000-0000-0000187A0000}"/>
    <cellStyle name="Output 2 8 3 8 2" xfId="25105" xr:uid="{00000000-0005-0000-0000-0000197A0000}"/>
    <cellStyle name="Output 2 8 3 8 3" xfId="35950" xr:uid="{00000000-0005-0000-0000-00001A7A0000}"/>
    <cellStyle name="Output 2 8 3 8 4" xfId="15614" xr:uid="{00000000-0005-0000-0000-00001B7A0000}"/>
    <cellStyle name="Output 2 8 3 9" xfId="8792" xr:uid="{00000000-0005-0000-0000-00001C7A0000}"/>
    <cellStyle name="Output 2 8 3 9 2" xfId="27764" xr:uid="{00000000-0005-0000-0000-00001D7A0000}"/>
    <cellStyle name="Output 2 8 3 9 3" xfId="38609" xr:uid="{00000000-0005-0000-0000-00001E7A0000}"/>
    <cellStyle name="Output 2 8 3 9 4" xfId="17518" xr:uid="{00000000-0005-0000-0000-00001F7A0000}"/>
    <cellStyle name="Output 2 8 4" xfId="11469" xr:uid="{00000000-0005-0000-0000-0000207A0000}"/>
    <cellStyle name="Output 2 9" xfId="388" xr:uid="{00000000-0005-0000-0000-0000217A0000}"/>
    <cellStyle name="Output 2 9 10" xfId="941" xr:uid="{00000000-0005-0000-0000-0000227A0000}"/>
    <cellStyle name="Output 2 9 10 2" xfId="3795" xr:uid="{00000000-0005-0000-0000-0000237A0000}"/>
    <cellStyle name="Output 2 9 10 2 2" xfId="22767" xr:uid="{00000000-0005-0000-0000-0000247A0000}"/>
    <cellStyle name="Output 2 9 10 2 3" xfId="33612" xr:uid="{00000000-0005-0000-0000-0000257A0000}"/>
    <cellStyle name="Output 2 9 10 2 4" xfId="13940" xr:uid="{00000000-0005-0000-0000-0000267A0000}"/>
    <cellStyle name="Output 2 9 10 3" xfId="6470" xr:uid="{00000000-0005-0000-0000-0000277A0000}"/>
    <cellStyle name="Output 2 9 10 3 2" xfId="25442" xr:uid="{00000000-0005-0000-0000-0000287A0000}"/>
    <cellStyle name="Output 2 9 10 3 3" xfId="36287" xr:uid="{00000000-0005-0000-0000-0000297A0000}"/>
    <cellStyle name="Output 2 9 10 3 4" xfId="15856" xr:uid="{00000000-0005-0000-0000-00002A7A0000}"/>
    <cellStyle name="Output 2 9 10 4" xfId="9129" xr:uid="{00000000-0005-0000-0000-00002B7A0000}"/>
    <cellStyle name="Output 2 9 10 4 2" xfId="28101" xr:uid="{00000000-0005-0000-0000-00002C7A0000}"/>
    <cellStyle name="Output 2 9 10 4 3" xfId="38946" xr:uid="{00000000-0005-0000-0000-00002D7A0000}"/>
    <cellStyle name="Output 2 9 10 4 4" xfId="17760" xr:uid="{00000000-0005-0000-0000-00002E7A0000}"/>
    <cellStyle name="Output 2 9 10 5" xfId="19925" xr:uid="{00000000-0005-0000-0000-00002F7A0000}"/>
    <cellStyle name="Output 2 9 10 6" xfId="30770" xr:uid="{00000000-0005-0000-0000-0000307A0000}"/>
    <cellStyle name="Output 2 9 10 7" xfId="11906" xr:uid="{00000000-0005-0000-0000-0000317A0000}"/>
    <cellStyle name="Output 2 9 11" xfId="1112" xr:uid="{00000000-0005-0000-0000-0000327A0000}"/>
    <cellStyle name="Output 2 9 11 2" xfId="3965" xr:uid="{00000000-0005-0000-0000-0000337A0000}"/>
    <cellStyle name="Output 2 9 11 2 2" xfId="22937" xr:uid="{00000000-0005-0000-0000-0000347A0000}"/>
    <cellStyle name="Output 2 9 11 2 3" xfId="33782" xr:uid="{00000000-0005-0000-0000-0000357A0000}"/>
    <cellStyle name="Output 2 9 11 2 4" xfId="14067" xr:uid="{00000000-0005-0000-0000-0000367A0000}"/>
    <cellStyle name="Output 2 9 11 3" xfId="6639" xr:uid="{00000000-0005-0000-0000-0000377A0000}"/>
    <cellStyle name="Output 2 9 11 3 2" xfId="25611" xr:uid="{00000000-0005-0000-0000-0000387A0000}"/>
    <cellStyle name="Output 2 9 11 3 3" xfId="36456" xr:uid="{00000000-0005-0000-0000-0000397A0000}"/>
    <cellStyle name="Output 2 9 11 3 4" xfId="15983" xr:uid="{00000000-0005-0000-0000-00003A7A0000}"/>
    <cellStyle name="Output 2 9 11 4" xfId="9298" xr:uid="{00000000-0005-0000-0000-00003B7A0000}"/>
    <cellStyle name="Output 2 9 11 4 2" xfId="28270" xr:uid="{00000000-0005-0000-0000-00003C7A0000}"/>
    <cellStyle name="Output 2 9 11 4 3" xfId="39115" xr:uid="{00000000-0005-0000-0000-00003D7A0000}"/>
    <cellStyle name="Output 2 9 11 4 4" xfId="17887" xr:uid="{00000000-0005-0000-0000-00003E7A0000}"/>
    <cellStyle name="Output 2 9 11 5" xfId="20094" xr:uid="{00000000-0005-0000-0000-00003F7A0000}"/>
    <cellStyle name="Output 2 9 11 6" xfId="30939" xr:uid="{00000000-0005-0000-0000-0000407A0000}"/>
    <cellStyle name="Output 2 9 11 7" xfId="12033" xr:uid="{00000000-0005-0000-0000-0000417A0000}"/>
    <cellStyle name="Output 2 9 12" xfId="3123" xr:uid="{00000000-0005-0000-0000-0000427A0000}"/>
    <cellStyle name="Output 2 9 12 2" xfId="5974" xr:uid="{00000000-0005-0000-0000-0000437A0000}"/>
    <cellStyle name="Output 2 9 12 2 2" xfId="24946" xr:uid="{00000000-0005-0000-0000-0000447A0000}"/>
    <cellStyle name="Output 2 9 12 2 3" xfId="35791" xr:uid="{00000000-0005-0000-0000-0000457A0000}"/>
    <cellStyle name="Output 2 9 12 2 4" xfId="15499" xr:uid="{00000000-0005-0000-0000-0000467A0000}"/>
    <cellStyle name="Output 2 9 12 3" xfId="8645" xr:uid="{00000000-0005-0000-0000-0000477A0000}"/>
    <cellStyle name="Output 2 9 12 3 2" xfId="27617" xr:uid="{00000000-0005-0000-0000-0000487A0000}"/>
    <cellStyle name="Output 2 9 12 3 3" xfId="38462" xr:uid="{00000000-0005-0000-0000-0000497A0000}"/>
    <cellStyle name="Output 2 9 12 3 4" xfId="17412" xr:uid="{00000000-0005-0000-0000-00004A7A0000}"/>
    <cellStyle name="Output 2 9 12 4" xfId="11304" xr:uid="{00000000-0005-0000-0000-00004B7A0000}"/>
    <cellStyle name="Output 2 9 12 4 2" xfId="30276" xr:uid="{00000000-0005-0000-0000-00004C7A0000}"/>
    <cellStyle name="Output 2 9 12 4 3" xfId="41121" xr:uid="{00000000-0005-0000-0000-00004D7A0000}"/>
    <cellStyle name="Output 2 9 12 4 4" xfId="19316" xr:uid="{00000000-0005-0000-0000-00004E7A0000}"/>
    <cellStyle name="Output 2 9 12 5" xfId="22100" xr:uid="{00000000-0005-0000-0000-00004F7A0000}"/>
    <cellStyle name="Output 2 9 12 6" xfId="32945" xr:uid="{00000000-0005-0000-0000-0000507A0000}"/>
    <cellStyle name="Output 2 9 12 7" xfId="13462" xr:uid="{00000000-0005-0000-0000-0000517A0000}"/>
    <cellStyle name="Output 2 9 13" xfId="3180" xr:uid="{00000000-0005-0000-0000-0000527A0000}"/>
    <cellStyle name="Output 2 9 13 2" xfId="6031" xr:uid="{00000000-0005-0000-0000-0000537A0000}"/>
    <cellStyle name="Output 2 9 13 2 2" xfId="25003" xr:uid="{00000000-0005-0000-0000-0000547A0000}"/>
    <cellStyle name="Output 2 9 13 2 3" xfId="35848" xr:uid="{00000000-0005-0000-0000-0000557A0000}"/>
    <cellStyle name="Output 2 9 13 2 4" xfId="15536" xr:uid="{00000000-0005-0000-0000-0000567A0000}"/>
    <cellStyle name="Output 2 9 13 3" xfId="8702" xr:uid="{00000000-0005-0000-0000-0000577A0000}"/>
    <cellStyle name="Output 2 9 13 3 2" xfId="27674" xr:uid="{00000000-0005-0000-0000-0000587A0000}"/>
    <cellStyle name="Output 2 9 13 3 3" xfId="38519" xr:uid="{00000000-0005-0000-0000-0000597A0000}"/>
    <cellStyle name="Output 2 9 13 3 4" xfId="17449" xr:uid="{00000000-0005-0000-0000-00005A7A0000}"/>
    <cellStyle name="Output 2 9 13 4" xfId="11361" xr:uid="{00000000-0005-0000-0000-00005B7A0000}"/>
    <cellStyle name="Output 2 9 13 4 2" xfId="30333" xr:uid="{00000000-0005-0000-0000-00005C7A0000}"/>
    <cellStyle name="Output 2 9 13 4 3" xfId="41178" xr:uid="{00000000-0005-0000-0000-00005D7A0000}"/>
    <cellStyle name="Output 2 9 13 4 4" xfId="19353" xr:uid="{00000000-0005-0000-0000-00005E7A0000}"/>
    <cellStyle name="Output 2 9 13 5" xfId="22157" xr:uid="{00000000-0005-0000-0000-00005F7A0000}"/>
    <cellStyle name="Output 2 9 13 6" xfId="33002" xr:uid="{00000000-0005-0000-0000-0000607A0000}"/>
    <cellStyle name="Output 2 9 13 7" xfId="13499" xr:uid="{00000000-0005-0000-0000-0000617A0000}"/>
    <cellStyle name="Output 2 9 14" xfId="3346" xr:uid="{00000000-0005-0000-0000-0000627A0000}"/>
    <cellStyle name="Output 2 9 14 2" xfId="22320" xr:uid="{00000000-0005-0000-0000-0000637A0000}"/>
    <cellStyle name="Output 2 9 14 3" xfId="33165" xr:uid="{00000000-0005-0000-0000-0000647A0000}"/>
    <cellStyle name="Output 2 9 14 4" xfId="13616" xr:uid="{00000000-0005-0000-0000-0000657A0000}"/>
    <cellStyle name="Output 2 9 15" xfId="3287" xr:uid="{00000000-0005-0000-0000-0000667A0000}"/>
    <cellStyle name="Output 2 9 15 2" xfId="22261" xr:uid="{00000000-0005-0000-0000-0000677A0000}"/>
    <cellStyle name="Output 2 9 15 3" xfId="33106" xr:uid="{00000000-0005-0000-0000-0000687A0000}"/>
    <cellStyle name="Output 2 9 15 4" xfId="13578" xr:uid="{00000000-0005-0000-0000-0000697A0000}"/>
    <cellStyle name="Output 2 9 16" xfId="3257" xr:uid="{00000000-0005-0000-0000-00006A7A0000}"/>
    <cellStyle name="Output 2 9 16 2" xfId="22232" xr:uid="{00000000-0005-0000-0000-00006B7A0000}"/>
    <cellStyle name="Output 2 9 16 3" xfId="33077" xr:uid="{00000000-0005-0000-0000-00006C7A0000}"/>
    <cellStyle name="Output 2 9 16 4" xfId="13558" xr:uid="{00000000-0005-0000-0000-00006D7A0000}"/>
    <cellStyle name="Output 2 9 17" xfId="19477" xr:uid="{00000000-0005-0000-0000-00006E7A0000}"/>
    <cellStyle name="Output 2 9 18" xfId="19430" xr:uid="{00000000-0005-0000-0000-00006F7A0000}"/>
    <cellStyle name="Output 2 9 19" xfId="11526" xr:uid="{00000000-0005-0000-0000-0000707A0000}"/>
    <cellStyle name="Output 2 9 2" xfId="688" xr:uid="{00000000-0005-0000-0000-0000717A0000}"/>
    <cellStyle name="Output 2 9 2 10" xfId="19673" xr:uid="{00000000-0005-0000-0000-0000727A0000}"/>
    <cellStyle name="Output 2 9 2 11" xfId="30518" xr:uid="{00000000-0005-0000-0000-0000737A0000}"/>
    <cellStyle name="Output 2 9 2 12" xfId="11730" xr:uid="{00000000-0005-0000-0000-0000747A0000}"/>
    <cellStyle name="Output 2 9 2 2" xfId="1275" xr:uid="{00000000-0005-0000-0000-0000757A0000}"/>
    <cellStyle name="Output 2 9 2 2 2" xfId="4128" xr:uid="{00000000-0005-0000-0000-0000767A0000}"/>
    <cellStyle name="Output 2 9 2 2 2 2" xfId="23100" xr:uid="{00000000-0005-0000-0000-0000777A0000}"/>
    <cellStyle name="Output 2 9 2 2 2 3" xfId="33945" xr:uid="{00000000-0005-0000-0000-0000787A0000}"/>
    <cellStyle name="Output 2 9 2 2 2 4" xfId="14191" xr:uid="{00000000-0005-0000-0000-0000797A0000}"/>
    <cellStyle name="Output 2 9 2 2 3" xfId="6801" xr:uid="{00000000-0005-0000-0000-00007A7A0000}"/>
    <cellStyle name="Output 2 9 2 2 3 2" xfId="25773" xr:uid="{00000000-0005-0000-0000-00007B7A0000}"/>
    <cellStyle name="Output 2 9 2 2 3 3" xfId="36618" xr:uid="{00000000-0005-0000-0000-00007C7A0000}"/>
    <cellStyle name="Output 2 9 2 2 3 4" xfId="16106" xr:uid="{00000000-0005-0000-0000-00007D7A0000}"/>
    <cellStyle name="Output 2 9 2 2 4" xfId="9460" xr:uid="{00000000-0005-0000-0000-00007E7A0000}"/>
    <cellStyle name="Output 2 9 2 2 4 2" xfId="28432" xr:uid="{00000000-0005-0000-0000-00007F7A0000}"/>
    <cellStyle name="Output 2 9 2 2 4 3" xfId="39277" xr:uid="{00000000-0005-0000-0000-0000807A0000}"/>
    <cellStyle name="Output 2 9 2 2 4 4" xfId="18010" xr:uid="{00000000-0005-0000-0000-0000817A0000}"/>
    <cellStyle name="Output 2 9 2 2 5" xfId="20256" xr:uid="{00000000-0005-0000-0000-0000827A0000}"/>
    <cellStyle name="Output 2 9 2 2 6" xfId="31101" xr:uid="{00000000-0005-0000-0000-0000837A0000}"/>
    <cellStyle name="Output 2 9 2 2 7" xfId="12156" xr:uid="{00000000-0005-0000-0000-0000847A0000}"/>
    <cellStyle name="Output 2 9 2 3" xfId="1674" xr:uid="{00000000-0005-0000-0000-0000857A0000}"/>
    <cellStyle name="Output 2 9 2 3 2" xfId="4527" xr:uid="{00000000-0005-0000-0000-0000867A0000}"/>
    <cellStyle name="Output 2 9 2 3 2 2" xfId="23499" xr:uid="{00000000-0005-0000-0000-0000877A0000}"/>
    <cellStyle name="Output 2 9 2 3 2 3" xfId="34344" xr:uid="{00000000-0005-0000-0000-0000887A0000}"/>
    <cellStyle name="Output 2 9 2 3 2 4" xfId="14478" xr:uid="{00000000-0005-0000-0000-0000897A0000}"/>
    <cellStyle name="Output 2 9 2 3 3" xfId="7199" xr:uid="{00000000-0005-0000-0000-00008A7A0000}"/>
    <cellStyle name="Output 2 9 2 3 3 2" xfId="26171" xr:uid="{00000000-0005-0000-0000-00008B7A0000}"/>
    <cellStyle name="Output 2 9 2 3 3 3" xfId="37016" xr:uid="{00000000-0005-0000-0000-00008C7A0000}"/>
    <cellStyle name="Output 2 9 2 3 3 4" xfId="16392" xr:uid="{00000000-0005-0000-0000-00008D7A0000}"/>
    <cellStyle name="Output 2 9 2 3 4" xfId="9858" xr:uid="{00000000-0005-0000-0000-00008E7A0000}"/>
    <cellStyle name="Output 2 9 2 3 4 2" xfId="28830" xr:uid="{00000000-0005-0000-0000-00008F7A0000}"/>
    <cellStyle name="Output 2 9 2 3 4 3" xfId="39675" xr:uid="{00000000-0005-0000-0000-0000907A0000}"/>
    <cellStyle name="Output 2 9 2 3 4 4" xfId="18296" xr:uid="{00000000-0005-0000-0000-0000917A0000}"/>
    <cellStyle name="Output 2 9 2 3 5" xfId="20654" xr:uid="{00000000-0005-0000-0000-0000927A0000}"/>
    <cellStyle name="Output 2 9 2 3 6" xfId="31499" xr:uid="{00000000-0005-0000-0000-0000937A0000}"/>
    <cellStyle name="Output 2 9 2 3 7" xfId="12442" xr:uid="{00000000-0005-0000-0000-0000947A0000}"/>
    <cellStyle name="Output 2 9 2 4" xfId="2078" xr:uid="{00000000-0005-0000-0000-0000957A0000}"/>
    <cellStyle name="Output 2 9 2 4 2" xfId="4931" xr:uid="{00000000-0005-0000-0000-0000967A0000}"/>
    <cellStyle name="Output 2 9 2 4 2 2" xfId="23903" xr:uid="{00000000-0005-0000-0000-0000977A0000}"/>
    <cellStyle name="Output 2 9 2 4 2 3" xfId="34748" xr:uid="{00000000-0005-0000-0000-0000987A0000}"/>
    <cellStyle name="Output 2 9 2 4 2 4" xfId="14765" xr:uid="{00000000-0005-0000-0000-0000997A0000}"/>
    <cellStyle name="Output 2 9 2 4 3" xfId="7602" xr:uid="{00000000-0005-0000-0000-00009A7A0000}"/>
    <cellStyle name="Output 2 9 2 4 3 2" xfId="26574" xr:uid="{00000000-0005-0000-0000-00009B7A0000}"/>
    <cellStyle name="Output 2 9 2 4 3 3" xfId="37419" xr:uid="{00000000-0005-0000-0000-00009C7A0000}"/>
    <cellStyle name="Output 2 9 2 4 3 4" xfId="16678" xr:uid="{00000000-0005-0000-0000-00009D7A0000}"/>
    <cellStyle name="Output 2 9 2 4 4" xfId="10261" xr:uid="{00000000-0005-0000-0000-00009E7A0000}"/>
    <cellStyle name="Output 2 9 2 4 4 2" xfId="29233" xr:uid="{00000000-0005-0000-0000-00009F7A0000}"/>
    <cellStyle name="Output 2 9 2 4 4 3" xfId="40078" xr:uid="{00000000-0005-0000-0000-0000A07A0000}"/>
    <cellStyle name="Output 2 9 2 4 4 4" xfId="18582" xr:uid="{00000000-0005-0000-0000-0000A17A0000}"/>
    <cellStyle name="Output 2 9 2 4 5" xfId="21057" xr:uid="{00000000-0005-0000-0000-0000A27A0000}"/>
    <cellStyle name="Output 2 9 2 4 6" xfId="31902" xr:uid="{00000000-0005-0000-0000-0000A37A0000}"/>
    <cellStyle name="Output 2 9 2 4 7" xfId="12728" xr:uid="{00000000-0005-0000-0000-0000A47A0000}"/>
    <cellStyle name="Output 2 9 2 5" xfId="2468" xr:uid="{00000000-0005-0000-0000-0000A57A0000}"/>
    <cellStyle name="Output 2 9 2 5 2" xfId="5320" xr:uid="{00000000-0005-0000-0000-0000A67A0000}"/>
    <cellStyle name="Output 2 9 2 5 2 2" xfId="24292" xr:uid="{00000000-0005-0000-0000-0000A77A0000}"/>
    <cellStyle name="Output 2 9 2 5 2 3" xfId="35137" xr:uid="{00000000-0005-0000-0000-0000A87A0000}"/>
    <cellStyle name="Output 2 9 2 5 2 4" xfId="15044" xr:uid="{00000000-0005-0000-0000-0000A97A0000}"/>
    <cellStyle name="Output 2 9 2 5 3" xfId="7991" xr:uid="{00000000-0005-0000-0000-0000AA7A0000}"/>
    <cellStyle name="Output 2 9 2 5 3 2" xfId="26963" xr:uid="{00000000-0005-0000-0000-0000AB7A0000}"/>
    <cellStyle name="Output 2 9 2 5 3 3" xfId="37808" xr:uid="{00000000-0005-0000-0000-0000AC7A0000}"/>
    <cellStyle name="Output 2 9 2 5 3 4" xfId="16957" xr:uid="{00000000-0005-0000-0000-0000AD7A0000}"/>
    <cellStyle name="Output 2 9 2 5 4" xfId="10650" xr:uid="{00000000-0005-0000-0000-0000AE7A0000}"/>
    <cellStyle name="Output 2 9 2 5 4 2" xfId="29622" xr:uid="{00000000-0005-0000-0000-0000AF7A0000}"/>
    <cellStyle name="Output 2 9 2 5 4 3" xfId="40467" xr:uid="{00000000-0005-0000-0000-0000B07A0000}"/>
    <cellStyle name="Output 2 9 2 5 4 4" xfId="18861" xr:uid="{00000000-0005-0000-0000-0000B17A0000}"/>
    <cellStyle name="Output 2 9 2 5 5" xfId="21446" xr:uid="{00000000-0005-0000-0000-0000B27A0000}"/>
    <cellStyle name="Output 2 9 2 5 6" xfId="32291" xr:uid="{00000000-0005-0000-0000-0000B37A0000}"/>
    <cellStyle name="Output 2 9 2 5 7" xfId="13007" xr:uid="{00000000-0005-0000-0000-0000B47A0000}"/>
    <cellStyle name="Output 2 9 2 6" xfId="2854" xr:uid="{00000000-0005-0000-0000-0000B57A0000}"/>
    <cellStyle name="Output 2 9 2 6 2" xfId="5705" xr:uid="{00000000-0005-0000-0000-0000B67A0000}"/>
    <cellStyle name="Output 2 9 2 6 2 2" xfId="24677" xr:uid="{00000000-0005-0000-0000-0000B77A0000}"/>
    <cellStyle name="Output 2 9 2 6 2 3" xfId="35522" xr:uid="{00000000-0005-0000-0000-0000B87A0000}"/>
    <cellStyle name="Output 2 9 2 6 2 4" xfId="15320" xr:uid="{00000000-0005-0000-0000-0000B97A0000}"/>
    <cellStyle name="Output 2 9 2 6 3" xfId="8376" xr:uid="{00000000-0005-0000-0000-0000BA7A0000}"/>
    <cellStyle name="Output 2 9 2 6 3 2" xfId="27348" xr:uid="{00000000-0005-0000-0000-0000BB7A0000}"/>
    <cellStyle name="Output 2 9 2 6 3 3" xfId="38193" xr:uid="{00000000-0005-0000-0000-0000BC7A0000}"/>
    <cellStyle name="Output 2 9 2 6 3 4" xfId="17233" xr:uid="{00000000-0005-0000-0000-0000BD7A0000}"/>
    <cellStyle name="Output 2 9 2 6 4" xfId="11035" xr:uid="{00000000-0005-0000-0000-0000BE7A0000}"/>
    <cellStyle name="Output 2 9 2 6 4 2" xfId="30007" xr:uid="{00000000-0005-0000-0000-0000BF7A0000}"/>
    <cellStyle name="Output 2 9 2 6 4 3" xfId="40852" xr:uid="{00000000-0005-0000-0000-0000C07A0000}"/>
    <cellStyle name="Output 2 9 2 6 4 4" xfId="19137" xr:uid="{00000000-0005-0000-0000-0000C17A0000}"/>
    <cellStyle name="Output 2 9 2 6 5" xfId="21831" xr:uid="{00000000-0005-0000-0000-0000C27A0000}"/>
    <cellStyle name="Output 2 9 2 6 6" xfId="32676" xr:uid="{00000000-0005-0000-0000-0000C37A0000}"/>
    <cellStyle name="Output 2 9 2 6 7" xfId="13283" xr:uid="{00000000-0005-0000-0000-0000C47A0000}"/>
    <cellStyle name="Output 2 9 2 7" xfId="3543" xr:uid="{00000000-0005-0000-0000-0000C57A0000}"/>
    <cellStyle name="Output 2 9 2 7 2" xfId="22515" xr:uid="{00000000-0005-0000-0000-0000C67A0000}"/>
    <cellStyle name="Output 2 9 2 7 3" xfId="33360" xr:uid="{00000000-0005-0000-0000-0000C77A0000}"/>
    <cellStyle name="Output 2 9 2 7 4" xfId="13764" xr:uid="{00000000-0005-0000-0000-0000C87A0000}"/>
    <cellStyle name="Output 2 9 2 8" xfId="6218" xr:uid="{00000000-0005-0000-0000-0000C97A0000}"/>
    <cellStyle name="Output 2 9 2 8 2" xfId="25190" xr:uid="{00000000-0005-0000-0000-0000CA7A0000}"/>
    <cellStyle name="Output 2 9 2 8 3" xfId="36035" xr:uid="{00000000-0005-0000-0000-0000CB7A0000}"/>
    <cellStyle name="Output 2 9 2 8 4" xfId="15680" xr:uid="{00000000-0005-0000-0000-0000CC7A0000}"/>
    <cellStyle name="Output 2 9 2 9" xfId="8877" xr:uid="{00000000-0005-0000-0000-0000CD7A0000}"/>
    <cellStyle name="Output 2 9 2 9 2" xfId="27849" xr:uid="{00000000-0005-0000-0000-0000CE7A0000}"/>
    <cellStyle name="Output 2 9 2 9 3" xfId="38694" xr:uid="{00000000-0005-0000-0000-0000CF7A0000}"/>
    <cellStyle name="Output 2 9 2 9 4" xfId="17584" xr:uid="{00000000-0005-0000-0000-0000D07A0000}"/>
    <cellStyle name="Output 2 9 3" xfId="748" xr:uid="{00000000-0005-0000-0000-0000D17A0000}"/>
    <cellStyle name="Output 2 9 3 10" xfId="19733" xr:uid="{00000000-0005-0000-0000-0000D27A0000}"/>
    <cellStyle name="Output 2 9 3 11" xfId="30578" xr:uid="{00000000-0005-0000-0000-0000D37A0000}"/>
    <cellStyle name="Output 2 9 3 12" xfId="11770" xr:uid="{00000000-0005-0000-0000-0000D47A0000}"/>
    <cellStyle name="Output 2 9 3 2" xfId="1335" xr:uid="{00000000-0005-0000-0000-0000D57A0000}"/>
    <cellStyle name="Output 2 9 3 2 2" xfId="4188" xr:uid="{00000000-0005-0000-0000-0000D67A0000}"/>
    <cellStyle name="Output 2 9 3 2 2 2" xfId="23160" xr:uid="{00000000-0005-0000-0000-0000D77A0000}"/>
    <cellStyle name="Output 2 9 3 2 2 3" xfId="34005" xr:uid="{00000000-0005-0000-0000-0000D87A0000}"/>
    <cellStyle name="Output 2 9 3 2 2 4" xfId="14231" xr:uid="{00000000-0005-0000-0000-0000D97A0000}"/>
    <cellStyle name="Output 2 9 3 2 3" xfId="6861" xr:uid="{00000000-0005-0000-0000-0000DA7A0000}"/>
    <cellStyle name="Output 2 9 3 2 3 2" xfId="25833" xr:uid="{00000000-0005-0000-0000-0000DB7A0000}"/>
    <cellStyle name="Output 2 9 3 2 3 3" xfId="36678" xr:uid="{00000000-0005-0000-0000-0000DC7A0000}"/>
    <cellStyle name="Output 2 9 3 2 3 4" xfId="16146" xr:uid="{00000000-0005-0000-0000-0000DD7A0000}"/>
    <cellStyle name="Output 2 9 3 2 4" xfId="9520" xr:uid="{00000000-0005-0000-0000-0000DE7A0000}"/>
    <cellStyle name="Output 2 9 3 2 4 2" xfId="28492" xr:uid="{00000000-0005-0000-0000-0000DF7A0000}"/>
    <cellStyle name="Output 2 9 3 2 4 3" xfId="39337" xr:uid="{00000000-0005-0000-0000-0000E07A0000}"/>
    <cellStyle name="Output 2 9 3 2 4 4" xfId="18050" xr:uid="{00000000-0005-0000-0000-0000E17A0000}"/>
    <cellStyle name="Output 2 9 3 2 5" xfId="20316" xr:uid="{00000000-0005-0000-0000-0000E27A0000}"/>
    <cellStyle name="Output 2 9 3 2 6" xfId="31161" xr:uid="{00000000-0005-0000-0000-0000E37A0000}"/>
    <cellStyle name="Output 2 9 3 2 7" xfId="12196" xr:uid="{00000000-0005-0000-0000-0000E47A0000}"/>
    <cellStyle name="Output 2 9 3 3" xfId="1734" xr:uid="{00000000-0005-0000-0000-0000E57A0000}"/>
    <cellStyle name="Output 2 9 3 3 2" xfId="4587" xr:uid="{00000000-0005-0000-0000-0000E67A0000}"/>
    <cellStyle name="Output 2 9 3 3 2 2" xfId="23559" xr:uid="{00000000-0005-0000-0000-0000E77A0000}"/>
    <cellStyle name="Output 2 9 3 3 2 3" xfId="34404" xr:uid="{00000000-0005-0000-0000-0000E87A0000}"/>
    <cellStyle name="Output 2 9 3 3 2 4" xfId="14518" xr:uid="{00000000-0005-0000-0000-0000E97A0000}"/>
    <cellStyle name="Output 2 9 3 3 3" xfId="7259" xr:uid="{00000000-0005-0000-0000-0000EA7A0000}"/>
    <cellStyle name="Output 2 9 3 3 3 2" xfId="26231" xr:uid="{00000000-0005-0000-0000-0000EB7A0000}"/>
    <cellStyle name="Output 2 9 3 3 3 3" xfId="37076" xr:uid="{00000000-0005-0000-0000-0000EC7A0000}"/>
    <cellStyle name="Output 2 9 3 3 3 4" xfId="16432" xr:uid="{00000000-0005-0000-0000-0000ED7A0000}"/>
    <cellStyle name="Output 2 9 3 3 4" xfId="9918" xr:uid="{00000000-0005-0000-0000-0000EE7A0000}"/>
    <cellStyle name="Output 2 9 3 3 4 2" xfId="28890" xr:uid="{00000000-0005-0000-0000-0000EF7A0000}"/>
    <cellStyle name="Output 2 9 3 3 4 3" xfId="39735" xr:uid="{00000000-0005-0000-0000-0000F07A0000}"/>
    <cellStyle name="Output 2 9 3 3 4 4" xfId="18336" xr:uid="{00000000-0005-0000-0000-0000F17A0000}"/>
    <cellStyle name="Output 2 9 3 3 5" xfId="20714" xr:uid="{00000000-0005-0000-0000-0000F27A0000}"/>
    <cellStyle name="Output 2 9 3 3 6" xfId="31559" xr:uid="{00000000-0005-0000-0000-0000F37A0000}"/>
    <cellStyle name="Output 2 9 3 3 7" xfId="12482" xr:uid="{00000000-0005-0000-0000-0000F47A0000}"/>
    <cellStyle name="Output 2 9 3 4" xfId="2138" xr:uid="{00000000-0005-0000-0000-0000F57A0000}"/>
    <cellStyle name="Output 2 9 3 4 2" xfId="4991" xr:uid="{00000000-0005-0000-0000-0000F67A0000}"/>
    <cellStyle name="Output 2 9 3 4 2 2" xfId="23963" xr:uid="{00000000-0005-0000-0000-0000F77A0000}"/>
    <cellStyle name="Output 2 9 3 4 2 3" xfId="34808" xr:uid="{00000000-0005-0000-0000-0000F87A0000}"/>
    <cellStyle name="Output 2 9 3 4 2 4" xfId="14805" xr:uid="{00000000-0005-0000-0000-0000F97A0000}"/>
    <cellStyle name="Output 2 9 3 4 3" xfId="7662" xr:uid="{00000000-0005-0000-0000-0000FA7A0000}"/>
    <cellStyle name="Output 2 9 3 4 3 2" xfId="26634" xr:uid="{00000000-0005-0000-0000-0000FB7A0000}"/>
    <cellStyle name="Output 2 9 3 4 3 3" xfId="37479" xr:uid="{00000000-0005-0000-0000-0000FC7A0000}"/>
    <cellStyle name="Output 2 9 3 4 3 4" xfId="16718" xr:uid="{00000000-0005-0000-0000-0000FD7A0000}"/>
    <cellStyle name="Output 2 9 3 4 4" xfId="10321" xr:uid="{00000000-0005-0000-0000-0000FE7A0000}"/>
    <cellStyle name="Output 2 9 3 4 4 2" xfId="29293" xr:uid="{00000000-0005-0000-0000-0000FF7A0000}"/>
    <cellStyle name="Output 2 9 3 4 4 3" xfId="40138" xr:uid="{00000000-0005-0000-0000-0000007B0000}"/>
    <cellStyle name="Output 2 9 3 4 4 4" xfId="18622" xr:uid="{00000000-0005-0000-0000-0000017B0000}"/>
    <cellStyle name="Output 2 9 3 4 5" xfId="21117" xr:uid="{00000000-0005-0000-0000-0000027B0000}"/>
    <cellStyle name="Output 2 9 3 4 6" xfId="31962" xr:uid="{00000000-0005-0000-0000-0000037B0000}"/>
    <cellStyle name="Output 2 9 3 4 7" xfId="12768" xr:uid="{00000000-0005-0000-0000-0000047B0000}"/>
    <cellStyle name="Output 2 9 3 5" xfId="2528" xr:uid="{00000000-0005-0000-0000-0000057B0000}"/>
    <cellStyle name="Output 2 9 3 5 2" xfId="5380" xr:uid="{00000000-0005-0000-0000-0000067B0000}"/>
    <cellStyle name="Output 2 9 3 5 2 2" xfId="24352" xr:uid="{00000000-0005-0000-0000-0000077B0000}"/>
    <cellStyle name="Output 2 9 3 5 2 3" xfId="35197" xr:uid="{00000000-0005-0000-0000-0000087B0000}"/>
    <cellStyle name="Output 2 9 3 5 2 4" xfId="15084" xr:uid="{00000000-0005-0000-0000-0000097B0000}"/>
    <cellStyle name="Output 2 9 3 5 3" xfId="8051" xr:uid="{00000000-0005-0000-0000-00000A7B0000}"/>
    <cellStyle name="Output 2 9 3 5 3 2" xfId="27023" xr:uid="{00000000-0005-0000-0000-00000B7B0000}"/>
    <cellStyle name="Output 2 9 3 5 3 3" xfId="37868" xr:uid="{00000000-0005-0000-0000-00000C7B0000}"/>
    <cellStyle name="Output 2 9 3 5 3 4" xfId="16997" xr:uid="{00000000-0005-0000-0000-00000D7B0000}"/>
    <cellStyle name="Output 2 9 3 5 4" xfId="10710" xr:uid="{00000000-0005-0000-0000-00000E7B0000}"/>
    <cellStyle name="Output 2 9 3 5 4 2" xfId="29682" xr:uid="{00000000-0005-0000-0000-00000F7B0000}"/>
    <cellStyle name="Output 2 9 3 5 4 3" xfId="40527" xr:uid="{00000000-0005-0000-0000-0000107B0000}"/>
    <cellStyle name="Output 2 9 3 5 4 4" xfId="18901" xr:uid="{00000000-0005-0000-0000-0000117B0000}"/>
    <cellStyle name="Output 2 9 3 5 5" xfId="21506" xr:uid="{00000000-0005-0000-0000-0000127B0000}"/>
    <cellStyle name="Output 2 9 3 5 6" xfId="32351" xr:uid="{00000000-0005-0000-0000-0000137B0000}"/>
    <cellStyle name="Output 2 9 3 5 7" xfId="13047" xr:uid="{00000000-0005-0000-0000-0000147B0000}"/>
    <cellStyle name="Output 2 9 3 6" xfId="2914" xr:uid="{00000000-0005-0000-0000-0000157B0000}"/>
    <cellStyle name="Output 2 9 3 6 2" xfId="5765" xr:uid="{00000000-0005-0000-0000-0000167B0000}"/>
    <cellStyle name="Output 2 9 3 6 2 2" xfId="24737" xr:uid="{00000000-0005-0000-0000-0000177B0000}"/>
    <cellStyle name="Output 2 9 3 6 2 3" xfId="35582" xr:uid="{00000000-0005-0000-0000-0000187B0000}"/>
    <cellStyle name="Output 2 9 3 6 2 4" xfId="15360" xr:uid="{00000000-0005-0000-0000-0000197B0000}"/>
    <cellStyle name="Output 2 9 3 6 3" xfId="8436" xr:uid="{00000000-0005-0000-0000-00001A7B0000}"/>
    <cellStyle name="Output 2 9 3 6 3 2" xfId="27408" xr:uid="{00000000-0005-0000-0000-00001B7B0000}"/>
    <cellStyle name="Output 2 9 3 6 3 3" xfId="38253" xr:uid="{00000000-0005-0000-0000-00001C7B0000}"/>
    <cellStyle name="Output 2 9 3 6 3 4" xfId="17273" xr:uid="{00000000-0005-0000-0000-00001D7B0000}"/>
    <cellStyle name="Output 2 9 3 6 4" xfId="11095" xr:uid="{00000000-0005-0000-0000-00001E7B0000}"/>
    <cellStyle name="Output 2 9 3 6 4 2" xfId="30067" xr:uid="{00000000-0005-0000-0000-00001F7B0000}"/>
    <cellStyle name="Output 2 9 3 6 4 3" xfId="40912" xr:uid="{00000000-0005-0000-0000-0000207B0000}"/>
    <cellStyle name="Output 2 9 3 6 4 4" xfId="19177" xr:uid="{00000000-0005-0000-0000-0000217B0000}"/>
    <cellStyle name="Output 2 9 3 6 5" xfId="21891" xr:uid="{00000000-0005-0000-0000-0000227B0000}"/>
    <cellStyle name="Output 2 9 3 6 6" xfId="32736" xr:uid="{00000000-0005-0000-0000-0000237B0000}"/>
    <cellStyle name="Output 2 9 3 6 7" xfId="13323" xr:uid="{00000000-0005-0000-0000-0000247B0000}"/>
    <cellStyle name="Output 2 9 3 7" xfId="3603" xr:uid="{00000000-0005-0000-0000-0000257B0000}"/>
    <cellStyle name="Output 2 9 3 7 2" xfId="22575" xr:uid="{00000000-0005-0000-0000-0000267B0000}"/>
    <cellStyle name="Output 2 9 3 7 3" xfId="33420" xr:uid="{00000000-0005-0000-0000-0000277B0000}"/>
    <cellStyle name="Output 2 9 3 7 4" xfId="13804" xr:uid="{00000000-0005-0000-0000-0000287B0000}"/>
    <cellStyle name="Output 2 9 3 8" xfId="6278" xr:uid="{00000000-0005-0000-0000-0000297B0000}"/>
    <cellStyle name="Output 2 9 3 8 2" xfId="25250" xr:uid="{00000000-0005-0000-0000-00002A7B0000}"/>
    <cellStyle name="Output 2 9 3 8 3" xfId="36095" xr:uid="{00000000-0005-0000-0000-00002B7B0000}"/>
    <cellStyle name="Output 2 9 3 8 4" xfId="15720" xr:uid="{00000000-0005-0000-0000-00002C7B0000}"/>
    <cellStyle name="Output 2 9 3 9" xfId="8937" xr:uid="{00000000-0005-0000-0000-00002D7B0000}"/>
    <cellStyle name="Output 2 9 3 9 2" xfId="27909" xr:uid="{00000000-0005-0000-0000-00002E7B0000}"/>
    <cellStyle name="Output 2 9 3 9 3" xfId="38754" xr:uid="{00000000-0005-0000-0000-00002F7B0000}"/>
    <cellStyle name="Output 2 9 3 9 4" xfId="17624" xr:uid="{00000000-0005-0000-0000-0000307B0000}"/>
    <cellStyle name="Output 2 9 4" xfId="808" xr:uid="{00000000-0005-0000-0000-0000317B0000}"/>
    <cellStyle name="Output 2 9 4 10" xfId="19793" xr:uid="{00000000-0005-0000-0000-0000327B0000}"/>
    <cellStyle name="Output 2 9 4 11" xfId="30638" xr:uid="{00000000-0005-0000-0000-0000337B0000}"/>
    <cellStyle name="Output 2 9 4 12" xfId="11810" xr:uid="{00000000-0005-0000-0000-0000347B0000}"/>
    <cellStyle name="Output 2 9 4 2" xfId="1395" xr:uid="{00000000-0005-0000-0000-0000357B0000}"/>
    <cellStyle name="Output 2 9 4 2 2" xfId="4248" xr:uid="{00000000-0005-0000-0000-0000367B0000}"/>
    <cellStyle name="Output 2 9 4 2 2 2" xfId="23220" xr:uid="{00000000-0005-0000-0000-0000377B0000}"/>
    <cellStyle name="Output 2 9 4 2 2 3" xfId="34065" xr:uid="{00000000-0005-0000-0000-0000387B0000}"/>
    <cellStyle name="Output 2 9 4 2 2 4" xfId="14271" xr:uid="{00000000-0005-0000-0000-0000397B0000}"/>
    <cellStyle name="Output 2 9 4 2 3" xfId="6921" xr:uid="{00000000-0005-0000-0000-00003A7B0000}"/>
    <cellStyle name="Output 2 9 4 2 3 2" xfId="25893" xr:uid="{00000000-0005-0000-0000-00003B7B0000}"/>
    <cellStyle name="Output 2 9 4 2 3 3" xfId="36738" xr:uid="{00000000-0005-0000-0000-00003C7B0000}"/>
    <cellStyle name="Output 2 9 4 2 3 4" xfId="16186" xr:uid="{00000000-0005-0000-0000-00003D7B0000}"/>
    <cellStyle name="Output 2 9 4 2 4" xfId="9580" xr:uid="{00000000-0005-0000-0000-00003E7B0000}"/>
    <cellStyle name="Output 2 9 4 2 4 2" xfId="28552" xr:uid="{00000000-0005-0000-0000-00003F7B0000}"/>
    <cellStyle name="Output 2 9 4 2 4 3" xfId="39397" xr:uid="{00000000-0005-0000-0000-0000407B0000}"/>
    <cellStyle name="Output 2 9 4 2 4 4" xfId="18090" xr:uid="{00000000-0005-0000-0000-0000417B0000}"/>
    <cellStyle name="Output 2 9 4 2 5" xfId="20376" xr:uid="{00000000-0005-0000-0000-0000427B0000}"/>
    <cellStyle name="Output 2 9 4 2 6" xfId="31221" xr:uid="{00000000-0005-0000-0000-0000437B0000}"/>
    <cellStyle name="Output 2 9 4 2 7" xfId="12236" xr:uid="{00000000-0005-0000-0000-0000447B0000}"/>
    <cellStyle name="Output 2 9 4 3" xfId="1794" xr:uid="{00000000-0005-0000-0000-0000457B0000}"/>
    <cellStyle name="Output 2 9 4 3 2" xfId="4647" xr:uid="{00000000-0005-0000-0000-0000467B0000}"/>
    <cellStyle name="Output 2 9 4 3 2 2" xfId="23619" xr:uid="{00000000-0005-0000-0000-0000477B0000}"/>
    <cellStyle name="Output 2 9 4 3 2 3" xfId="34464" xr:uid="{00000000-0005-0000-0000-0000487B0000}"/>
    <cellStyle name="Output 2 9 4 3 2 4" xfId="14558" xr:uid="{00000000-0005-0000-0000-0000497B0000}"/>
    <cellStyle name="Output 2 9 4 3 3" xfId="7319" xr:uid="{00000000-0005-0000-0000-00004A7B0000}"/>
    <cellStyle name="Output 2 9 4 3 3 2" xfId="26291" xr:uid="{00000000-0005-0000-0000-00004B7B0000}"/>
    <cellStyle name="Output 2 9 4 3 3 3" xfId="37136" xr:uid="{00000000-0005-0000-0000-00004C7B0000}"/>
    <cellStyle name="Output 2 9 4 3 3 4" xfId="16472" xr:uid="{00000000-0005-0000-0000-00004D7B0000}"/>
    <cellStyle name="Output 2 9 4 3 4" xfId="9978" xr:uid="{00000000-0005-0000-0000-00004E7B0000}"/>
    <cellStyle name="Output 2 9 4 3 4 2" xfId="28950" xr:uid="{00000000-0005-0000-0000-00004F7B0000}"/>
    <cellStyle name="Output 2 9 4 3 4 3" xfId="39795" xr:uid="{00000000-0005-0000-0000-0000507B0000}"/>
    <cellStyle name="Output 2 9 4 3 4 4" xfId="18376" xr:uid="{00000000-0005-0000-0000-0000517B0000}"/>
    <cellStyle name="Output 2 9 4 3 5" xfId="20774" xr:uid="{00000000-0005-0000-0000-0000527B0000}"/>
    <cellStyle name="Output 2 9 4 3 6" xfId="31619" xr:uid="{00000000-0005-0000-0000-0000537B0000}"/>
    <cellStyle name="Output 2 9 4 3 7" xfId="12522" xr:uid="{00000000-0005-0000-0000-0000547B0000}"/>
    <cellStyle name="Output 2 9 4 4" xfId="2198" xr:uid="{00000000-0005-0000-0000-0000557B0000}"/>
    <cellStyle name="Output 2 9 4 4 2" xfId="5051" xr:uid="{00000000-0005-0000-0000-0000567B0000}"/>
    <cellStyle name="Output 2 9 4 4 2 2" xfId="24023" xr:uid="{00000000-0005-0000-0000-0000577B0000}"/>
    <cellStyle name="Output 2 9 4 4 2 3" xfId="34868" xr:uid="{00000000-0005-0000-0000-0000587B0000}"/>
    <cellStyle name="Output 2 9 4 4 2 4" xfId="14845" xr:uid="{00000000-0005-0000-0000-0000597B0000}"/>
    <cellStyle name="Output 2 9 4 4 3" xfId="7722" xr:uid="{00000000-0005-0000-0000-00005A7B0000}"/>
    <cellStyle name="Output 2 9 4 4 3 2" xfId="26694" xr:uid="{00000000-0005-0000-0000-00005B7B0000}"/>
    <cellStyle name="Output 2 9 4 4 3 3" xfId="37539" xr:uid="{00000000-0005-0000-0000-00005C7B0000}"/>
    <cellStyle name="Output 2 9 4 4 3 4" xfId="16758" xr:uid="{00000000-0005-0000-0000-00005D7B0000}"/>
    <cellStyle name="Output 2 9 4 4 4" xfId="10381" xr:uid="{00000000-0005-0000-0000-00005E7B0000}"/>
    <cellStyle name="Output 2 9 4 4 4 2" xfId="29353" xr:uid="{00000000-0005-0000-0000-00005F7B0000}"/>
    <cellStyle name="Output 2 9 4 4 4 3" xfId="40198" xr:uid="{00000000-0005-0000-0000-0000607B0000}"/>
    <cellStyle name="Output 2 9 4 4 4 4" xfId="18662" xr:uid="{00000000-0005-0000-0000-0000617B0000}"/>
    <cellStyle name="Output 2 9 4 4 5" xfId="21177" xr:uid="{00000000-0005-0000-0000-0000627B0000}"/>
    <cellStyle name="Output 2 9 4 4 6" xfId="32022" xr:uid="{00000000-0005-0000-0000-0000637B0000}"/>
    <cellStyle name="Output 2 9 4 4 7" xfId="12808" xr:uid="{00000000-0005-0000-0000-0000647B0000}"/>
    <cellStyle name="Output 2 9 4 5" xfId="2588" xr:uid="{00000000-0005-0000-0000-0000657B0000}"/>
    <cellStyle name="Output 2 9 4 5 2" xfId="5440" xr:uid="{00000000-0005-0000-0000-0000667B0000}"/>
    <cellStyle name="Output 2 9 4 5 2 2" xfId="24412" xr:uid="{00000000-0005-0000-0000-0000677B0000}"/>
    <cellStyle name="Output 2 9 4 5 2 3" xfId="35257" xr:uid="{00000000-0005-0000-0000-0000687B0000}"/>
    <cellStyle name="Output 2 9 4 5 2 4" xfId="15124" xr:uid="{00000000-0005-0000-0000-0000697B0000}"/>
    <cellStyle name="Output 2 9 4 5 3" xfId="8111" xr:uid="{00000000-0005-0000-0000-00006A7B0000}"/>
    <cellStyle name="Output 2 9 4 5 3 2" xfId="27083" xr:uid="{00000000-0005-0000-0000-00006B7B0000}"/>
    <cellStyle name="Output 2 9 4 5 3 3" xfId="37928" xr:uid="{00000000-0005-0000-0000-00006C7B0000}"/>
    <cellStyle name="Output 2 9 4 5 3 4" xfId="17037" xr:uid="{00000000-0005-0000-0000-00006D7B0000}"/>
    <cellStyle name="Output 2 9 4 5 4" xfId="10770" xr:uid="{00000000-0005-0000-0000-00006E7B0000}"/>
    <cellStyle name="Output 2 9 4 5 4 2" xfId="29742" xr:uid="{00000000-0005-0000-0000-00006F7B0000}"/>
    <cellStyle name="Output 2 9 4 5 4 3" xfId="40587" xr:uid="{00000000-0005-0000-0000-0000707B0000}"/>
    <cellStyle name="Output 2 9 4 5 4 4" xfId="18941" xr:uid="{00000000-0005-0000-0000-0000717B0000}"/>
    <cellStyle name="Output 2 9 4 5 5" xfId="21566" xr:uid="{00000000-0005-0000-0000-0000727B0000}"/>
    <cellStyle name="Output 2 9 4 5 6" xfId="32411" xr:uid="{00000000-0005-0000-0000-0000737B0000}"/>
    <cellStyle name="Output 2 9 4 5 7" xfId="13087" xr:uid="{00000000-0005-0000-0000-0000747B0000}"/>
    <cellStyle name="Output 2 9 4 6" xfId="2974" xr:uid="{00000000-0005-0000-0000-0000757B0000}"/>
    <cellStyle name="Output 2 9 4 6 2" xfId="5825" xr:uid="{00000000-0005-0000-0000-0000767B0000}"/>
    <cellStyle name="Output 2 9 4 6 2 2" xfId="24797" xr:uid="{00000000-0005-0000-0000-0000777B0000}"/>
    <cellStyle name="Output 2 9 4 6 2 3" xfId="35642" xr:uid="{00000000-0005-0000-0000-0000787B0000}"/>
    <cellStyle name="Output 2 9 4 6 2 4" xfId="15400" xr:uid="{00000000-0005-0000-0000-0000797B0000}"/>
    <cellStyle name="Output 2 9 4 6 3" xfId="8496" xr:uid="{00000000-0005-0000-0000-00007A7B0000}"/>
    <cellStyle name="Output 2 9 4 6 3 2" xfId="27468" xr:uid="{00000000-0005-0000-0000-00007B7B0000}"/>
    <cellStyle name="Output 2 9 4 6 3 3" xfId="38313" xr:uid="{00000000-0005-0000-0000-00007C7B0000}"/>
    <cellStyle name="Output 2 9 4 6 3 4" xfId="17313" xr:uid="{00000000-0005-0000-0000-00007D7B0000}"/>
    <cellStyle name="Output 2 9 4 6 4" xfId="11155" xr:uid="{00000000-0005-0000-0000-00007E7B0000}"/>
    <cellStyle name="Output 2 9 4 6 4 2" xfId="30127" xr:uid="{00000000-0005-0000-0000-00007F7B0000}"/>
    <cellStyle name="Output 2 9 4 6 4 3" xfId="40972" xr:uid="{00000000-0005-0000-0000-0000807B0000}"/>
    <cellStyle name="Output 2 9 4 6 4 4" xfId="19217" xr:uid="{00000000-0005-0000-0000-0000817B0000}"/>
    <cellStyle name="Output 2 9 4 6 5" xfId="21951" xr:uid="{00000000-0005-0000-0000-0000827B0000}"/>
    <cellStyle name="Output 2 9 4 6 6" xfId="32796" xr:uid="{00000000-0005-0000-0000-0000837B0000}"/>
    <cellStyle name="Output 2 9 4 6 7" xfId="13363" xr:uid="{00000000-0005-0000-0000-0000847B0000}"/>
    <cellStyle name="Output 2 9 4 7" xfId="3663" xr:uid="{00000000-0005-0000-0000-0000857B0000}"/>
    <cellStyle name="Output 2 9 4 7 2" xfId="22635" xr:uid="{00000000-0005-0000-0000-0000867B0000}"/>
    <cellStyle name="Output 2 9 4 7 3" xfId="33480" xr:uid="{00000000-0005-0000-0000-0000877B0000}"/>
    <cellStyle name="Output 2 9 4 7 4" xfId="13844" xr:uid="{00000000-0005-0000-0000-0000887B0000}"/>
    <cellStyle name="Output 2 9 4 8" xfId="6338" xr:uid="{00000000-0005-0000-0000-0000897B0000}"/>
    <cellStyle name="Output 2 9 4 8 2" xfId="25310" xr:uid="{00000000-0005-0000-0000-00008A7B0000}"/>
    <cellStyle name="Output 2 9 4 8 3" xfId="36155" xr:uid="{00000000-0005-0000-0000-00008B7B0000}"/>
    <cellStyle name="Output 2 9 4 8 4" xfId="15760" xr:uid="{00000000-0005-0000-0000-00008C7B0000}"/>
    <cellStyle name="Output 2 9 4 9" xfId="8997" xr:uid="{00000000-0005-0000-0000-00008D7B0000}"/>
    <cellStyle name="Output 2 9 4 9 2" xfId="27969" xr:uid="{00000000-0005-0000-0000-00008E7B0000}"/>
    <cellStyle name="Output 2 9 4 9 3" xfId="38814" xr:uid="{00000000-0005-0000-0000-00008F7B0000}"/>
    <cellStyle name="Output 2 9 4 9 4" xfId="17664" xr:uid="{00000000-0005-0000-0000-0000907B0000}"/>
    <cellStyle name="Output 2 9 5" xfId="867" xr:uid="{00000000-0005-0000-0000-0000917B0000}"/>
    <cellStyle name="Output 2 9 5 10" xfId="19852" xr:uid="{00000000-0005-0000-0000-0000927B0000}"/>
    <cellStyle name="Output 2 9 5 11" xfId="30697" xr:uid="{00000000-0005-0000-0000-0000937B0000}"/>
    <cellStyle name="Output 2 9 5 12" xfId="11849" xr:uid="{00000000-0005-0000-0000-0000947B0000}"/>
    <cellStyle name="Output 2 9 5 2" xfId="1454" xr:uid="{00000000-0005-0000-0000-0000957B0000}"/>
    <cellStyle name="Output 2 9 5 2 2" xfId="4307" xr:uid="{00000000-0005-0000-0000-0000967B0000}"/>
    <cellStyle name="Output 2 9 5 2 2 2" xfId="23279" xr:uid="{00000000-0005-0000-0000-0000977B0000}"/>
    <cellStyle name="Output 2 9 5 2 2 3" xfId="34124" xr:uid="{00000000-0005-0000-0000-0000987B0000}"/>
    <cellStyle name="Output 2 9 5 2 2 4" xfId="14310" xr:uid="{00000000-0005-0000-0000-0000997B0000}"/>
    <cellStyle name="Output 2 9 5 2 3" xfId="6980" xr:uid="{00000000-0005-0000-0000-00009A7B0000}"/>
    <cellStyle name="Output 2 9 5 2 3 2" xfId="25952" xr:uid="{00000000-0005-0000-0000-00009B7B0000}"/>
    <cellStyle name="Output 2 9 5 2 3 3" xfId="36797" xr:uid="{00000000-0005-0000-0000-00009C7B0000}"/>
    <cellStyle name="Output 2 9 5 2 3 4" xfId="16225" xr:uid="{00000000-0005-0000-0000-00009D7B0000}"/>
    <cellStyle name="Output 2 9 5 2 4" xfId="9639" xr:uid="{00000000-0005-0000-0000-00009E7B0000}"/>
    <cellStyle name="Output 2 9 5 2 4 2" xfId="28611" xr:uid="{00000000-0005-0000-0000-00009F7B0000}"/>
    <cellStyle name="Output 2 9 5 2 4 3" xfId="39456" xr:uid="{00000000-0005-0000-0000-0000A07B0000}"/>
    <cellStyle name="Output 2 9 5 2 4 4" xfId="18129" xr:uid="{00000000-0005-0000-0000-0000A17B0000}"/>
    <cellStyle name="Output 2 9 5 2 5" xfId="20435" xr:uid="{00000000-0005-0000-0000-0000A27B0000}"/>
    <cellStyle name="Output 2 9 5 2 6" xfId="31280" xr:uid="{00000000-0005-0000-0000-0000A37B0000}"/>
    <cellStyle name="Output 2 9 5 2 7" xfId="12275" xr:uid="{00000000-0005-0000-0000-0000A47B0000}"/>
    <cellStyle name="Output 2 9 5 3" xfId="1853" xr:uid="{00000000-0005-0000-0000-0000A57B0000}"/>
    <cellStyle name="Output 2 9 5 3 2" xfId="4706" xr:uid="{00000000-0005-0000-0000-0000A67B0000}"/>
    <cellStyle name="Output 2 9 5 3 2 2" xfId="23678" xr:uid="{00000000-0005-0000-0000-0000A77B0000}"/>
    <cellStyle name="Output 2 9 5 3 2 3" xfId="34523" xr:uid="{00000000-0005-0000-0000-0000A87B0000}"/>
    <cellStyle name="Output 2 9 5 3 2 4" xfId="14597" xr:uid="{00000000-0005-0000-0000-0000A97B0000}"/>
    <cellStyle name="Output 2 9 5 3 3" xfId="7378" xr:uid="{00000000-0005-0000-0000-0000AA7B0000}"/>
    <cellStyle name="Output 2 9 5 3 3 2" xfId="26350" xr:uid="{00000000-0005-0000-0000-0000AB7B0000}"/>
    <cellStyle name="Output 2 9 5 3 3 3" xfId="37195" xr:uid="{00000000-0005-0000-0000-0000AC7B0000}"/>
    <cellStyle name="Output 2 9 5 3 3 4" xfId="16511" xr:uid="{00000000-0005-0000-0000-0000AD7B0000}"/>
    <cellStyle name="Output 2 9 5 3 4" xfId="10037" xr:uid="{00000000-0005-0000-0000-0000AE7B0000}"/>
    <cellStyle name="Output 2 9 5 3 4 2" xfId="29009" xr:uid="{00000000-0005-0000-0000-0000AF7B0000}"/>
    <cellStyle name="Output 2 9 5 3 4 3" xfId="39854" xr:uid="{00000000-0005-0000-0000-0000B07B0000}"/>
    <cellStyle name="Output 2 9 5 3 4 4" xfId="18415" xr:uid="{00000000-0005-0000-0000-0000B17B0000}"/>
    <cellStyle name="Output 2 9 5 3 5" xfId="20833" xr:uid="{00000000-0005-0000-0000-0000B27B0000}"/>
    <cellStyle name="Output 2 9 5 3 6" xfId="31678" xr:uid="{00000000-0005-0000-0000-0000B37B0000}"/>
    <cellStyle name="Output 2 9 5 3 7" xfId="12561" xr:uid="{00000000-0005-0000-0000-0000B47B0000}"/>
    <cellStyle name="Output 2 9 5 4" xfId="2257" xr:uid="{00000000-0005-0000-0000-0000B57B0000}"/>
    <cellStyle name="Output 2 9 5 4 2" xfId="5110" xr:uid="{00000000-0005-0000-0000-0000B67B0000}"/>
    <cellStyle name="Output 2 9 5 4 2 2" xfId="24082" xr:uid="{00000000-0005-0000-0000-0000B77B0000}"/>
    <cellStyle name="Output 2 9 5 4 2 3" xfId="34927" xr:uid="{00000000-0005-0000-0000-0000B87B0000}"/>
    <cellStyle name="Output 2 9 5 4 2 4" xfId="14884" xr:uid="{00000000-0005-0000-0000-0000B97B0000}"/>
    <cellStyle name="Output 2 9 5 4 3" xfId="7781" xr:uid="{00000000-0005-0000-0000-0000BA7B0000}"/>
    <cellStyle name="Output 2 9 5 4 3 2" xfId="26753" xr:uid="{00000000-0005-0000-0000-0000BB7B0000}"/>
    <cellStyle name="Output 2 9 5 4 3 3" xfId="37598" xr:uid="{00000000-0005-0000-0000-0000BC7B0000}"/>
    <cellStyle name="Output 2 9 5 4 3 4" xfId="16797" xr:uid="{00000000-0005-0000-0000-0000BD7B0000}"/>
    <cellStyle name="Output 2 9 5 4 4" xfId="10440" xr:uid="{00000000-0005-0000-0000-0000BE7B0000}"/>
    <cellStyle name="Output 2 9 5 4 4 2" xfId="29412" xr:uid="{00000000-0005-0000-0000-0000BF7B0000}"/>
    <cellStyle name="Output 2 9 5 4 4 3" xfId="40257" xr:uid="{00000000-0005-0000-0000-0000C07B0000}"/>
    <cellStyle name="Output 2 9 5 4 4 4" xfId="18701" xr:uid="{00000000-0005-0000-0000-0000C17B0000}"/>
    <cellStyle name="Output 2 9 5 4 5" xfId="21236" xr:uid="{00000000-0005-0000-0000-0000C27B0000}"/>
    <cellStyle name="Output 2 9 5 4 6" xfId="32081" xr:uid="{00000000-0005-0000-0000-0000C37B0000}"/>
    <cellStyle name="Output 2 9 5 4 7" xfId="12847" xr:uid="{00000000-0005-0000-0000-0000C47B0000}"/>
    <cellStyle name="Output 2 9 5 5" xfId="2647" xr:uid="{00000000-0005-0000-0000-0000C57B0000}"/>
    <cellStyle name="Output 2 9 5 5 2" xfId="5499" xr:uid="{00000000-0005-0000-0000-0000C67B0000}"/>
    <cellStyle name="Output 2 9 5 5 2 2" xfId="24471" xr:uid="{00000000-0005-0000-0000-0000C77B0000}"/>
    <cellStyle name="Output 2 9 5 5 2 3" xfId="35316" xr:uid="{00000000-0005-0000-0000-0000C87B0000}"/>
    <cellStyle name="Output 2 9 5 5 2 4" xfId="15163" xr:uid="{00000000-0005-0000-0000-0000C97B0000}"/>
    <cellStyle name="Output 2 9 5 5 3" xfId="8170" xr:uid="{00000000-0005-0000-0000-0000CA7B0000}"/>
    <cellStyle name="Output 2 9 5 5 3 2" xfId="27142" xr:uid="{00000000-0005-0000-0000-0000CB7B0000}"/>
    <cellStyle name="Output 2 9 5 5 3 3" xfId="37987" xr:uid="{00000000-0005-0000-0000-0000CC7B0000}"/>
    <cellStyle name="Output 2 9 5 5 3 4" xfId="17076" xr:uid="{00000000-0005-0000-0000-0000CD7B0000}"/>
    <cellStyle name="Output 2 9 5 5 4" xfId="10829" xr:uid="{00000000-0005-0000-0000-0000CE7B0000}"/>
    <cellStyle name="Output 2 9 5 5 4 2" xfId="29801" xr:uid="{00000000-0005-0000-0000-0000CF7B0000}"/>
    <cellStyle name="Output 2 9 5 5 4 3" xfId="40646" xr:uid="{00000000-0005-0000-0000-0000D07B0000}"/>
    <cellStyle name="Output 2 9 5 5 4 4" xfId="18980" xr:uid="{00000000-0005-0000-0000-0000D17B0000}"/>
    <cellStyle name="Output 2 9 5 5 5" xfId="21625" xr:uid="{00000000-0005-0000-0000-0000D27B0000}"/>
    <cellStyle name="Output 2 9 5 5 6" xfId="32470" xr:uid="{00000000-0005-0000-0000-0000D37B0000}"/>
    <cellStyle name="Output 2 9 5 5 7" xfId="13126" xr:uid="{00000000-0005-0000-0000-0000D47B0000}"/>
    <cellStyle name="Output 2 9 5 6" xfId="3033" xr:uid="{00000000-0005-0000-0000-0000D57B0000}"/>
    <cellStyle name="Output 2 9 5 6 2" xfId="5884" xr:uid="{00000000-0005-0000-0000-0000D67B0000}"/>
    <cellStyle name="Output 2 9 5 6 2 2" xfId="24856" xr:uid="{00000000-0005-0000-0000-0000D77B0000}"/>
    <cellStyle name="Output 2 9 5 6 2 3" xfId="35701" xr:uid="{00000000-0005-0000-0000-0000D87B0000}"/>
    <cellStyle name="Output 2 9 5 6 2 4" xfId="15439" xr:uid="{00000000-0005-0000-0000-0000D97B0000}"/>
    <cellStyle name="Output 2 9 5 6 3" xfId="8555" xr:uid="{00000000-0005-0000-0000-0000DA7B0000}"/>
    <cellStyle name="Output 2 9 5 6 3 2" xfId="27527" xr:uid="{00000000-0005-0000-0000-0000DB7B0000}"/>
    <cellStyle name="Output 2 9 5 6 3 3" xfId="38372" xr:uid="{00000000-0005-0000-0000-0000DC7B0000}"/>
    <cellStyle name="Output 2 9 5 6 3 4" xfId="17352" xr:uid="{00000000-0005-0000-0000-0000DD7B0000}"/>
    <cellStyle name="Output 2 9 5 6 4" xfId="11214" xr:uid="{00000000-0005-0000-0000-0000DE7B0000}"/>
    <cellStyle name="Output 2 9 5 6 4 2" xfId="30186" xr:uid="{00000000-0005-0000-0000-0000DF7B0000}"/>
    <cellStyle name="Output 2 9 5 6 4 3" xfId="41031" xr:uid="{00000000-0005-0000-0000-0000E07B0000}"/>
    <cellStyle name="Output 2 9 5 6 4 4" xfId="19256" xr:uid="{00000000-0005-0000-0000-0000E17B0000}"/>
    <cellStyle name="Output 2 9 5 6 5" xfId="22010" xr:uid="{00000000-0005-0000-0000-0000E27B0000}"/>
    <cellStyle name="Output 2 9 5 6 6" xfId="32855" xr:uid="{00000000-0005-0000-0000-0000E37B0000}"/>
    <cellStyle name="Output 2 9 5 6 7" xfId="13402" xr:uid="{00000000-0005-0000-0000-0000E47B0000}"/>
    <cellStyle name="Output 2 9 5 7" xfId="3722" xr:uid="{00000000-0005-0000-0000-0000E57B0000}"/>
    <cellStyle name="Output 2 9 5 7 2" xfId="22694" xr:uid="{00000000-0005-0000-0000-0000E67B0000}"/>
    <cellStyle name="Output 2 9 5 7 3" xfId="33539" xr:uid="{00000000-0005-0000-0000-0000E77B0000}"/>
    <cellStyle name="Output 2 9 5 7 4" xfId="13883" xr:uid="{00000000-0005-0000-0000-0000E87B0000}"/>
    <cellStyle name="Output 2 9 5 8" xfId="6397" xr:uid="{00000000-0005-0000-0000-0000E97B0000}"/>
    <cellStyle name="Output 2 9 5 8 2" xfId="25369" xr:uid="{00000000-0005-0000-0000-0000EA7B0000}"/>
    <cellStyle name="Output 2 9 5 8 3" xfId="36214" xr:uid="{00000000-0005-0000-0000-0000EB7B0000}"/>
    <cellStyle name="Output 2 9 5 8 4" xfId="15799" xr:uid="{00000000-0005-0000-0000-0000EC7B0000}"/>
    <cellStyle name="Output 2 9 5 9" xfId="9056" xr:uid="{00000000-0005-0000-0000-0000ED7B0000}"/>
    <cellStyle name="Output 2 9 5 9 2" xfId="28028" xr:uid="{00000000-0005-0000-0000-0000EE7B0000}"/>
    <cellStyle name="Output 2 9 5 9 3" xfId="38873" xr:uid="{00000000-0005-0000-0000-0000EF7B0000}"/>
    <cellStyle name="Output 2 9 5 9 4" xfId="17703" xr:uid="{00000000-0005-0000-0000-0000F07B0000}"/>
    <cellStyle name="Output 2 9 6" xfId="1089" xr:uid="{00000000-0005-0000-0000-0000F17B0000}"/>
    <cellStyle name="Output 2 9 6 2" xfId="3942" xr:uid="{00000000-0005-0000-0000-0000F27B0000}"/>
    <cellStyle name="Output 2 9 6 2 2" xfId="22914" xr:uid="{00000000-0005-0000-0000-0000F37B0000}"/>
    <cellStyle name="Output 2 9 6 2 3" xfId="33759" xr:uid="{00000000-0005-0000-0000-0000F47B0000}"/>
    <cellStyle name="Output 2 9 6 2 4" xfId="14045" xr:uid="{00000000-0005-0000-0000-0000F57B0000}"/>
    <cellStyle name="Output 2 9 6 3" xfId="6616" xr:uid="{00000000-0005-0000-0000-0000F67B0000}"/>
    <cellStyle name="Output 2 9 6 3 2" xfId="25588" xr:uid="{00000000-0005-0000-0000-0000F77B0000}"/>
    <cellStyle name="Output 2 9 6 3 3" xfId="36433" xr:uid="{00000000-0005-0000-0000-0000F87B0000}"/>
    <cellStyle name="Output 2 9 6 3 4" xfId="15961" xr:uid="{00000000-0005-0000-0000-0000F97B0000}"/>
    <cellStyle name="Output 2 9 6 4" xfId="9275" xr:uid="{00000000-0005-0000-0000-0000FA7B0000}"/>
    <cellStyle name="Output 2 9 6 4 2" xfId="28247" xr:uid="{00000000-0005-0000-0000-0000FB7B0000}"/>
    <cellStyle name="Output 2 9 6 4 3" xfId="39092" xr:uid="{00000000-0005-0000-0000-0000FC7B0000}"/>
    <cellStyle name="Output 2 9 6 4 4" xfId="17865" xr:uid="{00000000-0005-0000-0000-0000FD7B0000}"/>
    <cellStyle name="Output 2 9 6 5" xfId="20071" xr:uid="{00000000-0005-0000-0000-0000FE7B0000}"/>
    <cellStyle name="Output 2 9 6 6" xfId="30916" xr:uid="{00000000-0005-0000-0000-0000FF7B0000}"/>
    <cellStyle name="Output 2 9 6 7" xfId="12011" xr:uid="{00000000-0005-0000-0000-0000007C0000}"/>
    <cellStyle name="Output 2 9 7" xfId="905" xr:uid="{00000000-0005-0000-0000-0000017C0000}"/>
    <cellStyle name="Output 2 9 7 2" xfId="3760" xr:uid="{00000000-0005-0000-0000-0000027C0000}"/>
    <cellStyle name="Output 2 9 7 2 2" xfId="22732" xr:uid="{00000000-0005-0000-0000-0000037C0000}"/>
    <cellStyle name="Output 2 9 7 2 3" xfId="33577" xr:uid="{00000000-0005-0000-0000-0000047C0000}"/>
    <cellStyle name="Output 2 9 7 2 4" xfId="13911" xr:uid="{00000000-0005-0000-0000-0000057C0000}"/>
    <cellStyle name="Output 2 9 7 3" xfId="6435" xr:uid="{00000000-0005-0000-0000-0000067C0000}"/>
    <cellStyle name="Output 2 9 7 3 2" xfId="25407" xr:uid="{00000000-0005-0000-0000-0000077C0000}"/>
    <cellStyle name="Output 2 9 7 3 3" xfId="36252" xr:uid="{00000000-0005-0000-0000-0000087C0000}"/>
    <cellStyle name="Output 2 9 7 3 4" xfId="15827" xr:uid="{00000000-0005-0000-0000-0000097C0000}"/>
    <cellStyle name="Output 2 9 7 4" xfId="9094" xr:uid="{00000000-0005-0000-0000-00000A7C0000}"/>
    <cellStyle name="Output 2 9 7 4 2" xfId="28066" xr:uid="{00000000-0005-0000-0000-00000B7C0000}"/>
    <cellStyle name="Output 2 9 7 4 3" xfId="38911" xr:uid="{00000000-0005-0000-0000-00000C7C0000}"/>
    <cellStyle name="Output 2 9 7 4 4" xfId="17731" xr:uid="{00000000-0005-0000-0000-00000D7C0000}"/>
    <cellStyle name="Output 2 9 7 5" xfId="19890" xr:uid="{00000000-0005-0000-0000-00000E7C0000}"/>
    <cellStyle name="Output 2 9 7 6" xfId="30735" xr:uid="{00000000-0005-0000-0000-00000F7C0000}"/>
    <cellStyle name="Output 2 9 7 7" xfId="11877" xr:uid="{00000000-0005-0000-0000-0000107C0000}"/>
    <cellStyle name="Output 2 9 8" xfId="1896" xr:uid="{00000000-0005-0000-0000-0000117C0000}"/>
    <cellStyle name="Output 2 9 8 2" xfId="4749" xr:uid="{00000000-0005-0000-0000-0000127C0000}"/>
    <cellStyle name="Output 2 9 8 2 2" xfId="23721" xr:uid="{00000000-0005-0000-0000-0000137C0000}"/>
    <cellStyle name="Output 2 9 8 2 3" xfId="34566" xr:uid="{00000000-0005-0000-0000-0000147C0000}"/>
    <cellStyle name="Output 2 9 8 2 4" xfId="14625" xr:uid="{00000000-0005-0000-0000-0000157C0000}"/>
    <cellStyle name="Output 2 9 8 3" xfId="7421" xr:uid="{00000000-0005-0000-0000-0000167C0000}"/>
    <cellStyle name="Output 2 9 8 3 2" xfId="26393" xr:uid="{00000000-0005-0000-0000-0000177C0000}"/>
    <cellStyle name="Output 2 9 8 3 3" xfId="37238" xr:uid="{00000000-0005-0000-0000-0000187C0000}"/>
    <cellStyle name="Output 2 9 8 3 4" xfId="16539" xr:uid="{00000000-0005-0000-0000-0000197C0000}"/>
    <cellStyle name="Output 2 9 8 4" xfId="10080" xr:uid="{00000000-0005-0000-0000-00001A7C0000}"/>
    <cellStyle name="Output 2 9 8 4 2" xfId="29052" xr:uid="{00000000-0005-0000-0000-00001B7C0000}"/>
    <cellStyle name="Output 2 9 8 4 3" xfId="39897" xr:uid="{00000000-0005-0000-0000-00001C7C0000}"/>
    <cellStyle name="Output 2 9 8 4 4" xfId="18443" xr:uid="{00000000-0005-0000-0000-00001D7C0000}"/>
    <cellStyle name="Output 2 9 8 5" xfId="20876" xr:uid="{00000000-0005-0000-0000-00001E7C0000}"/>
    <cellStyle name="Output 2 9 8 6" xfId="31721" xr:uid="{00000000-0005-0000-0000-00001F7C0000}"/>
    <cellStyle name="Output 2 9 8 7" xfId="12589" xr:uid="{00000000-0005-0000-0000-0000207C0000}"/>
    <cellStyle name="Output 2 9 9" xfId="1115" xr:uid="{00000000-0005-0000-0000-0000217C0000}"/>
    <cellStyle name="Output 2 9 9 2" xfId="3968" xr:uid="{00000000-0005-0000-0000-0000227C0000}"/>
    <cellStyle name="Output 2 9 9 2 2" xfId="22940" xr:uid="{00000000-0005-0000-0000-0000237C0000}"/>
    <cellStyle name="Output 2 9 9 2 3" xfId="33785" xr:uid="{00000000-0005-0000-0000-0000247C0000}"/>
    <cellStyle name="Output 2 9 9 2 4" xfId="14068" xr:uid="{00000000-0005-0000-0000-0000257C0000}"/>
    <cellStyle name="Output 2 9 9 3" xfId="6642" xr:uid="{00000000-0005-0000-0000-0000267C0000}"/>
    <cellStyle name="Output 2 9 9 3 2" xfId="25614" xr:uid="{00000000-0005-0000-0000-0000277C0000}"/>
    <cellStyle name="Output 2 9 9 3 3" xfId="36459" xr:uid="{00000000-0005-0000-0000-0000287C0000}"/>
    <cellStyle name="Output 2 9 9 3 4" xfId="15984" xr:uid="{00000000-0005-0000-0000-0000297C0000}"/>
    <cellStyle name="Output 2 9 9 4" xfId="9301" xr:uid="{00000000-0005-0000-0000-00002A7C0000}"/>
    <cellStyle name="Output 2 9 9 4 2" xfId="28273" xr:uid="{00000000-0005-0000-0000-00002B7C0000}"/>
    <cellStyle name="Output 2 9 9 4 3" xfId="39118" xr:uid="{00000000-0005-0000-0000-00002C7C0000}"/>
    <cellStyle name="Output 2 9 9 4 4" xfId="17888" xr:uid="{00000000-0005-0000-0000-00002D7C0000}"/>
    <cellStyle name="Output 2 9 9 5" xfId="20097" xr:uid="{00000000-0005-0000-0000-00002E7C0000}"/>
    <cellStyle name="Output 2 9 9 6" xfId="30942" xr:uid="{00000000-0005-0000-0000-00002F7C0000}"/>
    <cellStyle name="Output 2 9 9 7" xfId="12034" xr:uid="{00000000-0005-0000-0000-0000307C0000}"/>
    <cellStyle name="Output 2_2012 AR ELEC BCR Eval Eval - 012913" xfId="145" xr:uid="{00000000-0005-0000-0000-0000317C0000}"/>
    <cellStyle name="Output 3" xfId="146" xr:uid="{00000000-0005-0000-0000-0000327C0000}"/>
    <cellStyle name="Output 3 2" xfId="396" xr:uid="{00000000-0005-0000-0000-0000337C0000}"/>
    <cellStyle name="Output 3 2 10" xfId="2688" xr:uid="{00000000-0005-0000-0000-0000347C0000}"/>
    <cellStyle name="Output 3 2 10 2" xfId="5540" xr:uid="{00000000-0005-0000-0000-0000357C0000}"/>
    <cellStyle name="Output 3 2 10 2 2" xfId="24512" xr:uid="{00000000-0005-0000-0000-0000367C0000}"/>
    <cellStyle name="Output 3 2 10 2 3" xfId="35357" xr:uid="{00000000-0005-0000-0000-0000377C0000}"/>
    <cellStyle name="Output 3 2 10 2 4" xfId="15194" xr:uid="{00000000-0005-0000-0000-0000387C0000}"/>
    <cellStyle name="Output 3 2 10 3" xfId="8211" xr:uid="{00000000-0005-0000-0000-0000397C0000}"/>
    <cellStyle name="Output 3 2 10 3 2" xfId="27183" xr:uid="{00000000-0005-0000-0000-00003A7C0000}"/>
    <cellStyle name="Output 3 2 10 3 3" xfId="38028" xr:uid="{00000000-0005-0000-0000-00003B7C0000}"/>
    <cellStyle name="Output 3 2 10 3 4" xfId="17107" xr:uid="{00000000-0005-0000-0000-00003C7C0000}"/>
    <cellStyle name="Output 3 2 10 4" xfId="10870" xr:uid="{00000000-0005-0000-0000-00003D7C0000}"/>
    <cellStyle name="Output 3 2 10 4 2" xfId="29842" xr:uid="{00000000-0005-0000-0000-00003E7C0000}"/>
    <cellStyle name="Output 3 2 10 4 3" xfId="40687" xr:uid="{00000000-0005-0000-0000-00003F7C0000}"/>
    <cellStyle name="Output 3 2 10 4 4" xfId="19011" xr:uid="{00000000-0005-0000-0000-0000407C0000}"/>
    <cellStyle name="Output 3 2 10 5" xfId="21666" xr:uid="{00000000-0005-0000-0000-0000417C0000}"/>
    <cellStyle name="Output 3 2 10 6" xfId="32511" xr:uid="{00000000-0005-0000-0000-0000427C0000}"/>
    <cellStyle name="Output 3 2 10 7" xfId="13157" xr:uid="{00000000-0005-0000-0000-0000437C0000}"/>
    <cellStyle name="Output 3 2 11" xfId="3074" xr:uid="{00000000-0005-0000-0000-0000447C0000}"/>
    <cellStyle name="Output 3 2 11 2" xfId="5925" xr:uid="{00000000-0005-0000-0000-0000457C0000}"/>
    <cellStyle name="Output 3 2 11 2 2" xfId="24897" xr:uid="{00000000-0005-0000-0000-0000467C0000}"/>
    <cellStyle name="Output 3 2 11 2 3" xfId="35742" xr:uid="{00000000-0005-0000-0000-0000477C0000}"/>
    <cellStyle name="Output 3 2 11 2 4" xfId="15470" xr:uid="{00000000-0005-0000-0000-0000487C0000}"/>
    <cellStyle name="Output 3 2 11 3" xfId="8596" xr:uid="{00000000-0005-0000-0000-0000497C0000}"/>
    <cellStyle name="Output 3 2 11 3 2" xfId="27568" xr:uid="{00000000-0005-0000-0000-00004A7C0000}"/>
    <cellStyle name="Output 3 2 11 3 3" xfId="38413" xr:uid="{00000000-0005-0000-0000-00004B7C0000}"/>
    <cellStyle name="Output 3 2 11 3 4" xfId="17383" xr:uid="{00000000-0005-0000-0000-00004C7C0000}"/>
    <cellStyle name="Output 3 2 11 4" xfId="11255" xr:uid="{00000000-0005-0000-0000-00004D7C0000}"/>
    <cellStyle name="Output 3 2 11 4 2" xfId="30227" xr:uid="{00000000-0005-0000-0000-00004E7C0000}"/>
    <cellStyle name="Output 3 2 11 4 3" xfId="41072" xr:uid="{00000000-0005-0000-0000-00004F7C0000}"/>
    <cellStyle name="Output 3 2 11 4 4" xfId="19287" xr:uid="{00000000-0005-0000-0000-0000507C0000}"/>
    <cellStyle name="Output 3 2 11 5" xfId="22051" xr:uid="{00000000-0005-0000-0000-0000517C0000}"/>
    <cellStyle name="Output 3 2 11 6" xfId="32896" xr:uid="{00000000-0005-0000-0000-0000527C0000}"/>
    <cellStyle name="Output 3 2 11 7" xfId="13433" xr:uid="{00000000-0005-0000-0000-0000537C0000}"/>
    <cellStyle name="Output 3 2 12" xfId="3131" xr:uid="{00000000-0005-0000-0000-0000547C0000}"/>
    <cellStyle name="Output 3 2 12 2" xfId="5982" xr:uid="{00000000-0005-0000-0000-0000557C0000}"/>
    <cellStyle name="Output 3 2 12 2 2" xfId="24954" xr:uid="{00000000-0005-0000-0000-0000567C0000}"/>
    <cellStyle name="Output 3 2 12 2 3" xfId="35799" xr:uid="{00000000-0005-0000-0000-0000577C0000}"/>
    <cellStyle name="Output 3 2 12 2 4" xfId="15507" xr:uid="{00000000-0005-0000-0000-0000587C0000}"/>
    <cellStyle name="Output 3 2 12 3" xfId="8653" xr:uid="{00000000-0005-0000-0000-0000597C0000}"/>
    <cellStyle name="Output 3 2 12 3 2" xfId="27625" xr:uid="{00000000-0005-0000-0000-00005A7C0000}"/>
    <cellStyle name="Output 3 2 12 3 3" xfId="38470" xr:uid="{00000000-0005-0000-0000-00005B7C0000}"/>
    <cellStyle name="Output 3 2 12 3 4" xfId="17420" xr:uid="{00000000-0005-0000-0000-00005C7C0000}"/>
    <cellStyle name="Output 3 2 12 4" xfId="11312" xr:uid="{00000000-0005-0000-0000-00005D7C0000}"/>
    <cellStyle name="Output 3 2 12 4 2" xfId="30284" xr:uid="{00000000-0005-0000-0000-00005E7C0000}"/>
    <cellStyle name="Output 3 2 12 4 3" xfId="41129" xr:uid="{00000000-0005-0000-0000-00005F7C0000}"/>
    <cellStyle name="Output 3 2 12 4 4" xfId="19324" xr:uid="{00000000-0005-0000-0000-0000607C0000}"/>
    <cellStyle name="Output 3 2 12 5" xfId="22108" xr:uid="{00000000-0005-0000-0000-0000617C0000}"/>
    <cellStyle name="Output 3 2 12 6" xfId="32953" xr:uid="{00000000-0005-0000-0000-0000627C0000}"/>
    <cellStyle name="Output 3 2 12 7" xfId="13470" xr:uid="{00000000-0005-0000-0000-0000637C0000}"/>
    <cellStyle name="Output 3 2 13" xfId="3188" xr:uid="{00000000-0005-0000-0000-0000647C0000}"/>
    <cellStyle name="Output 3 2 13 2" xfId="6039" xr:uid="{00000000-0005-0000-0000-0000657C0000}"/>
    <cellStyle name="Output 3 2 13 2 2" xfId="25011" xr:uid="{00000000-0005-0000-0000-0000667C0000}"/>
    <cellStyle name="Output 3 2 13 2 3" xfId="35856" xr:uid="{00000000-0005-0000-0000-0000677C0000}"/>
    <cellStyle name="Output 3 2 13 2 4" xfId="15544" xr:uid="{00000000-0005-0000-0000-0000687C0000}"/>
    <cellStyle name="Output 3 2 13 3" xfId="8710" xr:uid="{00000000-0005-0000-0000-0000697C0000}"/>
    <cellStyle name="Output 3 2 13 3 2" xfId="27682" xr:uid="{00000000-0005-0000-0000-00006A7C0000}"/>
    <cellStyle name="Output 3 2 13 3 3" xfId="38527" xr:uid="{00000000-0005-0000-0000-00006B7C0000}"/>
    <cellStyle name="Output 3 2 13 3 4" xfId="17457" xr:uid="{00000000-0005-0000-0000-00006C7C0000}"/>
    <cellStyle name="Output 3 2 13 4" xfId="11369" xr:uid="{00000000-0005-0000-0000-00006D7C0000}"/>
    <cellStyle name="Output 3 2 13 4 2" xfId="30341" xr:uid="{00000000-0005-0000-0000-00006E7C0000}"/>
    <cellStyle name="Output 3 2 13 4 3" xfId="41186" xr:uid="{00000000-0005-0000-0000-00006F7C0000}"/>
    <cellStyle name="Output 3 2 13 4 4" xfId="19361" xr:uid="{00000000-0005-0000-0000-0000707C0000}"/>
    <cellStyle name="Output 3 2 13 5" xfId="22165" xr:uid="{00000000-0005-0000-0000-0000717C0000}"/>
    <cellStyle name="Output 3 2 13 6" xfId="33010" xr:uid="{00000000-0005-0000-0000-0000727C0000}"/>
    <cellStyle name="Output 3 2 13 7" xfId="13507" xr:uid="{00000000-0005-0000-0000-0000737C0000}"/>
    <cellStyle name="Output 3 2 14" xfId="3354" xr:uid="{00000000-0005-0000-0000-0000747C0000}"/>
    <cellStyle name="Output 3 2 14 2" xfId="22328" xr:uid="{00000000-0005-0000-0000-0000757C0000}"/>
    <cellStyle name="Output 3 2 14 3" xfId="33173" xr:uid="{00000000-0005-0000-0000-0000767C0000}"/>
    <cellStyle name="Output 3 2 14 4" xfId="13624" xr:uid="{00000000-0005-0000-0000-0000777C0000}"/>
    <cellStyle name="Output 3 2 15" xfId="516" xr:uid="{00000000-0005-0000-0000-0000787C0000}"/>
    <cellStyle name="Output 3 2 15 2" xfId="19537" xr:uid="{00000000-0005-0000-0000-0000797C0000}"/>
    <cellStyle name="Output 3 2 15 3" xfId="30382" xr:uid="{00000000-0005-0000-0000-00007A7C0000}"/>
    <cellStyle name="Output 3 2 15 4" xfId="11591" xr:uid="{00000000-0005-0000-0000-00007B7C0000}"/>
    <cellStyle name="Output 3 2 16" xfId="6073" xr:uid="{00000000-0005-0000-0000-00007C7C0000}"/>
    <cellStyle name="Output 3 2 16 2" xfId="25045" xr:uid="{00000000-0005-0000-0000-00007D7C0000}"/>
    <cellStyle name="Output 3 2 16 3" xfId="35890" xr:uid="{00000000-0005-0000-0000-00007E7C0000}"/>
    <cellStyle name="Output 3 2 16 4" xfId="15567" xr:uid="{00000000-0005-0000-0000-00007F7C0000}"/>
    <cellStyle name="Output 3 2 17" xfId="19485" xr:uid="{00000000-0005-0000-0000-0000807C0000}"/>
    <cellStyle name="Output 3 2 18" xfId="19518" xr:uid="{00000000-0005-0000-0000-0000817C0000}"/>
    <cellStyle name="Output 3 2 19" xfId="11534" xr:uid="{00000000-0005-0000-0000-0000827C0000}"/>
    <cellStyle name="Output 3 2 2" xfId="696" xr:uid="{00000000-0005-0000-0000-0000837C0000}"/>
    <cellStyle name="Output 3 2 2 10" xfId="19681" xr:uid="{00000000-0005-0000-0000-0000847C0000}"/>
    <cellStyle name="Output 3 2 2 11" xfId="30526" xr:uid="{00000000-0005-0000-0000-0000857C0000}"/>
    <cellStyle name="Output 3 2 2 12" xfId="11738" xr:uid="{00000000-0005-0000-0000-0000867C0000}"/>
    <cellStyle name="Output 3 2 2 2" xfId="1283" xr:uid="{00000000-0005-0000-0000-0000877C0000}"/>
    <cellStyle name="Output 3 2 2 2 2" xfId="4136" xr:uid="{00000000-0005-0000-0000-0000887C0000}"/>
    <cellStyle name="Output 3 2 2 2 2 2" xfId="23108" xr:uid="{00000000-0005-0000-0000-0000897C0000}"/>
    <cellStyle name="Output 3 2 2 2 2 3" xfId="33953" xr:uid="{00000000-0005-0000-0000-00008A7C0000}"/>
    <cellStyle name="Output 3 2 2 2 2 4" xfId="14199" xr:uid="{00000000-0005-0000-0000-00008B7C0000}"/>
    <cellStyle name="Output 3 2 2 2 3" xfId="6809" xr:uid="{00000000-0005-0000-0000-00008C7C0000}"/>
    <cellStyle name="Output 3 2 2 2 3 2" xfId="25781" xr:uid="{00000000-0005-0000-0000-00008D7C0000}"/>
    <cellStyle name="Output 3 2 2 2 3 3" xfId="36626" xr:uid="{00000000-0005-0000-0000-00008E7C0000}"/>
    <cellStyle name="Output 3 2 2 2 3 4" xfId="16114" xr:uid="{00000000-0005-0000-0000-00008F7C0000}"/>
    <cellStyle name="Output 3 2 2 2 4" xfId="9468" xr:uid="{00000000-0005-0000-0000-0000907C0000}"/>
    <cellStyle name="Output 3 2 2 2 4 2" xfId="28440" xr:uid="{00000000-0005-0000-0000-0000917C0000}"/>
    <cellStyle name="Output 3 2 2 2 4 3" xfId="39285" xr:uid="{00000000-0005-0000-0000-0000927C0000}"/>
    <cellStyle name="Output 3 2 2 2 4 4" xfId="18018" xr:uid="{00000000-0005-0000-0000-0000937C0000}"/>
    <cellStyle name="Output 3 2 2 2 5" xfId="20264" xr:uid="{00000000-0005-0000-0000-0000947C0000}"/>
    <cellStyle name="Output 3 2 2 2 6" xfId="31109" xr:uid="{00000000-0005-0000-0000-0000957C0000}"/>
    <cellStyle name="Output 3 2 2 2 7" xfId="12164" xr:uid="{00000000-0005-0000-0000-0000967C0000}"/>
    <cellStyle name="Output 3 2 2 3" xfId="1682" xr:uid="{00000000-0005-0000-0000-0000977C0000}"/>
    <cellStyle name="Output 3 2 2 3 2" xfId="4535" xr:uid="{00000000-0005-0000-0000-0000987C0000}"/>
    <cellStyle name="Output 3 2 2 3 2 2" xfId="23507" xr:uid="{00000000-0005-0000-0000-0000997C0000}"/>
    <cellStyle name="Output 3 2 2 3 2 3" xfId="34352" xr:uid="{00000000-0005-0000-0000-00009A7C0000}"/>
    <cellStyle name="Output 3 2 2 3 2 4" xfId="14486" xr:uid="{00000000-0005-0000-0000-00009B7C0000}"/>
    <cellStyle name="Output 3 2 2 3 3" xfId="7207" xr:uid="{00000000-0005-0000-0000-00009C7C0000}"/>
    <cellStyle name="Output 3 2 2 3 3 2" xfId="26179" xr:uid="{00000000-0005-0000-0000-00009D7C0000}"/>
    <cellStyle name="Output 3 2 2 3 3 3" xfId="37024" xr:uid="{00000000-0005-0000-0000-00009E7C0000}"/>
    <cellStyle name="Output 3 2 2 3 3 4" xfId="16400" xr:uid="{00000000-0005-0000-0000-00009F7C0000}"/>
    <cellStyle name="Output 3 2 2 3 4" xfId="9866" xr:uid="{00000000-0005-0000-0000-0000A07C0000}"/>
    <cellStyle name="Output 3 2 2 3 4 2" xfId="28838" xr:uid="{00000000-0005-0000-0000-0000A17C0000}"/>
    <cellStyle name="Output 3 2 2 3 4 3" xfId="39683" xr:uid="{00000000-0005-0000-0000-0000A27C0000}"/>
    <cellStyle name="Output 3 2 2 3 4 4" xfId="18304" xr:uid="{00000000-0005-0000-0000-0000A37C0000}"/>
    <cellStyle name="Output 3 2 2 3 5" xfId="20662" xr:uid="{00000000-0005-0000-0000-0000A47C0000}"/>
    <cellStyle name="Output 3 2 2 3 6" xfId="31507" xr:uid="{00000000-0005-0000-0000-0000A57C0000}"/>
    <cellStyle name="Output 3 2 2 3 7" xfId="12450" xr:uid="{00000000-0005-0000-0000-0000A67C0000}"/>
    <cellStyle name="Output 3 2 2 4" xfId="2086" xr:uid="{00000000-0005-0000-0000-0000A77C0000}"/>
    <cellStyle name="Output 3 2 2 4 2" xfId="4939" xr:uid="{00000000-0005-0000-0000-0000A87C0000}"/>
    <cellStyle name="Output 3 2 2 4 2 2" xfId="23911" xr:uid="{00000000-0005-0000-0000-0000A97C0000}"/>
    <cellStyle name="Output 3 2 2 4 2 3" xfId="34756" xr:uid="{00000000-0005-0000-0000-0000AA7C0000}"/>
    <cellStyle name="Output 3 2 2 4 2 4" xfId="14773" xr:uid="{00000000-0005-0000-0000-0000AB7C0000}"/>
    <cellStyle name="Output 3 2 2 4 3" xfId="7610" xr:uid="{00000000-0005-0000-0000-0000AC7C0000}"/>
    <cellStyle name="Output 3 2 2 4 3 2" xfId="26582" xr:uid="{00000000-0005-0000-0000-0000AD7C0000}"/>
    <cellStyle name="Output 3 2 2 4 3 3" xfId="37427" xr:uid="{00000000-0005-0000-0000-0000AE7C0000}"/>
    <cellStyle name="Output 3 2 2 4 3 4" xfId="16686" xr:uid="{00000000-0005-0000-0000-0000AF7C0000}"/>
    <cellStyle name="Output 3 2 2 4 4" xfId="10269" xr:uid="{00000000-0005-0000-0000-0000B07C0000}"/>
    <cellStyle name="Output 3 2 2 4 4 2" xfId="29241" xr:uid="{00000000-0005-0000-0000-0000B17C0000}"/>
    <cellStyle name="Output 3 2 2 4 4 3" xfId="40086" xr:uid="{00000000-0005-0000-0000-0000B27C0000}"/>
    <cellStyle name="Output 3 2 2 4 4 4" xfId="18590" xr:uid="{00000000-0005-0000-0000-0000B37C0000}"/>
    <cellStyle name="Output 3 2 2 4 5" xfId="21065" xr:uid="{00000000-0005-0000-0000-0000B47C0000}"/>
    <cellStyle name="Output 3 2 2 4 6" xfId="31910" xr:uid="{00000000-0005-0000-0000-0000B57C0000}"/>
    <cellStyle name="Output 3 2 2 4 7" xfId="12736" xr:uid="{00000000-0005-0000-0000-0000B67C0000}"/>
    <cellStyle name="Output 3 2 2 5" xfId="2476" xr:uid="{00000000-0005-0000-0000-0000B77C0000}"/>
    <cellStyle name="Output 3 2 2 5 2" xfId="5328" xr:uid="{00000000-0005-0000-0000-0000B87C0000}"/>
    <cellStyle name="Output 3 2 2 5 2 2" xfId="24300" xr:uid="{00000000-0005-0000-0000-0000B97C0000}"/>
    <cellStyle name="Output 3 2 2 5 2 3" xfId="35145" xr:uid="{00000000-0005-0000-0000-0000BA7C0000}"/>
    <cellStyle name="Output 3 2 2 5 2 4" xfId="15052" xr:uid="{00000000-0005-0000-0000-0000BB7C0000}"/>
    <cellStyle name="Output 3 2 2 5 3" xfId="7999" xr:uid="{00000000-0005-0000-0000-0000BC7C0000}"/>
    <cellStyle name="Output 3 2 2 5 3 2" xfId="26971" xr:uid="{00000000-0005-0000-0000-0000BD7C0000}"/>
    <cellStyle name="Output 3 2 2 5 3 3" xfId="37816" xr:uid="{00000000-0005-0000-0000-0000BE7C0000}"/>
    <cellStyle name="Output 3 2 2 5 3 4" xfId="16965" xr:uid="{00000000-0005-0000-0000-0000BF7C0000}"/>
    <cellStyle name="Output 3 2 2 5 4" xfId="10658" xr:uid="{00000000-0005-0000-0000-0000C07C0000}"/>
    <cellStyle name="Output 3 2 2 5 4 2" xfId="29630" xr:uid="{00000000-0005-0000-0000-0000C17C0000}"/>
    <cellStyle name="Output 3 2 2 5 4 3" xfId="40475" xr:uid="{00000000-0005-0000-0000-0000C27C0000}"/>
    <cellStyle name="Output 3 2 2 5 4 4" xfId="18869" xr:uid="{00000000-0005-0000-0000-0000C37C0000}"/>
    <cellStyle name="Output 3 2 2 5 5" xfId="21454" xr:uid="{00000000-0005-0000-0000-0000C47C0000}"/>
    <cellStyle name="Output 3 2 2 5 6" xfId="32299" xr:uid="{00000000-0005-0000-0000-0000C57C0000}"/>
    <cellStyle name="Output 3 2 2 5 7" xfId="13015" xr:uid="{00000000-0005-0000-0000-0000C67C0000}"/>
    <cellStyle name="Output 3 2 2 6" xfId="2862" xr:uid="{00000000-0005-0000-0000-0000C77C0000}"/>
    <cellStyle name="Output 3 2 2 6 2" xfId="5713" xr:uid="{00000000-0005-0000-0000-0000C87C0000}"/>
    <cellStyle name="Output 3 2 2 6 2 2" xfId="24685" xr:uid="{00000000-0005-0000-0000-0000C97C0000}"/>
    <cellStyle name="Output 3 2 2 6 2 3" xfId="35530" xr:uid="{00000000-0005-0000-0000-0000CA7C0000}"/>
    <cellStyle name="Output 3 2 2 6 2 4" xfId="15328" xr:uid="{00000000-0005-0000-0000-0000CB7C0000}"/>
    <cellStyle name="Output 3 2 2 6 3" xfId="8384" xr:uid="{00000000-0005-0000-0000-0000CC7C0000}"/>
    <cellStyle name="Output 3 2 2 6 3 2" xfId="27356" xr:uid="{00000000-0005-0000-0000-0000CD7C0000}"/>
    <cellStyle name="Output 3 2 2 6 3 3" xfId="38201" xr:uid="{00000000-0005-0000-0000-0000CE7C0000}"/>
    <cellStyle name="Output 3 2 2 6 3 4" xfId="17241" xr:uid="{00000000-0005-0000-0000-0000CF7C0000}"/>
    <cellStyle name="Output 3 2 2 6 4" xfId="11043" xr:uid="{00000000-0005-0000-0000-0000D07C0000}"/>
    <cellStyle name="Output 3 2 2 6 4 2" xfId="30015" xr:uid="{00000000-0005-0000-0000-0000D17C0000}"/>
    <cellStyle name="Output 3 2 2 6 4 3" xfId="40860" xr:uid="{00000000-0005-0000-0000-0000D27C0000}"/>
    <cellStyle name="Output 3 2 2 6 4 4" xfId="19145" xr:uid="{00000000-0005-0000-0000-0000D37C0000}"/>
    <cellStyle name="Output 3 2 2 6 5" xfId="21839" xr:uid="{00000000-0005-0000-0000-0000D47C0000}"/>
    <cellStyle name="Output 3 2 2 6 6" xfId="32684" xr:uid="{00000000-0005-0000-0000-0000D57C0000}"/>
    <cellStyle name="Output 3 2 2 6 7" xfId="13291" xr:uid="{00000000-0005-0000-0000-0000D67C0000}"/>
    <cellStyle name="Output 3 2 2 7" xfId="3551" xr:uid="{00000000-0005-0000-0000-0000D77C0000}"/>
    <cellStyle name="Output 3 2 2 7 2" xfId="22523" xr:uid="{00000000-0005-0000-0000-0000D87C0000}"/>
    <cellStyle name="Output 3 2 2 7 3" xfId="33368" xr:uid="{00000000-0005-0000-0000-0000D97C0000}"/>
    <cellStyle name="Output 3 2 2 7 4" xfId="13772" xr:uid="{00000000-0005-0000-0000-0000DA7C0000}"/>
    <cellStyle name="Output 3 2 2 8" xfId="6226" xr:uid="{00000000-0005-0000-0000-0000DB7C0000}"/>
    <cellStyle name="Output 3 2 2 8 2" xfId="25198" xr:uid="{00000000-0005-0000-0000-0000DC7C0000}"/>
    <cellStyle name="Output 3 2 2 8 3" xfId="36043" xr:uid="{00000000-0005-0000-0000-0000DD7C0000}"/>
    <cellStyle name="Output 3 2 2 8 4" xfId="15688" xr:uid="{00000000-0005-0000-0000-0000DE7C0000}"/>
    <cellStyle name="Output 3 2 2 9" xfId="8885" xr:uid="{00000000-0005-0000-0000-0000DF7C0000}"/>
    <cellStyle name="Output 3 2 2 9 2" xfId="27857" xr:uid="{00000000-0005-0000-0000-0000E07C0000}"/>
    <cellStyle name="Output 3 2 2 9 3" xfId="38702" xr:uid="{00000000-0005-0000-0000-0000E17C0000}"/>
    <cellStyle name="Output 3 2 2 9 4" xfId="17592" xr:uid="{00000000-0005-0000-0000-0000E27C0000}"/>
    <cellStyle name="Output 3 2 3" xfId="756" xr:uid="{00000000-0005-0000-0000-0000E37C0000}"/>
    <cellStyle name="Output 3 2 3 10" xfId="19741" xr:uid="{00000000-0005-0000-0000-0000E47C0000}"/>
    <cellStyle name="Output 3 2 3 11" xfId="30586" xr:uid="{00000000-0005-0000-0000-0000E57C0000}"/>
    <cellStyle name="Output 3 2 3 12" xfId="11778" xr:uid="{00000000-0005-0000-0000-0000E67C0000}"/>
    <cellStyle name="Output 3 2 3 2" xfId="1343" xr:uid="{00000000-0005-0000-0000-0000E77C0000}"/>
    <cellStyle name="Output 3 2 3 2 2" xfId="4196" xr:uid="{00000000-0005-0000-0000-0000E87C0000}"/>
    <cellStyle name="Output 3 2 3 2 2 2" xfId="23168" xr:uid="{00000000-0005-0000-0000-0000E97C0000}"/>
    <cellStyle name="Output 3 2 3 2 2 3" xfId="34013" xr:uid="{00000000-0005-0000-0000-0000EA7C0000}"/>
    <cellStyle name="Output 3 2 3 2 2 4" xfId="14239" xr:uid="{00000000-0005-0000-0000-0000EB7C0000}"/>
    <cellStyle name="Output 3 2 3 2 3" xfId="6869" xr:uid="{00000000-0005-0000-0000-0000EC7C0000}"/>
    <cellStyle name="Output 3 2 3 2 3 2" xfId="25841" xr:uid="{00000000-0005-0000-0000-0000ED7C0000}"/>
    <cellStyle name="Output 3 2 3 2 3 3" xfId="36686" xr:uid="{00000000-0005-0000-0000-0000EE7C0000}"/>
    <cellStyle name="Output 3 2 3 2 3 4" xfId="16154" xr:uid="{00000000-0005-0000-0000-0000EF7C0000}"/>
    <cellStyle name="Output 3 2 3 2 4" xfId="9528" xr:uid="{00000000-0005-0000-0000-0000F07C0000}"/>
    <cellStyle name="Output 3 2 3 2 4 2" xfId="28500" xr:uid="{00000000-0005-0000-0000-0000F17C0000}"/>
    <cellStyle name="Output 3 2 3 2 4 3" xfId="39345" xr:uid="{00000000-0005-0000-0000-0000F27C0000}"/>
    <cellStyle name="Output 3 2 3 2 4 4" xfId="18058" xr:uid="{00000000-0005-0000-0000-0000F37C0000}"/>
    <cellStyle name="Output 3 2 3 2 5" xfId="20324" xr:uid="{00000000-0005-0000-0000-0000F47C0000}"/>
    <cellStyle name="Output 3 2 3 2 6" xfId="31169" xr:uid="{00000000-0005-0000-0000-0000F57C0000}"/>
    <cellStyle name="Output 3 2 3 2 7" xfId="12204" xr:uid="{00000000-0005-0000-0000-0000F67C0000}"/>
    <cellStyle name="Output 3 2 3 3" xfId="1742" xr:uid="{00000000-0005-0000-0000-0000F77C0000}"/>
    <cellStyle name="Output 3 2 3 3 2" xfId="4595" xr:uid="{00000000-0005-0000-0000-0000F87C0000}"/>
    <cellStyle name="Output 3 2 3 3 2 2" xfId="23567" xr:uid="{00000000-0005-0000-0000-0000F97C0000}"/>
    <cellStyle name="Output 3 2 3 3 2 3" xfId="34412" xr:uid="{00000000-0005-0000-0000-0000FA7C0000}"/>
    <cellStyle name="Output 3 2 3 3 2 4" xfId="14526" xr:uid="{00000000-0005-0000-0000-0000FB7C0000}"/>
    <cellStyle name="Output 3 2 3 3 3" xfId="7267" xr:uid="{00000000-0005-0000-0000-0000FC7C0000}"/>
    <cellStyle name="Output 3 2 3 3 3 2" xfId="26239" xr:uid="{00000000-0005-0000-0000-0000FD7C0000}"/>
    <cellStyle name="Output 3 2 3 3 3 3" xfId="37084" xr:uid="{00000000-0005-0000-0000-0000FE7C0000}"/>
    <cellStyle name="Output 3 2 3 3 3 4" xfId="16440" xr:uid="{00000000-0005-0000-0000-0000FF7C0000}"/>
    <cellStyle name="Output 3 2 3 3 4" xfId="9926" xr:uid="{00000000-0005-0000-0000-0000007D0000}"/>
    <cellStyle name="Output 3 2 3 3 4 2" xfId="28898" xr:uid="{00000000-0005-0000-0000-0000017D0000}"/>
    <cellStyle name="Output 3 2 3 3 4 3" xfId="39743" xr:uid="{00000000-0005-0000-0000-0000027D0000}"/>
    <cellStyle name="Output 3 2 3 3 4 4" xfId="18344" xr:uid="{00000000-0005-0000-0000-0000037D0000}"/>
    <cellStyle name="Output 3 2 3 3 5" xfId="20722" xr:uid="{00000000-0005-0000-0000-0000047D0000}"/>
    <cellStyle name="Output 3 2 3 3 6" xfId="31567" xr:uid="{00000000-0005-0000-0000-0000057D0000}"/>
    <cellStyle name="Output 3 2 3 3 7" xfId="12490" xr:uid="{00000000-0005-0000-0000-0000067D0000}"/>
    <cellStyle name="Output 3 2 3 4" xfId="2146" xr:uid="{00000000-0005-0000-0000-0000077D0000}"/>
    <cellStyle name="Output 3 2 3 4 2" xfId="4999" xr:uid="{00000000-0005-0000-0000-0000087D0000}"/>
    <cellStyle name="Output 3 2 3 4 2 2" xfId="23971" xr:uid="{00000000-0005-0000-0000-0000097D0000}"/>
    <cellStyle name="Output 3 2 3 4 2 3" xfId="34816" xr:uid="{00000000-0005-0000-0000-00000A7D0000}"/>
    <cellStyle name="Output 3 2 3 4 2 4" xfId="14813" xr:uid="{00000000-0005-0000-0000-00000B7D0000}"/>
    <cellStyle name="Output 3 2 3 4 3" xfId="7670" xr:uid="{00000000-0005-0000-0000-00000C7D0000}"/>
    <cellStyle name="Output 3 2 3 4 3 2" xfId="26642" xr:uid="{00000000-0005-0000-0000-00000D7D0000}"/>
    <cellStyle name="Output 3 2 3 4 3 3" xfId="37487" xr:uid="{00000000-0005-0000-0000-00000E7D0000}"/>
    <cellStyle name="Output 3 2 3 4 3 4" xfId="16726" xr:uid="{00000000-0005-0000-0000-00000F7D0000}"/>
    <cellStyle name="Output 3 2 3 4 4" xfId="10329" xr:uid="{00000000-0005-0000-0000-0000107D0000}"/>
    <cellStyle name="Output 3 2 3 4 4 2" xfId="29301" xr:uid="{00000000-0005-0000-0000-0000117D0000}"/>
    <cellStyle name="Output 3 2 3 4 4 3" xfId="40146" xr:uid="{00000000-0005-0000-0000-0000127D0000}"/>
    <cellStyle name="Output 3 2 3 4 4 4" xfId="18630" xr:uid="{00000000-0005-0000-0000-0000137D0000}"/>
    <cellStyle name="Output 3 2 3 4 5" xfId="21125" xr:uid="{00000000-0005-0000-0000-0000147D0000}"/>
    <cellStyle name="Output 3 2 3 4 6" xfId="31970" xr:uid="{00000000-0005-0000-0000-0000157D0000}"/>
    <cellStyle name="Output 3 2 3 4 7" xfId="12776" xr:uid="{00000000-0005-0000-0000-0000167D0000}"/>
    <cellStyle name="Output 3 2 3 5" xfId="2536" xr:uid="{00000000-0005-0000-0000-0000177D0000}"/>
    <cellStyle name="Output 3 2 3 5 2" xfId="5388" xr:uid="{00000000-0005-0000-0000-0000187D0000}"/>
    <cellStyle name="Output 3 2 3 5 2 2" xfId="24360" xr:uid="{00000000-0005-0000-0000-0000197D0000}"/>
    <cellStyle name="Output 3 2 3 5 2 3" xfId="35205" xr:uid="{00000000-0005-0000-0000-00001A7D0000}"/>
    <cellStyle name="Output 3 2 3 5 2 4" xfId="15092" xr:uid="{00000000-0005-0000-0000-00001B7D0000}"/>
    <cellStyle name="Output 3 2 3 5 3" xfId="8059" xr:uid="{00000000-0005-0000-0000-00001C7D0000}"/>
    <cellStyle name="Output 3 2 3 5 3 2" xfId="27031" xr:uid="{00000000-0005-0000-0000-00001D7D0000}"/>
    <cellStyle name="Output 3 2 3 5 3 3" xfId="37876" xr:uid="{00000000-0005-0000-0000-00001E7D0000}"/>
    <cellStyle name="Output 3 2 3 5 3 4" xfId="17005" xr:uid="{00000000-0005-0000-0000-00001F7D0000}"/>
    <cellStyle name="Output 3 2 3 5 4" xfId="10718" xr:uid="{00000000-0005-0000-0000-0000207D0000}"/>
    <cellStyle name="Output 3 2 3 5 4 2" xfId="29690" xr:uid="{00000000-0005-0000-0000-0000217D0000}"/>
    <cellStyle name="Output 3 2 3 5 4 3" xfId="40535" xr:uid="{00000000-0005-0000-0000-0000227D0000}"/>
    <cellStyle name="Output 3 2 3 5 4 4" xfId="18909" xr:uid="{00000000-0005-0000-0000-0000237D0000}"/>
    <cellStyle name="Output 3 2 3 5 5" xfId="21514" xr:uid="{00000000-0005-0000-0000-0000247D0000}"/>
    <cellStyle name="Output 3 2 3 5 6" xfId="32359" xr:uid="{00000000-0005-0000-0000-0000257D0000}"/>
    <cellStyle name="Output 3 2 3 5 7" xfId="13055" xr:uid="{00000000-0005-0000-0000-0000267D0000}"/>
    <cellStyle name="Output 3 2 3 6" xfId="2922" xr:uid="{00000000-0005-0000-0000-0000277D0000}"/>
    <cellStyle name="Output 3 2 3 6 2" xfId="5773" xr:uid="{00000000-0005-0000-0000-0000287D0000}"/>
    <cellStyle name="Output 3 2 3 6 2 2" xfId="24745" xr:uid="{00000000-0005-0000-0000-0000297D0000}"/>
    <cellStyle name="Output 3 2 3 6 2 3" xfId="35590" xr:uid="{00000000-0005-0000-0000-00002A7D0000}"/>
    <cellStyle name="Output 3 2 3 6 2 4" xfId="15368" xr:uid="{00000000-0005-0000-0000-00002B7D0000}"/>
    <cellStyle name="Output 3 2 3 6 3" xfId="8444" xr:uid="{00000000-0005-0000-0000-00002C7D0000}"/>
    <cellStyle name="Output 3 2 3 6 3 2" xfId="27416" xr:uid="{00000000-0005-0000-0000-00002D7D0000}"/>
    <cellStyle name="Output 3 2 3 6 3 3" xfId="38261" xr:uid="{00000000-0005-0000-0000-00002E7D0000}"/>
    <cellStyle name="Output 3 2 3 6 3 4" xfId="17281" xr:uid="{00000000-0005-0000-0000-00002F7D0000}"/>
    <cellStyle name="Output 3 2 3 6 4" xfId="11103" xr:uid="{00000000-0005-0000-0000-0000307D0000}"/>
    <cellStyle name="Output 3 2 3 6 4 2" xfId="30075" xr:uid="{00000000-0005-0000-0000-0000317D0000}"/>
    <cellStyle name="Output 3 2 3 6 4 3" xfId="40920" xr:uid="{00000000-0005-0000-0000-0000327D0000}"/>
    <cellStyle name="Output 3 2 3 6 4 4" xfId="19185" xr:uid="{00000000-0005-0000-0000-0000337D0000}"/>
    <cellStyle name="Output 3 2 3 6 5" xfId="21899" xr:uid="{00000000-0005-0000-0000-0000347D0000}"/>
    <cellStyle name="Output 3 2 3 6 6" xfId="32744" xr:uid="{00000000-0005-0000-0000-0000357D0000}"/>
    <cellStyle name="Output 3 2 3 6 7" xfId="13331" xr:uid="{00000000-0005-0000-0000-0000367D0000}"/>
    <cellStyle name="Output 3 2 3 7" xfId="3611" xr:uid="{00000000-0005-0000-0000-0000377D0000}"/>
    <cellStyle name="Output 3 2 3 7 2" xfId="22583" xr:uid="{00000000-0005-0000-0000-0000387D0000}"/>
    <cellStyle name="Output 3 2 3 7 3" xfId="33428" xr:uid="{00000000-0005-0000-0000-0000397D0000}"/>
    <cellStyle name="Output 3 2 3 7 4" xfId="13812" xr:uid="{00000000-0005-0000-0000-00003A7D0000}"/>
    <cellStyle name="Output 3 2 3 8" xfId="6286" xr:uid="{00000000-0005-0000-0000-00003B7D0000}"/>
    <cellStyle name="Output 3 2 3 8 2" xfId="25258" xr:uid="{00000000-0005-0000-0000-00003C7D0000}"/>
    <cellStyle name="Output 3 2 3 8 3" xfId="36103" xr:uid="{00000000-0005-0000-0000-00003D7D0000}"/>
    <cellStyle name="Output 3 2 3 8 4" xfId="15728" xr:uid="{00000000-0005-0000-0000-00003E7D0000}"/>
    <cellStyle name="Output 3 2 3 9" xfId="8945" xr:uid="{00000000-0005-0000-0000-00003F7D0000}"/>
    <cellStyle name="Output 3 2 3 9 2" xfId="27917" xr:uid="{00000000-0005-0000-0000-0000407D0000}"/>
    <cellStyle name="Output 3 2 3 9 3" xfId="38762" xr:uid="{00000000-0005-0000-0000-0000417D0000}"/>
    <cellStyle name="Output 3 2 3 9 4" xfId="17632" xr:uid="{00000000-0005-0000-0000-0000427D0000}"/>
    <cellStyle name="Output 3 2 4" xfId="816" xr:uid="{00000000-0005-0000-0000-0000437D0000}"/>
    <cellStyle name="Output 3 2 4 10" xfId="19801" xr:uid="{00000000-0005-0000-0000-0000447D0000}"/>
    <cellStyle name="Output 3 2 4 11" xfId="30646" xr:uid="{00000000-0005-0000-0000-0000457D0000}"/>
    <cellStyle name="Output 3 2 4 12" xfId="11818" xr:uid="{00000000-0005-0000-0000-0000467D0000}"/>
    <cellStyle name="Output 3 2 4 2" xfId="1403" xr:uid="{00000000-0005-0000-0000-0000477D0000}"/>
    <cellStyle name="Output 3 2 4 2 2" xfId="4256" xr:uid="{00000000-0005-0000-0000-0000487D0000}"/>
    <cellStyle name="Output 3 2 4 2 2 2" xfId="23228" xr:uid="{00000000-0005-0000-0000-0000497D0000}"/>
    <cellStyle name="Output 3 2 4 2 2 3" xfId="34073" xr:uid="{00000000-0005-0000-0000-00004A7D0000}"/>
    <cellStyle name="Output 3 2 4 2 2 4" xfId="14279" xr:uid="{00000000-0005-0000-0000-00004B7D0000}"/>
    <cellStyle name="Output 3 2 4 2 3" xfId="6929" xr:uid="{00000000-0005-0000-0000-00004C7D0000}"/>
    <cellStyle name="Output 3 2 4 2 3 2" xfId="25901" xr:uid="{00000000-0005-0000-0000-00004D7D0000}"/>
    <cellStyle name="Output 3 2 4 2 3 3" xfId="36746" xr:uid="{00000000-0005-0000-0000-00004E7D0000}"/>
    <cellStyle name="Output 3 2 4 2 3 4" xfId="16194" xr:uid="{00000000-0005-0000-0000-00004F7D0000}"/>
    <cellStyle name="Output 3 2 4 2 4" xfId="9588" xr:uid="{00000000-0005-0000-0000-0000507D0000}"/>
    <cellStyle name="Output 3 2 4 2 4 2" xfId="28560" xr:uid="{00000000-0005-0000-0000-0000517D0000}"/>
    <cellStyle name="Output 3 2 4 2 4 3" xfId="39405" xr:uid="{00000000-0005-0000-0000-0000527D0000}"/>
    <cellStyle name="Output 3 2 4 2 4 4" xfId="18098" xr:uid="{00000000-0005-0000-0000-0000537D0000}"/>
    <cellStyle name="Output 3 2 4 2 5" xfId="20384" xr:uid="{00000000-0005-0000-0000-0000547D0000}"/>
    <cellStyle name="Output 3 2 4 2 6" xfId="31229" xr:uid="{00000000-0005-0000-0000-0000557D0000}"/>
    <cellStyle name="Output 3 2 4 2 7" xfId="12244" xr:uid="{00000000-0005-0000-0000-0000567D0000}"/>
    <cellStyle name="Output 3 2 4 3" xfId="1802" xr:uid="{00000000-0005-0000-0000-0000577D0000}"/>
    <cellStyle name="Output 3 2 4 3 2" xfId="4655" xr:uid="{00000000-0005-0000-0000-0000587D0000}"/>
    <cellStyle name="Output 3 2 4 3 2 2" xfId="23627" xr:uid="{00000000-0005-0000-0000-0000597D0000}"/>
    <cellStyle name="Output 3 2 4 3 2 3" xfId="34472" xr:uid="{00000000-0005-0000-0000-00005A7D0000}"/>
    <cellStyle name="Output 3 2 4 3 2 4" xfId="14566" xr:uid="{00000000-0005-0000-0000-00005B7D0000}"/>
    <cellStyle name="Output 3 2 4 3 3" xfId="7327" xr:uid="{00000000-0005-0000-0000-00005C7D0000}"/>
    <cellStyle name="Output 3 2 4 3 3 2" xfId="26299" xr:uid="{00000000-0005-0000-0000-00005D7D0000}"/>
    <cellStyle name="Output 3 2 4 3 3 3" xfId="37144" xr:uid="{00000000-0005-0000-0000-00005E7D0000}"/>
    <cellStyle name="Output 3 2 4 3 3 4" xfId="16480" xr:uid="{00000000-0005-0000-0000-00005F7D0000}"/>
    <cellStyle name="Output 3 2 4 3 4" xfId="9986" xr:uid="{00000000-0005-0000-0000-0000607D0000}"/>
    <cellStyle name="Output 3 2 4 3 4 2" xfId="28958" xr:uid="{00000000-0005-0000-0000-0000617D0000}"/>
    <cellStyle name="Output 3 2 4 3 4 3" xfId="39803" xr:uid="{00000000-0005-0000-0000-0000627D0000}"/>
    <cellStyle name="Output 3 2 4 3 4 4" xfId="18384" xr:uid="{00000000-0005-0000-0000-0000637D0000}"/>
    <cellStyle name="Output 3 2 4 3 5" xfId="20782" xr:uid="{00000000-0005-0000-0000-0000647D0000}"/>
    <cellStyle name="Output 3 2 4 3 6" xfId="31627" xr:uid="{00000000-0005-0000-0000-0000657D0000}"/>
    <cellStyle name="Output 3 2 4 3 7" xfId="12530" xr:uid="{00000000-0005-0000-0000-0000667D0000}"/>
    <cellStyle name="Output 3 2 4 4" xfId="2206" xr:uid="{00000000-0005-0000-0000-0000677D0000}"/>
    <cellStyle name="Output 3 2 4 4 2" xfId="5059" xr:uid="{00000000-0005-0000-0000-0000687D0000}"/>
    <cellStyle name="Output 3 2 4 4 2 2" xfId="24031" xr:uid="{00000000-0005-0000-0000-0000697D0000}"/>
    <cellStyle name="Output 3 2 4 4 2 3" xfId="34876" xr:uid="{00000000-0005-0000-0000-00006A7D0000}"/>
    <cellStyle name="Output 3 2 4 4 2 4" xfId="14853" xr:uid="{00000000-0005-0000-0000-00006B7D0000}"/>
    <cellStyle name="Output 3 2 4 4 3" xfId="7730" xr:uid="{00000000-0005-0000-0000-00006C7D0000}"/>
    <cellStyle name="Output 3 2 4 4 3 2" xfId="26702" xr:uid="{00000000-0005-0000-0000-00006D7D0000}"/>
    <cellStyle name="Output 3 2 4 4 3 3" xfId="37547" xr:uid="{00000000-0005-0000-0000-00006E7D0000}"/>
    <cellStyle name="Output 3 2 4 4 3 4" xfId="16766" xr:uid="{00000000-0005-0000-0000-00006F7D0000}"/>
    <cellStyle name="Output 3 2 4 4 4" xfId="10389" xr:uid="{00000000-0005-0000-0000-0000707D0000}"/>
    <cellStyle name="Output 3 2 4 4 4 2" xfId="29361" xr:uid="{00000000-0005-0000-0000-0000717D0000}"/>
    <cellStyle name="Output 3 2 4 4 4 3" xfId="40206" xr:uid="{00000000-0005-0000-0000-0000727D0000}"/>
    <cellStyle name="Output 3 2 4 4 4 4" xfId="18670" xr:uid="{00000000-0005-0000-0000-0000737D0000}"/>
    <cellStyle name="Output 3 2 4 4 5" xfId="21185" xr:uid="{00000000-0005-0000-0000-0000747D0000}"/>
    <cellStyle name="Output 3 2 4 4 6" xfId="32030" xr:uid="{00000000-0005-0000-0000-0000757D0000}"/>
    <cellStyle name="Output 3 2 4 4 7" xfId="12816" xr:uid="{00000000-0005-0000-0000-0000767D0000}"/>
    <cellStyle name="Output 3 2 4 5" xfId="2596" xr:uid="{00000000-0005-0000-0000-0000777D0000}"/>
    <cellStyle name="Output 3 2 4 5 2" xfId="5448" xr:uid="{00000000-0005-0000-0000-0000787D0000}"/>
    <cellStyle name="Output 3 2 4 5 2 2" xfId="24420" xr:uid="{00000000-0005-0000-0000-0000797D0000}"/>
    <cellStyle name="Output 3 2 4 5 2 3" xfId="35265" xr:uid="{00000000-0005-0000-0000-00007A7D0000}"/>
    <cellStyle name="Output 3 2 4 5 2 4" xfId="15132" xr:uid="{00000000-0005-0000-0000-00007B7D0000}"/>
    <cellStyle name="Output 3 2 4 5 3" xfId="8119" xr:uid="{00000000-0005-0000-0000-00007C7D0000}"/>
    <cellStyle name="Output 3 2 4 5 3 2" xfId="27091" xr:uid="{00000000-0005-0000-0000-00007D7D0000}"/>
    <cellStyle name="Output 3 2 4 5 3 3" xfId="37936" xr:uid="{00000000-0005-0000-0000-00007E7D0000}"/>
    <cellStyle name="Output 3 2 4 5 3 4" xfId="17045" xr:uid="{00000000-0005-0000-0000-00007F7D0000}"/>
    <cellStyle name="Output 3 2 4 5 4" xfId="10778" xr:uid="{00000000-0005-0000-0000-0000807D0000}"/>
    <cellStyle name="Output 3 2 4 5 4 2" xfId="29750" xr:uid="{00000000-0005-0000-0000-0000817D0000}"/>
    <cellStyle name="Output 3 2 4 5 4 3" xfId="40595" xr:uid="{00000000-0005-0000-0000-0000827D0000}"/>
    <cellStyle name="Output 3 2 4 5 4 4" xfId="18949" xr:uid="{00000000-0005-0000-0000-0000837D0000}"/>
    <cellStyle name="Output 3 2 4 5 5" xfId="21574" xr:uid="{00000000-0005-0000-0000-0000847D0000}"/>
    <cellStyle name="Output 3 2 4 5 6" xfId="32419" xr:uid="{00000000-0005-0000-0000-0000857D0000}"/>
    <cellStyle name="Output 3 2 4 5 7" xfId="13095" xr:uid="{00000000-0005-0000-0000-0000867D0000}"/>
    <cellStyle name="Output 3 2 4 6" xfId="2982" xr:uid="{00000000-0005-0000-0000-0000877D0000}"/>
    <cellStyle name="Output 3 2 4 6 2" xfId="5833" xr:uid="{00000000-0005-0000-0000-0000887D0000}"/>
    <cellStyle name="Output 3 2 4 6 2 2" xfId="24805" xr:uid="{00000000-0005-0000-0000-0000897D0000}"/>
    <cellStyle name="Output 3 2 4 6 2 3" xfId="35650" xr:uid="{00000000-0005-0000-0000-00008A7D0000}"/>
    <cellStyle name="Output 3 2 4 6 2 4" xfId="15408" xr:uid="{00000000-0005-0000-0000-00008B7D0000}"/>
    <cellStyle name="Output 3 2 4 6 3" xfId="8504" xr:uid="{00000000-0005-0000-0000-00008C7D0000}"/>
    <cellStyle name="Output 3 2 4 6 3 2" xfId="27476" xr:uid="{00000000-0005-0000-0000-00008D7D0000}"/>
    <cellStyle name="Output 3 2 4 6 3 3" xfId="38321" xr:uid="{00000000-0005-0000-0000-00008E7D0000}"/>
    <cellStyle name="Output 3 2 4 6 3 4" xfId="17321" xr:uid="{00000000-0005-0000-0000-00008F7D0000}"/>
    <cellStyle name="Output 3 2 4 6 4" xfId="11163" xr:uid="{00000000-0005-0000-0000-0000907D0000}"/>
    <cellStyle name="Output 3 2 4 6 4 2" xfId="30135" xr:uid="{00000000-0005-0000-0000-0000917D0000}"/>
    <cellStyle name="Output 3 2 4 6 4 3" xfId="40980" xr:uid="{00000000-0005-0000-0000-0000927D0000}"/>
    <cellStyle name="Output 3 2 4 6 4 4" xfId="19225" xr:uid="{00000000-0005-0000-0000-0000937D0000}"/>
    <cellStyle name="Output 3 2 4 6 5" xfId="21959" xr:uid="{00000000-0005-0000-0000-0000947D0000}"/>
    <cellStyle name="Output 3 2 4 6 6" xfId="32804" xr:uid="{00000000-0005-0000-0000-0000957D0000}"/>
    <cellStyle name="Output 3 2 4 6 7" xfId="13371" xr:uid="{00000000-0005-0000-0000-0000967D0000}"/>
    <cellStyle name="Output 3 2 4 7" xfId="3671" xr:uid="{00000000-0005-0000-0000-0000977D0000}"/>
    <cellStyle name="Output 3 2 4 7 2" xfId="22643" xr:uid="{00000000-0005-0000-0000-0000987D0000}"/>
    <cellStyle name="Output 3 2 4 7 3" xfId="33488" xr:uid="{00000000-0005-0000-0000-0000997D0000}"/>
    <cellStyle name="Output 3 2 4 7 4" xfId="13852" xr:uid="{00000000-0005-0000-0000-00009A7D0000}"/>
    <cellStyle name="Output 3 2 4 8" xfId="6346" xr:uid="{00000000-0005-0000-0000-00009B7D0000}"/>
    <cellStyle name="Output 3 2 4 8 2" xfId="25318" xr:uid="{00000000-0005-0000-0000-00009C7D0000}"/>
    <cellStyle name="Output 3 2 4 8 3" xfId="36163" xr:uid="{00000000-0005-0000-0000-00009D7D0000}"/>
    <cellStyle name="Output 3 2 4 8 4" xfId="15768" xr:uid="{00000000-0005-0000-0000-00009E7D0000}"/>
    <cellStyle name="Output 3 2 4 9" xfId="9005" xr:uid="{00000000-0005-0000-0000-00009F7D0000}"/>
    <cellStyle name="Output 3 2 4 9 2" xfId="27977" xr:uid="{00000000-0005-0000-0000-0000A07D0000}"/>
    <cellStyle name="Output 3 2 4 9 3" xfId="38822" xr:uid="{00000000-0005-0000-0000-0000A17D0000}"/>
    <cellStyle name="Output 3 2 4 9 4" xfId="17672" xr:uid="{00000000-0005-0000-0000-0000A27D0000}"/>
    <cellStyle name="Output 3 2 5" xfId="875" xr:uid="{00000000-0005-0000-0000-0000A37D0000}"/>
    <cellStyle name="Output 3 2 5 10" xfId="19860" xr:uid="{00000000-0005-0000-0000-0000A47D0000}"/>
    <cellStyle name="Output 3 2 5 11" xfId="30705" xr:uid="{00000000-0005-0000-0000-0000A57D0000}"/>
    <cellStyle name="Output 3 2 5 12" xfId="11857" xr:uid="{00000000-0005-0000-0000-0000A67D0000}"/>
    <cellStyle name="Output 3 2 5 2" xfId="1462" xr:uid="{00000000-0005-0000-0000-0000A77D0000}"/>
    <cellStyle name="Output 3 2 5 2 2" xfId="4315" xr:uid="{00000000-0005-0000-0000-0000A87D0000}"/>
    <cellStyle name="Output 3 2 5 2 2 2" xfId="23287" xr:uid="{00000000-0005-0000-0000-0000A97D0000}"/>
    <cellStyle name="Output 3 2 5 2 2 3" xfId="34132" xr:uid="{00000000-0005-0000-0000-0000AA7D0000}"/>
    <cellStyle name="Output 3 2 5 2 2 4" xfId="14318" xr:uid="{00000000-0005-0000-0000-0000AB7D0000}"/>
    <cellStyle name="Output 3 2 5 2 3" xfId="6988" xr:uid="{00000000-0005-0000-0000-0000AC7D0000}"/>
    <cellStyle name="Output 3 2 5 2 3 2" xfId="25960" xr:uid="{00000000-0005-0000-0000-0000AD7D0000}"/>
    <cellStyle name="Output 3 2 5 2 3 3" xfId="36805" xr:uid="{00000000-0005-0000-0000-0000AE7D0000}"/>
    <cellStyle name="Output 3 2 5 2 3 4" xfId="16233" xr:uid="{00000000-0005-0000-0000-0000AF7D0000}"/>
    <cellStyle name="Output 3 2 5 2 4" xfId="9647" xr:uid="{00000000-0005-0000-0000-0000B07D0000}"/>
    <cellStyle name="Output 3 2 5 2 4 2" xfId="28619" xr:uid="{00000000-0005-0000-0000-0000B17D0000}"/>
    <cellStyle name="Output 3 2 5 2 4 3" xfId="39464" xr:uid="{00000000-0005-0000-0000-0000B27D0000}"/>
    <cellStyle name="Output 3 2 5 2 4 4" xfId="18137" xr:uid="{00000000-0005-0000-0000-0000B37D0000}"/>
    <cellStyle name="Output 3 2 5 2 5" xfId="20443" xr:uid="{00000000-0005-0000-0000-0000B47D0000}"/>
    <cellStyle name="Output 3 2 5 2 6" xfId="31288" xr:uid="{00000000-0005-0000-0000-0000B57D0000}"/>
    <cellStyle name="Output 3 2 5 2 7" xfId="12283" xr:uid="{00000000-0005-0000-0000-0000B67D0000}"/>
    <cellStyle name="Output 3 2 5 3" xfId="1861" xr:uid="{00000000-0005-0000-0000-0000B77D0000}"/>
    <cellStyle name="Output 3 2 5 3 2" xfId="4714" xr:uid="{00000000-0005-0000-0000-0000B87D0000}"/>
    <cellStyle name="Output 3 2 5 3 2 2" xfId="23686" xr:uid="{00000000-0005-0000-0000-0000B97D0000}"/>
    <cellStyle name="Output 3 2 5 3 2 3" xfId="34531" xr:uid="{00000000-0005-0000-0000-0000BA7D0000}"/>
    <cellStyle name="Output 3 2 5 3 2 4" xfId="14605" xr:uid="{00000000-0005-0000-0000-0000BB7D0000}"/>
    <cellStyle name="Output 3 2 5 3 3" xfId="7386" xr:uid="{00000000-0005-0000-0000-0000BC7D0000}"/>
    <cellStyle name="Output 3 2 5 3 3 2" xfId="26358" xr:uid="{00000000-0005-0000-0000-0000BD7D0000}"/>
    <cellStyle name="Output 3 2 5 3 3 3" xfId="37203" xr:uid="{00000000-0005-0000-0000-0000BE7D0000}"/>
    <cellStyle name="Output 3 2 5 3 3 4" xfId="16519" xr:uid="{00000000-0005-0000-0000-0000BF7D0000}"/>
    <cellStyle name="Output 3 2 5 3 4" xfId="10045" xr:uid="{00000000-0005-0000-0000-0000C07D0000}"/>
    <cellStyle name="Output 3 2 5 3 4 2" xfId="29017" xr:uid="{00000000-0005-0000-0000-0000C17D0000}"/>
    <cellStyle name="Output 3 2 5 3 4 3" xfId="39862" xr:uid="{00000000-0005-0000-0000-0000C27D0000}"/>
    <cellStyle name="Output 3 2 5 3 4 4" xfId="18423" xr:uid="{00000000-0005-0000-0000-0000C37D0000}"/>
    <cellStyle name="Output 3 2 5 3 5" xfId="20841" xr:uid="{00000000-0005-0000-0000-0000C47D0000}"/>
    <cellStyle name="Output 3 2 5 3 6" xfId="31686" xr:uid="{00000000-0005-0000-0000-0000C57D0000}"/>
    <cellStyle name="Output 3 2 5 3 7" xfId="12569" xr:uid="{00000000-0005-0000-0000-0000C67D0000}"/>
    <cellStyle name="Output 3 2 5 4" xfId="2265" xr:uid="{00000000-0005-0000-0000-0000C77D0000}"/>
    <cellStyle name="Output 3 2 5 4 2" xfId="5118" xr:uid="{00000000-0005-0000-0000-0000C87D0000}"/>
    <cellStyle name="Output 3 2 5 4 2 2" xfId="24090" xr:uid="{00000000-0005-0000-0000-0000C97D0000}"/>
    <cellStyle name="Output 3 2 5 4 2 3" xfId="34935" xr:uid="{00000000-0005-0000-0000-0000CA7D0000}"/>
    <cellStyle name="Output 3 2 5 4 2 4" xfId="14892" xr:uid="{00000000-0005-0000-0000-0000CB7D0000}"/>
    <cellStyle name="Output 3 2 5 4 3" xfId="7789" xr:uid="{00000000-0005-0000-0000-0000CC7D0000}"/>
    <cellStyle name="Output 3 2 5 4 3 2" xfId="26761" xr:uid="{00000000-0005-0000-0000-0000CD7D0000}"/>
    <cellStyle name="Output 3 2 5 4 3 3" xfId="37606" xr:uid="{00000000-0005-0000-0000-0000CE7D0000}"/>
    <cellStyle name="Output 3 2 5 4 3 4" xfId="16805" xr:uid="{00000000-0005-0000-0000-0000CF7D0000}"/>
    <cellStyle name="Output 3 2 5 4 4" xfId="10448" xr:uid="{00000000-0005-0000-0000-0000D07D0000}"/>
    <cellStyle name="Output 3 2 5 4 4 2" xfId="29420" xr:uid="{00000000-0005-0000-0000-0000D17D0000}"/>
    <cellStyle name="Output 3 2 5 4 4 3" xfId="40265" xr:uid="{00000000-0005-0000-0000-0000D27D0000}"/>
    <cellStyle name="Output 3 2 5 4 4 4" xfId="18709" xr:uid="{00000000-0005-0000-0000-0000D37D0000}"/>
    <cellStyle name="Output 3 2 5 4 5" xfId="21244" xr:uid="{00000000-0005-0000-0000-0000D47D0000}"/>
    <cellStyle name="Output 3 2 5 4 6" xfId="32089" xr:uid="{00000000-0005-0000-0000-0000D57D0000}"/>
    <cellStyle name="Output 3 2 5 4 7" xfId="12855" xr:uid="{00000000-0005-0000-0000-0000D67D0000}"/>
    <cellStyle name="Output 3 2 5 5" xfId="2655" xr:uid="{00000000-0005-0000-0000-0000D77D0000}"/>
    <cellStyle name="Output 3 2 5 5 2" xfId="5507" xr:uid="{00000000-0005-0000-0000-0000D87D0000}"/>
    <cellStyle name="Output 3 2 5 5 2 2" xfId="24479" xr:uid="{00000000-0005-0000-0000-0000D97D0000}"/>
    <cellStyle name="Output 3 2 5 5 2 3" xfId="35324" xr:uid="{00000000-0005-0000-0000-0000DA7D0000}"/>
    <cellStyle name="Output 3 2 5 5 2 4" xfId="15171" xr:uid="{00000000-0005-0000-0000-0000DB7D0000}"/>
    <cellStyle name="Output 3 2 5 5 3" xfId="8178" xr:uid="{00000000-0005-0000-0000-0000DC7D0000}"/>
    <cellStyle name="Output 3 2 5 5 3 2" xfId="27150" xr:uid="{00000000-0005-0000-0000-0000DD7D0000}"/>
    <cellStyle name="Output 3 2 5 5 3 3" xfId="37995" xr:uid="{00000000-0005-0000-0000-0000DE7D0000}"/>
    <cellStyle name="Output 3 2 5 5 3 4" xfId="17084" xr:uid="{00000000-0005-0000-0000-0000DF7D0000}"/>
    <cellStyle name="Output 3 2 5 5 4" xfId="10837" xr:uid="{00000000-0005-0000-0000-0000E07D0000}"/>
    <cellStyle name="Output 3 2 5 5 4 2" xfId="29809" xr:uid="{00000000-0005-0000-0000-0000E17D0000}"/>
    <cellStyle name="Output 3 2 5 5 4 3" xfId="40654" xr:uid="{00000000-0005-0000-0000-0000E27D0000}"/>
    <cellStyle name="Output 3 2 5 5 4 4" xfId="18988" xr:uid="{00000000-0005-0000-0000-0000E37D0000}"/>
    <cellStyle name="Output 3 2 5 5 5" xfId="21633" xr:uid="{00000000-0005-0000-0000-0000E47D0000}"/>
    <cellStyle name="Output 3 2 5 5 6" xfId="32478" xr:uid="{00000000-0005-0000-0000-0000E57D0000}"/>
    <cellStyle name="Output 3 2 5 5 7" xfId="13134" xr:uid="{00000000-0005-0000-0000-0000E67D0000}"/>
    <cellStyle name="Output 3 2 5 6" xfId="3041" xr:uid="{00000000-0005-0000-0000-0000E77D0000}"/>
    <cellStyle name="Output 3 2 5 6 2" xfId="5892" xr:uid="{00000000-0005-0000-0000-0000E87D0000}"/>
    <cellStyle name="Output 3 2 5 6 2 2" xfId="24864" xr:uid="{00000000-0005-0000-0000-0000E97D0000}"/>
    <cellStyle name="Output 3 2 5 6 2 3" xfId="35709" xr:uid="{00000000-0005-0000-0000-0000EA7D0000}"/>
    <cellStyle name="Output 3 2 5 6 2 4" xfId="15447" xr:uid="{00000000-0005-0000-0000-0000EB7D0000}"/>
    <cellStyle name="Output 3 2 5 6 3" xfId="8563" xr:uid="{00000000-0005-0000-0000-0000EC7D0000}"/>
    <cellStyle name="Output 3 2 5 6 3 2" xfId="27535" xr:uid="{00000000-0005-0000-0000-0000ED7D0000}"/>
    <cellStyle name="Output 3 2 5 6 3 3" xfId="38380" xr:uid="{00000000-0005-0000-0000-0000EE7D0000}"/>
    <cellStyle name="Output 3 2 5 6 3 4" xfId="17360" xr:uid="{00000000-0005-0000-0000-0000EF7D0000}"/>
    <cellStyle name="Output 3 2 5 6 4" xfId="11222" xr:uid="{00000000-0005-0000-0000-0000F07D0000}"/>
    <cellStyle name="Output 3 2 5 6 4 2" xfId="30194" xr:uid="{00000000-0005-0000-0000-0000F17D0000}"/>
    <cellStyle name="Output 3 2 5 6 4 3" xfId="41039" xr:uid="{00000000-0005-0000-0000-0000F27D0000}"/>
    <cellStyle name="Output 3 2 5 6 4 4" xfId="19264" xr:uid="{00000000-0005-0000-0000-0000F37D0000}"/>
    <cellStyle name="Output 3 2 5 6 5" xfId="22018" xr:uid="{00000000-0005-0000-0000-0000F47D0000}"/>
    <cellStyle name="Output 3 2 5 6 6" xfId="32863" xr:uid="{00000000-0005-0000-0000-0000F57D0000}"/>
    <cellStyle name="Output 3 2 5 6 7" xfId="13410" xr:uid="{00000000-0005-0000-0000-0000F67D0000}"/>
    <cellStyle name="Output 3 2 5 7" xfId="3730" xr:uid="{00000000-0005-0000-0000-0000F77D0000}"/>
    <cellStyle name="Output 3 2 5 7 2" xfId="22702" xr:uid="{00000000-0005-0000-0000-0000F87D0000}"/>
    <cellStyle name="Output 3 2 5 7 3" xfId="33547" xr:uid="{00000000-0005-0000-0000-0000F97D0000}"/>
    <cellStyle name="Output 3 2 5 7 4" xfId="13891" xr:uid="{00000000-0005-0000-0000-0000FA7D0000}"/>
    <cellStyle name="Output 3 2 5 8" xfId="6405" xr:uid="{00000000-0005-0000-0000-0000FB7D0000}"/>
    <cellStyle name="Output 3 2 5 8 2" xfId="25377" xr:uid="{00000000-0005-0000-0000-0000FC7D0000}"/>
    <cellStyle name="Output 3 2 5 8 3" xfId="36222" xr:uid="{00000000-0005-0000-0000-0000FD7D0000}"/>
    <cellStyle name="Output 3 2 5 8 4" xfId="15807" xr:uid="{00000000-0005-0000-0000-0000FE7D0000}"/>
    <cellStyle name="Output 3 2 5 9" xfId="9064" xr:uid="{00000000-0005-0000-0000-0000FF7D0000}"/>
    <cellStyle name="Output 3 2 5 9 2" xfId="28036" xr:uid="{00000000-0005-0000-0000-0000007E0000}"/>
    <cellStyle name="Output 3 2 5 9 3" xfId="38881" xr:uid="{00000000-0005-0000-0000-0000017E0000}"/>
    <cellStyle name="Output 3 2 5 9 4" xfId="17711" xr:uid="{00000000-0005-0000-0000-0000027E0000}"/>
    <cellStyle name="Output 3 2 6" xfId="1097" xr:uid="{00000000-0005-0000-0000-0000037E0000}"/>
    <cellStyle name="Output 3 2 6 2" xfId="3950" xr:uid="{00000000-0005-0000-0000-0000047E0000}"/>
    <cellStyle name="Output 3 2 6 2 2" xfId="22922" xr:uid="{00000000-0005-0000-0000-0000057E0000}"/>
    <cellStyle name="Output 3 2 6 2 3" xfId="33767" xr:uid="{00000000-0005-0000-0000-0000067E0000}"/>
    <cellStyle name="Output 3 2 6 2 4" xfId="14053" xr:uid="{00000000-0005-0000-0000-0000077E0000}"/>
    <cellStyle name="Output 3 2 6 3" xfId="6624" xr:uid="{00000000-0005-0000-0000-0000087E0000}"/>
    <cellStyle name="Output 3 2 6 3 2" xfId="25596" xr:uid="{00000000-0005-0000-0000-0000097E0000}"/>
    <cellStyle name="Output 3 2 6 3 3" xfId="36441" xr:uid="{00000000-0005-0000-0000-00000A7E0000}"/>
    <cellStyle name="Output 3 2 6 3 4" xfId="15969" xr:uid="{00000000-0005-0000-0000-00000B7E0000}"/>
    <cellStyle name="Output 3 2 6 4" xfId="9283" xr:uid="{00000000-0005-0000-0000-00000C7E0000}"/>
    <cellStyle name="Output 3 2 6 4 2" xfId="28255" xr:uid="{00000000-0005-0000-0000-00000D7E0000}"/>
    <cellStyle name="Output 3 2 6 4 3" xfId="39100" xr:uid="{00000000-0005-0000-0000-00000E7E0000}"/>
    <cellStyle name="Output 3 2 6 4 4" xfId="17873" xr:uid="{00000000-0005-0000-0000-00000F7E0000}"/>
    <cellStyle name="Output 3 2 6 5" xfId="20079" xr:uid="{00000000-0005-0000-0000-0000107E0000}"/>
    <cellStyle name="Output 3 2 6 6" xfId="30924" xr:uid="{00000000-0005-0000-0000-0000117E0000}"/>
    <cellStyle name="Output 3 2 6 7" xfId="12019" xr:uid="{00000000-0005-0000-0000-0000127E0000}"/>
    <cellStyle name="Output 3 2 7" xfId="1496" xr:uid="{00000000-0005-0000-0000-0000137E0000}"/>
    <cellStyle name="Output 3 2 7 2" xfId="4349" xr:uid="{00000000-0005-0000-0000-0000147E0000}"/>
    <cellStyle name="Output 3 2 7 2 2" xfId="23321" xr:uid="{00000000-0005-0000-0000-0000157E0000}"/>
    <cellStyle name="Output 3 2 7 2 3" xfId="34166" xr:uid="{00000000-0005-0000-0000-0000167E0000}"/>
    <cellStyle name="Output 3 2 7 2 4" xfId="14342" xr:uid="{00000000-0005-0000-0000-0000177E0000}"/>
    <cellStyle name="Output 3 2 7 3" xfId="7022" xr:uid="{00000000-0005-0000-0000-0000187E0000}"/>
    <cellStyle name="Output 3 2 7 3 2" xfId="25994" xr:uid="{00000000-0005-0000-0000-0000197E0000}"/>
    <cellStyle name="Output 3 2 7 3 3" xfId="36839" xr:uid="{00000000-0005-0000-0000-00001A7E0000}"/>
    <cellStyle name="Output 3 2 7 3 4" xfId="16257" xr:uid="{00000000-0005-0000-0000-00001B7E0000}"/>
    <cellStyle name="Output 3 2 7 4" xfId="9681" xr:uid="{00000000-0005-0000-0000-00001C7E0000}"/>
    <cellStyle name="Output 3 2 7 4 2" xfId="28653" xr:uid="{00000000-0005-0000-0000-00001D7E0000}"/>
    <cellStyle name="Output 3 2 7 4 3" xfId="39498" xr:uid="{00000000-0005-0000-0000-00001E7E0000}"/>
    <cellStyle name="Output 3 2 7 4 4" xfId="18161" xr:uid="{00000000-0005-0000-0000-00001F7E0000}"/>
    <cellStyle name="Output 3 2 7 5" xfId="20477" xr:uid="{00000000-0005-0000-0000-0000207E0000}"/>
    <cellStyle name="Output 3 2 7 6" xfId="31322" xr:uid="{00000000-0005-0000-0000-0000217E0000}"/>
    <cellStyle name="Output 3 2 7 7" xfId="12307" xr:uid="{00000000-0005-0000-0000-0000227E0000}"/>
    <cellStyle name="Output 3 2 8" xfId="1904" xr:uid="{00000000-0005-0000-0000-0000237E0000}"/>
    <cellStyle name="Output 3 2 8 2" xfId="4757" xr:uid="{00000000-0005-0000-0000-0000247E0000}"/>
    <cellStyle name="Output 3 2 8 2 2" xfId="23729" xr:uid="{00000000-0005-0000-0000-0000257E0000}"/>
    <cellStyle name="Output 3 2 8 2 3" xfId="34574" xr:uid="{00000000-0005-0000-0000-0000267E0000}"/>
    <cellStyle name="Output 3 2 8 2 4" xfId="14633" xr:uid="{00000000-0005-0000-0000-0000277E0000}"/>
    <cellStyle name="Output 3 2 8 3" xfId="7429" xr:uid="{00000000-0005-0000-0000-0000287E0000}"/>
    <cellStyle name="Output 3 2 8 3 2" xfId="26401" xr:uid="{00000000-0005-0000-0000-0000297E0000}"/>
    <cellStyle name="Output 3 2 8 3 3" xfId="37246" xr:uid="{00000000-0005-0000-0000-00002A7E0000}"/>
    <cellStyle name="Output 3 2 8 3 4" xfId="16547" xr:uid="{00000000-0005-0000-0000-00002B7E0000}"/>
    <cellStyle name="Output 3 2 8 4" xfId="10088" xr:uid="{00000000-0005-0000-0000-00002C7E0000}"/>
    <cellStyle name="Output 3 2 8 4 2" xfId="29060" xr:uid="{00000000-0005-0000-0000-00002D7E0000}"/>
    <cellStyle name="Output 3 2 8 4 3" xfId="39905" xr:uid="{00000000-0005-0000-0000-00002E7E0000}"/>
    <cellStyle name="Output 3 2 8 4 4" xfId="18451" xr:uid="{00000000-0005-0000-0000-00002F7E0000}"/>
    <cellStyle name="Output 3 2 8 5" xfId="20884" xr:uid="{00000000-0005-0000-0000-0000307E0000}"/>
    <cellStyle name="Output 3 2 8 6" xfId="31729" xr:uid="{00000000-0005-0000-0000-0000317E0000}"/>
    <cellStyle name="Output 3 2 8 7" xfId="12597" xr:uid="{00000000-0005-0000-0000-0000327E0000}"/>
    <cellStyle name="Output 3 2 9" xfId="2298" xr:uid="{00000000-0005-0000-0000-0000337E0000}"/>
    <cellStyle name="Output 3 2 9 2" xfId="5151" xr:uid="{00000000-0005-0000-0000-0000347E0000}"/>
    <cellStyle name="Output 3 2 9 2 2" xfId="24123" xr:uid="{00000000-0005-0000-0000-0000357E0000}"/>
    <cellStyle name="Output 3 2 9 2 3" xfId="34968" xr:uid="{00000000-0005-0000-0000-0000367E0000}"/>
    <cellStyle name="Output 3 2 9 2 4" xfId="14915" xr:uid="{00000000-0005-0000-0000-0000377E0000}"/>
    <cellStyle name="Output 3 2 9 3" xfId="7822" xr:uid="{00000000-0005-0000-0000-0000387E0000}"/>
    <cellStyle name="Output 3 2 9 3 2" xfId="26794" xr:uid="{00000000-0005-0000-0000-0000397E0000}"/>
    <cellStyle name="Output 3 2 9 3 3" xfId="37639" xr:uid="{00000000-0005-0000-0000-00003A7E0000}"/>
    <cellStyle name="Output 3 2 9 3 4" xfId="16828" xr:uid="{00000000-0005-0000-0000-00003B7E0000}"/>
    <cellStyle name="Output 3 2 9 4" xfId="10481" xr:uid="{00000000-0005-0000-0000-00003C7E0000}"/>
    <cellStyle name="Output 3 2 9 4 2" xfId="29453" xr:uid="{00000000-0005-0000-0000-00003D7E0000}"/>
    <cellStyle name="Output 3 2 9 4 3" xfId="40298" xr:uid="{00000000-0005-0000-0000-00003E7E0000}"/>
    <cellStyle name="Output 3 2 9 4 4" xfId="18732" xr:uid="{00000000-0005-0000-0000-00003F7E0000}"/>
    <cellStyle name="Output 3 2 9 5" xfId="21277" xr:uid="{00000000-0005-0000-0000-0000407E0000}"/>
    <cellStyle name="Output 3 2 9 6" xfId="32122" xr:uid="{00000000-0005-0000-0000-0000417E0000}"/>
    <cellStyle name="Output 3 2 9 7" xfId="12878" xr:uid="{00000000-0005-0000-0000-0000427E0000}"/>
    <cellStyle name="Output 3 3" xfId="579" xr:uid="{00000000-0005-0000-0000-0000437E0000}"/>
    <cellStyle name="Output 3 3 10" xfId="19589" xr:uid="{00000000-0005-0000-0000-0000447E0000}"/>
    <cellStyle name="Output 3 3 11" xfId="30434" xr:uid="{00000000-0005-0000-0000-0000457E0000}"/>
    <cellStyle name="Output 3 3 12" xfId="11643" xr:uid="{00000000-0005-0000-0000-0000467E0000}"/>
    <cellStyle name="Output 3 3 2" xfId="1185" xr:uid="{00000000-0005-0000-0000-0000477E0000}"/>
    <cellStyle name="Output 3 3 2 2" xfId="4038" xr:uid="{00000000-0005-0000-0000-0000487E0000}"/>
    <cellStyle name="Output 3 3 2 2 2" xfId="23010" xr:uid="{00000000-0005-0000-0000-0000497E0000}"/>
    <cellStyle name="Output 3 3 2 2 3" xfId="33855" xr:uid="{00000000-0005-0000-0000-00004A7E0000}"/>
    <cellStyle name="Output 3 3 2 2 4" xfId="14120" xr:uid="{00000000-0005-0000-0000-00004B7E0000}"/>
    <cellStyle name="Output 3 3 2 3" xfId="6711" xr:uid="{00000000-0005-0000-0000-00004C7E0000}"/>
    <cellStyle name="Output 3 3 2 3 2" xfId="25683" xr:uid="{00000000-0005-0000-0000-00004D7E0000}"/>
    <cellStyle name="Output 3 3 2 3 3" xfId="36528" xr:uid="{00000000-0005-0000-0000-00004E7E0000}"/>
    <cellStyle name="Output 3 3 2 3 4" xfId="16035" xr:uid="{00000000-0005-0000-0000-00004F7E0000}"/>
    <cellStyle name="Output 3 3 2 4" xfId="9370" xr:uid="{00000000-0005-0000-0000-0000507E0000}"/>
    <cellStyle name="Output 3 3 2 4 2" xfId="28342" xr:uid="{00000000-0005-0000-0000-0000517E0000}"/>
    <cellStyle name="Output 3 3 2 4 3" xfId="39187" xr:uid="{00000000-0005-0000-0000-0000527E0000}"/>
    <cellStyle name="Output 3 3 2 4 4" xfId="17939" xr:uid="{00000000-0005-0000-0000-0000537E0000}"/>
    <cellStyle name="Output 3 3 2 5" xfId="20166" xr:uid="{00000000-0005-0000-0000-0000547E0000}"/>
    <cellStyle name="Output 3 3 2 6" xfId="31011" xr:uid="{00000000-0005-0000-0000-0000557E0000}"/>
    <cellStyle name="Output 3 3 2 7" xfId="12085" xr:uid="{00000000-0005-0000-0000-0000567E0000}"/>
    <cellStyle name="Output 3 3 3" xfId="1582" xr:uid="{00000000-0005-0000-0000-0000577E0000}"/>
    <cellStyle name="Output 3 3 3 2" xfId="4435" xr:uid="{00000000-0005-0000-0000-0000587E0000}"/>
    <cellStyle name="Output 3 3 3 2 2" xfId="23407" xr:uid="{00000000-0005-0000-0000-0000597E0000}"/>
    <cellStyle name="Output 3 3 3 2 3" xfId="34252" xr:uid="{00000000-0005-0000-0000-00005A7E0000}"/>
    <cellStyle name="Output 3 3 3 2 4" xfId="14406" xr:uid="{00000000-0005-0000-0000-00005B7E0000}"/>
    <cellStyle name="Output 3 3 3 3" xfId="7107" xr:uid="{00000000-0005-0000-0000-00005C7E0000}"/>
    <cellStyle name="Output 3 3 3 3 2" xfId="26079" xr:uid="{00000000-0005-0000-0000-00005D7E0000}"/>
    <cellStyle name="Output 3 3 3 3 3" xfId="36924" xr:uid="{00000000-0005-0000-0000-00005E7E0000}"/>
    <cellStyle name="Output 3 3 3 3 4" xfId="16320" xr:uid="{00000000-0005-0000-0000-00005F7E0000}"/>
    <cellStyle name="Output 3 3 3 4" xfId="9766" xr:uid="{00000000-0005-0000-0000-0000607E0000}"/>
    <cellStyle name="Output 3 3 3 4 2" xfId="28738" xr:uid="{00000000-0005-0000-0000-0000617E0000}"/>
    <cellStyle name="Output 3 3 3 4 3" xfId="39583" xr:uid="{00000000-0005-0000-0000-0000627E0000}"/>
    <cellStyle name="Output 3 3 3 4 4" xfId="18224" xr:uid="{00000000-0005-0000-0000-0000637E0000}"/>
    <cellStyle name="Output 3 3 3 5" xfId="20562" xr:uid="{00000000-0005-0000-0000-0000647E0000}"/>
    <cellStyle name="Output 3 3 3 6" xfId="31407" xr:uid="{00000000-0005-0000-0000-0000657E0000}"/>
    <cellStyle name="Output 3 3 3 7" xfId="12370" xr:uid="{00000000-0005-0000-0000-0000667E0000}"/>
    <cellStyle name="Output 3 3 4" xfId="1986" xr:uid="{00000000-0005-0000-0000-0000677E0000}"/>
    <cellStyle name="Output 3 3 4 2" xfId="4839" xr:uid="{00000000-0005-0000-0000-0000687E0000}"/>
    <cellStyle name="Output 3 3 4 2 2" xfId="23811" xr:uid="{00000000-0005-0000-0000-0000697E0000}"/>
    <cellStyle name="Output 3 3 4 2 3" xfId="34656" xr:uid="{00000000-0005-0000-0000-00006A7E0000}"/>
    <cellStyle name="Output 3 3 4 2 4" xfId="14694" xr:uid="{00000000-0005-0000-0000-00006B7E0000}"/>
    <cellStyle name="Output 3 3 4 3" xfId="7511" xr:uid="{00000000-0005-0000-0000-00006C7E0000}"/>
    <cellStyle name="Output 3 3 4 3 2" xfId="26483" xr:uid="{00000000-0005-0000-0000-00006D7E0000}"/>
    <cellStyle name="Output 3 3 4 3 3" xfId="37328" xr:uid="{00000000-0005-0000-0000-00006E7E0000}"/>
    <cellStyle name="Output 3 3 4 3 4" xfId="16608" xr:uid="{00000000-0005-0000-0000-00006F7E0000}"/>
    <cellStyle name="Output 3 3 4 4" xfId="10170" xr:uid="{00000000-0005-0000-0000-0000707E0000}"/>
    <cellStyle name="Output 3 3 4 4 2" xfId="29142" xr:uid="{00000000-0005-0000-0000-0000717E0000}"/>
    <cellStyle name="Output 3 3 4 4 3" xfId="39987" xr:uid="{00000000-0005-0000-0000-0000727E0000}"/>
    <cellStyle name="Output 3 3 4 4 4" xfId="18512" xr:uid="{00000000-0005-0000-0000-0000737E0000}"/>
    <cellStyle name="Output 3 3 4 5" xfId="20966" xr:uid="{00000000-0005-0000-0000-0000747E0000}"/>
    <cellStyle name="Output 3 3 4 6" xfId="31811" xr:uid="{00000000-0005-0000-0000-0000757E0000}"/>
    <cellStyle name="Output 3 3 4 7" xfId="12658" xr:uid="{00000000-0005-0000-0000-0000767E0000}"/>
    <cellStyle name="Output 3 3 5" xfId="2378" xr:uid="{00000000-0005-0000-0000-0000777E0000}"/>
    <cellStyle name="Output 3 3 5 2" xfId="5231" xr:uid="{00000000-0005-0000-0000-0000787E0000}"/>
    <cellStyle name="Output 3 3 5 2 2" xfId="24203" xr:uid="{00000000-0005-0000-0000-0000797E0000}"/>
    <cellStyle name="Output 3 3 5 2 3" xfId="35048" xr:uid="{00000000-0005-0000-0000-00007A7E0000}"/>
    <cellStyle name="Output 3 3 5 2 4" xfId="14975" xr:uid="{00000000-0005-0000-0000-00007B7E0000}"/>
    <cellStyle name="Output 3 3 5 3" xfId="7902" xr:uid="{00000000-0005-0000-0000-00007C7E0000}"/>
    <cellStyle name="Output 3 3 5 3 2" xfId="26874" xr:uid="{00000000-0005-0000-0000-00007D7E0000}"/>
    <cellStyle name="Output 3 3 5 3 3" xfId="37719" xr:uid="{00000000-0005-0000-0000-00007E7E0000}"/>
    <cellStyle name="Output 3 3 5 3 4" xfId="16888" xr:uid="{00000000-0005-0000-0000-00007F7E0000}"/>
    <cellStyle name="Output 3 3 5 4" xfId="10561" xr:uid="{00000000-0005-0000-0000-0000807E0000}"/>
    <cellStyle name="Output 3 3 5 4 2" xfId="29533" xr:uid="{00000000-0005-0000-0000-0000817E0000}"/>
    <cellStyle name="Output 3 3 5 4 3" xfId="40378" xr:uid="{00000000-0005-0000-0000-0000827E0000}"/>
    <cellStyle name="Output 3 3 5 4 4" xfId="18792" xr:uid="{00000000-0005-0000-0000-0000837E0000}"/>
    <cellStyle name="Output 3 3 5 5" xfId="21357" xr:uid="{00000000-0005-0000-0000-0000847E0000}"/>
    <cellStyle name="Output 3 3 5 6" xfId="32202" xr:uid="{00000000-0005-0000-0000-0000857E0000}"/>
    <cellStyle name="Output 3 3 5 7" xfId="12938" xr:uid="{00000000-0005-0000-0000-0000867E0000}"/>
    <cellStyle name="Output 3 3 6" xfId="2767" xr:uid="{00000000-0005-0000-0000-0000877E0000}"/>
    <cellStyle name="Output 3 3 6 2" xfId="5619" xr:uid="{00000000-0005-0000-0000-0000887E0000}"/>
    <cellStyle name="Output 3 3 6 2 2" xfId="24591" xr:uid="{00000000-0005-0000-0000-0000897E0000}"/>
    <cellStyle name="Output 3 3 6 2 3" xfId="35436" xr:uid="{00000000-0005-0000-0000-00008A7E0000}"/>
    <cellStyle name="Output 3 3 6 2 4" xfId="15253" xr:uid="{00000000-0005-0000-0000-00008B7E0000}"/>
    <cellStyle name="Output 3 3 6 3" xfId="8290" xr:uid="{00000000-0005-0000-0000-00008C7E0000}"/>
    <cellStyle name="Output 3 3 6 3 2" xfId="27262" xr:uid="{00000000-0005-0000-0000-00008D7E0000}"/>
    <cellStyle name="Output 3 3 6 3 3" xfId="38107" xr:uid="{00000000-0005-0000-0000-00008E7E0000}"/>
    <cellStyle name="Output 3 3 6 3 4" xfId="17166" xr:uid="{00000000-0005-0000-0000-00008F7E0000}"/>
    <cellStyle name="Output 3 3 6 4" xfId="10949" xr:uid="{00000000-0005-0000-0000-0000907E0000}"/>
    <cellStyle name="Output 3 3 6 4 2" xfId="29921" xr:uid="{00000000-0005-0000-0000-0000917E0000}"/>
    <cellStyle name="Output 3 3 6 4 3" xfId="40766" xr:uid="{00000000-0005-0000-0000-0000927E0000}"/>
    <cellStyle name="Output 3 3 6 4 4" xfId="19070" xr:uid="{00000000-0005-0000-0000-0000937E0000}"/>
    <cellStyle name="Output 3 3 6 5" xfId="21745" xr:uid="{00000000-0005-0000-0000-0000947E0000}"/>
    <cellStyle name="Output 3 3 6 6" xfId="32590" xr:uid="{00000000-0005-0000-0000-0000957E0000}"/>
    <cellStyle name="Output 3 3 6 7" xfId="13216" xr:uid="{00000000-0005-0000-0000-0000967E0000}"/>
    <cellStyle name="Output 3 3 7" xfId="3458" xr:uid="{00000000-0005-0000-0000-0000977E0000}"/>
    <cellStyle name="Output 3 3 7 2" xfId="22430" xr:uid="{00000000-0005-0000-0000-0000987E0000}"/>
    <cellStyle name="Output 3 3 7 3" xfId="33275" xr:uid="{00000000-0005-0000-0000-0000997E0000}"/>
    <cellStyle name="Output 3 3 7 4" xfId="13698" xr:uid="{00000000-0005-0000-0000-00009A7E0000}"/>
    <cellStyle name="Output 3 3 8" xfId="6134" xr:uid="{00000000-0005-0000-0000-00009B7E0000}"/>
    <cellStyle name="Output 3 3 8 2" xfId="25106" xr:uid="{00000000-0005-0000-0000-00009C7E0000}"/>
    <cellStyle name="Output 3 3 8 3" xfId="35951" xr:uid="{00000000-0005-0000-0000-00009D7E0000}"/>
    <cellStyle name="Output 3 3 8 4" xfId="15615" xr:uid="{00000000-0005-0000-0000-00009E7E0000}"/>
    <cellStyle name="Output 3 3 9" xfId="8793" xr:uid="{00000000-0005-0000-0000-00009F7E0000}"/>
    <cellStyle name="Output 3 3 9 2" xfId="27765" xr:uid="{00000000-0005-0000-0000-0000A07E0000}"/>
    <cellStyle name="Output 3 3 9 3" xfId="38610" xr:uid="{00000000-0005-0000-0000-0000A17E0000}"/>
    <cellStyle name="Output 3 3 9 4" xfId="17519" xr:uid="{00000000-0005-0000-0000-0000A27E0000}"/>
    <cellStyle name="Output 3 4" xfId="11470" xr:uid="{00000000-0005-0000-0000-0000A37E0000}"/>
    <cellStyle name="Output 4" xfId="319" xr:uid="{00000000-0005-0000-0000-0000A47E0000}"/>
    <cellStyle name="Output 4 2" xfId="431" xr:uid="{00000000-0005-0000-0000-0000A57E0000}"/>
    <cellStyle name="Output 4 2 10" xfId="2713" xr:uid="{00000000-0005-0000-0000-0000A67E0000}"/>
    <cellStyle name="Output 4 2 10 2" xfId="5565" xr:uid="{00000000-0005-0000-0000-0000A77E0000}"/>
    <cellStyle name="Output 4 2 10 2 2" xfId="24537" xr:uid="{00000000-0005-0000-0000-0000A87E0000}"/>
    <cellStyle name="Output 4 2 10 2 3" xfId="35382" xr:uid="{00000000-0005-0000-0000-0000A97E0000}"/>
    <cellStyle name="Output 4 2 10 2 4" xfId="15209" xr:uid="{00000000-0005-0000-0000-0000AA7E0000}"/>
    <cellStyle name="Output 4 2 10 3" xfId="8236" xr:uid="{00000000-0005-0000-0000-0000AB7E0000}"/>
    <cellStyle name="Output 4 2 10 3 2" xfId="27208" xr:uid="{00000000-0005-0000-0000-0000AC7E0000}"/>
    <cellStyle name="Output 4 2 10 3 3" xfId="38053" xr:uid="{00000000-0005-0000-0000-0000AD7E0000}"/>
    <cellStyle name="Output 4 2 10 3 4" xfId="17122" xr:uid="{00000000-0005-0000-0000-0000AE7E0000}"/>
    <cellStyle name="Output 4 2 10 4" xfId="10895" xr:uid="{00000000-0005-0000-0000-0000AF7E0000}"/>
    <cellStyle name="Output 4 2 10 4 2" xfId="29867" xr:uid="{00000000-0005-0000-0000-0000B07E0000}"/>
    <cellStyle name="Output 4 2 10 4 3" xfId="40712" xr:uid="{00000000-0005-0000-0000-0000B17E0000}"/>
    <cellStyle name="Output 4 2 10 4 4" xfId="19026" xr:uid="{00000000-0005-0000-0000-0000B27E0000}"/>
    <cellStyle name="Output 4 2 10 5" xfId="21691" xr:uid="{00000000-0005-0000-0000-0000B37E0000}"/>
    <cellStyle name="Output 4 2 10 6" xfId="32536" xr:uid="{00000000-0005-0000-0000-0000B47E0000}"/>
    <cellStyle name="Output 4 2 10 7" xfId="13172" xr:uid="{00000000-0005-0000-0000-0000B57E0000}"/>
    <cellStyle name="Output 4 2 11" xfId="3098" xr:uid="{00000000-0005-0000-0000-0000B67E0000}"/>
    <cellStyle name="Output 4 2 11 2" xfId="5949" xr:uid="{00000000-0005-0000-0000-0000B77E0000}"/>
    <cellStyle name="Output 4 2 11 2 2" xfId="24921" xr:uid="{00000000-0005-0000-0000-0000B87E0000}"/>
    <cellStyle name="Output 4 2 11 2 3" xfId="35766" xr:uid="{00000000-0005-0000-0000-0000B97E0000}"/>
    <cellStyle name="Output 4 2 11 2 4" xfId="15484" xr:uid="{00000000-0005-0000-0000-0000BA7E0000}"/>
    <cellStyle name="Output 4 2 11 3" xfId="8620" xr:uid="{00000000-0005-0000-0000-0000BB7E0000}"/>
    <cellStyle name="Output 4 2 11 3 2" xfId="27592" xr:uid="{00000000-0005-0000-0000-0000BC7E0000}"/>
    <cellStyle name="Output 4 2 11 3 3" xfId="38437" xr:uid="{00000000-0005-0000-0000-0000BD7E0000}"/>
    <cellStyle name="Output 4 2 11 3 4" xfId="17397" xr:uid="{00000000-0005-0000-0000-0000BE7E0000}"/>
    <cellStyle name="Output 4 2 11 4" xfId="11279" xr:uid="{00000000-0005-0000-0000-0000BF7E0000}"/>
    <cellStyle name="Output 4 2 11 4 2" xfId="30251" xr:uid="{00000000-0005-0000-0000-0000C07E0000}"/>
    <cellStyle name="Output 4 2 11 4 3" xfId="41096" xr:uid="{00000000-0005-0000-0000-0000C17E0000}"/>
    <cellStyle name="Output 4 2 11 4 4" xfId="19301" xr:uid="{00000000-0005-0000-0000-0000C27E0000}"/>
    <cellStyle name="Output 4 2 11 5" xfId="22075" xr:uid="{00000000-0005-0000-0000-0000C37E0000}"/>
    <cellStyle name="Output 4 2 11 6" xfId="32920" xr:uid="{00000000-0005-0000-0000-0000C47E0000}"/>
    <cellStyle name="Output 4 2 11 7" xfId="13447" xr:uid="{00000000-0005-0000-0000-0000C57E0000}"/>
    <cellStyle name="Output 4 2 12" xfId="3155" xr:uid="{00000000-0005-0000-0000-0000C67E0000}"/>
    <cellStyle name="Output 4 2 12 2" xfId="6006" xr:uid="{00000000-0005-0000-0000-0000C77E0000}"/>
    <cellStyle name="Output 4 2 12 2 2" xfId="24978" xr:uid="{00000000-0005-0000-0000-0000C87E0000}"/>
    <cellStyle name="Output 4 2 12 2 3" xfId="35823" xr:uid="{00000000-0005-0000-0000-0000C97E0000}"/>
    <cellStyle name="Output 4 2 12 2 4" xfId="15521" xr:uid="{00000000-0005-0000-0000-0000CA7E0000}"/>
    <cellStyle name="Output 4 2 12 3" xfId="8677" xr:uid="{00000000-0005-0000-0000-0000CB7E0000}"/>
    <cellStyle name="Output 4 2 12 3 2" xfId="27649" xr:uid="{00000000-0005-0000-0000-0000CC7E0000}"/>
    <cellStyle name="Output 4 2 12 3 3" xfId="38494" xr:uid="{00000000-0005-0000-0000-0000CD7E0000}"/>
    <cellStyle name="Output 4 2 12 3 4" xfId="17434" xr:uid="{00000000-0005-0000-0000-0000CE7E0000}"/>
    <cellStyle name="Output 4 2 12 4" xfId="11336" xr:uid="{00000000-0005-0000-0000-0000CF7E0000}"/>
    <cellStyle name="Output 4 2 12 4 2" xfId="30308" xr:uid="{00000000-0005-0000-0000-0000D07E0000}"/>
    <cellStyle name="Output 4 2 12 4 3" xfId="41153" xr:uid="{00000000-0005-0000-0000-0000D17E0000}"/>
    <cellStyle name="Output 4 2 12 4 4" xfId="19338" xr:uid="{00000000-0005-0000-0000-0000D27E0000}"/>
    <cellStyle name="Output 4 2 12 5" xfId="22132" xr:uid="{00000000-0005-0000-0000-0000D37E0000}"/>
    <cellStyle name="Output 4 2 12 6" xfId="32977" xr:uid="{00000000-0005-0000-0000-0000D47E0000}"/>
    <cellStyle name="Output 4 2 12 7" xfId="13484" xr:uid="{00000000-0005-0000-0000-0000D57E0000}"/>
    <cellStyle name="Output 4 2 13" xfId="3212" xr:uid="{00000000-0005-0000-0000-0000D67E0000}"/>
    <cellStyle name="Output 4 2 13 2" xfId="6063" xr:uid="{00000000-0005-0000-0000-0000D77E0000}"/>
    <cellStyle name="Output 4 2 13 2 2" xfId="25035" xr:uid="{00000000-0005-0000-0000-0000D87E0000}"/>
    <cellStyle name="Output 4 2 13 2 3" xfId="35880" xr:uid="{00000000-0005-0000-0000-0000D97E0000}"/>
    <cellStyle name="Output 4 2 13 2 4" xfId="15558" xr:uid="{00000000-0005-0000-0000-0000DA7E0000}"/>
    <cellStyle name="Output 4 2 13 3" xfId="8734" xr:uid="{00000000-0005-0000-0000-0000DB7E0000}"/>
    <cellStyle name="Output 4 2 13 3 2" xfId="27706" xr:uid="{00000000-0005-0000-0000-0000DC7E0000}"/>
    <cellStyle name="Output 4 2 13 3 3" xfId="38551" xr:uid="{00000000-0005-0000-0000-0000DD7E0000}"/>
    <cellStyle name="Output 4 2 13 3 4" xfId="17471" xr:uid="{00000000-0005-0000-0000-0000DE7E0000}"/>
    <cellStyle name="Output 4 2 13 4" xfId="11393" xr:uid="{00000000-0005-0000-0000-0000DF7E0000}"/>
    <cellStyle name="Output 4 2 13 4 2" xfId="30365" xr:uid="{00000000-0005-0000-0000-0000E07E0000}"/>
    <cellStyle name="Output 4 2 13 4 3" xfId="41210" xr:uid="{00000000-0005-0000-0000-0000E17E0000}"/>
    <cellStyle name="Output 4 2 13 4 4" xfId="19375" xr:uid="{00000000-0005-0000-0000-0000E27E0000}"/>
    <cellStyle name="Output 4 2 13 5" xfId="22189" xr:uid="{00000000-0005-0000-0000-0000E37E0000}"/>
    <cellStyle name="Output 4 2 13 6" xfId="33034" xr:uid="{00000000-0005-0000-0000-0000E47E0000}"/>
    <cellStyle name="Output 4 2 13 7" xfId="13521" xr:uid="{00000000-0005-0000-0000-0000E57E0000}"/>
    <cellStyle name="Output 4 2 14" xfId="3381" xr:uid="{00000000-0005-0000-0000-0000E67E0000}"/>
    <cellStyle name="Output 4 2 14 2" xfId="22355" xr:uid="{00000000-0005-0000-0000-0000E77E0000}"/>
    <cellStyle name="Output 4 2 14 3" xfId="33200" xr:uid="{00000000-0005-0000-0000-0000E87E0000}"/>
    <cellStyle name="Output 4 2 14 4" xfId="13638" xr:uid="{00000000-0005-0000-0000-0000E97E0000}"/>
    <cellStyle name="Output 4 2 15" xfId="3295" xr:uid="{00000000-0005-0000-0000-0000EA7E0000}"/>
    <cellStyle name="Output 4 2 15 2" xfId="22269" xr:uid="{00000000-0005-0000-0000-0000EB7E0000}"/>
    <cellStyle name="Output 4 2 15 3" xfId="33114" xr:uid="{00000000-0005-0000-0000-0000EC7E0000}"/>
    <cellStyle name="Output 4 2 15 4" xfId="13583" xr:uid="{00000000-0005-0000-0000-0000ED7E0000}"/>
    <cellStyle name="Output 4 2 16" xfId="3323" xr:uid="{00000000-0005-0000-0000-0000EE7E0000}"/>
    <cellStyle name="Output 4 2 16 2" xfId="22297" xr:uid="{00000000-0005-0000-0000-0000EF7E0000}"/>
    <cellStyle name="Output 4 2 16 3" xfId="33142" xr:uid="{00000000-0005-0000-0000-0000F07E0000}"/>
    <cellStyle name="Output 4 2 16 4" xfId="13604" xr:uid="{00000000-0005-0000-0000-0000F17E0000}"/>
    <cellStyle name="Output 4 2 17" xfId="19509" xr:uid="{00000000-0005-0000-0000-0000F27E0000}"/>
    <cellStyle name="Output 4 2 18" xfId="19410" xr:uid="{00000000-0005-0000-0000-0000F37E0000}"/>
    <cellStyle name="Output 4 2 19" xfId="11551" xr:uid="{00000000-0005-0000-0000-0000F47E0000}"/>
    <cellStyle name="Output 4 2 2" xfId="722" xr:uid="{00000000-0005-0000-0000-0000F57E0000}"/>
    <cellStyle name="Output 4 2 2 10" xfId="19707" xr:uid="{00000000-0005-0000-0000-0000F67E0000}"/>
    <cellStyle name="Output 4 2 2 11" xfId="30552" xr:uid="{00000000-0005-0000-0000-0000F77E0000}"/>
    <cellStyle name="Output 4 2 2 12" xfId="11754" xr:uid="{00000000-0005-0000-0000-0000F87E0000}"/>
    <cellStyle name="Output 4 2 2 2" xfId="1309" xr:uid="{00000000-0005-0000-0000-0000F97E0000}"/>
    <cellStyle name="Output 4 2 2 2 2" xfId="4162" xr:uid="{00000000-0005-0000-0000-0000FA7E0000}"/>
    <cellStyle name="Output 4 2 2 2 2 2" xfId="23134" xr:uid="{00000000-0005-0000-0000-0000FB7E0000}"/>
    <cellStyle name="Output 4 2 2 2 2 3" xfId="33979" xr:uid="{00000000-0005-0000-0000-0000FC7E0000}"/>
    <cellStyle name="Output 4 2 2 2 2 4" xfId="14215" xr:uid="{00000000-0005-0000-0000-0000FD7E0000}"/>
    <cellStyle name="Output 4 2 2 2 3" xfId="6835" xr:uid="{00000000-0005-0000-0000-0000FE7E0000}"/>
    <cellStyle name="Output 4 2 2 2 3 2" xfId="25807" xr:uid="{00000000-0005-0000-0000-0000FF7E0000}"/>
    <cellStyle name="Output 4 2 2 2 3 3" xfId="36652" xr:uid="{00000000-0005-0000-0000-0000007F0000}"/>
    <cellStyle name="Output 4 2 2 2 3 4" xfId="16130" xr:uid="{00000000-0005-0000-0000-0000017F0000}"/>
    <cellStyle name="Output 4 2 2 2 4" xfId="9494" xr:uid="{00000000-0005-0000-0000-0000027F0000}"/>
    <cellStyle name="Output 4 2 2 2 4 2" xfId="28466" xr:uid="{00000000-0005-0000-0000-0000037F0000}"/>
    <cellStyle name="Output 4 2 2 2 4 3" xfId="39311" xr:uid="{00000000-0005-0000-0000-0000047F0000}"/>
    <cellStyle name="Output 4 2 2 2 4 4" xfId="18034" xr:uid="{00000000-0005-0000-0000-0000057F0000}"/>
    <cellStyle name="Output 4 2 2 2 5" xfId="20290" xr:uid="{00000000-0005-0000-0000-0000067F0000}"/>
    <cellStyle name="Output 4 2 2 2 6" xfId="31135" xr:uid="{00000000-0005-0000-0000-0000077F0000}"/>
    <cellStyle name="Output 4 2 2 2 7" xfId="12180" xr:uid="{00000000-0005-0000-0000-0000087F0000}"/>
    <cellStyle name="Output 4 2 2 3" xfId="1708" xr:uid="{00000000-0005-0000-0000-0000097F0000}"/>
    <cellStyle name="Output 4 2 2 3 2" xfId="4561" xr:uid="{00000000-0005-0000-0000-00000A7F0000}"/>
    <cellStyle name="Output 4 2 2 3 2 2" xfId="23533" xr:uid="{00000000-0005-0000-0000-00000B7F0000}"/>
    <cellStyle name="Output 4 2 2 3 2 3" xfId="34378" xr:uid="{00000000-0005-0000-0000-00000C7F0000}"/>
    <cellStyle name="Output 4 2 2 3 2 4" xfId="14502" xr:uid="{00000000-0005-0000-0000-00000D7F0000}"/>
    <cellStyle name="Output 4 2 2 3 3" xfId="7233" xr:uid="{00000000-0005-0000-0000-00000E7F0000}"/>
    <cellStyle name="Output 4 2 2 3 3 2" xfId="26205" xr:uid="{00000000-0005-0000-0000-00000F7F0000}"/>
    <cellStyle name="Output 4 2 2 3 3 3" xfId="37050" xr:uid="{00000000-0005-0000-0000-0000107F0000}"/>
    <cellStyle name="Output 4 2 2 3 3 4" xfId="16416" xr:uid="{00000000-0005-0000-0000-0000117F0000}"/>
    <cellStyle name="Output 4 2 2 3 4" xfId="9892" xr:uid="{00000000-0005-0000-0000-0000127F0000}"/>
    <cellStyle name="Output 4 2 2 3 4 2" xfId="28864" xr:uid="{00000000-0005-0000-0000-0000137F0000}"/>
    <cellStyle name="Output 4 2 2 3 4 3" xfId="39709" xr:uid="{00000000-0005-0000-0000-0000147F0000}"/>
    <cellStyle name="Output 4 2 2 3 4 4" xfId="18320" xr:uid="{00000000-0005-0000-0000-0000157F0000}"/>
    <cellStyle name="Output 4 2 2 3 5" xfId="20688" xr:uid="{00000000-0005-0000-0000-0000167F0000}"/>
    <cellStyle name="Output 4 2 2 3 6" xfId="31533" xr:uid="{00000000-0005-0000-0000-0000177F0000}"/>
    <cellStyle name="Output 4 2 2 3 7" xfId="12466" xr:uid="{00000000-0005-0000-0000-0000187F0000}"/>
    <cellStyle name="Output 4 2 2 4" xfId="2112" xr:uid="{00000000-0005-0000-0000-0000197F0000}"/>
    <cellStyle name="Output 4 2 2 4 2" xfId="4965" xr:uid="{00000000-0005-0000-0000-00001A7F0000}"/>
    <cellStyle name="Output 4 2 2 4 2 2" xfId="23937" xr:uid="{00000000-0005-0000-0000-00001B7F0000}"/>
    <cellStyle name="Output 4 2 2 4 2 3" xfId="34782" xr:uid="{00000000-0005-0000-0000-00001C7F0000}"/>
    <cellStyle name="Output 4 2 2 4 2 4" xfId="14789" xr:uid="{00000000-0005-0000-0000-00001D7F0000}"/>
    <cellStyle name="Output 4 2 2 4 3" xfId="7636" xr:uid="{00000000-0005-0000-0000-00001E7F0000}"/>
    <cellStyle name="Output 4 2 2 4 3 2" xfId="26608" xr:uid="{00000000-0005-0000-0000-00001F7F0000}"/>
    <cellStyle name="Output 4 2 2 4 3 3" xfId="37453" xr:uid="{00000000-0005-0000-0000-0000207F0000}"/>
    <cellStyle name="Output 4 2 2 4 3 4" xfId="16702" xr:uid="{00000000-0005-0000-0000-0000217F0000}"/>
    <cellStyle name="Output 4 2 2 4 4" xfId="10295" xr:uid="{00000000-0005-0000-0000-0000227F0000}"/>
    <cellStyle name="Output 4 2 2 4 4 2" xfId="29267" xr:uid="{00000000-0005-0000-0000-0000237F0000}"/>
    <cellStyle name="Output 4 2 2 4 4 3" xfId="40112" xr:uid="{00000000-0005-0000-0000-0000247F0000}"/>
    <cellStyle name="Output 4 2 2 4 4 4" xfId="18606" xr:uid="{00000000-0005-0000-0000-0000257F0000}"/>
    <cellStyle name="Output 4 2 2 4 5" xfId="21091" xr:uid="{00000000-0005-0000-0000-0000267F0000}"/>
    <cellStyle name="Output 4 2 2 4 6" xfId="31936" xr:uid="{00000000-0005-0000-0000-0000277F0000}"/>
    <cellStyle name="Output 4 2 2 4 7" xfId="12752" xr:uid="{00000000-0005-0000-0000-0000287F0000}"/>
    <cellStyle name="Output 4 2 2 5" xfId="2502" xr:uid="{00000000-0005-0000-0000-0000297F0000}"/>
    <cellStyle name="Output 4 2 2 5 2" xfId="5354" xr:uid="{00000000-0005-0000-0000-00002A7F0000}"/>
    <cellStyle name="Output 4 2 2 5 2 2" xfId="24326" xr:uid="{00000000-0005-0000-0000-00002B7F0000}"/>
    <cellStyle name="Output 4 2 2 5 2 3" xfId="35171" xr:uid="{00000000-0005-0000-0000-00002C7F0000}"/>
    <cellStyle name="Output 4 2 2 5 2 4" xfId="15068" xr:uid="{00000000-0005-0000-0000-00002D7F0000}"/>
    <cellStyle name="Output 4 2 2 5 3" xfId="8025" xr:uid="{00000000-0005-0000-0000-00002E7F0000}"/>
    <cellStyle name="Output 4 2 2 5 3 2" xfId="26997" xr:uid="{00000000-0005-0000-0000-00002F7F0000}"/>
    <cellStyle name="Output 4 2 2 5 3 3" xfId="37842" xr:uid="{00000000-0005-0000-0000-0000307F0000}"/>
    <cellStyle name="Output 4 2 2 5 3 4" xfId="16981" xr:uid="{00000000-0005-0000-0000-0000317F0000}"/>
    <cellStyle name="Output 4 2 2 5 4" xfId="10684" xr:uid="{00000000-0005-0000-0000-0000327F0000}"/>
    <cellStyle name="Output 4 2 2 5 4 2" xfId="29656" xr:uid="{00000000-0005-0000-0000-0000337F0000}"/>
    <cellStyle name="Output 4 2 2 5 4 3" xfId="40501" xr:uid="{00000000-0005-0000-0000-0000347F0000}"/>
    <cellStyle name="Output 4 2 2 5 4 4" xfId="18885" xr:uid="{00000000-0005-0000-0000-0000357F0000}"/>
    <cellStyle name="Output 4 2 2 5 5" xfId="21480" xr:uid="{00000000-0005-0000-0000-0000367F0000}"/>
    <cellStyle name="Output 4 2 2 5 6" xfId="32325" xr:uid="{00000000-0005-0000-0000-0000377F0000}"/>
    <cellStyle name="Output 4 2 2 5 7" xfId="13031" xr:uid="{00000000-0005-0000-0000-0000387F0000}"/>
    <cellStyle name="Output 4 2 2 6" xfId="2888" xr:uid="{00000000-0005-0000-0000-0000397F0000}"/>
    <cellStyle name="Output 4 2 2 6 2" xfId="5739" xr:uid="{00000000-0005-0000-0000-00003A7F0000}"/>
    <cellStyle name="Output 4 2 2 6 2 2" xfId="24711" xr:uid="{00000000-0005-0000-0000-00003B7F0000}"/>
    <cellStyle name="Output 4 2 2 6 2 3" xfId="35556" xr:uid="{00000000-0005-0000-0000-00003C7F0000}"/>
    <cellStyle name="Output 4 2 2 6 2 4" xfId="15344" xr:uid="{00000000-0005-0000-0000-00003D7F0000}"/>
    <cellStyle name="Output 4 2 2 6 3" xfId="8410" xr:uid="{00000000-0005-0000-0000-00003E7F0000}"/>
    <cellStyle name="Output 4 2 2 6 3 2" xfId="27382" xr:uid="{00000000-0005-0000-0000-00003F7F0000}"/>
    <cellStyle name="Output 4 2 2 6 3 3" xfId="38227" xr:uid="{00000000-0005-0000-0000-0000407F0000}"/>
    <cellStyle name="Output 4 2 2 6 3 4" xfId="17257" xr:uid="{00000000-0005-0000-0000-0000417F0000}"/>
    <cellStyle name="Output 4 2 2 6 4" xfId="11069" xr:uid="{00000000-0005-0000-0000-0000427F0000}"/>
    <cellStyle name="Output 4 2 2 6 4 2" xfId="30041" xr:uid="{00000000-0005-0000-0000-0000437F0000}"/>
    <cellStyle name="Output 4 2 2 6 4 3" xfId="40886" xr:uid="{00000000-0005-0000-0000-0000447F0000}"/>
    <cellStyle name="Output 4 2 2 6 4 4" xfId="19161" xr:uid="{00000000-0005-0000-0000-0000457F0000}"/>
    <cellStyle name="Output 4 2 2 6 5" xfId="21865" xr:uid="{00000000-0005-0000-0000-0000467F0000}"/>
    <cellStyle name="Output 4 2 2 6 6" xfId="32710" xr:uid="{00000000-0005-0000-0000-0000477F0000}"/>
    <cellStyle name="Output 4 2 2 6 7" xfId="13307" xr:uid="{00000000-0005-0000-0000-0000487F0000}"/>
    <cellStyle name="Output 4 2 2 7" xfId="3577" xr:uid="{00000000-0005-0000-0000-0000497F0000}"/>
    <cellStyle name="Output 4 2 2 7 2" xfId="22549" xr:uid="{00000000-0005-0000-0000-00004A7F0000}"/>
    <cellStyle name="Output 4 2 2 7 3" xfId="33394" xr:uid="{00000000-0005-0000-0000-00004B7F0000}"/>
    <cellStyle name="Output 4 2 2 7 4" xfId="13788" xr:uid="{00000000-0005-0000-0000-00004C7F0000}"/>
    <cellStyle name="Output 4 2 2 8" xfId="6252" xr:uid="{00000000-0005-0000-0000-00004D7F0000}"/>
    <cellStyle name="Output 4 2 2 8 2" xfId="25224" xr:uid="{00000000-0005-0000-0000-00004E7F0000}"/>
    <cellStyle name="Output 4 2 2 8 3" xfId="36069" xr:uid="{00000000-0005-0000-0000-00004F7F0000}"/>
    <cellStyle name="Output 4 2 2 8 4" xfId="15704" xr:uid="{00000000-0005-0000-0000-0000507F0000}"/>
    <cellStyle name="Output 4 2 2 9" xfId="8911" xr:uid="{00000000-0005-0000-0000-0000517F0000}"/>
    <cellStyle name="Output 4 2 2 9 2" xfId="27883" xr:uid="{00000000-0005-0000-0000-0000527F0000}"/>
    <cellStyle name="Output 4 2 2 9 3" xfId="38728" xr:uid="{00000000-0005-0000-0000-0000537F0000}"/>
    <cellStyle name="Output 4 2 2 9 4" xfId="17608" xr:uid="{00000000-0005-0000-0000-0000547F0000}"/>
    <cellStyle name="Output 4 2 3" xfId="781" xr:uid="{00000000-0005-0000-0000-0000557F0000}"/>
    <cellStyle name="Output 4 2 3 10" xfId="19766" xr:uid="{00000000-0005-0000-0000-0000567F0000}"/>
    <cellStyle name="Output 4 2 3 11" xfId="30611" xr:uid="{00000000-0005-0000-0000-0000577F0000}"/>
    <cellStyle name="Output 4 2 3 12" xfId="11793" xr:uid="{00000000-0005-0000-0000-0000587F0000}"/>
    <cellStyle name="Output 4 2 3 2" xfId="1368" xr:uid="{00000000-0005-0000-0000-0000597F0000}"/>
    <cellStyle name="Output 4 2 3 2 2" xfId="4221" xr:uid="{00000000-0005-0000-0000-00005A7F0000}"/>
    <cellStyle name="Output 4 2 3 2 2 2" xfId="23193" xr:uid="{00000000-0005-0000-0000-00005B7F0000}"/>
    <cellStyle name="Output 4 2 3 2 2 3" xfId="34038" xr:uid="{00000000-0005-0000-0000-00005C7F0000}"/>
    <cellStyle name="Output 4 2 3 2 2 4" xfId="14254" xr:uid="{00000000-0005-0000-0000-00005D7F0000}"/>
    <cellStyle name="Output 4 2 3 2 3" xfId="6894" xr:uid="{00000000-0005-0000-0000-00005E7F0000}"/>
    <cellStyle name="Output 4 2 3 2 3 2" xfId="25866" xr:uid="{00000000-0005-0000-0000-00005F7F0000}"/>
    <cellStyle name="Output 4 2 3 2 3 3" xfId="36711" xr:uid="{00000000-0005-0000-0000-0000607F0000}"/>
    <cellStyle name="Output 4 2 3 2 3 4" xfId="16169" xr:uid="{00000000-0005-0000-0000-0000617F0000}"/>
    <cellStyle name="Output 4 2 3 2 4" xfId="9553" xr:uid="{00000000-0005-0000-0000-0000627F0000}"/>
    <cellStyle name="Output 4 2 3 2 4 2" xfId="28525" xr:uid="{00000000-0005-0000-0000-0000637F0000}"/>
    <cellStyle name="Output 4 2 3 2 4 3" xfId="39370" xr:uid="{00000000-0005-0000-0000-0000647F0000}"/>
    <cellStyle name="Output 4 2 3 2 4 4" xfId="18073" xr:uid="{00000000-0005-0000-0000-0000657F0000}"/>
    <cellStyle name="Output 4 2 3 2 5" xfId="20349" xr:uid="{00000000-0005-0000-0000-0000667F0000}"/>
    <cellStyle name="Output 4 2 3 2 6" xfId="31194" xr:uid="{00000000-0005-0000-0000-0000677F0000}"/>
    <cellStyle name="Output 4 2 3 2 7" xfId="12219" xr:uid="{00000000-0005-0000-0000-0000687F0000}"/>
    <cellStyle name="Output 4 2 3 3" xfId="1767" xr:uid="{00000000-0005-0000-0000-0000697F0000}"/>
    <cellStyle name="Output 4 2 3 3 2" xfId="4620" xr:uid="{00000000-0005-0000-0000-00006A7F0000}"/>
    <cellStyle name="Output 4 2 3 3 2 2" xfId="23592" xr:uid="{00000000-0005-0000-0000-00006B7F0000}"/>
    <cellStyle name="Output 4 2 3 3 2 3" xfId="34437" xr:uid="{00000000-0005-0000-0000-00006C7F0000}"/>
    <cellStyle name="Output 4 2 3 3 2 4" xfId="14541" xr:uid="{00000000-0005-0000-0000-00006D7F0000}"/>
    <cellStyle name="Output 4 2 3 3 3" xfId="7292" xr:uid="{00000000-0005-0000-0000-00006E7F0000}"/>
    <cellStyle name="Output 4 2 3 3 3 2" xfId="26264" xr:uid="{00000000-0005-0000-0000-00006F7F0000}"/>
    <cellStyle name="Output 4 2 3 3 3 3" xfId="37109" xr:uid="{00000000-0005-0000-0000-0000707F0000}"/>
    <cellStyle name="Output 4 2 3 3 3 4" xfId="16455" xr:uid="{00000000-0005-0000-0000-0000717F0000}"/>
    <cellStyle name="Output 4 2 3 3 4" xfId="9951" xr:uid="{00000000-0005-0000-0000-0000727F0000}"/>
    <cellStyle name="Output 4 2 3 3 4 2" xfId="28923" xr:uid="{00000000-0005-0000-0000-0000737F0000}"/>
    <cellStyle name="Output 4 2 3 3 4 3" xfId="39768" xr:uid="{00000000-0005-0000-0000-0000747F0000}"/>
    <cellStyle name="Output 4 2 3 3 4 4" xfId="18359" xr:uid="{00000000-0005-0000-0000-0000757F0000}"/>
    <cellStyle name="Output 4 2 3 3 5" xfId="20747" xr:uid="{00000000-0005-0000-0000-0000767F0000}"/>
    <cellStyle name="Output 4 2 3 3 6" xfId="31592" xr:uid="{00000000-0005-0000-0000-0000777F0000}"/>
    <cellStyle name="Output 4 2 3 3 7" xfId="12505" xr:uid="{00000000-0005-0000-0000-0000787F0000}"/>
    <cellStyle name="Output 4 2 3 4" xfId="2171" xr:uid="{00000000-0005-0000-0000-0000797F0000}"/>
    <cellStyle name="Output 4 2 3 4 2" xfId="5024" xr:uid="{00000000-0005-0000-0000-00007A7F0000}"/>
    <cellStyle name="Output 4 2 3 4 2 2" xfId="23996" xr:uid="{00000000-0005-0000-0000-00007B7F0000}"/>
    <cellStyle name="Output 4 2 3 4 2 3" xfId="34841" xr:uid="{00000000-0005-0000-0000-00007C7F0000}"/>
    <cellStyle name="Output 4 2 3 4 2 4" xfId="14828" xr:uid="{00000000-0005-0000-0000-00007D7F0000}"/>
    <cellStyle name="Output 4 2 3 4 3" xfId="7695" xr:uid="{00000000-0005-0000-0000-00007E7F0000}"/>
    <cellStyle name="Output 4 2 3 4 3 2" xfId="26667" xr:uid="{00000000-0005-0000-0000-00007F7F0000}"/>
    <cellStyle name="Output 4 2 3 4 3 3" xfId="37512" xr:uid="{00000000-0005-0000-0000-0000807F0000}"/>
    <cellStyle name="Output 4 2 3 4 3 4" xfId="16741" xr:uid="{00000000-0005-0000-0000-0000817F0000}"/>
    <cellStyle name="Output 4 2 3 4 4" xfId="10354" xr:uid="{00000000-0005-0000-0000-0000827F0000}"/>
    <cellStyle name="Output 4 2 3 4 4 2" xfId="29326" xr:uid="{00000000-0005-0000-0000-0000837F0000}"/>
    <cellStyle name="Output 4 2 3 4 4 3" xfId="40171" xr:uid="{00000000-0005-0000-0000-0000847F0000}"/>
    <cellStyle name="Output 4 2 3 4 4 4" xfId="18645" xr:uid="{00000000-0005-0000-0000-0000857F0000}"/>
    <cellStyle name="Output 4 2 3 4 5" xfId="21150" xr:uid="{00000000-0005-0000-0000-0000867F0000}"/>
    <cellStyle name="Output 4 2 3 4 6" xfId="31995" xr:uid="{00000000-0005-0000-0000-0000877F0000}"/>
    <cellStyle name="Output 4 2 3 4 7" xfId="12791" xr:uid="{00000000-0005-0000-0000-0000887F0000}"/>
    <cellStyle name="Output 4 2 3 5" xfId="2561" xr:uid="{00000000-0005-0000-0000-0000897F0000}"/>
    <cellStyle name="Output 4 2 3 5 2" xfId="5413" xr:uid="{00000000-0005-0000-0000-00008A7F0000}"/>
    <cellStyle name="Output 4 2 3 5 2 2" xfId="24385" xr:uid="{00000000-0005-0000-0000-00008B7F0000}"/>
    <cellStyle name="Output 4 2 3 5 2 3" xfId="35230" xr:uid="{00000000-0005-0000-0000-00008C7F0000}"/>
    <cellStyle name="Output 4 2 3 5 2 4" xfId="15107" xr:uid="{00000000-0005-0000-0000-00008D7F0000}"/>
    <cellStyle name="Output 4 2 3 5 3" xfId="8084" xr:uid="{00000000-0005-0000-0000-00008E7F0000}"/>
    <cellStyle name="Output 4 2 3 5 3 2" xfId="27056" xr:uid="{00000000-0005-0000-0000-00008F7F0000}"/>
    <cellStyle name="Output 4 2 3 5 3 3" xfId="37901" xr:uid="{00000000-0005-0000-0000-0000907F0000}"/>
    <cellStyle name="Output 4 2 3 5 3 4" xfId="17020" xr:uid="{00000000-0005-0000-0000-0000917F0000}"/>
    <cellStyle name="Output 4 2 3 5 4" xfId="10743" xr:uid="{00000000-0005-0000-0000-0000927F0000}"/>
    <cellStyle name="Output 4 2 3 5 4 2" xfId="29715" xr:uid="{00000000-0005-0000-0000-0000937F0000}"/>
    <cellStyle name="Output 4 2 3 5 4 3" xfId="40560" xr:uid="{00000000-0005-0000-0000-0000947F0000}"/>
    <cellStyle name="Output 4 2 3 5 4 4" xfId="18924" xr:uid="{00000000-0005-0000-0000-0000957F0000}"/>
    <cellStyle name="Output 4 2 3 5 5" xfId="21539" xr:uid="{00000000-0005-0000-0000-0000967F0000}"/>
    <cellStyle name="Output 4 2 3 5 6" xfId="32384" xr:uid="{00000000-0005-0000-0000-0000977F0000}"/>
    <cellStyle name="Output 4 2 3 5 7" xfId="13070" xr:uid="{00000000-0005-0000-0000-0000987F0000}"/>
    <cellStyle name="Output 4 2 3 6" xfId="2947" xr:uid="{00000000-0005-0000-0000-0000997F0000}"/>
    <cellStyle name="Output 4 2 3 6 2" xfId="5798" xr:uid="{00000000-0005-0000-0000-00009A7F0000}"/>
    <cellStyle name="Output 4 2 3 6 2 2" xfId="24770" xr:uid="{00000000-0005-0000-0000-00009B7F0000}"/>
    <cellStyle name="Output 4 2 3 6 2 3" xfId="35615" xr:uid="{00000000-0005-0000-0000-00009C7F0000}"/>
    <cellStyle name="Output 4 2 3 6 2 4" xfId="15383" xr:uid="{00000000-0005-0000-0000-00009D7F0000}"/>
    <cellStyle name="Output 4 2 3 6 3" xfId="8469" xr:uid="{00000000-0005-0000-0000-00009E7F0000}"/>
    <cellStyle name="Output 4 2 3 6 3 2" xfId="27441" xr:uid="{00000000-0005-0000-0000-00009F7F0000}"/>
    <cellStyle name="Output 4 2 3 6 3 3" xfId="38286" xr:uid="{00000000-0005-0000-0000-0000A07F0000}"/>
    <cellStyle name="Output 4 2 3 6 3 4" xfId="17296" xr:uid="{00000000-0005-0000-0000-0000A17F0000}"/>
    <cellStyle name="Output 4 2 3 6 4" xfId="11128" xr:uid="{00000000-0005-0000-0000-0000A27F0000}"/>
    <cellStyle name="Output 4 2 3 6 4 2" xfId="30100" xr:uid="{00000000-0005-0000-0000-0000A37F0000}"/>
    <cellStyle name="Output 4 2 3 6 4 3" xfId="40945" xr:uid="{00000000-0005-0000-0000-0000A47F0000}"/>
    <cellStyle name="Output 4 2 3 6 4 4" xfId="19200" xr:uid="{00000000-0005-0000-0000-0000A57F0000}"/>
    <cellStyle name="Output 4 2 3 6 5" xfId="21924" xr:uid="{00000000-0005-0000-0000-0000A67F0000}"/>
    <cellStyle name="Output 4 2 3 6 6" xfId="32769" xr:uid="{00000000-0005-0000-0000-0000A77F0000}"/>
    <cellStyle name="Output 4 2 3 6 7" xfId="13346" xr:uid="{00000000-0005-0000-0000-0000A87F0000}"/>
    <cellStyle name="Output 4 2 3 7" xfId="3636" xr:uid="{00000000-0005-0000-0000-0000A97F0000}"/>
    <cellStyle name="Output 4 2 3 7 2" xfId="22608" xr:uid="{00000000-0005-0000-0000-0000AA7F0000}"/>
    <cellStyle name="Output 4 2 3 7 3" xfId="33453" xr:uid="{00000000-0005-0000-0000-0000AB7F0000}"/>
    <cellStyle name="Output 4 2 3 7 4" xfId="13827" xr:uid="{00000000-0005-0000-0000-0000AC7F0000}"/>
    <cellStyle name="Output 4 2 3 8" xfId="6311" xr:uid="{00000000-0005-0000-0000-0000AD7F0000}"/>
    <cellStyle name="Output 4 2 3 8 2" xfId="25283" xr:uid="{00000000-0005-0000-0000-0000AE7F0000}"/>
    <cellStyle name="Output 4 2 3 8 3" xfId="36128" xr:uid="{00000000-0005-0000-0000-0000AF7F0000}"/>
    <cellStyle name="Output 4 2 3 8 4" xfId="15743" xr:uid="{00000000-0005-0000-0000-0000B07F0000}"/>
    <cellStyle name="Output 4 2 3 9" xfId="8970" xr:uid="{00000000-0005-0000-0000-0000B17F0000}"/>
    <cellStyle name="Output 4 2 3 9 2" xfId="27942" xr:uid="{00000000-0005-0000-0000-0000B27F0000}"/>
    <cellStyle name="Output 4 2 3 9 3" xfId="38787" xr:uid="{00000000-0005-0000-0000-0000B37F0000}"/>
    <cellStyle name="Output 4 2 3 9 4" xfId="17647" xr:uid="{00000000-0005-0000-0000-0000B47F0000}"/>
    <cellStyle name="Output 4 2 4" xfId="840" xr:uid="{00000000-0005-0000-0000-0000B57F0000}"/>
    <cellStyle name="Output 4 2 4 10" xfId="19825" xr:uid="{00000000-0005-0000-0000-0000B67F0000}"/>
    <cellStyle name="Output 4 2 4 11" xfId="30670" xr:uid="{00000000-0005-0000-0000-0000B77F0000}"/>
    <cellStyle name="Output 4 2 4 12" xfId="11832" xr:uid="{00000000-0005-0000-0000-0000B87F0000}"/>
    <cellStyle name="Output 4 2 4 2" xfId="1427" xr:uid="{00000000-0005-0000-0000-0000B97F0000}"/>
    <cellStyle name="Output 4 2 4 2 2" xfId="4280" xr:uid="{00000000-0005-0000-0000-0000BA7F0000}"/>
    <cellStyle name="Output 4 2 4 2 2 2" xfId="23252" xr:uid="{00000000-0005-0000-0000-0000BB7F0000}"/>
    <cellStyle name="Output 4 2 4 2 2 3" xfId="34097" xr:uid="{00000000-0005-0000-0000-0000BC7F0000}"/>
    <cellStyle name="Output 4 2 4 2 2 4" xfId="14293" xr:uid="{00000000-0005-0000-0000-0000BD7F0000}"/>
    <cellStyle name="Output 4 2 4 2 3" xfId="6953" xr:uid="{00000000-0005-0000-0000-0000BE7F0000}"/>
    <cellStyle name="Output 4 2 4 2 3 2" xfId="25925" xr:uid="{00000000-0005-0000-0000-0000BF7F0000}"/>
    <cellStyle name="Output 4 2 4 2 3 3" xfId="36770" xr:uid="{00000000-0005-0000-0000-0000C07F0000}"/>
    <cellStyle name="Output 4 2 4 2 3 4" xfId="16208" xr:uid="{00000000-0005-0000-0000-0000C17F0000}"/>
    <cellStyle name="Output 4 2 4 2 4" xfId="9612" xr:uid="{00000000-0005-0000-0000-0000C27F0000}"/>
    <cellStyle name="Output 4 2 4 2 4 2" xfId="28584" xr:uid="{00000000-0005-0000-0000-0000C37F0000}"/>
    <cellStyle name="Output 4 2 4 2 4 3" xfId="39429" xr:uid="{00000000-0005-0000-0000-0000C47F0000}"/>
    <cellStyle name="Output 4 2 4 2 4 4" xfId="18112" xr:uid="{00000000-0005-0000-0000-0000C57F0000}"/>
    <cellStyle name="Output 4 2 4 2 5" xfId="20408" xr:uid="{00000000-0005-0000-0000-0000C67F0000}"/>
    <cellStyle name="Output 4 2 4 2 6" xfId="31253" xr:uid="{00000000-0005-0000-0000-0000C77F0000}"/>
    <cellStyle name="Output 4 2 4 2 7" xfId="12258" xr:uid="{00000000-0005-0000-0000-0000C87F0000}"/>
    <cellStyle name="Output 4 2 4 3" xfId="1826" xr:uid="{00000000-0005-0000-0000-0000C97F0000}"/>
    <cellStyle name="Output 4 2 4 3 2" xfId="4679" xr:uid="{00000000-0005-0000-0000-0000CA7F0000}"/>
    <cellStyle name="Output 4 2 4 3 2 2" xfId="23651" xr:uid="{00000000-0005-0000-0000-0000CB7F0000}"/>
    <cellStyle name="Output 4 2 4 3 2 3" xfId="34496" xr:uid="{00000000-0005-0000-0000-0000CC7F0000}"/>
    <cellStyle name="Output 4 2 4 3 2 4" xfId="14580" xr:uid="{00000000-0005-0000-0000-0000CD7F0000}"/>
    <cellStyle name="Output 4 2 4 3 3" xfId="7351" xr:uid="{00000000-0005-0000-0000-0000CE7F0000}"/>
    <cellStyle name="Output 4 2 4 3 3 2" xfId="26323" xr:uid="{00000000-0005-0000-0000-0000CF7F0000}"/>
    <cellStyle name="Output 4 2 4 3 3 3" xfId="37168" xr:uid="{00000000-0005-0000-0000-0000D07F0000}"/>
    <cellStyle name="Output 4 2 4 3 3 4" xfId="16494" xr:uid="{00000000-0005-0000-0000-0000D17F0000}"/>
    <cellStyle name="Output 4 2 4 3 4" xfId="10010" xr:uid="{00000000-0005-0000-0000-0000D27F0000}"/>
    <cellStyle name="Output 4 2 4 3 4 2" xfId="28982" xr:uid="{00000000-0005-0000-0000-0000D37F0000}"/>
    <cellStyle name="Output 4 2 4 3 4 3" xfId="39827" xr:uid="{00000000-0005-0000-0000-0000D47F0000}"/>
    <cellStyle name="Output 4 2 4 3 4 4" xfId="18398" xr:uid="{00000000-0005-0000-0000-0000D57F0000}"/>
    <cellStyle name="Output 4 2 4 3 5" xfId="20806" xr:uid="{00000000-0005-0000-0000-0000D67F0000}"/>
    <cellStyle name="Output 4 2 4 3 6" xfId="31651" xr:uid="{00000000-0005-0000-0000-0000D77F0000}"/>
    <cellStyle name="Output 4 2 4 3 7" xfId="12544" xr:uid="{00000000-0005-0000-0000-0000D87F0000}"/>
    <cellStyle name="Output 4 2 4 4" xfId="2230" xr:uid="{00000000-0005-0000-0000-0000D97F0000}"/>
    <cellStyle name="Output 4 2 4 4 2" xfId="5083" xr:uid="{00000000-0005-0000-0000-0000DA7F0000}"/>
    <cellStyle name="Output 4 2 4 4 2 2" xfId="24055" xr:uid="{00000000-0005-0000-0000-0000DB7F0000}"/>
    <cellStyle name="Output 4 2 4 4 2 3" xfId="34900" xr:uid="{00000000-0005-0000-0000-0000DC7F0000}"/>
    <cellStyle name="Output 4 2 4 4 2 4" xfId="14867" xr:uid="{00000000-0005-0000-0000-0000DD7F0000}"/>
    <cellStyle name="Output 4 2 4 4 3" xfId="7754" xr:uid="{00000000-0005-0000-0000-0000DE7F0000}"/>
    <cellStyle name="Output 4 2 4 4 3 2" xfId="26726" xr:uid="{00000000-0005-0000-0000-0000DF7F0000}"/>
    <cellStyle name="Output 4 2 4 4 3 3" xfId="37571" xr:uid="{00000000-0005-0000-0000-0000E07F0000}"/>
    <cellStyle name="Output 4 2 4 4 3 4" xfId="16780" xr:uid="{00000000-0005-0000-0000-0000E17F0000}"/>
    <cellStyle name="Output 4 2 4 4 4" xfId="10413" xr:uid="{00000000-0005-0000-0000-0000E27F0000}"/>
    <cellStyle name="Output 4 2 4 4 4 2" xfId="29385" xr:uid="{00000000-0005-0000-0000-0000E37F0000}"/>
    <cellStyle name="Output 4 2 4 4 4 3" xfId="40230" xr:uid="{00000000-0005-0000-0000-0000E47F0000}"/>
    <cellStyle name="Output 4 2 4 4 4 4" xfId="18684" xr:uid="{00000000-0005-0000-0000-0000E57F0000}"/>
    <cellStyle name="Output 4 2 4 4 5" xfId="21209" xr:uid="{00000000-0005-0000-0000-0000E67F0000}"/>
    <cellStyle name="Output 4 2 4 4 6" xfId="32054" xr:uid="{00000000-0005-0000-0000-0000E77F0000}"/>
    <cellStyle name="Output 4 2 4 4 7" xfId="12830" xr:uid="{00000000-0005-0000-0000-0000E87F0000}"/>
    <cellStyle name="Output 4 2 4 5" xfId="2620" xr:uid="{00000000-0005-0000-0000-0000E97F0000}"/>
    <cellStyle name="Output 4 2 4 5 2" xfId="5472" xr:uid="{00000000-0005-0000-0000-0000EA7F0000}"/>
    <cellStyle name="Output 4 2 4 5 2 2" xfId="24444" xr:uid="{00000000-0005-0000-0000-0000EB7F0000}"/>
    <cellStyle name="Output 4 2 4 5 2 3" xfId="35289" xr:uid="{00000000-0005-0000-0000-0000EC7F0000}"/>
    <cellStyle name="Output 4 2 4 5 2 4" xfId="15146" xr:uid="{00000000-0005-0000-0000-0000ED7F0000}"/>
    <cellStyle name="Output 4 2 4 5 3" xfId="8143" xr:uid="{00000000-0005-0000-0000-0000EE7F0000}"/>
    <cellStyle name="Output 4 2 4 5 3 2" xfId="27115" xr:uid="{00000000-0005-0000-0000-0000EF7F0000}"/>
    <cellStyle name="Output 4 2 4 5 3 3" xfId="37960" xr:uid="{00000000-0005-0000-0000-0000F07F0000}"/>
    <cellStyle name="Output 4 2 4 5 3 4" xfId="17059" xr:uid="{00000000-0005-0000-0000-0000F17F0000}"/>
    <cellStyle name="Output 4 2 4 5 4" xfId="10802" xr:uid="{00000000-0005-0000-0000-0000F27F0000}"/>
    <cellStyle name="Output 4 2 4 5 4 2" xfId="29774" xr:uid="{00000000-0005-0000-0000-0000F37F0000}"/>
    <cellStyle name="Output 4 2 4 5 4 3" xfId="40619" xr:uid="{00000000-0005-0000-0000-0000F47F0000}"/>
    <cellStyle name="Output 4 2 4 5 4 4" xfId="18963" xr:uid="{00000000-0005-0000-0000-0000F57F0000}"/>
    <cellStyle name="Output 4 2 4 5 5" xfId="21598" xr:uid="{00000000-0005-0000-0000-0000F67F0000}"/>
    <cellStyle name="Output 4 2 4 5 6" xfId="32443" xr:uid="{00000000-0005-0000-0000-0000F77F0000}"/>
    <cellStyle name="Output 4 2 4 5 7" xfId="13109" xr:uid="{00000000-0005-0000-0000-0000F87F0000}"/>
    <cellStyle name="Output 4 2 4 6" xfId="3006" xr:uid="{00000000-0005-0000-0000-0000F97F0000}"/>
    <cellStyle name="Output 4 2 4 6 2" xfId="5857" xr:uid="{00000000-0005-0000-0000-0000FA7F0000}"/>
    <cellStyle name="Output 4 2 4 6 2 2" xfId="24829" xr:uid="{00000000-0005-0000-0000-0000FB7F0000}"/>
    <cellStyle name="Output 4 2 4 6 2 3" xfId="35674" xr:uid="{00000000-0005-0000-0000-0000FC7F0000}"/>
    <cellStyle name="Output 4 2 4 6 2 4" xfId="15422" xr:uid="{00000000-0005-0000-0000-0000FD7F0000}"/>
    <cellStyle name="Output 4 2 4 6 3" xfId="8528" xr:uid="{00000000-0005-0000-0000-0000FE7F0000}"/>
    <cellStyle name="Output 4 2 4 6 3 2" xfId="27500" xr:uid="{00000000-0005-0000-0000-0000FF7F0000}"/>
    <cellStyle name="Output 4 2 4 6 3 3" xfId="38345" xr:uid="{00000000-0005-0000-0000-000000800000}"/>
    <cellStyle name="Output 4 2 4 6 3 4" xfId="17335" xr:uid="{00000000-0005-0000-0000-000001800000}"/>
    <cellStyle name="Output 4 2 4 6 4" xfId="11187" xr:uid="{00000000-0005-0000-0000-000002800000}"/>
    <cellStyle name="Output 4 2 4 6 4 2" xfId="30159" xr:uid="{00000000-0005-0000-0000-000003800000}"/>
    <cellStyle name="Output 4 2 4 6 4 3" xfId="41004" xr:uid="{00000000-0005-0000-0000-000004800000}"/>
    <cellStyle name="Output 4 2 4 6 4 4" xfId="19239" xr:uid="{00000000-0005-0000-0000-000005800000}"/>
    <cellStyle name="Output 4 2 4 6 5" xfId="21983" xr:uid="{00000000-0005-0000-0000-000006800000}"/>
    <cellStyle name="Output 4 2 4 6 6" xfId="32828" xr:uid="{00000000-0005-0000-0000-000007800000}"/>
    <cellStyle name="Output 4 2 4 6 7" xfId="13385" xr:uid="{00000000-0005-0000-0000-000008800000}"/>
    <cellStyle name="Output 4 2 4 7" xfId="3695" xr:uid="{00000000-0005-0000-0000-000009800000}"/>
    <cellStyle name="Output 4 2 4 7 2" xfId="22667" xr:uid="{00000000-0005-0000-0000-00000A800000}"/>
    <cellStyle name="Output 4 2 4 7 3" xfId="33512" xr:uid="{00000000-0005-0000-0000-00000B800000}"/>
    <cellStyle name="Output 4 2 4 7 4" xfId="13866" xr:uid="{00000000-0005-0000-0000-00000C800000}"/>
    <cellStyle name="Output 4 2 4 8" xfId="6370" xr:uid="{00000000-0005-0000-0000-00000D800000}"/>
    <cellStyle name="Output 4 2 4 8 2" xfId="25342" xr:uid="{00000000-0005-0000-0000-00000E800000}"/>
    <cellStyle name="Output 4 2 4 8 3" xfId="36187" xr:uid="{00000000-0005-0000-0000-00000F800000}"/>
    <cellStyle name="Output 4 2 4 8 4" xfId="15782" xr:uid="{00000000-0005-0000-0000-000010800000}"/>
    <cellStyle name="Output 4 2 4 9" xfId="9029" xr:uid="{00000000-0005-0000-0000-000011800000}"/>
    <cellStyle name="Output 4 2 4 9 2" xfId="28001" xr:uid="{00000000-0005-0000-0000-000012800000}"/>
    <cellStyle name="Output 4 2 4 9 3" xfId="38846" xr:uid="{00000000-0005-0000-0000-000013800000}"/>
    <cellStyle name="Output 4 2 4 9 4" xfId="17686" xr:uid="{00000000-0005-0000-0000-000014800000}"/>
    <cellStyle name="Output 4 2 5" xfId="899" xr:uid="{00000000-0005-0000-0000-000015800000}"/>
    <cellStyle name="Output 4 2 5 10" xfId="19884" xr:uid="{00000000-0005-0000-0000-000016800000}"/>
    <cellStyle name="Output 4 2 5 11" xfId="30729" xr:uid="{00000000-0005-0000-0000-000017800000}"/>
    <cellStyle name="Output 4 2 5 12" xfId="11871" xr:uid="{00000000-0005-0000-0000-000018800000}"/>
    <cellStyle name="Output 4 2 5 2" xfId="1486" xr:uid="{00000000-0005-0000-0000-000019800000}"/>
    <cellStyle name="Output 4 2 5 2 2" xfId="4339" xr:uid="{00000000-0005-0000-0000-00001A800000}"/>
    <cellStyle name="Output 4 2 5 2 2 2" xfId="23311" xr:uid="{00000000-0005-0000-0000-00001B800000}"/>
    <cellStyle name="Output 4 2 5 2 2 3" xfId="34156" xr:uid="{00000000-0005-0000-0000-00001C800000}"/>
    <cellStyle name="Output 4 2 5 2 2 4" xfId="14332" xr:uid="{00000000-0005-0000-0000-00001D800000}"/>
    <cellStyle name="Output 4 2 5 2 3" xfId="7012" xr:uid="{00000000-0005-0000-0000-00001E800000}"/>
    <cellStyle name="Output 4 2 5 2 3 2" xfId="25984" xr:uid="{00000000-0005-0000-0000-00001F800000}"/>
    <cellStyle name="Output 4 2 5 2 3 3" xfId="36829" xr:uid="{00000000-0005-0000-0000-000020800000}"/>
    <cellStyle name="Output 4 2 5 2 3 4" xfId="16247" xr:uid="{00000000-0005-0000-0000-000021800000}"/>
    <cellStyle name="Output 4 2 5 2 4" xfId="9671" xr:uid="{00000000-0005-0000-0000-000022800000}"/>
    <cellStyle name="Output 4 2 5 2 4 2" xfId="28643" xr:uid="{00000000-0005-0000-0000-000023800000}"/>
    <cellStyle name="Output 4 2 5 2 4 3" xfId="39488" xr:uid="{00000000-0005-0000-0000-000024800000}"/>
    <cellStyle name="Output 4 2 5 2 4 4" xfId="18151" xr:uid="{00000000-0005-0000-0000-000025800000}"/>
    <cellStyle name="Output 4 2 5 2 5" xfId="20467" xr:uid="{00000000-0005-0000-0000-000026800000}"/>
    <cellStyle name="Output 4 2 5 2 6" xfId="31312" xr:uid="{00000000-0005-0000-0000-000027800000}"/>
    <cellStyle name="Output 4 2 5 2 7" xfId="12297" xr:uid="{00000000-0005-0000-0000-000028800000}"/>
    <cellStyle name="Output 4 2 5 3" xfId="1885" xr:uid="{00000000-0005-0000-0000-000029800000}"/>
    <cellStyle name="Output 4 2 5 3 2" xfId="4738" xr:uid="{00000000-0005-0000-0000-00002A800000}"/>
    <cellStyle name="Output 4 2 5 3 2 2" xfId="23710" xr:uid="{00000000-0005-0000-0000-00002B800000}"/>
    <cellStyle name="Output 4 2 5 3 2 3" xfId="34555" xr:uid="{00000000-0005-0000-0000-00002C800000}"/>
    <cellStyle name="Output 4 2 5 3 2 4" xfId="14619" xr:uid="{00000000-0005-0000-0000-00002D800000}"/>
    <cellStyle name="Output 4 2 5 3 3" xfId="7410" xr:uid="{00000000-0005-0000-0000-00002E800000}"/>
    <cellStyle name="Output 4 2 5 3 3 2" xfId="26382" xr:uid="{00000000-0005-0000-0000-00002F800000}"/>
    <cellStyle name="Output 4 2 5 3 3 3" xfId="37227" xr:uid="{00000000-0005-0000-0000-000030800000}"/>
    <cellStyle name="Output 4 2 5 3 3 4" xfId="16533" xr:uid="{00000000-0005-0000-0000-000031800000}"/>
    <cellStyle name="Output 4 2 5 3 4" xfId="10069" xr:uid="{00000000-0005-0000-0000-000032800000}"/>
    <cellStyle name="Output 4 2 5 3 4 2" xfId="29041" xr:uid="{00000000-0005-0000-0000-000033800000}"/>
    <cellStyle name="Output 4 2 5 3 4 3" xfId="39886" xr:uid="{00000000-0005-0000-0000-000034800000}"/>
    <cellStyle name="Output 4 2 5 3 4 4" xfId="18437" xr:uid="{00000000-0005-0000-0000-000035800000}"/>
    <cellStyle name="Output 4 2 5 3 5" xfId="20865" xr:uid="{00000000-0005-0000-0000-000036800000}"/>
    <cellStyle name="Output 4 2 5 3 6" xfId="31710" xr:uid="{00000000-0005-0000-0000-000037800000}"/>
    <cellStyle name="Output 4 2 5 3 7" xfId="12583" xr:uid="{00000000-0005-0000-0000-000038800000}"/>
    <cellStyle name="Output 4 2 5 4" xfId="2289" xr:uid="{00000000-0005-0000-0000-000039800000}"/>
    <cellStyle name="Output 4 2 5 4 2" xfId="5142" xr:uid="{00000000-0005-0000-0000-00003A800000}"/>
    <cellStyle name="Output 4 2 5 4 2 2" xfId="24114" xr:uid="{00000000-0005-0000-0000-00003B800000}"/>
    <cellStyle name="Output 4 2 5 4 2 3" xfId="34959" xr:uid="{00000000-0005-0000-0000-00003C800000}"/>
    <cellStyle name="Output 4 2 5 4 2 4" xfId="14906" xr:uid="{00000000-0005-0000-0000-00003D800000}"/>
    <cellStyle name="Output 4 2 5 4 3" xfId="7813" xr:uid="{00000000-0005-0000-0000-00003E800000}"/>
    <cellStyle name="Output 4 2 5 4 3 2" xfId="26785" xr:uid="{00000000-0005-0000-0000-00003F800000}"/>
    <cellStyle name="Output 4 2 5 4 3 3" xfId="37630" xr:uid="{00000000-0005-0000-0000-000040800000}"/>
    <cellStyle name="Output 4 2 5 4 3 4" xfId="16819" xr:uid="{00000000-0005-0000-0000-000041800000}"/>
    <cellStyle name="Output 4 2 5 4 4" xfId="10472" xr:uid="{00000000-0005-0000-0000-000042800000}"/>
    <cellStyle name="Output 4 2 5 4 4 2" xfId="29444" xr:uid="{00000000-0005-0000-0000-000043800000}"/>
    <cellStyle name="Output 4 2 5 4 4 3" xfId="40289" xr:uid="{00000000-0005-0000-0000-000044800000}"/>
    <cellStyle name="Output 4 2 5 4 4 4" xfId="18723" xr:uid="{00000000-0005-0000-0000-000045800000}"/>
    <cellStyle name="Output 4 2 5 4 5" xfId="21268" xr:uid="{00000000-0005-0000-0000-000046800000}"/>
    <cellStyle name="Output 4 2 5 4 6" xfId="32113" xr:uid="{00000000-0005-0000-0000-000047800000}"/>
    <cellStyle name="Output 4 2 5 4 7" xfId="12869" xr:uid="{00000000-0005-0000-0000-000048800000}"/>
    <cellStyle name="Output 4 2 5 5" xfId="2679" xr:uid="{00000000-0005-0000-0000-000049800000}"/>
    <cellStyle name="Output 4 2 5 5 2" xfId="5531" xr:uid="{00000000-0005-0000-0000-00004A800000}"/>
    <cellStyle name="Output 4 2 5 5 2 2" xfId="24503" xr:uid="{00000000-0005-0000-0000-00004B800000}"/>
    <cellStyle name="Output 4 2 5 5 2 3" xfId="35348" xr:uid="{00000000-0005-0000-0000-00004C800000}"/>
    <cellStyle name="Output 4 2 5 5 2 4" xfId="15185" xr:uid="{00000000-0005-0000-0000-00004D800000}"/>
    <cellStyle name="Output 4 2 5 5 3" xfId="8202" xr:uid="{00000000-0005-0000-0000-00004E800000}"/>
    <cellStyle name="Output 4 2 5 5 3 2" xfId="27174" xr:uid="{00000000-0005-0000-0000-00004F800000}"/>
    <cellStyle name="Output 4 2 5 5 3 3" xfId="38019" xr:uid="{00000000-0005-0000-0000-000050800000}"/>
    <cellStyle name="Output 4 2 5 5 3 4" xfId="17098" xr:uid="{00000000-0005-0000-0000-000051800000}"/>
    <cellStyle name="Output 4 2 5 5 4" xfId="10861" xr:uid="{00000000-0005-0000-0000-000052800000}"/>
    <cellStyle name="Output 4 2 5 5 4 2" xfId="29833" xr:uid="{00000000-0005-0000-0000-000053800000}"/>
    <cellStyle name="Output 4 2 5 5 4 3" xfId="40678" xr:uid="{00000000-0005-0000-0000-000054800000}"/>
    <cellStyle name="Output 4 2 5 5 4 4" xfId="19002" xr:uid="{00000000-0005-0000-0000-000055800000}"/>
    <cellStyle name="Output 4 2 5 5 5" xfId="21657" xr:uid="{00000000-0005-0000-0000-000056800000}"/>
    <cellStyle name="Output 4 2 5 5 6" xfId="32502" xr:uid="{00000000-0005-0000-0000-000057800000}"/>
    <cellStyle name="Output 4 2 5 5 7" xfId="13148" xr:uid="{00000000-0005-0000-0000-000058800000}"/>
    <cellStyle name="Output 4 2 5 6" xfId="3065" xr:uid="{00000000-0005-0000-0000-000059800000}"/>
    <cellStyle name="Output 4 2 5 6 2" xfId="5916" xr:uid="{00000000-0005-0000-0000-00005A800000}"/>
    <cellStyle name="Output 4 2 5 6 2 2" xfId="24888" xr:uid="{00000000-0005-0000-0000-00005B800000}"/>
    <cellStyle name="Output 4 2 5 6 2 3" xfId="35733" xr:uid="{00000000-0005-0000-0000-00005C800000}"/>
    <cellStyle name="Output 4 2 5 6 2 4" xfId="15461" xr:uid="{00000000-0005-0000-0000-00005D800000}"/>
    <cellStyle name="Output 4 2 5 6 3" xfId="8587" xr:uid="{00000000-0005-0000-0000-00005E800000}"/>
    <cellStyle name="Output 4 2 5 6 3 2" xfId="27559" xr:uid="{00000000-0005-0000-0000-00005F800000}"/>
    <cellStyle name="Output 4 2 5 6 3 3" xfId="38404" xr:uid="{00000000-0005-0000-0000-000060800000}"/>
    <cellStyle name="Output 4 2 5 6 3 4" xfId="17374" xr:uid="{00000000-0005-0000-0000-000061800000}"/>
    <cellStyle name="Output 4 2 5 6 4" xfId="11246" xr:uid="{00000000-0005-0000-0000-000062800000}"/>
    <cellStyle name="Output 4 2 5 6 4 2" xfId="30218" xr:uid="{00000000-0005-0000-0000-000063800000}"/>
    <cellStyle name="Output 4 2 5 6 4 3" xfId="41063" xr:uid="{00000000-0005-0000-0000-000064800000}"/>
    <cellStyle name="Output 4 2 5 6 4 4" xfId="19278" xr:uid="{00000000-0005-0000-0000-000065800000}"/>
    <cellStyle name="Output 4 2 5 6 5" xfId="22042" xr:uid="{00000000-0005-0000-0000-000066800000}"/>
    <cellStyle name="Output 4 2 5 6 6" xfId="32887" xr:uid="{00000000-0005-0000-0000-000067800000}"/>
    <cellStyle name="Output 4 2 5 6 7" xfId="13424" xr:uid="{00000000-0005-0000-0000-000068800000}"/>
    <cellStyle name="Output 4 2 5 7" xfId="3754" xr:uid="{00000000-0005-0000-0000-000069800000}"/>
    <cellStyle name="Output 4 2 5 7 2" xfId="22726" xr:uid="{00000000-0005-0000-0000-00006A800000}"/>
    <cellStyle name="Output 4 2 5 7 3" xfId="33571" xr:uid="{00000000-0005-0000-0000-00006B800000}"/>
    <cellStyle name="Output 4 2 5 7 4" xfId="13905" xr:uid="{00000000-0005-0000-0000-00006C800000}"/>
    <cellStyle name="Output 4 2 5 8" xfId="6429" xr:uid="{00000000-0005-0000-0000-00006D800000}"/>
    <cellStyle name="Output 4 2 5 8 2" xfId="25401" xr:uid="{00000000-0005-0000-0000-00006E800000}"/>
    <cellStyle name="Output 4 2 5 8 3" xfId="36246" xr:uid="{00000000-0005-0000-0000-00006F800000}"/>
    <cellStyle name="Output 4 2 5 8 4" xfId="15821" xr:uid="{00000000-0005-0000-0000-000070800000}"/>
    <cellStyle name="Output 4 2 5 9" xfId="9088" xr:uid="{00000000-0005-0000-0000-000071800000}"/>
    <cellStyle name="Output 4 2 5 9 2" xfId="28060" xr:uid="{00000000-0005-0000-0000-000072800000}"/>
    <cellStyle name="Output 4 2 5 9 3" xfId="38905" xr:uid="{00000000-0005-0000-0000-000073800000}"/>
    <cellStyle name="Output 4 2 5 9 4" xfId="17725" xr:uid="{00000000-0005-0000-0000-000074800000}"/>
    <cellStyle name="Output 4 2 6" xfId="1129" xr:uid="{00000000-0005-0000-0000-000075800000}"/>
    <cellStyle name="Output 4 2 6 2" xfId="3982" xr:uid="{00000000-0005-0000-0000-000076800000}"/>
    <cellStyle name="Output 4 2 6 2 2" xfId="22954" xr:uid="{00000000-0005-0000-0000-000077800000}"/>
    <cellStyle name="Output 4 2 6 2 3" xfId="33799" xr:uid="{00000000-0005-0000-0000-000078800000}"/>
    <cellStyle name="Output 4 2 6 2 4" xfId="14074" xr:uid="{00000000-0005-0000-0000-000079800000}"/>
    <cellStyle name="Output 4 2 6 3" xfId="6655" xr:uid="{00000000-0005-0000-0000-00007A800000}"/>
    <cellStyle name="Output 4 2 6 3 2" xfId="25627" xr:uid="{00000000-0005-0000-0000-00007B800000}"/>
    <cellStyle name="Output 4 2 6 3 3" xfId="36472" xr:uid="{00000000-0005-0000-0000-00007C800000}"/>
    <cellStyle name="Output 4 2 6 3 4" xfId="15989" xr:uid="{00000000-0005-0000-0000-00007D800000}"/>
    <cellStyle name="Output 4 2 6 4" xfId="9314" xr:uid="{00000000-0005-0000-0000-00007E800000}"/>
    <cellStyle name="Output 4 2 6 4 2" xfId="28286" xr:uid="{00000000-0005-0000-0000-00007F800000}"/>
    <cellStyle name="Output 4 2 6 4 3" xfId="39131" xr:uid="{00000000-0005-0000-0000-000080800000}"/>
    <cellStyle name="Output 4 2 6 4 4" xfId="17893" xr:uid="{00000000-0005-0000-0000-000081800000}"/>
    <cellStyle name="Output 4 2 6 5" xfId="20110" xr:uid="{00000000-0005-0000-0000-000082800000}"/>
    <cellStyle name="Output 4 2 6 6" xfId="30955" xr:uid="{00000000-0005-0000-0000-000083800000}"/>
    <cellStyle name="Output 4 2 6 7" xfId="12039" xr:uid="{00000000-0005-0000-0000-000084800000}"/>
    <cellStyle name="Output 4 2 7" xfId="1525" xr:uid="{00000000-0005-0000-0000-000085800000}"/>
    <cellStyle name="Output 4 2 7 2" xfId="4378" xr:uid="{00000000-0005-0000-0000-000086800000}"/>
    <cellStyle name="Output 4 2 7 2 2" xfId="23350" xr:uid="{00000000-0005-0000-0000-000087800000}"/>
    <cellStyle name="Output 4 2 7 2 3" xfId="34195" xr:uid="{00000000-0005-0000-0000-000088800000}"/>
    <cellStyle name="Output 4 2 7 2 4" xfId="14360" xr:uid="{00000000-0005-0000-0000-000089800000}"/>
    <cellStyle name="Output 4 2 7 3" xfId="7051" xr:uid="{00000000-0005-0000-0000-00008A800000}"/>
    <cellStyle name="Output 4 2 7 3 2" xfId="26023" xr:uid="{00000000-0005-0000-0000-00008B800000}"/>
    <cellStyle name="Output 4 2 7 3 3" xfId="36868" xr:uid="{00000000-0005-0000-0000-00008C800000}"/>
    <cellStyle name="Output 4 2 7 3 4" xfId="16275" xr:uid="{00000000-0005-0000-0000-00008D800000}"/>
    <cellStyle name="Output 4 2 7 4" xfId="9710" xr:uid="{00000000-0005-0000-0000-00008E800000}"/>
    <cellStyle name="Output 4 2 7 4 2" xfId="28682" xr:uid="{00000000-0005-0000-0000-00008F800000}"/>
    <cellStyle name="Output 4 2 7 4 3" xfId="39527" xr:uid="{00000000-0005-0000-0000-000090800000}"/>
    <cellStyle name="Output 4 2 7 4 4" xfId="18179" xr:uid="{00000000-0005-0000-0000-000091800000}"/>
    <cellStyle name="Output 4 2 7 5" xfId="20506" xr:uid="{00000000-0005-0000-0000-000092800000}"/>
    <cellStyle name="Output 4 2 7 6" xfId="31351" xr:uid="{00000000-0005-0000-0000-000093800000}"/>
    <cellStyle name="Output 4 2 7 7" xfId="12325" xr:uid="{00000000-0005-0000-0000-000094800000}"/>
    <cellStyle name="Output 4 2 8" xfId="1931" xr:uid="{00000000-0005-0000-0000-000095800000}"/>
    <cellStyle name="Output 4 2 8 2" xfId="4784" xr:uid="{00000000-0005-0000-0000-000096800000}"/>
    <cellStyle name="Output 4 2 8 2 2" xfId="23756" xr:uid="{00000000-0005-0000-0000-000097800000}"/>
    <cellStyle name="Output 4 2 8 2 3" xfId="34601" xr:uid="{00000000-0005-0000-0000-000098800000}"/>
    <cellStyle name="Output 4 2 8 2 4" xfId="14649" xr:uid="{00000000-0005-0000-0000-000099800000}"/>
    <cellStyle name="Output 4 2 8 3" xfId="7456" xr:uid="{00000000-0005-0000-0000-00009A800000}"/>
    <cellStyle name="Output 4 2 8 3 2" xfId="26428" xr:uid="{00000000-0005-0000-0000-00009B800000}"/>
    <cellStyle name="Output 4 2 8 3 3" xfId="37273" xr:uid="{00000000-0005-0000-0000-00009C800000}"/>
    <cellStyle name="Output 4 2 8 3 4" xfId="16563" xr:uid="{00000000-0005-0000-0000-00009D800000}"/>
    <cellStyle name="Output 4 2 8 4" xfId="10115" xr:uid="{00000000-0005-0000-0000-00009E800000}"/>
    <cellStyle name="Output 4 2 8 4 2" xfId="29087" xr:uid="{00000000-0005-0000-0000-00009F800000}"/>
    <cellStyle name="Output 4 2 8 4 3" xfId="39932" xr:uid="{00000000-0005-0000-0000-0000A0800000}"/>
    <cellStyle name="Output 4 2 8 4 4" xfId="18467" xr:uid="{00000000-0005-0000-0000-0000A1800000}"/>
    <cellStyle name="Output 4 2 8 5" xfId="20911" xr:uid="{00000000-0005-0000-0000-0000A2800000}"/>
    <cellStyle name="Output 4 2 8 6" xfId="31756" xr:uid="{00000000-0005-0000-0000-0000A3800000}"/>
    <cellStyle name="Output 4 2 8 7" xfId="12613" xr:uid="{00000000-0005-0000-0000-0000A4800000}"/>
    <cellStyle name="Output 4 2 9" xfId="2324" xr:uid="{00000000-0005-0000-0000-0000A5800000}"/>
    <cellStyle name="Output 4 2 9 2" xfId="5177" xr:uid="{00000000-0005-0000-0000-0000A6800000}"/>
    <cellStyle name="Output 4 2 9 2 2" xfId="24149" xr:uid="{00000000-0005-0000-0000-0000A7800000}"/>
    <cellStyle name="Output 4 2 9 2 3" xfId="34994" xr:uid="{00000000-0005-0000-0000-0000A8800000}"/>
    <cellStyle name="Output 4 2 9 2 4" xfId="14931" xr:uid="{00000000-0005-0000-0000-0000A9800000}"/>
    <cellStyle name="Output 4 2 9 3" xfId="7848" xr:uid="{00000000-0005-0000-0000-0000AA800000}"/>
    <cellStyle name="Output 4 2 9 3 2" xfId="26820" xr:uid="{00000000-0005-0000-0000-0000AB800000}"/>
    <cellStyle name="Output 4 2 9 3 3" xfId="37665" xr:uid="{00000000-0005-0000-0000-0000AC800000}"/>
    <cellStyle name="Output 4 2 9 3 4" xfId="16844" xr:uid="{00000000-0005-0000-0000-0000AD800000}"/>
    <cellStyle name="Output 4 2 9 4" xfId="10507" xr:uid="{00000000-0005-0000-0000-0000AE800000}"/>
    <cellStyle name="Output 4 2 9 4 2" xfId="29479" xr:uid="{00000000-0005-0000-0000-0000AF800000}"/>
    <cellStyle name="Output 4 2 9 4 3" xfId="40324" xr:uid="{00000000-0005-0000-0000-0000B0800000}"/>
    <cellStyle name="Output 4 2 9 4 4" xfId="18748" xr:uid="{00000000-0005-0000-0000-0000B1800000}"/>
    <cellStyle name="Output 4 2 9 5" xfId="21303" xr:uid="{00000000-0005-0000-0000-0000B2800000}"/>
    <cellStyle name="Output 4 2 9 6" xfId="32148" xr:uid="{00000000-0005-0000-0000-0000B3800000}"/>
    <cellStyle name="Output 4 2 9 7" xfId="12894" xr:uid="{00000000-0005-0000-0000-0000B4800000}"/>
    <cellStyle name="Output 4 3" xfId="619" xr:uid="{00000000-0005-0000-0000-0000B5800000}"/>
    <cellStyle name="Output 4 3 10" xfId="19626" xr:uid="{00000000-0005-0000-0000-0000B6800000}"/>
    <cellStyle name="Output 4 3 11" xfId="30471" xr:uid="{00000000-0005-0000-0000-0000B7800000}"/>
    <cellStyle name="Output 4 3 12" xfId="11674" xr:uid="{00000000-0005-0000-0000-0000B8800000}"/>
    <cellStyle name="Output 4 3 2" xfId="1223" xr:uid="{00000000-0005-0000-0000-0000B9800000}"/>
    <cellStyle name="Output 4 3 2 2" xfId="4076" xr:uid="{00000000-0005-0000-0000-0000BA800000}"/>
    <cellStyle name="Output 4 3 2 2 2" xfId="23048" xr:uid="{00000000-0005-0000-0000-0000BB800000}"/>
    <cellStyle name="Output 4 3 2 2 3" xfId="33893" xr:uid="{00000000-0005-0000-0000-0000BC800000}"/>
    <cellStyle name="Output 4 3 2 2 4" xfId="14149" xr:uid="{00000000-0005-0000-0000-0000BD800000}"/>
    <cellStyle name="Output 4 3 2 3" xfId="6749" xr:uid="{00000000-0005-0000-0000-0000BE800000}"/>
    <cellStyle name="Output 4 3 2 3 2" xfId="25721" xr:uid="{00000000-0005-0000-0000-0000BF800000}"/>
    <cellStyle name="Output 4 3 2 3 3" xfId="36566" xr:uid="{00000000-0005-0000-0000-0000C0800000}"/>
    <cellStyle name="Output 4 3 2 3 4" xfId="16064" xr:uid="{00000000-0005-0000-0000-0000C1800000}"/>
    <cellStyle name="Output 4 3 2 4" xfId="9408" xr:uid="{00000000-0005-0000-0000-0000C2800000}"/>
    <cellStyle name="Output 4 3 2 4 2" xfId="28380" xr:uid="{00000000-0005-0000-0000-0000C3800000}"/>
    <cellStyle name="Output 4 3 2 4 3" xfId="39225" xr:uid="{00000000-0005-0000-0000-0000C4800000}"/>
    <cellStyle name="Output 4 3 2 4 4" xfId="17968" xr:uid="{00000000-0005-0000-0000-0000C5800000}"/>
    <cellStyle name="Output 4 3 2 5" xfId="20204" xr:uid="{00000000-0005-0000-0000-0000C6800000}"/>
    <cellStyle name="Output 4 3 2 6" xfId="31049" xr:uid="{00000000-0005-0000-0000-0000C7800000}"/>
    <cellStyle name="Output 4 3 2 7" xfId="12114" xr:uid="{00000000-0005-0000-0000-0000C8800000}"/>
    <cellStyle name="Output 4 3 3" xfId="1621" xr:uid="{00000000-0005-0000-0000-0000C9800000}"/>
    <cellStyle name="Output 4 3 3 2" xfId="4474" xr:uid="{00000000-0005-0000-0000-0000CA800000}"/>
    <cellStyle name="Output 4 3 3 2 2" xfId="23446" xr:uid="{00000000-0005-0000-0000-0000CB800000}"/>
    <cellStyle name="Output 4 3 3 2 3" xfId="34291" xr:uid="{00000000-0005-0000-0000-0000CC800000}"/>
    <cellStyle name="Output 4 3 3 2 4" xfId="14436" xr:uid="{00000000-0005-0000-0000-0000CD800000}"/>
    <cellStyle name="Output 4 3 3 3" xfId="7146" xr:uid="{00000000-0005-0000-0000-0000CE800000}"/>
    <cellStyle name="Output 4 3 3 3 2" xfId="26118" xr:uid="{00000000-0005-0000-0000-0000CF800000}"/>
    <cellStyle name="Output 4 3 3 3 3" xfId="36963" xr:uid="{00000000-0005-0000-0000-0000D0800000}"/>
    <cellStyle name="Output 4 3 3 3 4" xfId="16350" xr:uid="{00000000-0005-0000-0000-0000D1800000}"/>
    <cellStyle name="Output 4 3 3 4" xfId="9805" xr:uid="{00000000-0005-0000-0000-0000D2800000}"/>
    <cellStyle name="Output 4 3 3 4 2" xfId="28777" xr:uid="{00000000-0005-0000-0000-0000D3800000}"/>
    <cellStyle name="Output 4 3 3 4 3" xfId="39622" xr:uid="{00000000-0005-0000-0000-0000D4800000}"/>
    <cellStyle name="Output 4 3 3 4 4" xfId="18254" xr:uid="{00000000-0005-0000-0000-0000D5800000}"/>
    <cellStyle name="Output 4 3 3 5" xfId="20601" xr:uid="{00000000-0005-0000-0000-0000D6800000}"/>
    <cellStyle name="Output 4 3 3 6" xfId="31446" xr:uid="{00000000-0005-0000-0000-0000D7800000}"/>
    <cellStyle name="Output 4 3 3 7" xfId="12400" xr:uid="{00000000-0005-0000-0000-0000D8800000}"/>
    <cellStyle name="Output 4 3 4" xfId="2023" xr:uid="{00000000-0005-0000-0000-0000D9800000}"/>
    <cellStyle name="Output 4 3 4 2" xfId="4876" xr:uid="{00000000-0005-0000-0000-0000DA800000}"/>
    <cellStyle name="Output 4 3 4 2 2" xfId="23848" xr:uid="{00000000-0005-0000-0000-0000DB800000}"/>
    <cellStyle name="Output 4 3 4 2 3" xfId="34693" xr:uid="{00000000-0005-0000-0000-0000DC800000}"/>
    <cellStyle name="Output 4 3 4 2 4" xfId="14722" xr:uid="{00000000-0005-0000-0000-0000DD800000}"/>
    <cellStyle name="Output 4 3 4 3" xfId="7548" xr:uid="{00000000-0005-0000-0000-0000DE800000}"/>
    <cellStyle name="Output 4 3 4 3 2" xfId="26520" xr:uid="{00000000-0005-0000-0000-0000DF800000}"/>
    <cellStyle name="Output 4 3 4 3 3" xfId="37365" xr:uid="{00000000-0005-0000-0000-0000E0800000}"/>
    <cellStyle name="Output 4 3 4 3 4" xfId="16636" xr:uid="{00000000-0005-0000-0000-0000E1800000}"/>
    <cellStyle name="Output 4 3 4 4" xfId="10207" xr:uid="{00000000-0005-0000-0000-0000E2800000}"/>
    <cellStyle name="Output 4 3 4 4 2" xfId="29179" xr:uid="{00000000-0005-0000-0000-0000E3800000}"/>
    <cellStyle name="Output 4 3 4 4 3" xfId="40024" xr:uid="{00000000-0005-0000-0000-0000E4800000}"/>
    <cellStyle name="Output 4 3 4 4 4" xfId="18540" xr:uid="{00000000-0005-0000-0000-0000E5800000}"/>
    <cellStyle name="Output 4 3 4 5" xfId="21003" xr:uid="{00000000-0005-0000-0000-0000E6800000}"/>
    <cellStyle name="Output 4 3 4 6" xfId="31848" xr:uid="{00000000-0005-0000-0000-0000E7800000}"/>
    <cellStyle name="Output 4 3 4 7" xfId="12686" xr:uid="{00000000-0005-0000-0000-0000E8800000}"/>
    <cellStyle name="Output 4 3 5" xfId="2415" xr:uid="{00000000-0005-0000-0000-0000E9800000}"/>
    <cellStyle name="Output 4 3 5 2" xfId="5268" xr:uid="{00000000-0005-0000-0000-0000EA800000}"/>
    <cellStyle name="Output 4 3 5 2 2" xfId="24240" xr:uid="{00000000-0005-0000-0000-0000EB800000}"/>
    <cellStyle name="Output 4 3 5 2 3" xfId="35085" xr:uid="{00000000-0005-0000-0000-0000EC800000}"/>
    <cellStyle name="Output 4 3 5 2 4" xfId="15003" xr:uid="{00000000-0005-0000-0000-0000ED800000}"/>
    <cellStyle name="Output 4 3 5 3" xfId="7939" xr:uid="{00000000-0005-0000-0000-0000EE800000}"/>
    <cellStyle name="Output 4 3 5 3 2" xfId="26911" xr:uid="{00000000-0005-0000-0000-0000EF800000}"/>
    <cellStyle name="Output 4 3 5 3 3" xfId="37756" xr:uid="{00000000-0005-0000-0000-0000F0800000}"/>
    <cellStyle name="Output 4 3 5 3 4" xfId="16916" xr:uid="{00000000-0005-0000-0000-0000F1800000}"/>
    <cellStyle name="Output 4 3 5 4" xfId="10598" xr:uid="{00000000-0005-0000-0000-0000F2800000}"/>
    <cellStyle name="Output 4 3 5 4 2" xfId="29570" xr:uid="{00000000-0005-0000-0000-0000F3800000}"/>
    <cellStyle name="Output 4 3 5 4 3" xfId="40415" xr:uid="{00000000-0005-0000-0000-0000F4800000}"/>
    <cellStyle name="Output 4 3 5 4 4" xfId="18820" xr:uid="{00000000-0005-0000-0000-0000F5800000}"/>
    <cellStyle name="Output 4 3 5 5" xfId="21394" xr:uid="{00000000-0005-0000-0000-0000F6800000}"/>
    <cellStyle name="Output 4 3 5 6" xfId="32239" xr:uid="{00000000-0005-0000-0000-0000F7800000}"/>
    <cellStyle name="Output 4 3 5 7" xfId="12966" xr:uid="{00000000-0005-0000-0000-0000F8800000}"/>
    <cellStyle name="Output 4 3 6" xfId="2804" xr:uid="{00000000-0005-0000-0000-0000F9800000}"/>
    <cellStyle name="Output 4 3 6 2" xfId="5656" xr:uid="{00000000-0005-0000-0000-0000FA800000}"/>
    <cellStyle name="Output 4 3 6 2 2" xfId="24628" xr:uid="{00000000-0005-0000-0000-0000FB800000}"/>
    <cellStyle name="Output 4 3 6 2 3" xfId="35473" xr:uid="{00000000-0005-0000-0000-0000FC800000}"/>
    <cellStyle name="Output 4 3 6 2 4" xfId="15281" xr:uid="{00000000-0005-0000-0000-0000FD800000}"/>
    <cellStyle name="Output 4 3 6 3" xfId="8327" xr:uid="{00000000-0005-0000-0000-0000FE800000}"/>
    <cellStyle name="Output 4 3 6 3 2" xfId="27299" xr:uid="{00000000-0005-0000-0000-0000FF800000}"/>
    <cellStyle name="Output 4 3 6 3 3" xfId="38144" xr:uid="{00000000-0005-0000-0000-000000810000}"/>
    <cellStyle name="Output 4 3 6 3 4" xfId="17194" xr:uid="{00000000-0005-0000-0000-000001810000}"/>
    <cellStyle name="Output 4 3 6 4" xfId="10986" xr:uid="{00000000-0005-0000-0000-000002810000}"/>
    <cellStyle name="Output 4 3 6 4 2" xfId="29958" xr:uid="{00000000-0005-0000-0000-000003810000}"/>
    <cellStyle name="Output 4 3 6 4 3" xfId="40803" xr:uid="{00000000-0005-0000-0000-000004810000}"/>
    <cellStyle name="Output 4 3 6 4 4" xfId="19098" xr:uid="{00000000-0005-0000-0000-000005810000}"/>
    <cellStyle name="Output 4 3 6 5" xfId="21782" xr:uid="{00000000-0005-0000-0000-000006810000}"/>
    <cellStyle name="Output 4 3 6 6" xfId="32627" xr:uid="{00000000-0005-0000-0000-000007810000}"/>
    <cellStyle name="Output 4 3 6 7" xfId="13244" xr:uid="{00000000-0005-0000-0000-000008810000}"/>
    <cellStyle name="Output 4 3 7" xfId="3495" xr:uid="{00000000-0005-0000-0000-000009810000}"/>
    <cellStyle name="Output 4 3 7 2" xfId="22467" xr:uid="{00000000-0005-0000-0000-00000A810000}"/>
    <cellStyle name="Output 4 3 7 3" xfId="33312" xr:uid="{00000000-0005-0000-0000-00000B810000}"/>
    <cellStyle name="Output 4 3 7 4" xfId="13726" xr:uid="{00000000-0005-0000-0000-00000C810000}"/>
    <cellStyle name="Output 4 3 8" xfId="6171" xr:uid="{00000000-0005-0000-0000-00000D810000}"/>
    <cellStyle name="Output 4 3 8 2" xfId="25143" xr:uid="{00000000-0005-0000-0000-00000E810000}"/>
    <cellStyle name="Output 4 3 8 3" xfId="35988" xr:uid="{00000000-0005-0000-0000-00000F810000}"/>
    <cellStyle name="Output 4 3 8 4" xfId="15643" xr:uid="{00000000-0005-0000-0000-000010810000}"/>
    <cellStyle name="Output 4 3 9" xfId="8830" xr:uid="{00000000-0005-0000-0000-000011810000}"/>
    <cellStyle name="Output 4 3 9 2" xfId="27802" xr:uid="{00000000-0005-0000-0000-000012810000}"/>
    <cellStyle name="Output 4 3 9 3" xfId="38647" xr:uid="{00000000-0005-0000-0000-000013810000}"/>
    <cellStyle name="Output 4 3 9 4" xfId="17547" xr:uid="{00000000-0005-0000-0000-000014810000}"/>
    <cellStyle name="Output 4 4" xfId="11490" xr:uid="{00000000-0005-0000-0000-000015810000}"/>
    <cellStyle name="Output 5" xfId="320" xr:uid="{00000000-0005-0000-0000-000016810000}"/>
    <cellStyle name="Output 5 2" xfId="432" xr:uid="{00000000-0005-0000-0000-000017810000}"/>
    <cellStyle name="Output 5 2 10" xfId="2714" xr:uid="{00000000-0005-0000-0000-000018810000}"/>
    <cellStyle name="Output 5 2 10 2" xfId="5566" xr:uid="{00000000-0005-0000-0000-000019810000}"/>
    <cellStyle name="Output 5 2 10 2 2" xfId="24538" xr:uid="{00000000-0005-0000-0000-00001A810000}"/>
    <cellStyle name="Output 5 2 10 2 3" xfId="35383" xr:uid="{00000000-0005-0000-0000-00001B810000}"/>
    <cellStyle name="Output 5 2 10 2 4" xfId="15210" xr:uid="{00000000-0005-0000-0000-00001C810000}"/>
    <cellStyle name="Output 5 2 10 3" xfId="8237" xr:uid="{00000000-0005-0000-0000-00001D810000}"/>
    <cellStyle name="Output 5 2 10 3 2" xfId="27209" xr:uid="{00000000-0005-0000-0000-00001E810000}"/>
    <cellStyle name="Output 5 2 10 3 3" xfId="38054" xr:uid="{00000000-0005-0000-0000-00001F810000}"/>
    <cellStyle name="Output 5 2 10 3 4" xfId="17123" xr:uid="{00000000-0005-0000-0000-000020810000}"/>
    <cellStyle name="Output 5 2 10 4" xfId="10896" xr:uid="{00000000-0005-0000-0000-000021810000}"/>
    <cellStyle name="Output 5 2 10 4 2" xfId="29868" xr:uid="{00000000-0005-0000-0000-000022810000}"/>
    <cellStyle name="Output 5 2 10 4 3" xfId="40713" xr:uid="{00000000-0005-0000-0000-000023810000}"/>
    <cellStyle name="Output 5 2 10 4 4" xfId="19027" xr:uid="{00000000-0005-0000-0000-000024810000}"/>
    <cellStyle name="Output 5 2 10 5" xfId="21692" xr:uid="{00000000-0005-0000-0000-000025810000}"/>
    <cellStyle name="Output 5 2 10 6" xfId="32537" xr:uid="{00000000-0005-0000-0000-000026810000}"/>
    <cellStyle name="Output 5 2 10 7" xfId="13173" xr:uid="{00000000-0005-0000-0000-000027810000}"/>
    <cellStyle name="Output 5 2 11" xfId="3099" xr:uid="{00000000-0005-0000-0000-000028810000}"/>
    <cellStyle name="Output 5 2 11 2" xfId="5950" xr:uid="{00000000-0005-0000-0000-000029810000}"/>
    <cellStyle name="Output 5 2 11 2 2" xfId="24922" xr:uid="{00000000-0005-0000-0000-00002A810000}"/>
    <cellStyle name="Output 5 2 11 2 3" xfId="35767" xr:uid="{00000000-0005-0000-0000-00002B810000}"/>
    <cellStyle name="Output 5 2 11 2 4" xfId="15485" xr:uid="{00000000-0005-0000-0000-00002C810000}"/>
    <cellStyle name="Output 5 2 11 3" xfId="8621" xr:uid="{00000000-0005-0000-0000-00002D810000}"/>
    <cellStyle name="Output 5 2 11 3 2" xfId="27593" xr:uid="{00000000-0005-0000-0000-00002E810000}"/>
    <cellStyle name="Output 5 2 11 3 3" xfId="38438" xr:uid="{00000000-0005-0000-0000-00002F810000}"/>
    <cellStyle name="Output 5 2 11 3 4" xfId="17398" xr:uid="{00000000-0005-0000-0000-000030810000}"/>
    <cellStyle name="Output 5 2 11 4" xfId="11280" xr:uid="{00000000-0005-0000-0000-000031810000}"/>
    <cellStyle name="Output 5 2 11 4 2" xfId="30252" xr:uid="{00000000-0005-0000-0000-000032810000}"/>
    <cellStyle name="Output 5 2 11 4 3" xfId="41097" xr:uid="{00000000-0005-0000-0000-000033810000}"/>
    <cellStyle name="Output 5 2 11 4 4" xfId="19302" xr:uid="{00000000-0005-0000-0000-000034810000}"/>
    <cellStyle name="Output 5 2 11 5" xfId="22076" xr:uid="{00000000-0005-0000-0000-000035810000}"/>
    <cellStyle name="Output 5 2 11 6" xfId="32921" xr:uid="{00000000-0005-0000-0000-000036810000}"/>
    <cellStyle name="Output 5 2 11 7" xfId="13448" xr:uid="{00000000-0005-0000-0000-000037810000}"/>
    <cellStyle name="Output 5 2 12" xfId="3156" xr:uid="{00000000-0005-0000-0000-000038810000}"/>
    <cellStyle name="Output 5 2 12 2" xfId="6007" xr:uid="{00000000-0005-0000-0000-000039810000}"/>
    <cellStyle name="Output 5 2 12 2 2" xfId="24979" xr:uid="{00000000-0005-0000-0000-00003A810000}"/>
    <cellStyle name="Output 5 2 12 2 3" xfId="35824" xr:uid="{00000000-0005-0000-0000-00003B810000}"/>
    <cellStyle name="Output 5 2 12 2 4" xfId="15522" xr:uid="{00000000-0005-0000-0000-00003C810000}"/>
    <cellStyle name="Output 5 2 12 3" xfId="8678" xr:uid="{00000000-0005-0000-0000-00003D810000}"/>
    <cellStyle name="Output 5 2 12 3 2" xfId="27650" xr:uid="{00000000-0005-0000-0000-00003E810000}"/>
    <cellStyle name="Output 5 2 12 3 3" xfId="38495" xr:uid="{00000000-0005-0000-0000-00003F810000}"/>
    <cellStyle name="Output 5 2 12 3 4" xfId="17435" xr:uid="{00000000-0005-0000-0000-000040810000}"/>
    <cellStyle name="Output 5 2 12 4" xfId="11337" xr:uid="{00000000-0005-0000-0000-000041810000}"/>
    <cellStyle name="Output 5 2 12 4 2" xfId="30309" xr:uid="{00000000-0005-0000-0000-000042810000}"/>
    <cellStyle name="Output 5 2 12 4 3" xfId="41154" xr:uid="{00000000-0005-0000-0000-000043810000}"/>
    <cellStyle name="Output 5 2 12 4 4" xfId="19339" xr:uid="{00000000-0005-0000-0000-000044810000}"/>
    <cellStyle name="Output 5 2 12 5" xfId="22133" xr:uid="{00000000-0005-0000-0000-000045810000}"/>
    <cellStyle name="Output 5 2 12 6" xfId="32978" xr:uid="{00000000-0005-0000-0000-000046810000}"/>
    <cellStyle name="Output 5 2 12 7" xfId="13485" xr:uid="{00000000-0005-0000-0000-000047810000}"/>
    <cellStyle name="Output 5 2 13" xfId="3213" xr:uid="{00000000-0005-0000-0000-000048810000}"/>
    <cellStyle name="Output 5 2 13 2" xfId="6064" xr:uid="{00000000-0005-0000-0000-000049810000}"/>
    <cellStyle name="Output 5 2 13 2 2" xfId="25036" xr:uid="{00000000-0005-0000-0000-00004A810000}"/>
    <cellStyle name="Output 5 2 13 2 3" xfId="35881" xr:uid="{00000000-0005-0000-0000-00004B810000}"/>
    <cellStyle name="Output 5 2 13 2 4" xfId="15559" xr:uid="{00000000-0005-0000-0000-00004C810000}"/>
    <cellStyle name="Output 5 2 13 3" xfId="8735" xr:uid="{00000000-0005-0000-0000-00004D810000}"/>
    <cellStyle name="Output 5 2 13 3 2" xfId="27707" xr:uid="{00000000-0005-0000-0000-00004E810000}"/>
    <cellStyle name="Output 5 2 13 3 3" xfId="38552" xr:uid="{00000000-0005-0000-0000-00004F810000}"/>
    <cellStyle name="Output 5 2 13 3 4" xfId="17472" xr:uid="{00000000-0005-0000-0000-000050810000}"/>
    <cellStyle name="Output 5 2 13 4" xfId="11394" xr:uid="{00000000-0005-0000-0000-000051810000}"/>
    <cellStyle name="Output 5 2 13 4 2" xfId="30366" xr:uid="{00000000-0005-0000-0000-000052810000}"/>
    <cellStyle name="Output 5 2 13 4 3" xfId="41211" xr:uid="{00000000-0005-0000-0000-000053810000}"/>
    <cellStyle name="Output 5 2 13 4 4" xfId="19376" xr:uid="{00000000-0005-0000-0000-000054810000}"/>
    <cellStyle name="Output 5 2 13 5" xfId="22190" xr:uid="{00000000-0005-0000-0000-000055810000}"/>
    <cellStyle name="Output 5 2 13 6" xfId="33035" xr:uid="{00000000-0005-0000-0000-000056810000}"/>
    <cellStyle name="Output 5 2 13 7" xfId="13522" xr:uid="{00000000-0005-0000-0000-000057810000}"/>
    <cellStyle name="Output 5 2 14" xfId="3382" xr:uid="{00000000-0005-0000-0000-000058810000}"/>
    <cellStyle name="Output 5 2 14 2" xfId="22356" xr:uid="{00000000-0005-0000-0000-000059810000}"/>
    <cellStyle name="Output 5 2 14 3" xfId="33201" xr:uid="{00000000-0005-0000-0000-00005A810000}"/>
    <cellStyle name="Output 5 2 14 4" xfId="13639" xr:uid="{00000000-0005-0000-0000-00005B810000}"/>
    <cellStyle name="Output 5 2 15" xfId="3308" xr:uid="{00000000-0005-0000-0000-00005C810000}"/>
    <cellStyle name="Output 5 2 15 2" xfId="22282" xr:uid="{00000000-0005-0000-0000-00005D810000}"/>
    <cellStyle name="Output 5 2 15 3" xfId="33127" xr:uid="{00000000-0005-0000-0000-00005E810000}"/>
    <cellStyle name="Output 5 2 15 4" xfId="13593" xr:uid="{00000000-0005-0000-0000-00005F810000}"/>
    <cellStyle name="Output 5 2 16" xfId="6068" xr:uid="{00000000-0005-0000-0000-000060810000}"/>
    <cellStyle name="Output 5 2 16 2" xfId="25040" xr:uid="{00000000-0005-0000-0000-000061810000}"/>
    <cellStyle name="Output 5 2 16 3" xfId="35885" xr:uid="{00000000-0005-0000-0000-000062810000}"/>
    <cellStyle name="Output 5 2 16 4" xfId="15563" xr:uid="{00000000-0005-0000-0000-000063810000}"/>
    <cellStyle name="Output 5 2 17" xfId="19510" xr:uid="{00000000-0005-0000-0000-000064810000}"/>
    <cellStyle name="Output 5 2 18" xfId="19382" xr:uid="{00000000-0005-0000-0000-000065810000}"/>
    <cellStyle name="Output 5 2 19" xfId="11552" xr:uid="{00000000-0005-0000-0000-000066810000}"/>
    <cellStyle name="Output 5 2 2" xfId="723" xr:uid="{00000000-0005-0000-0000-000067810000}"/>
    <cellStyle name="Output 5 2 2 10" xfId="19708" xr:uid="{00000000-0005-0000-0000-000068810000}"/>
    <cellStyle name="Output 5 2 2 11" xfId="30553" xr:uid="{00000000-0005-0000-0000-000069810000}"/>
    <cellStyle name="Output 5 2 2 12" xfId="11755" xr:uid="{00000000-0005-0000-0000-00006A810000}"/>
    <cellStyle name="Output 5 2 2 2" xfId="1310" xr:uid="{00000000-0005-0000-0000-00006B810000}"/>
    <cellStyle name="Output 5 2 2 2 2" xfId="4163" xr:uid="{00000000-0005-0000-0000-00006C810000}"/>
    <cellStyle name="Output 5 2 2 2 2 2" xfId="23135" xr:uid="{00000000-0005-0000-0000-00006D810000}"/>
    <cellStyle name="Output 5 2 2 2 2 3" xfId="33980" xr:uid="{00000000-0005-0000-0000-00006E810000}"/>
    <cellStyle name="Output 5 2 2 2 2 4" xfId="14216" xr:uid="{00000000-0005-0000-0000-00006F810000}"/>
    <cellStyle name="Output 5 2 2 2 3" xfId="6836" xr:uid="{00000000-0005-0000-0000-000070810000}"/>
    <cellStyle name="Output 5 2 2 2 3 2" xfId="25808" xr:uid="{00000000-0005-0000-0000-000071810000}"/>
    <cellStyle name="Output 5 2 2 2 3 3" xfId="36653" xr:uid="{00000000-0005-0000-0000-000072810000}"/>
    <cellStyle name="Output 5 2 2 2 3 4" xfId="16131" xr:uid="{00000000-0005-0000-0000-000073810000}"/>
    <cellStyle name="Output 5 2 2 2 4" xfId="9495" xr:uid="{00000000-0005-0000-0000-000074810000}"/>
    <cellStyle name="Output 5 2 2 2 4 2" xfId="28467" xr:uid="{00000000-0005-0000-0000-000075810000}"/>
    <cellStyle name="Output 5 2 2 2 4 3" xfId="39312" xr:uid="{00000000-0005-0000-0000-000076810000}"/>
    <cellStyle name="Output 5 2 2 2 4 4" xfId="18035" xr:uid="{00000000-0005-0000-0000-000077810000}"/>
    <cellStyle name="Output 5 2 2 2 5" xfId="20291" xr:uid="{00000000-0005-0000-0000-000078810000}"/>
    <cellStyle name="Output 5 2 2 2 6" xfId="31136" xr:uid="{00000000-0005-0000-0000-000079810000}"/>
    <cellStyle name="Output 5 2 2 2 7" xfId="12181" xr:uid="{00000000-0005-0000-0000-00007A810000}"/>
    <cellStyle name="Output 5 2 2 3" xfId="1709" xr:uid="{00000000-0005-0000-0000-00007B810000}"/>
    <cellStyle name="Output 5 2 2 3 2" xfId="4562" xr:uid="{00000000-0005-0000-0000-00007C810000}"/>
    <cellStyle name="Output 5 2 2 3 2 2" xfId="23534" xr:uid="{00000000-0005-0000-0000-00007D810000}"/>
    <cellStyle name="Output 5 2 2 3 2 3" xfId="34379" xr:uid="{00000000-0005-0000-0000-00007E810000}"/>
    <cellStyle name="Output 5 2 2 3 2 4" xfId="14503" xr:uid="{00000000-0005-0000-0000-00007F810000}"/>
    <cellStyle name="Output 5 2 2 3 3" xfId="7234" xr:uid="{00000000-0005-0000-0000-000080810000}"/>
    <cellStyle name="Output 5 2 2 3 3 2" xfId="26206" xr:uid="{00000000-0005-0000-0000-000081810000}"/>
    <cellStyle name="Output 5 2 2 3 3 3" xfId="37051" xr:uid="{00000000-0005-0000-0000-000082810000}"/>
    <cellStyle name="Output 5 2 2 3 3 4" xfId="16417" xr:uid="{00000000-0005-0000-0000-000083810000}"/>
    <cellStyle name="Output 5 2 2 3 4" xfId="9893" xr:uid="{00000000-0005-0000-0000-000084810000}"/>
    <cellStyle name="Output 5 2 2 3 4 2" xfId="28865" xr:uid="{00000000-0005-0000-0000-000085810000}"/>
    <cellStyle name="Output 5 2 2 3 4 3" xfId="39710" xr:uid="{00000000-0005-0000-0000-000086810000}"/>
    <cellStyle name="Output 5 2 2 3 4 4" xfId="18321" xr:uid="{00000000-0005-0000-0000-000087810000}"/>
    <cellStyle name="Output 5 2 2 3 5" xfId="20689" xr:uid="{00000000-0005-0000-0000-000088810000}"/>
    <cellStyle name="Output 5 2 2 3 6" xfId="31534" xr:uid="{00000000-0005-0000-0000-000089810000}"/>
    <cellStyle name="Output 5 2 2 3 7" xfId="12467" xr:uid="{00000000-0005-0000-0000-00008A810000}"/>
    <cellStyle name="Output 5 2 2 4" xfId="2113" xr:uid="{00000000-0005-0000-0000-00008B810000}"/>
    <cellStyle name="Output 5 2 2 4 2" xfId="4966" xr:uid="{00000000-0005-0000-0000-00008C810000}"/>
    <cellStyle name="Output 5 2 2 4 2 2" xfId="23938" xr:uid="{00000000-0005-0000-0000-00008D810000}"/>
    <cellStyle name="Output 5 2 2 4 2 3" xfId="34783" xr:uid="{00000000-0005-0000-0000-00008E810000}"/>
    <cellStyle name="Output 5 2 2 4 2 4" xfId="14790" xr:uid="{00000000-0005-0000-0000-00008F810000}"/>
    <cellStyle name="Output 5 2 2 4 3" xfId="7637" xr:uid="{00000000-0005-0000-0000-000090810000}"/>
    <cellStyle name="Output 5 2 2 4 3 2" xfId="26609" xr:uid="{00000000-0005-0000-0000-000091810000}"/>
    <cellStyle name="Output 5 2 2 4 3 3" xfId="37454" xr:uid="{00000000-0005-0000-0000-000092810000}"/>
    <cellStyle name="Output 5 2 2 4 3 4" xfId="16703" xr:uid="{00000000-0005-0000-0000-000093810000}"/>
    <cellStyle name="Output 5 2 2 4 4" xfId="10296" xr:uid="{00000000-0005-0000-0000-000094810000}"/>
    <cellStyle name="Output 5 2 2 4 4 2" xfId="29268" xr:uid="{00000000-0005-0000-0000-000095810000}"/>
    <cellStyle name="Output 5 2 2 4 4 3" xfId="40113" xr:uid="{00000000-0005-0000-0000-000096810000}"/>
    <cellStyle name="Output 5 2 2 4 4 4" xfId="18607" xr:uid="{00000000-0005-0000-0000-000097810000}"/>
    <cellStyle name="Output 5 2 2 4 5" xfId="21092" xr:uid="{00000000-0005-0000-0000-000098810000}"/>
    <cellStyle name="Output 5 2 2 4 6" xfId="31937" xr:uid="{00000000-0005-0000-0000-000099810000}"/>
    <cellStyle name="Output 5 2 2 4 7" xfId="12753" xr:uid="{00000000-0005-0000-0000-00009A810000}"/>
    <cellStyle name="Output 5 2 2 5" xfId="2503" xr:uid="{00000000-0005-0000-0000-00009B810000}"/>
    <cellStyle name="Output 5 2 2 5 2" xfId="5355" xr:uid="{00000000-0005-0000-0000-00009C810000}"/>
    <cellStyle name="Output 5 2 2 5 2 2" xfId="24327" xr:uid="{00000000-0005-0000-0000-00009D810000}"/>
    <cellStyle name="Output 5 2 2 5 2 3" xfId="35172" xr:uid="{00000000-0005-0000-0000-00009E810000}"/>
    <cellStyle name="Output 5 2 2 5 2 4" xfId="15069" xr:uid="{00000000-0005-0000-0000-00009F810000}"/>
    <cellStyle name="Output 5 2 2 5 3" xfId="8026" xr:uid="{00000000-0005-0000-0000-0000A0810000}"/>
    <cellStyle name="Output 5 2 2 5 3 2" xfId="26998" xr:uid="{00000000-0005-0000-0000-0000A1810000}"/>
    <cellStyle name="Output 5 2 2 5 3 3" xfId="37843" xr:uid="{00000000-0005-0000-0000-0000A2810000}"/>
    <cellStyle name="Output 5 2 2 5 3 4" xfId="16982" xr:uid="{00000000-0005-0000-0000-0000A3810000}"/>
    <cellStyle name="Output 5 2 2 5 4" xfId="10685" xr:uid="{00000000-0005-0000-0000-0000A4810000}"/>
    <cellStyle name="Output 5 2 2 5 4 2" xfId="29657" xr:uid="{00000000-0005-0000-0000-0000A5810000}"/>
    <cellStyle name="Output 5 2 2 5 4 3" xfId="40502" xr:uid="{00000000-0005-0000-0000-0000A6810000}"/>
    <cellStyle name="Output 5 2 2 5 4 4" xfId="18886" xr:uid="{00000000-0005-0000-0000-0000A7810000}"/>
    <cellStyle name="Output 5 2 2 5 5" xfId="21481" xr:uid="{00000000-0005-0000-0000-0000A8810000}"/>
    <cellStyle name="Output 5 2 2 5 6" xfId="32326" xr:uid="{00000000-0005-0000-0000-0000A9810000}"/>
    <cellStyle name="Output 5 2 2 5 7" xfId="13032" xr:uid="{00000000-0005-0000-0000-0000AA810000}"/>
    <cellStyle name="Output 5 2 2 6" xfId="2889" xr:uid="{00000000-0005-0000-0000-0000AB810000}"/>
    <cellStyle name="Output 5 2 2 6 2" xfId="5740" xr:uid="{00000000-0005-0000-0000-0000AC810000}"/>
    <cellStyle name="Output 5 2 2 6 2 2" xfId="24712" xr:uid="{00000000-0005-0000-0000-0000AD810000}"/>
    <cellStyle name="Output 5 2 2 6 2 3" xfId="35557" xr:uid="{00000000-0005-0000-0000-0000AE810000}"/>
    <cellStyle name="Output 5 2 2 6 2 4" xfId="15345" xr:uid="{00000000-0005-0000-0000-0000AF810000}"/>
    <cellStyle name="Output 5 2 2 6 3" xfId="8411" xr:uid="{00000000-0005-0000-0000-0000B0810000}"/>
    <cellStyle name="Output 5 2 2 6 3 2" xfId="27383" xr:uid="{00000000-0005-0000-0000-0000B1810000}"/>
    <cellStyle name="Output 5 2 2 6 3 3" xfId="38228" xr:uid="{00000000-0005-0000-0000-0000B2810000}"/>
    <cellStyle name="Output 5 2 2 6 3 4" xfId="17258" xr:uid="{00000000-0005-0000-0000-0000B3810000}"/>
    <cellStyle name="Output 5 2 2 6 4" xfId="11070" xr:uid="{00000000-0005-0000-0000-0000B4810000}"/>
    <cellStyle name="Output 5 2 2 6 4 2" xfId="30042" xr:uid="{00000000-0005-0000-0000-0000B5810000}"/>
    <cellStyle name="Output 5 2 2 6 4 3" xfId="40887" xr:uid="{00000000-0005-0000-0000-0000B6810000}"/>
    <cellStyle name="Output 5 2 2 6 4 4" xfId="19162" xr:uid="{00000000-0005-0000-0000-0000B7810000}"/>
    <cellStyle name="Output 5 2 2 6 5" xfId="21866" xr:uid="{00000000-0005-0000-0000-0000B8810000}"/>
    <cellStyle name="Output 5 2 2 6 6" xfId="32711" xr:uid="{00000000-0005-0000-0000-0000B9810000}"/>
    <cellStyle name="Output 5 2 2 6 7" xfId="13308" xr:uid="{00000000-0005-0000-0000-0000BA810000}"/>
    <cellStyle name="Output 5 2 2 7" xfId="3578" xr:uid="{00000000-0005-0000-0000-0000BB810000}"/>
    <cellStyle name="Output 5 2 2 7 2" xfId="22550" xr:uid="{00000000-0005-0000-0000-0000BC810000}"/>
    <cellStyle name="Output 5 2 2 7 3" xfId="33395" xr:uid="{00000000-0005-0000-0000-0000BD810000}"/>
    <cellStyle name="Output 5 2 2 7 4" xfId="13789" xr:uid="{00000000-0005-0000-0000-0000BE810000}"/>
    <cellStyle name="Output 5 2 2 8" xfId="6253" xr:uid="{00000000-0005-0000-0000-0000BF810000}"/>
    <cellStyle name="Output 5 2 2 8 2" xfId="25225" xr:uid="{00000000-0005-0000-0000-0000C0810000}"/>
    <cellStyle name="Output 5 2 2 8 3" xfId="36070" xr:uid="{00000000-0005-0000-0000-0000C1810000}"/>
    <cellStyle name="Output 5 2 2 8 4" xfId="15705" xr:uid="{00000000-0005-0000-0000-0000C2810000}"/>
    <cellStyle name="Output 5 2 2 9" xfId="8912" xr:uid="{00000000-0005-0000-0000-0000C3810000}"/>
    <cellStyle name="Output 5 2 2 9 2" xfId="27884" xr:uid="{00000000-0005-0000-0000-0000C4810000}"/>
    <cellStyle name="Output 5 2 2 9 3" xfId="38729" xr:uid="{00000000-0005-0000-0000-0000C5810000}"/>
    <cellStyle name="Output 5 2 2 9 4" xfId="17609" xr:uid="{00000000-0005-0000-0000-0000C6810000}"/>
    <cellStyle name="Output 5 2 3" xfId="782" xr:uid="{00000000-0005-0000-0000-0000C7810000}"/>
    <cellStyle name="Output 5 2 3 10" xfId="19767" xr:uid="{00000000-0005-0000-0000-0000C8810000}"/>
    <cellStyle name="Output 5 2 3 11" xfId="30612" xr:uid="{00000000-0005-0000-0000-0000C9810000}"/>
    <cellStyle name="Output 5 2 3 12" xfId="11794" xr:uid="{00000000-0005-0000-0000-0000CA810000}"/>
    <cellStyle name="Output 5 2 3 2" xfId="1369" xr:uid="{00000000-0005-0000-0000-0000CB810000}"/>
    <cellStyle name="Output 5 2 3 2 2" xfId="4222" xr:uid="{00000000-0005-0000-0000-0000CC810000}"/>
    <cellStyle name="Output 5 2 3 2 2 2" xfId="23194" xr:uid="{00000000-0005-0000-0000-0000CD810000}"/>
    <cellStyle name="Output 5 2 3 2 2 3" xfId="34039" xr:uid="{00000000-0005-0000-0000-0000CE810000}"/>
    <cellStyle name="Output 5 2 3 2 2 4" xfId="14255" xr:uid="{00000000-0005-0000-0000-0000CF810000}"/>
    <cellStyle name="Output 5 2 3 2 3" xfId="6895" xr:uid="{00000000-0005-0000-0000-0000D0810000}"/>
    <cellStyle name="Output 5 2 3 2 3 2" xfId="25867" xr:uid="{00000000-0005-0000-0000-0000D1810000}"/>
    <cellStyle name="Output 5 2 3 2 3 3" xfId="36712" xr:uid="{00000000-0005-0000-0000-0000D2810000}"/>
    <cellStyle name="Output 5 2 3 2 3 4" xfId="16170" xr:uid="{00000000-0005-0000-0000-0000D3810000}"/>
    <cellStyle name="Output 5 2 3 2 4" xfId="9554" xr:uid="{00000000-0005-0000-0000-0000D4810000}"/>
    <cellStyle name="Output 5 2 3 2 4 2" xfId="28526" xr:uid="{00000000-0005-0000-0000-0000D5810000}"/>
    <cellStyle name="Output 5 2 3 2 4 3" xfId="39371" xr:uid="{00000000-0005-0000-0000-0000D6810000}"/>
    <cellStyle name="Output 5 2 3 2 4 4" xfId="18074" xr:uid="{00000000-0005-0000-0000-0000D7810000}"/>
    <cellStyle name="Output 5 2 3 2 5" xfId="20350" xr:uid="{00000000-0005-0000-0000-0000D8810000}"/>
    <cellStyle name="Output 5 2 3 2 6" xfId="31195" xr:uid="{00000000-0005-0000-0000-0000D9810000}"/>
    <cellStyle name="Output 5 2 3 2 7" xfId="12220" xr:uid="{00000000-0005-0000-0000-0000DA810000}"/>
    <cellStyle name="Output 5 2 3 3" xfId="1768" xr:uid="{00000000-0005-0000-0000-0000DB810000}"/>
    <cellStyle name="Output 5 2 3 3 2" xfId="4621" xr:uid="{00000000-0005-0000-0000-0000DC810000}"/>
    <cellStyle name="Output 5 2 3 3 2 2" xfId="23593" xr:uid="{00000000-0005-0000-0000-0000DD810000}"/>
    <cellStyle name="Output 5 2 3 3 2 3" xfId="34438" xr:uid="{00000000-0005-0000-0000-0000DE810000}"/>
    <cellStyle name="Output 5 2 3 3 2 4" xfId="14542" xr:uid="{00000000-0005-0000-0000-0000DF810000}"/>
    <cellStyle name="Output 5 2 3 3 3" xfId="7293" xr:uid="{00000000-0005-0000-0000-0000E0810000}"/>
    <cellStyle name="Output 5 2 3 3 3 2" xfId="26265" xr:uid="{00000000-0005-0000-0000-0000E1810000}"/>
    <cellStyle name="Output 5 2 3 3 3 3" xfId="37110" xr:uid="{00000000-0005-0000-0000-0000E2810000}"/>
    <cellStyle name="Output 5 2 3 3 3 4" xfId="16456" xr:uid="{00000000-0005-0000-0000-0000E3810000}"/>
    <cellStyle name="Output 5 2 3 3 4" xfId="9952" xr:uid="{00000000-0005-0000-0000-0000E4810000}"/>
    <cellStyle name="Output 5 2 3 3 4 2" xfId="28924" xr:uid="{00000000-0005-0000-0000-0000E5810000}"/>
    <cellStyle name="Output 5 2 3 3 4 3" xfId="39769" xr:uid="{00000000-0005-0000-0000-0000E6810000}"/>
    <cellStyle name="Output 5 2 3 3 4 4" xfId="18360" xr:uid="{00000000-0005-0000-0000-0000E7810000}"/>
    <cellStyle name="Output 5 2 3 3 5" xfId="20748" xr:uid="{00000000-0005-0000-0000-0000E8810000}"/>
    <cellStyle name="Output 5 2 3 3 6" xfId="31593" xr:uid="{00000000-0005-0000-0000-0000E9810000}"/>
    <cellStyle name="Output 5 2 3 3 7" xfId="12506" xr:uid="{00000000-0005-0000-0000-0000EA810000}"/>
    <cellStyle name="Output 5 2 3 4" xfId="2172" xr:uid="{00000000-0005-0000-0000-0000EB810000}"/>
    <cellStyle name="Output 5 2 3 4 2" xfId="5025" xr:uid="{00000000-0005-0000-0000-0000EC810000}"/>
    <cellStyle name="Output 5 2 3 4 2 2" xfId="23997" xr:uid="{00000000-0005-0000-0000-0000ED810000}"/>
    <cellStyle name="Output 5 2 3 4 2 3" xfId="34842" xr:uid="{00000000-0005-0000-0000-0000EE810000}"/>
    <cellStyle name="Output 5 2 3 4 2 4" xfId="14829" xr:uid="{00000000-0005-0000-0000-0000EF810000}"/>
    <cellStyle name="Output 5 2 3 4 3" xfId="7696" xr:uid="{00000000-0005-0000-0000-0000F0810000}"/>
    <cellStyle name="Output 5 2 3 4 3 2" xfId="26668" xr:uid="{00000000-0005-0000-0000-0000F1810000}"/>
    <cellStyle name="Output 5 2 3 4 3 3" xfId="37513" xr:uid="{00000000-0005-0000-0000-0000F2810000}"/>
    <cellStyle name="Output 5 2 3 4 3 4" xfId="16742" xr:uid="{00000000-0005-0000-0000-0000F3810000}"/>
    <cellStyle name="Output 5 2 3 4 4" xfId="10355" xr:uid="{00000000-0005-0000-0000-0000F4810000}"/>
    <cellStyle name="Output 5 2 3 4 4 2" xfId="29327" xr:uid="{00000000-0005-0000-0000-0000F5810000}"/>
    <cellStyle name="Output 5 2 3 4 4 3" xfId="40172" xr:uid="{00000000-0005-0000-0000-0000F6810000}"/>
    <cellStyle name="Output 5 2 3 4 4 4" xfId="18646" xr:uid="{00000000-0005-0000-0000-0000F7810000}"/>
    <cellStyle name="Output 5 2 3 4 5" xfId="21151" xr:uid="{00000000-0005-0000-0000-0000F8810000}"/>
    <cellStyle name="Output 5 2 3 4 6" xfId="31996" xr:uid="{00000000-0005-0000-0000-0000F9810000}"/>
    <cellStyle name="Output 5 2 3 4 7" xfId="12792" xr:uid="{00000000-0005-0000-0000-0000FA810000}"/>
    <cellStyle name="Output 5 2 3 5" xfId="2562" xr:uid="{00000000-0005-0000-0000-0000FB810000}"/>
    <cellStyle name="Output 5 2 3 5 2" xfId="5414" xr:uid="{00000000-0005-0000-0000-0000FC810000}"/>
    <cellStyle name="Output 5 2 3 5 2 2" xfId="24386" xr:uid="{00000000-0005-0000-0000-0000FD810000}"/>
    <cellStyle name="Output 5 2 3 5 2 3" xfId="35231" xr:uid="{00000000-0005-0000-0000-0000FE810000}"/>
    <cellStyle name="Output 5 2 3 5 2 4" xfId="15108" xr:uid="{00000000-0005-0000-0000-0000FF810000}"/>
    <cellStyle name="Output 5 2 3 5 3" xfId="8085" xr:uid="{00000000-0005-0000-0000-000000820000}"/>
    <cellStyle name="Output 5 2 3 5 3 2" xfId="27057" xr:uid="{00000000-0005-0000-0000-000001820000}"/>
    <cellStyle name="Output 5 2 3 5 3 3" xfId="37902" xr:uid="{00000000-0005-0000-0000-000002820000}"/>
    <cellStyle name="Output 5 2 3 5 3 4" xfId="17021" xr:uid="{00000000-0005-0000-0000-000003820000}"/>
    <cellStyle name="Output 5 2 3 5 4" xfId="10744" xr:uid="{00000000-0005-0000-0000-000004820000}"/>
    <cellStyle name="Output 5 2 3 5 4 2" xfId="29716" xr:uid="{00000000-0005-0000-0000-000005820000}"/>
    <cellStyle name="Output 5 2 3 5 4 3" xfId="40561" xr:uid="{00000000-0005-0000-0000-000006820000}"/>
    <cellStyle name="Output 5 2 3 5 4 4" xfId="18925" xr:uid="{00000000-0005-0000-0000-000007820000}"/>
    <cellStyle name="Output 5 2 3 5 5" xfId="21540" xr:uid="{00000000-0005-0000-0000-000008820000}"/>
    <cellStyle name="Output 5 2 3 5 6" xfId="32385" xr:uid="{00000000-0005-0000-0000-000009820000}"/>
    <cellStyle name="Output 5 2 3 5 7" xfId="13071" xr:uid="{00000000-0005-0000-0000-00000A820000}"/>
    <cellStyle name="Output 5 2 3 6" xfId="2948" xr:uid="{00000000-0005-0000-0000-00000B820000}"/>
    <cellStyle name="Output 5 2 3 6 2" xfId="5799" xr:uid="{00000000-0005-0000-0000-00000C820000}"/>
    <cellStyle name="Output 5 2 3 6 2 2" xfId="24771" xr:uid="{00000000-0005-0000-0000-00000D820000}"/>
    <cellStyle name="Output 5 2 3 6 2 3" xfId="35616" xr:uid="{00000000-0005-0000-0000-00000E820000}"/>
    <cellStyle name="Output 5 2 3 6 2 4" xfId="15384" xr:uid="{00000000-0005-0000-0000-00000F820000}"/>
    <cellStyle name="Output 5 2 3 6 3" xfId="8470" xr:uid="{00000000-0005-0000-0000-000010820000}"/>
    <cellStyle name="Output 5 2 3 6 3 2" xfId="27442" xr:uid="{00000000-0005-0000-0000-000011820000}"/>
    <cellStyle name="Output 5 2 3 6 3 3" xfId="38287" xr:uid="{00000000-0005-0000-0000-000012820000}"/>
    <cellStyle name="Output 5 2 3 6 3 4" xfId="17297" xr:uid="{00000000-0005-0000-0000-000013820000}"/>
    <cellStyle name="Output 5 2 3 6 4" xfId="11129" xr:uid="{00000000-0005-0000-0000-000014820000}"/>
    <cellStyle name="Output 5 2 3 6 4 2" xfId="30101" xr:uid="{00000000-0005-0000-0000-000015820000}"/>
    <cellStyle name="Output 5 2 3 6 4 3" xfId="40946" xr:uid="{00000000-0005-0000-0000-000016820000}"/>
    <cellStyle name="Output 5 2 3 6 4 4" xfId="19201" xr:uid="{00000000-0005-0000-0000-000017820000}"/>
    <cellStyle name="Output 5 2 3 6 5" xfId="21925" xr:uid="{00000000-0005-0000-0000-000018820000}"/>
    <cellStyle name="Output 5 2 3 6 6" xfId="32770" xr:uid="{00000000-0005-0000-0000-000019820000}"/>
    <cellStyle name="Output 5 2 3 6 7" xfId="13347" xr:uid="{00000000-0005-0000-0000-00001A820000}"/>
    <cellStyle name="Output 5 2 3 7" xfId="3637" xr:uid="{00000000-0005-0000-0000-00001B820000}"/>
    <cellStyle name="Output 5 2 3 7 2" xfId="22609" xr:uid="{00000000-0005-0000-0000-00001C820000}"/>
    <cellStyle name="Output 5 2 3 7 3" xfId="33454" xr:uid="{00000000-0005-0000-0000-00001D820000}"/>
    <cellStyle name="Output 5 2 3 7 4" xfId="13828" xr:uid="{00000000-0005-0000-0000-00001E820000}"/>
    <cellStyle name="Output 5 2 3 8" xfId="6312" xr:uid="{00000000-0005-0000-0000-00001F820000}"/>
    <cellStyle name="Output 5 2 3 8 2" xfId="25284" xr:uid="{00000000-0005-0000-0000-000020820000}"/>
    <cellStyle name="Output 5 2 3 8 3" xfId="36129" xr:uid="{00000000-0005-0000-0000-000021820000}"/>
    <cellStyle name="Output 5 2 3 8 4" xfId="15744" xr:uid="{00000000-0005-0000-0000-000022820000}"/>
    <cellStyle name="Output 5 2 3 9" xfId="8971" xr:uid="{00000000-0005-0000-0000-000023820000}"/>
    <cellStyle name="Output 5 2 3 9 2" xfId="27943" xr:uid="{00000000-0005-0000-0000-000024820000}"/>
    <cellStyle name="Output 5 2 3 9 3" xfId="38788" xr:uid="{00000000-0005-0000-0000-000025820000}"/>
    <cellStyle name="Output 5 2 3 9 4" xfId="17648" xr:uid="{00000000-0005-0000-0000-000026820000}"/>
    <cellStyle name="Output 5 2 4" xfId="841" xr:uid="{00000000-0005-0000-0000-000027820000}"/>
    <cellStyle name="Output 5 2 4 10" xfId="19826" xr:uid="{00000000-0005-0000-0000-000028820000}"/>
    <cellStyle name="Output 5 2 4 11" xfId="30671" xr:uid="{00000000-0005-0000-0000-000029820000}"/>
    <cellStyle name="Output 5 2 4 12" xfId="11833" xr:uid="{00000000-0005-0000-0000-00002A820000}"/>
    <cellStyle name="Output 5 2 4 2" xfId="1428" xr:uid="{00000000-0005-0000-0000-00002B820000}"/>
    <cellStyle name="Output 5 2 4 2 2" xfId="4281" xr:uid="{00000000-0005-0000-0000-00002C820000}"/>
    <cellStyle name="Output 5 2 4 2 2 2" xfId="23253" xr:uid="{00000000-0005-0000-0000-00002D820000}"/>
    <cellStyle name="Output 5 2 4 2 2 3" xfId="34098" xr:uid="{00000000-0005-0000-0000-00002E820000}"/>
    <cellStyle name="Output 5 2 4 2 2 4" xfId="14294" xr:uid="{00000000-0005-0000-0000-00002F820000}"/>
    <cellStyle name="Output 5 2 4 2 3" xfId="6954" xr:uid="{00000000-0005-0000-0000-000030820000}"/>
    <cellStyle name="Output 5 2 4 2 3 2" xfId="25926" xr:uid="{00000000-0005-0000-0000-000031820000}"/>
    <cellStyle name="Output 5 2 4 2 3 3" xfId="36771" xr:uid="{00000000-0005-0000-0000-000032820000}"/>
    <cellStyle name="Output 5 2 4 2 3 4" xfId="16209" xr:uid="{00000000-0005-0000-0000-000033820000}"/>
    <cellStyle name="Output 5 2 4 2 4" xfId="9613" xr:uid="{00000000-0005-0000-0000-000034820000}"/>
    <cellStyle name="Output 5 2 4 2 4 2" xfId="28585" xr:uid="{00000000-0005-0000-0000-000035820000}"/>
    <cellStyle name="Output 5 2 4 2 4 3" xfId="39430" xr:uid="{00000000-0005-0000-0000-000036820000}"/>
    <cellStyle name="Output 5 2 4 2 4 4" xfId="18113" xr:uid="{00000000-0005-0000-0000-000037820000}"/>
    <cellStyle name="Output 5 2 4 2 5" xfId="20409" xr:uid="{00000000-0005-0000-0000-000038820000}"/>
    <cellStyle name="Output 5 2 4 2 6" xfId="31254" xr:uid="{00000000-0005-0000-0000-000039820000}"/>
    <cellStyle name="Output 5 2 4 2 7" xfId="12259" xr:uid="{00000000-0005-0000-0000-00003A820000}"/>
    <cellStyle name="Output 5 2 4 3" xfId="1827" xr:uid="{00000000-0005-0000-0000-00003B820000}"/>
    <cellStyle name="Output 5 2 4 3 2" xfId="4680" xr:uid="{00000000-0005-0000-0000-00003C820000}"/>
    <cellStyle name="Output 5 2 4 3 2 2" xfId="23652" xr:uid="{00000000-0005-0000-0000-00003D820000}"/>
    <cellStyle name="Output 5 2 4 3 2 3" xfId="34497" xr:uid="{00000000-0005-0000-0000-00003E820000}"/>
    <cellStyle name="Output 5 2 4 3 2 4" xfId="14581" xr:uid="{00000000-0005-0000-0000-00003F820000}"/>
    <cellStyle name="Output 5 2 4 3 3" xfId="7352" xr:uid="{00000000-0005-0000-0000-000040820000}"/>
    <cellStyle name="Output 5 2 4 3 3 2" xfId="26324" xr:uid="{00000000-0005-0000-0000-000041820000}"/>
    <cellStyle name="Output 5 2 4 3 3 3" xfId="37169" xr:uid="{00000000-0005-0000-0000-000042820000}"/>
    <cellStyle name="Output 5 2 4 3 3 4" xfId="16495" xr:uid="{00000000-0005-0000-0000-000043820000}"/>
    <cellStyle name="Output 5 2 4 3 4" xfId="10011" xr:uid="{00000000-0005-0000-0000-000044820000}"/>
    <cellStyle name="Output 5 2 4 3 4 2" xfId="28983" xr:uid="{00000000-0005-0000-0000-000045820000}"/>
    <cellStyle name="Output 5 2 4 3 4 3" xfId="39828" xr:uid="{00000000-0005-0000-0000-000046820000}"/>
    <cellStyle name="Output 5 2 4 3 4 4" xfId="18399" xr:uid="{00000000-0005-0000-0000-000047820000}"/>
    <cellStyle name="Output 5 2 4 3 5" xfId="20807" xr:uid="{00000000-0005-0000-0000-000048820000}"/>
    <cellStyle name="Output 5 2 4 3 6" xfId="31652" xr:uid="{00000000-0005-0000-0000-000049820000}"/>
    <cellStyle name="Output 5 2 4 3 7" xfId="12545" xr:uid="{00000000-0005-0000-0000-00004A820000}"/>
    <cellStyle name="Output 5 2 4 4" xfId="2231" xr:uid="{00000000-0005-0000-0000-00004B820000}"/>
    <cellStyle name="Output 5 2 4 4 2" xfId="5084" xr:uid="{00000000-0005-0000-0000-00004C820000}"/>
    <cellStyle name="Output 5 2 4 4 2 2" xfId="24056" xr:uid="{00000000-0005-0000-0000-00004D820000}"/>
    <cellStyle name="Output 5 2 4 4 2 3" xfId="34901" xr:uid="{00000000-0005-0000-0000-00004E820000}"/>
    <cellStyle name="Output 5 2 4 4 2 4" xfId="14868" xr:uid="{00000000-0005-0000-0000-00004F820000}"/>
    <cellStyle name="Output 5 2 4 4 3" xfId="7755" xr:uid="{00000000-0005-0000-0000-000050820000}"/>
    <cellStyle name="Output 5 2 4 4 3 2" xfId="26727" xr:uid="{00000000-0005-0000-0000-000051820000}"/>
    <cellStyle name="Output 5 2 4 4 3 3" xfId="37572" xr:uid="{00000000-0005-0000-0000-000052820000}"/>
    <cellStyle name="Output 5 2 4 4 3 4" xfId="16781" xr:uid="{00000000-0005-0000-0000-000053820000}"/>
    <cellStyle name="Output 5 2 4 4 4" xfId="10414" xr:uid="{00000000-0005-0000-0000-000054820000}"/>
    <cellStyle name="Output 5 2 4 4 4 2" xfId="29386" xr:uid="{00000000-0005-0000-0000-000055820000}"/>
    <cellStyle name="Output 5 2 4 4 4 3" xfId="40231" xr:uid="{00000000-0005-0000-0000-000056820000}"/>
    <cellStyle name="Output 5 2 4 4 4 4" xfId="18685" xr:uid="{00000000-0005-0000-0000-000057820000}"/>
    <cellStyle name="Output 5 2 4 4 5" xfId="21210" xr:uid="{00000000-0005-0000-0000-000058820000}"/>
    <cellStyle name="Output 5 2 4 4 6" xfId="32055" xr:uid="{00000000-0005-0000-0000-000059820000}"/>
    <cellStyle name="Output 5 2 4 4 7" xfId="12831" xr:uid="{00000000-0005-0000-0000-00005A820000}"/>
    <cellStyle name="Output 5 2 4 5" xfId="2621" xr:uid="{00000000-0005-0000-0000-00005B820000}"/>
    <cellStyle name="Output 5 2 4 5 2" xfId="5473" xr:uid="{00000000-0005-0000-0000-00005C820000}"/>
    <cellStyle name="Output 5 2 4 5 2 2" xfId="24445" xr:uid="{00000000-0005-0000-0000-00005D820000}"/>
    <cellStyle name="Output 5 2 4 5 2 3" xfId="35290" xr:uid="{00000000-0005-0000-0000-00005E820000}"/>
    <cellStyle name="Output 5 2 4 5 2 4" xfId="15147" xr:uid="{00000000-0005-0000-0000-00005F820000}"/>
    <cellStyle name="Output 5 2 4 5 3" xfId="8144" xr:uid="{00000000-0005-0000-0000-000060820000}"/>
    <cellStyle name="Output 5 2 4 5 3 2" xfId="27116" xr:uid="{00000000-0005-0000-0000-000061820000}"/>
    <cellStyle name="Output 5 2 4 5 3 3" xfId="37961" xr:uid="{00000000-0005-0000-0000-000062820000}"/>
    <cellStyle name="Output 5 2 4 5 3 4" xfId="17060" xr:uid="{00000000-0005-0000-0000-000063820000}"/>
    <cellStyle name="Output 5 2 4 5 4" xfId="10803" xr:uid="{00000000-0005-0000-0000-000064820000}"/>
    <cellStyle name="Output 5 2 4 5 4 2" xfId="29775" xr:uid="{00000000-0005-0000-0000-000065820000}"/>
    <cellStyle name="Output 5 2 4 5 4 3" xfId="40620" xr:uid="{00000000-0005-0000-0000-000066820000}"/>
    <cellStyle name="Output 5 2 4 5 4 4" xfId="18964" xr:uid="{00000000-0005-0000-0000-000067820000}"/>
    <cellStyle name="Output 5 2 4 5 5" xfId="21599" xr:uid="{00000000-0005-0000-0000-000068820000}"/>
    <cellStyle name="Output 5 2 4 5 6" xfId="32444" xr:uid="{00000000-0005-0000-0000-000069820000}"/>
    <cellStyle name="Output 5 2 4 5 7" xfId="13110" xr:uid="{00000000-0005-0000-0000-00006A820000}"/>
    <cellStyle name="Output 5 2 4 6" xfId="3007" xr:uid="{00000000-0005-0000-0000-00006B820000}"/>
    <cellStyle name="Output 5 2 4 6 2" xfId="5858" xr:uid="{00000000-0005-0000-0000-00006C820000}"/>
    <cellStyle name="Output 5 2 4 6 2 2" xfId="24830" xr:uid="{00000000-0005-0000-0000-00006D820000}"/>
    <cellStyle name="Output 5 2 4 6 2 3" xfId="35675" xr:uid="{00000000-0005-0000-0000-00006E820000}"/>
    <cellStyle name="Output 5 2 4 6 2 4" xfId="15423" xr:uid="{00000000-0005-0000-0000-00006F820000}"/>
    <cellStyle name="Output 5 2 4 6 3" xfId="8529" xr:uid="{00000000-0005-0000-0000-000070820000}"/>
    <cellStyle name="Output 5 2 4 6 3 2" xfId="27501" xr:uid="{00000000-0005-0000-0000-000071820000}"/>
    <cellStyle name="Output 5 2 4 6 3 3" xfId="38346" xr:uid="{00000000-0005-0000-0000-000072820000}"/>
    <cellStyle name="Output 5 2 4 6 3 4" xfId="17336" xr:uid="{00000000-0005-0000-0000-000073820000}"/>
    <cellStyle name="Output 5 2 4 6 4" xfId="11188" xr:uid="{00000000-0005-0000-0000-000074820000}"/>
    <cellStyle name="Output 5 2 4 6 4 2" xfId="30160" xr:uid="{00000000-0005-0000-0000-000075820000}"/>
    <cellStyle name="Output 5 2 4 6 4 3" xfId="41005" xr:uid="{00000000-0005-0000-0000-000076820000}"/>
    <cellStyle name="Output 5 2 4 6 4 4" xfId="19240" xr:uid="{00000000-0005-0000-0000-000077820000}"/>
    <cellStyle name="Output 5 2 4 6 5" xfId="21984" xr:uid="{00000000-0005-0000-0000-000078820000}"/>
    <cellStyle name="Output 5 2 4 6 6" xfId="32829" xr:uid="{00000000-0005-0000-0000-000079820000}"/>
    <cellStyle name="Output 5 2 4 6 7" xfId="13386" xr:uid="{00000000-0005-0000-0000-00007A820000}"/>
    <cellStyle name="Output 5 2 4 7" xfId="3696" xr:uid="{00000000-0005-0000-0000-00007B820000}"/>
    <cellStyle name="Output 5 2 4 7 2" xfId="22668" xr:uid="{00000000-0005-0000-0000-00007C820000}"/>
    <cellStyle name="Output 5 2 4 7 3" xfId="33513" xr:uid="{00000000-0005-0000-0000-00007D820000}"/>
    <cellStyle name="Output 5 2 4 7 4" xfId="13867" xr:uid="{00000000-0005-0000-0000-00007E820000}"/>
    <cellStyle name="Output 5 2 4 8" xfId="6371" xr:uid="{00000000-0005-0000-0000-00007F820000}"/>
    <cellStyle name="Output 5 2 4 8 2" xfId="25343" xr:uid="{00000000-0005-0000-0000-000080820000}"/>
    <cellStyle name="Output 5 2 4 8 3" xfId="36188" xr:uid="{00000000-0005-0000-0000-000081820000}"/>
    <cellStyle name="Output 5 2 4 8 4" xfId="15783" xr:uid="{00000000-0005-0000-0000-000082820000}"/>
    <cellStyle name="Output 5 2 4 9" xfId="9030" xr:uid="{00000000-0005-0000-0000-000083820000}"/>
    <cellStyle name="Output 5 2 4 9 2" xfId="28002" xr:uid="{00000000-0005-0000-0000-000084820000}"/>
    <cellStyle name="Output 5 2 4 9 3" xfId="38847" xr:uid="{00000000-0005-0000-0000-000085820000}"/>
    <cellStyle name="Output 5 2 4 9 4" xfId="17687" xr:uid="{00000000-0005-0000-0000-000086820000}"/>
    <cellStyle name="Output 5 2 5" xfId="900" xr:uid="{00000000-0005-0000-0000-000087820000}"/>
    <cellStyle name="Output 5 2 5 10" xfId="19885" xr:uid="{00000000-0005-0000-0000-000088820000}"/>
    <cellStyle name="Output 5 2 5 11" xfId="30730" xr:uid="{00000000-0005-0000-0000-000089820000}"/>
    <cellStyle name="Output 5 2 5 12" xfId="11872" xr:uid="{00000000-0005-0000-0000-00008A820000}"/>
    <cellStyle name="Output 5 2 5 2" xfId="1487" xr:uid="{00000000-0005-0000-0000-00008B820000}"/>
    <cellStyle name="Output 5 2 5 2 2" xfId="4340" xr:uid="{00000000-0005-0000-0000-00008C820000}"/>
    <cellStyle name="Output 5 2 5 2 2 2" xfId="23312" xr:uid="{00000000-0005-0000-0000-00008D820000}"/>
    <cellStyle name="Output 5 2 5 2 2 3" xfId="34157" xr:uid="{00000000-0005-0000-0000-00008E820000}"/>
    <cellStyle name="Output 5 2 5 2 2 4" xfId="14333" xr:uid="{00000000-0005-0000-0000-00008F820000}"/>
    <cellStyle name="Output 5 2 5 2 3" xfId="7013" xr:uid="{00000000-0005-0000-0000-000090820000}"/>
    <cellStyle name="Output 5 2 5 2 3 2" xfId="25985" xr:uid="{00000000-0005-0000-0000-000091820000}"/>
    <cellStyle name="Output 5 2 5 2 3 3" xfId="36830" xr:uid="{00000000-0005-0000-0000-000092820000}"/>
    <cellStyle name="Output 5 2 5 2 3 4" xfId="16248" xr:uid="{00000000-0005-0000-0000-000093820000}"/>
    <cellStyle name="Output 5 2 5 2 4" xfId="9672" xr:uid="{00000000-0005-0000-0000-000094820000}"/>
    <cellStyle name="Output 5 2 5 2 4 2" xfId="28644" xr:uid="{00000000-0005-0000-0000-000095820000}"/>
    <cellStyle name="Output 5 2 5 2 4 3" xfId="39489" xr:uid="{00000000-0005-0000-0000-000096820000}"/>
    <cellStyle name="Output 5 2 5 2 4 4" xfId="18152" xr:uid="{00000000-0005-0000-0000-000097820000}"/>
    <cellStyle name="Output 5 2 5 2 5" xfId="20468" xr:uid="{00000000-0005-0000-0000-000098820000}"/>
    <cellStyle name="Output 5 2 5 2 6" xfId="31313" xr:uid="{00000000-0005-0000-0000-000099820000}"/>
    <cellStyle name="Output 5 2 5 2 7" xfId="12298" xr:uid="{00000000-0005-0000-0000-00009A820000}"/>
    <cellStyle name="Output 5 2 5 3" xfId="1886" xr:uid="{00000000-0005-0000-0000-00009B820000}"/>
    <cellStyle name="Output 5 2 5 3 2" xfId="4739" xr:uid="{00000000-0005-0000-0000-00009C820000}"/>
    <cellStyle name="Output 5 2 5 3 2 2" xfId="23711" xr:uid="{00000000-0005-0000-0000-00009D820000}"/>
    <cellStyle name="Output 5 2 5 3 2 3" xfId="34556" xr:uid="{00000000-0005-0000-0000-00009E820000}"/>
    <cellStyle name="Output 5 2 5 3 2 4" xfId="14620" xr:uid="{00000000-0005-0000-0000-00009F820000}"/>
    <cellStyle name="Output 5 2 5 3 3" xfId="7411" xr:uid="{00000000-0005-0000-0000-0000A0820000}"/>
    <cellStyle name="Output 5 2 5 3 3 2" xfId="26383" xr:uid="{00000000-0005-0000-0000-0000A1820000}"/>
    <cellStyle name="Output 5 2 5 3 3 3" xfId="37228" xr:uid="{00000000-0005-0000-0000-0000A2820000}"/>
    <cellStyle name="Output 5 2 5 3 3 4" xfId="16534" xr:uid="{00000000-0005-0000-0000-0000A3820000}"/>
    <cellStyle name="Output 5 2 5 3 4" xfId="10070" xr:uid="{00000000-0005-0000-0000-0000A4820000}"/>
    <cellStyle name="Output 5 2 5 3 4 2" xfId="29042" xr:uid="{00000000-0005-0000-0000-0000A5820000}"/>
    <cellStyle name="Output 5 2 5 3 4 3" xfId="39887" xr:uid="{00000000-0005-0000-0000-0000A6820000}"/>
    <cellStyle name="Output 5 2 5 3 4 4" xfId="18438" xr:uid="{00000000-0005-0000-0000-0000A7820000}"/>
    <cellStyle name="Output 5 2 5 3 5" xfId="20866" xr:uid="{00000000-0005-0000-0000-0000A8820000}"/>
    <cellStyle name="Output 5 2 5 3 6" xfId="31711" xr:uid="{00000000-0005-0000-0000-0000A9820000}"/>
    <cellStyle name="Output 5 2 5 3 7" xfId="12584" xr:uid="{00000000-0005-0000-0000-0000AA820000}"/>
    <cellStyle name="Output 5 2 5 4" xfId="2290" xr:uid="{00000000-0005-0000-0000-0000AB820000}"/>
    <cellStyle name="Output 5 2 5 4 2" xfId="5143" xr:uid="{00000000-0005-0000-0000-0000AC820000}"/>
    <cellStyle name="Output 5 2 5 4 2 2" xfId="24115" xr:uid="{00000000-0005-0000-0000-0000AD820000}"/>
    <cellStyle name="Output 5 2 5 4 2 3" xfId="34960" xr:uid="{00000000-0005-0000-0000-0000AE820000}"/>
    <cellStyle name="Output 5 2 5 4 2 4" xfId="14907" xr:uid="{00000000-0005-0000-0000-0000AF820000}"/>
    <cellStyle name="Output 5 2 5 4 3" xfId="7814" xr:uid="{00000000-0005-0000-0000-0000B0820000}"/>
    <cellStyle name="Output 5 2 5 4 3 2" xfId="26786" xr:uid="{00000000-0005-0000-0000-0000B1820000}"/>
    <cellStyle name="Output 5 2 5 4 3 3" xfId="37631" xr:uid="{00000000-0005-0000-0000-0000B2820000}"/>
    <cellStyle name="Output 5 2 5 4 3 4" xfId="16820" xr:uid="{00000000-0005-0000-0000-0000B3820000}"/>
    <cellStyle name="Output 5 2 5 4 4" xfId="10473" xr:uid="{00000000-0005-0000-0000-0000B4820000}"/>
    <cellStyle name="Output 5 2 5 4 4 2" xfId="29445" xr:uid="{00000000-0005-0000-0000-0000B5820000}"/>
    <cellStyle name="Output 5 2 5 4 4 3" xfId="40290" xr:uid="{00000000-0005-0000-0000-0000B6820000}"/>
    <cellStyle name="Output 5 2 5 4 4 4" xfId="18724" xr:uid="{00000000-0005-0000-0000-0000B7820000}"/>
    <cellStyle name="Output 5 2 5 4 5" xfId="21269" xr:uid="{00000000-0005-0000-0000-0000B8820000}"/>
    <cellStyle name="Output 5 2 5 4 6" xfId="32114" xr:uid="{00000000-0005-0000-0000-0000B9820000}"/>
    <cellStyle name="Output 5 2 5 4 7" xfId="12870" xr:uid="{00000000-0005-0000-0000-0000BA820000}"/>
    <cellStyle name="Output 5 2 5 5" xfId="2680" xr:uid="{00000000-0005-0000-0000-0000BB820000}"/>
    <cellStyle name="Output 5 2 5 5 2" xfId="5532" xr:uid="{00000000-0005-0000-0000-0000BC820000}"/>
    <cellStyle name="Output 5 2 5 5 2 2" xfId="24504" xr:uid="{00000000-0005-0000-0000-0000BD820000}"/>
    <cellStyle name="Output 5 2 5 5 2 3" xfId="35349" xr:uid="{00000000-0005-0000-0000-0000BE820000}"/>
    <cellStyle name="Output 5 2 5 5 2 4" xfId="15186" xr:uid="{00000000-0005-0000-0000-0000BF820000}"/>
    <cellStyle name="Output 5 2 5 5 3" xfId="8203" xr:uid="{00000000-0005-0000-0000-0000C0820000}"/>
    <cellStyle name="Output 5 2 5 5 3 2" xfId="27175" xr:uid="{00000000-0005-0000-0000-0000C1820000}"/>
    <cellStyle name="Output 5 2 5 5 3 3" xfId="38020" xr:uid="{00000000-0005-0000-0000-0000C2820000}"/>
    <cellStyle name="Output 5 2 5 5 3 4" xfId="17099" xr:uid="{00000000-0005-0000-0000-0000C3820000}"/>
    <cellStyle name="Output 5 2 5 5 4" xfId="10862" xr:uid="{00000000-0005-0000-0000-0000C4820000}"/>
    <cellStyle name="Output 5 2 5 5 4 2" xfId="29834" xr:uid="{00000000-0005-0000-0000-0000C5820000}"/>
    <cellStyle name="Output 5 2 5 5 4 3" xfId="40679" xr:uid="{00000000-0005-0000-0000-0000C6820000}"/>
    <cellStyle name="Output 5 2 5 5 4 4" xfId="19003" xr:uid="{00000000-0005-0000-0000-0000C7820000}"/>
    <cellStyle name="Output 5 2 5 5 5" xfId="21658" xr:uid="{00000000-0005-0000-0000-0000C8820000}"/>
    <cellStyle name="Output 5 2 5 5 6" xfId="32503" xr:uid="{00000000-0005-0000-0000-0000C9820000}"/>
    <cellStyle name="Output 5 2 5 5 7" xfId="13149" xr:uid="{00000000-0005-0000-0000-0000CA820000}"/>
    <cellStyle name="Output 5 2 5 6" xfId="3066" xr:uid="{00000000-0005-0000-0000-0000CB820000}"/>
    <cellStyle name="Output 5 2 5 6 2" xfId="5917" xr:uid="{00000000-0005-0000-0000-0000CC820000}"/>
    <cellStyle name="Output 5 2 5 6 2 2" xfId="24889" xr:uid="{00000000-0005-0000-0000-0000CD820000}"/>
    <cellStyle name="Output 5 2 5 6 2 3" xfId="35734" xr:uid="{00000000-0005-0000-0000-0000CE820000}"/>
    <cellStyle name="Output 5 2 5 6 2 4" xfId="15462" xr:uid="{00000000-0005-0000-0000-0000CF820000}"/>
    <cellStyle name="Output 5 2 5 6 3" xfId="8588" xr:uid="{00000000-0005-0000-0000-0000D0820000}"/>
    <cellStyle name="Output 5 2 5 6 3 2" xfId="27560" xr:uid="{00000000-0005-0000-0000-0000D1820000}"/>
    <cellStyle name="Output 5 2 5 6 3 3" xfId="38405" xr:uid="{00000000-0005-0000-0000-0000D2820000}"/>
    <cellStyle name="Output 5 2 5 6 3 4" xfId="17375" xr:uid="{00000000-0005-0000-0000-0000D3820000}"/>
    <cellStyle name="Output 5 2 5 6 4" xfId="11247" xr:uid="{00000000-0005-0000-0000-0000D4820000}"/>
    <cellStyle name="Output 5 2 5 6 4 2" xfId="30219" xr:uid="{00000000-0005-0000-0000-0000D5820000}"/>
    <cellStyle name="Output 5 2 5 6 4 3" xfId="41064" xr:uid="{00000000-0005-0000-0000-0000D6820000}"/>
    <cellStyle name="Output 5 2 5 6 4 4" xfId="19279" xr:uid="{00000000-0005-0000-0000-0000D7820000}"/>
    <cellStyle name="Output 5 2 5 6 5" xfId="22043" xr:uid="{00000000-0005-0000-0000-0000D8820000}"/>
    <cellStyle name="Output 5 2 5 6 6" xfId="32888" xr:uid="{00000000-0005-0000-0000-0000D9820000}"/>
    <cellStyle name="Output 5 2 5 6 7" xfId="13425" xr:uid="{00000000-0005-0000-0000-0000DA820000}"/>
    <cellStyle name="Output 5 2 5 7" xfId="3755" xr:uid="{00000000-0005-0000-0000-0000DB820000}"/>
    <cellStyle name="Output 5 2 5 7 2" xfId="22727" xr:uid="{00000000-0005-0000-0000-0000DC820000}"/>
    <cellStyle name="Output 5 2 5 7 3" xfId="33572" xr:uid="{00000000-0005-0000-0000-0000DD820000}"/>
    <cellStyle name="Output 5 2 5 7 4" xfId="13906" xr:uid="{00000000-0005-0000-0000-0000DE820000}"/>
    <cellStyle name="Output 5 2 5 8" xfId="6430" xr:uid="{00000000-0005-0000-0000-0000DF820000}"/>
    <cellStyle name="Output 5 2 5 8 2" xfId="25402" xr:uid="{00000000-0005-0000-0000-0000E0820000}"/>
    <cellStyle name="Output 5 2 5 8 3" xfId="36247" xr:uid="{00000000-0005-0000-0000-0000E1820000}"/>
    <cellStyle name="Output 5 2 5 8 4" xfId="15822" xr:uid="{00000000-0005-0000-0000-0000E2820000}"/>
    <cellStyle name="Output 5 2 5 9" xfId="9089" xr:uid="{00000000-0005-0000-0000-0000E3820000}"/>
    <cellStyle name="Output 5 2 5 9 2" xfId="28061" xr:uid="{00000000-0005-0000-0000-0000E4820000}"/>
    <cellStyle name="Output 5 2 5 9 3" xfId="38906" xr:uid="{00000000-0005-0000-0000-0000E5820000}"/>
    <cellStyle name="Output 5 2 5 9 4" xfId="17726" xr:uid="{00000000-0005-0000-0000-0000E6820000}"/>
    <cellStyle name="Output 5 2 6" xfId="1130" xr:uid="{00000000-0005-0000-0000-0000E7820000}"/>
    <cellStyle name="Output 5 2 6 2" xfId="3983" xr:uid="{00000000-0005-0000-0000-0000E8820000}"/>
    <cellStyle name="Output 5 2 6 2 2" xfId="22955" xr:uid="{00000000-0005-0000-0000-0000E9820000}"/>
    <cellStyle name="Output 5 2 6 2 3" xfId="33800" xr:uid="{00000000-0005-0000-0000-0000EA820000}"/>
    <cellStyle name="Output 5 2 6 2 4" xfId="14075" xr:uid="{00000000-0005-0000-0000-0000EB820000}"/>
    <cellStyle name="Output 5 2 6 3" xfId="6656" xr:uid="{00000000-0005-0000-0000-0000EC820000}"/>
    <cellStyle name="Output 5 2 6 3 2" xfId="25628" xr:uid="{00000000-0005-0000-0000-0000ED820000}"/>
    <cellStyle name="Output 5 2 6 3 3" xfId="36473" xr:uid="{00000000-0005-0000-0000-0000EE820000}"/>
    <cellStyle name="Output 5 2 6 3 4" xfId="15990" xr:uid="{00000000-0005-0000-0000-0000EF820000}"/>
    <cellStyle name="Output 5 2 6 4" xfId="9315" xr:uid="{00000000-0005-0000-0000-0000F0820000}"/>
    <cellStyle name="Output 5 2 6 4 2" xfId="28287" xr:uid="{00000000-0005-0000-0000-0000F1820000}"/>
    <cellStyle name="Output 5 2 6 4 3" xfId="39132" xr:uid="{00000000-0005-0000-0000-0000F2820000}"/>
    <cellStyle name="Output 5 2 6 4 4" xfId="17894" xr:uid="{00000000-0005-0000-0000-0000F3820000}"/>
    <cellStyle name="Output 5 2 6 5" xfId="20111" xr:uid="{00000000-0005-0000-0000-0000F4820000}"/>
    <cellStyle name="Output 5 2 6 6" xfId="30956" xr:uid="{00000000-0005-0000-0000-0000F5820000}"/>
    <cellStyle name="Output 5 2 6 7" xfId="12040" xr:uid="{00000000-0005-0000-0000-0000F6820000}"/>
    <cellStyle name="Output 5 2 7" xfId="1526" xr:uid="{00000000-0005-0000-0000-0000F7820000}"/>
    <cellStyle name="Output 5 2 7 2" xfId="4379" xr:uid="{00000000-0005-0000-0000-0000F8820000}"/>
    <cellStyle name="Output 5 2 7 2 2" xfId="23351" xr:uid="{00000000-0005-0000-0000-0000F9820000}"/>
    <cellStyle name="Output 5 2 7 2 3" xfId="34196" xr:uid="{00000000-0005-0000-0000-0000FA820000}"/>
    <cellStyle name="Output 5 2 7 2 4" xfId="14361" xr:uid="{00000000-0005-0000-0000-0000FB820000}"/>
    <cellStyle name="Output 5 2 7 3" xfId="7052" xr:uid="{00000000-0005-0000-0000-0000FC820000}"/>
    <cellStyle name="Output 5 2 7 3 2" xfId="26024" xr:uid="{00000000-0005-0000-0000-0000FD820000}"/>
    <cellStyle name="Output 5 2 7 3 3" xfId="36869" xr:uid="{00000000-0005-0000-0000-0000FE820000}"/>
    <cellStyle name="Output 5 2 7 3 4" xfId="16276" xr:uid="{00000000-0005-0000-0000-0000FF820000}"/>
    <cellStyle name="Output 5 2 7 4" xfId="9711" xr:uid="{00000000-0005-0000-0000-000000830000}"/>
    <cellStyle name="Output 5 2 7 4 2" xfId="28683" xr:uid="{00000000-0005-0000-0000-000001830000}"/>
    <cellStyle name="Output 5 2 7 4 3" xfId="39528" xr:uid="{00000000-0005-0000-0000-000002830000}"/>
    <cellStyle name="Output 5 2 7 4 4" xfId="18180" xr:uid="{00000000-0005-0000-0000-000003830000}"/>
    <cellStyle name="Output 5 2 7 5" xfId="20507" xr:uid="{00000000-0005-0000-0000-000004830000}"/>
    <cellStyle name="Output 5 2 7 6" xfId="31352" xr:uid="{00000000-0005-0000-0000-000005830000}"/>
    <cellStyle name="Output 5 2 7 7" xfId="12326" xr:uid="{00000000-0005-0000-0000-000006830000}"/>
    <cellStyle name="Output 5 2 8" xfId="1932" xr:uid="{00000000-0005-0000-0000-000007830000}"/>
    <cellStyle name="Output 5 2 8 2" xfId="4785" xr:uid="{00000000-0005-0000-0000-000008830000}"/>
    <cellStyle name="Output 5 2 8 2 2" xfId="23757" xr:uid="{00000000-0005-0000-0000-000009830000}"/>
    <cellStyle name="Output 5 2 8 2 3" xfId="34602" xr:uid="{00000000-0005-0000-0000-00000A830000}"/>
    <cellStyle name="Output 5 2 8 2 4" xfId="14650" xr:uid="{00000000-0005-0000-0000-00000B830000}"/>
    <cellStyle name="Output 5 2 8 3" xfId="7457" xr:uid="{00000000-0005-0000-0000-00000C830000}"/>
    <cellStyle name="Output 5 2 8 3 2" xfId="26429" xr:uid="{00000000-0005-0000-0000-00000D830000}"/>
    <cellStyle name="Output 5 2 8 3 3" xfId="37274" xr:uid="{00000000-0005-0000-0000-00000E830000}"/>
    <cellStyle name="Output 5 2 8 3 4" xfId="16564" xr:uid="{00000000-0005-0000-0000-00000F830000}"/>
    <cellStyle name="Output 5 2 8 4" xfId="10116" xr:uid="{00000000-0005-0000-0000-000010830000}"/>
    <cellStyle name="Output 5 2 8 4 2" xfId="29088" xr:uid="{00000000-0005-0000-0000-000011830000}"/>
    <cellStyle name="Output 5 2 8 4 3" xfId="39933" xr:uid="{00000000-0005-0000-0000-000012830000}"/>
    <cellStyle name="Output 5 2 8 4 4" xfId="18468" xr:uid="{00000000-0005-0000-0000-000013830000}"/>
    <cellStyle name="Output 5 2 8 5" xfId="20912" xr:uid="{00000000-0005-0000-0000-000014830000}"/>
    <cellStyle name="Output 5 2 8 6" xfId="31757" xr:uid="{00000000-0005-0000-0000-000015830000}"/>
    <cellStyle name="Output 5 2 8 7" xfId="12614" xr:uid="{00000000-0005-0000-0000-000016830000}"/>
    <cellStyle name="Output 5 2 9" xfId="2325" xr:uid="{00000000-0005-0000-0000-000017830000}"/>
    <cellStyle name="Output 5 2 9 2" xfId="5178" xr:uid="{00000000-0005-0000-0000-000018830000}"/>
    <cellStyle name="Output 5 2 9 2 2" xfId="24150" xr:uid="{00000000-0005-0000-0000-000019830000}"/>
    <cellStyle name="Output 5 2 9 2 3" xfId="34995" xr:uid="{00000000-0005-0000-0000-00001A830000}"/>
    <cellStyle name="Output 5 2 9 2 4" xfId="14932" xr:uid="{00000000-0005-0000-0000-00001B830000}"/>
    <cellStyle name="Output 5 2 9 3" xfId="7849" xr:uid="{00000000-0005-0000-0000-00001C830000}"/>
    <cellStyle name="Output 5 2 9 3 2" xfId="26821" xr:uid="{00000000-0005-0000-0000-00001D830000}"/>
    <cellStyle name="Output 5 2 9 3 3" xfId="37666" xr:uid="{00000000-0005-0000-0000-00001E830000}"/>
    <cellStyle name="Output 5 2 9 3 4" xfId="16845" xr:uid="{00000000-0005-0000-0000-00001F830000}"/>
    <cellStyle name="Output 5 2 9 4" xfId="10508" xr:uid="{00000000-0005-0000-0000-000020830000}"/>
    <cellStyle name="Output 5 2 9 4 2" xfId="29480" xr:uid="{00000000-0005-0000-0000-000021830000}"/>
    <cellStyle name="Output 5 2 9 4 3" xfId="40325" xr:uid="{00000000-0005-0000-0000-000022830000}"/>
    <cellStyle name="Output 5 2 9 4 4" xfId="18749" xr:uid="{00000000-0005-0000-0000-000023830000}"/>
    <cellStyle name="Output 5 2 9 5" xfId="21304" xr:uid="{00000000-0005-0000-0000-000024830000}"/>
    <cellStyle name="Output 5 2 9 6" xfId="32149" xr:uid="{00000000-0005-0000-0000-000025830000}"/>
    <cellStyle name="Output 5 2 9 7" xfId="12895" xr:uid="{00000000-0005-0000-0000-000026830000}"/>
    <cellStyle name="Output 5 3" xfId="620" xr:uid="{00000000-0005-0000-0000-000027830000}"/>
    <cellStyle name="Output 5 3 10" xfId="19627" xr:uid="{00000000-0005-0000-0000-000028830000}"/>
    <cellStyle name="Output 5 3 11" xfId="30472" xr:uid="{00000000-0005-0000-0000-000029830000}"/>
    <cellStyle name="Output 5 3 12" xfId="11675" xr:uid="{00000000-0005-0000-0000-00002A830000}"/>
    <cellStyle name="Output 5 3 2" xfId="1224" xr:uid="{00000000-0005-0000-0000-00002B830000}"/>
    <cellStyle name="Output 5 3 2 2" xfId="4077" xr:uid="{00000000-0005-0000-0000-00002C830000}"/>
    <cellStyle name="Output 5 3 2 2 2" xfId="23049" xr:uid="{00000000-0005-0000-0000-00002D830000}"/>
    <cellStyle name="Output 5 3 2 2 3" xfId="33894" xr:uid="{00000000-0005-0000-0000-00002E830000}"/>
    <cellStyle name="Output 5 3 2 2 4" xfId="14150" xr:uid="{00000000-0005-0000-0000-00002F830000}"/>
    <cellStyle name="Output 5 3 2 3" xfId="6750" xr:uid="{00000000-0005-0000-0000-000030830000}"/>
    <cellStyle name="Output 5 3 2 3 2" xfId="25722" xr:uid="{00000000-0005-0000-0000-000031830000}"/>
    <cellStyle name="Output 5 3 2 3 3" xfId="36567" xr:uid="{00000000-0005-0000-0000-000032830000}"/>
    <cellStyle name="Output 5 3 2 3 4" xfId="16065" xr:uid="{00000000-0005-0000-0000-000033830000}"/>
    <cellStyle name="Output 5 3 2 4" xfId="9409" xr:uid="{00000000-0005-0000-0000-000034830000}"/>
    <cellStyle name="Output 5 3 2 4 2" xfId="28381" xr:uid="{00000000-0005-0000-0000-000035830000}"/>
    <cellStyle name="Output 5 3 2 4 3" xfId="39226" xr:uid="{00000000-0005-0000-0000-000036830000}"/>
    <cellStyle name="Output 5 3 2 4 4" xfId="17969" xr:uid="{00000000-0005-0000-0000-000037830000}"/>
    <cellStyle name="Output 5 3 2 5" xfId="20205" xr:uid="{00000000-0005-0000-0000-000038830000}"/>
    <cellStyle name="Output 5 3 2 6" xfId="31050" xr:uid="{00000000-0005-0000-0000-000039830000}"/>
    <cellStyle name="Output 5 3 2 7" xfId="12115" xr:uid="{00000000-0005-0000-0000-00003A830000}"/>
    <cellStyle name="Output 5 3 3" xfId="1622" xr:uid="{00000000-0005-0000-0000-00003B830000}"/>
    <cellStyle name="Output 5 3 3 2" xfId="4475" xr:uid="{00000000-0005-0000-0000-00003C830000}"/>
    <cellStyle name="Output 5 3 3 2 2" xfId="23447" xr:uid="{00000000-0005-0000-0000-00003D830000}"/>
    <cellStyle name="Output 5 3 3 2 3" xfId="34292" xr:uid="{00000000-0005-0000-0000-00003E830000}"/>
    <cellStyle name="Output 5 3 3 2 4" xfId="14437" xr:uid="{00000000-0005-0000-0000-00003F830000}"/>
    <cellStyle name="Output 5 3 3 3" xfId="7147" xr:uid="{00000000-0005-0000-0000-000040830000}"/>
    <cellStyle name="Output 5 3 3 3 2" xfId="26119" xr:uid="{00000000-0005-0000-0000-000041830000}"/>
    <cellStyle name="Output 5 3 3 3 3" xfId="36964" xr:uid="{00000000-0005-0000-0000-000042830000}"/>
    <cellStyle name="Output 5 3 3 3 4" xfId="16351" xr:uid="{00000000-0005-0000-0000-000043830000}"/>
    <cellStyle name="Output 5 3 3 4" xfId="9806" xr:uid="{00000000-0005-0000-0000-000044830000}"/>
    <cellStyle name="Output 5 3 3 4 2" xfId="28778" xr:uid="{00000000-0005-0000-0000-000045830000}"/>
    <cellStyle name="Output 5 3 3 4 3" xfId="39623" xr:uid="{00000000-0005-0000-0000-000046830000}"/>
    <cellStyle name="Output 5 3 3 4 4" xfId="18255" xr:uid="{00000000-0005-0000-0000-000047830000}"/>
    <cellStyle name="Output 5 3 3 5" xfId="20602" xr:uid="{00000000-0005-0000-0000-000048830000}"/>
    <cellStyle name="Output 5 3 3 6" xfId="31447" xr:uid="{00000000-0005-0000-0000-000049830000}"/>
    <cellStyle name="Output 5 3 3 7" xfId="12401" xr:uid="{00000000-0005-0000-0000-00004A830000}"/>
    <cellStyle name="Output 5 3 4" xfId="2024" xr:uid="{00000000-0005-0000-0000-00004B830000}"/>
    <cellStyle name="Output 5 3 4 2" xfId="4877" xr:uid="{00000000-0005-0000-0000-00004C830000}"/>
    <cellStyle name="Output 5 3 4 2 2" xfId="23849" xr:uid="{00000000-0005-0000-0000-00004D830000}"/>
    <cellStyle name="Output 5 3 4 2 3" xfId="34694" xr:uid="{00000000-0005-0000-0000-00004E830000}"/>
    <cellStyle name="Output 5 3 4 2 4" xfId="14723" xr:uid="{00000000-0005-0000-0000-00004F830000}"/>
    <cellStyle name="Output 5 3 4 3" xfId="7549" xr:uid="{00000000-0005-0000-0000-000050830000}"/>
    <cellStyle name="Output 5 3 4 3 2" xfId="26521" xr:uid="{00000000-0005-0000-0000-000051830000}"/>
    <cellStyle name="Output 5 3 4 3 3" xfId="37366" xr:uid="{00000000-0005-0000-0000-000052830000}"/>
    <cellStyle name="Output 5 3 4 3 4" xfId="16637" xr:uid="{00000000-0005-0000-0000-000053830000}"/>
    <cellStyle name="Output 5 3 4 4" xfId="10208" xr:uid="{00000000-0005-0000-0000-000054830000}"/>
    <cellStyle name="Output 5 3 4 4 2" xfId="29180" xr:uid="{00000000-0005-0000-0000-000055830000}"/>
    <cellStyle name="Output 5 3 4 4 3" xfId="40025" xr:uid="{00000000-0005-0000-0000-000056830000}"/>
    <cellStyle name="Output 5 3 4 4 4" xfId="18541" xr:uid="{00000000-0005-0000-0000-000057830000}"/>
    <cellStyle name="Output 5 3 4 5" xfId="21004" xr:uid="{00000000-0005-0000-0000-000058830000}"/>
    <cellStyle name="Output 5 3 4 6" xfId="31849" xr:uid="{00000000-0005-0000-0000-000059830000}"/>
    <cellStyle name="Output 5 3 4 7" xfId="12687" xr:uid="{00000000-0005-0000-0000-00005A830000}"/>
    <cellStyle name="Output 5 3 5" xfId="2416" xr:uid="{00000000-0005-0000-0000-00005B830000}"/>
    <cellStyle name="Output 5 3 5 2" xfId="5269" xr:uid="{00000000-0005-0000-0000-00005C830000}"/>
    <cellStyle name="Output 5 3 5 2 2" xfId="24241" xr:uid="{00000000-0005-0000-0000-00005D830000}"/>
    <cellStyle name="Output 5 3 5 2 3" xfId="35086" xr:uid="{00000000-0005-0000-0000-00005E830000}"/>
    <cellStyle name="Output 5 3 5 2 4" xfId="15004" xr:uid="{00000000-0005-0000-0000-00005F830000}"/>
    <cellStyle name="Output 5 3 5 3" xfId="7940" xr:uid="{00000000-0005-0000-0000-000060830000}"/>
    <cellStyle name="Output 5 3 5 3 2" xfId="26912" xr:uid="{00000000-0005-0000-0000-000061830000}"/>
    <cellStyle name="Output 5 3 5 3 3" xfId="37757" xr:uid="{00000000-0005-0000-0000-000062830000}"/>
    <cellStyle name="Output 5 3 5 3 4" xfId="16917" xr:uid="{00000000-0005-0000-0000-000063830000}"/>
    <cellStyle name="Output 5 3 5 4" xfId="10599" xr:uid="{00000000-0005-0000-0000-000064830000}"/>
    <cellStyle name="Output 5 3 5 4 2" xfId="29571" xr:uid="{00000000-0005-0000-0000-000065830000}"/>
    <cellStyle name="Output 5 3 5 4 3" xfId="40416" xr:uid="{00000000-0005-0000-0000-000066830000}"/>
    <cellStyle name="Output 5 3 5 4 4" xfId="18821" xr:uid="{00000000-0005-0000-0000-000067830000}"/>
    <cellStyle name="Output 5 3 5 5" xfId="21395" xr:uid="{00000000-0005-0000-0000-000068830000}"/>
    <cellStyle name="Output 5 3 5 6" xfId="32240" xr:uid="{00000000-0005-0000-0000-000069830000}"/>
    <cellStyle name="Output 5 3 5 7" xfId="12967" xr:uid="{00000000-0005-0000-0000-00006A830000}"/>
    <cellStyle name="Output 5 3 6" xfId="2805" xr:uid="{00000000-0005-0000-0000-00006B830000}"/>
    <cellStyle name="Output 5 3 6 2" xfId="5657" xr:uid="{00000000-0005-0000-0000-00006C830000}"/>
    <cellStyle name="Output 5 3 6 2 2" xfId="24629" xr:uid="{00000000-0005-0000-0000-00006D830000}"/>
    <cellStyle name="Output 5 3 6 2 3" xfId="35474" xr:uid="{00000000-0005-0000-0000-00006E830000}"/>
    <cellStyle name="Output 5 3 6 2 4" xfId="15282" xr:uid="{00000000-0005-0000-0000-00006F830000}"/>
    <cellStyle name="Output 5 3 6 3" xfId="8328" xr:uid="{00000000-0005-0000-0000-000070830000}"/>
    <cellStyle name="Output 5 3 6 3 2" xfId="27300" xr:uid="{00000000-0005-0000-0000-000071830000}"/>
    <cellStyle name="Output 5 3 6 3 3" xfId="38145" xr:uid="{00000000-0005-0000-0000-000072830000}"/>
    <cellStyle name="Output 5 3 6 3 4" xfId="17195" xr:uid="{00000000-0005-0000-0000-000073830000}"/>
    <cellStyle name="Output 5 3 6 4" xfId="10987" xr:uid="{00000000-0005-0000-0000-000074830000}"/>
    <cellStyle name="Output 5 3 6 4 2" xfId="29959" xr:uid="{00000000-0005-0000-0000-000075830000}"/>
    <cellStyle name="Output 5 3 6 4 3" xfId="40804" xr:uid="{00000000-0005-0000-0000-000076830000}"/>
    <cellStyle name="Output 5 3 6 4 4" xfId="19099" xr:uid="{00000000-0005-0000-0000-000077830000}"/>
    <cellStyle name="Output 5 3 6 5" xfId="21783" xr:uid="{00000000-0005-0000-0000-000078830000}"/>
    <cellStyle name="Output 5 3 6 6" xfId="32628" xr:uid="{00000000-0005-0000-0000-000079830000}"/>
    <cellStyle name="Output 5 3 6 7" xfId="13245" xr:uid="{00000000-0005-0000-0000-00007A830000}"/>
    <cellStyle name="Output 5 3 7" xfId="3496" xr:uid="{00000000-0005-0000-0000-00007B830000}"/>
    <cellStyle name="Output 5 3 7 2" xfId="22468" xr:uid="{00000000-0005-0000-0000-00007C830000}"/>
    <cellStyle name="Output 5 3 7 3" xfId="33313" xr:uid="{00000000-0005-0000-0000-00007D830000}"/>
    <cellStyle name="Output 5 3 7 4" xfId="13727" xr:uid="{00000000-0005-0000-0000-00007E830000}"/>
    <cellStyle name="Output 5 3 8" xfId="6172" xr:uid="{00000000-0005-0000-0000-00007F830000}"/>
    <cellStyle name="Output 5 3 8 2" xfId="25144" xr:uid="{00000000-0005-0000-0000-000080830000}"/>
    <cellStyle name="Output 5 3 8 3" xfId="35989" xr:uid="{00000000-0005-0000-0000-000081830000}"/>
    <cellStyle name="Output 5 3 8 4" xfId="15644" xr:uid="{00000000-0005-0000-0000-000082830000}"/>
    <cellStyle name="Output 5 3 9" xfId="8831" xr:uid="{00000000-0005-0000-0000-000083830000}"/>
    <cellStyle name="Output 5 3 9 2" xfId="27803" xr:uid="{00000000-0005-0000-0000-000084830000}"/>
    <cellStyle name="Output 5 3 9 3" xfId="38648" xr:uid="{00000000-0005-0000-0000-000085830000}"/>
    <cellStyle name="Output 5 3 9 4" xfId="17548" xr:uid="{00000000-0005-0000-0000-000086830000}"/>
    <cellStyle name="Output 5 4" xfId="11491" xr:uid="{00000000-0005-0000-0000-000087830000}"/>
    <cellStyle name="Output 6" xfId="387" xr:uid="{00000000-0005-0000-0000-000088830000}"/>
    <cellStyle name="Output 6 10" xfId="991" xr:uid="{00000000-0005-0000-0000-000089830000}"/>
    <cellStyle name="Output 6 10 2" xfId="3844" xr:uid="{00000000-0005-0000-0000-00008A830000}"/>
    <cellStyle name="Output 6 10 2 2" xfId="22816" xr:uid="{00000000-0005-0000-0000-00008B830000}"/>
    <cellStyle name="Output 6 10 2 3" xfId="33661" xr:uid="{00000000-0005-0000-0000-00008C830000}"/>
    <cellStyle name="Output 6 10 2 4" xfId="13977" xr:uid="{00000000-0005-0000-0000-00008D830000}"/>
    <cellStyle name="Output 6 10 3" xfId="6519" xr:uid="{00000000-0005-0000-0000-00008E830000}"/>
    <cellStyle name="Output 6 10 3 2" xfId="25491" xr:uid="{00000000-0005-0000-0000-00008F830000}"/>
    <cellStyle name="Output 6 10 3 3" xfId="36336" xr:uid="{00000000-0005-0000-0000-000090830000}"/>
    <cellStyle name="Output 6 10 3 4" xfId="15893" xr:uid="{00000000-0005-0000-0000-000091830000}"/>
    <cellStyle name="Output 6 10 4" xfId="9178" xr:uid="{00000000-0005-0000-0000-000092830000}"/>
    <cellStyle name="Output 6 10 4 2" xfId="28150" xr:uid="{00000000-0005-0000-0000-000093830000}"/>
    <cellStyle name="Output 6 10 4 3" xfId="38995" xr:uid="{00000000-0005-0000-0000-000094830000}"/>
    <cellStyle name="Output 6 10 4 4" xfId="17797" xr:uid="{00000000-0005-0000-0000-000095830000}"/>
    <cellStyle name="Output 6 10 5" xfId="19974" xr:uid="{00000000-0005-0000-0000-000096830000}"/>
    <cellStyle name="Output 6 10 6" xfId="30819" xr:uid="{00000000-0005-0000-0000-000097830000}"/>
    <cellStyle name="Output 6 10 7" xfId="11943" xr:uid="{00000000-0005-0000-0000-000098830000}"/>
    <cellStyle name="Output 6 11" xfId="1637" xr:uid="{00000000-0005-0000-0000-000099830000}"/>
    <cellStyle name="Output 6 11 2" xfId="4490" xr:uid="{00000000-0005-0000-0000-00009A830000}"/>
    <cellStyle name="Output 6 11 2 2" xfId="23462" xr:uid="{00000000-0005-0000-0000-00009B830000}"/>
    <cellStyle name="Output 6 11 2 3" xfId="34307" xr:uid="{00000000-0005-0000-0000-00009C830000}"/>
    <cellStyle name="Output 6 11 2 4" xfId="14452" xr:uid="{00000000-0005-0000-0000-00009D830000}"/>
    <cellStyle name="Output 6 11 3" xfId="7162" xr:uid="{00000000-0005-0000-0000-00009E830000}"/>
    <cellStyle name="Output 6 11 3 2" xfId="26134" xr:uid="{00000000-0005-0000-0000-00009F830000}"/>
    <cellStyle name="Output 6 11 3 3" xfId="36979" xr:uid="{00000000-0005-0000-0000-0000A0830000}"/>
    <cellStyle name="Output 6 11 3 4" xfId="16366" xr:uid="{00000000-0005-0000-0000-0000A1830000}"/>
    <cellStyle name="Output 6 11 4" xfId="9821" xr:uid="{00000000-0005-0000-0000-0000A2830000}"/>
    <cellStyle name="Output 6 11 4 2" xfId="28793" xr:uid="{00000000-0005-0000-0000-0000A3830000}"/>
    <cellStyle name="Output 6 11 4 3" xfId="39638" xr:uid="{00000000-0005-0000-0000-0000A4830000}"/>
    <cellStyle name="Output 6 11 4 4" xfId="18270" xr:uid="{00000000-0005-0000-0000-0000A5830000}"/>
    <cellStyle name="Output 6 11 5" xfId="20617" xr:uid="{00000000-0005-0000-0000-0000A6830000}"/>
    <cellStyle name="Output 6 11 6" xfId="31462" xr:uid="{00000000-0005-0000-0000-0000A7830000}"/>
    <cellStyle name="Output 6 11 7" xfId="12416" xr:uid="{00000000-0005-0000-0000-0000A8830000}"/>
    <cellStyle name="Output 6 12" xfId="3122" xr:uid="{00000000-0005-0000-0000-0000A9830000}"/>
    <cellStyle name="Output 6 12 2" xfId="5973" xr:uid="{00000000-0005-0000-0000-0000AA830000}"/>
    <cellStyle name="Output 6 12 2 2" xfId="24945" xr:uid="{00000000-0005-0000-0000-0000AB830000}"/>
    <cellStyle name="Output 6 12 2 3" xfId="35790" xr:uid="{00000000-0005-0000-0000-0000AC830000}"/>
    <cellStyle name="Output 6 12 2 4" xfId="15498" xr:uid="{00000000-0005-0000-0000-0000AD830000}"/>
    <cellStyle name="Output 6 12 3" xfId="8644" xr:uid="{00000000-0005-0000-0000-0000AE830000}"/>
    <cellStyle name="Output 6 12 3 2" xfId="27616" xr:uid="{00000000-0005-0000-0000-0000AF830000}"/>
    <cellStyle name="Output 6 12 3 3" xfId="38461" xr:uid="{00000000-0005-0000-0000-0000B0830000}"/>
    <cellStyle name="Output 6 12 3 4" xfId="17411" xr:uid="{00000000-0005-0000-0000-0000B1830000}"/>
    <cellStyle name="Output 6 12 4" xfId="11303" xr:uid="{00000000-0005-0000-0000-0000B2830000}"/>
    <cellStyle name="Output 6 12 4 2" xfId="30275" xr:uid="{00000000-0005-0000-0000-0000B3830000}"/>
    <cellStyle name="Output 6 12 4 3" xfId="41120" xr:uid="{00000000-0005-0000-0000-0000B4830000}"/>
    <cellStyle name="Output 6 12 4 4" xfId="19315" xr:uid="{00000000-0005-0000-0000-0000B5830000}"/>
    <cellStyle name="Output 6 12 5" xfId="22099" xr:uid="{00000000-0005-0000-0000-0000B6830000}"/>
    <cellStyle name="Output 6 12 6" xfId="32944" xr:uid="{00000000-0005-0000-0000-0000B7830000}"/>
    <cellStyle name="Output 6 12 7" xfId="13461" xr:uid="{00000000-0005-0000-0000-0000B8830000}"/>
    <cellStyle name="Output 6 13" xfId="3179" xr:uid="{00000000-0005-0000-0000-0000B9830000}"/>
    <cellStyle name="Output 6 13 2" xfId="6030" xr:uid="{00000000-0005-0000-0000-0000BA830000}"/>
    <cellStyle name="Output 6 13 2 2" xfId="25002" xr:uid="{00000000-0005-0000-0000-0000BB830000}"/>
    <cellStyle name="Output 6 13 2 3" xfId="35847" xr:uid="{00000000-0005-0000-0000-0000BC830000}"/>
    <cellStyle name="Output 6 13 2 4" xfId="15535" xr:uid="{00000000-0005-0000-0000-0000BD830000}"/>
    <cellStyle name="Output 6 13 3" xfId="8701" xr:uid="{00000000-0005-0000-0000-0000BE830000}"/>
    <cellStyle name="Output 6 13 3 2" xfId="27673" xr:uid="{00000000-0005-0000-0000-0000BF830000}"/>
    <cellStyle name="Output 6 13 3 3" xfId="38518" xr:uid="{00000000-0005-0000-0000-0000C0830000}"/>
    <cellStyle name="Output 6 13 3 4" xfId="17448" xr:uid="{00000000-0005-0000-0000-0000C1830000}"/>
    <cellStyle name="Output 6 13 4" xfId="11360" xr:uid="{00000000-0005-0000-0000-0000C2830000}"/>
    <cellStyle name="Output 6 13 4 2" xfId="30332" xr:uid="{00000000-0005-0000-0000-0000C3830000}"/>
    <cellStyle name="Output 6 13 4 3" xfId="41177" xr:uid="{00000000-0005-0000-0000-0000C4830000}"/>
    <cellStyle name="Output 6 13 4 4" xfId="19352" xr:uid="{00000000-0005-0000-0000-0000C5830000}"/>
    <cellStyle name="Output 6 13 5" xfId="22156" xr:uid="{00000000-0005-0000-0000-0000C6830000}"/>
    <cellStyle name="Output 6 13 6" xfId="33001" xr:uid="{00000000-0005-0000-0000-0000C7830000}"/>
    <cellStyle name="Output 6 13 7" xfId="13498" xr:uid="{00000000-0005-0000-0000-0000C8830000}"/>
    <cellStyle name="Output 6 14" xfId="3345" xr:uid="{00000000-0005-0000-0000-0000C9830000}"/>
    <cellStyle name="Output 6 14 2" xfId="22319" xr:uid="{00000000-0005-0000-0000-0000CA830000}"/>
    <cellStyle name="Output 6 14 3" xfId="33164" xr:uid="{00000000-0005-0000-0000-0000CB830000}"/>
    <cellStyle name="Output 6 14 4" xfId="13615" xr:uid="{00000000-0005-0000-0000-0000CC830000}"/>
    <cellStyle name="Output 6 15" xfId="3393" xr:uid="{00000000-0005-0000-0000-0000CD830000}"/>
    <cellStyle name="Output 6 15 2" xfId="22365" xr:uid="{00000000-0005-0000-0000-0000CE830000}"/>
    <cellStyle name="Output 6 15 3" xfId="33210" xr:uid="{00000000-0005-0000-0000-0000CF830000}"/>
    <cellStyle name="Output 6 15 4" xfId="13647" xr:uid="{00000000-0005-0000-0000-0000D0830000}"/>
    <cellStyle name="Output 6 16" xfId="3500" xr:uid="{00000000-0005-0000-0000-0000D1830000}"/>
    <cellStyle name="Output 6 16 2" xfId="22472" xr:uid="{00000000-0005-0000-0000-0000D2830000}"/>
    <cellStyle name="Output 6 16 3" xfId="33317" xr:uid="{00000000-0005-0000-0000-0000D3830000}"/>
    <cellStyle name="Output 6 16 4" xfId="13731" xr:uid="{00000000-0005-0000-0000-0000D4830000}"/>
    <cellStyle name="Output 6 17" xfId="19476" xr:uid="{00000000-0005-0000-0000-0000D5830000}"/>
    <cellStyle name="Output 6 18" xfId="19431" xr:uid="{00000000-0005-0000-0000-0000D6830000}"/>
    <cellStyle name="Output 6 19" xfId="11525" xr:uid="{00000000-0005-0000-0000-0000D7830000}"/>
    <cellStyle name="Output 6 2" xfId="687" xr:uid="{00000000-0005-0000-0000-0000D8830000}"/>
    <cellStyle name="Output 6 2 10" xfId="19672" xr:uid="{00000000-0005-0000-0000-0000D9830000}"/>
    <cellStyle name="Output 6 2 11" xfId="30517" xr:uid="{00000000-0005-0000-0000-0000DA830000}"/>
    <cellStyle name="Output 6 2 12" xfId="11729" xr:uid="{00000000-0005-0000-0000-0000DB830000}"/>
    <cellStyle name="Output 6 2 2" xfId="1274" xr:uid="{00000000-0005-0000-0000-0000DC830000}"/>
    <cellStyle name="Output 6 2 2 2" xfId="4127" xr:uid="{00000000-0005-0000-0000-0000DD830000}"/>
    <cellStyle name="Output 6 2 2 2 2" xfId="23099" xr:uid="{00000000-0005-0000-0000-0000DE830000}"/>
    <cellStyle name="Output 6 2 2 2 3" xfId="33944" xr:uid="{00000000-0005-0000-0000-0000DF830000}"/>
    <cellStyle name="Output 6 2 2 2 4" xfId="14190" xr:uid="{00000000-0005-0000-0000-0000E0830000}"/>
    <cellStyle name="Output 6 2 2 3" xfId="6800" xr:uid="{00000000-0005-0000-0000-0000E1830000}"/>
    <cellStyle name="Output 6 2 2 3 2" xfId="25772" xr:uid="{00000000-0005-0000-0000-0000E2830000}"/>
    <cellStyle name="Output 6 2 2 3 3" xfId="36617" xr:uid="{00000000-0005-0000-0000-0000E3830000}"/>
    <cellStyle name="Output 6 2 2 3 4" xfId="16105" xr:uid="{00000000-0005-0000-0000-0000E4830000}"/>
    <cellStyle name="Output 6 2 2 4" xfId="9459" xr:uid="{00000000-0005-0000-0000-0000E5830000}"/>
    <cellStyle name="Output 6 2 2 4 2" xfId="28431" xr:uid="{00000000-0005-0000-0000-0000E6830000}"/>
    <cellStyle name="Output 6 2 2 4 3" xfId="39276" xr:uid="{00000000-0005-0000-0000-0000E7830000}"/>
    <cellStyle name="Output 6 2 2 4 4" xfId="18009" xr:uid="{00000000-0005-0000-0000-0000E8830000}"/>
    <cellStyle name="Output 6 2 2 5" xfId="20255" xr:uid="{00000000-0005-0000-0000-0000E9830000}"/>
    <cellStyle name="Output 6 2 2 6" xfId="31100" xr:uid="{00000000-0005-0000-0000-0000EA830000}"/>
    <cellStyle name="Output 6 2 2 7" xfId="12155" xr:uid="{00000000-0005-0000-0000-0000EB830000}"/>
    <cellStyle name="Output 6 2 3" xfId="1673" xr:uid="{00000000-0005-0000-0000-0000EC830000}"/>
    <cellStyle name="Output 6 2 3 2" xfId="4526" xr:uid="{00000000-0005-0000-0000-0000ED830000}"/>
    <cellStyle name="Output 6 2 3 2 2" xfId="23498" xr:uid="{00000000-0005-0000-0000-0000EE830000}"/>
    <cellStyle name="Output 6 2 3 2 3" xfId="34343" xr:uid="{00000000-0005-0000-0000-0000EF830000}"/>
    <cellStyle name="Output 6 2 3 2 4" xfId="14477" xr:uid="{00000000-0005-0000-0000-0000F0830000}"/>
    <cellStyle name="Output 6 2 3 3" xfId="7198" xr:uid="{00000000-0005-0000-0000-0000F1830000}"/>
    <cellStyle name="Output 6 2 3 3 2" xfId="26170" xr:uid="{00000000-0005-0000-0000-0000F2830000}"/>
    <cellStyle name="Output 6 2 3 3 3" xfId="37015" xr:uid="{00000000-0005-0000-0000-0000F3830000}"/>
    <cellStyle name="Output 6 2 3 3 4" xfId="16391" xr:uid="{00000000-0005-0000-0000-0000F4830000}"/>
    <cellStyle name="Output 6 2 3 4" xfId="9857" xr:uid="{00000000-0005-0000-0000-0000F5830000}"/>
    <cellStyle name="Output 6 2 3 4 2" xfId="28829" xr:uid="{00000000-0005-0000-0000-0000F6830000}"/>
    <cellStyle name="Output 6 2 3 4 3" xfId="39674" xr:uid="{00000000-0005-0000-0000-0000F7830000}"/>
    <cellStyle name="Output 6 2 3 4 4" xfId="18295" xr:uid="{00000000-0005-0000-0000-0000F8830000}"/>
    <cellStyle name="Output 6 2 3 5" xfId="20653" xr:uid="{00000000-0005-0000-0000-0000F9830000}"/>
    <cellStyle name="Output 6 2 3 6" xfId="31498" xr:uid="{00000000-0005-0000-0000-0000FA830000}"/>
    <cellStyle name="Output 6 2 3 7" xfId="12441" xr:uid="{00000000-0005-0000-0000-0000FB830000}"/>
    <cellStyle name="Output 6 2 4" xfId="2077" xr:uid="{00000000-0005-0000-0000-0000FC830000}"/>
    <cellStyle name="Output 6 2 4 2" xfId="4930" xr:uid="{00000000-0005-0000-0000-0000FD830000}"/>
    <cellStyle name="Output 6 2 4 2 2" xfId="23902" xr:uid="{00000000-0005-0000-0000-0000FE830000}"/>
    <cellStyle name="Output 6 2 4 2 3" xfId="34747" xr:uid="{00000000-0005-0000-0000-0000FF830000}"/>
    <cellStyle name="Output 6 2 4 2 4" xfId="14764" xr:uid="{00000000-0005-0000-0000-000000840000}"/>
    <cellStyle name="Output 6 2 4 3" xfId="7601" xr:uid="{00000000-0005-0000-0000-000001840000}"/>
    <cellStyle name="Output 6 2 4 3 2" xfId="26573" xr:uid="{00000000-0005-0000-0000-000002840000}"/>
    <cellStyle name="Output 6 2 4 3 3" xfId="37418" xr:uid="{00000000-0005-0000-0000-000003840000}"/>
    <cellStyle name="Output 6 2 4 3 4" xfId="16677" xr:uid="{00000000-0005-0000-0000-000004840000}"/>
    <cellStyle name="Output 6 2 4 4" xfId="10260" xr:uid="{00000000-0005-0000-0000-000005840000}"/>
    <cellStyle name="Output 6 2 4 4 2" xfId="29232" xr:uid="{00000000-0005-0000-0000-000006840000}"/>
    <cellStyle name="Output 6 2 4 4 3" xfId="40077" xr:uid="{00000000-0005-0000-0000-000007840000}"/>
    <cellStyle name="Output 6 2 4 4 4" xfId="18581" xr:uid="{00000000-0005-0000-0000-000008840000}"/>
    <cellStyle name="Output 6 2 4 5" xfId="21056" xr:uid="{00000000-0005-0000-0000-000009840000}"/>
    <cellStyle name="Output 6 2 4 6" xfId="31901" xr:uid="{00000000-0005-0000-0000-00000A840000}"/>
    <cellStyle name="Output 6 2 4 7" xfId="12727" xr:uid="{00000000-0005-0000-0000-00000B840000}"/>
    <cellStyle name="Output 6 2 5" xfId="2467" xr:uid="{00000000-0005-0000-0000-00000C840000}"/>
    <cellStyle name="Output 6 2 5 2" xfId="5319" xr:uid="{00000000-0005-0000-0000-00000D840000}"/>
    <cellStyle name="Output 6 2 5 2 2" xfId="24291" xr:uid="{00000000-0005-0000-0000-00000E840000}"/>
    <cellStyle name="Output 6 2 5 2 3" xfId="35136" xr:uid="{00000000-0005-0000-0000-00000F840000}"/>
    <cellStyle name="Output 6 2 5 2 4" xfId="15043" xr:uid="{00000000-0005-0000-0000-000010840000}"/>
    <cellStyle name="Output 6 2 5 3" xfId="7990" xr:uid="{00000000-0005-0000-0000-000011840000}"/>
    <cellStyle name="Output 6 2 5 3 2" xfId="26962" xr:uid="{00000000-0005-0000-0000-000012840000}"/>
    <cellStyle name="Output 6 2 5 3 3" xfId="37807" xr:uid="{00000000-0005-0000-0000-000013840000}"/>
    <cellStyle name="Output 6 2 5 3 4" xfId="16956" xr:uid="{00000000-0005-0000-0000-000014840000}"/>
    <cellStyle name="Output 6 2 5 4" xfId="10649" xr:uid="{00000000-0005-0000-0000-000015840000}"/>
    <cellStyle name="Output 6 2 5 4 2" xfId="29621" xr:uid="{00000000-0005-0000-0000-000016840000}"/>
    <cellStyle name="Output 6 2 5 4 3" xfId="40466" xr:uid="{00000000-0005-0000-0000-000017840000}"/>
    <cellStyle name="Output 6 2 5 4 4" xfId="18860" xr:uid="{00000000-0005-0000-0000-000018840000}"/>
    <cellStyle name="Output 6 2 5 5" xfId="21445" xr:uid="{00000000-0005-0000-0000-000019840000}"/>
    <cellStyle name="Output 6 2 5 6" xfId="32290" xr:uid="{00000000-0005-0000-0000-00001A840000}"/>
    <cellStyle name="Output 6 2 5 7" xfId="13006" xr:uid="{00000000-0005-0000-0000-00001B840000}"/>
    <cellStyle name="Output 6 2 6" xfId="2853" xr:uid="{00000000-0005-0000-0000-00001C840000}"/>
    <cellStyle name="Output 6 2 6 2" xfId="5704" xr:uid="{00000000-0005-0000-0000-00001D840000}"/>
    <cellStyle name="Output 6 2 6 2 2" xfId="24676" xr:uid="{00000000-0005-0000-0000-00001E840000}"/>
    <cellStyle name="Output 6 2 6 2 3" xfId="35521" xr:uid="{00000000-0005-0000-0000-00001F840000}"/>
    <cellStyle name="Output 6 2 6 2 4" xfId="15319" xr:uid="{00000000-0005-0000-0000-000020840000}"/>
    <cellStyle name="Output 6 2 6 3" xfId="8375" xr:uid="{00000000-0005-0000-0000-000021840000}"/>
    <cellStyle name="Output 6 2 6 3 2" xfId="27347" xr:uid="{00000000-0005-0000-0000-000022840000}"/>
    <cellStyle name="Output 6 2 6 3 3" xfId="38192" xr:uid="{00000000-0005-0000-0000-000023840000}"/>
    <cellStyle name="Output 6 2 6 3 4" xfId="17232" xr:uid="{00000000-0005-0000-0000-000024840000}"/>
    <cellStyle name="Output 6 2 6 4" xfId="11034" xr:uid="{00000000-0005-0000-0000-000025840000}"/>
    <cellStyle name="Output 6 2 6 4 2" xfId="30006" xr:uid="{00000000-0005-0000-0000-000026840000}"/>
    <cellStyle name="Output 6 2 6 4 3" xfId="40851" xr:uid="{00000000-0005-0000-0000-000027840000}"/>
    <cellStyle name="Output 6 2 6 4 4" xfId="19136" xr:uid="{00000000-0005-0000-0000-000028840000}"/>
    <cellStyle name="Output 6 2 6 5" xfId="21830" xr:uid="{00000000-0005-0000-0000-000029840000}"/>
    <cellStyle name="Output 6 2 6 6" xfId="32675" xr:uid="{00000000-0005-0000-0000-00002A840000}"/>
    <cellStyle name="Output 6 2 6 7" xfId="13282" xr:uid="{00000000-0005-0000-0000-00002B840000}"/>
    <cellStyle name="Output 6 2 7" xfId="3542" xr:uid="{00000000-0005-0000-0000-00002C840000}"/>
    <cellStyle name="Output 6 2 7 2" xfId="22514" xr:uid="{00000000-0005-0000-0000-00002D840000}"/>
    <cellStyle name="Output 6 2 7 3" xfId="33359" xr:uid="{00000000-0005-0000-0000-00002E840000}"/>
    <cellStyle name="Output 6 2 7 4" xfId="13763" xr:uid="{00000000-0005-0000-0000-00002F840000}"/>
    <cellStyle name="Output 6 2 8" xfId="6217" xr:uid="{00000000-0005-0000-0000-000030840000}"/>
    <cellStyle name="Output 6 2 8 2" xfId="25189" xr:uid="{00000000-0005-0000-0000-000031840000}"/>
    <cellStyle name="Output 6 2 8 3" xfId="36034" xr:uid="{00000000-0005-0000-0000-000032840000}"/>
    <cellStyle name="Output 6 2 8 4" xfId="15679" xr:uid="{00000000-0005-0000-0000-000033840000}"/>
    <cellStyle name="Output 6 2 9" xfId="8876" xr:uid="{00000000-0005-0000-0000-000034840000}"/>
    <cellStyle name="Output 6 2 9 2" xfId="27848" xr:uid="{00000000-0005-0000-0000-000035840000}"/>
    <cellStyle name="Output 6 2 9 3" xfId="38693" xr:uid="{00000000-0005-0000-0000-000036840000}"/>
    <cellStyle name="Output 6 2 9 4" xfId="17583" xr:uid="{00000000-0005-0000-0000-000037840000}"/>
    <cellStyle name="Output 6 3" xfId="747" xr:uid="{00000000-0005-0000-0000-000038840000}"/>
    <cellStyle name="Output 6 3 10" xfId="19732" xr:uid="{00000000-0005-0000-0000-000039840000}"/>
    <cellStyle name="Output 6 3 11" xfId="30577" xr:uid="{00000000-0005-0000-0000-00003A840000}"/>
    <cellStyle name="Output 6 3 12" xfId="11769" xr:uid="{00000000-0005-0000-0000-00003B840000}"/>
    <cellStyle name="Output 6 3 2" xfId="1334" xr:uid="{00000000-0005-0000-0000-00003C840000}"/>
    <cellStyle name="Output 6 3 2 2" xfId="4187" xr:uid="{00000000-0005-0000-0000-00003D840000}"/>
    <cellStyle name="Output 6 3 2 2 2" xfId="23159" xr:uid="{00000000-0005-0000-0000-00003E840000}"/>
    <cellStyle name="Output 6 3 2 2 3" xfId="34004" xr:uid="{00000000-0005-0000-0000-00003F840000}"/>
    <cellStyle name="Output 6 3 2 2 4" xfId="14230" xr:uid="{00000000-0005-0000-0000-000040840000}"/>
    <cellStyle name="Output 6 3 2 3" xfId="6860" xr:uid="{00000000-0005-0000-0000-000041840000}"/>
    <cellStyle name="Output 6 3 2 3 2" xfId="25832" xr:uid="{00000000-0005-0000-0000-000042840000}"/>
    <cellStyle name="Output 6 3 2 3 3" xfId="36677" xr:uid="{00000000-0005-0000-0000-000043840000}"/>
    <cellStyle name="Output 6 3 2 3 4" xfId="16145" xr:uid="{00000000-0005-0000-0000-000044840000}"/>
    <cellStyle name="Output 6 3 2 4" xfId="9519" xr:uid="{00000000-0005-0000-0000-000045840000}"/>
    <cellStyle name="Output 6 3 2 4 2" xfId="28491" xr:uid="{00000000-0005-0000-0000-000046840000}"/>
    <cellStyle name="Output 6 3 2 4 3" xfId="39336" xr:uid="{00000000-0005-0000-0000-000047840000}"/>
    <cellStyle name="Output 6 3 2 4 4" xfId="18049" xr:uid="{00000000-0005-0000-0000-000048840000}"/>
    <cellStyle name="Output 6 3 2 5" xfId="20315" xr:uid="{00000000-0005-0000-0000-000049840000}"/>
    <cellStyle name="Output 6 3 2 6" xfId="31160" xr:uid="{00000000-0005-0000-0000-00004A840000}"/>
    <cellStyle name="Output 6 3 2 7" xfId="12195" xr:uid="{00000000-0005-0000-0000-00004B840000}"/>
    <cellStyle name="Output 6 3 3" xfId="1733" xr:uid="{00000000-0005-0000-0000-00004C840000}"/>
    <cellStyle name="Output 6 3 3 2" xfId="4586" xr:uid="{00000000-0005-0000-0000-00004D840000}"/>
    <cellStyle name="Output 6 3 3 2 2" xfId="23558" xr:uid="{00000000-0005-0000-0000-00004E840000}"/>
    <cellStyle name="Output 6 3 3 2 3" xfId="34403" xr:uid="{00000000-0005-0000-0000-00004F840000}"/>
    <cellStyle name="Output 6 3 3 2 4" xfId="14517" xr:uid="{00000000-0005-0000-0000-000050840000}"/>
    <cellStyle name="Output 6 3 3 3" xfId="7258" xr:uid="{00000000-0005-0000-0000-000051840000}"/>
    <cellStyle name="Output 6 3 3 3 2" xfId="26230" xr:uid="{00000000-0005-0000-0000-000052840000}"/>
    <cellStyle name="Output 6 3 3 3 3" xfId="37075" xr:uid="{00000000-0005-0000-0000-000053840000}"/>
    <cellStyle name="Output 6 3 3 3 4" xfId="16431" xr:uid="{00000000-0005-0000-0000-000054840000}"/>
    <cellStyle name="Output 6 3 3 4" xfId="9917" xr:uid="{00000000-0005-0000-0000-000055840000}"/>
    <cellStyle name="Output 6 3 3 4 2" xfId="28889" xr:uid="{00000000-0005-0000-0000-000056840000}"/>
    <cellStyle name="Output 6 3 3 4 3" xfId="39734" xr:uid="{00000000-0005-0000-0000-000057840000}"/>
    <cellStyle name="Output 6 3 3 4 4" xfId="18335" xr:uid="{00000000-0005-0000-0000-000058840000}"/>
    <cellStyle name="Output 6 3 3 5" xfId="20713" xr:uid="{00000000-0005-0000-0000-000059840000}"/>
    <cellStyle name="Output 6 3 3 6" xfId="31558" xr:uid="{00000000-0005-0000-0000-00005A840000}"/>
    <cellStyle name="Output 6 3 3 7" xfId="12481" xr:uid="{00000000-0005-0000-0000-00005B840000}"/>
    <cellStyle name="Output 6 3 4" xfId="2137" xr:uid="{00000000-0005-0000-0000-00005C840000}"/>
    <cellStyle name="Output 6 3 4 2" xfId="4990" xr:uid="{00000000-0005-0000-0000-00005D840000}"/>
    <cellStyle name="Output 6 3 4 2 2" xfId="23962" xr:uid="{00000000-0005-0000-0000-00005E840000}"/>
    <cellStyle name="Output 6 3 4 2 3" xfId="34807" xr:uid="{00000000-0005-0000-0000-00005F840000}"/>
    <cellStyle name="Output 6 3 4 2 4" xfId="14804" xr:uid="{00000000-0005-0000-0000-000060840000}"/>
    <cellStyle name="Output 6 3 4 3" xfId="7661" xr:uid="{00000000-0005-0000-0000-000061840000}"/>
    <cellStyle name="Output 6 3 4 3 2" xfId="26633" xr:uid="{00000000-0005-0000-0000-000062840000}"/>
    <cellStyle name="Output 6 3 4 3 3" xfId="37478" xr:uid="{00000000-0005-0000-0000-000063840000}"/>
    <cellStyle name="Output 6 3 4 3 4" xfId="16717" xr:uid="{00000000-0005-0000-0000-000064840000}"/>
    <cellStyle name="Output 6 3 4 4" xfId="10320" xr:uid="{00000000-0005-0000-0000-000065840000}"/>
    <cellStyle name="Output 6 3 4 4 2" xfId="29292" xr:uid="{00000000-0005-0000-0000-000066840000}"/>
    <cellStyle name="Output 6 3 4 4 3" xfId="40137" xr:uid="{00000000-0005-0000-0000-000067840000}"/>
    <cellStyle name="Output 6 3 4 4 4" xfId="18621" xr:uid="{00000000-0005-0000-0000-000068840000}"/>
    <cellStyle name="Output 6 3 4 5" xfId="21116" xr:uid="{00000000-0005-0000-0000-000069840000}"/>
    <cellStyle name="Output 6 3 4 6" xfId="31961" xr:uid="{00000000-0005-0000-0000-00006A840000}"/>
    <cellStyle name="Output 6 3 4 7" xfId="12767" xr:uid="{00000000-0005-0000-0000-00006B840000}"/>
    <cellStyle name="Output 6 3 5" xfId="2527" xr:uid="{00000000-0005-0000-0000-00006C840000}"/>
    <cellStyle name="Output 6 3 5 2" xfId="5379" xr:uid="{00000000-0005-0000-0000-00006D840000}"/>
    <cellStyle name="Output 6 3 5 2 2" xfId="24351" xr:uid="{00000000-0005-0000-0000-00006E840000}"/>
    <cellStyle name="Output 6 3 5 2 3" xfId="35196" xr:uid="{00000000-0005-0000-0000-00006F840000}"/>
    <cellStyle name="Output 6 3 5 2 4" xfId="15083" xr:uid="{00000000-0005-0000-0000-000070840000}"/>
    <cellStyle name="Output 6 3 5 3" xfId="8050" xr:uid="{00000000-0005-0000-0000-000071840000}"/>
    <cellStyle name="Output 6 3 5 3 2" xfId="27022" xr:uid="{00000000-0005-0000-0000-000072840000}"/>
    <cellStyle name="Output 6 3 5 3 3" xfId="37867" xr:uid="{00000000-0005-0000-0000-000073840000}"/>
    <cellStyle name="Output 6 3 5 3 4" xfId="16996" xr:uid="{00000000-0005-0000-0000-000074840000}"/>
    <cellStyle name="Output 6 3 5 4" xfId="10709" xr:uid="{00000000-0005-0000-0000-000075840000}"/>
    <cellStyle name="Output 6 3 5 4 2" xfId="29681" xr:uid="{00000000-0005-0000-0000-000076840000}"/>
    <cellStyle name="Output 6 3 5 4 3" xfId="40526" xr:uid="{00000000-0005-0000-0000-000077840000}"/>
    <cellStyle name="Output 6 3 5 4 4" xfId="18900" xr:uid="{00000000-0005-0000-0000-000078840000}"/>
    <cellStyle name="Output 6 3 5 5" xfId="21505" xr:uid="{00000000-0005-0000-0000-000079840000}"/>
    <cellStyle name="Output 6 3 5 6" xfId="32350" xr:uid="{00000000-0005-0000-0000-00007A840000}"/>
    <cellStyle name="Output 6 3 5 7" xfId="13046" xr:uid="{00000000-0005-0000-0000-00007B840000}"/>
    <cellStyle name="Output 6 3 6" xfId="2913" xr:uid="{00000000-0005-0000-0000-00007C840000}"/>
    <cellStyle name="Output 6 3 6 2" xfId="5764" xr:uid="{00000000-0005-0000-0000-00007D840000}"/>
    <cellStyle name="Output 6 3 6 2 2" xfId="24736" xr:uid="{00000000-0005-0000-0000-00007E840000}"/>
    <cellStyle name="Output 6 3 6 2 3" xfId="35581" xr:uid="{00000000-0005-0000-0000-00007F840000}"/>
    <cellStyle name="Output 6 3 6 2 4" xfId="15359" xr:uid="{00000000-0005-0000-0000-000080840000}"/>
    <cellStyle name="Output 6 3 6 3" xfId="8435" xr:uid="{00000000-0005-0000-0000-000081840000}"/>
    <cellStyle name="Output 6 3 6 3 2" xfId="27407" xr:uid="{00000000-0005-0000-0000-000082840000}"/>
    <cellStyle name="Output 6 3 6 3 3" xfId="38252" xr:uid="{00000000-0005-0000-0000-000083840000}"/>
    <cellStyle name="Output 6 3 6 3 4" xfId="17272" xr:uid="{00000000-0005-0000-0000-000084840000}"/>
    <cellStyle name="Output 6 3 6 4" xfId="11094" xr:uid="{00000000-0005-0000-0000-000085840000}"/>
    <cellStyle name="Output 6 3 6 4 2" xfId="30066" xr:uid="{00000000-0005-0000-0000-000086840000}"/>
    <cellStyle name="Output 6 3 6 4 3" xfId="40911" xr:uid="{00000000-0005-0000-0000-000087840000}"/>
    <cellStyle name="Output 6 3 6 4 4" xfId="19176" xr:uid="{00000000-0005-0000-0000-000088840000}"/>
    <cellStyle name="Output 6 3 6 5" xfId="21890" xr:uid="{00000000-0005-0000-0000-000089840000}"/>
    <cellStyle name="Output 6 3 6 6" xfId="32735" xr:uid="{00000000-0005-0000-0000-00008A840000}"/>
    <cellStyle name="Output 6 3 6 7" xfId="13322" xr:uid="{00000000-0005-0000-0000-00008B840000}"/>
    <cellStyle name="Output 6 3 7" xfId="3602" xr:uid="{00000000-0005-0000-0000-00008C840000}"/>
    <cellStyle name="Output 6 3 7 2" xfId="22574" xr:uid="{00000000-0005-0000-0000-00008D840000}"/>
    <cellStyle name="Output 6 3 7 3" xfId="33419" xr:uid="{00000000-0005-0000-0000-00008E840000}"/>
    <cellStyle name="Output 6 3 7 4" xfId="13803" xr:uid="{00000000-0005-0000-0000-00008F840000}"/>
    <cellStyle name="Output 6 3 8" xfId="6277" xr:uid="{00000000-0005-0000-0000-000090840000}"/>
    <cellStyle name="Output 6 3 8 2" xfId="25249" xr:uid="{00000000-0005-0000-0000-000091840000}"/>
    <cellStyle name="Output 6 3 8 3" xfId="36094" xr:uid="{00000000-0005-0000-0000-000092840000}"/>
    <cellStyle name="Output 6 3 8 4" xfId="15719" xr:uid="{00000000-0005-0000-0000-000093840000}"/>
    <cellStyle name="Output 6 3 9" xfId="8936" xr:uid="{00000000-0005-0000-0000-000094840000}"/>
    <cellStyle name="Output 6 3 9 2" xfId="27908" xr:uid="{00000000-0005-0000-0000-000095840000}"/>
    <cellStyle name="Output 6 3 9 3" xfId="38753" xr:uid="{00000000-0005-0000-0000-000096840000}"/>
    <cellStyle name="Output 6 3 9 4" xfId="17623" xr:uid="{00000000-0005-0000-0000-000097840000}"/>
    <cellStyle name="Output 6 4" xfId="807" xr:uid="{00000000-0005-0000-0000-000098840000}"/>
    <cellStyle name="Output 6 4 10" xfId="19792" xr:uid="{00000000-0005-0000-0000-000099840000}"/>
    <cellStyle name="Output 6 4 11" xfId="30637" xr:uid="{00000000-0005-0000-0000-00009A840000}"/>
    <cellStyle name="Output 6 4 12" xfId="11809" xr:uid="{00000000-0005-0000-0000-00009B840000}"/>
    <cellStyle name="Output 6 4 2" xfId="1394" xr:uid="{00000000-0005-0000-0000-00009C840000}"/>
    <cellStyle name="Output 6 4 2 2" xfId="4247" xr:uid="{00000000-0005-0000-0000-00009D840000}"/>
    <cellStyle name="Output 6 4 2 2 2" xfId="23219" xr:uid="{00000000-0005-0000-0000-00009E840000}"/>
    <cellStyle name="Output 6 4 2 2 3" xfId="34064" xr:uid="{00000000-0005-0000-0000-00009F840000}"/>
    <cellStyle name="Output 6 4 2 2 4" xfId="14270" xr:uid="{00000000-0005-0000-0000-0000A0840000}"/>
    <cellStyle name="Output 6 4 2 3" xfId="6920" xr:uid="{00000000-0005-0000-0000-0000A1840000}"/>
    <cellStyle name="Output 6 4 2 3 2" xfId="25892" xr:uid="{00000000-0005-0000-0000-0000A2840000}"/>
    <cellStyle name="Output 6 4 2 3 3" xfId="36737" xr:uid="{00000000-0005-0000-0000-0000A3840000}"/>
    <cellStyle name="Output 6 4 2 3 4" xfId="16185" xr:uid="{00000000-0005-0000-0000-0000A4840000}"/>
    <cellStyle name="Output 6 4 2 4" xfId="9579" xr:uid="{00000000-0005-0000-0000-0000A5840000}"/>
    <cellStyle name="Output 6 4 2 4 2" xfId="28551" xr:uid="{00000000-0005-0000-0000-0000A6840000}"/>
    <cellStyle name="Output 6 4 2 4 3" xfId="39396" xr:uid="{00000000-0005-0000-0000-0000A7840000}"/>
    <cellStyle name="Output 6 4 2 4 4" xfId="18089" xr:uid="{00000000-0005-0000-0000-0000A8840000}"/>
    <cellStyle name="Output 6 4 2 5" xfId="20375" xr:uid="{00000000-0005-0000-0000-0000A9840000}"/>
    <cellStyle name="Output 6 4 2 6" xfId="31220" xr:uid="{00000000-0005-0000-0000-0000AA840000}"/>
    <cellStyle name="Output 6 4 2 7" xfId="12235" xr:uid="{00000000-0005-0000-0000-0000AB840000}"/>
    <cellStyle name="Output 6 4 3" xfId="1793" xr:uid="{00000000-0005-0000-0000-0000AC840000}"/>
    <cellStyle name="Output 6 4 3 2" xfId="4646" xr:uid="{00000000-0005-0000-0000-0000AD840000}"/>
    <cellStyle name="Output 6 4 3 2 2" xfId="23618" xr:uid="{00000000-0005-0000-0000-0000AE840000}"/>
    <cellStyle name="Output 6 4 3 2 3" xfId="34463" xr:uid="{00000000-0005-0000-0000-0000AF840000}"/>
    <cellStyle name="Output 6 4 3 2 4" xfId="14557" xr:uid="{00000000-0005-0000-0000-0000B0840000}"/>
    <cellStyle name="Output 6 4 3 3" xfId="7318" xr:uid="{00000000-0005-0000-0000-0000B1840000}"/>
    <cellStyle name="Output 6 4 3 3 2" xfId="26290" xr:uid="{00000000-0005-0000-0000-0000B2840000}"/>
    <cellStyle name="Output 6 4 3 3 3" xfId="37135" xr:uid="{00000000-0005-0000-0000-0000B3840000}"/>
    <cellStyle name="Output 6 4 3 3 4" xfId="16471" xr:uid="{00000000-0005-0000-0000-0000B4840000}"/>
    <cellStyle name="Output 6 4 3 4" xfId="9977" xr:uid="{00000000-0005-0000-0000-0000B5840000}"/>
    <cellStyle name="Output 6 4 3 4 2" xfId="28949" xr:uid="{00000000-0005-0000-0000-0000B6840000}"/>
    <cellStyle name="Output 6 4 3 4 3" xfId="39794" xr:uid="{00000000-0005-0000-0000-0000B7840000}"/>
    <cellStyle name="Output 6 4 3 4 4" xfId="18375" xr:uid="{00000000-0005-0000-0000-0000B8840000}"/>
    <cellStyle name="Output 6 4 3 5" xfId="20773" xr:uid="{00000000-0005-0000-0000-0000B9840000}"/>
    <cellStyle name="Output 6 4 3 6" xfId="31618" xr:uid="{00000000-0005-0000-0000-0000BA840000}"/>
    <cellStyle name="Output 6 4 3 7" xfId="12521" xr:uid="{00000000-0005-0000-0000-0000BB840000}"/>
    <cellStyle name="Output 6 4 4" xfId="2197" xr:uid="{00000000-0005-0000-0000-0000BC840000}"/>
    <cellStyle name="Output 6 4 4 2" xfId="5050" xr:uid="{00000000-0005-0000-0000-0000BD840000}"/>
    <cellStyle name="Output 6 4 4 2 2" xfId="24022" xr:uid="{00000000-0005-0000-0000-0000BE840000}"/>
    <cellStyle name="Output 6 4 4 2 3" xfId="34867" xr:uid="{00000000-0005-0000-0000-0000BF840000}"/>
    <cellStyle name="Output 6 4 4 2 4" xfId="14844" xr:uid="{00000000-0005-0000-0000-0000C0840000}"/>
    <cellStyle name="Output 6 4 4 3" xfId="7721" xr:uid="{00000000-0005-0000-0000-0000C1840000}"/>
    <cellStyle name="Output 6 4 4 3 2" xfId="26693" xr:uid="{00000000-0005-0000-0000-0000C2840000}"/>
    <cellStyle name="Output 6 4 4 3 3" xfId="37538" xr:uid="{00000000-0005-0000-0000-0000C3840000}"/>
    <cellStyle name="Output 6 4 4 3 4" xfId="16757" xr:uid="{00000000-0005-0000-0000-0000C4840000}"/>
    <cellStyle name="Output 6 4 4 4" xfId="10380" xr:uid="{00000000-0005-0000-0000-0000C5840000}"/>
    <cellStyle name="Output 6 4 4 4 2" xfId="29352" xr:uid="{00000000-0005-0000-0000-0000C6840000}"/>
    <cellStyle name="Output 6 4 4 4 3" xfId="40197" xr:uid="{00000000-0005-0000-0000-0000C7840000}"/>
    <cellStyle name="Output 6 4 4 4 4" xfId="18661" xr:uid="{00000000-0005-0000-0000-0000C8840000}"/>
    <cellStyle name="Output 6 4 4 5" xfId="21176" xr:uid="{00000000-0005-0000-0000-0000C9840000}"/>
    <cellStyle name="Output 6 4 4 6" xfId="32021" xr:uid="{00000000-0005-0000-0000-0000CA840000}"/>
    <cellStyle name="Output 6 4 4 7" xfId="12807" xr:uid="{00000000-0005-0000-0000-0000CB840000}"/>
    <cellStyle name="Output 6 4 5" xfId="2587" xr:uid="{00000000-0005-0000-0000-0000CC840000}"/>
    <cellStyle name="Output 6 4 5 2" xfId="5439" xr:uid="{00000000-0005-0000-0000-0000CD840000}"/>
    <cellStyle name="Output 6 4 5 2 2" xfId="24411" xr:uid="{00000000-0005-0000-0000-0000CE840000}"/>
    <cellStyle name="Output 6 4 5 2 3" xfId="35256" xr:uid="{00000000-0005-0000-0000-0000CF840000}"/>
    <cellStyle name="Output 6 4 5 2 4" xfId="15123" xr:uid="{00000000-0005-0000-0000-0000D0840000}"/>
    <cellStyle name="Output 6 4 5 3" xfId="8110" xr:uid="{00000000-0005-0000-0000-0000D1840000}"/>
    <cellStyle name="Output 6 4 5 3 2" xfId="27082" xr:uid="{00000000-0005-0000-0000-0000D2840000}"/>
    <cellStyle name="Output 6 4 5 3 3" xfId="37927" xr:uid="{00000000-0005-0000-0000-0000D3840000}"/>
    <cellStyle name="Output 6 4 5 3 4" xfId="17036" xr:uid="{00000000-0005-0000-0000-0000D4840000}"/>
    <cellStyle name="Output 6 4 5 4" xfId="10769" xr:uid="{00000000-0005-0000-0000-0000D5840000}"/>
    <cellStyle name="Output 6 4 5 4 2" xfId="29741" xr:uid="{00000000-0005-0000-0000-0000D6840000}"/>
    <cellStyle name="Output 6 4 5 4 3" xfId="40586" xr:uid="{00000000-0005-0000-0000-0000D7840000}"/>
    <cellStyle name="Output 6 4 5 4 4" xfId="18940" xr:uid="{00000000-0005-0000-0000-0000D8840000}"/>
    <cellStyle name="Output 6 4 5 5" xfId="21565" xr:uid="{00000000-0005-0000-0000-0000D9840000}"/>
    <cellStyle name="Output 6 4 5 6" xfId="32410" xr:uid="{00000000-0005-0000-0000-0000DA840000}"/>
    <cellStyle name="Output 6 4 5 7" xfId="13086" xr:uid="{00000000-0005-0000-0000-0000DB840000}"/>
    <cellStyle name="Output 6 4 6" xfId="2973" xr:uid="{00000000-0005-0000-0000-0000DC840000}"/>
    <cellStyle name="Output 6 4 6 2" xfId="5824" xr:uid="{00000000-0005-0000-0000-0000DD840000}"/>
    <cellStyle name="Output 6 4 6 2 2" xfId="24796" xr:uid="{00000000-0005-0000-0000-0000DE840000}"/>
    <cellStyle name="Output 6 4 6 2 3" xfId="35641" xr:uid="{00000000-0005-0000-0000-0000DF840000}"/>
    <cellStyle name="Output 6 4 6 2 4" xfId="15399" xr:uid="{00000000-0005-0000-0000-0000E0840000}"/>
    <cellStyle name="Output 6 4 6 3" xfId="8495" xr:uid="{00000000-0005-0000-0000-0000E1840000}"/>
    <cellStyle name="Output 6 4 6 3 2" xfId="27467" xr:uid="{00000000-0005-0000-0000-0000E2840000}"/>
    <cellStyle name="Output 6 4 6 3 3" xfId="38312" xr:uid="{00000000-0005-0000-0000-0000E3840000}"/>
    <cellStyle name="Output 6 4 6 3 4" xfId="17312" xr:uid="{00000000-0005-0000-0000-0000E4840000}"/>
    <cellStyle name="Output 6 4 6 4" xfId="11154" xr:uid="{00000000-0005-0000-0000-0000E5840000}"/>
    <cellStyle name="Output 6 4 6 4 2" xfId="30126" xr:uid="{00000000-0005-0000-0000-0000E6840000}"/>
    <cellStyle name="Output 6 4 6 4 3" xfId="40971" xr:uid="{00000000-0005-0000-0000-0000E7840000}"/>
    <cellStyle name="Output 6 4 6 4 4" xfId="19216" xr:uid="{00000000-0005-0000-0000-0000E8840000}"/>
    <cellStyle name="Output 6 4 6 5" xfId="21950" xr:uid="{00000000-0005-0000-0000-0000E9840000}"/>
    <cellStyle name="Output 6 4 6 6" xfId="32795" xr:uid="{00000000-0005-0000-0000-0000EA840000}"/>
    <cellStyle name="Output 6 4 6 7" xfId="13362" xr:uid="{00000000-0005-0000-0000-0000EB840000}"/>
    <cellStyle name="Output 6 4 7" xfId="3662" xr:uid="{00000000-0005-0000-0000-0000EC840000}"/>
    <cellStyle name="Output 6 4 7 2" xfId="22634" xr:uid="{00000000-0005-0000-0000-0000ED840000}"/>
    <cellStyle name="Output 6 4 7 3" xfId="33479" xr:uid="{00000000-0005-0000-0000-0000EE840000}"/>
    <cellStyle name="Output 6 4 7 4" xfId="13843" xr:uid="{00000000-0005-0000-0000-0000EF840000}"/>
    <cellStyle name="Output 6 4 8" xfId="6337" xr:uid="{00000000-0005-0000-0000-0000F0840000}"/>
    <cellStyle name="Output 6 4 8 2" xfId="25309" xr:uid="{00000000-0005-0000-0000-0000F1840000}"/>
    <cellStyle name="Output 6 4 8 3" xfId="36154" xr:uid="{00000000-0005-0000-0000-0000F2840000}"/>
    <cellStyle name="Output 6 4 8 4" xfId="15759" xr:uid="{00000000-0005-0000-0000-0000F3840000}"/>
    <cellStyle name="Output 6 4 9" xfId="8996" xr:uid="{00000000-0005-0000-0000-0000F4840000}"/>
    <cellStyle name="Output 6 4 9 2" xfId="27968" xr:uid="{00000000-0005-0000-0000-0000F5840000}"/>
    <cellStyle name="Output 6 4 9 3" xfId="38813" xr:uid="{00000000-0005-0000-0000-0000F6840000}"/>
    <cellStyle name="Output 6 4 9 4" xfId="17663" xr:uid="{00000000-0005-0000-0000-0000F7840000}"/>
    <cellStyle name="Output 6 5" xfId="866" xr:uid="{00000000-0005-0000-0000-0000F8840000}"/>
    <cellStyle name="Output 6 5 10" xfId="19851" xr:uid="{00000000-0005-0000-0000-0000F9840000}"/>
    <cellStyle name="Output 6 5 11" xfId="30696" xr:uid="{00000000-0005-0000-0000-0000FA840000}"/>
    <cellStyle name="Output 6 5 12" xfId="11848" xr:uid="{00000000-0005-0000-0000-0000FB840000}"/>
    <cellStyle name="Output 6 5 2" xfId="1453" xr:uid="{00000000-0005-0000-0000-0000FC840000}"/>
    <cellStyle name="Output 6 5 2 2" xfId="4306" xr:uid="{00000000-0005-0000-0000-0000FD840000}"/>
    <cellStyle name="Output 6 5 2 2 2" xfId="23278" xr:uid="{00000000-0005-0000-0000-0000FE840000}"/>
    <cellStyle name="Output 6 5 2 2 3" xfId="34123" xr:uid="{00000000-0005-0000-0000-0000FF840000}"/>
    <cellStyle name="Output 6 5 2 2 4" xfId="14309" xr:uid="{00000000-0005-0000-0000-000000850000}"/>
    <cellStyle name="Output 6 5 2 3" xfId="6979" xr:uid="{00000000-0005-0000-0000-000001850000}"/>
    <cellStyle name="Output 6 5 2 3 2" xfId="25951" xr:uid="{00000000-0005-0000-0000-000002850000}"/>
    <cellStyle name="Output 6 5 2 3 3" xfId="36796" xr:uid="{00000000-0005-0000-0000-000003850000}"/>
    <cellStyle name="Output 6 5 2 3 4" xfId="16224" xr:uid="{00000000-0005-0000-0000-000004850000}"/>
    <cellStyle name="Output 6 5 2 4" xfId="9638" xr:uid="{00000000-0005-0000-0000-000005850000}"/>
    <cellStyle name="Output 6 5 2 4 2" xfId="28610" xr:uid="{00000000-0005-0000-0000-000006850000}"/>
    <cellStyle name="Output 6 5 2 4 3" xfId="39455" xr:uid="{00000000-0005-0000-0000-000007850000}"/>
    <cellStyle name="Output 6 5 2 4 4" xfId="18128" xr:uid="{00000000-0005-0000-0000-000008850000}"/>
    <cellStyle name="Output 6 5 2 5" xfId="20434" xr:uid="{00000000-0005-0000-0000-000009850000}"/>
    <cellStyle name="Output 6 5 2 6" xfId="31279" xr:uid="{00000000-0005-0000-0000-00000A850000}"/>
    <cellStyle name="Output 6 5 2 7" xfId="12274" xr:uid="{00000000-0005-0000-0000-00000B850000}"/>
    <cellStyle name="Output 6 5 3" xfId="1852" xr:uid="{00000000-0005-0000-0000-00000C850000}"/>
    <cellStyle name="Output 6 5 3 2" xfId="4705" xr:uid="{00000000-0005-0000-0000-00000D850000}"/>
    <cellStyle name="Output 6 5 3 2 2" xfId="23677" xr:uid="{00000000-0005-0000-0000-00000E850000}"/>
    <cellStyle name="Output 6 5 3 2 3" xfId="34522" xr:uid="{00000000-0005-0000-0000-00000F850000}"/>
    <cellStyle name="Output 6 5 3 2 4" xfId="14596" xr:uid="{00000000-0005-0000-0000-000010850000}"/>
    <cellStyle name="Output 6 5 3 3" xfId="7377" xr:uid="{00000000-0005-0000-0000-000011850000}"/>
    <cellStyle name="Output 6 5 3 3 2" xfId="26349" xr:uid="{00000000-0005-0000-0000-000012850000}"/>
    <cellStyle name="Output 6 5 3 3 3" xfId="37194" xr:uid="{00000000-0005-0000-0000-000013850000}"/>
    <cellStyle name="Output 6 5 3 3 4" xfId="16510" xr:uid="{00000000-0005-0000-0000-000014850000}"/>
    <cellStyle name="Output 6 5 3 4" xfId="10036" xr:uid="{00000000-0005-0000-0000-000015850000}"/>
    <cellStyle name="Output 6 5 3 4 2" xfId="29008" xr:uid="{00000000-0005-0000-0000-000016850000}"/>
    <cellStyle name="Output 6 5 3 4 3" xfId="39853" xr:uid="{00000000-0005-0000-0000-000017850000}"/>
    <cellStyle name="Output 6 5 3 4 4" xfId="18414" xr:uid="{00000000-0005-0000-0000-000018850000}"/>
    <cellStyle name="Output 6 5 3 5" xfId="20832" xr:uid="{00000000-0005-0000-0000-000019850000}"/>
    <cellStyle name="Output 6 5 3 6" xfId="31677" xr:uid="{00000000-0005-0000-0000-00001A850000}"/>
    <cellStyle name="Output 6 5 3 7" xfId="12560" xr:uid="{00000000-0005-0000-0000-00001B850000}"/>
    <cellStyle name="Output 6 5 4" xfId="2256" xr:uid="{00000000-0005-0000-0000-00001C850000}"/>
    <cellStyle name="Output 6 5 4 2" xfId="5109" xr:uid="{00000000-0005-0000-0000-00001D850000}"/>
    <cellStyle name="Output 6 5 4 2 2" xfId="24081" xr:uid="{00000000-0005-0000-0000-00001E850000}"/>
    <cellStyle name="Output 6 5 4 2 3" xfId="34926" xr:uid="{00000000-0005-0000-0000-00001F850000}"/>
    <cellStyle name="Output 6 5 4 2 4" xfId="14883" xr:uid="{00000000-0005-0000-0000-000020850000}"/>
    <cellStyle name="Output 6 5 4 3" xfId="7780" xr:uid="{00000000-0005-0000-0000-000021850000}"/>
    <cellStyle name="Output 6 5 4 3 2" xfId="26752" xr:uid="{00000000-0005-0000-0000-000022850000}"/>
    <cellStyle name="Output 6 5 4 3 3" xfId="37597" xr:uid="{00000000-0005-0000-0000-000023850000}"/>
    <cellStyle name="Output 6 5 4 3 4" xfId="16796" xr:uid="{00000000-0005-0000-0000-000024850000}"/>
    <cellStyle name="Output 6 5 4 4" xfId="10439" xr:uid="{00000000-0005-0000-0000-000025850000}"/>
    <cellStyle name="Output 6 5 4 4 2" xfId="29411" xr:uid="{00000000-0005-0000-0000-000026850000}"/>
    <cellStyle name="Output 6 5 4 4 3" xfId="40256" xr:uid="{00000000-0005-0000-0000-000027850000}"/>
    <cellStyle name="Output 6 5 4 4 4" xfId="18700" xr:uid="{00000000-0005-0000-0000-000028850000}"/>
    <cellStyle name="Output 6 5 4 5" xfId="21235" xr:uid="{00000000-0005-0000-0000-000029850000}"/>
    <cellStyle name="Output 6 5 4 6" xfId="32080" xr:uid="{00000000-0005-0000-0000-00002A850000}"/>
    <cellStyle name="Output 6 5 4 7" xfId="12846" xr:uid="{00000000-0005-0000-0000-00002B850000}"/>
    <cellStyle name="Output 6 5 5" xfId="2646" xr:uid="{00000000-0005-0000-0000-00002C850000}"/>
    <cellStyle name="Output 6 5 5 2" xfId="5498" xr:uid="{00000000-0005-0000-0000-00002D850000}"/>
    <cellStyle name="Output 6 5 5 2 2" xfId="24470" xr:uid="{00000000-0005-0000-0000-00002E850000}"/>
    <cellStyle name="Output 6 5 5 2 3" xfId="35315" xr:uid="{00000000-0005-0000-0000-00002F850000}"/>
    <cellStyle name="Output 6 5 5 2 4" xfId="15162" xr:uid="{00000000-0005-0000-0000-000030850000}"/>
    <cellStyle name="Output 6 5 5 3" xfId="8169" xr:uid="{00000000-0005-0000-0000-000031850000}"/>
    <cellStyle name="Output 6 5 5 3 2" xfId="27141" xr:uid="{00000000-0005-0000-0000-000032850000}"/>
    <cellStyle name="Output 6 5 5 3 3" xfId="37986" xr:uid="{00000000-0005-0000-0000-000033850000}"/>
    <cellStyle name="Output 6 5 5 3 4" xfId="17075" xr:uid="{00000000-0005-0000-0000-000034850000}"/>
    <cellStyle name="Output 6 5 5 4" xfId="10828" xr:uid="{00000000-0005-0000-0000-000035850000}"/>
    <cellStyle name="Output 6 5 5 4 2" xfId="29800" xr:uid="{00000000-0005-0000-0000-000036850000}"/>
    <cellStyle name="Output 6 5 5 4 3" xfId="40645" xr:uid="{00000000-0005-0000-0000-000037850000}"/>
    <cellStyle name="Output 6 5 5 4 4" xfId="18979" xr:uid="{00000000-0005-0000-0000-000038850000}"/>
    <cellStyle name="Output 6 5 5 5" xfId="21624" xr:uid="{00000000-0005-0000-0000-000039850000}"/>
    <cellStyle name="Output 6 5 5 6" xfId="32469" xr:uid="{00000000-0005-0000-0000-00003A850000}"/>
    <cellStyle name="Output 6 5 5 7" xfId="13125" xr:uid="{00000000-0005-0000-0000-00003B850000}"/>
    <cellStyle name="Output 6 5 6" xfId="3032" xr:uid="{00000000-0005-0000-0000-00003C850000}"/>
    <cellStyle name="Output 6 5 6 2" xfId="5883" xr:uid="{00000000-0005-0000-0000-00003D850000}"/>
    <cellStyle name="Output 6 5 6 2 2" xfId="24855" xr:uid="{00000000-0005-0000-0000-00003E850000}"/>
    <cellStyle name="Output 6 5 6 2 3" xfId="35700" xr:uid="{00000000-0005-0000-0000-00003F850000}"/>
    <cellStyle name="Output 6 5 6 2 4" xfId="15438" xr:uid="{00000000-0005-0000-0000-000040850000}"/>
    <cellStyle name="Output 6 5 6 3" xfId="8554" xr:uid="{00000000-0005-0000-0000-000041850000}"/>
    <cellStyle name="Output 6 5 6 3 2" xfId="27526" xr:uid="{00000000-0005-0000-0000-000042850000}"/>
    <cellStyle name="Output 6 5 6 3 3" xfId="38371" xr:uid="{00000000-0005-0000-0000-000043850000}"/>
    <cellStyle name="Output 6 5 6 3 4" xfId="17351" xr:uid="{00000000-0005-0000-0000-000044850000}"/>
    <cellStyle name="Output 6 5 6 4" xfId="11213" xr:uid="{00000000-0005-0000-0000-000045850000}"/>
    <cellStyle name="Output 6 5 6 4 2" xfId="30185" xr:uid="{00000000-0005-0000-0000-000046850000}"/>
    <cellStyle name="Output 6 5 6 4 3" xfId="41030" xr:uid="{00000000-0005-0000-0000-000047850000}"/>
    <cellStyle name="Output 6 5 6 4 4" xfId="19255" xr:uid="{00000000-0005-0000-0000-000048850000}"/>
    <cellStyle name="Output 6 5 6 5" xfId="22009" xr:uid="{00000000-0005-0000-0000-000049850000}"/>
    <cellStyle name="Output 6 5 6 6" xfId="32854" xr:uid="{00000000-0005-0000-0000-00004A850000}"/>
    <cellStyle name="Output 6 5 6 7" xfId="13401" xr:uid="{00000000-0005-0000-0000-00004B850000}"/>
    <cellStyle name="Output 6 5 7" xfId="3721" xr:uid="{00000000-0005-0000-0000-00004C850000}"/>
    <cellStyle name="Output 6 5 7 2" xfId="22693" xr:uid="{00000000-0005-0000-0000-00004D850000}"/>
    <cellStyle name="Output 6 5 7 3" xfId="33538" xr:uid="{00000000-0005-0000-0000-00004E850000}"/>
    <cellStyle name="Output 6 5 7 4" xfId="13882" xr:uid="{00000000-0005-0000-0000-00004F850000}"/>
    <cellStyle name="Output 6 5 8" xfId="6396" xr:uid="{00000000-0005-0000-0000-000050850000}"/>
    <cellStyle name="Output 6 5 8 2" xfId="25368" xr:uid="{00000000-0005-0000-0000-000051850000}"/>
    <cellStyle name="Output 6 5 8 3" xfId="36213" xr:uid="{00000000-0005-0000-0000-000052850000}"/>
    <cellStyle name="Output 6 5 8 4" xfId="15798" xr:uid="{00000000-0005-0000-0000-000053850000}"/>
    <cellStyle name="Output 6 5 9" xfId="9055" xr:uid="{00000000-0005-0000-0000-000054850000}"/>
    <cellStyle name="Output 6 5 9 2" xfId="28027" xr:uid="{00000000-0005-0000-0000-000055850000}"/>
    <cellStyle name="Output 6 5 9 3" xfId="38872" xr:uid="{00000000-0005-0000-0000-000056850000}"/>
    <cellStyle name="Output 6 5 9 4" xfId="17702" xr:uid="{00000000-0005-0000-0000-000057850000}"/>
    <cellStyle name="Output 6 6" xfId="1088" xr:uid="{00000000-0005-0000-0000-000058850000}"/>
    <cellStyle name="Output 6 6 2" xfId="3941" xr:uid="{00000000-0005-0000-0000-000059850000}"/>
    <cellStyle name="Output 6 6 2 2" xfId="22913" xr:uid="{00000000-0005-0000-0000-00005A850000}"/>
    <cellStyle name="Output 6 6 2 3" xfId="33758" xr:uid="{00000000-0005-0000-0000-00005B850000}"/>
    <cellStyle name="Output 6 6 2 4" xfId="14044" xr:uid="{00000000-0005-0000-0000-00005C850000}"/>
    <cellStyle name="Output 6 6 3" xfId="6615" xr:uid="{00000000-0005-0000-0000-00005D850000}"/>
    <cellStyle name="Output 6 6 3 2" xfId="25587" xr:uid="{00000000-0005-0000-0000-00005E850000}"/>
    <cellStyle name="Output 6 6 3 3" xfId="36432" xr:uid="{00000000-0005-0000-0000-00005F850000}"/>
    <cellStyle name="Output 6 6 3 4" xfId="15960" xr:uid="{00000000-0005-0000-0000-000060850000}"/>
    <cellStyle name="Output 6 6 4" xfId="9274" xr:uid="{00000000-0005-0000-0000-000061850000}"/>
    <cellStyle name="Output 6 6 4 2" xfId="28246" xr:uid="{00000000-0005-0000-0000-000062850000}"/>
    <cellStyle name="Output 6 6 4 3" xfId="39091" xr:uid="{00000000-0005-0000-0000-000063850000}"/>
    <cellStyle name="Output 6 6 4 4" xfId="17864" xr:uid="{00000000-0005-0000-0000-000064850000}"/>
    <cellStyle name="Output 6 6 5" xfId="20070" xr:uid="{00000000-0005-0000-0000-000065850000}"/>
    <cellStyle name="Output 6 6 6" xfId="30915" xr:uid="{00000000-0005-0000-0000-000066850000}"/>
    <cellStyle name="Output 6 6 7" xfId="12010" xr:uid="{00000000-0005-0000-0000-000067850000}"/>
    <cellStyle name="Output 6 7" xfId="1049" xr:uid="{00000000-0005-0000-0000-000068850000}"/>
    <cellStyle name="Output 6 7 2" xfId="3902" xr:uid="{00000000-0005-0000-0000-000069850000}"/>
    <cellStyle name="Output 6 7 2 2" xfId="22874" xr:uid="{00000000-0005-0000-0000-00006A850000}"/>
    <cellStyle name="Output 6 7 2 3" xfId="33719" xr:uid="{00000000-0005-0000-0000-00006B850000}"/>
    <cellStyle name="Output 6 7 2 4" xfId="14018" xr:uid="{00000000-0005-0000-0000-00006C850000}"/>
    <cellStyle name="Output 6 7 3" xfId="6576" xr:uid="{00000000-0005-0000-0000-00006D850000}"/>
    <cellStyle name="Output 6 7 3 2" xfId="25548" xr:uid="{00000000-0005-0000-0000-00006E850000}"/>
    <cellStyle name="Output 6 7 3 3" xfId="36393" xr:uid="{00000000-0005-0000-0000-00006F850000}"/>
    <cellStyle name="Output 6 7 3 4" xfId="15934" xr:uid="{00000000-0005-0000-0000-000070850000}"/>
    <cellStyle name="Output 6 7 4" xfId="9235" xr:uid="{00000000-0005-0000-0000-000071850000}"/>
    <cellStyle name="Output 6 7 4 2" xfId="28207" xr:uid="{00000000-0005-0000-0000-000072850000}"/>
    <cellStyle name="Output 6 7 4 3" xfId="39052" xr:uid="{00000000-0005-0000-0000-000073850000}"/>
    <cellStyle name="Output 6 7 4 4" xfId="17838" xr:uid="{00000000-0005-0000-0000-000074850000}"/>
    <cellStyle name="Output 6 7 5" xfId="20031" xr:uid="{00000000-0005-0000-0000-000075850000}"/>
    <cellStyle name="Output 6 7 6" xfId="30876" xr:uid="{00000000-0005-0000-0000-000076850000}"/>
    <cellStyle name="Output 6 7 7" xfId="11984" xr:uid="{00000000-0005-0000-0000-000077850000}"/>
    <cellStyle name="Output 6 8" xfId="1895" xr:uid="{00000000-0005-0000-0000-000078850000}"/>
    <cellStyle name="Output 6 8 2" xfId="4748" xr:uid="{00000000-0005-0000-0000-000079850000}"/>
    <cellStyle name="Output 6 8 2 2" xfId="23720" xr:uid="{00000000-0005-0000-0000-00007A850000}"/>
    <cellStyle name="Output 6 8 2 3" xfId="34565" xr:uid="{00000000-0005-0000-0000-00007B850000}"/>
    <cellStyle name="Output 6 8 2 4" xfId="14624" xr:uid="{00000000-0005-0000-0000-00007C850000}"/>
    <cellStyle name="Output 6 8 3" xfId="7420" xr:uid="{00000000-0005-0000-0000-00007D850000}"/>
    <cellStyle name="Output 6 8 3 2" xfId="26392" xr:uid="{00000000-0005-0000-0000-00007E850000}"/>
    <cellStyle name="Output 6 8 3 3" xfId="37237" xr:uid="{00000000-0005-0000-0000-00007F850000}"/>
    <cellStyle name="Output 6 8 3 4" xfId="16538" xr:uid="{00000000-0005-0000-0000-000080850000}"/>
    <cellStyle name="Output 6 8 4" xfId="10079" xr:uid="{00000000-0005-0000-0000-000081850000}"/>
    <cellStyle name="Output 6 8 4 2" xfId="29051" xr:uid="{00000000-0005-0000-0000-000082850000}"/>
    <cellStyle name="Output 6 8 4 3" xfId="39896" xr:uid="{00000000-0005-0000-0000-000083850000}"/>
    <cellStyle name="Output 6 8 4 4" xfId="18442" xr:uid="{00000000-0005-0000-0000-000084850000}"/>
    <cellStyle name="Output 6 8 5" xfId="20875" xr:uid="{00000000-0005-0000-0000-000085850000}"/>
    <cellStyle name="Output 6 8 6" xfId="31720" xr:uid="{00000000-0005-0000-0000-000086850000}"/>
    <cellStyle name="Output 6 8 7" xfId="12588" xr:uid="{00000000-0005-0000-0000-000087850000}"/>
    <cellStyle name="Output 6 9" xfId="1032" xr:uid="{00000000-0005-0000-0000-000088850000}"/>
    <cellStyle name="Output 6 9 2" xfId="3885" xr:uid="{00000000-0005-0000-0000-000089850000}"/>
    <cellStyle name="Output 6 9 2 2" xfId="22857" xr:uid="{00000000-0005-0000-0000-00008A850000}"/>
    <cellStyle name="Output 6 9 2 3" xfId="33702" xr:uid="{00000000-0005-0000-0000-00008B850000}"/>
    <cellStyle name="Output 6 9 2 4" xfId="14005" xr:uid="{00000000-0005-0000-0000-00008C850000}"/>
    <cellStyle name="Output 6 9 3" xfId="6559" xr:uid="{00000000-0005-0000-0000-00008D850000}"/>
    <cellStyle name="Output 6 9 3 2" xfId="25531" xr:uid="{00000000-0005-0000-0000-00008E850000}"/>
    <cellStyle name="Output 6 9 3 3" xfId="36376" xr:uid="{00000000-0005-0000-0000-00008F850000}"/>
    <cellStyle name="Output 6 9 3 4" xfId="15921" xr:uid="{00000000-0005-0000-0000-000090850000}"/>
    <cellStyle name="Output 6 9 4" xfId="9218" xr:uid="{00000000-0005-0000-0000-000091850000}"/>
    <cellStyle name="Output 6 9 4 2" xfId="28190" xr:uid="{00000000-0005-0000-0000-000092850000}"/>
    <cellStyle name="Output 6 9 4 3" xfId="39035" xr:uid="{00000000-0005-0000-0000-000093850000}"/>
    <cellStyle name="Output 6 9 4 4" xfId="17825" xr:uid="{00000000-0005-0000-0000-000094850000}"/>
    <cellStyle name="Output 6 9 5" xfId="20014" xr:uid="{00000000-0005-0000-0000-000095850000}"/>
    <cellStyle name="Output 6 9 6" xfId="30859" xr:uid="{00000000-0005-0000-0000-000096850000}"/>
    <cellStyle name="Output 6 9 7" xfId="11971" xr:uid="{00000000-0005-0000-0000-000097850000}"/>
    <cellStyle name="Output 7" xfId="570" xr:uid="{00000000-0005-0000-0000-000098850000}"/>
    <cellStyle name="Output 7 10" xfId="19580" xr:uid="{00000000-0005-0000-0000-000099850000}"/>
    <cellStyle name="Output 7 11" xfId="30425" xr:uid="{00000000-0005-0000-0000-00009A850000}"/>
    <cellStyle name="Output 7 12" xfId="11634" xr:uid="{00000000-0005-0000-0000-00009B850000}"/>
    <cellStyle name="Output 7 2" xfId="1176" xr:uid="{00000000-0005-0000-0000-00009C850000}"/>
    <cellStyle name="Output 7 2 2" xfId="4029" xr:uid="{00000000-0005-0000-0000-00009D850000}"/>
    <cellStyle name="Output 7 2 2 2" xfId="23001" xr:uid="{00000000-0005-0000-0000-00009E850000}"/>
    <cellStyle name="Output 7 2 2 3" xfId="33846" xr:uid="{00000000-0005-0000-0000-00009F850000}"/>
    <cellStyle name="Output 7 2 2 4" xfId="14111" xr:uid="{00000000-0005-0000-0000-0000A0850000}"/>
    <cellStyle name="Output 7 2 3" xfId="6702" xr:uid="{00000000-0005-0000-0000-0000A1850000}"/>
    <cellStyle name="Output 7 2 3 2" xfId="25674" xr:uid="{00000000-0005-0000-0000-0000A2850000}"/>
    <cellStyle name="Output 7 2 3 3" xfId="36519" xr:uid="{00000000-0005-0000-0000-0000A3850000}"/>
    <cellStyle name="Output 7 2 3 4" xfId="16026" xr:uid="{00000000-0005-0000-0000-0000A4850000}"/>
    <cellStyle name="Output 7 2 4" xfId="9361" xr:uid="{00000000-0005-0000-0000-0000A5850000}"/>
    <cellStyle name="Output 7 2 4 2" xfId="28333" xr:uid="{00000000-0005-0000-0000-0000A6850000}"/>
    <cellStyle name="Output 7 2 4 3" xfId="39178" xr:uid="{00000000-0005-0000-0000-0000A7850000}"/>
    <cellStyle name="Output 7 2 4 4" xfId="17930" xr:uid="{00000000-0005-0000-0000-0000A8850000}"/>
    <cellStyle name="Output 7 2 5" xfId="20157" xr:uid="{00000000-0005-0000-0000-0000A9850000}"/>
    <cellStyle name="Output 7 2 6" xfId="31002" xr:uid="{00000000-0005-0000-0000-0000AA850000}"/>
    <cellStyle name="Output 7 2 7" xfId="12076" xr:uid="{00000000-0005-0000-0000-0000AB850000}"/>
    <cellStyle name="Output 7 3" xfId="1573" xr:uid="{00000000-0005-0000-0000-0000AC850000}"/>
    <cellStyle name="Output 7 3 2" xfId="4426" xr:uid="{00000000-0005-0000-0000-0000AD850000}"/>
    <cellStyle name="Output 7 3 2 2" xfId="23398" xr:uid="{00000000-0005-0000-0000-0000AE850000}"/>
    <cellStyle name="Output 7 3 2 3" xfId="34243" xr:uid="{00000000-0005-0000-0000-0000AF850000}"/>
    <cellStyle name="Output 7 3 2 4" xfId="14397" xr:uid="{00000000-0005-0000-0000-0000B0850000}"/>
    <cellStyle name="Output 7 3 3" xfId="7098" xr:uid="{00000000-0005-0000-0000-0000B1850000}"/>
    <cellStyle name="Output 7 3 3 2" xfId="26070" xr:uid="{00000000-0005-0000-0000-0000B2850000}"/>
    <cellStyle name="Output 7 3 3 3" xfId="36915" xr:uid="{00000000-0005-0000-0000-0000B3850000}"/>
    <cellStyle name="Output 7 3 3 4" xfId="16311" xr:uid="{00000000-0005-0000-0000-0000B4850000}"/>
    <cellStyle name="Output 7 3 4" xfId="9757" xr:uid="{00000000-0005-0000-0000-0000B5850000}"/>
    <cellStyle name="Output 7 3 4 2" xfId="28729" xr:uid="{00000000-0005-0000-0000-0000B6850000}"/>
    <cellStyle name="Output 7 3 4 3" xfId="39574" xr:uid="{00000000-0005-0000-0000-0000B7850000}"/>
    <cellStyle name="Output 7 3 4 4" xfId="18215" xr:uid="{00000000-0005-0000-0000-0000B8850000}"/>
    <cellStyle name="Output 7 3 5" xfId="20553" xr:uid="{00000000-0005-0000-0000-0000B9850000}"/>
    <cellStyle name="Output 7 3 6" xfId="31398" xr:uid="{00000000-0005-0000-0000-0000BA850000}"/>
    <cellStyle name="Output 7 3 7" xfId="12361" xr:uid="{00000000-0005-0000-0000-0000BB850000}"/>
    <cellStyle name="Output 7 4" xfId="1977" xr:uid="{00000000-0005-0000-0000-0000BC850000}"/>
    <cellStyle name="Output 7 4 2" xfId="4830" xr:uid="{00000000-0005-0000-0000-0000BD850000}"/>
    <cellStyle name="Output 7 4 2 2" xfId="23802" xr:uid="{00000000-0005-0000-0000-0000BE850000}"/>
    <cellStyle name="Output 7 4 2 3" xfId="34647" xr:uid="{00000000-0005-0000-0000-0000BF850000}"/>
    <cellStyle name="Output 7 4 2 4" xfId="14685" xr:uid="{00000000-0005-0000-0000-0000C0850000}"/>
    <cellStyle name="Output 7 4 3" xfId="7502" xr:uid="{00000000-0005-0000-0000-0000C1850000}"/>
    <cellStyle name="Output 7 4 3 2" xfId="26474" xr:uid="{00000000-0005-0000-0000-0000C2850000}"/>
    <cellStyle name="Output 7 4 3 3" xfId="37319" xr:uid="{00000000-0005-0000-0000-0000C3850000}"/>
    <cellStyle name="Output 7 4 3 4" xfId="16599" xr:uid="{00000000-0005-0000-0000-0000C4850000}"/>
    <cellStyle name="Output 7 4 4" xfId="10161" xr:uid="{00000000-0005-0000-0000-0000C5850000}"/>
    <cellStyle name="Output 7 4 4 2" xfId="29133" xr:uid="{00000000-0005-0000-0000-0000C6850000}"/>
    <cellStyle name="Output 7 4 4 3" xfId="39978" xr:uid="{00000000-0005-0000-0000-0000C7850000}"/>
    <cellStyle name="Output 7 4 4 4" xfId="18503" xr:uid="{00000000-0005-0000-0000-0000C8850000}"/>
    <cellStyle name="Output 7 4 5" xfId="20957" xr:uid="{00000000-0005-0000-0000-0000C9850000}"/>
    <cellStyle name="Output 7 4 6" xfId="31802" xr:uid="{00000000-0005-0000-0000-0000CA850000}"/>
    <cellStyle name="Output 7 4 7" xfId="12649" xr:uid="{00000000-0005-0000-0000-0000CB850000}"/>
    <cellStyle name="Output 7 5" xfId="2369" xr:uid="{00000000-0005-0000-0000-0000CC850000}"/>
    <cellStyle name="Output 7 5 2" xfId="5222" xr:uid="{00000000-0005-0000-0000-0000CD850000}"/>
    <cellStyle name="Output 7 5 2 2" xfId="24194" xr:uid="{00000000-0005-0000-0000-0000CE850000}"/>
    <cellStyle name="Output 7 5 2 3" xfId="35039" xr:uid="{00000000-0005-0000-0000-0000CF850000}"/>
    <cellStyle name="Output 7 5 2 4" xfId="14966" xr:uid="{00000000-0005-0000-0000-0000D0850000}"/>
    <cellStyle name="Output 7 5 3" xfId="7893" xr:uid="{00000000-0005-0000-0000-0000D1850000}"/>
    <cellStyle name="Output 7 5 3 2" xfId="26865" xr:uid="{00000000-0005-0000-0000-0000D2850000}"/>
    <cellStyle name="Output 7 5 3 3" xfId="37710" xr:uid="{00000000-0005-0000-0000-0000D3850000}"/>
    <cellStyle name="Output 7 5 3 4" xfId="16879" xr:uid="{00000000-0005-0000-0000-0000D4850000}"/>
    <cellStyle name="Output 7 5 4" xfId="10552" xr:uid="{00000000-0005-0000-0000-0000D5850000}"/>
    <cellStyle name="Output 7 5 4 2" xfId="29524" xr:uid="{00000000-0005-0000-0000-0000D6850000}"/>
    <cellStyle name="Output 7 5 4 3" xfId="40369" xr:uid="{00000000-0005-0000-0000-0000D7850000}"/>
    <cellStyle name="Output 7 5 4 4" xfId="18783" xr:uid="{00000000-0005-0000-0000-0000D8850000}"/>
    <cellStyle name="Output 7 5 5" xfId="21348" xr:uid="{00000000-0005-0000-0000-0000D9850000}"/>
    <cellStyle name="Output 7 5 6" xfId="32193" xr:uid="{00000000-0005-0000-0000-0000DA850000}"/>
    <cellStyle name="Output 7 5 7" xfId="12929" xr:uid="{00000000-0005-0000-0000-0000DB850000}"/>
    <cellStyle name="Output 7 6" xfId="2758" xr:uid="{00000000-0005-0000-0000-0000DC850000}"/>
    <cellStyle name="Output 7 6 2" xfId="5610" xr:uid="{00000000-0005-0000-0000-0000DD850000}"/>
    <cellStyle name="Output 7 6 2 2" xfId="24582" xr:uid="{00000000-0005-0000-0000-0000DE850000}"/>
    <cellStyle name="Output 7 6 2 3" xfId="35427" xr:uid="{00000000-0005-0000-0000-0000DF850000}"/>
    <cellStyle name="Output 7 6 2 4" xfId="15244" xr:uid="{00000000-0005-0000-0000-0000E0850000}"/>
    <cellStyle name="Output 7 6 3" xfId="8281" xr:uid="{00000000-0005-0000-0000-0000E1850000}"/>
    <cellStyle name="Output 7 6 3 2" xfId="27253" xr:uid="{00000000-0005-0000-0000-0000E2850000}"/>
    <cellStyle name="Output 7 6 3 3" xfId="38098" xr:uid="{00000000-0005-0000-0000-0000E3850000}"/>
    <cellStyle name="Output 7 6 3 4" xfId="17157" xr:uid="{00000000-0005-0000-0000-0000E4850000}"/>
    <cellStyle name="Output 7 6 4" xfId="10940" xr:uid="{00000000-0005-0000-0000-0000E5850000}"/>
    <cellStyle name="Output 7 6 4 2" xfId="29912" xr:uid="{00000000-0005-0000-0000-0000E6850000}"/>
    <cellStyle name="Output 7 6 4 3" xfId="40757" xr:uid="{00000000-0005-0000-0000-0000E7850000}"/>
    <cellStyle name="Output 7 6 4 4" xfId="19061" xr:uid="{00000000-0005-0000-0000-0000E8850000}"/>
    <cellStyle name="Output 7 6 5" xfId="21736" xr:uid="{00000000-0005-0000-0000-0000E9850000}"/>
    <cellStyle name="Output 7 6 6" xfId="32581" xr:uid="{00000000-0005-0000-0000-0000EA850000}"/>
    <cellStyle name="Output 7 6 7" xfId="13207" xr:uid="{00000000-0005-0000-0000-0000EB850000}"/>
    <cellStyle name="Output 7 7" xfId="3449" xr:uid="{00000000-0005-0000-0000-0000EC850000}"/>
    <cellStyle name="Output 7 7 2" xfId="22421" xr:uid="{00000000-0005-0000-0000-0000ED850000}"/>
    <cellStyle name="Output 7 7 3" xfId="33266" xr:uid="{00000000-0005-0000-0000-0000EE850000}"/>
    <cellStyle name="Output 7 7 4" xfId="13689" xr:uid="{00000000-0005-0000-0000-0000EF850000}"/>
    <cellStyle name="Output 7 8" xfId="6125" xr:uid="{00000000-0005-0000-0000-0000F0850000}"/>
    <cellStyle name="Output 7 8 2" xfId="25097" xr:uid="{00000000-0005-0000-0000-0000F1850000}"/>
    <cellStyle name="Output 7 8 3" xfId="35942" xr:uid="{00000000-0005-0000-0000-0000F2850000}"/>
    <cellStyle name="Output 7 8 4" xfId="15606" xr:uid="{00000000-0005-0000-0000-0000F3850000}"/>
    <cellStyle name="Output 7 9" xfId="8784" xr:uid="{00000000-0005-0000-0000-0000F4850000}"/>
    <cellStyle name="Output 7 9 2" xfId="27756" xr:uid="{00000000-0005-0000-0000-0000F5850000}"/>
    <cellStyle name="Output 7 9 3" xfId="38601" xr:uid="{00000000-0005-0000-0000-0000F6850000}"/>
    <cellStyle name="Output 7 9 4" xfId="17510" xr:uid="{00000000-0005-0000-0000-0000F7850000}"/>
    <cellStyle name="Output 8" xfId="489" xr:uid="{00000000-0005-0000-0000-0000F8850000}"/>
    <cellStyle name="Output 8 2" xfId="3405" xr:uid="{00000000-0005-0000-0000-0000F9850000}"/>
    <cellStyle name="Output 8 2 2" xfId="22377" xr:uid="{00000000-0005-0000-0000-0000FA850000}"/>
    <cellStyle name="Output 8 2 3" xfId="33222" xr:uid="{00000000-0005-0000-0000-0000FB850000}"/>
    <cellStyle name="Output 8 2 4" xfId="13657" xr:uid="{00000000-0005-0000-0000-0000FC850000}"/>
    <cellStyle name="Output 8 3" xfId="6083" xr:uid="{00000000-0005-0000-0000-0000FD850000}"/>
    <cellStyle name="Output 8 3 2" xfId="25055" xr:uid="{00000000-0005-0000-0000-0000FE850000}"/>
    <cellStyle name="Output 8 3 3" xfId="35900" xr:uid="{00000000-0005-0000-0000-0000FF850000}"/>
    <cellStyle name="Output 8 3 4" xfId="15574" xr:uid="{00000000-0005-0000-0000-000000860000}"/>
    <cellStyle name="Output 8 4" xfId="8742" xr:uid="{00000000-0005-0000-0000-000001860000}"/>
    <cellStyle name="Output 8 4 2" xfId="27714" xr:uid="{00000000-0005-0000-0000-000002860000}"/>
    <cellStyle name="Output 8 4 3" xfId="38559" xr:uid="{00000000-0005-0000-0000-000003860000}"/>
    <cellStyle name="Output 8 4 4" xfId="17478" xr:uid="{00000000-0005-0000-0000-000004860000}"/>
    <cellStyle name="Output 8 5" xfId="19528" xr:uid="{00000000-0005-0000-0000-000005860000}"/>
    <cellStyle name="Output 8 6" xfId="30373" xr:uid="{00000000-0005-0000-0000-000006860000}"/>
    <cellStyle name="Output 8 7" xfId="11571" xr:uid="{00000000-0005-0000-0000-000007860000}"/>
    <cellStyle name="Output 9" xfId="11461" xr:uid="{00000000-0005-0000-0000-000008860000}"/>
    <cellStyle name="Percent" xfId="147" builtinId="5"/>
    <cellStyle name="Percent 10" xfId="490" xr:uid="{00000000-0005-0000-0000-00000A860000}"/>
    <cellStyle name="Percent 11" xfId="447" xr:uid="{00000000-0005-0000-0000-00000B860000}"/>
    <cellStyle name="Percent 11 2" xfId="11567" xr:uid="{00000000-0005-0000-0000-00000C860000}"/>
    <cellStyle name="Percent 12" xfId="11471" xr:uid="{00000000-0005-0000-0000-00000D860000}"/>
    <cellStyle name="Percent 13" xfId="41224" xr:uid="{00000000-0005-0000-0000-00000E860000}"/>
    <cellStyle name="Percent 14" xfId="41232" xr:uid="{00000000-0005-0000-0000-00000F860000}"/>
    <cellStyle name="Percent 15" xfId="41240" xr:uid="{00000000-0005-0000-0000-000010860000}"/>
    <cellStyle name="Percent 16" xfId="41512" xr:uid="{00000000-0005-0000-0000-000011860000}"/>
    <cellStyle name="Percent 17" xfId="42478" xr:uid="{00000000-0005-0000-0000-000012860000}"/>
    <cellStyle name="Percent 18" xfId="42483" xr:uid="{00000000-0005-0000-0000-000013860000}"/>
    <cellStyle name="Percent 2" xfId="148" xr:uid="{00000000-0005-0000-0000-000014860000}"/>
    <cellStyle name="Percent 2 10" xfId="41478" xr:uid="{00000000-0005-0000-0000-000015860000}"/>
    <cellStyle name="Percent 2 10 2" xfId="42399" xr:uid="{00000000-0005-0000-0000-000016860000}"/>
    <cellStyle name="Percent 2 11" xfId="42400" xr:uid="{00000000-0005-0000-0000-000017860000}"/>
    <cellStyle name="Percent 2 11 2" xfId="42401" xr:uid="{00000000-0005-0000-0000-000018860000}"/>
    <cellStyle name="Percent 2 12" xfId="42402" xr:uid="{00000000-0005-0000-0000-000019860000}"/>
    <cellStyle name="Percent 2 12 2" xfId="42403" xr:uid="{00000000-0005-0000-0000-00001A860000}"/>
    <cellStyle name="Percent 2 13" xfId="42404" xr:uid="{00000000-0005-0000-0000-00001B860000}"/>
    <cellStyle name="Percent 2 2" xfId="41222" xr:uid="{00000000-0005-0000-0000-00001C860000}"/>
    <cellStyle name="Percent 2 2 2" xfId="41479" xr:uid="{00000000-0005-0000-0000-00001D860000}"/>
    <cellStyle name="Percent 2 2 3" xfId="41480" xr:uid="{00000000-0005-0000-0000-00001E860000}"/>
    <cellStyle name="Percent 2 2 3 2" xfId="41644" xr:uid="{00000000-0005-0000-0000-00001F860000}"/>
    <cellStyle name="Percent 2 2 3 2 2" xfId="42405" xr:uid="{00000000-0005-0000-0000-000020860000}"/>
    <cellStyle name="Percent 2 2 3 2 3" xfId="42619" xr:uid="{00000000-0005-0000-0000-000021860000}"/>
    <cellStyle name="Percent 2 2 3 3" xfId="42406" xr:uid="{00000000-0005-0000-0000-000022860000}"/>
    <cellStyle name="Percent 2 2 3 3 2" xfId="42407" xr:uid="{00000000-0005-0000-0000-000023860000}"/>
    <cellStyle name="Percent 2 2 3 4" xfId="42408" xr:uid="{00000000-0005-0000-0000-000024860000}"/>
    <cellStyle name="Percent 2 2 4" xfId="41481" xr:uid="{00000000-0005-0000-0000-000025860000}"/>
    <cellStyle name="Percent 2 2 4 2" xfId="41645" xr:uid="{00000000-0005-0000-0000-000026860000}"/>
    <cellStyle name="Percent 2 2 4 2 2" xfId="42409" xr:uid="{00000000-0005-0000-0000-000027860000}"/>
    <cellStyle name="Percent 2 2 4 2 3" xfId="42620" xr:uid="{00000000-0005-0000-0000-000028860000}"/>
    <cellStyle name="Percent 2 2 4 3" xfId="42410" xr:uid="{00000000-0005-0000-0000-000029860000}"/>
    <cellStyle name="Percent 2 2 4 3 2" xfId="42411" xr:uid="{00000000-0005-0000-0000-00002A860000}"/>
    <cellStyle name="Percent 2 2 4 4" xfId="42412" xr:uid="{00000000-0005-0000-0000-00002B860000}"/>
    <cellStyle name="Percent 2 2 5" xfId="41482" xr:uid="{00000000-0005-0000-0000-00002C860000}"/>
    <cellStyle name="Percent 2 2 5 2" xfId="41646" xr:uid="{00000000-0005-0000-0000-00002D860000}"/>
    <cellStyle name="Percent 2 2 5 2 2" xfId="42413" xr:uid="{00000000-0005-0000-0000-00002E860000}"/>
    <cellStyle name="Percent 2 2 5 2 3" xfId="42621" xr:uid="{00000000-0005-0000-0000-00002F860000}"/>
    <cellStyle name="Percent 2 2 5 3" xfId="42414" xr:uid="{00000000-0005-0000-0000-000030860000}"/>
    <cellStyle name="Percent 2 2 5 3 2" xfId="42415" xr:uid="{00000000-0005-0000-0000-000031860000}"/>
    <cellStyle name="Percent 2 2 5 4" xfId="42416" xr:uid="{00000000-0005-0000-0000-000032860000}"/>
    <cellStyle name="Percent 2 2 6" xfId="41483" xr:uid="{00000000-0005-0000-0000-000033860000}"/>
    <cellStyle name="Percent 2 2 6 2" xfId="41647" xr:uid="{00000000-0005-0000-0000-000034860000}"/>
    <cellStyle name="Percent 2 2 6 2 2" xfId="42417" xr:uid="{00000000-0005-0000-0000-000035860000}"/>
    <cellStyle name="Percent 2 2 6 3" xfId="42418" xr:uid="{00000000-0005-0000-0000-000036860000}"/>
    <cellStyle name="Percent 2 2 6 3 2" xfId="42419" xr:uid="{00000000-0005-0000-0000-000037860000}"/>
    <cellStyle name="Percent 2 2 6 4" xfId="42420" xr:uid="{00000000-0005-0000-0000-000038860000}"/>
    <cellStyle name="Percent 2 2 7" xfId="42622" xr:uid="{00000000-0005-0000-0000-000039860000}"/>
    <cellStyle name="Percent 2 2 7 2" xfId="42623" xr:uid="{00000000-0005-0000-0000-00003A860000}"/>
    <cellStyle name="Percent 2 2 8" xfId="42624" xr:uid="{00000000-0005-0000-0000-00003B860000}"/>
    <cellStyle name="Percent 2 2 9" xfId="42625" xr:uid="{00000000-0005-0000-0000-00003C860000}"/>
    <cellStyle name="Percent 2 3" xfId="41233" xr:uid="{00000000-0005-0000-0000-00003D860000}"/>
    <cellStyle name="Percent 2 3 2" xfId="41484" xr:uid="{00000000-0005-0000-0000-00003E860000}"/>
    <cellStyle name="Percent 2 3 2 2" xfId="41648" xr:uid="{00000000-0005-0000-0000-00003F860000}"/>
    <cellStyle name="Percent 2 3 2 2 2" xfId="42421" xr:uid="{00000000-0005-0000-0000-000040860000}"/>
    <cellStyle name="Percent 2 3 2 3" xfId="42422" xr:uid="{00000000-0005-0000-0000-000041860000}"/>
    <cellStyle name="Percent 2 3 2 3 2" xfId="42423" xr:uid="{00000000-0005-0000-0000-000042860000}"/>
    <cellStyle name="Percent 2 3 2 4" xfId="42424" xr:uid="{00000000-0005-0000-0000-000043860000}"/>
    <cellStyle name="Percent 2 3 3" xfId="41485" xr:uid="{00000000-0005-0000-0000-000044860000}"/>
    <cellStyle name="Percent 2 3 3 2" xfId="41649" xr:uid="{00000000-0005-0000-0000-000045860000}"/>
    <cellStyle name="Percent 2 3 3 2 2" xfId="42425" xr:uid="{00000000-0005-0000-0000-000046860000}"/>
    <cellStyle name="Percent 2 3 3 3" xfId="42426" xr:uid="{00000000-0005-0000-0000-000047860000}"/>
    <cellStyle name="Percent 2 3 3 3 2" xfId="42427" xr:uid="{00000000-0005-0000-0000-000048860000}"/>
    <cellStyle name="Percent 2 3 3 4" xfId="42428" xr:uid="{00000000-0005-0000-0000-000049860000}"/>
    <cellStyle name="Percent 2 3 4" xfId="41650" xr:uid="{00000000-0005-0000-0000-00004A860000}"/>
    <cellStyle name="Percent 2 3 4 2" xfId="42429" xr:uid="{00000000-0005-0000-0000-00004B860000}"/>
    <cellStyle name="Percent 2 3 5" xfId="42430" xr:uid="{00000000-0005-0000-0000-00004C860000}"/>
    <cellStyle name="Percent 2 3 5 2" xfId="42431" xr:uid="{00000000-0005-0000-0000-00004D860000}"/>
    <cellStyle name="Percent 2 3 6" xfId="42432" xr:uid="{00000000-0005-0000-0000-00004E860000}"/>
    <cellStyle name="Percent 2 4" xfId="41486" xr:uid="{00000000-0005-0000-0000-00004F860000}"/>
    <cellStyle name="Percent 2 4 2" xfId="41651" xr:uid="{00000000-0005-0000-0000-000050860000}"/>
    <cellStyle name="Percent 2 4 2 2" xfId="42433" xr:uid="{00000000-0005-0000-0000-000051860000}"/>
    <cellStyle name="Percent 2 4 2 3" xfId="42626" xr:uid="{00000000-0005-0000-0000-000052860000}"/>
    <cellStyle name="Percent 2 4 3" xfId="42434" xr:uid="{00000000-0005-0000-0000-000053860000}"/>
    <cellStyle name="Percent 2 4 3 2" xfId="42435" xr:uid="{00000000-0005-0000-0000-000054860000}"/>
    <cellStyle name="Percent 2 4 4" xfId="42436" xr:uid="{00000000-0005-0000-0000-000055860000}"/>
    <cellStyle name="Percent 2 4 5" xfId="42627" xr:uid="{00000000-0005-0000-0000-000056860000}"/>
    <cellStyle name="Percent 2 5" xfId="41487" xr:uid="{00000000-0005-0000-0000-000057860000}"/>
    <cellStyle name="Percent 2 5 2" xfId="41652" xr:uid="{00000000-0005-0000-0000-000058860000}"/>
    <cellStyle name="Percent 2 5 2 2" xfId="42437" xr:uid="{00000000-0005-0000-0000-000059860000}"/>
    <cellStyle name="Percent 2 5 2 3" xfId="42628" xr:uid="{00000000-0005-0000-0000-00005A860000}"/>
    <cellStyle name="Percent 2 5 3" xfId="42438" xr:uid="{00000000-0005-0000-0000-00005B860000}"/>
    <cellStyle name="Percent 2 5 3 2" xfId="42439" xr:uid="{00000000-0005-0000-0000-00005C860000}"/>
    <cellStyle name="Percent 2 5 4" xfId="42440" xr:uid="{00000000-0005-0000-0000-00005D860000}"/>
    <cellStyle name="Percent 2 5 5" xfId="42629" xr:uid="{00000000-0005-0000-0000-00005E860000}"/>
    <cellStyle name="Percent 2 6" xfId="41488" xr:uid="{00000000-0005-0000-0000-00005F860000}"/>
    <cellStyle name="Percent 2 6 2" xfId="41653" xr:uid="{00000000-0005-0000-0000-000060860000}"/>
    <cellStyle name="Percent 2 6 2 2" xfId="42441" xr:uid="{00000000-0005-0000-0000-000061860000}"/>
    <cellStyle name="Percent 2 6 2 3" xfId="42630" xr:uid="{00000000-0005-0000-0000-000062860000}"/>
    <cellStyle name="Percent 2 6 3" xfId="42442" xr:uid="{00000000-0005-0000-0000-000063860000}"/>
    <cellStyle name="Percent 2 6 3 2" xfId="42443" xr:uid="{00000000-0005-0000-0000-000064860000}"/>
    <cellStyle name="Percent 2 6 4" xfId="42444" xr:uid="{00000000-0005-0000-0000-000065860000}"/>
    <cellStyle name="Percent 2 7" xfId="41489" xr:uid="{00000000-0005-0000-0000-000066860000}"/>
    <cellStyle name="Percent 2 7 2" xfId="41654" xr:uid="{00000000-0005-0000-0000-000067860000}"/>
    <cellStyle name="Percent 2 7 2 2" xfId="42445" xr:uid="{00000000-0005-0000-0000-000068860000}"/>
    <cellStyle name="Percent 2 7 3" xfId="42446" xr:uid="{00000000-0005-0000-0000-000069860000}"/>
    <cellStyle name="Percent 2 7 3 2" xfId="42447" xr:uid="{00000000-0005-0000-0000-00006A860000}"/>
    <cellStyle name="Percent 2 7 4" xfId="42448" xr:uid="{00000000-0005-0000-0000-00006B860000}"/>
    <cellStyle name="Percent 2 8" xfId="41490" xr:uid="{00000000-0005-0000-0000-00006C860000}"/>
    <cellStyle name="Percent 2 8 2" xfId="41655" xr:uid="{00000000-0005-0000-0000-00006D860000}"/>
    <cellStyle name="Percent 2 8 2 2" xfId="42449" xr:uid="{00000000-0005-0000-0000-00006E860000}"/>
    <cellStyle name="Percent 2 8 3" xfId="42450" xr:uid="{00000000-0005-0000-0000-00006F860000}"/>
    <cellStyle name="Percent 2 8 3 2" xfId="42451" xr:uid="{00000000-0005-0000-0000-000070860000}"/>
    <cellStyle name="Percent 2 8 4" xfId="42452" xr:uid="{00000000-0005-0000-0000-000071860000}"/>
    <cellStyle name="Percent 2 9" xfId="41491" xr:uid="{00000000-0005-0000-0000-000072860000}"/>
    <cellStyle name="Percent 2 9 2" xfId="41656" xr:uid="{00000000-0005-0000-0000-000073860000}"/>
    <cellStyle name="Percent 2 9 2 2" xfId="42453" xr:uid="{00000000-0005-0000-0000-000074860000}"/>
    <cellStyle name="Percent 2 9 3" xfId="42454" xr:uid="{00000000-0005-0000-0000-000075860000}"/>
    <cellStyle name="Percent 2 9 3 2" xfId="42455" xr:uid="{00000000-0005-0000-0000-000076860000}"/>
    <cellStyle name="Percent 2 9 4" xfId="42456" xr:uid="{00000000-0005-0000-0000-000077860000}"/>
    <cellStyle name="Percent 3" xfId="149" xr:uid="{00000000-0005-0000-0000-000078860000}"/>
    <cellStyle name="Percent 3 2" xfId="41492" xr:uid="{00000000-0005-0000-0000-000079860000}"/>
    <cellStyle name="Percent 3 3" xfId="41493" xr:uid="{00000000-0005-0000-0000-00007A860000}"/>
    <cellStyle name="Percent 3 3 2" xfId="42631" xr:uid="{00000000-0005-0000-0000-00007B860000}"/>
    <cellStyle name="Percent 3 3 3" xfId="42632" xr:uid="{00000000-0005-0000-0000-00007C860000}"/>
    <cellStyle name="Percent 3 4" xfId="42633" xr:uid="{00000000-0005-0000-0000-00007D860000}"/>
    <cellStyle name="Percent 4" xfId="150" xr:uid="{00000000-0005-0000-0000-00007E860000}"/>
    <cellStyle name="Percent 4 2" xfId="197" xr:uid="{00000000-0005-0000-0000-00007F860000}"/>
    <cellStyle name="Percent 4 2 2" xfId="41494" xr:uid="{00000000-0005-0000-0000-000080860000}"/>
    <cellStyle name="Percent 4 2 2 2" xfId="42457" xr:uid="{00000000-0005-0000-0000-000081860000}"/>
    <cellStyle name="Percent 4 2 3" xfId="42458" xr:uid="{00000000-0005-0000-0000-000082860000}"/>
    <cellStyle name="Percent 4 2 3 2" xfId="42459" xr:uid="{00000000-0005-0000-0000-000083860000}"/>
    <cellStyle name="Percent 4 2 4" xfId="42460" xr:uid="{00000000-0005-0000-0000-000084860000}"/>
    <cellStyle name="Percent 4 3" xfId="198" xr:uid="{00000000-0005-0000-0000-000085860000}"/>
    <cellStyle name="Percent 4 3 2" xfId="42461" xr:uid="{00000000-0005-0000-0000-000086860000}"/>
    <cellStyle name="Percent 4 4" xfId="199" xr:uid="{00000000-0005-0000-0000-000087860000}"/>
    <cellStyle name="Percent 4 4 2" xfId="42462" xr:uid="{00000000-0005-0000-0000-000088860000}"/>
    <cellStyle name="Percent 4 5" xfId="41495" xr:uid="{00000000-0005-0000-0000-000089860000}"/>
    <cellStyle name="Percent 4 5 2" xfId="42463" xr:uid="{00000000-0005-0000-0000-00008A860000}"/>
    <cellStyle name="Percent 4 6" xfId="42464" xr:uid="{00000000-0005-0000-0000-00008B860000}"/>
    <cellStyle name="Percent 5" xfId="151" xr:uid="{00000000-0005-0000-0000-00008C860000}"/>
    <cellStyle name="Percent 5 2" xfId="41496" xr:uid="{00000000-0005-0000-0000-00008D860000}"/>
    <cellStyle name="Percent 6" xfId="321" xr:uid="{00000000-0005-0000-0000-00008E860000}"/>
    <cellStyle name="Percent 6 2" xfId="41497" xr:uid="{00000000-0005-0000-0000-00008F860000}"/>
    <cellStyle name="Percent 6 2 2" xfId="42465" xr:uid="{00000000-0005-0000-0000-000090860000}"/>
    <cellStyle name="Percent 6 3" xfId="42466" xr:uid="{00000000-0005-0000-0000-000091860000}"/>
    <cellStyle name="Percent 6 3 2" xfId="42467" xr:uid="{00000000-0005-0000-0000-000092860000}"/>
    <cellStyle name="Percent 6 4" xfId="42468" xr:uid="{00000000-0005-0000-0000-000093860000}"/>
    <cellStyle name="Percent 6 5" xfId="42481" xr:uid="{00000000-0005-0000-0000-000094860000}"/>
    <cellStyle name="Percent 7" xfId="322" xr:uid="{00000000-0005-0000-0000-000095860000}"/>
    <cellStyle name="Percent 7 2" xfId="41498" xr:uid="{00000000-0005-0000-0000-000096860000}"/>
    <cellStyle name="Percent 7 2 2" xfId="42469" xr:uid="{00000000-0005-0000-0000-000097860000}"/>
    <cellStyle name="Percent 7 3" xfId="42470" xr:uid="{00000000-0005-0000-0000-000098860000}"/>
    <cellStyle name="Percent 7 3 2" xfId="42471" xr:uid="{00000000-0005-0000-0000-000099860000}"/>
    <cellStyle name="Percent 7 4" xfId="42472" xr:uid="{00000000-0005-0000-0000-00009A860000}"/>
    <cellStyle name="Percent 8" xfId="323" xr:uid="{00000000-0005-0000-0000-00009B860000}"/>
    <cellStyle name="Percent 8 2" xfId="41499" xr:uid="{00000000-0005-0000-0000-00009C860000}"/>
    <cellStyle name="Percent 8 2 2" xfId="42473" xr:uid="{00000000-0005-0000-0000-00009D860000}"/>
    <cellStyle name="Percent 8 3" xfId="42474" xr:uid="{00000000-0005-0000-0000-00009E860000}"/>
    <cellStyle name="Percent 8 3 2" xfId="42475" xr:uid="{00000000-0005-0000-0000-00009F860000}"/>
    <cellStyle name="Percent 8 4" xfId="42476" xr:uid="{00000000-0005-0000-0000-0000A0860000}"/>
    <cellStyle name="Percent 9" xfId="397" xr:uid="{00000000-0005-0000-0000-0000A1860000}"/>
    <cellStyle name="Percent 9 2" xfId="635" xr:uid="{00000000-0005-0000-0000-0000A2860000}"/>
    <cellStyle name="Percent 9 3" xfId="515" xr:uid="{00000000-0005-0000-0000-0000A3860000}"/>
    <cellStyle name="Percent 9 4" xfId="41500" xr:uid="{00000000-0005-0000-0000-0000A4860000}"/>
    <cellStyle name="PillarHeading" xfId="41501" xr:uid="{00000000-0005-0000-0000-0000A5860000}"/>
    <cellStyle name="PSChar" xfId="41502" xr:uid="{00000000-0005-0000-0000-0000A6860000}"/>
    <cellStyle name="PSDate" xfId="41503" xr:uid="{00000000-0005-0000-0000-0000A7860000}"/>
    <cellStyle name="PSDec" xfId="41504" xr:uid="{00000000-0005-0000-0000-0000A8860000}"/>
    <cellStyle name="PSHeading" xfId="41505" xr:uid="{00000000-0005-0000-0000-0000A9860000}"/>
    <cellStyle name="PSHeading 2" xfId="41506" xr:uid="{00000000-0005-0000-0000-0000AA860000}"/>
    <cellStyle name="Style 1" xfId="41507" xr:uid="{00000000-0005-0000-0000-0000AB860000}"/>
    <cellStyle name="Title" xfId="152" builtinId="15" customBuiltin="1"/>
    <cellStyle name="Title 2" xfId="153" xr:uid="{00000000-0005-0000-0000-0000AD860000}"/>
    <cellStyle name="Title 3" xfId="324" xr:uid="{00000000-0005-0000-0000-0000AE860000}"/>
    <cellStyle name="Title 4" xfId="325" xr:uid="{00000000-0005-0000-0000-0000AF860000}"/>
    <cellStyle name="Title 5" xfId="491" xr:uid="{00000000-0005-0000-0000-0000B0860000}"/>
    <cellStyle name="Title 6" xfId="11472" xr:uid="{00000000-0005-0000-0000-0000B1860000}"/>
    <cellStyle name="Total" xfId="154" builtinId="25" customBuiltin="1"/>
    <cellStyle name="Total 10" xfId="11473" xr:uid="{00000000-0005-0000-0000-0000B3860000}"/>
    <cellStyle name="Total 2" xfId="155" xr:uid="{00000000-0005-0000-0000-0000B4860000}"/>
    <cellStyle name="Total 2 10" xfId="581" xr:uid="{00000000-0005-0000-0000-0000B5860000}"/>
    <cellStyle name="Total 2 10 10" xfId="19591" xr:uid="{00000000-0005-0000-0000-0000B6860000}"/>
    <cellStyle name="Total 2 10 11" xfId="30436" xr:uid="{00000000-0005-0000-0000-0000B7860000}"/>
    <cellStyle name="Total 2 10 12" xfId="11645" xr:uid="{00000000-0005-0000-0000-0000B8860000}"/>
    <cellStyle name="Total 2 10 2" xfId="1187" xr:uid="{00000000-0005-0000-0000-0000B9860000}"/>
    <cellStyle name="Total 2 10 2 2" xfId="4040" xr:uid="{00000000-0005-0000-0000-0000BA860000}"/>
    <cellStyle name="Total 2 10 2 2 2" xfId="23012" xr:uid="{00000000-0005-0000-0000-0000BB860000}"/>
    <cellStyle name="Total 2 10 2 2 3" xfId="33857" xr:uid="{00000000-0005-0000-0000-0000BC860000}"/>
    <cellStyle name="Total 2 10 2 2 4" xfId="14122" xr:uid="{00000000-0005-0000-0000-0000BD860000}"/>
    <cellStyle name="Total 2 10 2 3" xfId="6713" xr:uid="{00000000-0005-0000-0000-0000BE860000}"/>
    <cellStyle name="Total 2 10 2 3 2" xfId="25685" xr:uid="{00000000-0005-0000-0000-0000BF860000}"/>
    <cellStyle name="Total 2 10 2 3 3" xfId="36530" xr:uid="{00000000-0005-0000-0000-0000C0860000}"/>
    <cellStyle name="Total 2 10 2 3 4" xfId="16037" xr:uid="{00000000-0005-0000-0000-0000C1860000}"/>
    <cellStyle name="Total 2 10 2 4" xfId="9372" xr:uid="{00000000-0005-0000-0000-0000C2860000}"/>
    <cellStyle name="Total 2 10 2 4 2" xfId="28344" xr:uid="{00000000-0005-0000-0000-0000C3860000}"/>
    <cellStyle name="Total 2 10 2 4 3" xfId="39189" xr:uid="{00000000-0005-0000-0000-0000C4860000}"/>
    <cellStyle name="Total 2 10 2 4 4" xfId="17941" xr:uid="{00000000-0005-0000-0000-0000C5860000}"/>
    <cellStyle name="Total 2 10 2 5" xfId="20168" xr:uid="{00000000-0005-0000-0000-0000C6860000}"/>
    <cellStyle name="Total 2 10 2 6" xfId="31013" xr:uid="{00000000-0005-0000-0000-0000C7860000}"/>
    <cellStyle name="Total 2 10 2 7" xfId="12087" xr:uid="{00000000-0005-0000-0000-0000C8860000}"/>
    <cellStyle name="Total 2 10 3" xfId="1584" xr:uid="{00000000-0005-0000-0000-0000C9860000}"/>
    <cellStyle name="Total 2 10 3 2" xfId="4437" xr:uid="{00000000-0005-0000-0000-0000CA860000}"/>
    <cellStyle name="Total 2 10 3 2 2" xfId="23409" xr:uid="{00000000-0005-0000-0000-0000CB860000}"/>
    <cellStyle name="Total 2 10 3 2 3" xfId="34254" xr:uid="{00000000-0005-0000-0000-0000CC860000}"/>
    <cellStyle name="Total 2 10 3 2 4" xfId="14408" xr:uid="{00000000-0005-0000-0000-0000CD860000}"/>
    <cellStyle name="Total 2 10 3 3" xfId="7109" xr:uid="{00000000-0005-0000-0000-0000CE860000}"/>
    <cellStyle name="Total 2 10 3 3 2" xfId="26081" xr:uid="{00000000-0005-0000-0000-0000CF860000}"/>
    <cellStyle name="Total 2 10 3 3 3" xfId="36926" xr:uid="{00000000-0005-0000-0000-0000D0860000}"/>
    <cellStyle name="Total 2 10 3 3 4" xfId="16322" xr:uid="{00000000-0005-0000-0000-0000D1860000}"/>
    <cellStyle name="Total 2 10 3 4" xfId="9768" xr:uid="{00000000-0005-0000-0000-0000D2860000}"/>
    <cellStyle name="Total 2 10 3 4 2" xfId="28740" xr:uid="{00000000-0005-0000-0000-0000D3860000}"/>
    <cellStyle name="Total 2 10 3 4 3" xfId="39585" xr:uid="{00000000-0005-0000-0000-0000D4860000}"/>
    <cellStyle name="Total 2 10 3 4 4" xfId="18226" xr:uid="{00000000-0005-0000-0000-0000D5860000}"/>
    <cellStyle name="Total 2 10 3 5" xfId="20564" xr:uid="{00000000-0005-0000-0000-0000D6860000}"/>
    <cellStyle name="Total 2 10 3 6" xfId="31409" xr:uid="{00000000-0005-0000-0000-0000D7860000}"/>
    <cellStyle name="Total 2 10 3 7" xfId="12372" xr:uid="{00000000-0005-0000-0000-0000D8860000}"/>
    <cellStyle name="Total 2 10 4" xfId="1988" xr:uid="{00000000-0005-0000-0000-0000D9860000}"/>
    <cellStyle name="Total 2 10 4 2" xfId="4841" xr:uid="{00000000-0005-0000-0000-0000DA860000}"/>
    <cellStyle name="Total 2 10 4 2 2" xfId="23813" xr:uid="{00000000-0005-0000-0000-0000DB860000}"/>
    <cellStyle name="Total 2 10 4 2 3" xfId="34658" xr:uid="{00000000-0005-0000-0000-0000DC860000}"/>
    <cellStyle name="Total 2 10 4 2 4" xfId="14696" xr:uid="{00000000-0005-0000-0000-0000DD860000}"/>
    <cellStyle name="Total 2 10 4 3" xfId="7513" xr:uid="{00000000-0005-0000-0000-0000DE860000}"/>
    <cellStyle name="Total 2 10 4 3 2" xfId="26485" xr:uid="{00000000-0005-0000-0000-0000DF860000}"/>
    <cellStyle name="Total 2 10 4 3 3" xfId="37330" xr:uid="{00000000-0005-0000-0000-0000E0860000}"/>
    <cellStyle name="Total 2 10 4 3 4" xfId="16610" xr:uid="{00000000-0005-0000-0000-0000E1860000}"/>
    <cellStyle name="Total 2 10 4 4" xfId="10172" xr:uid="{00000000-0005-0000-0000-0000E2860000}"/>
    <cellStyle name="Total 2 10 4 4 2" xfId="29144" xr:uid="{00000000-0005-0000-0000-0000E3860000}"/>
    <cellStyle name="Total 2 10 4 4 3" xfId="39989" xr:uid="{00000000-0005-0000-0000-0000E4860000}"/>
    <cellStyle name="Total 2 10 4 4 4" xfId="18514" xr:uid="{00000000-0005-0000-0000-0000E5860000}"/>
    <cellStyle name="Total 2 10 4 5" xfId="20968" xr:uid="{00000000-0005-0000-0000-0000E6860000}"/>
    <cellStyle name="Total 2 10 4 6" xfId="31813" xr:uid="{00000000-0005-0000-0000-0000E7860000}"/>
    <cellStyle name="Total 2 10 4 7" xfId="12660" xr:uid="{00000000-0005-0000-0000-0000E8860000}"/>
    <cellStyle name="Total 2 10 5" xfId="2380" xr:uid="{00000000-0005-0000-0000-0000E9860000}"/>
    <cellStyle name="Total 2 10 5 2" xfId="5233" xr:uid="{00000000-0005-0000-0000-0000EA860000}"/>
    <cellStyle name="Total 2 10 5 2 2" xfId="24205" xr:uid="{00000000-0005-0000-0000-0000EB860000}"/>
    <cellStyle name="Total 2 10 5 2 3" xfId="35050" xr:uid="{00000000-0005-0000-0000-0000EC860000}"/>
    <cellStyle name="Total 2 10 5 2 4" xfId="14977" xr:uid="{00000000-0005-0000-0000-0000ED860000}"/>
    <cellStyle name="Total 2 10 5 3" xfId="7904" xr:uid="{00000000-0005-0000-0000-0000EE860000}"/>
    <cellStyle name="Total 2 10 5 3 2" xfId="26876" xr:uid="{00000000-0005-0000-0000-0000EF860000}"/>
    <cellStyle name="Total 2 10 5 3 3" xfId="37721" xr:uid="{00000000-0005-0000-0000-0000F0860000}"/>
    <cellStyle name="Total 2 10 5 3 4" xfId="16890" xr:uid="{00000000-0005-0000-0000-0000F1860000}"/>
    <cellStyle name="Total 2 10 5 4" xfId="10563" xr:uid="{00000000-0005-0000-0000-0000F2860000}"/>
    <cellStyle name="Total 2 10 5 4 2" xfId="29535" xr:uid="{00000000-0005-0000-0000-0000F3860000}"/>
    <cellStyle name="Total 2 10 5 4 3" xfId="40380" xr:uid="{00000000-0005-0000-0000-0000F4860000}"/>
    <cellStyle name="Total 2 10 5 4 4" xfId="18794" xr:uid="{00000000-0005-0000-0000-0000F5860000}"/>
    <cellStyle name="Total 2 10 5 5" xfId="21359" xr:uid="{00000000-0005-0000-0000-0000F6860000}"/>
    <cellStyle name="Total 2 10 5 6" xfId="32204" xr:uid="{00000000-0005-0000-0000-0000F7860000}"/>
    <cellStyle name="Total 2 10 5 7" xfId="12940" xr:uid="{00000000-0005-0000-0000-0000F8860000}"/>
    <cellStyle name="Total 2 10 6" xfId="2769" xr:uid="{00000000-0005-0000-0000-0000F9860000}"/>
    <cellStyle name="Total 2 10 6 2" xfId="5621" xr:uid="{00000000-0005-0000-0000-0000FA860000}"/>
    <cellStyle name="Total 2 10 6 2 2" xfId="24593" xr:uid="{00000000-0005-0000-0000-0000FB860000}"/>
    <cellStyle name="Total 2 10 6 2 3" xfId="35438" xr:uid="{00000000-0005-0000-0000-0000FC860000}"/>
    <cellStyle name="Total 2 10 6 2 4" xfId="15255" xr:uid="{00000000-0005-0000-0000-0000FD860000}"/>
    <cellStyle name="Total 2 10 6 3" xfId="8292" xr:uid="{00000000-0005-0000-0000-0000FE860000}"/>
    <cellStyle name="Total 2 10 6 3 2" xfId="27264" xr:uid="{00000000-0005-0000-0000-0000FF860000}"/>
    <cellStyle name="Total 2 10 6 3 3" xfId="38109" xr:uid="{00000000-0005-0000-0000-000000870000}"/>
    <cellStyle name="Total 2 10 6 3 4" xfId="17168" xr:uid="{00000000-0005-0000-0000-000001870000}"/>
    <cellStyle name="Total 2 10 6 4" xfId="10951" xr:uid="{00000000-0005-0000-0000-000002870000}"/>
    <cellStyle name="Total 2 10 6 4 2" xfId="29923" xr:uid="{00000000-0005-0000-0000-000003870000}"/>
    <cellStyle name="Total 2 10 6 4 3" xfId="40768" xr:uid="{00000000-0005-0000-0000-000004870000}"/>
    <cellStyle name="Total 2 10 6 4 4" xfId="19072" xr:uid="{00000000-0005-0000-0000-000005870000}"/>
    <cellStyle name="Total 2 10 6 5" xfId="21747" xr:uid="{00000000-0005-0000-0000-000006870000}"/>
    <cellStyle name="Total 2 10 6 6" xfId="32592" xr:uid="{00000000-0005-0000-0000-000007870000}"/>
    <cellStyle name="Total 2 10 6 7" xfId="13218" xr:uid="{00000000-0005-0000-0000-000008870000}"/>
    <cellStyle name="Total 2 10 7" xfId="3460" xr:uid="{00000000-0005-0000-0000-000009870000}"/>
    <cellStyle name="Total 2 10 7 2" xfId="22432" xr:uid="{00000000-0005-0000-0000-00000A870000}"/>
    <cellStyle name="Total 2 10 7 3" xfId="33277" xr:uid="{00000000-0005-0000-0000-00000B870000}"/>
    <cellStyle name="Total 2 10 7 4" xfId="13700" xr:uid="{00000000-0005-0000-0000-00000C870000}"/>
    <cellStyle name="Total 2 10 8" xfId="6136" xr:uid="{00000000-0005-0000-0000-00000D870000}"/>
    <cellStyle name="Total 2 10 8 2" xfId="25108" xr:uid="{00000000-0005-0000-0000-00000E870000}"/>
    <cellStyle name="Total 2 10 8 3" xfId="35953" xr:uid="{00000000-0005-0000-0000-00000F870000}"/>
    <cellStyle name="Total 2 10 8 4" xfId="15617" xr:uid="{00000000-0005-0000-0000-000010870000}"/>
    <cellStyle name="Total 2 10 9" xfId="8795" xr:uid="{00000000-0005-0000-0000-000011870000}"/>
    <cellStyle name="Total 2 10 9 2" xfId="27767" xr:uid="{00000000-0005-0000-0000-000012870000}"/>
    <cellStyle name="Total 2 10 9 3" xfId="38612" xr:uid="{00000000-0005-0000-0000-000013870000}"/>
    <cellStyle name="Total 2 10 9 4" xfId="17521" xr:uid="{00000000-0005-0000-0000-000014870000}"/>
    <cellStyle name="Total 2 11" xfId="11474" xr:uid="{00000000-0005-0000-0000-000015870000}"/>
    <cellStyle name="Total 2 2" xfId="156" xr:uid="{00000000-0005-0000-0000-000016870000}"/>
    <cellStyle name="Total 2 2 2" xfId="400" xr:uid="{00000000-0005-0000-0000-000017870000}"/>
    <cellStyle name="Total 2 2 2 10" xfId="2691" xr:uid="{00000000-0005-0000-0000-000018870000}"/>
    <cellStyle name="Total 2 2 2 10 2" xfId="5543" xr:uid="{00000000-0005-0000-0000-000019870000}"/>
    <cellStyle name="Total 2 2 2 10 2 2" xfId="24515" xr:uid="{00000000-0005-0000-0000-00001A870000}"/>
    <cellStyle name="Total 2 2 2 10 2 3" xfId="35360" xr:uid="{00000000-0005-0000-0000-00001B870000}"/>
    <cellStyle name="Total 2 2 2 10 2 4" xfId="15197" xr:uid="{00000000-0005-0000-0000-00001C870000}"/>
    <cellStyle name="Total 2 2 2 10 3" xfId="8214" xr:uid="{00000000-0005-0000-0000-00001D870000}"/>
    <cellStyle name="Total 2 2 2 10 3 2" xfId="27186" xr:uid="{00000000-0005-0000-0000-00001E870000}"/>
    <cellStyle name="Total 2 2 2 10 3 3" xfId="38031" xr:uid="{00000000-0005-0000-0000-00001F870000}"/>
    <cellStyle name="Total 2 2 2 10 3 4" xfId="17110" xr:uid="{00000000-0005-0000-0000-000020870000}"/>
    <cellStyle name="Total 2 2 2 10 4" xfId="10873" xr:uid="{00000000-0005-0000-0000-000021870000}"/>
    <cellStyle name="Total 2 2 2 10 4 2" xfId="29845" xr:uid="{00000000-0005-0000-0000-000022870000}"/>
    <cellStyle name="Total 2 2 2 10 4 3" xfId="40690" xr:uid="{00000000-0005-0000-0000-000023870000}"/>
    <cellStyle name="Total 2 2 2 10 4 4" xfId="19014" xr:uid="{00000000-0005-0000-0000-000024870000}"/>
    <cellStyle name="Total 2 2 2 10 5" xfId="21669" xr:uid="{00000000-0005-0000-0000-000025870000}"/>
    <cellStyle name="Total 2 2 2 10 6" xfId="32514" xr:uid="{00000000-0005-0000-0000-000026870000}"/>
    <cellStyle name="Total 2 2 2 10 7" xfId="13160" xr:uid="{00000000-0005-0000-0000-000027870000}"/>
    <cellStyle name="Total 2 2 2 11" xfId="3077" xr:uid="{00000000-0005-0000-0000-000028870000}"/>
    <cellStyle name="Total 2 2 2 11 2" xfId="5928" xr:uid="{00000000-0005-0000-0000-000029870000}"/>
    <cellStyle name="Total 2 2 2 11 2 2" xfId="24900" xr:uid="{00000000-0005-0000-0000-00002A870000}"/>
    <cellStyle name="Total 2 2 2 11 2 3" xfId="35745" xr:uid="{00000000-0005-0000-0000-00002B870000}"/>
    <cellStyle name="Total 2 2 2 11 2 4" xfId="15473" xr:uid="{00000000-0005-0000-0000-00002C870000}"/>
    <cellStyle name="Total 2 2 2 11 3" xfId="8599" xr:uid="{00000000-0005-0000-0000-00002D870000}"/>
    <cellStyle name="Total 2 2 2 11 3 2" xfId="27571" xr:uid="{00000000-0005-0000-0000-00002E870000}"/>
    <cellStyle name="Total 2 2 2 11 3 3" xfId="38416" xr:uid="{00000000-0005-0000-0000-00002F870000}"/>
    <cellStyle name="Total 2 2 2 11 3 4" xfId="17386" xr:uid="{00000000-0005-0000-0000-000030870000}"/>
    <cellStyle name="Total 2 2 2 11 4" xfId="11258" xr:uid="{00000000-0005-0000-0000-000031870000}"/>
    <cellStyle name="Total 2 2 2 11 4 2" xfId="30230" xr:uid="{00000000-0005-0000-0000-000032870000}"/>
    <cellStyle name="Total 2 2 2 11 4 3" xfId="41075" xr:uid="{00000000-0005-0000-0000-000033870000}"/>
    <cellStyle name="Total 2 2 2 11 4 4" xfId="19290" xr:uid="{00000000-0005-0000-0000-000034870000}"/>
    <cellStyle name="Total 2 2 2 11 5" xfId="22054" xr:uid="{00000000-0005-0000-0000-000035870000}"/>
    <cellStyle name="Total 2 2 2 11 6" xfId="32899" xr:uid="{00000000-0005-0000-0000-000036870000}"/>
    <cellStyle name="Total 2 2 2 11 7" xfId="13436" xr:uid="{00000000-0005-0000-0000-000037870000}"/>
    <cellStyle name="Total 2 2 2 12" xfId="3134" xr:uid="{00000000-0005-0000-0000-000038870000}"/>
    <cellStyle name="Total 2 2 2 12 2" xfId="5985" xr:uid="{00000000-0005-0000-0000-000039870000}"/>
    <cellStyle name="Total 2 2 2 12 2 2" xfId="24957" xr:uid="{00000000-0005-0000-0000-00003A870000}"/>
    <cellStyle name="Total 2 2 2 12 2 3" xfId="35802" xr:uid="{00000000-0005-0000-0000-00003B870000}"/>
    <cellStyle name="Total 2 2 2 12 2 4" xfId="15510" xr:uid="{00000000-0005-0000-0000-00003C870000}"/>
    <cellStyle name="Total 2 2 2 12 3" xfId="8656" xr:uid="{00000000-0005-0000-0000-00003D870000}"/>
    <cellStyle name="Total 2 2 2 12 3 2" xfId="27628" xr:uid="{00000000-0005-0000-0000-00003E870000}"/>
    <cellStyle name="Total 2 2 2 12 3 3" xfId="38473" xr:uid="{00000000-0005-0000-0000-00003F870000}"/>
    <cellStyle name="Total 2 2 2 12 3 4" xfId="17423" xr:uid="{00000000-0005-0000-0000-000040870000}"/>
    <cellStyle name="Total 2 2 2 12 4" xfId="11315" xr:uid="{00000000-0005-0000-0000-000041870000}"/>
    <cellStyle name="Total 2 2 2 12 4 2" xfId="30287" xr:uid="{00000000-0005-0000-0000-000042870000}"/>
    <cellStyle name="Total 2 2 2 12 4 3" xfId="41132" xr:uid="{00000000-0005-0000-0000-000043870000}"/>
    <cellStyle name="Total 2 2 2 12 4 4" xfId="19327" xr:uid="{00000000-0005-0000-0000-000044870000}"/>
    <cellStyle name="Total 2 2 2 12 5" xfId="22111" xr:uid="{00000000-0005-0000-0000-000045870000}"/>
    <cellStyle name="Total 2 2 2 12 6" xfId="32956" xr:uid="{00000000-0005-0000-0000-000046870000}"/>
    <cellStyle name="Total 2 2 2 12 7" xfId="13473" xr:uid="{00000000-0005-0000-0000-000047870000}"/>
    <cellStyle name="Total 2 2 2 13" xfId="3191" xr:uid="{00000000-0005-0000-0000-000048870000}"/>
    <cellStyle name="Total 2 2 2 13 2" xfId="6042" xr:uid="{00000000-0005-0000-0000-000049870000}"/>
    <cellStyle name="Total 2 2 2 13 2 2" xfId="25014" xr:uid="{00000000-0005-0000-0000-00004A870000}"/>
    <cellStyle name="Total 2 2 2 13 2 3" xfId="35859" xr:uid="{00000000-0005-0000-0000-00004B870000}"/>
    <cellStyle name="Total 2 2 2 13 2 4" xfId="15547" xr:uid="{00000000-0005-0000-0000-00004C870000}"/>
    <cellStyle name="Total 2 2 2 13 3" xfId="8713" xr:uid="{00000000-0005-0000-0000-00004D870000}"/>
    <cellStyle name="Total 2 2 2 13 3 2" xfId="27685" xr:uid="{00000000-0005-0000-0000-00004E870000}"/>
    <cellStyle name="Total 2 2 2 13 3 3" xfId="38530" xr:uid="{00000000-0005-0000-0000-00004F870000}"/>
    <cellStyle name="Total 2 2 2 13 3 4" xfId="17460" xr:uid="{00000000-0005-0000-0000-000050870000}"/>
    <cellStyle name="Total 2 2 2 13 4" xfId="11372" xr:uid="{00000000-0005-0000-0000-000051870000}"/>
    <cellStyle name="Total 2 2 2 13 4 2" xfId="30344" xr:uid="{00000000-0005-0000-0000-000052870000}"/>
    <cellStyle name="Total 2 2 2 13 4 3" xfId="41189" xr:uid="{00000000-0005-0000-0000-000053870000}"/>
    <cellStyle name="Total 2 2 2 13 4 4" xfId="19364" xr:uid="{00000000-0005-0000-0000-000054870000}"/>
    <cellStyle name="Total 2 2 2 13 5" xfId="22168" xr:uid="{00000000-0005-0000-0000-000055870000}"/>
    <cellStyle name="Total 2 2 2 13 6" xfId="33013" xr:uid="{00000000-0005-0000-0000-000056870000}"/>
    <cellStyle name="Total 2 2 2 13 7" xfId="13510" xr:uid="{00000000-0005-0000-0000-000057870000}"/>
    <cellStyle name="Total 2 2 2 14" xfId="3358" xr:uid="{00000000-0005-0000-0000-000058870000}"/>
    <cellStyle name="Total 2 2 2 14 2" xfId="22332" xr:uid="{00000000-0005-0000-0000-000059870000}"/>
    <cellStyle name="Total 2 2 2 14 3" xfId="33177" xr:uid="{00000000-0005-0000-0000-00005A870000}"/>
    <cellStyle name="Total 2 2 2 14 4" xfId="13627" xr:uid="{00000000-0005-0000-0000-00005B870000}"/>
    <cellStyle name="Total 2 2 2 15" xfId="3310" xr:uid="{00000000-0005-0000-0000-00005C870000}"/>
    <cellStyle name="Total 2 2 2 15 2" xfId="22284" xr:uid="{00000000-0005-0000-0000-00005D870000}"/>
    <cellStyle name="Total 2 2 2 15 3" xfId="33129" xr:uid="{00000000-0005-0000-0000-00005E870000}"/>
    <cellStyle name="Total 2 2 2 15 4" xfId="13594" xr:uid="{00000000-0005-0000-0000-00005F870000}"/>
    <cellStyle name="Total 2 2 2 16" xfId="3250" xr:uid="{00000000-0005-0000-0000-000060870000}"/>
    <cellStyle name="Total 2 2 2 16 2" xfId="22226" xr:uid="{00000000-0005-0000-0000-000061870000}"/>
    <cellStyle name="Total 2 2 2 16 3" xfId="33071" xr:uid="{00000000-0005-0000-0000-000062870000}"/>
    <cellStyle name="Total 2 2 2 16 4" xfId="13552" xr:uid="{00000000-0005-0000-0000-000063870000}"/>
    <cellStyle name="Total 2 2 2 17" xfId="19488" xr:uid="{00000000-0005-0000-0000-000064870000}"/>
    <cellStyle name="Total 2 2 2 18" xfId="19391" xr:uid="{00000000-0005-0000-0000-000065870000}"/>
    <cellStyle name="Total 2 2 2 19" xfId="11537" xr:uid="{00000000-0005-0000-0000-000066870000}"/>
    <cellStyle name="Total 2 2 2 2" xfId="699" xr:uid="{00000000-0005-0000-0000-000067870000}"/>
    <cellStyle name="Total 2 2 2 2 10" xfId="19684" xr:uid="{00000000-0005-0000-0000-000068870000}"/>
    <cellStyle name="Total 2 2 2 2 11" xfId="30529" xr:uid="{00000000-0005-0000-0000-000069870000}"/>
    <cellStyle name="Total 2 2 2 2 12" xfId="11741" xr:uid="{00000000-0005-0000-0000-00006A870000}"/>
    <cellStyle name="Total 2 2 2 2 2" xfId="1286" xr:uid="{00000000-0005-0000-0000-00006B870000}"/>
    <cellStyle name="Total 2 2 2 2 2 2" xfId="4139" xr:uid="{00000000-0005-0000-0000-00006C870000}"/>
    <cellStyle name="Total 2 2 2 2 2 2 2" xfId="23111" xr:uid="{00000000-0005-0000-0000-00006D870000}"/>
    <cellStyle name="Total 2 2 2 2 2 2 3" xfId="33956" xr:uid="{00000000-0005-0000-0000-00006E870000}"/>
    <cellStyle name="Total 2 2 2 2 2 2 4" xfId="14202" xr:uid="{00000000-0005-0000-0000-00006F870000}"/>
    <cellStyle name="Total 2 2 2 2 2 3" xfId="6812" xr:uid="{00000000-0005-0000-0000-000070870000}"/>
    <cellStyle name="Total 2 2 2 2 2 3 2" xfId="25784" xr:uid="{00000000-0005-0000-0000-000071870000}"/>
    <cellStyle name="Total 2 2 2 2 2 3 3" xfId="36629" xr:uid="{00000000-0005-0000-0000-000072870000}"/>
    <cellStyle name="Total 2 2 2 2 2 3 4" xfId="16117" xr:uid="{00000000-0005-0000-0000-000073870000}"/>
    <cellStyle name="Total 2 2 2 2 2 4" xfId="9471" xr:uid="{00000000-0005-0000-0000-000074870000}"/>
    <cellStyle name="Total 2 2 2 2 2 4 2" xfId="28443" xr:uid="{00000000-0005-0000-0000-000075870000}"/>
    <cellStyle name="Total 2 2 2 2 2 4 3" xfId="39288" xr:uid="{00000000-0005-0000-0000-000076870000}"/>
    <cellStyle name="Total 2 2 2 2 2 4 4" xfId="18021" xr:uid="{00000000-0005-0000-0000-000077870000}"/>
    <cellStyle name="Total 2 2 2 2 2 5" xfId="20267" xr:uid="{00000000-0005-0000-0000-000078870000}"/>
    <cellStyle name="Total 2 2 2 2 2 6" xfId="31112" xr:uid="{00000000-0005-0000-0000-000079870000}"/>
    <cellStyle name="Total 2 2 2 2 2 7" xfId="12167" xr:uid="{00000000-0005-0000-0000-00007A870000}"/>
    <cellStyle name="Total 2 2 2 2 3" xfId="1685" xr:uid="{00000000-0005-0000-0000-00007B870000}"/>
    <cellStyle name="Total 2 2 2 2 3 2" xfId="4538" xr:uid="{00000000-0005-0000-0000-00007C870000}"/>
    <cellStyle name="Total 2 2 2 2 3 2 2" xfId="23510" xr:uid="{00000000-0005-0000-0000-00007D870000}"/>
    <cellStyle name="Total 2 2 2 2 3 2 3" xfId="34355" xr:uid="{00000000-0005-0000-0000-00007E870000}"/>
    <cellStyle name="Total 2 2 2 2 3 2 4" xfId="14489" xr:uid="{00000000-0005-0000-0000-00007F870000}"/>
    <cellStyle name="Total 2 2 2 2 3 3" xfId="7210" xr:uid="{00000000-0005-0000-0000-000080870000}"/>
    <cellStyle name="Total 2 2 2 2 3 3 2" xfId="26182" xr:uid="{00000000-0005-0000-0000-000081870000}"/>
    <cellStyle name="Total 2 2 2 2 3 3 3" xfId="37027" xr:uid="{00000000-0005-0000-0000-000082870000}"/>
    <cellStyle name="Total 2 2 2 2 3 3 4" xfId="16403" xr:uid="{00000000-0005-0000-0000-000083870000}"/>
    <cellStyle name="Total 2 2 2 2 3 4" xfId="9869" xr:uid="{00000000-0005-0000-0000-000084870000}"/>
    <cellStyle name="Total 2 2 2 2 3 4 2" xfId="28841" xr:uid="{00000000-0005-0000-0000-000085870000}"/>
    <cellStyle name="Total 2 2 2 2 3 4 3" xfId="39686" xr:uid="{00000000-0005-0000-0000-000086870000}"/>
    <cellStyle name="Total 2 2 2 2 3 4 4" xfId="18307" xr:uid="{00000000-0005-0000-0000-000087870000}"/>
    <cellStyle name="Total 2 2 2 2 3 5" xfId="20665" xr:uid="{00000000-0005-0000-0000-000088870000}"/>
    <cellStyle name="Total 2 2 2 2 3 6" xfId="31510" xr:uid="{00000000-0005-0000-0000-000089870000}"/>
    <cellStyle name="Total 2 2 2 2 3 7" xfId="12453" xr:uid="{00000000-0005-0000-0000-00008A870000}"/>
    <cellStyle name="Total 2 2 2 2 4" xfId="2089" xr:uid="{00000000-0005-0000-0000-00008B870000}"/>
    <cellStyle name="Total 2 2 2 2 4 2" xfId="4942" xr:uid="{00000000-0005-0000-0000-00008C870000}"/>
    <cellStyle name="Total 2 2 2 2 4 2 2" xfId="23914" xr:uid="{00000000-0005-0000-0000-00008D870000}"/>
    <cellStyle name="Total 2 2 2 2 4 2 3" xfId="34759" xr:uid="{00000000-0005-0000-0000-00008E870000}"/>
    <cellStyle name="Total 2 2 2 2 4 2 4" xfId="14776" xr:uid="{00000000-0005-0000-0000-00008F870000}"/>
    <cellStyle name="Total 2 2 2 2 4 3" xfId="7613" xr:uid="{00000000-0005-0000-0000-000090870000}"/>
    <cellStyle name="Total 2 2 2 2 4 3 2" xfId="26585" xr:uid="{00000000-0005-0000-0000-000091870000}"/>
    <cellStyle name="Total 2 2 2 2 4 3 3" xfId="37430" xr:uid="{00000000-0005-0000-0000-000092870000}"/>
    <cellStyle name="Total 2 2 2 2 4 3 4" xfId="16689" xr:uid="{00000000-0005-0000-0000-000093870000}"/>
    <cellStyle name="Total 2 2 2 2 4 4" xfId="10272" xr:uid="{00000000-0005-0000-0000-000094870000}"/>
    <cellStyle name="Total 2 2 2 2 4 4 2" xfId="29244" xr:uid="{00000000-0005-0000-0000-000095870000}"/>
    <cellStyle name="Total 2 2 2 2 4 4 3" xfId="40089" xr:uid="{00000000-0005-0000-0000-000096870000}"/>
    <cellStyle name="Total 2 2 2 2 4 4 4" xfId="18593" xr:uid="{00000000-0005-0000-0000-000097870000}"/>
    <cellStyle name="Total 2 2 2 2 4 5" xfId="21068" xr:uid="{00000000-0005-0000-0000-000098870000}"/>
    <cellStyle name="Total 2 2 2 2 4 6" xfId="31913" xr:uid="{00000000-0005-0000-0000-000099870000}"/>
    <cellStyle name="Total 2 2 2 2 4 7" xfId="12739" xr:uid="{00000000-0005-0000-0000-00009A870000}"/>
    <cellStyle name="Total 2 2 2 2 5" xfId="2479" xr:uid="{00000000-0005-0000-0000-00009B870000}"/>
    <cellStyle name="Total 2 2 2 2 5 2" xfId="5331" xr:uid="{00000000-0005-0000-0000-00009C870000}"/>
    <cellStyle name="Total 2 2 2 2 5 2 2" xfId="24303" xr:uid="{00000000-0005-0000-0000-00009D870000}"/>
    <cellStyle name="Total 2 2 2 2 5 2 3" xfId="35148" xr:uid="{00000000-0005-0000-0000-00009E870000}"/>
    <cellStyle name="Total 2 2 2 2 5 2 4" xfId="15055" xr:uid="{00000000-0005-0000-0000-00009F870000}"/>
    <cellStyle name="Total 2 2 2 2 5 3" xfId="8002" xr:uid="{00000000-0005-0000-0000-0000A0870000}"/>
    <cellStyle name="Total 2 2 2 2 5 3 2" xfId="26974" xr:uid="{00000000-0005-0000-0000-0000A1870000}"/>
    <cellStyle name="Total 2 2 2 2 5 3 3" xfId="37819" xr:uid="{00000000-0005-0000-0000-0000A2870000}"/>
    <cellStyle name="Total 2 2 2 2 5 3 4" xfId="16968" xr:uid="{00000000-0005-0000-0000-0000A3870000}"/>
    <cellStyle name="Total 2 2 2 2 5 4" xfId="10661" xr:uid="{00000000-0005-0000-0000-0000A4870000}"/>
    <cellStyle name="Total 2 2 2 2 5 4 2" xfId="29633" xr:uid="{00000000-0005-0000-0000-0000A5870000}"/>
    <cellStyle name="Total 2 2 2 2 5 4 3" xfId="40478" xr:uid="{00000000-0005-0000-0000-0000A6870000}"/>
    <cellStyle name="Total 2 2 2 2 5 4 4" xfId="18872" xr:uid="{00000000-0005-0000-0000-0000A7870000}"/>
    <cellStyle name="Total 2 2 2 2 5 5" xfId="21457" xr:uid="{00000000-0005-0000-0000-0000A8870000}"/>
    <cellStyle name="Total 2 2 2 2 5 6" xfId="32302" xr:uid="{00000000-0005-0000-0000-0000A9870000}"/>
    <cellStyle name="Total 2 2 2 2 5 7" xfId="13018" xr:uid="{00000000-0005-0000-0000-0000AA870000}"/>
    <cellStyle name="Total 2 2 2 2 6" xfId="2865" xr:uid="{00000000-0005-0000-0000-0000AB870000}"/>
    <cellStyle name="Total 2 2 2 2 6 2" xfId="5716" xr:uid="{00000000-0005-0000-0000-0000AC870000}"/>
    <cellStyle name="Total 2 2 2 2 6 2 2" xfId="24688" xr:uid="{00000000-0005-0000-0000-0000AD870000}"/>
    <cellStyle name="Total 2 2 2 2 6 2 3" xfId="35533" xr:uid="{00000000-0005-0000-0000-0000AE870000}"/>
    <cellStyle name="Total 2 2 2 2 6 2 4" xfId="15331" xr:uid="{00000000-0005-0000-0000-0000AF870000}"/>
    <cellStyle name="Total 2 2 2 2 6 3" xfId="8387" xr:uid="{00000000-0005-0000-0000-0000B0870000}"/>
    <cellStyle name="Total 2 2 2 2 6 3 2" xfId="27359" xr:uid="{00000000-0005-0000-0000-0000B1870000}"/>
    <cellStyle name="Total 2 2 2 2 6 3 3" xfId="38204" xr:uid="{00000000-0005-0000-0000-0000B2870000}"/>
    <cellStyle name="Total 2 2 2 2 6 3 4" xfId="17244" xr:uid="{00000000-0005-0000-0000-0000B3870000}"/>
    <cellStyle name="Total 2 2 2 2 6 4" xfId="11046" xr:uid="{00000000-0005-0000-0000-0000B4870000}"/>
    <cellStyle name="Total 2 2 2 2 6 4 2" xfId="30018" xr:uid="{00000000-0005-0000-0000-0000B5870000}"/>
    <cellStyle name="Total 2 2 2 2 6 4 3" xfId="40863" xr:uid="{00000000-0005-0000-0000-0000B6870000}"/>
    <cellStyle name="Total 2 2 2 2 6 4 4" xfId="19148" xr:uid="{00000000-0005-0000-0000-0000B7870000}"/>
    <cellStyle name="Total 2 2 2 2 6 5" xfId="21842" xr:uid="{00000000-0005-0000-0000-0000B8870000}"/>
    <cellStyle name="Total 2 2 2 2 6 6" xfId="32687" xr:uid="{00000000-0005-0000-0000-0000B9870000}"/>
    <cellStyle name="Total 2 2 2 2 6 7" xfId="13294" xr:uid="{00000000-0005-0000-0000-0000BA870000}"/>
    <cellStyle name="Total 2 2 2 2 7" xfId="3554" xr:uid="{00000000-0005-0000-0000-0000BB870000}"/>
    <cellStyle name="Total 2 2 2 2 7 2" xfId="22526" xr:uid="{00000000-0005-0000-0000-0000BC870000}"/>
    <cellStyle name="Total 2 2 2 2 7 3" xfId="33371" xr:uid="{00000000-0005-0000-0000-0000BD870000}"/>
    <cellStyle name="Total 2 2 2 2 7 4" xfId="13775" xr:uid="{00000000-0005-0000-0000-0000BE870000}"/>
    <cellStyle name="Total 2 2 2 2 8" xfId="6229" xr:uid="{00000000-0005-0000-0000-0000BF870000}"/>
    <cellStyle name="Total 2 2 2 2 8 2" xfId="25201" xr:uid="{00000000-0005-0000-0000-0000C0870000}"/>
    <cellStyle name="Total 2 2 2 2 8 3" xfId="36046" xr:uid="{00000000-0005-0000-0000-0000C1870000}"/>
    <cellStyle name="Total 2 2 2 2 8 4" xfId="15691" xr:uid="{00000000-0005-0000-0000-0000C2870000}"/>
    <cellStyle name="Total 2 2 2 2 9" xfId="8888" xr:uid="{00000000-0005-0000-0000-0000C3870000}"/>
    <cellStyle name="Total 2 2 2 2 9 2" xfId="27860" xr:uid="{00000000-0005-0000-0000-0000C4870000}"/>
    <cellStyle name="Total 2 2 2 2 9 3" xfId="38705" xr:uid="{00000000-0005-0000-0000-0000C5870000}"/>
    <cellStyle name="Total 2 2 2 2 9 4" xfId="17595" xr:uid="{00000000-0005-0000-0000-0000C6870000}"/>
    <cellStyle name="Total 2 2 2 3" xfId="759" xr:uid="{00000000-0005-0000-0000-0000C7870000}"/>
    <cellStyle name="Total 2 2 2 3 10" xfId="19744" xr:uid="{00000000-0005-0000-0000-0000C8870000}"/>
    <cellStyle name="Total 2 2 2 3 11" xfId="30589" xr:uid="{00000000-0005-0000-0000-0000C9870000}"/>
    <cellStyle name="Total 2 2 2 3 12" xfId="11781" xr:uid="{00000000-0005-0000-0000-0000CA870000}"/>
    <cellStyle name="Total 2 2 2 3 2" xfId="1346" xr:uid="{00000000-0005-0000-0000-0000CB870000}"/>
    <cellStyle name="Total 2 2 2 3 2 2" xfId="4199" xr:uid="{00000000-0005-0000-0000-0000CC870000}"/>
    <cellStyle name="Total 2 2 2 3 2 2 2" xfId="23171" xr:uid="{00000000-0005-0000-0000-0000CD870000}"/>
    <cellStyle name="Total 2 2 2 3 2 2 3" xfId="34016" xr:uid="{00000000-0005-0000-0000-0000CE870000}"/>
    <cellStyle name="Total 2 2 2 3 2 2 4" xfId="14242" xr:uid="{00000000-0005-0000-0000-0000CF870000}"/>
    <cellStyle name="Total 2 2 2 3 2 3" xfId="6872" xr:uid="{00000000-0005-0000-0000-0000D0870000}"/>
    <cellStyle name="Total 2 2 2 3 2 3 2" xfId="25844" xr:uid="{00000000-0005-0000-0000-0000D1870000}"/>
    <cellStyle name="Total 2 2 2 3 2 3 3" xfId="36689" xr:uid="{00000000-0005-0000-0000-0000D2870000}"/>
    <cellStyle name="Total 2 2 2 3 2 3 4" xfId="16157" xr:uid="{00000000-0005-0000-0000-0000D3870000}"/>
    <cellStyle name="Total 2 2 2 3 2 4" xfId="9531" xr:uid="{00000000-0005-0000-0000-0000D4870000}"/>
    <cellStyle name="Total 2 2 2 3 2 4 2" xfId="28503" xr:uid="{00000000-0005-0000-0000-0000D5870000}"/>
    <cellStyle name="Total 2 2 2 3 2 4 3" xfId="39348" xr:uid="{00000000-0005-0000-0000-0000D6870000}"/>
    <cellStyle name="Total 2 2 2 3 2 4 4" xfId="18061" xr:uid="{00000000-0005-0000-0000-0000D7870000}"/>
    <cellStyle name="Total 2 2 2 3 2 5" xfId="20327" xr:uid="{00000000-0005-0000-0000-0000D8870000}"/>
    <cellStyle name="Total 2 2 2 3 2 6" xfId="31172" xr:uid="{00000000-0005-0000-0000-0000D9870000}"/>
    <cellStyle name="Total 2 2 2 3 2 7" xfId="12207" xr:uid="{00000000-0005-0000-0000-0000DA870000}"/>
    <cellStyle name="Total 2 2 2 3 3" xfId="1745" xr:uid="{00000000-0005-0000-0000-0000DB870000}"/>
    <cellStyle name="Total 2 2 2 3 3 2" xfId="4598" xr:uid="{00000000-0005-0000-0000-0000DC870000}"/>
    <cellStyle name="Total 2 2 2 3 3 2 2" xfId="23570" xr:uid="{00000000-0005-0000-0000-0000DD870000}"/>
    <cellStyle name="Total 2 2 2 3 3 2 3" xfId="34415" xr:uid="{00000000-0005-0000-0000-0000DE870000}"/>
    <cellStyle name="Total 2 2 2 3 3 2 4" xfId="14529" xr:uid="{00000000-0005-0000-0000-0000DF870000}"/>
    <cellStyle name="Total 2 2 2 3 3 3" xfId="7270" xr:uid="{00000000-0005-0000-0000-0000E0870000}"/>
    <cellStyle name="Total 2 2 2 3 3 3 2" xfId="26242" xr:uid="{00000000-0005-0000-0000-0000E1870000}"/>
    <cellStyle name="Total 2 2 2 3 3 3 3" xfId="37087" xr:uid="{00000000-0005-0000-0000-0000E2870000}"/>
    <cellStyle name="Total 2 2 2 3 3 3 4" xfId="16443" xr:uid="{00000000-0005-0000-0000-0000E3870000}"/>
    <cellStyle name="Total 2 2 2 3 3 4" xfId="9929" xr:uid="{00000000-0005-0000-0000-0000E4870000}"/>
    <cellStyle name="Total 2 2 2 3 3 4 2" xfId="28901" xr:uid="{00000000-0005-0000-0000-0000E5870000}"/>
    <cellStyle name="Total 2 2 2 3 3 4 3" xfId="39746" xr:uid="{00000000-0005-0000-0000-0000E6870000}"/>
    <cellStyle name="Total 2 2 2 3 3 4 4" xfId="18347" xr:uid="{00000000-0005-0000-0000-0000E7870000}"/>
    <cellStyle name="Total 2 2 2 3 3 5" xfId="20725" xr:uid="{00000000-0005-0000-0000-0000E8870000}"/>
    <cellStyle name="Total 2 2 2 3 3 6" xfId="31570" xr:uid="{00000000-0005-0000-0000-0000E9870000}"/>
    <cellStyle name="Total 2 2 2 3 3 7" xfId="12493" xr:uid="{00000000-0005-0000-0000-0000EA870000}"/>
    <cellStyle name="Total 2 2 2 3 4" xfId="2149" xr:uid="{00000000-0005-0000-0000-0000EB870000}"/>
    <cellStyle name="Total 2 2 2 3 4 2" xfId="5002" xr:uid="{00000000-0005-0000-0000-0000EC870000}"/>
    <cellStyle name="Total 2 2 2 3 4 2 2" xfId="23974" xr:uid="{00000000-0005-0000-0000-0000ED870000}"/>
    <cellStyle name="Total 2 2 2 3 4 2 3" xfId="34819" xr:uid="{00000000-0005-0000-0000-0000EE870000}"/>
    <cellStyle name="Total 2 2 2 3 4 2 4" xfId="14816" xr:uid="{00000000-0005-0000-0000-0000EF870000}"/>
    <cellStyle name="Total 2 2 2 3 4 3" xfId="7673" xr:uid="{00000000-0005-0000-0000-0000F0870000}"/>
    <cellStyle name="Total 2 2 2 3 4 3 2" xfId="26645" xr:uid="{00000000-0005-0000-0000-0000F1870000}"/>
    <cellStyle name="Total 2 2 2 3 4 3 3" xfId="37490" xr:uid="{00000000-0005-0000-0000-0000F2870000}"/>
    <cellStyle name="Total 2 2 2 3 4 3 4" xfId="16729" xr:uid="{00000000-0005-0000-0000-0000F3870000}"/>
    <cellStyle name="Total 2 2 2 3 4 4" xfId="10332" xr:uid="{00000000-0005-0000-0000-0000F4870000}"/>
    <cellStyle name="Total 2 2 2 3 4 4 2" xfId="29304" xr:uid="{00000000-0005-0000-0000-0000F5870000}"/>
    <cellStyle name="Total 2 2 2 3 4 4 3" xfId="40149" xr:uid="{00000000-0005-0000-0000-0000F6870000}"/>
    <cellStyle name="Total 2 2 2 3 4 4 4" xfId="18633" xr:uid="{00000000-0005-0000-0000-0000F7870000}"/>
    <cellStyle name="Total 2 2 2 3 4 5" xfId="21128" xr:uid="{00000000-0005-0000-0000-0000F8870000}"/>
    <cellStyle name="Total 2 2 2 3 4 6" xfId="31973" xr:uid="{00000000-0005-0000-0000-0000F9870000}"/>
    <cellStyle name="Total 2 2 2 3 4 7" xfId="12779" xr:uid="{00000000-0005-0000-0000-0000FA870000}"/>
    <cellStyle name="Total 2 2 2 3 5" xfId="2539" xr:uid="{00000000-0005-0000-0000-0000FB870000}"/>
    <cellStyle name="Total 2 2 2 3 5 2" xfId="5391" xr:uid="{00000000-0005-0000-0000-0000FC870000}"/>
    <cellStyle name="Total 2 2 2 3 5 2 2" xfId="24363" xr:uid="{00000000-0005-0000-0000-0000FD870000}"/>
    <cellStyle name="Total 2 2 2 3 5 2 3" xfId="35208" xr:uid="{00000000-0005-0000-0000-0000FE870000}"/>
    <cellStyle name="Total 2 2 2 3 5 2 4" xfId="15095" xr:uid="{00000000-0005-0000-0000-0000FF870000}"/>
    <cellStyle name="Total 2 2 2 3 5 3" xfId="8062" xr:uid="{00000000-0005-0000-0000-000000880000}"/>
    <cellStyle name="Total 2 2 2 3 5 3 2" xfId="27034" xr:uid="{00000000-0005-0000-0000-000001880000}"/>
    <cellStyle name="Total 2 2 2 3 5 3 3" xfId="37879" xr:uid="{00000000-0005-0000-0000-000002880000}"/>
    <cellStyle name="Total 2 2 2 3 5 3 4" xfId="17008" xr:uid="{00000000-0005-0000-0000-000003880000}"/>
    <cellStyle name="Total 2 2 2 3 5 4" xfId="10721" xr:uid="{00000000-0005-0000-0000-000004880000}"/>
    <cellStyle name="Total 2 2 2 3 5 4 2" xfId="29693" xr:uid="{00000000-0005-0000-0000-000005880000}"/>
    <cellStyle name="Total 2 2 2 3 5 4 3" xfId="40538" xr:uid="{00000000-0005-0000-0000-000006880000}"/>
    <cellStyle name="Total 2 2 2 3 5 4 4" xfId="18912" xr:uid="{00000000-0005-0000-0000-000007880000}"/>
    <cellStyle name="Total 2 2 2 3 5 5" xfId="21517" xr:uid="{00000000-0005-0000-0000-000008880000}"/>
    <cellStyle name="Total 2 2 2 3 5 6" xfId="32362" xr:uid="{00000000-0005-0000-0000-000009880000}"/>
    <cellStyle name="Total 2 2 2 3 5 7" xfId="13058" xr:uid="{00000000-0005-0000-0000-00000A880000}"/>
    <cellStyle name="Total 2 2 2 3 6" xfId="2925" xr:uid="{00000000-0005-0000-0000-00000B880000}"/>
    <cellStyle name="Total 2 2 2 3 6 2" xfId="5776" xr:uid="{00000000-0005-0000-0000-00000C880000}"/>
    <cellStyle name="Total 2 2 2 3 6 2 2" xfId="24748" xr:uid="{00000000-0005-0000-0000-00000D880000}"/>
    <cellStyle name="Total 2 2 2 3 6 2 3" xfId="35593" xr:uid="{00000000-0005-0000-0000-00000E880000}"/>
    <cellStyle name="Total 2 2 2 3 6 2 4" xfId="15371" xr:uid="{00000000-0005-0000-0000-00000F880000}"/>
    <cellStyle name="Total 2 2 2 3 6 3" xfId="8447" xr:uid="{00000000-0005-0000-0000-000010880000}"/>
    <cellStyle name="Total 2 2 2 3 6 3 2" xfId="27419" xr:uid="{00000000-0005-0000-0000-000011880000}"/>
    <cellStyle name="Total 2 2 2 3 6 3 3" xfId="38264" xr:uid="{00000000-0005-0000-0000-000012880000}"/>
    <cellStyle name="Total 2 2 2 3 6 3 4" xfId="17284" xr:uid="{00000000-0005-0000-0000-000013880000}"/>
    <cellStyle name="Total 2 2 2 3 6 4" xfId="11106" xr:uid="{00000000-0005-0000-0000-000014880000}"/>
    <cellStyle name="Total 2 2 2 3 6 4 2" xfId="30078" xr:uid="{00000000-0005-0000-0000-000015880000}"/>
    <cellStyle name="Total 2 2 2 3 6 4 3" xfId="40923" xr:uid="{00000000-0005-0000-0000-000016880000}"/>
    <cellStyle name="Total 2 2 2 3 6 4 4" xfId="19188" xr:uid="{00000000-0005-0000-0000-000017880000}"/>
    <cellStyle name="Total 2 2 2 3 6 5" xfId="21902" xr:uid="{00000000-0005-0000-0000-000018880000}"/>
    <cellStyle name="Total 2 2 2 3 6 6" xfId="32747" xr:uid="{00000000-0005-0000-0000-000019880000}"/>
    <cellStyle name="Total 2 2 2 3 6 7" xfId="13334" xr:uid="{00000000-0005-0000-0000-00001A880000}"/>
    <cellStyle name="Total 2 2 2 3 7" xfId="3614" xr:uid="{00000000-0005-0000-0000-00001B880000}"/>
    <cellStyle name="Total 2 2 2 3 7 2" xfId="22586" xr:uid="{00000000-0005-0000-0000-00001C880000}"/>
    <cellStyle name="Total 2 2 2 3 7 3" xfId="33431" xr:uid="{00000000-0005-0000-0000-00001D880000}"/>
    <cellStyle name="Total 2 2 2 3 7 4" xfId="13815" xr:uid="{00000000-0005-0000-0000-00001E880000}"/>
    <cellStyle name="Total 2 2 2 3 8" xfId="6289" xr:uid="{00000000-0005-0000-0000-00001F880000}"/>
    <cellStyle name="Total 2 2 2 3 8 2" xfId="25261" xr:uid="{00000000-0005-0000-0000-000020880000}"/>
    <cellStyle name="Total 2 2 2 3 8 3" xfId="36106" xr:uid="{00000000-0005-0000-0000-000021880000}"/>
    <cellStyle name="Total 2 2 2 3 8 4" xfId="15731" xr:uid="{00000000-0005-0000-0000-000022880000}"/>
    <cellStyle name="Total 2 2 2 3 9" xfId="8948" xr:uid="{00000000-0005-0000-0000-000023880000}"/>
    <cellStyle name="Total 2 2 2 3 9 2" xfId="27920" xr:uid="{00000000-0005-0000-0000-000024880000}"/>
    <cellStyle name="Total 2 2 2 3 9 3" xfId="38765" xr:uid="{00000000-0005-0000-0000-000025880000}"/>
    <cellStyle name="Total 2 2 2 3 9 4" xfId="17635" xr:uid="{00000000-0005-0000-0000-000026880000}"/>
    <cellStyle name="Total 2 2 2 4" xfId="819" xr:uid="{00000000-0005-0000-0000-000027880000}"/>
    <cellStyle name="Total 2 2 2 4 10" xfId="19804" xr:uid="{00000000-0005-0000-0000-000028880000}"/>
    <cellStyle name="Total 2 2 2 4 11" xfId="30649" xr:uid="{00000000-0005-0000-0000-000029880000}"/>
    <cellStyle name="Total 2 2 2 4 12" xfId="11821" xr:uid="{00000000-0005-0000-0000-00002A880000}"/>
    <cellStyle name="Total 2 2 2 4 2" xfId="1406" xr:uid="{00000000-0005-0000-0000-00002B880000}"/>
    <cellStyle name="Total 2 2 2 4 2 2" xfId="4259" xr:uid="{00000000-0005-0000-0000-00002C880000}"/>
    <cellStyle name="Total 2 2 2 4 2 2 2" xfId="23231" xr:uid="{00000000-0005-0000-0000-00002D880000}"/>
    <cellStyle name="Total 2 2 2 4 2 2 3" xfId="34076" xr:uid="{00000000-0005-0000-0000-00002E880000}"/>
    <cellStyle name="Total 2 2 2 4 2 2 4" xfId="14282" xr:uid="{00000000-0005-0000-0000-00002F880000}"/>
    <cellStyle name="Total 2 2 2 4 2 3" xfId="6932" xr:uid="{00000000-0005-0000-0000-000030880000}"/>
    <cellStyle name="Total 2 2 2 4 2 3 2" xfId="25904" xr:uid="{00000000-0005-0000-0000-000031880000}"/>
    <cellStyle name="Total 2 2 2 4 2 3 3" xfId="36749" xr:uid="{00000000-0005-0000-0000-000032880000}"/>
    <cellStyle name="Total 2 2 2 4 2 3 4" xfId="16197" xr:uid="{00000000-0005-0000-0000-000033880000}"/>
    <cellStyle name="Total 2 2 2 4 2 4" xfId="9591" xr:uid="{00000000-0005-0000-0000-000034880000}"/>
    <cellStyle name="Total 2 2 2 4 2 4 2" xfId="28563" xr:uid="{00000000-0005-0000-0000-000035880000}"/>
    <cellStyle name="Total 2 2 2 4 2 4 3" xfId="39408" xr:uid="{00000000-0005-0000-0000-000036880000}"/>
    <cellStyle name="Total 2 2 2 4 2 4 4" xfId="18101" xr:uid="{00000000-0005-0000-0000-000037880000}"/>
    <cellStyle name="Total 2 2 2 4 2 5" xfId="20387" xr:uid="{00000000-0005-0000-0000-000038880000}"/>
    <cellStyle name="Total 2 2 2 4 2 6" xfId="31232" xr:uid="{00000000-0005-0000-0000-000039880000}"/>
    <cellStyle name="Total 2 2 2 4 2 7" xfId="12247" xr:uid="{00000000-0005-0000-0000-00003A880000}"/>
    <cellStyle name="Total 2 2 2 4 3" xfId="1805" xr:uid="{00000000-0005-0000-0000-00003B880000}"/>
    <cellStyle name="Total 2 2 2 4 3 2" xfId="4658" xr:uid="{00000000-0005-0000-0000-00003C880000}"/>
    <cellStyle name="Total 2 2 2 4 3 2 2" xfId="23630" xr:uid="{00000000-0005-0000-0000-00003D880000}"/>
    <cellStyle name="Total 2 2 2 4 3 2 3" xfId="34475" xr:uid="{00000000-0005-0000-0000-00003E880000}"/>
    <cellStyle name="Total 2 2 2 4 3 2 4" xfId="14569" xr:uid="{00000000-0005-0000-0000-00003F880000}"/>
    <cellStyle name="Total 2 2 2 4 3 3" xfId="7330" xr:uid="{00000000-0005-0000-0000-000040880000}"/>
    <cellStyle name="Total 2 2 2 4 3 3 2" xfId="26302" xr:uid="{00000000-0005-0000-0000-000041880000}"/>
    <cellStyle name="Total 2 2 2 4 3 3 3" xfId="37147" xr:uid="{00000000-0005-0000-0000-000042880000}"/>
    <cellStyle name="Total 2 2 2 4 3 3 4" xfId="16483" xr:uid="{00000000-0005-0000-0000-000043880000}"/>
    <cellStyle name="Total 2 2 2 4 3 4" xfId="9989" xr:uid="{00000000-0005-0000-0000-000044880000}"/>
    <cellStyle name="Total 2 2 2 4 3 4 2" xfId="28961" xr:uid="{00000000-0005-0000-0000-000045880000}"/>
    <cellStyle name="Total 2 2 2 4 3 4 3" xfId="39806" xr:uid="{00000000-0005-0000-0000-000046880000}"/>
    <cellStyle name="Total 2 2 2 4 3 4 4" xfId="18387" xr:uid="{00000000-0005-0000-0000-000047880000}"/>
    <cellStyle name="Total 2 2 2 4 3 5" xfId="20785" xr:uid="{00000000-0005-0000-0000-000048880000}"/>
    <cellStyle name="Total 2 2 2 4 3 6" xfId="31630" xr:uid="{00000000-0005-0000-0000-000049880000}"/>
    <cellStyle name="Total 2 2 2 4 3 7" xfId="12533" xr:uid="{00000000-0005-0000-0000-00004A880000}"/>
    <cellStyle name="Total 2 2 2 4 4" xfId="2209" xr:uid="{00000000-0005-0000-0000-00004B880000}"/>
    <cellStyle name="Total 2 2 2 4 4 2" xfId="5062" xr:uid="{00000000-0005-0000-0000-00004C880000}"/>
    <cellStyle name="Total 2 2 2 4 4 2 2" xfId="24034" xr:uid="{00000000-0005-0000-0000-00004D880000}"/>
    <cellStyle name="Total 2 2 2 4 4 2 3" xfId="34879" xr:uid="{00000000-0005-0000-0000-00004E880000}"/>
    <cellStyle name="Total 2 2 2 4 4 2 4" xfId="14856" xr:uid="{00000000-0005-0000-0000-00004F880000}"/>
    <cellStyle name="Total 2 2 2 4 4 3" xfId="7733" xr:uid="{00000000-0005-0000-0000-000050880000}"/>
    <cellStyle name="Total 2 2 2 4 4 3 2" xfId="26705" xr:uid="{00000000-0005-0000-0000-000051880000}"/>
    <cellStyle name="Total 2 2 2 4 4 3 3" xfId="37550" xr:uid="{00000000-0005-0000-0000-000052880000}"/>
    <cellStyle name="Total 2 2 2 4 4 3 4" xfId="16769" xr:uid="{00000000-0005-0000-0000-000053880000}"/>
    <cellStyle name="Total 2 2 2 4 4 4" xfId="10392" xr:uid="{00000000-0005-0000-0000-000054880000}"/>
    <cellStyle name="Total 2 2 2 4 4 4 2" xfId="29364" xr:uid="{00000000-0005-0000-0000-000055880000}"/>
    <cellStyle name="Total 2 2 2 4 4 4 3" xfId="40209" xr:uid="{00000000-0005-0000-0000-000056880000}"/>
    <cellStyle name="Total 2 2 2 4 4 4 4" xfId="18673" xr:uid="{00000000-0005-0000-0000-000057880000}"/>
    <cellStyle name="Total 2 2 2 4 4 5" xfId="21188" xr:uid="{00000000-0005-0000-0000-000058880000}"/>
    <cellStyle name="Total 2 2 2 4 4 6" xfId="32033" xr:uid="{00000000-0005-0000-0000-000059880000}"/>
    <cellStyle name="Total 2 2 2 4 4 7" xfId="12819" xr:uid="{00000000-0005-0000-0000-00005A880000}"/>
    <cellStyle name="Total 2 2 2 4 5" xfId="2599" xr:uid="{00000000-0005-0000-0000-00005B880000}"/>
    <cellStyle name="Total 2 2 2 4 5 2" xfId="5451" xr:uid="{00000000-0005-0000-0000-00005C880000}"/>
    <cellStyle name="Total 2 2 2 4 5 2 2" xfId="24423" xr:uid="{00000000-0005-0000-0000-00005D880000}"/>
    <cellStyle name="Total 2 2 2 4 5 2 3" xfId="35268" xr:uid="{00000000-0005-0000-0000-00005E880000}"/>
    <cellStyle name="Total 2 2 2 4 5 2 4" xfId="15135" xr:uid="{00000000-0005-0000-0000-00005F880000}"/>
    <cellStyle name="Total 2 2 2 4 5 3" xfId="8122" xr:uid="{00000000-0005-0000-0000-000060880000}"/>
    <cellStyle name="Total 2 2 2 4 5 3 2" xfId="27094" xr:uid="{00000000-0005-0000-0000-000061880000}"/>
    <cellStyle name="Total 2 2 2 4 5 3 3" xfId="37939" xr:uid="{00000000-0005-0000-0000-000062880000}"/>
    <cellStyle name="Total 2 2 2 4 5 3 4" xfId="17048" xr:uid="{00000000-0005-0000-0000-000063880000}"/>
    <cellStyle name="Total 2 2 2 4 5 4" xfId="10781" xr:uid="{00000000-0005-0000-0000-000064880000}"/>
    <cellStyle name="Total 2 2 2 4 5 4 2" xfId="29753" xr:uid="{00000000-0005-0000-0000-000065880000}"/>
    <cellStyle name="Total 2 2 2 4 5 4 3" xfId="40598" xr:uid="{00000000-0005-0000-0000-000066880000}"/>
    <cellStyle name="Total 2 2 2 4 5 4 4" xfId="18952" xr:uid="{00000000-0005-0000-0000-000067880000}"/>
    <cellStyle name="Total 2 2 2 4 5 5" xfId="21577" xr:uid="{00000000-0005-0000-0000-000068880000}"/>
    <cellStyle name="Total 2 2 2 4 5 6" xfId="32422" xr:uid="{00000000-0005-0000-0000-000069880000}"/>
    <cellStyle name="Total 2 2 2 4 5 7" xfId="13098" xr:uid="{00000000-0005-0000-0000-00006A880000}"/>
    <cellStyle name="Total 2 2 2 4 6" xfId="2985" xr:uid="{00000000-0005-0000-0000-00006B880000}"/>
    <cellStyle name="Total 2 2 2 4 6 2" xfId="5836" xr:uid="{00000000-0005-0000-0000-00006C880000}"/>
    <cellStyle name="Total 2 2 2 4 6 2 2" xfId="24808" xr:uid="{00000000-0005-0000-0000-00006D880000}"/>
    <cellStyle name="Total 2 2 2 4 6 2 3" xfId="35653" xr:uid="{00000000-0005-0000-0000-00006E880000}"/>
    <cellStyle name="Total 2 2 2 4 6 2 4" xfId="15411" xr:uid="{00000000-0005-0000-0000-00006F880000}"/>
    <cellStyle name="Total 2 2 2 4 6 3" xfId="8507" xr:uid="{00000000-0005-0000-0000-000070880000}"/>
    <cellStyle name="Total 2 2 2 4 6 3 2" xfId="27479" xr:uid="{00000000-0005-0000-0000-000071880000}"/>
    <cellStyle name="Total 2 2 2 4 6 3 3" xfId="38324" xr:uid="{00000000-0005-0000-0000-000072880000}"/>
    <cellStyle name="Total 2 2 2 4 6 3 4" xfId="17324" xr:uid="{00000000-0005-0000-0000-000073880000}"/>
    <cellStyle name="Total 2 2 2 4 6 4" xfId="11166" xr:uid="{00000000-0005-0000-0000-000074880000}"/>
    <cellStyle name="Total 2 2 2 4 6 4 2" xfId="30138" xr:uid="{00000000-0005-0000-0000-000075880000}"/>
    <cellStyle name="Total 2 2 2 4 6 4 3" xfId="40983" xr:uid="{00000000-0005-0000-0000-000076880000}"/>
    <cellStyle name="Total 2 2 2 4 6 4 4" xfId="19228" xr:uid="{00000000-0005-0000-0000-000077880000}"/>
    <cellStyle name="Total 2 2 2 4 6 5" xfId="21962" xr:uid="{00000000-0005-0000-0000-000078880000}"/>
    <cellStyle name="Total 2 2 2 4 6 6" xfId="32807" xr:uid="{00000000-0005-0000-0000-000079880000}"/>
    <cellStyle name="Total 2 2 2 4 6 7" xfId="13374" xr:uid="{00000000-0005-0000-0000-00007A880000}"/>
    <cellStyle name="Total 2 2 2 4 7" xfId="3674" xr:uid="{00000000-0005-0000-0000-00007B880000}"/>
    <cellStyle name="Total 2 2 2 4 7 2" xfId="22646" xr:uid="{00000000-0005-0000-0000-00007C880000}"/>
    <cellStyle name="Total 2 2 2 4 7 3" xfId="33491" xr:uid="{00000000-0005-0000-0000-00007D880000}"/>
    <cellStyle name="Total 2 2 2 4 7 4" xfId="13855" xr:uid="{00000000-0005-0000-0000-00007E880000}"/>
    <cellStyle name="Total 2 2 2 4 8" xfId="6349" xr:uid="{00000000-0005-0000-0000-00007F880000}"/>
    <cellStyle name="Total 2 2 2 4 8 2" xfId="25321" xr:uid="{00000000-0005-0000-0000-000080880000}"/>
    <cellStyle name="Total 2 2 2 4 8 3" xfId="36166" xr:uid="{00000000-0005-0000-0000-000081880000}"/>
    <cellStyle name="Total 2 2 2 4 8 4" xfId="15771" xr:uid="{00000000-0005-0000-0000-000082880000}"/>
    <cellStyle name="Total 2 2 2 4 9" xfId="9008" xr:uid="{00000000-0005-0000-0000-000083880000}"/>
    <cellStyle name="Total 2 2 2 4 9 2" xfId="27980" xr:uid="{00000000-0005-0000-0000-000084880000}"/>
    <cellStyle name="Total 2 2 2 4 9 3" xfId="38825" xr:uid="{00000000-0005-0000-0000-000085880000}"/>
    <cellStyle name="Total 2 2 2 4 9 4" xfId="17675" xr:uid="{00000000-0005-0000-0000-000086880000}"/>
    <cellStyle name="Total 2 2 2 5" xfId="878" xr:uid="{00000000-0005-0000-0000-000087880000}"/>
    <cellStyle name="Total 2 2 2 5 10" xfId="19863" xr:uid="{00000000-0005-0000-0000-000088880000}"/>
    <cellStyle name="Total 2 2 2 5 11" xfId="30708" xr:uid="{00000000-0005-0000-0000-000089880000}"/>
    <cellStyle name="Total 2 2 2 5 12" xfId="11860" xr:uid="{00000000-0005-0000-0000-00008A880000}"/>
    <cellStyle name="Total 2 2 2 5 2" xfId="1465" xr:uid="{00000000-0005-0000-0000-00008B880000}"/>
    <cellStyle name="Total 2 2 2 5 2 2" xfId="4318" xr:uid="{00000000-0005-0000-0000-00008C880000}"/>
    <cellStyle name="Total 2 2 2 5 2 2 2" xfId="23290" xr:uid="{00000000-0005-0000-0000-00008D880000}"/>
    <cellStyle name="Total 2 2 2 5 2 2 3" xfId="34135" xr:uid="{00000000-0005-0000-0000-00008E880000}"/>
    <cellStyle name="Total 2 2 2 5 2 2 4" xfId="14321" xr:uid="{00000000-0005-0000-0000-00008F880000}"/>
    <cellStyle name="Total 2 2 2 5 2 3" xfId="6991" xr:uid="{00000000-0005-0000-0000-000090880000}"/>
    <cellStyle name="Total 2 2 2 5 2 3 2" xfId="25963" xr:uid="{00000000-0005-0000-0000-000091880000}"/>
    <cellStyle name="Total 2 2 2 5 2 3 3" xfId="36808" xr:uid="{00000000-0005-0000-0000-000092880000}"/>
    <cellStyle name="Total 2 2 2 5 2 3 4" xfId="16236" xr:uid="{00000000-0005-0000-0000-000093880000}"/>
    <cellStyle name="Total 2 2 2 5 2 4" xfId="9650" xr:uid="{00000000-0005-0000-0000-000094880000}"/>
    <cellStyle name="Total 2 2 2 5 2 4 2" xfId="28622" xr:uid="{00000000-0005-0000-0000-000095880000}"/>
    <cellStyle name="Total 2 2 2 5 2 4 3" xfId="39467" xr:uid="{00000000-0005-0000-0000-000096880000}"/>
    <cellStyle name="Total 2 2 2 5 2 4 4" xfId="18140" xr:uid="{00000000-0005-0000-0000-000097880000}"/>
    <cellStyle name="Total 2 2 2 5 2 5" xfId="20446" xr:uid="{00000000-0005-0000-0000-000098880000}"/>
    <cellStyle name="Total 2 2 2 5 2 6" xfId="31291" xr:uid="{00000000-0005-0000-0000-000099880000}"/>
    <cellStyle name="Total 2 2 2 5 2 7" xfId="12286" xr:uid="{00000000-0005-0000-0000-00009A880000}"/>
    <cellStyle name="Total 2 2 2 5 3" xfId="1864" xr:uid="{00000000-0005-0000-0000-00009B880000}"/>
    <cellStyle name="Total 2 2 2 5 3 2" xfId="4717" xr:uid="{00000000-0005-0000-0000-00009C880000}"/>
    <cellStyle name="Total 2 2 2 5 3 2 2" xfId="23689" xr:uid="{00000000-0005-0000-0000-00009D880000}"/>
    <cellStyle name="Total 2 2 2 5 3 2 3" xfId="34534" xr:uid="{00000000-0005-0000-0000-00009E880000}"/>
    <cellStyle name="Total 2 2 2 5 3 2 4" xfId="14608" xr:uid="{00000000-0005-0000-0000-00009F880000}"/>
    <cellStyle name="Total 2 2 2 5 3 3" xfId="7389" xr:uid="{00000000-0005-0000-0000-0000A0880000}"/>
    <cellStyle name="Total 2 2 2 5 3 3 2" xfId="26361" xr:uid="{00000000-0005-0000-0000-0000A1880000}"/>
    <cellStyle name="Total 2 2 2 5 3 3 3" xfId="37206" xr:uid="{00000000-0005-0000-0000-0000A2880000}"/>
    <cellStyle name="Total 2 2 2 5 3 3 4" xfId="16522" xr:uid="{00000000-0005-0000-0000-0000A3880000}"/>
    <cellStyle name="Total 2 2 2 5 3 4" xfId="10048" xr:uid="{00000000-0005-0000-0000-0000A4880000}"/>
    <cellStyle name="Total 2 2 2 5 3 4 2" xfId="29020" xr:uid="{00000000-0005-0000-0000-0000A5880000}"/>
    <cellStyle name="Total 2 2 2 5 3 4 3" xfId="39865" xr:uid="{00000000-0005-0000-0000-0000A6880000}"/>
    <cellStyle name="Total 2 2 2 5 3 4 4" xfId="18426" xr:uid="{00000000-0005-0000-0000-0000A7880000}"/>
    <cellStyle name="Total 2 2 2 5 3 5" xfId="20844" xr:uid="{00000000-0005-0000-0000-0000A8880000}"/>
    <cellStyle name="Total 2 2 2 5 3 6" xfId="31689" xr:uid="{00000000-0005-0000-0000-0000A9880000}"/>
    <cellStyle name="Total 2 2 2 5 3 7" xfId="12572" xr:uid="{00000000-0005-0000-0000-0000AA880000}"/>
    <cellStyle name="Total 2 2 2 5 4" xfId="2268" xr:uid="{00000000-0005-0000-0000-0000AB880000}"/>
    <cellStyle name="Total 2 2 2 5 4 2" xfId="5121" xr:uid="{00000000-0005-0000-0000-0000AC880000}"/>
    <cellStyle name="Total 2 2 2 5 4 2 2" xfId="24093" xr:uid="{00000000-0005-0000-0000-0000AD880000}"/>
    <cellStyle name="Total 2 2 2 5 4 2 3" xfId="34938" xr:uid="{00000000-0005-0000-0000-0000AE880000}"/>
    <cellStyle name="Total 2 2 2 5 4 2 4" xfId="14895" xr:uid="{00000000-0005-0000-0000-0000AF880000}"/>
    <cellStyle name="Total 2 2 2 5 4 3" xfId="7792" xr:uid="{00000000-0005-0000-0000-0000B0880000}"/>
    <cellStyle name="Total 2 2 2 5 4 3 2" xfId="26764" xr:uid="{00000000-0005-0000-0000-0000B1880000}"/>
    <cellStyle name="Total 2 2 2 5 4 3 3" xfId="37609" xr:uid="{00000000-0005-0000-0000-0000B2880000}"/>
    <cellStyle name="Total 2 2 2 5 4 3 4" xfId="16808" xr:uid="{00000000-0005-0000-0000-0000B3880000}"/>
    <cellStyle name="Total 2 2 2 5 4 4" xfId="10451" xr:uid="{00000000-0005-0000-0000-0000B4880000}"/>
    <cellStyle name="Total 2 2 2 5 4 4 2" xfId="29423" xr:uid="{00000000-0005-0000-0000-0000B5880000}"/>
    <cellStyle name="Total 2 2 2 5 4 4 3" xfId="40268" xr:uid="{00000000-0005-0000-0000-0000B6880000}"/>
    <cellStyle name="Total 2 2 2 5 4 4 4" xfId="18712" xr:uid="{00000000-0005-0000-0000-0000B7880000}"/>
    <cellStyle name="Total 2 2 2 5 4 5" xfId="21247" xr:uid="{00000000-0005-0000-0000-0000B8880000}"/>
    <cellStyle name="Total 2 2 2 5 4 6" xfId="32092" xr:uid="{00000000-0005-0000-0000-0000B9880000}"/>
    <cellStyle name="Total 2 2 2 5 4 7" xfId="12858" xr:uid="{00000000-0005-0000-0000-0000BA880000}"/>
    <cellStyle name="Total 2 2 2 5 5" xfId="2658" xr:uid="{00000000-0005-0000-0000-0000BB880000}"/>
    <cellStyle name="Total 2 2 2 5 5 2" xfId="5510" xr:uid="{00000000-0005-0000-0000-0000BC880000}"/>
    <cellStyle name="Total 2 2 2 5 5 2 2" xfId="24482" xr:uid="{00000000-0005-0000-0000-0000BD880000}"/>
    <cellStyle name="Total 2 2 2 5 5 2 3" xfId="35327" xr:uid="{00000000-0005-0000-0000-0000BE880000}"/>
    <cellStyle name="Total 2 2 2 5 5 2 4" xfId="15174" xr:uid="{00000000-0005-0000-0000-0000BF880000}"/>
    <cellStyle name="Total 2 2 2 5 5 3" xfId="8181" xr:uid="{00000000-0005-0000-0000-0000C0880000}"/>
    <cellStyle name="Total 2 2 2 5 5 3 2" xfId="27153" xr:uid="{00000000-0005-0000-0000-0000C1880000}"/>
    <cellStyle name="Total 2 2 2 5 5 3 3" xfId="37998" xr:uid="{00000000-0005-0000-0000-0000C2880000}"/>
    <cellStyle name="Total 2 2 2 5 5 3 4" xfId="17087" xr:uid="{00000000-0005-0000-0000-0000C3880000}"/>
    <cellStyle name="Total 2 2 2 5 5 4" xfId="10840" xr:uid="{00000000-0005-0000-0000-0000C4880000}"/>
    <cellStyle name="Total 2 2 2 5 5 4 2" xfId="29812" xr:uid="{00000000-0005-0000-0000-0000C5880000}"/>
    <cellStyle name="Total 2 2 2 5 5 4 3" xfId="40657" xr:uid="{00000000-0005-0000-0000-0000C6880000}"/>
    <cellStyle name="Total 2 2 2 5 5 4 4" xfId="18991" xr:uid="{00000000-0005-0000-0000-0000C7880000}"/>
    <cellStyle name="Total 2 2 2 5 5 5" xfId="21636" xr:uid="{00000000-0005-0000-0000-0000C8880000}"/>
    <cellStyle name="Total 2 2 2 5 5 6" xfId="32481" xr:uid="{00000000-0005-0000-0000-0000C9880000}"/>
    <cellStyle name="Total 2 2 2 5 5 7" xfId="13137" xr:uid="{00000000-0005-0000-0000-0000CA880000}"/>
    <cellStyle name="Total 2 2 2 5 6" xfId="3044" xr:uid="{00000000-0005-0000-0000-0000CB880000}"/>
    <cellStyle name="Total 2 2 2 5 6 2" xfId="5895" xr:uid="{00000000-0005-0000-0000-0000CC880000}"/>
    <cellStyle name="Total 2 2 2 5 6 2 2" xfId="24867" xr:uid="{00000000-0005-0000-0000-0000CD880000}"/>
    <cellStyle name="Total 2 2 2 5 6 2 3" xfId="35712" xr:uid="{00000000-0005-0000-0000-0000CE880000}"/>
    <cellStyle name="Total 2 2 2 5 6 2 4" xfId="15450" xr:uid="{00000000-0005-0000-0000-0000CF880000}"/>
    <cellStyle name="Total 2 2 2 5 6 3" xfId="8566" xr:uid="{00000000-0005-0000-0000-0000D0880000}"/>
    <cellStyle name="Total 2 2 2 5 6 3 2" xfId="27538" xr:uid="{00000000-0005-0000-0000-0000D1880000}"/>
    <cellStyle name="Total 2 2 2 5 6 3 3" xfId="38383" xr:uid="{00000000-0005-0000-0000-0000D2880000}"/>
    <cellStyle name="Total 2 2 2 5 6 3 4" xfId="17363" xr:uid="{00000000-0005-0000-0000-0000D3880000}"/>
    <cellStyle name="Total 2 2 2 5 6 4" xfId="11225" xr:uid="{00000000-0005-0000-0000-0000D4880000}"/>
    <cellStyle name="Total 2 2 2 5 6 4 2" xfId="30197" xr:uid="{00000000-0005-0000-0000-0000D5880000}"/>
    <cellStyle name="Total 2 2 2 5 6 4 3" xfId="41042" xr:uid="{00000000-0005-0000-0000-0000D6880000}"/>
    <cellStyle name="Total 2 2 2 5 6 4 4" xfId="19267" xr:uid="{00000000-0005-0000-0000-0000D7880000}"/>
    <cellStyle name="Total 2 2 2 5 6 5" xfId="22021" xr:uid="{00000000-0005-0000-0000-0000D8880000}"/>
    <cellStyle name="Total 2 2 2 5 6 6" xfId="32866" xr:uid="{00000000-0005-0000-0000-0000D9880000}"/>
    <cellStyle name="Total 2 2 2 5 6 7" xfId="13413" xr:uid="{00000000-0005-0000-0000-0000DA880000}"/>
    <cellStyle name="Total 2 2 2 5 7" xfId="3733" xr:uid="{00000000-0005-0000-0000-0000DB880000}"/>
    <cellStyle name="Total 2 2 2 5 7 2" xfId="22705" xr:uid="{00000000-0005-0000-0000-0000DC880000}"/>
    <cellStyle name="Total 2 2 2 5 7 3" xfId="33550" xr:uid="{00000000-0005-0000-0000-0000DD880000}"/>
    <cellStyle name="Total 2 2 2 5 7 4" xfId="13894" xr:uid="{00000000-0005-0000-0000-0000DE880000}"/>
    <cellStyle name="Total 2 2 2 5 8" xfId="6408" xr:uid="{00000000-0005-0000-0000-0000DF880000}"/>
    <cellStyle name="Total 2 2 2 5 8 2" xfId="25380" xr:uid="{00000000-0005-0000-0000-0000E0880000}"/>
    <cellStyle name="Total 2 2 2 5 8 3" xfId="36225" xr:uid="{00000000-0005-0000-0000-0000E1880000}"/>
    <cellStyle name="Total 2 2 2 5 8 4" xfId="15810" xr:uid="{00000000-0005-0000-0000-0000E2880000}"/>
    <cellStyle name="Total 2 2 2 5 9" xfId="9067" xr:uid="{00000000-0005-0000-0000-0000E3880000}"/>
    <cellStyle name="Total 2 2 2 5 9 2" xfId="28039" xr:uid="{00000000-0005-0000-0000-0000E4880000}"/>
    <cellStyle name="Total 2 2 2 5 9 3" xfId="38884" xr:uid="{00000000-0005-0000-0000-0000E5880000}"/>
    <cellStyle name="Total 2 2 2 5 9 4" xfId="17714" xr:uid="{00000000-0005-0000-0000-0000E6880000}"/>
    <cellStyle name="Total 2 2 2 6" xfId="1100" xr:uid="{00000000-0005-0000-0000-0000E7880000}"/>
    <cellStyle name="Total 2 2 2 6 2" xfId="3953" xr:uid="{00000000-0005-0000-0000-0000E8880000}"/>
    <cellStyle name="Total 2 2 2 6 2 2" xfId="22925" xr:uid="{00000000-0005-0000-0000-0000E9880000}"/>
    <cellStyle name="Total 2 2 2 6 2 3" xfId="33770" xr:uid="{00000000-0005-0000-0000-0000EA880000}"/>
    <cellStyle name="Total 2 2 2 6 2 4" xfId="14056" xr:uid="{00000000-0005-0000-0000-0000EB880000}"/>
    <cellStyle name="Total 2 2 2 6 3" xfId="6627" xr:uid="{00000000-0005-0000-0000-0000EC880000}"/>
    <cellStyle name="Total 2 2 2 6 3 2" xfId="25599" xr:uid="{00000000-0005-0000-0000-0000ED880000}"/>
    <cellStyle name="Total 2 2 2 6 3 3" xfId="36444" xr:uid="{00000000-0005-0000-0000-0000EE880000}"/>
    <cellStyle name="Total 2 2 2 6 3 4" xfId="15972" xr:uid="{00000000-0005-0000-0000-0000EF880000}"/>
    <cellStyle name="Total 2 2 2 6 4" xfId="9286" xr:uid="{00000000-0005-0000-0000-0000F0880000}"/>
    <cellStyle name="Total 2 2 2 6 4 2" xfId="28258" xr:uid="{00000000-0005-0000-0000-0000F1880000}"/>
    <cellStyle name="Total 2 2 2 6 4 3" xfId="39103" xr:uid="{00000000-0005-0000-0000-0000F2880000}"/>
    <cellStyle name="Total 2 2 2 6 4 4" xfId="17876" xr:uid="{00000000-0005-0000-0000-0000F3880000}"/>
    <cellStyle name="Total 2 2 2 6 5" xfId="20082" xr:uid="{00000000-0005-0000-0000-0000F4880000}"/>
    <cellStyle name="Total 2 2 2 6 6" xfId="30927" xr:uid="{00000000-0005-0000-0000-0000F5880000}"/>
    <cellStyle name="Total 2 2 2 6 7" xfId="12022" xr:uid="{00000000-0005-0000-0000-0000F6880000}"/>
    <cellStyle name="Total 2 2 2 7" xfId="1500" xr:uid="{00000000-0005-0000-0000-0000F7880000}"/>
    <cellStyle name="Total 2 2 2 7 2" xfId="4353" xr:uid="{00000000-0005-0000-0000-0000F8880000}"/>
    <cellStyle name="Total 2 2 2 7 2 2" xfId="23325" xr:uid="{00000000-0005-0000-0000-0000F9880000}"/>
    <cellStyle name="Total 2 2 2 7 2 3" xfId="34170" xr:uid="{00000000-0005-0000-0000-0000FA880000}"/>
    <cellStyle name="Total 2 2 2 7 2 4" xfId="14346" xr:uid="{00000000-0005-0000-0000-0000FB880000}"/>
    <cellStyle name="Total 2 2 2 7 3" xfId="7026" xr:uid="{00000000-0005-0000-0000-0000FC880000}"/>
    <cellStyle name="Total 2 2 2 7 3 2" xfId="25998" xr:uid="{00000000-0005-0000-0000-0000FD880000}"/>
    <cellStyle name="Total 2 2 2 7 3 3" xfId="36843" xr:uid="{00000000-0005-0000-0000-0000FE880000}"/>
    <cellStyle name="Total 2 2 2 7 3 4" xfId="16261" xr:uid="{00000000-0005-0000-0000-0000FF880000}"/>
    <cellStyle name="Total 2 2 2 7 4" xfId="9685" xr:uid="{00000000-0005-0000-0000-000000890000}"/>
    <cellStyle name="Total 2 2 2 7 4 2" xfId="28657" xr:uid="{00000000-0005-0000-0000-000001890000}"/>
    <cellStyle name="Total 2 2 2 7 4 3" xfId="39502" xr:uid="{00000000-0005-0000-0000-000002890000}"/>
    <cellStyle name="Total 2 2 2 7 4 4" xfId="18165" xr:uid="{00000000-0005-0000-0000-000003890000}"/>
    <cellStyle name="Total 2 2 2 7 5" xfId="20481" xr:uid="{00000000-0005-0000-0000-000004890000}"/>
    <cellStyle name="Total 2 2 2 7 6" xfId="31326" xr:uid="{00000000-0005-0000-0000-000005890000}"/>
    <cellStyle name="Total 2 2 2 7 7" xfId="12311" xr:uid="{00000000-0005-0000-0000-000006890000}"/>
    <cellStyle name="Total 2 2 2 8" xfId="1908" xr:uid="{00000000-0005-0000-0000-000007890000}"/>
    <cellStyle name="Total 2 2 2 8 2" xfId="4761" xr:uid="{00000000-0005-0000-0000-000008890000}"/>
    <cellStyle name="Total 2 2 2 8 2 2" xfId="23733" xr:uid="{00000000-0005-0000-0000-000009890000}"/>
    <cellStyle name="Total 2 2 2 8 2 3" xfId="34578" xr:uid="{00000000-0005-0000-0000-00000A890000}"/>
    <cellStyle name="Total 2 2 2 8 2 4" xfId="14637" xr:uid="{00000000-0005-0000-0000-00000B890000}"/>
    <cellStyle name="Total 2 2 2 8 3" xfId="7433" xr:uid="{00000000-0005-0000-0000-00000C890000}"/>
    <cellStyle name="Total 2 2 2 8 3 2" xfId="26405" xr:uid="{00000000-0005-0000-0000-00000D890000}"/>
    <cellStyle name="Total 2 2 2 8 3 3" xfId="37250" xr:uid="{00000000-0005-0000-0000-00000E890000}"/>
    <cellStyle name="Total 2 2 2 8 3 4" xfId="16551" xr:uid="{00000000-0005-0000-0000-00000F890000}"/>
    <cellStyle name="Total 2 2 2 8 4" xfId="10092" xr:uid="{00000000-0005-0000-0000-000010890000}"/>
    <cellStyle name="Total 2 2 2 8 4 2" xfId="29064" xr:uid="{00000000-0005-0000-0000-000011890000}"/>
    <cellStyle name="Total 2 2 2 8 4 3" xfId="39909" xr:uid="{00000000-0005-0000-0000-000012890000}"/>
    <cellStyle name="Total 2 2 2 8 4 4" xfId="18455" xr:uid="{00000000-0005-0000-0000-000013890000}"/>
    <cellStyle name="Total 2 2 2 8 5" xfId="20888" xr:uid="{00000000-0005-0000-0000-000014890000}"/>
    <cellStyle name="Total 2 2 2 8 6" xfId="31733" xr:uid="{00000000-0005-0000-0000-000015890000}"/>
    <cellStyle name="Total 2 2 2 8 7" xfId="12601" xr:uid="{00000000-0005-0000-0000-000016890000}"/>
    <cellStyle name="Total 2 2 2 9" xfId="2302" xr:uid="{00000000-0005-0000-0000-000017890000}"/>
    <cellStyle name="Total 2 2 2 9 2" xfId="5155" xr:uid="{00000000-0005-0000-0000-000018890000}"/>
    <cellStyle name="Total 2 2 2 9 2 2" xfId="24127" xr:uid="{00000000-0005-0000-0000-000019890000}"/>
    <cellStyle name="Total 2 2 2 9 2 3" xfId="34972" xr:uid="{00000000-0005-0000-0000-00001A890000}"/>
    <cellStyle name="Total 2 2 2 9 2 4" xfId="14919" xr:uid="{00000000-0005-0000-0000-00001B890000}"/>
    <cellStyle name="Total 2 2 2 9 3" xfId="7826" xr:uid="{00000000-0005-0000-0000-00001C890000}"/>
    <cellStyle name="Total 2 2 2 9 3 2" xfId="26798" xr:uid="{00000000-0005-0000-0000-00001D890000}"/>
    <cellStyle name="Total 2 2 2 9 3 3" xfId="37643" xr:uid="{00000000-0005-0000-0000-00001E890000}"/>
    <cellStyle name="Total 2 2 2 9 3 4" xfId="16832" xr:uid="{00000000-0005-0000-0000-00001F890000}"/>
    <cellStyle name="Total 2 2 2 9 4" xfId="10485" xr:uid="{00000000-0005-0000-0000-000020890000}"/>
    <cellStyle name="Total 2 2 2 9 4 2" xfId="29457" xr:uid="{00000000-0005-0000-0000-000021890000}"/>
    <cellStyle name="Total 2 2 2 9 4 3" xfId="40302" xr:uid="{00000000-0005-0000-0000-000022890000}"/>
    <cellStyle name="Total 2 2 2 9 4 4" xfId="18736" xr:uid="{00000000-0005-0000-0000-000023890000}"/>
    <cellStyle name="Total 2 2 2 9 5" xfId="21281" xr:uid="{00000000-0005-0000-0000-000024890000}"/>
    <cellStyle name="Total 2 2 2 9 6" xfId="32126" xr:uid="{00000000-0005-0000-0000-000025890000}"/>
    <cellStyle name="Total 2 2 2 9 7" xfId="12882" xr:uid="{00000000-0005-0000-0000-000026890000}"/>
    <cellStyle name="Total 2 2 3" xfId="582" xr:uid="{00000000-0005-0000-0000-000027890000}"/>
    <cellStyle name="Total 2 2 3 10" xfId="19592" xr:uid="{00000000-0005-0000-0000-000028890000}"/>
    <cellStyle name="Total 2 2 3 11" xfId="30437" xr:uid="{00000000-0005-0000-0000-000029890000}"/>
    <cellStyle name="Total 2 2 3 12" xfId="11646" xr:uid="{00000000-0005-0000-0000-00002A890000}"/>
    <cellStyle name="Total 2 2 3 2" xfId="1188" xr:uid="{00000000-0005-0000-0000-00002B890000}"/>
    <cellStyle name="Total 2 2 3 2 2" xfId="4041" xr:uid="{00000000-0005-0000-0000-00002C890000}"/>
    <cellStyle name="Total 2 2 3 2 2 2" xfId="23013" xr:uid="{00000000-0005-0000-0000-00002D890000}"/>
    <cellStyle name="Total 2 2 3 2 2 3" xfId="33858" xr:uid="{00000000-0005-0000-0000-00002E890000}"/>
    <cellStyle name="Total 2 2 3 2 2 4" xfId="14123" xr:uid="{00000000-0005-0000-0000-00002F890000}"/>
    <cellStyle name="Total 2 2 3 2 3" xfId="6714" xr:uid="{00000000-0005-0000-0000-000030890000}"/>
    <cellStyle name="Total 2 2 3 2 3 2" xfId="25686" xr:uid="{00000000-0005-0000-0000-000031890000}"/>
    <cellStyle name="Total 2 2 3 2 3 3" xfId="36531" xr:uid="{00000000-0005-0000-0000-000032890000}"/>
    <cellStyle name="Total 2 2 3 2 3 4" xfId="16038" xr:uid="{00000000-0005-0000-0000-000033890000}"/>
    <cellStyle name="Total 2 2 3 2 4" xfId="9373" xr:uid="{00000000-0005-0000-0000-000034890000}"/>
    <cellStyle name="Total 2 2 3 2 4 2" xfId="28345" xr:uid="{00000000-0005-0000-0000-000035890000}"/>
    <cellStyle name="Total 2 2 3 2 4 3" xfId="39190" xr:uid="{00000000-0005-0000-0000-000036890000}"/>
    <cellStyle name="Total 2 2 3 2 4 4" xfId="17942" xr:uid="{00000000-0005-0000-0000-000037890000}"/>
    <cellStyle name="Total 2 2 3 2 5" xfId="20169" xr:uid="{00000000-0005-0000-0000-000038890000}"/>
    <cellStyle name="Total 2 2 3 2 6" xfId="31014" xr:uid="{00000000-0005-0000-0000-000039890000}"/>
    <cellStyle name="Total 2 2 3 2 7" xfId="12088" xr:uid="{00000000-0005-0000-0000-00003A890000}"/>
    <cellStyle name="Total 2 2 3 3" xfId="1585" xr:uid="{00000000-0005-0000-0000-00003B890000}"/>
    <cellStyle name="Total 2 2 3 3 2" xfId="4438" xr:uid="{00000000-0005-0000-0000-00003C890000}"/>
    <cellStyle name="Total 2 2 3 3 2 2" xfId="23410" xr:uid="{00000000-0005-0000-0000-00003D890000}"/>
    <cellStyle name="Total 2 2 3 3 2 3" xfId="34255" xr:uid="{00000000-0005-0000-0000-00003E890000}"/>
    <cellStyle name="Total 2 2 3 3 2 4" xfId="14409" xr:uid="{00000000-0005-0000-0000-00003F890000}"/>
    <cellStyle name="Total 2 2 3 3 3" xfId="7110" xr:uid="{00000000-0005-0000-0000-000040890000}"/>
    <cellStyle name="Total 2 2 3 3 3 2" xfId="26082" xr:uid="{00000000-0005-0000-0000-000041890000}"/>
    <cellStyle name="Total 2 2 3 3 3 3" xfId="36927" xr:uid="{00000000-0005-0000-0000-000042890000}"/>
    <cellStyle name="Total 2 2 3 3 3 4" xfId="16323" xr:uid="{00000000-0005-0000-0000-000043890000}"/>
    <cellStyle name="Total 2 2 3 3 4" xfId="9769" xr:uid="{00000000-0005-0000-0000-000044890000}"/>
    <cellStyle name="Total 2 2 3 3 4 2" xfId="28741" xr:uid="{00000000-0005-0000-0000-000045890000}"/>
    <cellStyle name="Total 2 2 3 3 4 3" xfId="39586" xr:uid="{00000000-0005-0000-0000-000046890000}"/>
    <cellStyle name="Total 2 2 3 3 4 4" xfId="18227" xr:uid="{00000000-0005-0000-0000-000047890000}"/>
    <cellStyle name="Total 2 2 3 3 5" xfId="20565" xr:uid="{00000000-0005-0000-0000-000048890000}"/>
    <cellStyle name="Total 2 2 3 3 6" xfId="31410" xr:uid="{00000000-0005-0000-0000-000049890000}"/>
    <cellStyle name="Total 2 2 3 3 7" xfId="12373" xr:uid="{00000000-0005-0000-0000-00004A890000}"/>
    <cellStyle name="Total 2 2 3 4" xfId="1989" xr:uid="{00000000-0005-0000-0000-00004B890000}"/>
    <cellStyle name="Total 2 2 3 4 2" xfId="4842" xr:uid="{00000000-0005-0000-0000-00004C890000}"/>
    <cellStyle name="Total 2 2 3 4 2 2" xfId="23814" xr:uid="{00000000-0005-0000-0000-00004D890000}"/>
    <cellStyle name="Total 2 2 3 4 2 3" xfId="34659" xr:uid="{00000000-0005-0000-0000-00004E890000}"/>
    <cellStyle name="Total 2 2 3 4 2 4" xfId="14697" xr:uid="{00000000-0005-0000-0000-00004F890000}"/>
    <cellStyle name="Total 2 2 3 4 3" xfId="7514" xr:uid="{00000000-0005-0000-0000-000050890000}"/>
    <cellStyle name="Total 2 2 3 4 3 2" xfId="26486" xr:uid="{00000000-0005-0000-0000-000051890000}"/>
    <cellStyle name="Total 2 2 3 4 3 3" xfId="37331" xr:uid="{00000000-0005-0000-0000-000052890000}"/>
    <cellStyle name="Total 2 2 3 4 3 4" xfId="16611" xr:uid="{00000000-0005-0000-0000-000053890000}"/>
    <cellStyle name="Total 2 2 3 4 4" xfId="10173" xr:uid="{00000000-0005-0000-0000-000054890000}"/>
    <cellStyle name="Total 2 2 3 4 4 2" xfId="29145" xr:uid="{00000000-0005-0000-0000-000055890000}"/>
    <cellStyle name="Total 2 2 3 4 4 3" xfId="39990" xr:uid="{00000000-0005-0000-0000-000056890000}"/>
    <cellStyle name="Total 2 2 3 4 4 4" xfId="18515" xr:uid="{00000000-0005-0000-0000-000057890000}"/>
    <cellStyle name="Total 2 2 3 4 5" xfId="20969" xr:uid="{00000000-0005-0000-0000-000058890000}"/>
    <cellStyle name="Total 2 2 3 4 6" xfId="31814" xr:uid="{00000000-0005-0000-0000-000059890000}"/>
    <cellStyle name="Total 2 2 3 4 7" xfId="12661" xr:uid="{00000000-0005-0000-0000-00005A890000}"/>
    <cellStyle name="Total 2 2 3 5" xfId="2381" xr:uid="{00000000-0005-0000-0000-00005B890000}"/>
    <cellStyle name="Total 2 2 3 5 2" xfId="5234" xr:uid="{00000000-0005-0000-0000-00005C890000}"/>
    <cellStyle name="Total 2 2 3 5 2 2" xfId="24206" xr:uid="{00000000-0005-0000-0000-00005D890000}"/>
    <cellStyle name="Total 2 2 3 5 2 3" xfId="35051" xr:uid="{00000000-0005-0000-0000-00005E890000}"/>
    <cellStyle name="Total 2 2 3 5 2 4" xfId="14978" xr:uid="{00000000-0005-0000-0000-00005F890000}"/>
    <cellStyle name="Total 2 2 3 5 3" xfId="7905" xr:uid="{00000000-0005-0000-0000-000060890000}"/>
    <cellStyle name="Total 2 2 3 5 3 2" xfId="26877" xr:uid="{00000000-0005-0000-0000-000061890000}"/>
    <cellStyle name="Total 2 2 3 5 3 3" xfId="37722" xr:uid="{00000000-0005-0000-0000-000062890000}"/>
    <cellStyle name="Total 2 2 3 5 3 4" xfId="16891" xr:uid="{00000000-0005-0000-0000-000063890000}"/>
    <cellStyle name="Total 2 2 3 5 4" xfId="10564" xr:uid="{00000000-0005-0000-0000-000064890000}"/>
    <cellStyle name="Total 2 2 3 5 4 2" xfId="29536" xr:uid="{00000000-0005-0000-0000-000065890000}"/>
    <cellStyle name="Total 2 2 3 5 4 3" xfId="40381" xr:uid="{00000000-0005-0000-0000-000066890000}"/>
    <cellStyle name="Total 2 2 3 5 4 4" xfId="18795" xr:uid="{00000000-0005-0000-0000-000067890000}"/>
    <cellStyle name="Total 2 2 3 5 5" xfId="21360" xr:uid="{00000000-0005-0000-0000-000068890000}"/>
    <cellStyle name="Total 2 2 3 5 6" xfId="32205" xr:uid="{00000000-0005-0000-0000-000069890000}"/>
    <cellStyle name="Total 2 2 3 5 7" xfId="12941" xr:uid="{00000000-0005-0000-0000-00006A890000}"/>
    <cellStyle name="Total 2 2 3 6" xfId="2770" xr:uid="{00000000-0005-0000-0000-00006B890000}"/>
    <cellStyle name="Total 2 2 3 6 2" xfId="5622" xr:uid="{00000000-0005-0000-0000-00006C890000}"/>
    <cellStyle name="Total 2 2 3 6 2 2" xfId="24594" xr:uid="{00000000-0005-0000-0000-00006D890000}"/>
    <cellStyle name="Total 2 2 3 6 2 3" xfId="35439" xr:uid="{00000000-0005-0000-0000-00006E890000}"/>
    <cellStyle name="Total 2 2 3 6 2 4" xfId="15256" xr:uid="{00000000-0005-0000-0000-00006F890000}"/>
    <cellStyle name="Total 2 2 3 6 3" xfId="8293" xr:uid="{00000000-0005-0000-0000-000070890000}"/>
    <cellStyle name="Total 2 2 3 6 3 2" xfId="27265" xr:uid="{00000000-0005-0000-0000-000071890000}"/>
    <cellStyle name="Total 2 2 3 6 3 3" xfId="38110" xr:uid="{00000000-0005-0000-0000-000072890000}"/>
    <cellStyle name="Total 2 2 3 6 3 4" xfId="17169" xr:uid="{00000000-0005-0000-0000-000073890000}"/>
    <cellStyle name="Total 2 2 3 6 4" xfId="10952" xr:uid="{00000000-0005-0000-0000-000074890000}"/>
    <cellStyle name="Total 2 2 3 6 4 2" xfId="29924" xr:uid="{00000000-0005-0000-0000-000075890000}"/>
    <cellStyle name="Total 2 2 3 6 4 3" xfId="40769" xr:uid="{00000000-0005-0000-0000-000076890000}"/>
    <cellStyle name="Total 2 2 3 6 4 4" xfId="19073" xr:uid="{00000000-0005-0000-0000-000077890000}"/>
    <cellStyle name="Total 2 2 3 6 5" xfId="21748" xr:uid="{00000000-0005-0000-0000-000078890000}"/>
    <cellStyle name="Total 2 2 3 6 6" xfId="32593" xr:uid="{00000000-0005-0000-0000-000079890000}"/>
    <cellStyle name="Total 2 2 3 6 7" xfId="13219" xr:uid="{00000000-0005-0000-0000-00007A890000}"/>
    <cellStyle name="Total 2 2 3 7" xfId="3461" xr:uid="{00000000-0005-0000-0000-00007B890000}"/>
    <cellStyle name="Total 2 2 3 7 2" xfId="22433" xr:uid="{00000000-0005-0000-0000-00007C890000}"/>
    <cellStyle name="Total 2 2 3 7 3" xfId="33278" xr:uid="{00000000-0005-0000-0000-00007D890000}"/>
    <cellStyle name="Total 2 2 3 7 4" xfId="13701" xr:uid="{00000000-0005-0000-0000-00007E890000}"/>
    <cellStyle name="Total 2 2 3 8" xfId="6137" xr:uid="{00000000-0005-0000-0000-00007F890000}"/>
    <cellStyle name="Total 2 2 3 8 2" xfId="25109" xr:uid="{00000000-0005-0000-0000-000080890000}"/>
    <cellStyle name="Total 2 2 3 8 3" xfId="35954" xr:uid="{00000000-0005-0000-0000-000081890000}"/>
    <cellStyle name="Total 2 2 3 8 4" xfId="15618" xr:uid="{00000000-0005-0000-0000-000082890000}"/>
    <cellStyle name="Total 2 2 3 9" xfId="8796" xr:uid="{00000000-0005-0000-0000-000083890000}"/>
    <cellStyle name="Total 2 2 3 9 2" xfId="27768" xr:uid="{00000000-0005-0000-0000-000084890000}"/>
    <cellStyle name="Total 2 2 3 9 3" xfId="38613" xr:uid="{00000000-0005-0000-0000-000085890000}"/>
    <cellStyle name="Total 2 2 3 9 4" xfId="17522" xr:uid="{00000000-0005-0000-0000-000086890000}"/>
    <cellStyle name="Total 2 2 4" xfId="11475" xr:uid="{00000000-0005-0000-0000-000087890000}"/>
    <cellStyle name="Total 2 3" xfId="157" xr:uid="{00000000-0005-0000-0000-000088890000}"/>
    <cellStyle name="Total 2 3 2" xfId="401" xr:uid="{00000000-0005-0000-0000-000089890000}"/>
    <cellStyle name="Total 2 3 2 10" xfId="2692" xr:uid="{00000000-0005-0000-0000-00008A890000}"/>
    <cellStyle name="Total 2 3 2 10 2" xfId="5544" xr:uid="{00000000-0005-0000-0000-00008B890000}"/>
    <cellStyle name="Total 2 3 2 10 2 2" xfId="24516" xr:uid="{00000000-0005-0000-0000-00008C890000}"/>
    <cellStyle name="Total 2 3 2 10 2 3" xfId="35361" xr:uid="{00000000-0005-0000-0000-00008D890000}"/>
    <cellStyle name="Total 2 3 2 10 2 4" xfId="15198" xr:uid="{00000000-0005-0000-0000-00008E890000}"/>
    <cellStyle name="Total 2 3 2 10 3" xfId="8215" xr:uid="{00000000-0005-0000-0000-00008F890000}"/>
    <cellStyle name="Total 2 3 2 10 3 2" xfId="27187" xr:uid="{00000000-0005-0000-0000-000090890000}"/>
    <cellStyle name="Total 2 3 2 10 3 3" xfId="38032" xr:uid="{00000000-0005-0000-0000-000091890000}"/>
    <cellStyle name="Total 2 3 2 10 3 4" xfId="17111" xr:uid="{00000000-0005-0000-0000-000092890000}"/>
    <cellStyle name="Total 2 3 2 10 4" xfId="10874" xr:uid="{00000000-0005-0000-0000-000093890000}"/>
    <cellStyle name="Total 2 3 2 10 4 2" xfId="29846" xr:uid="{00000000-0005-0000-0000-000094890000}"/>
    <cellStyle name="Total 2 3 2 10 4 3" xfId="40691" xr:uid="{00000000-0005-0000-0000-000095890000}"/>
    <cellStyle name="Total 2 3 2 10 4 4" xfId="19015" xr:uid="{00000000-0005-0000-0000-000096890000}"/>
    <cellStyle name="Total 2 3 2 10 5" xfId="21670" xr:uid="{00000000-0005-0000-0000-000097890000}"/>
    <cellStyle name="Total 2 3 2 10 6" xfId="32515" xr:uid="{00000000-0005-0000-0000-000098890000}"/>
    <cellStyle name="Total 2 3 2 10 7" xfId="13161" xr:uid="{00000000-0005-0000-0000-000099890000}"/>
    <cellStyle name="Total 2 3 2 11" xfId="3078" xr:uid="{00000000-0005-0000-0000-00009A890000}"/>
    <cellStyle name="Total 2 3 2 11 2" xfId="5929" xr:uid="{00000000-0005-0000-0000-00009B890000}"/>
    <cellStyle name="Total 2 3 2 11 2 2" xfId="24901" xr:uid="{00000000-0005-0000-0000-00009C890000}"/>
    <cellStyle name="Total 2 3 2 11 2 3" xfId="35746" xr:uid="{00000000-0005-0000-0000-00009D890000}"/>
    <cellStyle name="Total 2 3 2 11 2 4" xfId="15474" xr:uid="{00000000-0005-0000-0000-00009E890000}"/>
    <cellStyle name="Total 2 3 2 11 3" xfId="8600" xr:uid="{00000000-0005-0000-0000-00009F890000}"/>
    <cellStyle name="Total 2 3 2 11 3 2" xfId="27572" xr:uid="{00000000-0005-0000-0000-0000A0890000}"/>
    <cellStyle name="Total 2 3 2 11 3 3" xfId="38417" xr:uid="{00000000-0005-0000-0000-0000A1890000}"/>
    <cellStyle name="Total 2 3 2 11 3 4" xfId="17387" xr:uid="{00000000-0005-0000-0000-0000A2890000}"/>
    <cellStyle name="Total 2 3 2 11 4" xfId="11259" xr:uid="{00000000-0005-0000-0000-0000A3890000}"/>
    <cellStyle name="Total 2 3 2 11 4 2" xfId="30231" xr:uid="{00000000-0005-0000-0000-0000A4890000}"/>
    <cellStyle name="Total 2 3 2 11 4 3" xfId="41076" xr:uid="{00000000-0005-0000-0000-0000A5890000}"/>
    <cellStyle name="Total 2 3 2 11 4 4" xfId="19291" xr:uid="{00000000-0005-0000-0000-0000A6890000}"/>
    <cellStyle name="Total 2 3 2 11 5" xfId="22055" xr:uid="{00000000-0005-0000-0000-0000A7890000}"/>
    <cellStyle name="Total 2 3 2 11 6" xfId="32900" xr:uid="{00000000-0005-0000-0000-0000A8890000}"/>
    <cellStyle name="Total 2 3 2 11 7" xfId="13437" xr:uid="{00000000-0005-0000-0000-0000A9890000}"/>
    <cellStyle name="Total 2 3 2 12" xfId="3135" xr:uid="{00000000-0005-0000-0000-0000AA890000}"/>
    <cellStyle name="Total 2 3 2 12 2" xfId="5986" xr:uid="{00000000-0005-0000-0000-0000AB890000}"/>
    <cellStyle name="Total 2 3 2 12 2 2" xfId="24958" xr:uid="{00000000-0005-0000-0000-0000AC890000}"/>
    <cellStyle name="Total 2 3 2 12 2 3" xfId="35803" xr:uid="{00000000-0005-0000-0000-0000AD890000}"/>
    <cellStyle name="Total 2 3 2 12 2 4" xfId="15511" xr:uid="{00000000-0005-0000-0000-0000AE890000}"/>
    <cellStyle name="Total 2 3 2 12 3" xfId="8657" xr:uid="{00000000-0005-0000-0000-0000AF890000}"/>
    <cellStyle name="Total 2 3 2 12 3 2" xfId="27629" xr:uid="{00000000-0005-0000-0000-0000B0890000}"/>
    <cellStyle name="Total 2 3 2 12 3 3" xfId="38474" xr:uid="{00000000-0005-0000-0000-0000B1890000}"/>
    <cellStyle name="Total 2 3 2 12 3 4" xfId="17424" xr:uid="{00000000-0005-0000-0000-0000B2890000}"/>
    <cellStyle name="Total 2 3 2 12 4" xfId="11316" xr:uid="{00000000-0005-0000-0000-0000B3890000}"/>
    <cellStyle name="Total 2 3 2 12 4 2" xfId="30288" xr:uid="{00000000-0005-0000-0000-0000B4890000}"/>
    <cellStyle name="Total 2 3 2 12 4 3" xfId="41133" xr:uid="{00000000-0005-0000-0000-0000B5890000}"/>
    <cellStyle name="Total 2 3 2 12 4 4" xfId="19328" xr:uid="{00000000-0005-0000-0000-0000B6890000}"/>
    <cellStyle name="Total 2 3 2 12 5" xfId="22112" xr:uid="{00000000-0005-0000-0000-0000B7890000}"/>
    <cellStyle name="Total 2 3 2 12 6" xfId="32957" xr:uid="{00000000-0005-0000-0000-0000B8890000}"/>
    <cellStyle name="Total 2 3 2 12 7" xfId="13474" xr:uid="{00000000-0005-0000-0000-0000B9890000}"/>
    <cellStyle name="Total 2 3 2 13" xfId="3192" xr:uid="{00000000-0005-0000-0000-0000BA890000}"/>
    <cellStyle name="Total 2 3 2 13 2" xfId="6043" xr:uid="{00000000-0005-0000-0000-0000BB890000}"/>
    <cellStyle name="Total 2 3 2 13 2 2" xfId="25015" xr:uid="{00000000-0005-0000-0000-0000BC890000}"/>
    <cellStyle name="Total 2 3 2 13 2 3" xfId="35860" xr:uid="{00000000-0005-0000-0000-0000BD890000}"/>
    <cellStyle name="Total 2 3 2 13 2 4" xfId="15548" xr:uid="{00000000-0005-0000-0000-0000BE890000}"/>
    <cellStyle name="Total 2 3 2 13 3" xfId="8714" xr:uid="{00000000-0005-0000-0000-0000BF890000}"/>
    <cellStyle name="Total 2 3 2 13 3 2" xfId="27686" xr:uid="{00000000-0005-0000-0000-0000C0890000}"/>
    <cellStyle name="Total 2 3 2 13 3 3" xfId="38531" xr:uid="{00000000-0005-0000-0000-0000C1890000}"/>
    <cellStyle name="Total 2 3 2 13 3 4" xfId="17461" xr:uid="{00000000-0005-0000-0000-0000C2890000}"/>
    <cellStyle name="Total 2 3 2 13 4" xfId="11373" xr:uid="{00000000-0005-0000-0000-0000C3890000}"/>
    <cellStyle name="Total 2 3 2 13 4 2" xfId="30345" xr:uid="{00000000-0005-0000-0000-0000C4890000}"/>
    <cellStyle name="Total 2 3 2 13 4 3" xfId="41190" xr:uid="{00000000-0005-0000-0000-0000C5890000}"/>
    <cellStyle name="Total 2 3 2 13 4 4" xfId="19365" xr:uid="{00000000-0005-0000-0000-0000C6890000}"/>
    <cellStyle name="Total 2 3 2 13 5" xfId="22169" xr:uid="{00000000-0005-0000-0000-0000C7890000}"/>
    <cellStyle name="Total 2 3 2 13 6" xfId="33014" xr:uid="{00000000-0005-0000-0000-0000C8890000}"/>
    <cellStyle name="Total 2 3 2 13 7" xfId="13511" xr:uid="{00000000-0005-0000-0000-0000C9890000}"/>
    <cellStyle name="Total 2 3 2 14" xfId="3359" xr:uid="{00000000-0005-0000-0000-0000CA890000}"/>
    <cellStyle name="Total 2 3 2 14 2" xfId="22333" xr:uid="{00000000-0005-0000-0000-0000CB890000}"/>
    <cellStyle name="Total 2 3 2 14 3" xfId="33178" xr:uid="{00000000-0005-0000-0000-0000CC890000}"/>
    <cellStyle name="Total 2 3 2 14 4" xfId="13628" xr:uid="{00000000-0005-0000-0000-0000CD890000}"/>
    <cellStyle name="Total 2 3 2 15" xfId="3391" xr:uid="{00000000-0005-0000-0000-0000CE890000}"/>
    <cellStyle name="Total 2 3 2 15 2" xfId="22363" xr:uid="{00000000-0005-0000-0000-0000CF890000}"/>
    <cellStyle name="Total 2 3 2 15 3" xfId="33208" xr:uid="{00000000-0005-0000-0000-0000D0890000}"/>
    <cellStyle name="Total 2 3 2 15 4" xfId="13645" xr:uid="{00000000-0005-0000-0000-0000D1890000}"/>
    <cellStyle name="Total 2 3 2 16" xfId="3317" xr:uid="{00000000-0005-0000-0000-0000D2890000}"/>
    <cellStyle name="Total 2 3 2 16 2" xfId="22291" xr:uid="{00000000-0005-0000-0000-0000D3890000}"/>
    <cellStyle name="Total 2 3 2 16 3" xfId="33136" xr:uid="{00000000-0005-0000-0000-0000D4890000}"/>
    <cellStyle name="Total 2 3 2 16 4" xfId="13600" xr:uid="{00000000-0005-0000-0000-0000D5890000}"/>
    <cellStyle name="Total 2 3 2 17" xfId="19489" xr:uid="{00000000-0005-0000-0000-0000D6890000}"/>
    <cellStyle name="Total 2 3 2 18" xfId="19390" xr:uid="{00000000-0005-0000-0000-0000D7890000}"/>
    <cellStyle name="Total 2 3 2 19" xfId="11538" xr:uid="{00000000-0005-0000-0000-0000D8890000}"/>
    <cellStyle name="Total 2 3 2 2" xfId="700" xr:uid="{00000000-0005-0000-0000-0000D9890000}"/>
    <cellStyle name="Total 2 3 2 2 10" xfId="19685" xr:uid="{00000000-0005-0000-0000-0000DA890000}"/>
    <cellStyle name="Total 2 3 2 2 11" xfId="30530" xr:uid="{00000000-0005-0000-0000-0000DB890000}"/>
    <cellStyle name="Total 2 3 2 2 12" xfId="11742" xr:uid="{00000000-0005-0000-0000-0000DC890000}"/>
    <cellStyle name="Total 2 3 2 2 2" xfId="1287" xr:uid="{00000000-0005-0000-0000-0000DD890000}"/>
    <cellStyle name="Total 2 3 2 2 2 2" xfId="4140" xr:uid="{00000000-0005-0000-0000-0000DE890000}"/>
    <cellStyle name="Total 2 3 2 2 2 2 2" xfId="23112" xr:uid="{00000000-0005-0000-0000-0000DF890000}"/>
    <cellStyle name="Total 2 3 2 2 2 2 3" xfId="33957" xr:uid="{00000000-0005-0000-0000-0000E0890000}"/>
    <cellStyle name="Total 2 3 2 2 2 2 4" xfId="14203" xr:uid="{00000000-0005-0000-0000-0000E1890000}"/>
    <cellStyle name="Total 2 3 2 2 2 3" xfId="6813" xr:uid="{00000000-0005-0000-0000-0000E2890000}"/>
    <cellStyle name="Total 2 3 2 2 2 3 2" xfId="25785" xr:uid="{00000000-0005-0000-0000-0000E3890000}"/>
    <cellStyle name="Total 2 3 2 2 2 3 3" xfId="36630" xr:uid="{00000000-0005-0000-0000-0000E4890000}"/>
    <cellStyle name="Total 2 3 2 2 2 3 4" xfId="16118" xr:uid="{00000000-0005-0000-0000-0000E5890000}"/>
    <cellStyle name="Total 2 3 2 2 2 4" xfId="9472" xr:uid="{00000000-0005-0000-0000-0000E6890000}"/>
    <cellStyle name="Total 2 3 2 2 2 4 2" xfId="28444" xr:uid="{00000000-0005-0000-0000-0000E7890000}"/>
    <cellStyle name="Total 2 3 2 2 2 4 3" xfId="39289" xr:uid="{00000000-0005-0000-0000-0000E8890000}"/>
    <cellStyle name="Total 2 3 2 2 2 4 4" xfId="18022" xr:uid="{00000000-0005-0000-0000-0000E9890000}"/>
    <cellStyle name="Total 2 3 2 2 2 5" xfId="20268" xr:uid="{00000000-0005-0000-0000-0000EA890000}"/>
    <cellStyle name="Total 2 3 2 2 2 6" xfId="31113" xr:uid="{00000000-0005-0000-0000-0000EB890000}"/>
    <cellStyle name="Total 2 3 2 2 2 7" xfId="12168" xr:uid="{00000000-0005-0000-0000-0000EC890000}"/>
    <cellStyle name="Total 2 3 2 2 3" xfId="1686" xr:uid="{00000000-0005-0000-0000-0000ED890000}"/>
    <cellStyle name="Total 2 3 2 2 3 2" xfId="4539" xr:uid="{00000000-0005-0000-0000-0000EE890000}"/>
    <cellStyle name="Total 2 3 2 2 3 2 2" xfId="23511" xr:uid="{00000000-0005-0000-0000-0000EF890000}"/>
    <cellStyle name="Total 2 3 2 2 3 2 3" xfId="34356" xr:uid="{00000000-0005-0000-0000-0000F0890000}"/>
    <cellStyle name="Total 2 3 2 2 3 2 4" xfId="14490" xr:uid="{00000000-0005-0000-0000-0000F1890000}"/>
    <cellStyle name="Total 2 3 2 2 3 3" xfId="7211" xr:uid="{00000000-0005-0000-0000-0000F2890000}"/>
    <cellStyle name="Total 2 3 2 2 3 3 2" xfId="26183" xr:uid="{00000000-0005-0000-0000-0000F3890000}"/>
    <cellStyle name="Total 2 3 2 2 3 3 3" xfId="37028" xr:uid="{00000000-0005-0000-0000-0000F4890000}"/>
    <cellStyle name="Total 2 3 2 2 3 3 4" xfId="16404" xr:uid="{00000000-0005-0000-0000-0000F5890000}"/>
    <cellStyle name="Total 2 3 2 2 3 4" xfId="9870" xr:uid="{00000000-0005-0000-0000-0000F6890000}"/>
    <cellStyle name="Total 2 3 2 2 3 4 2" xfId="28842" xr:uid="{00000000-0005-0000-0000-0000F7890000}"/>
    <cellStyle name="Total 2 3 2 2 3 4 3" xfId="39687" xr:uid="{00000000-0005-0000-0000-0000F8890000}"/>
    <cellStyle name="Total 2 3 2 2 3 4 4" xfId="18308" xr:uid="{00000000-0005-0000-0000-0000F9890000}"/>
    <cellStyle name="Total 2 3 2 2 3 5" xfId="20666" xr:uid="{00000000-0005-0000-0000-0000FA890000}"/>
    <cellStyle name="Total 2 3 2 2 3 6" xfId="31511" xr:uid="{00000000-0005-0000-0000-0000FB890000}"/>
    <cellStyle name="Total 2 3 2 2 3 7" xfId="12454" xr:uid="{00000000-0005-0000-0000-0000FC890000}"/>
    <cellStyle name="Total 2 3 2 2 4" xfId="2090" xr:uid="{00000000-0005-0000-0000-0000FD890000}"/>
    <cellStyle name="Total 2 3 2 2 4 2" xfId="4943" xr:uid="{00000000-0005-0000-0000-0000FE890000}"/>
    <cellStyle name="Total 2 3 2 2 4 2 2" xfId="23915" xr:uid="{00000000-0005-0000-0000-0000FF890000}"/>
    <cellStyle name="Total 2 3 2 2 4 2 3" xfId="34760" xr:uid="{00000000-0005-0000-0000-0000008A0000}"/>
    <cellStyle name="Total 2 3 2 2 4 2 4" xfId="14777" xr:uid="{00000000-0005-0000-0000-0000018A0000}"/>
    <cellStyle name="Total 2 3 2 2 4 3" xfId="7614" xr:uid="{00000000-0005-0000-0000-0000028A0000}"/>
    <cellStyle name="Total 2 3 2 2 4 3 2" xfId="26586" xr:uid="{00000000-0005-0000-0000-0000038A0000}"/>
    <cellStyle name="Total 2 3 2 2 4 3 3" xfId="37431" xr:uid="{00000000-0005-0000-0000-0000048A0000}"/>
    <cellStyle name="Total 2 3 2 2 4 3 4" xfId="16690" xr:uid="{00000000-0005-0000-0000-0000058A0000}"/>
    <cellStyle name="Total 2 3 2 2 4 4" xfId="10273" xr:uid="{00000000-0005-0000-0000-0000068A0000}"/>
    <cellStyle name="Total 2 3 2 2 4 4 2" xfId="29245" xr:uid="{00000000-0005-0000-0000-0000078A0000}"/>
    <cellStyle name="Total 2 3 2 2 4 4 3" xfId="40090" xr:uid="{00000000-0005-0000-0000-0000088A0000}"/>
    <cellStyle name="Total 2 3 2 2 4 4 4" xfId="18594" xr:uid="{00000000-0005-0000-0000-0000098A0000}"/>
    <cellStyle name="Total 2 3 2 2 4 5" xfId="21069" xr:uid="{00000000-0005-0000-0000-00000A8A0000}"/>
    <cellStyle name="Total 2 3 2 2 4 6" xfId="31914" xr:uid="{00000000-0005-0000-0000-00000B8A0000}"/>
    <cellStyle name="Total 2 3 2 2 4 7" xfId="12740" xr:uid="{00000000-0005-0000-0000-00000C8A0000}"/>
    <cellStyle name="Total 2 3 2 2 5" xfId="2480" xr:uid="{00000000-0005-0000-0000-00000D8A0000}"/>
    <cellStyle name="Total 2 3 2 2 5 2" xfId="5332" xr:uid="{00000000-0005-0000-0000-00000E8A0000}"/>
    <cellStyle name="Total 2 3 2 2 5 2 2" xfId="24304" xr:uid="{00000000-0005-0000-0000-00000F8A0000}"/>
    <cellStyle name="Total 2 3 2 2 5 2 3" xfId="35149" xr:uid="{00000000-0005-0000-0000-0000108A0000}"/>
    <cellStyle name="Total 2 3 2 2 5 2 4" xfId="15056" xr:uid="{00000000-0005-0000-0000-0000118A0000}"/>
    <cellStyle name="Total 2 3 2 2 5 3" xfId="8003" xr:uid="{00000000-0005-0000-0000-0000128A0000}"/>
    <cellStyle name="Total 2 3 2 2 5 3 2" xfId="26975" xr:uid="{00000000-0005-0000-0000-0000138A0000}"/>
    <cellStyle name="Total 2 3 2 2 5 3 3" xfId="37820" xr:uid="{00000000-0005-0000-0000-0000148A0000}"/>
    <cellStyle name="Total 2 3 2 2 5 3 4" xfId="16969" xr:uid="{00000000-0005-0000-0000-0000158A0000}"/>
    <cellStyle name="Total 2 3 2 2 5 4" xfId="10662" xr:uid="{00000000-0005-0000-0000-0000168A0000}"/>
    <cellStyle name="Total 2 3 2 2 5 4 2" xfId="29634" xr:uid="{00000000-0005-0000-0000-0000178A0000}"/>
    <cellStyle name="Total 2 3 2 2 5 4 3" xfId="40479" xr:uid="{00000000-0005-0000-0000-0000188A0000}"/>
    <cellStyle name="Total 2 3 2 2 5 4 4" xfId="18873" xr:uid="{00000000-0005-0000-0000-0000198A0000}"/>
    <cellStyle name="Total 2 3 2 2 5 5" xfId="21458" xr:uid="{00000000-0005-0000-0000-00001A8A0000}"/>
    <cellStyle name="Total 2 3 2 2 5 6" xfId="32303" xr:uid="{00000000-0005-0000-0000-00001B8A0000}"/>
    <cellStyle name="Total 2 3 2 2 5 7" xfId="13019" xr:uid="{00000000-0005-0000-0000-00001C8A0000}"/>
    <cellStyle name="Total 2 3 2 2 6" xfId="2866" xr:uid="{00000000-0005-0000-0000-00001D8A0000}"/>
    <cellStyle name="Total 2 3 2 2 6 2" xfId="5717" xr:uid="{00000000-0005-0000-0000-00001E8A0000}"/>
    <cellStyle name="Total 2 3 2 2 6 2 2" xfId="24689" xr:uid="{00000000-0005-0000-0000-00001F8A0000}"/>
    <cellStyle name="Total 2 3 2 2 6 2 3" xfId="35534" xr:uid="{00000000-0005-0000-0000-0000208A0000}"/>
    <cellStyle name="Total 2 3 2 2 6 2 4" xfId="15332" xr:uid="{00000000-0005-0000-0000-0000218A0000}"/>
    <cellStyle name="Total 2 3 2 2 6 3" xfId="8388" xr:uid="{00000000-0005-0000-0000-0000228A0000}"/>
    <cellStyle name="Total 2 3 2 2 6 3 2" xfId="27360" xr:uid="{00000000-0005-0000-0000-0000238A0000}"/>
    <cellStyle name="Total 2 3 2 2 6 3 3" xfId="38205" xr:uid="{00000000-0005-0000-0000-0000248A0000}"/>
    <cellStyle name="Total 2 3 2 2 6 3 4" xfId="17245" xr:uid="{00000000-0005-0000-0000-0000258A0000}"/>
    <cellStyle name="Total 2 3 2 2 6 4" xfId="11047" xr:uid="{00000000-0005-0000-0000-0000268A0000}"/>
    <cellStyle name="Total 2 3 2 2 6 4 2" xfId="30019" xr:uid="{00000000-0005-0000-0000-0000278A0000}"/>
    <cellStyle name="Total 2 3 2 2 6 4 3" xfId="40864" xr:uid="{00000000-0005-0000-0000-0000288A0000}"/>
    <cellStyle name="Total 2 3 2 2 6 4 4" xfId="19149" xr:uid="{00000000-0005-0000-0000-0000298A0000}"/>
    <cellStyle name="Total 2 3 2 2 6 5" xfId="21843" xr:uid="{00000000-0005-0000-0000-00002A8A0000}"/>
    <cellStyle name="Total 2 3 2 2 6 6" xfId="32688" xr:uid="{00000000-0005-0000-0000-00002B8A0000}"/>
    <cellStyle name="Total 2 3 2 2 6 7" xfId="13295" xr:uid="{00000000-0005-0000-0000-00002C8A0000}"/>
    <cellStyle name="Total 2 3 2 2 7" xfId="3555" xr:uid="{00000000-0005-0000-0000-00002D8A0000}"/>
    <cellStyle name="Total 2 3 2 2 7 2" xfId="22527" xr:uid="{00000000-0005-0000-0000-00002E8A0000}"/>
    <cellStyle name="Total 2 3 2 2 7 3" xfId="33372" xr:uid="{00000000-0005-0000-0000-00002F8A0000}"/>
    <cellStyle name="Total 2 3 2 2 7 4" xfId="13776" xr:uid="{00000000-0005-0000-0000-0000308A0000}"/>
    <cellStyle name="Total 2 3 2 2 8" xfId="6230" xr:uid="{00000000-0005-0000-0000-0000318A0000}"/>
    <cellStyle name="Total 2 3 2 2 8 2" xfId="25202" xr:uid="{00000000-0005-0000-0000-0000328A0000}"/>
    <cellStyle name="Total 2 3 2 2 8 3" xfId="36047" xr:uid="{00000000-0005-0000-0000-0000338A0000}"/>
    <cellStyle name="Total 2 3 2 2 8 4" xfId="15692" xr:uid="{00000000-0005-0000-0000-0000348A0000}"/>
    <cellStyle name="Total 2 3 2 2 9" xfId="8889" xr:uid="{00000000-0005-0000-0000-0000358A0000}"/>
    <cellStyle name="Total 2 3 2 2 9 2" xfId="27861" xr:uid="{00000000-0005-0000-0000-0000368A0000}"/>
    <cellStyle name="Total 2 3 2 2 9 3" xfId="38706" xr:uid="{00000000-0005-0000-0000-0000378A0000}"/>
    <cellStyle name="Total 2 3 2 2 9 4" xfId="17596" xr:uid="{00000000-0005-0000-0000-0000388A0000}"/>
    <cellStyle name="Total 2 3 2 3" xfId="760" xr:uid="{00000000-0005-0000-0000-0000398A0000}"/>
    <cellStyle name="Total 2 3 2 3 10" xfId="19745" xr:uid="{00000000-0005-0000-0000-00003A8A0000}"/>
    <cellStyle name="Total 2 3 2 3 11" xfId="30590" xr:uid="{00000000-0005-0000-0000-00003B8A0000}"/>
    <cellStyle name="Total 2 3 2 3 12" xfId="11782" xr:uid="{00000000-0005-0000-0000-00003C8A0000}"/>
    <cellStyle name="Total 2 3 2 3 2" xfId="1347" xr:uid="{00000000-0005-0000-0000-00003D8A0000}"/>
    <cellStyle name="Total 2 3 2 3 2 2" xfId="4200" xr:uid="{00000000-0005-0000-0000-00003E8A0000}"/>
    <cellStyle name="Total 2 3 2 3 2 2 2" xfId="23172" xr:uid="{00000000-0005-0000-0000-00003F8A0000}"/>
    <cellStyle name="Total 2 3 2 3 2 2 3" xfId="34017" xr:uid="{00000000-0005-0000-0000-0000408A0000}"/>
    <cellStyle name="Total 2 3 2 3 2 2 4" xfId="14243" xr:uid="{00000000-0005-0000-0000-0000418A0000}"/>
    <cellStyle name="Total 2 3 2 3 2 3" xfId="6873" xr:uid="{00000000-0005-0000-0000-0000428A0000}"/>
    <cellStyle name="Total 2 3 2 3 2 3 2" xfId="25845" xr:uid="{00000000-0005-0000-0000-0000438A0000}"/>
    <cellStyle name="Total 2 3 2 3 2 3 3" xfId="36690" xr:uid="{00000000-0005-0000-0000-0000448A0000}"/>
    <cellStyle name="Total 2 3 2 3 2 3 4" xfId="16158" xr:uid="{00000000-0005-0000-0000-0000458A0000}"/>
    <cellStyle name="Total 2 3 2 3 2 4" xfId="9532" xr:uid="{00000000-0005-0000-0000-0000468A0000}"/>
    <cellStyle name="Total 2 3 2 3 2 4 2" xfId="28504" xr:uid="{00000000-0005-0000-0000-0000478A0000}"/>
    <cellStyle name="Total 2 3 2 3 2 4 3" xfId="39349" xr:uid="{00000000-0005-0000-0000-0000488A0000}"/>
    <cellStyle name="Total 2 3 2 3 2 4 4" xfId="18062" xr:uid="{00000000-0005-0000-0000-0000498A0000}"/>
    <cellStyle name="Total 2 3 2 3 2 5" xfId="20328" xr:uid="{00000000-0005-0000-0000-00004A8A0000}"/>
    <cellStyle name="Total 2 3 2 3 2 6" xfId="31173" xr:uid="{00000000-0005-0000-0000-00004B8A0000}"/>
    <cellStyle name="Total 2 3 2 3 2 7" xfId="12208" xr:uid="{00000000-0005-0000-0000-00004C8A0000}"/>
    <cellStyle name="Total 2 3 2 3 3" xfId="1746" xr:uid="{00000000-0005-0000-0000-00004D8A0000}"/>
    <cellStyle name="Total 2 3 2 3 3 2" xfId="4599" xr:uid="{00000000-0005-0000-0000-00004E8A0000}"/>
    <cellStyle name="Total 2 3 2 3 3 2 2" xfId="23571" xr:uid="{00000000-0005-0000-0000-00004F8A0000}"/>
    <cellStyle name="Total 2 3 2 3 3 2 3" xfId="34416" xr:uid="{00000000-0005-0000-0000-0000508A0000}"/>
    <cellStyle name="Total 2 3 2 3 3 2 4" xfId="14530" xr:uid="{00000000-0005-0000-0000-0000518A0000}"/>
    <cellStyle name="Total 2 3 2 3 3 3" xfId="7271" xr:uid="{00000000-0005-0000-0000-0000528A0000}"/>
    <cellStyle name="Total 2 3 2 3 3 3 2" xfId="26243" xr:uid="{00000000-0005-0000-0000-0000538A0000}"/>
    <cellStyle name="Total 2 3 2 3 3 3 3" xfId="37088" xr:uid="{00000000-0005-0000-0000-0000548A0000}"/>
    <cellStyle name="Total 2 3 2 3 3 3 4" xfId="16444" xr:uid="{00000000-0005-0000-0000-0000558A0000}"/>
    <cellStyle name="Total 2 3 2 3 3 4" xfId="9930" xr:uid="{00000000-0005-0000-0000-0000568A0000}"/>
    <cellStyle name="Total 2 3 2 3 3 4 2" xfId="28902" xr:uid="{00000000-0005-0000-0000-0000578A0000}"/>
    <cellStyle name="Total 2 3 2 3 3 4 3" xfId="39747" xr:uid="{00000000-0005-0000-0000-0000588A0000}"/>
    <cellStyle name="Total 2 3 2 3 3 4 4" xfId="18348" xr:uid="{00000000-0005-0000-0000-0000598A0000}"/>
    <cellStyle name="Total 2 3 2 3 3 5" xfId="20726" xr:uid="{00000000-0005-0000-0000-00005A8A0000}"/>
    <cellStyle name="Total 2 3 2 3 3 6" xfId="31571" xr:uid="{00000000-0005-0000-0000-00005B8A0000}"/>
    <cellStyle name="Total 2 3 2 3 3 7" xfId="12494" xr:uid="{00000000-0005-0000-0000-00005C8A0000}"/>
    <cellStyle name="Total 2 3 2 3 4" xfId="2150" xr:uid="{00000000-0005-0000-0000-00005D8A0000}"/>
    <cellStyle name="Total 2 3 2 3 4 2" xfId="5003" xr:uid="{00000000-0005-0000-0000-00005E8A0000}"/>
    <cellStyle name="Total 2 3 2 3 4 2 2" xfId="23975" xr:uid="{00000000-0005-0000-0000-00005F8A0000}"/>
    <cellStyle name="Total 2 3 2 3 4 2 3" xfId="34820" xr:uid="{00000000-0005-0000-0000-0000608A0000}"/>
    <cellStyle name="Total 2 3 2 3 4 2 4" xfId="14817" xr:uid="{00000000-0005-0000-0000-0000618A0000}"/>
    <cellStyle name="Total 2 3 2 3 4 3" xfId="7674" xr:uid="{00000000-0005-0000-0000-0000628A0000}"/>
    <cellStyle name="Total 2 3 2 3 4 3 2" xfId="26646" xr:uid="{00000000-0005-0000-0000-0000638A0000}"/>
    <cellStyle name="Total 2 3 2 3 4 3 3" xfId="37491" xr:uid="{00000000-0005-0000-0000-0000648A0000}"/>
    <cellStyle name="Total 2 3 2 3 4 3 4" xfId="16730" xr:uid="{00000000-0005-0000-0000-0000658A0000}"/>
    <cellStyle name="Total 2 3 2 3 4 4" xfId="10333" xr:uid="{00000000-0005-0000-0000-0000668A0000}"/>
    <cellStyle name="Total 2 3 2 3 4 4 2" xfId="29305" xr:uid="{00000000-0005-0000-0000-0000678A0000}"/>
    <cellStyle name="Total 2 3 2 3 4 4 3" xfId="40150" xr:uid="{00000000-0005-0000-0000-0000688A0000}"/>
    <cellStyle name="Total 2 3 2 3 4 4 4" xfId="18634" xr:uid="{00000000-0005-0000-0000-0000698A0000}"/>
    <cellStyle name="Total 2 3 2 3 4 5" xfId="21129" xr:uid="{00000000-0005-0000-0000-00006A8A0000}"/>
    <cellStyle name="Total 2 3 2 3 4 6" xfId="31974" xr:uid="{00000000-0005-0000-0000-00006B8A0000}"/>
    <cellStyle name="Total 2 3 2 3 4 7" xfId="12780" xr:uid="{00000000-0005-0000-0000-00006C8A0000}"/>
    <cellStyle name="Total 2 3 2 3 5" xfId="2540" xr:uid="{00000000-0005-0000-0000-00006D8A0000}"/>
    <cellStyle name="Total 2 3 2 3 5 2" xfId="5392" xr:uid="{00000000-0005-0000-0000-00006E8A0000}"/>
    <cellStyle name="Total 2 3 2 3 5 2 2" xfId="24364" xr:uid="{00000000-0005-0000-0000-00006F8A0000}"/>
    <cellStyle name="Total 2 3 2 3 5 2 3" xfId="35209" xr:uid="{00000000-0005-0000-0000-0000708A0000}"/>
    <cellStyle name="Total 2 3 2 3 5 2 4" xfId="15096" xr:uid="{00000000-0005-0000-0000-0000718A0000}"/>
    <cellStyle name="Total 2 3 2 3 5 3" xfId="8063" xr:uid="{00000000-0005-0000-0000-0000728A0000}"/>
    <cellStyle name="Total 2 3 2 3 5 3 2" xfId="27035" xr:uid="{00000000-0005-0000-0000-0000738A0000}"/>
    <cellStyle name="Total 2 3 2 3 5 3 3" xfId="37880" xr:uid="{00000000-0005-0000-0000-0000748A0000}"/>
    <cellStyle name="Total 2 3 2 3 5 3 4" xfId="17009" xr:uid="{00000000-0005-0000-0000-0000758A0000}"/>
    <cellStyle name="Total 2 3 2 3 5 4" xfId="10722" xr:uid="{00000000-0005-0000-0000-0000768A0000}"/>
    <cellStyle name="Total 2 3 2 3 5 4 2" xfId="29694" xr:uid="{00000000-0005-0000-0000-0000778A0000}"/>
    <cellStyle name="Total 2 3 2 3 5 4 3" xfId="40539" xr:uid="{00000000-0005-0000-0000-0000788A0000}"/>
    <cellStyle name="Total 2 3 2 3 5 4 4" xfId="18913" xr:uid="{00000000-0005-0000-0000-0000798A0000}"/>
    <cellStyle name="Total 2 3 2 3 5 5" xfId="21518" xr:uid="{00000000-0005-0000-0000-00007A8A0000}"/>
    <cellStyle name="Total 2 3 2 3 5 6" xfId="32363" xr:uid="{00000000-0005-0000-0000-00007B8A0000}"/>
    <cellStyle name="Total 2 3 2 3 5 7" xfId="13059" xr:uid="{00000000-0005-0000-0000-00007C8A0000}"/>
    <cellStyle name="Total 2 3 2 3 6" xfId="2926" xr:uid="{00000000-0005-0000-0000-00007D8A0000}"/>
    <cellStyle name="Total 2 3 2 3 6 2" xfId="5777" xr:uid="{00000000-0005-0000-0000-00007E8A0000}"/>
    <cellStyle name="Total 2 3 2 3 6 2 2" xfId="24749" xr:uid="{00000000-0005-0000-0000-00007F8A0000}"/>
    <cellStyle name="Total 2 3 2 3 6 2 3" xfId="35594" xr:uid="{00000000-0005-0000-0000-0000808A0000}"/>
    <cellStyle name="Total 2 3 2 3 6 2 4" xfId="15372" xr:uid="{00000000-0005-0000-0000-0000818A0000}"/>
    <cellStyle name="Total 2 3 2 3 6 3" xfId="8448" xr:uid="{00000000-0005-0000-0000-0000828A0000}"/>
    <cellStyle name="Total 2 3 2 3 6 3 2" xfId="27420" xr:uid="{00000000-0005-0000-0000-0000838A0000}"/>
    <cellStyle name="Total 2 3 2 3 6 3 3" xfId="38265" xr:uid="{00000000-0005-0000-0000-0000848A0000}"/>
    <cellStyle name="Total 2 3 2 3 6 3 4" xfId="17285" xr:uid="{00000000-0005-0000-0000-0000858A0000}"/>
    <cellStyle name="Total 2 3 2 3 6 4" xfId="11107" xr:uid="{00000000-0005-0000-0000-0000868A0000}"/>
    <cellStyle name="Total 2 3 2 3 6 4 2" xfId="30079" xr:uid="{00000000-0005-0000-0000-0000878A0000}"/>
    <cellStyle name="Total 2 3 2 3 6 4 3" xfId="40924" xr:uid="{00000000-0005-0000-0000-0000888A0000}"/>
    <cellStyle name="Total 2 3 2 3 6 4 4" xfId="19189" xr:uid="{00000000-0005-0000-0000-0000898A0000}"/>
    <cellStyle name="Total 2 3 2 3 6 5" xfId="21903" xr:uid="{00000000-0005-0000-0000-00008A8A0000}"/>
    <cellStyle name="Total 2 3 2 3 6 6" xfId="32748" xr:uid="{00000000-0005-0000-0000-00008B8A0000}"/>
    <cellStyle name="Total 2 3 2 3 6 7" xfId="13335" xr:uid="{00000000-0005-0000-0000-00008C8A0000}"/>
    <cellStyle name="Total 2 3 2 3 7" xfId="3615" xr:uid="{00000000-0005-0000-0000-00008D8A0000}"/>
    <cellStyle name="Total 2 3 2 3 7 2" xfId="22587" xr:uid="{00000000-0005-0000-0000-00008E8A0000}"/>
    <cellStyle name="Total 2 3 2 3 7 3" xfId="33432" xr:uid="{00000000-0005-0000-0000-00008F8A0000}"/>
    <cellStyle name="Total 2 3 2 3 7 4" xfId="13816" xr:uid="{00000000-0005-0000-0000-0000908A0000}"/>
    <cellStyle name="Total 2 3 2 3 8" xfId="6290" xr:uid="{00000000-0005-0000-0000-0000918A0000}"/>
    <cellStyle name="Total 2 3 2 3 8 2" xfId="25262" xr:uid="{00000000-0005-0000-0000-0000928A0000}"/>
    <cellStyle name="Total 2 3 2 3 8 3" xfId="36107" xr:uid="{00000000-0005-0000-0000-0000938A0000}"/>
    <cellStyle name="Total 2 3 2 3 8 4" xfId="15732" xr:uid="{00000000-0005-0000-0000-0000948A0000}"/>
    <cellStyle name="Total 2 3 2 3 9" xfId="8949" xr:uid="{00000000-0005-0000-0000-0000958A0000}"/>
    <cellStyle name="Total 2 3 2 3 9 2" xfId="27921" xr:uid="{00000000-0005-0000-0000-0000968A0000}"/>
    <cellStyle name="Total 2 3 2 3 9 3" xfId="38766" xr:uid="{00000000-0005-0000-0000-0000978A0000}"/>
    <cellStyle name="Total 2 3 2 3 9 4" xfId="17636" xr:uid="{00000000-0005-0000-0000-0000988A0000}"/>
    <cellStyle name="Total 2 3 2 4" xfId="820" xr:uid="{00000000-0005-0000-0000-0000998A0000}"/>
    <cellStyle name="Total 2 3 2 4 10" xfId="19805" xr:uid="{00000000-0005-0000-0000-00009A8A0000}"/>
    <cellStyle name="Total 2 3 2 4 11" xfId="30650" xr:uid="{00000000-0005-0000-0000-00009B8A0000}"/>
    <cellStyle name="Total 2 3 2 4 12" xfId="11822" xr:uid="{00000000-0005-0000-0000-00009C8A0000}"/>
    <cellStyle name="Total 2 3 2 4 2" xfId="1407" xr:uid="{00000000-0005-0000-0000-00009D8A0000}"/>
    <cellStyle name="Total 2 3 2 4 2 2" xfId="4260" xr:uid="{00000000-0005-0000-0000-00009E8A0000}"/>
    <cellStyle name="Total 2 3 2 4 2 2 2" xfId="23232" xr:uid="{00000000-0005-0000-0000-00009F8A0000}"/>
    <cellStyle name="Total 2 3 2 4 2 2 3" xfId="34077" xr:uid="{00000000-0005-0000-0000-0000A08A0000}"/>
    <cellStyle name="Total 2 3 2 4 2 2 4" xfId="14283" xr:uid="{00000000-0005-0000-0000-0000A18A0000}"/>
    <cellStyle name="Total 2 3 2 4 2 3" xfId="6933" xr:uid="{00000000-0005-0000-0000-0000A28A0000}"/>
    <cellStyle name="Total 2 3 2 4 2 3 2" xfId="25905" xr:uid="{00000000-0005-0000-0000-0000A38A0000}"/>
    <cellStyle name="Total 2 3 2 4 2 3 3" xfId="36750" xr:uid="{00000000-0005-0000-0000-0000A48A0000}"/>
    <cellStyle name="Total 2 3 2 4 2 3 4" xfId="16198" xr:uid="{00000000-0005-0000-0000-0000A58A0000}"/>
    <cellStyle name="Total 2 3 2 4 2 4" xfId="9592" xr:uid="{00000000-0005-0000-0000-0000A68A0000}"/>
    <cellStyle name="Total 2 3 2 4 2 4 2" xfId="28564" xr:uid="{00000000-0005-0000-0000-0000A78A0000}"/>
    <cellStyle name="Total 2 3 2 4 2 4 3" xfId="39409" xr:uid="{00000000-0005-0000-0000-0000A88A0000}"/>
    <cellStyle name="Total 2 3 2 4 2 4 4" xfId="18102" xr:uid="{00000000-0005-0000-0000-0000A98A0000}"/>
    <cellStyle name="Total 2 3 2 4 2 5" xfId="20388" xr:uid="{00000000-0005-0000-0000-0000AA8A0000}"/>
    <cellStyle name="Total 2 3 2 4 2 6" xfId="31233" xr:uid="{00000000-0005-0000-0000-0000AB8A0000}"/>
    <cellStyle name="Total 2 3 2 4 2 7" xfId="12248" xr:uid="{00000000-0005-0000-0000-0000AC8A0000}"/>
    <cellStyle name="Total 2 3 2 4 3" xfId="1806" xr:uid="{00000000-0005-0000-0000-0000AD8A0000}"/>
    <cellStyle name="Total 2 3 2 4 3 2" xfId="4659" xr:uid="{00000000-0005-0000-0000-0000AE8A0000}"/>
    <cellStyle name="Total 2 3 2 4 3 2 2" xfId="23631" xr:uid="{00000000-0005-0000-0000-0000AF8A0000}"/>
    <cellStyle name="Total 2 3 2 4 3 2 3" xfId="34476" xr:uid="{00000000-0005-0000-0000-0000B08A0000}"/>
    <cellStyle name="Total 2 3 2 4 3 2 4" xfId="14570" xr:uid="{00000000-0005-0000-0000-0000B18A0000}"/>
    <cellStyle name="Total 2 3 2 4 3 3" xfId="7331" xr:uid="{00000000-0005-0000-0000-0000B28A0000}"/>
    <cellStyle name="Total 2 3 2 4 3 3 2" xfId="26303" xr:uid="{00000000-0005-0000-0000-0000B38A0000}"/>
    <cellStyle name="Total 2 3 2 4 3 3 3" xfId="37148" xr:uid="{00000000-0005-0000-0000-0000B48A0000}"/>
    <cellStyle name="Total 2 3 2 4 3 3 4" xfId="16484" xr:uid="{00000000-0005-0000-0000-0000B58A0000}"/>
    <cellStyle name="Total 2 3 2 4 3 4" xfId="9990" xr:uid="{00000000-0005-0000-0000-0000B68A0000}"/>
    <cellStyle name="Total 2 3 2 4 3 4 2" xfId="28962" xr:uid="{00000000-0005-0000-0000-0000B78A0000}"/>
    <cellStyle name="Total 2 3 2 4 3 4 3" xfId="39807" xr:uid="{00000000-0005-0000-0000-0000B88A0000}"/>
    <cellStyle name="Total 2 3 2 4 3 4 4" xfId="18388" xr:uid="{00000000-0005-0000-0000-0000B98A0000}"/>
    <cellStyle name="Total 2 3 2 4 3 5" xfId="20786" xr:uid="{00000000-0005-0000-0000-0000BA8A0000}"/>
    <cellStyle name="Total 2 3 2 4 3 6" xfId="31631" xr:uid="{00000000-0005-0000-0000-0000BB8A0000}"/>
    <cellStyle name="Total 2 3 2 4 3 7" xfId="12534" xr:uid="{00000000-0005-0000-0000-0000BC8A0000}"/>
    <cellStyle name="Total 2 3 2 4 4" xfId="2210" xr:uid="{00000000-0005-0000-0000-0000BD8A0000}"/>
    <cellStyle name="Total 2 3 2 4 4 2" xfId="5063" xr:uid="{00000000-0005-0000-0000-0000BE8A0000}"/>
    <cellStyle name="Total 2 3 2 4 4 2 2" xfId="24035" xr:uid="{00000000-0005-0000-0000-0000BF8A0000}"/>
    <cellStyle name="Total 2 3 2 4 4 2 3" xfId="34880" xr:uid="{00000000-0005-0000-0000-0000C08A0000}"/>
    <cellStyle name="Total 2 3 2 4 4 2 4" xfId="14857" xr:uid="{00000000-0005-0000-0000-0000C18A0000}"/>
    <cellStyle name="Total 2 3 2 4 4 3" xfId="7734" xr:uid="{00000000-0005-0000-0000-0000C28A0000}"/>
    <cellStyle name="Total 2 3 2 4 4 3 2" xfId="26706" xr:uid="{00000000-0005-0000-0000-0000C38A0000}"/>
    <cellStyle name="Total 2 3 2 4 4 3 3" xfId="37551" xr:uid="{00000000-0005-0000-0000-0000C48A0000}"/>
    <cellStyle name="Total 2 3 2 4 4 3 4" xfId="16770" xr:uid="{00000000-0005-0000-0000-0000C58A0000}"/>
    <cellStyle name="Total 2 3 2 4 4 4" xfId="10393" xr:uid="{00000000-0005-0000-0000-0000C68A0000}"/>
    <cellStyle name="Total 2 3 2 4 4 4 2" xfId="29365" xr:uid="{00000000-0005-0000-0000-0000C78A0000}"/>
    <cellStyle name="Total 2 3 2 4 4 4 3" xfId="40210" xr:uid="{00000000-0005-0000-0000-0000C88A0000}"/>
    <cellStyle name="Total 2 3 2 4 4 4 4" xfId="18674" xr:uid="{00000000-0005-0000-0000-0000C98A0000}"/>
    <cellStyle name="Total 2 3 2 4 4 5" xfId="21189" xr:uid="{00000000-0005-0000-0000-0000CA8A0000}"/>
    <cellStyle name="Total 2 3 2 4 4 6" xfId="32034" xr:uid="{00000000-0005-0000-0000-0000CB8A0000}"/>
    <cellStyle name="Total 2 3 2 4 4 7" xfId="12820" xr:uid="{00000000-0005-0000-0000-0000CC8A0000}"/>
    <cellStyle name="Total 2 3 2 4 5" xfId="2600" xr:uid="{00000000-0005-0000-0000-0000CD8A0000}"/>
    <cellStyle name="Total 2 3 2 4 5 2" xfId="5452" xr:uid="{00000000-0005-0000-0000-0000CE8A0000}"/>
    <cellStyle name="Total 2 3 2 4 5 2 2" xfId="24424" xr:uid="{00000000-0005-0000-0000-0000CF8A0000}"/>
    <cellStyle name="Total 2 3 2 4 5 2 3" xfId="35269" xr:uid="{00000000-0005-0000-0000-0000D08A0000}"/>
    <cellStyle name="Total 2 3 2 4 5 2 4" xfId="15136" xr:uid="{00000000-0005-0000-0000-0000D18A0000}"/>
    <cellStyle name="Total 2 3 2 4 5 3" xfId="8123" xr:uid="{00000000-0005-0000-0000-0000D28A0000}"/>
    <cellStyle name="Total 2 3 2 4 5 3 2" xfId="27095" xr:uid="{00000000-0005-0000-0000-0000D38A0000}"/>
    <cellStyle name="Total 2 3 2 4 5 3 3" xfId="37940" xr:uid="{00000000-0005-0000-0000-0000D48A0000}"/>
    <cellStyle name="Total 2 3 2 4 5 3 4" xfId="17049" xr:uid="{00000000-0005-0000-0000-0000D58A0000}"/>
    <cellStyle name="Total 2 3 2 4 5 4" xfId="10782" xr:uid="{00000000-0005-0000-0000-0000D68A0000}"/>
    <cellStyle name="Total 2 3 2 4 5 4 2" xfId="29754" xr:uid="{00000000-0005-0000-0000-0000D78A0000}"/>
    <cellStyle name="Total 2 3 2 4 5 4 3" xfId="40599" xr:uid="{00000000-0005-0000-0000-0000D88A0000}"/>
    <cellStyle name="Total 2 3 2 4 5 4 4" xfId="18953" xr:uid="{00000000-0005-0000-0000-0000D98A0000}"/>
    <cellStyle name="Total 2 3 2 4 5 5" xfId="21578" xr:uid="{00000000-0005-0000-0000-0000DA8A0000}"/>
    <cellStyle name="Total 2 3 2 4 5 6" xfId="32423" xr:uid="{00000000-0005-0000-0000-0000DB8A0000}"/>
    <cellStyle name="Total 2 3 2 4 5 7" xfId="13099" xr:uid="{00000000-0005-0000-0000-0000DC8A0000}"/>
    <cellStyle name="Total 2 3 2 4 6" xfId="2986" xr:uid="{00000000-0005-0000-0000-0000DD8A0000}"/>
    <cellStyle name="Total 2 3 2 4 6 2" xfId="5837" xr:uid="{00000000-0005-0000-0000-0000DE8A0000}"/>
    <cellStyle name="Total 2 3 2 4 6 2 2" xfId="24809" xr:uid="{00000000-0005-0000-0000-0000DF8A0000}"/>
    <cellStyle name="Total 2 3 2 4 6 2 3" xfId="35654" xr:uid="{00000000-0005-0000-0000-0000E08A0000}"/>
    <cellStyle name="Total 2 3 2 4 6 2 4" xfId="15412" xr:uid="{00000000-0005-0000-0000-0000E18A0000}"/>
    <cellStyle name="Total 2 3 2 4 6 3" xfId="8508" xr:uid="{00000000-0005-0000-0000-0000E28A0000}"/>
    <cellStyle name="Total 2 3 2 4 6 3 2" xfId="27480" xr:uid="{00000000-0005-0000-0000-0000E38A0000}"/>
    <cellStyle name="Total 2 3 2 4 6 3 3" xfId="38325" xr:uid="{00000000-0005-0000-0000-0000E48A0000}"/>
    <cellStyle name="Total 2 3 2 4 6 3 4" xfId="17325" xr:uid="{00000000-0005-0000-0000-0000E58A0000}"/>
    <cellStyle name="Total 2 3 2 4 6 4" xfId="11167" xr:uid="{00000000-0005-0000-0000-0000E68A0000}"/>
    <cellStyle name="Total 2 3 2 4 6 4 2" xfId="30139" xr:uid="{00000000-0005-0000-0000-0000E78A0000}"/>
    <cellStyle name="Total 2 3 2 4 6 4 3" xfId="40984" xr:uid="{00000000-0005-0000-0000-0000E88A0000}"/>
    <cellStyle name="Total 2 3 2 4 6 4 4" xfId="19229" xr:uid="{00000000-0005-0000-0000-0000E98A0000}"/>
    <cellStyle name="Total 2 3 2 4 6 5" xfId="21963" xr:uid="{00000000-0005-0000-0000-0000EA8A0000}"/>
    <cellStyle name="Total 2 3 2 4 6 6" xfId="32808" xr:uid="{00000000-0005-0000-0000-0000EB8A0000}"/>
    <cellStyle name="Total 2 3 2 4 6 7" xfId="13375" xr:uid="{00000000-0005-0000-0000-0000EC8A0000}"/>
    <cellStyle name="Total 2 3 2 4 7" xfId="3675" xr:uid="{00000000-0005-0000-0000-0000ED8A0000}"/>
    <cellStyle name="Total 2 3 2 4 7 2" xfId="22647" xr:uid="{00000000-0005-0000-0000-0000EE8A0000}"/>
    <cellStyle name="Total 2 3 2 4 7 3" xfId="33492" xr:uid="{00000000-0005-0000-0000-0000EF8A0000}"/>
    <cellStyle name="Total 2 3 2 4 7 4" xfId="13856" xr:uid="{00000000-0005-0000-0000-0000F08A0000}"/>
    <cellStyle name="Total 2 3 2 4 8" xfId="6350" xr:uid="{00000000-0005-0000-0000-0000F18A0000}"/>
    <cellStyle name="Total 2 3 2 4 8 2" xfId="25322" xr:uid="{00000000-0005-0000-0000-0000F28A0000}"/>
    <cellStyle name="Total 2 3 2 4 8 3" xfId="36167" xr:uid="{00000000-0005-0000-0000-0000F38A0000}"/>
    <cellStyle name="Total 2 3 2 4 8 4" xfId="15772" xr:uid="{00000000-0005-0000-0000-0000F48A0000}"/>
    <cellStyle name="Total 2 3 2 4 9" xfId="9009" xr:uid="{00000000-0005-0000-0000-0000F58A0000}"/>
    <cellStyle name="Total 2 3 2 4 9 2" xfId="27981" xr:uid="{00000000-0005-0000-0000-0000F68A0000}"/>
    <cellStyle name="Total 2 3 2 4 9 3" xfId="38826" xr:uid="{00000000-0005-0000-0000-0000F78A0000}"/>
    <cellStyle name="Total 2 3 2 4 9 4" xfId="17676" xr:uid="{00000000-0005-0000-0000-0000F88A0000}"/>
    <cellStyle name="Total 2 3 2 5" xfId="879" xr:uid="{00000000-0005-0000-0000-0000F98A0000}"/>
    <cellStyle name="Total 2 3 2 5 10" xfId="19864" xr:uid="{00000000-0005-0000-0000-0000FA8A0000}"/>
    <cellStyle name="Total 2 3 2 5 11" xfId="30709" xr:uid="{00000000-0005-0000-0000-0000FB8A0000}"/>
    <cellStyle name="Total 2 3 2 5 12" xfId="11861" xr:uid="{00000000-0005-0000-0000-0000FC8A0000}"/>
    <cellStyle name="Total 2 3 2 5 2" xfId="1466" xr:uid="{00000000-0005-0000-0000-0000FD8A0000}"/>
    <cellStyle name="Total 2 3 2 5 2 2" xfId="4319" xr:uid="{00000000-0005-0000-0000-0000FE8A0000}"/>
    <cellStyle name="Total 2 3 2 5 2 2 2" xfId="23291" xr:uid="{00000000-0005-0000-0000-0000FF8A0000}"/>
    <cellStyle name="Total 2 3 2 5 2 2 3" xfId="34136" xr:uid="{00000000-0005-0000-0000-0000008B0000}"/>
    <cellStyle name="Total 2 3 2 5 2 2 4" xfId="14322" xr:uid="{00000000-0005-0000-0000-0000018B0000}"/>
    <cellStyle name="Total 2 3 2 5 2 3" xfId="6992" xr:uid="{00000000-0005-0000-0000-0000028B0000}"/>
    <cellStyle name="Total 2 3 2 5 2 3 2" xfId="25964" xr:uid="{00000000-0005-0000-0000-0000038B0000}"/>
    <cellStyle name="Total 2 3 2 5 2 3 3" xfId="36809" xr:uid="{00000000-0005-0000-0000-0000048B0000}"/>
    <cellStyle name="Total 2 3 2 5 2 3 4" xfId="16237" xr:uid="{00000000-0005-0000-0000-0000058B0000}"/>
    <cellStyle name="Total 2 3 2 5 2 4" xfId="9651" xr:uid="{00000000-0005-0000-0000-0000068B0000}"/>
    <cellStyle name="Total 2 3 2 5 2 4 2" xfId="28623" xr:uid="{00000000-0005-0000-0000-0000078B0000}"/>
    <cellStyle name="Total 2 3 2 5 2 4 3" xfId="39468" xr:uid="{00000000-0005-0000-0000-0000088B0000}"/>
    <cellStyle name="Total 2 3 2 5 2 4 4" xfId="18141" xr:uid="{00000000-0005-0000-0000-0000098B0000}"/>
    <cellStyle name="Total 2 3 2 5 2 5" xfId="20447" xr:uid="{00000000-0005-0000-0000-00000A8B0000}"/>
    <cellStyle name="Total 2 3 2 5 2 6" xfId="31292" xr:uid="{00000000-0005-0000-0000-00000B8B0000}"/>
    <cellStyle name="Total 2 3 2 5 2 7" xfId="12287" xr:uid="{00000000-0005-0000-0000-00000C8B0000}"/>
    <cellStyle name="Total 2 3 2 5 3" xfId="1865" xr:uid="{00000000-0005-0000-0000-00000D8B0000}"/>
    <cellStyle name="Total 2 3 2 5 3 2" xfId="4718" xr:uid="{00000000-0005-0000-0000-00000E8B0000}"/>
    <cellStyle name="Total 2 3 2 5 3 2 2" xfId="23690" xr:uid="{00000000-0005-0000-0000-00000F8B0000}"/>
    <cellStyle name="Total 2 3 2 5 3 2 3" xfId="34535" xr:uid="{00000000-0005-0000-0000-0000108B0000}"/>
    <cellStyle name="Total 2 3 2 5 3 2 4" xfId="14609" xr:uid="{00000000-0005-0000-0000-0000118B0000}"/>
    <cellStyle name="Total 2 3 2 5 3 3" xfId="7390" xr:uid="{00000000-0005-0000-0000-0000128B0000}"/>
    <cellStyle name="Total 2 3 2 5 3 3 2" xfId="26362" xr:uid="{00000000-0005-0000-0000-0000138B0000}"/>
    <cellStyle name="Total 2 3 2 5 3 3 3" xfId="37207" xr:uid="{00000000-0005-0000-0000-0000148B0000}"/>
    <cellStyle name="Total 2 3 2 5 3 3 4" xfId="16523" xr:uid="{00000000-0005-0000-0000-0000158B0000}"/>
    <cellStyle name="Total 2 3 2 5 3 4" xfId="10049" xr:uid="{00000000-0005-0000-0000-0000168B0000}"/>
    <cellStyle name="Total 2 3 2 5 3 4 2" xfId="29021" xr:uid="{00000000-0005-0000-0000-0000178B0000}"/>
    <cellStyle name="Total 2 3 2 5 3 4 3" xfId="39866" xr:uid="{00000000-0005-0000-0000-0000188B0000}"/>
    <cellStyle name="Total 2 3 2 5 3 4 4" xfId="18427" xr:uid="{00000000-0005-0000-0000-0000198B0000}"/>
    <cellStyle name="Total 2 3 2 5 3 5" xfId="20845" xr:uid="{00000000-0005-0000-0000-00001A8B0000}"/>
    <cellStyle name="Total 2 3 2 5 3 6" xfId="31690" xr:uid="{00000000-0005-0000-0000-00001B8B0000}"/>
    <cellStyle name="Total 2 3 2 5 3 7" xfId="12573" xr:uid="{00000000-0005-0000-0000-00001C8B0000}"/>
    <cellStyle name="Total 2 3 2 5 4" xfId="2269" xr:uid="{00000000-0005-0000-0000-00001D8B0000}"/>
    <cellStyle name="Total 2 3 2 5 4 2" xfId="5122" xr:uid="{00000000-0005-0000-0000-00001E8B0000}"/>
    <cellStyle name="Total 2 3 2 5 4 2 2" xfId="24094" xr:uid="{00000000-0005-0000-0000-00001F8B0000}"/>
    <cellStyle name="Total 2 3 2 5 4 2 3" xfId="34939" xr:uid="{00000000-0005-0000-0000-0000208B0000}"/>
    <cellStyle name="Total 2 3 2 5 4 2 4" xfId="14896" xr:uid="{00000000-0005-0000-0000-0000218B0000}"/>
    <cellStyle name="Total 2 3 2 5 4 3" xfId="7793" xr:uid="{00000000-0005-0000-0000-0000228B0000}"/>
    <cellStyle name="Total 2 3 2 5 4 3 2" xfId="26765" xr:uid="{00000000-0005-0000-0000-0000238B0000}"/>
    <cellStyle name="Total 2 3 2 5 4 3 3" xfId="37610" xr:uid="{00000000-0005-0000-0000-0000248B0000}"/>
    <cellStyle name="Total 2 3 2 5 4 3 4" xfId="16809" xr:uid="{00000000-0005-0000-0000-0000258B0000}"/>
    <cellStyle name="Total 2 3 2 5 4 4" xfId="10452" xr:uid="{00000000-0005-0000-0000-0000268B0000}"/>
    <cellStyle name="Total 2 3 2 5 4 4 2" xfId="29424" xr:uid="{00000000-0005-0000-0000-0000278B0000}"/>
    <cellStyle name="Total 2 3 2 5 4 4 3" xfId="40269" xr:uid="{00000000-0005-0000-0000-0000288B0000}"/>
    <cellStyle name="Total 2 3 2 5 4 4 4" xfId="18713" xr:uid="{00000000-0005-0000-0000-0000298B0000}"/>
    <cellStyle name="Total 2 3 2 5 4 5" xfId="21248" xr:uid="{00000000-0005-0000-0000-00002A8B0000}"/>
    <cellStyle name="Total 2 3 2 5 4 6" xfId="32093" xr:uid="{00000000-0005-0000-0000-00002B8B0000}"/>
    <cellStyle name="Total 2 3 2 5 4 7" xfId="12859" xr:uid="{00000000-0005-0000-0000-00002C8B0000}"/>
    <cellStyle name="Total 2 3 2 5 5" xfId="2659" xr:uid="{00000000-0005-0000-0000-00002D8B0000}"/>
    <cellStyle name="Total 2 3 2 5 5 2" xfId="5511" xr:uid="{00000000-0005-0000-0000-00002E8B0000}"/>
    <cellStyle name="Total 2 3 2 5 5 2 2" xfId="24483" xr:uid="{00000000-0005-0000-0000-00002F8B0000}"/>
    <cellStyle name="Total 2 3 2 5 5 2 3" xfId="35328" xr:uid="{00000000-0005-0000-0000-0000308B0000}"/>
    <cellStyle name="Total 2 3 2 5 5 2 4" xfId="15175" xr:uid="{00000000-0005-0000-0000-0000318B0000}"/>
    <cellStyle name="Total 2 3 2 5 5 3" xfId="8182" xr:uid="{00000000-0005-0000-0000-0000328B0000}"/>
    <cellStyle name="Total 2 3 2 5 5 3 2" xfId="27154" xr:uid="{00000000-0005-0000-0000-0000338B0000}"/>
    <cellStyle name="Total 2 3 2 5 5 3 3" xfId="37999" xr:uid="{00000000-0005-0000-0000-0000348B0000}"/>
    <cellStyle name="Total 2 3 2 5 5 3 4" xfId="17088" xr:uid="{00000000-0005-0000-0000-0000358B0000}"/>
    <cellStyle name="Total 2 3 2 5 5 4" xfId="10841" xr:uid="{00000000-0005-0000-0000-0000368B0000}"/>
    <cellStyle name="Total 2 3 2 5 5 4 2" xfId="29813" xr:uid="{00000000-0005-0000-0000-0000378B0000}"/>
    <cellStyle name="Total 2 3 2 5 5 4 3" xfId="40658" xr:uid="{00000000-0005-0000-0000-0000388B0000}"/>
    <cellStyle name="Total 2 3 2 5 5 4 4" xfId="18992" xr:uid="{00000000-0005-0000-0000-0000398B0000}"/>
    <cellStyle name="Total 2 3 2 5 5 5" xfId="21637" xr:uid="{00000000-0005-0000-0000-00003A8B0000}"/>
    <cellStyle name="Total 2 3 2 5 5 6" xfId="32482" xr:uid="{00000000-0005-0000-0000-00003B8B0000}"/>
    <cellStyle name="Total 2 3 2 5 5 7" xfId="13138" xr:uid="{00000000-0005-0000-0000-00003C8B0000}"/>
    <cellStyle name="Total 2 3 2 5 6" xfId="3045" xr:uid="{00000000-0005-0000-0000-00003D8B0000}"/>
    <cellStyle name="Total 2 3 2 5 6 2" xfId="5896" xr:uid="{00000000-0005-0000-0000-00003E8B0000}"/>
    <cellStyle name="Total 2 3 2 5 6 2 2" xfId="24868" xr:uid="{00000000-0005-0000-0000-00003F8B0000}"/>
    <cellStyle name="Total 2 3 2 5 6 2 3" xfId="35713" xr:uid="{00000000-0005-0000-0000-0000408B0000}"/>
    <cellStyle name="Total 2 3 2 5 6 2 4" xfId="15451" xr:uid="{00000000-0005-0000-0000-0000418B0000}"/>
    <cellStyle name="Total 2 3 2 5 6 3" xfId="8567" xr:uid="{00000000-0005-0000-0000-0000428B0000}"/>
    <cellStyle name="Total 2 3 2 5 6 3 2" xfId="27539" xr:uid="{00000000-0005-0000-0000-0000438B0000}"/>
    <cellStyle name="Total 2 3 2 5 6 3 3" xfId="38384" xr:uid="{00000000-0005-0000-0000-0000448B0000}"/>
    <cellStyle name="Total 2 3 2 5 6 3 4" xfId="17364" xr:uid="{00000000-0005-0000-0000-0000458B0000}"/>
    <cellStyle name="Total 2 3 2 5 6 4" xfId="11226" xr:uid="{00000000-0005-0000-0000-0000468B0000}"/>
    <cellStyle name="Total 2 3 2 5 6 4 2" xfId="30198" xr:uid="{00000000-0005-0000-0000-0000478B0000}"/>
    <cellStyle name="Total 2 3 2 5 6 4 3" xfId="41043" xr:uid="{00000000-0005-0000-0000-0000488B0000}"/>
    <cellStyle name="Total 2 3 2 5 6 4 4" xfId="19268" xr:uid="{00000000-0005-0000-0000-0000498B0000}"/>
    <cellStyle name="Total 2 3 2 5 6 5" xfId="22022" xr:uid="{00000000-0005-0000-0000-00004A8B0000}"/>
    <cellStyle name="Total 2 3 2 5 6 6" xfId="32867" xr:uid="{00000000-0005-0000-0000-00004B8B0000}"/>
    <cellStyle name="Total 2 3 2 5 6 7" xfId="13414" xr:uid="{00000000-0005-0000-0000-00004C8B0000}"/>
    <cellStyle name="Total 2 3 2 5 7" xfId="3734" xr:uid="{00000000-0005-0000-0000-00004D8B0000}"/>
    <cellStyle name="Total 2 3 2 5 7 2" xfId="22706" xr:uid="{00000000-0005-0000-0000-00004E8B0000}"/>
    <cellStyle name="Total 2 3 2 5 7 3" xfId="33551" xr:uid="{00000000-0005-0000-0000-00004F8B0000}"/>
    <cellStyle name="Total 2 3 2 5 7 4" xfId="13895" xr:uid="{00000000-0005-0000-0000-0000508B0000}"/>
    <cellStyle name="Total 2 3 2 5 8" xfId="6409" xr:uid="{00000000-0005-0000-0000-0000518B0000}"/>
    <cellStyle name="Total 2 3 2 5 8 2" xfId="25381" xr:uid="{00000000-0005-0000-0000-0000528B0000}"/>
    <cellStyle name="Total 2 3 2 5 8 3" xfId="36226" xr:uid="{00000000-0005-0000-0000-0000538B0000}"/>
    <cellStyle name="Total 2 3 2 5 8 4" xfId="15811" xr:uid="{00000000-0005-0000-0000-0000548B0000}"/>
    <cellStyle name="Total 2 3 2 5 9" xfId="9068" xr:uid="{00000000-0005-0000-0000-0000558B0000}"/>
    <cellStyle name="Total 2 3 2 5 9 2" xfId="28040" xr:uid="{00000000-0005-0000-0000-0000568B0000}"/>
    <cellStyle name="Total 2 3 2 5 9 3" xfId="38885" xr:uid="{00000000-0005-0000-0000-0000578B0000}"/>
    <cellStyle name="Total 2 3 2 5 9 4" xfId="17715" xr:uid="{00000000-0005-0000-0000-0000588B0000}"/>
    <cellStyle name="Total 2 3 2 6" xfId="1101" xr:uid="{00000000-0005-0000-0000-0000598B0000}"/>
    <cellStyle name="Total 2 3 2 6 2" xfId="3954" xr:uid="{00000000-0005-0000-0000-00005A8B0000}"/>
    <cellStyle name="Total 2 3 2 6 2 2" xfId="22926" xr:uid="{00000000-0005-0000-0000-00005B8B0000}"/>
    <cellStyle name="Total 2 3 2 6 2 3" xfId="33771" xr:uid="{00000000-0005-0000-0000-00005C8B0000}"/>
    <cellStyle name="Total 2 3 2 6 2 4" xfId="14057" xr:uid="{00000000-0005-0000-0000-00005D8B0000}"/>
    <cellStyle name="Total 2 3 2 6 3" xfId="6628" xr:uid="{00000000-0005-0000-0000-00005E8B0000}"/>
    <cellStyle name="Total 2 3 2 6 3 2" xfId="25600" xr:uid="{00000000-0005-0000-0000-00005F8B0000}"/>
    <cellStyle name="Total 2 3 2 6 3 3" xfId="36445" xr:uid="{00000000-0005-0000-0000-0000608B0000}"/>
    <cellStyle name="Total 2 3 2 6 3 4" xfId="15973" xr:uid="{00000000-0005-0000-0000-0000618B0000}"/>
    <cellStyle name="Total 2 3 2 6 4" xfId="9287" xr:uid="{00000000-0005-0000-0000-0000628B0000}"/>
    <cellStyle name="Total 2 3 2 6 4 2" xfId="28259" xr:uid="{00000000-0005-0000-0000-0000638B0000}"/>
    <cellStyle name="Total 2 3 2 6 4 3" xfId="39104" xr:uid="{00000000-0005-0000-0000-0000648B0000}"/>
    <cellStyle name="Total 2 3 2 6 4 4" xfId="17877" xr:uid="{00000000-0005-0000-0000-0000658B0000}"/>
    <cellStyle name="Total 2 3 2 6 5" xfId="20083" xr:uid="{00000000-0005-0000-0000-0000668B0000}"/>
    <cellStyle name="Total 2 3 2 6 6" xfId="30928" xr:uid="{00000000-0005-0000-0000-0000678B0000}"/>
    <cellStyle name="Total 2 3 2 6 7" xfId="12023" xr:uid="{00000000-0005-0000-0000-0000688B0000}"/>
    <cellStyle name="Total 2 3 2 7" xfId="1501" xr:uid="{00000000-0005-0000-0000-0000698B0000}"/>
    <cellStyle name="Total 2 3 2 7 2" xfId="4354" xr:uid="{00000000-0005-0000-0000-00006A8B0000}"/>
    <cellStyle name="Total 2 3 2 7 2 2" xfId="23326" xr:uid="{00000000-0005-0000-0000-00006B8B0000}"/>
    <cellStyle name="Total 2 3 2 7 2 3" xfId="34171" xr:uid="{00000000-0005-0000-0000-00006C8B0000}"/>
    <cellStyle name="Total 2 3 2 7 2 4" xfId="14347" xr:uid="{00000000-0005-0000-0000-00006D8B0000}"/>
    <cellStyle name="Total 2 3 2 7 3" xfId="7027" xr:uid="{00000000-0005-0000-0000-00006E8B0000}"/>
    <cellStyle name="Total 2 3 2 7 3 2" xfId="25999" xr:uid="{00000000-0005-0000-0000-00006F8B0000}"/>
    <cellStyle name="Total 2 3 2 7 3 3" xfId="36844" xr:uid="{00000000-0005-0000-0000-0000708B0000}"/>
    <cellStyle name="Total 2 3 2 7 3 4" xfId="16262" xr:uid="{00000000-0005-0000-0000-0000718B0000}"/>
    <cellStyle name="Total 2 3 2 7 4" xfId="9686" xr:uid="{00000000-0005-0000-0000-0000728B0000}"/>
    <cellStyle name="Total 2 3 2 7 4 2" xfId="28658" xr:uid="{00000000-0005-0000-0000-0000738B0000}"/>
    <cellStyle name="Total 2 3 2 7 4 3" xfId="39503" xr:uid="{00000000-0005-0000-0000-0000748B0000}"/>
    <cellStyle name="Total 2 3 2 7 4 4" xfId="18166" xr:uid="{00000000-0005-0000-0000-0000758B0000}"/>
    <cellStyle name="Total 2 3 2 7 5" xfId="20482" xr:uid="{00000000-0005-0000-0000-0000768B0000}"/>
    <cellStyle name="Total 2 3 2 7 6" xfId="31327" xr:uid="{00000000-0005-0000-0000-0000778B0000}"/>
    <cellStyle name="Total 2 3 2 7 7" xfId="12312" xr:uid="{00000000-0005-0000-0000-0000788B0000}"/>
    <cellStyle name="Total 2 3 2 8" xfId="1909" xr:uid="{00000000-0005-0000-0000-0000798B0000}"/>
    <cellStyle name="Total 2 3 2 8 2" xfId="4762" xr:uid="{00000000-0005-0000-0000-00007A8B0000}"/>
    <cellStyle name="Total 2 3 2 8 2 2" xfId="23734" xr:uid="{00000000-0005-0000-0000-00007B8B0000}"/>
    <cellStyle name="Total 2 3 2 8 2 3" xfId="34579" xr:uid="{00000000-0005-0000-0000-00007C8B0000}"/>
    <cellStyle name="Total 2 3 2 8 2 4" xfId="14638" xr:uid="{00000000-0005-0000-0000-00007D8B0000}"/>
    <cellStyle name="Total 2 3 2 8 3" xfId="7434" xr:uid="{00000000-0005-0000-0000-00007E8B0000}"/>
    <cellStyle name="Total 2 3 2 8 3 2" xfId="26406" xr:uid="{00000000-0005-0000-0000-00007F8B0000}"/>
    <cellStyle name="Total 2 3 2 8 3 3" xfId="37251" xr:uid="{00000000-0005-0000-0000-0000808B0000}"/>
    <cellStyle name="Total 2 3 2 8 3 4" xfId="16552" xr:uid="{00000000-0005-0000-0000-0000818B0000}"/>
    <cellStyle name="Total 2 3 2 8 4" xfId="10093" xr:uid="{00000000-0005-0000-0000-0000828B0000}"/>
    <cellStyle name="Total 2 3 2 8 4 2" xfId="29065" xr:uid="{00000000-0005-0000-0000-0000838B0000}"/>
    <cellStyle name="Total 2 3 2 8 4 3" xfId="39910" xr:uid="{00000000-0005-0000-0000-0000848B0000}"/>
    <cellStyle name="Total 2 3 2 8 4 4" xfId="18456" xr:uid="{00000000-0005-0000-0000-0000858B0000}"/>
    <cellStyle name="Total 2 3 2 8 5" xfId="20889" xr:uid="{00000000-0005-0000-0000-0000868B0000}"/>
    <cellStyle name="Total 2 3 2 8 6" xfId="31734" xr:uid="{00000000-0005-0000-0000-0000878B0000}"/>
    <cellStyle name="Total 2 3 2 8 7" xfId="12602" xr:uid="{00000000-0005-0000-0000-0000888B0000}"/>
    <cellStyle name="Total 2 3 2 9" xfId="2303" xr:uid="{00000000-0005-0000-0000-0000898B0000}"/>
    <cellStyle name="Total 2 3 2 9 2" xfId="5156" xr:uid="{00000000-0005-0000-0000-00008A8B0000}"/>
    <cellStyle name="Total 2 3 2 9 2 2" xfId="24128" xr:uid="{00000000-0005-0000-0000-00008B8B0000}"/>
    <cellStyle name="Total 2 3 2 9 2 3" xfId="34973" xr:uid="{00000000-0005-0000-0000-00008C8B0000}"/>
    <cellStyle name="Total 2 3 2 9 2 4" xfId="14920" xr:uid="{00000000-0005-0000-0000-00008D8B0000}"/>
    <cellStyle name="Total 2 3 2 9 3" xfId="7827" xr:uid="{00000000-0005-0000-0000-00008E8B0000}"/>
    <cellStyle name="Total 2 3 2 9 3 2" xfId="26799" xr:uid="{00000000-0005-0000-0000-00008F8B0000}"/>
    <cellStyle name="Total 2 3 2 9 3 3" xfId="37644" xr:uid="{00000000-0005-0000-0000-0000908B0000}"/>
    <cellStyle name="Total 2 3 2 9 3 4" xfId="16833" xr:uid="{00000000-0005-0000-0000-0000918B0000}"/>
    <cellStyle name="Total 2 3 2 9 4" xfId="10486" xr:uid="{00000000-0005-0000-0000-0000928B0000}"/>
    <cellStyle name="Total 2 3 2 9 4 2" xfId="29458" xr:uid="{00000000-0005-0000-0000-0000938B0000}"/>
    <cellStyle name="Total 2 3 2 9 4 3" xfId="40303" xr:uid="{00000000-0005-0000-0000-0000948B0000}"/>
    <cellStyle name="Total 2 3 2 9 4 4" xfId="18737" xr:uid="{00000000-0005-0000-0000-0000958B0000}"/>
    <cellStyle name="Total 2 3 2 9 5" xfId="21282" xr:uid="{00000000-0005-0000-0000-0000968B0000}"/>
    <cellStyle name="Total 2 3 2 9 6" xfId="32127" xr:uid="{00000000-0005-0000-0000-0000978B0000}"/>
    <cellStyle name="Total 2 3 2 9 7" xfId="12883" xr:uid="{00000000-0005-0000-0000-0000988B0000}"/>
    <cellStyle name="Total 2 3 3" xfId="583" xr:uid="{00000000-0005-0000-0000-0000998B0000}"/>
    <cellStyle name="Total 2 3 3 10" xfId="19593" xr:uid="{00000000-0005-0000-0000-00009A8B0000}"/>
    <cellStyle name="Total 2 3 3 11" xfId="30438" xr:uid="{00000000-0005-0000-0000-00009B8B0000}"/>
    <cellStyle name="Total 2 3 3 12" xfId="11647" xr:uid="{00000000-0005-0000-0000-00009C8B0000}"/>
    <cellStyle name="Total 2 3 3 2" xfId="1189" xr:uid="{00000000-0005-0000-0000-00009D8B0000}"/>
    <cellStyle name="Total 2 3 3 2 2" xfId="4042" xr:uid="{00000000-0005-0000-0000-00009E8B0000}"/>
    <cellStyle name="Total 2 3 3 2 2 2" xfId="23014" xr:uid="{00000000-0005-0000-0000-00009F8B0000}"/>
    <cellStyle name="Total 2 3 3 2 2 3" xfId="33859" xr:uid="{00000000-0005-0000-0000-0000A08B0000}"/>
    <cellStyle name="Total 2 3 3 2 2 4" xfId="14124" xr:uid="{00000000-0005-0000-0000-0000A18B0000}"/>
    <cellStyle name="Total 2 3 3 2 3" xfId="6715" xr:uid="{00000000-0005-0000-0000-0000A28B0000}"/>
    <cellStyle name="Total 2 3 3 2 3 2" xfId="25687" xr:uid="{00000000-0005-0000-0000-0000A38B0000}"/>
    <cellStyle name="Total 2 3 3 2 3 3" xfId="36532" xr:uid="{00000000-0005-0000-0000-0000A48B0000}"/>
    <cellStyle name="Total 2 3 3 2 3 4" xfId="16039" xr:uid="{00000000-0005-0000-0000-0000A58B0000}"/>
    <cellStyle name="Total 2 3 3 2 4" xfId="9374" xr:uid="{00000000-0005-0000-0000-0000A68B0000}"/>
    <cellStyle name="Total 2 3 3 2 4 2" xfId="28346" xr:uid="{00000000-0005-0000-0000-0000A78B0000}"/>
    <cellStyle name="Total 2 3 3 2 4 3" xfId="39191" xr:uid="{00000000-0005-0000-0000-0000A88B0000}"/>
    <cellStyle name="Total 2 3 3 2 4 4" xfId="17943" xr:uid="{00000000-0005-0000-0000-0000A98B0000}"/>
    <cellStyle name="Total 2 3 3 2 5" xfId="20170" xr:uid="{00000000-0005-0000-0000-0000AA8B0000}"/>
    <cellStyle name="Total 2 3 3 2 6" xfId="31015" xr:uid="{00000000-0005-0000-0000-0000AB8B0000}"/>
    <cellStyle name="Total 2 3 3 2 7" xfId="12089" xr:uid="{00000000-0005-0000-0000-0000AC8B0000}"/>
    <cellStyle name="Total 2 3 3 3" xfId="1586" xr:uid="{00000000-0005-0000-0000-0000AD8B0000}"/>
    <cellStyle name="Total 2 3 3 3 2" xfId="4439" xr:uid="{00000000-0005-0000-0000-0000AE8B0000}"/>
    <cellStyle name="Total 2 3 3 3 2 2" xfId="23411" xr:uid="{00000000-0005-0000-0000-0000AF8B0000}"/>
    <cellStyle name="Total 2 3 3 3 2 3" xfId="34256" xr:uid="{00000000-0005-0000-0000-0000B08B0000}"/>
    <cellStyle name="Total 2 3 3 3 2 4" xfId="14410" xr:uid="{00000000-0005-0000-0000-0000B18B0000}"/>
    <cellStyle name="Total 2 3 3 3 3" xfId="7111" xr:uid="{00000000-0005-0000-0000-0000B28B0000}"/>
    <cellStyle name="Total 2 3 3 3 3 2" xfId="26083" xr:uid="{00000000-0005-0000-0000-0000B38B0000}"/>
    <cellStyle name="Total 2 3 3 3 3 3" xfId="36928" xr:uid="{00000000-0005-0000-0000-0000B48B0000}"/>
    <cellStyle name="Total 2 3 3 3 3 4" xfId="16324" xr:uid="{00000000-0005-0000-0000-0000B58B0000}"/>
    <cellStyle name="Total 2 3 3 3 4" xfId="9770" xr:uid="{00000000-0005-0000-0000-0000B68B0000}"/>
    <cellStyle name="Total 2 3 3 3 4 2" xfId="28742" xr:uid="{00000000-0005-0000-0000-0000B78B0000}"/>
    <cellStyle name="Total 2 3 3 3 4 3" xfId="39587" xr:uid="{00000000-0005-0000-0000-0000B88B0000}"/>
    <cellStyle name="Total 2 3 3 3 4 4" xfId="18228" xr:uid="{00000000-0005-0000-0000-0000B98B0000}"/>
    <cellStyle name="Total 2 3 3 3 5" xfId="20566" xr:uid="{00000000-0005-0000-0000-0000BA8B0000}"/>
    <cellStyle name="Total 2 3 3 3 6" xfId="31411" xr:uid="{00000000-0005-0000-0000-0000BB8B0000}"/>
    <cellStyle name="Total 2 3 3 3 7" xfId="12374" xr:uid="{00000000-0005-0000-0000-0000BC8B0000}"/>
    <cellStyle name="Total 2 3 3 4" xfId="1990" xr:uid="{00000000-0005-0000-0000-0000BD8B0000}"/>
    <cellStyle name="Total 2 3 3 4 2" xfId="4843" xr:uid="{00000000-0005-0000-0000-0000BE8B0000}"/>
    <cellStyle name="Total 2 3 3 4 2 2" xfId="23815" xr:uid="{00000000-0005-0000-0000-0000BF8B0000}"/>
    <cellStyle name="Total 2 3 3 4 2 3" xfId="34660" xr:uid="{00000000-0005-0000-0000-0000C08B0000}"/>
    <cellStyle name="Total 2 3 3 4 2 4" xfId="14698" xr:uid="{00000000-0005-0000-0000-0000C18B0000}"/>
    <cellStyle name="Total 2 3 3 4 3" xfId="7515" xr:uid="{00000000-0005-0000-0000-0000C28B0000}"/>
    <cellStyle name="Total 2 3 3 4 3 2" xfId="26487" xr:uid="{00000000-0005-0000-0000-0000C38B0000}"/>
    <cellStyle name="Total 2 3 3 4 3 3" xfId="37332" xr:uid="{00000000-0005-0000-0000-0000C48B0000}"/>
    <cellStyle name="Total 2 3 3 4 3 4" xfId="16612" xr:uid="{00000000-0005-0000-0000-0000C58B0000}"/>
    <cellStyle name="Total 2 3 3 4 4" xfId="10174" xr:uid="{00000000-0005-0000-0000-0000C68B0000}"/>
    <cellStyle name="Total 2 3 3 4 4 2" xfId="29146" xr:uid="{00000000-0005-0000-0000-0000C78B0000}"/>
    <cellStyle name="Total 2 3 3 4 4 3" xfId="39991" xr:uid="{00000000-0005-0000-0000-0000C88B0000}"/>
    <cellStyle name="Total 2 3 3 4 4 4" xfId="18516" xr:uid="{00000000-0005-0000-0000-0000C98B0000}"/>
    <cellStyle name="Total 2 3 3 4 5" xfId="20970" xr:uid="{00000000-0005-0000-0000-0000CA8B0000}"/>
    <cellStyle name="Total 2 3 3 4 6" xfId="31815" xr:uid="{00000000-0005-0000-0000-0000CB8B0000}"/>
    <cellStyle name="Total 2 3 3 4 7" xfId="12662" xr:uid="{00000000-0005-0000-0000-0000CC8B0000}"/>
    <cellStyle name="Total 2 3 3 5" xfId="2382" xr:uid="{00000000-0005-0000-0000-0000CD8B0000}"/>
    <cellStyle name="Total 2 3 3 5 2" xfId="5235" xr:uid="{00000000-0005-0000-0000-0000CE8B0000}"/>
    <cellStyle name="Total 2 3 3 5 2 2" xfId="24207" xr:uid="{00000000-0005-0000-0000-0000CF8B0000}"/>
    <cellStyle name="Total 2 3 3 5 2 3" xfId="35052" xr:uid="{00000000-0005-0000-0000-0000D08B0000}"/>
    <cellStyle name="Total 2 3 3 5 2 4" xfId="14979" xr:uid="{00000000-0005-0000-0000-0000D18B0000}"/>
    <cellStyle name="Total 2 3 3 5 3" xfId="7906" xr:uid="{00000000-0005-0000-0000-0000D28B0000}"/>
    <cellStyle name="Total 2 3 3 5 3 2" xfId="26878" xr:uid="{00000000-0005-0000-0000-0000D38B0000}"/>
    <cellStyle name="Total 2 3 3 5 3 3" xfId="37723" xr:uid="{00000000-0005-0000-0000-0000D48B0000}"/>
    <cellStyle name="Total 2 3 3 5 3 4" xfId="16892" xr:uid="{00000000-0005-0000-0000-0000D58B0000}"/>
    <cellStyle name="Total 2 3 3 5 4" xfId="10565" xr:uid="{00000000-0005-0000-0000-0000D68B0000}"/>
    <cellStyle name="Total 2 3 3 5 4 2" xfId="29537" xr:uid="{00000000-0005-0000-0000-0000D78B0000}"/>
    <cellStyle name="Total 2 3 3 5 4 3" xfId="40382" xr:uid="{00000000-0005-0000-0000-0000D88B0000}"/>
    <cellStyle name="Total 2 3 3 5 4 4" xfId="18796" xr:uid="{00000000-0005-0000-0000-0000D98B0000}"/>
    <cellStyle name="Total 2 3 3 5 5" xfId="21361" xr:uid="{00000000-0005-0000-0000-0000DA8B0000}"/>
    <cellStyle name="Total 2 3 3 5 6" xfId="32206" xr:uid="{00000000-0005-0000-0000-0000DB8B0000}"/>
    <cellStyle name="Total 2 3 3 5 7" xfId="12942" xr:uid="{00000000-0005-0000-0000-0000DC8B0000}"/>
    <cellStyle name="Total 2 3 3 6" xfId="2771" xr:uid="{00000000-0005-0000-0000-0000DD8B0000}"/>
    <cellStyle name="Total 2 3 3 6 2" xfId="5623" xr:uid="{00000000-0005-0000-0000-0000DE8B0000}"/>
    <cellStyle name="Total 2 3 3 6 2 2" xfId="24595" xr:uid="{00000000-0005-0000-0000-0000DF8B0000}"/>
    <cellStyle name="Total 2 3 3 6 2 3" xfId="35440" xr:uid="{00000000-0005-0000-0000-0000E08B0000}"/>
    <cellStyle name="Total 2 3 3 6 2 4" xfId="15257" xr:uid="{00000000-0005-0000-0000-0000E18B0000}"/>
    <cellStyle name="Total 2 3 3 6 3" xfId="8294" xr:uid="{00000000-0005-0000-0000-0000E28B0000}"/>
    <cellStyle name="Total 2 3 3 6 3 2" xfId="27266" xr:uid="{00000000-0005-0000-0000-0000E38B0000}"/>
    <cellStyle name="Total 2 3 3 6 3 3" xfId="38111" xr:uid="{00000000-0005-0000-0000-0000E48B0000}"/>
    <cellStyle name="Total 2 3 3 6 3 4" xfId="17170" xr:uid="{00000000-0005-0000-0000-0000E58B0000}"/>
    <cellStyle name="Total 2 3 3 6 4" xfId="10953" xr:uid="{00000000-0005-0000-0000-0000E68B0000}"/>
    <cellStyle name="Total 2 3 3 6 4 2" xfId="29925" xr:uid="{00000000-0005-0000-0000-0000E78B0000}"/>
    <cellStyle name="Total 2 3 3 6 4 3" xfId="40770" xr:uid="{00000000-0005-0000-0000-0000E88B0000}"/>
    <cellStyle name="Total 2 3 3 6 4 4" xfId="19074" xr:uid="{00000000-0005-0000-0000-0000E98B0000}"/>
    <cellStyle name="Total 2 3 3 6 5" xfId="21749" xr:uid="{00000000-0005-0000-0000-0000EA8B0000}"/>
    <cellStyle name="Total 2 3 3 6 6" xfId="32594" xr:uid="{00000000-0005-0000-0000-0000EB8B0000}"/>
    <cellStyle name="Total 2 3 3 6 7" xfId="13220" xr:uid="{00000000-0005-0000-0000-0000EC8B0000}"/>
    <cellStyle name="Total 2 3 3 7" xfId="3462" xr:uid="{00000000-0005-0000-0000-0000ED8B0000}"/>
    <cellStyle name="Total 2 3 3 7 2" xfId="22434" xr:uid="{00000000-0005-0000-0000-0000EE8B0000}"/>
    <cellStyle name="Total 2 3 3 7 3" xfId="33279" xr:uid="{00000000-0005-0000-0000-0000EF8B0000}"/>
    <cellStyle name="Total 2 3 3 7 4" xfId="13702" xr:uid="{00000000-0005-0000-0000-0000F08B0000}"/>
    <cellStyle name="Total 2 3 3 8" xfId="6138" xr:uid="{00000000-0005-0000-0000-0000F18B0000}"/>
    <cellStyle name="Total 2 3 3 8 2" xfId="25110" xr:uid="{00000000-0005-0000-0000-0000F28B0000}"/>
    <cellStyle name="Total 2 3 3 8 3" xfId="35955" xr:uid="{00000000-0005-0000-0000-0000F38B0000}"/>
    <cellStyle name="Total 2 3 3 8 4" xfId="15619" xr:uid="{00000000-0005-0000-0000-0000F48B0000}"/>
    <cellStyle name="Total 2 3 3 9" xfId="8797" xr:uid="{00000000-0005-0000-0000-0000F58B0000}"/>
    <cellStyle name="Total 2 3 3 9 2" xfId="27769" xr:uid="{00000000-0005-0000-0000-0000F68B0000}"/>
    <cellStyle name="Total 2 3 3 9 3" xfId="38614" xr:uid="{00000000-0005-0000-0000-0000F78B0000}"/>
    <cellStyle name="Total 2 3 3 9 4" xfId="17523" xr:uid="{00000000-0005-0000-0000-0000F88B0000}"/>
    <cellStyle name="Total 2 3 4" xfId="11476" xr:uid="{00000000-0005-0000-0000-0000F98B0000}"/>
    <cellStyle name="Total 2 4" xfId="158" xr:uid="{00000000-0005-0000-0000-0000FA8B0000}"/>
    <cellStyle name="Total 2 4 2" xfId="402" xr:uid="{00000000-0005-0000-0000-0000FB8B0000}"/>
    <cellStyle name="Total 2 4 2 10" xfId="2693" xr:uid="{00000000-0005-0000-0000-0000FC8B0000}"/>
    <cellStyle name="Total 2 4 2 10 2" xfId="5545" xr:uid="{00000000-0005-0000-0000-0000FD8B0000}"/>
    <cellStyle name="Total 2 4 2 10 2 2" xfId="24517" xr:uid="{00000000-0005-0000-0000-0000FE8B0000}"/>
    <cellStyle name="Total 2 4 2 10 2 3" xfId="35362" xr:uid="{00000000-0005-0000-0000-0000FF8B0000}"/>
    <cellStyle name="Total 2 4 2 10 2 4" xfId="15199" xr:uid="{00000000-0005-0000-0000-0000008C0000}"/>
    <cellStyle name="Total 2 4 2 10 3" xfId="8216" xr:uid="{00000000-0005-0000-0000-0000018C0000}"/>
    <cellStyle name="Total 2 4 2 10 3 2" xfId="27188" xr:uid="{00000000-0005-0000-0000-0000028C0000}"/>
    <cellStyle name="Total 2 4 2 10 3 3" xfId="38033" xr:uid="{00000000-0005-0000-0000-0000038C0000}"/>
    <cellStyle name="Total 2 4 2 10 3 4" xfId="17112" xr:uid="{00000000-0005-0000-0000-0000048C0000}"/>
    <cellStyle name="Total 2 4 2 10 4" xfId="10875" xr:uid="{00000000-0005-0000-0000-0000058C0000}"/>
    <cellStyle name="Total 2 4 2 10 4 2" xfId="29847" xr:uid="{00000000-0005-0000-0000-0000068C0000}"/>
    <cellStyle name="Total 2 4 2 10 4 3" xfId="40692" xr:uid="{00000000-0005-0000-0000-0000078C0000}"/>
    <cellStyle name="Total 2 4 2 10 4 4" xfId="19016" xr:uid="{00000000-0005-0000-0000-0000088C0000}"/>
    <cellStyle name="Total 2 4 2 10 5" xfId="21671" xr:uid="{00000000-0005-0000-0000-0000098C0000}"/>
    <cellStyle name="Total 2 4 2 10 6" xfId="32516" xr:uid="{00000000-0005-0000-0000-00000A8C0000}"/>
    <cellStyle name="Total 2 4 2 10 7" xfId="13162" xr:uid="{00000000-0005-0000-0000-00000B8C0000}"/>
    <cellStyle name="Total 2 4 2 11" xfId="3079" xr:uid="{00000000-0005-0000-0000-00000C8C0000}"/>
    <cellStyle name="Total 2 4 2 11 2" xfId="5930" xr:uid="{00000000-0005-0000-0000-00000D8C0000}"/>
    <cellStyle name="Total 2 4 2 11 2 2" xfId="24902" xr:uid="{00000000-0005-0000-0000-00000E8C0000}"/>
    <cellStyle name="Total 2 4 2 11 2 3" xfId="35747" xr:uid="{00000000-0005-0000-0000-00000F8C0000}"/>
    <cellStyle name="Total 2 4 2 11 2 4" xfId="15475" xr:uid="{00000000-0005-0000-0000-0000108C0000}"/>
    <cellStyle name="Total 2 4 2 11 3" xfId="8601" xr:uid="{00000000-0005-0000-0000-0000118C0000}"/>
    <cellStyle name="Total 2 4 2 11 3 2" xfId="27573" xr:uid="{00000000-0005-0000-0000-0000128C0000}"/>
    <cellStyle name="Total 2 4 2 11 3 3" xfId="38418" xr:uid="{00000000-0005-0000-0000-0000138C0000}"/>
    <cellStyle name="Total 2 4 2 11 3 4" xfId="17388" xr:uid="{00000000-0005-0000-0000-0000148C0000}"/>
    <cellStyle name="Total 2 4 2 11 4" xfId="11260" xr:uid="{00000000-0005-0000-0000-0000158C0000}"/>
    <cellStyle name="Total 2 4 2 11 4 2" xfId="30232" xr:uid="{00000000-0005-0000-0000-0000168C0000}"/>
    <cellStyle name="Total 2 4 2 11 4 3" xfId="41077" xr:uid="{00000000-0005-0000-0000-0000178C0000}"/>
    <cellStyle name="Total 2 4 2 11 4 4" xfId="19292" xr:uid="{00000000-0005-0000-0000-0000188C0000}"/>
    <cellStyle name="Total 2 4 2 11 5" xfId="22056" xr:uid="{00000000-0005-0000-0000-0000198C0000}"/>
    <cellStyle name="Total 2 4 2 11 6" xfId="32901" xr:uid="{00000000-0005-0000-0000-00001A8C0000}"/>
    <cellStyle name="Total 2 4 2 11 7" xfId="13438" xr:uid="{00000000-0005-0000-0000-00001B8C0000}"/>
    <cellStyle name="Total 2 4 2 12" xfId="3136" xr:uid="{00000000-0005-0000-0000-00001C8C0000}"/>
    <cellStyle name="Total 2 4 2 12 2" xfId="5987" xr:uid="{00000000-0005-0000-0000-00001D8C0000}"/>
    <cellStyle name="Total 2 4 2 12 2 2" xfId="24959" xr:uid="{00000000-0005-0000-0000-00001E8C0000}"/>
    <cellStyle name="Total 2 4 2 12 2 3" xfId="35804" xr:uid="{00000000-0005-0000-0000-00001F8C0000}"/>
    <cellStyle name="Total 2 4 2 12 2 4" xfId="15512" xr:uid="{00000000-0005-0000-0000-0000208C0000}"/>
    <cellStyle name="Total 2 4 2 12 3" xfId="8658" xr:uid="{00000000-0005-0000-0000-0000218C0000}"/>
    <cellStyle name="Total 2 4 2 12 3 2" xfId="27630" xr:uid="{00000000-0005-0000-0000-0000228C0000}"/>
    <cellStyle name="Total 2 4 2 12 3 3" xfId="38475" xr:uid="{00000000-0005-0000-0000-0000238C0000}"/>
    <cellStyle name="Total 2 4 2 12 3 4" xfId="17425" xr:uid="{00000000-0005-0000-0000-0000248C0000}"/>
    <cellStyle name="Total 2 4 2 12 4" xfId="11317" xr:uid="{00000000-0005-0000-0000-0000258C0000}"/>
    <cellStyle name="Total 2 4 2 12 4 2" xfId="30289" xr:uid="{00000000-0005-0000-0000-0000268C0000}"/>
    <cellStyle name="Total 2 4 2 12 4 3" xfId="41134" xr:uid="{00000000-0005-0000-0000-0000278C0000}"/>
    <cellStyle name="Total 2 4 2 12 4 4" xfId="19329" xr:uid="{00000000-0005-0000-0000-0000288C0000}"/>
    <cellStyle name="Total 2 4 2 12 5" xfId="22113" xr:uid="{00000000-0005-0000-0000-0000298C0000}"/>
    <cellStyle name="Total 2 4 2 12 6" xfId="32958" xr:uid="{00000000-0005-0000-0000-00002A8C0000}"/>
    <cellStyle name="Total 2 4 2 12 7" xfId="13475" xr:uid="{00000000-0005-0000-0000-00002B8C0000}"/>
    <cellStyle name="Total 2 4 2 13" xfId="3193" xr:uid="{00000000-0005-0000-0000-00002C8C0000}"/>
    <cellStyle name="Total 2 4 2 13 2" xfId="6044" xr:uid="{00000000-0005-0000-0000-00002D8C0000}"/>
    <cellStyle name="Total 2 4 2 13 2 2" xfId="25016" xr:uid="{00000000-0005-0000-0000-00002E8C0000}"/>
    <cellStyle name="Total 2 4 2 13 2 3" xfId="35861" xr:uid="{00000000-0005-0000-0000-00002F8C0000}"/>
    <cellStyle name="Total 2 4 2 13 2 4" xfId="15549" xr:uid="{00000000-0005-0000-0000-0000308C0000}"/>
    <cellStyle name="Total 2 4 2 13 3" xfId="8715" xr:uid="{00000000-0005-0000-0000-0000318C0000}"/>
    <cellStyle name="Total 2 4 2 13 3 2" xfId="27687" xr:uid="{00000000-0005-0000-0000-0000328C0000}"/>
    <cellStyle name="Total 2 4 2 13 3 3" xfId="38532" xr:uid="{00000000-0005-0000-0000-0000338C0000}"/>
    <cellStyle name="Total 2 4 2 13 3 4" xfId="17462" xr:uid="{00000000-0005-0000-0000-0000348C0000}"/>
    <cellStyle name="Total 2 4 2 13 4" xfId="11374" xr:uid="{00000000-0005-0000-0000-0000358C0000}"/>
    <cellStyle name="Total 2 4 2 13 4 2" xfId="30346" xr:uid="{00000000-0005-0000-0000-0000368C0000}"/>
    <cellStyle name="Total 2 4 2 13 4 3" xfId="41191" xr:uid="{00000000-0005-0000-0000-0000378C0000}"/>
    <cellStyle name="Total 2 4 2 13 4 4" xfId="19366" xr:uid="{00000000-0005-0000-0000-0000388C0000}"/>
    <cellStyle name="Total 2 4 2 13 5" xfId="22170" xr:uid="{00000000-0005-0000-0000-0000398C0000}"/>
    <cellStyle name="Total 2 4 2 13 6" xfId="33015" xr:uid="{00000000-0005-0000-0000-00003A8C0000}"/>
    <cellStyle name="Total 2 4 2 13 7" xfId="13512" xr:uid="{00000000-0005-0000-0000-00003B8C0000}"/>
    <cellStyle name="Total 2 4 2 14" xfId="3360" xr:uid="{00000000-0005-0000-0000-00003C8C0000}"/>
    <cellStyle name="Total 2 4 2 14 2" xfId="22334" xr:uid="{00000000-0005-0000-0000-00003D8C0000}"/>
    <cellStyle name="Total 2 4 2 14 3" xfId="33179" xr:uid="{00000000-0005-0000-0000-00003E8C0000}"/>
    <cellStyle name="Total 2 4 2 14 4" xfId="13629" xr:uid="{00000000-0005-0000-0000-00003F8C0000}"/>
    <cellStyle name="Total 2 4 2 15" xfId="3284" xr:uid="{00000000-0005-0000-0000-0000408C0000}"/>
    <cellStyle name="Total 2 4 2 15 2" xfId="22258" xr:uid="{00000000-0005-0000-0000-0000418C0000}"/>
    <cellStyle name="Total 2 4 2 15 3" xfId="33103" xr:uid="{00000000-0005-0000-0000-0000428C0000}"/>
    <cellStyle name="Total 2 4 2 15 4" xfId="13577" xr:uid="{00000000-0005-0000-0000-0000438C0000}"/>
    <cellStyle name="Total 2 4 2 16" xfId="6072" xr:uid="{00000000-0005-0000-0000-0000448C0000}"/>
    <cellStyle name="Total 2 4 2 16 2" xfId="25044" xr:uid="{00000000-0005-0000-0000-0000458C0000}"/>
    <cellStyle name="Total 2 4 2 16 3" xfId="35889" xr:uid="{00000000-0005-0000-0000-0000468C0000}"/>
    <cellStyle name="Total 2 4 2 16 4" xfId="15566" xr:uid="{00000000-0005-0000-0000-0000478C0000}"/>
    <cellStyle name="Total 2 4 2 17" xfId="19490" xr:uid="{00000000-0005-0000-0000-0000488C0000}"/>
    <cellStyle name="Total 2 4 2 18" xfId="19517" xr:uid="{00000000-0005-0000-0000-0000498C0000}"/>
    <cellStyle name="Total 2 4 2 19" xfId="11539" xr:uid="{00000000-0005-0000-0000-00004A8C0000}"/>
    <cellStyle name="Total 2 4 2 2" xfId="701" xr:uid="{00000000-0005-0000-0000-00004B8C0000}"/>
    <cellStyle name="Total 2 4 2 2 10" xfId="19686" xr:uid="{00000000-0005-0000-0000-00004C8C0000}"/>
    <cellStyle name="Total 2 4 2 2 11" xfId="30531" xr:uid="{00000000-0005-0000-0000-00004D8C0000}"/>
    <cellStyle name="Total 2 4 2 2 12" xfId="11743" xr:uid="{00000000-0005-0000-0000-00004E8C0000}"/>
    <cellStyle name="Total 2 4 2 2 2" xfId="1288" xr:uid="{00000000-0005-0000-0000-00004F8C0000}"/>
    <cellStyle name="Total 2 4 2 2 2 2" xfId="4141" xr:uid="{00000000-0005-0000-0000-0000508C0000}"/>
    <cellStyle name="Total 2 4 2 2 2 2 2" xfId="23113" xr:uid="{00000000-0005-0000-0000-0000518C0000}"/>
    <cellStyle name="Total 2 4 2 2 2 2 3" xfId="33958" xr:uid="{00000000-0005-0000-0000-0000528C0000}"/>
    <cellStyle name="Total 2 4 2 2 2 2 4" xfId="14204" xr:uid="{00000000-0005-0000-0000-0000538C0000}"/>
    <cellStyle name="Total 2 4 2 2 2 3" xfId="6814" xr:uid="{00000000-0005-0000-0000-0000548C0000}"/>
    <cellStyle name="Total 2 4 2 2 2 3 2" xfId="25786" xr:uid="{00000000-0005-0000-0000-0000558C0000}"/>
    <cellStyle name="Total 2 4 2 2 2 3 3" xfId="36631" xr:uid="{00000000-0005-0000-0000-0000568C0000}"/>
    <cellStyle name="Total 2 4 2 2 2 3 4" xfId="16119" xr:uid="{00000000-0005-0000-0000-0000578C0000}"/>
    <cellStyle name="Total 2 4 2 2 2 4" xfId="9473" xr:uid="{00000000-0005-0000-0000-0000588C0000}"/>
    <cellStyle name="Total 2 4 2 2 2 4 2" xfId="28445" xr:uid="{00000000-0005-0000-0000-0000598C0000}"/>
    <cellStyle name="Total 2 4 2 2 2 4 3" xfId="39290" xr:uid="{00000000-0005-0000-0000-00005A8C0000}"/>
    <cellStyle name="Total 2 4 2 2 2 4 4" xfId="18023" xr:uid="{00000000-0005-0000-0000-00005B8C0000}"/>
    <cellStyle name="Total 2 4 2 2 2 5" xfId="20269" xr:uid="{00000000-0005-0000-0000-00005C8C0000}"/>
    <cellStyle name="Total 2 4 2 2 2 6" xfId="31114" xr:uid="{00000000-0005-0000-0000-00005D8C0000}"/>
    <cellStyle name="Total 2 4 2 2 2 7" xfId="12169" xr:uid="{00000000-0005-0000-0000-00005E8C0000}"/>
    <cellStyle name="Total 2 4 2 2 3" xfId="1687" xr:uid="{00000000-0005-0000-0000-00005F8C0000}"/>
    <cellStyle name="Total 2 4 2 2 3 2" xfId="4540" xr:uid="{00000000-0005-0000-0000-0000608C0000}"/>
    <cellStyle name="Total 2 4 2 2 3 2 2" xfId="23512" xr:uid="{00000000-0005-0000-0000-0000618C0000}"/>
    <cellStyle name="Total 2 4 2 2 3 2 3" xfId="34357" xr:uid="{00000000-0005-0000-0000-0000628C0000}"/>
    <cellStyle name="Total 2 4 2 2 3 2 4" xfId="14491" xr:uid="{00000000-0005-0000-0000-0000638C0000}"/>
    <cellStyle name="Total 2 4 2 2 3 3" xfId="7212" xr:uid="{00000000-0005-0000-0000-0000648C0000}"/>
    <cellStyle name="Total 2 4 2 2 3 3 2" xfId="26184" xr:uid="{00000000-0005-0000-0000-0000658C0000}"/>
    <cellStyle name="Total 2 4 2 2 3 3 3" xfId="37029" xr:uid="{00000000-0005-0000-0000-0000668C0000}"/>
    <cellStyle name="Total 2 4 2 2 3 3 4" xfId="16405" xr:uid="{00000000-0005-0000-0000-0000678C0000}"/>
    <cellStyle name="Total 2 4 2 2 3 4" xfId="9871" xr:uid="{00000000-0005-0000-0000-0000688C0000}"/>
    <cellStyle name="Total 2 4 2 2 3 4 2" xfId="28843" xr:uid="{00000000-0005-0000-0000-0000698C0000}"/>
    <cellStyle name="Total 2 4 2 2 3 4 3" xfId="39688" xr:uid="{00000000-0005-0000-0000-00006A8C0000}"/>
    <cellStyle name="Total 2 4 2 2 3 4 4" xfId="18309" xr:uid="{00000000-0005-0000-0000-00006B8C0000}"/>
    <cellStyle name="Total 2 4 2 2 3 5" xfId="20667" xr:uid="{00000000-0005-0000-0000-00006C8C0000}"/>
    <cellStyle name="Total 2 4 2 2 3 6" xfId="31512" xr:uid="{00000000-0005-0000-0000-00006D8C0000}"/>
    <cellStyle name="Total 2 4 2 2 3 7" xfId="12455" xr:uid="{00000000-0005-0000-0000-00006E8C0000}"/>
    <cellStyle name="Total 2 4 2 2 4" xfId="2091" xr:uid="{00000000-0005-0000-0000-00006F8C0000}"/>
    <cellStyle name="Total 2 4 2 2 4 2" xfId="4944" xr:uid="{00000000-0005-0000-0000-0000708C0000}"/>
    <cellStyle name="Total 2 4 2 2 4 2 2" xfId="23916" xr:uid="{00000000-0005-0000-0000-0000718C0000}"/>
    <cellStyle name="Total 2 4 2 2 4 2 3" xfId="34761" xr:uid="{00000000-0005-0000-0000-0000728C0000}"/>
    <cellStyle name="Total 2 4 2 2 4 2 4" xfId="14778" xr:uid="{00000000-0005-0000-0000-0000738C0000}"/>
    <cellStyle name="Total 2 4 2 2 4 3" xfId="7615" xr:uid="{00000000-0005-0000-0000-0000748C0000}"/>
    <cellStyle name="Total 2 4 2 2 4 3 2" xfId="26587" xr:uid="{00000000-0005-0000-0000-0000758C0000}"/>
    <cellStyle name="Total 2 4 2 2 4 3 3" xfId="37432" xr:uid="{00000000-0005-0000-0000-0000768C0000}"/>
    <cellStyle name="Total 2 4 2 2 4 3 4" xfId="16691" xr:uid="{00000000-0005-0000-0000-0000778C0000}"/>
    <cellStyle name="Total 2 4 2 2 4 4" xfId="10274" xr:uid="{00000000-0005-0000-0000-0000788C0000}"/>
    <cellStyle name="Total 2 4 2 2 4 4 2" xfId="29246" xr:uid="{00000000-0005-0000-0000-0000798C0000}"/>
    <cellStyle name="Total 2 4 2 2 4 4 3" xfId="40091" xr:uid="{00000000-0005-0000-0000-00007A8C0000}"/>
    <cellStyle name="Total 2 4 2 2 4 4 4" xfId="18595" xr:uid="{00000000-0005-0000-0000-00007B8C0000}"/>
    <cellStyle name="Total 2 4 2 2 4 5" xfId="21070" xr:uid="{00000000-0005-0000-0000-00007C8C0000}"/>
    <cellStyle name="Total 2 4 2 2 4 6" xfId="31915" xr:uid="{00000000-0005-0000-0000-00007D8C0000}"/>
    <cellStyle name="Total 2 4 2 2 4 7" xfId="12741" xr:uid="{00000000-0005-0000-0000-00007E8C0000}"/>
    <cellStyle name="Total 2 4 2 2 5" xfId="2481" xr:uid="{00000000-0005-0000-0000-00007F8C0000}"/>
    <cellStyle name="Total 2 4 2 2 5 2" xfId="5333" xr:uid="{00000000-0005-0000-0000-0000808C0000}"/>
    <cellStyle name="Total 2 4 2 2 5 2 2" xfId="24305" xr:uid="{00000000-0005-0000-0000-0000818C0000}"/>
    <cellStyle name="Total 2 4 2 2 5 2 3" xfId="35150" xr:uid="{00000000-0005-0000-0000-0000828C0000}"/>
    <cellStyle name="Total 2 4 2 2 5 2 4" xfId="15057" xr:uid="{00000000-0005-0000-0000-0000838C0000}"/>
    <cellStyle name="Total 2 4 2 2 5 3" xfId="8004" xr:uid="{00000000-0005-0000-0000-0000848C0000}"/>
    <cellStyle name="Total 2 4 2 2 5 3 2" xfId="26976" xr:uid="{00000000-0005-0000-0000-0000858C0000}"/>
    <cellStyle name="Total 2 4 2 2 5 3 3" xfId="37821" xr:uid="{00000000-0005-0000-0000-0000868C0000}"/>
    <cellStyle name="Total 2 4 2 2 5 3 4" xfId="16970" xr:uid="{00000000-0005-0000-0000-0000878C0000}"/>
    <cellStyle name="Total 2 4 2 2 5 4" xfId="10663" xr:uid="{00000000-0005-0000-0000-0000888C0000}"/>
    <cellStyle name="Total 2 4 2 2 5 4 2" xfId="29635" xr:uid="{00000000-0005-0000-0000-0000898C0000}"/>
    <cellStyle name="Total 2 4 2 2 5 4 3" xfId="40480" xr:uid="{00000000-0005-0000-0000-00008A8C0000}"/>
    <cellStyle name="Total 2 4 2 2 5 4 4" xfId="18874" xr:uid="{00000000-0005-0000-0000-00008B8C0000}"/>
    <cellStyle name="Total 2 4 2 2 5 5" xfId="21459" xr:uid="{00000000-0005-0000-0000-00008C8C0000}"/>
    <cellStyle name="Total 2 4 2 2 5 6" xfId="32304" xr:uid="{00000000-0005-0000-0000-00008D8C0000}"/>
    <cellStyle name="Total 2 4 2 2 5 7" xfId="13020" xr:uid="{00000000-0005-0000-0000-00008E8C0000}"/>
    <cellStyle name="Total 2 4 2 2 6" xfId="2867" xr:uid="{00000000-0005-0000-0000-00008F8C0000}"/>
    <cellStyle name="Total 2 4 2 2 6 2" xfId="5718" xr:uid="{00000000-0005-0000-0000-0000908C0000}"/>
    <cellStyle name="Total 2 4 2 2 6 2 2" xfId="24690" xr:uid="{00000000-0005-0000-0000-0000918C0000}"/>
    <cellStyle name="Total 2 4 2 2 6 2 3" xfId="35535" xr:uid="{00000000-0005-0000-0000-0000928C0000}"/>
    <cellStyle name="Total 2 4 2 2 6 2 4" xfId="15333" xr:uid="{00000000-0005-0000-0000-0000938C0000}"/>
    <cellStyle name="Total 2 4 2 2 6 3" xfId="8389" xr:uid="{00000000-0005-0000-0000-0000948C0000}"/>
    <cellStyle name="Total 2 4 2 2 6 3 2" xfId="27361" xr:uid="{00000000-0005-0000-0000-0000958C0000}"/>
    <cellStyle name="Total 2 4 2 2 6 3 3" xfId="38206" xr:uid="{00000000-0005-0000-0000-0000968C0000}"/>
    <cellStyle name="Total 2 4 2 2 6 3 4" xfId="17246" xr:uid="{00000000-0005-0000-0000-0000978C0000}"/>
    <cellStyle name="Total 2 4 2 2 6 4" xfId="11048" xr:uid="{00000000-0005-0000-0000-0000988C0000}"/>
    <cellStyle name="Total 2 4 2 2 6 4 2" xfId="30020" xr:uid="{00000000-0005-0000-0000-0000998C0000}"/>
    <cellStyle name="Total 2 4 2 2 6 4 3" xfId="40865" xr:uid="{00000000-0005-0000-0000-00009A8C0000}"/>
    <cellStyle name="Total 2 4 2 2 6 4 4" xfId="19150" xr:uid="{00000000-0005-0000-0000-00009B8C0000}"/>
    <cellStyle name="Total 2 4 2 2 6 5" xfId="21844" xr:uid="{00000000-0005-0000-0000-00009C8C0000}"/>
    <cellStyle name="Total 2 4 2 2 6 6" xfId="32689" xr:uid="{00000000-0005-0000-0000-00009D8C0000}"/>
    <cellStyle name="Total 2 4 2 2 6 7" xfId="13296" xr:uid="{00000000-0005-0000-0000-00009E8C0000}"/>
    <cellStyle name="Total 2 4 2 2 7" xfId="3556" xr:uid="{00000000-0005-0000-0000-00009F8C0000}"/>
    <cellStyle name="Total 2 4 2 2 7 2" xfId="22528" xr:uid="{00000000-0005-0000-0000-0000A08C0000}"/>
    <cellStyle name="Total 2 4 2 2 7 3" xfId="33373" xr:uid="{00000000-0005-0000-0000-0000A18C0000}"/>
    <cellStyle name="Total 2 4 2 2 7 4" xfId="13777" xr:uid="{00000000-0005-0000-0000-0000A28C0000}"/>
    <cellStyle name="Total 2 4 2 2 8" xfId="6231" xr:uid="{00000000-0005-0000-0000-0000A38C0000}"/>
    <cellStyle name="Total 2 4 2 2 8 2" xfId="25203" xr:uid="{00000000-0005-0000-0000-0000A48C0000}"/>
    <cellStyle name="Total 2 4 2 2 8 3" xfId="36048" xr:uid="{00000000-0005-0000-0000-0000A58C0000}"/>
    <cellStyle name="Total 2 4 2 2 8 4" xfId="15693" xr:uid="{00000000-0005-0000-0000-0000A68C0000}"/>
    <cellStyle name="Total 2 4 2 2 9" xfId="8890" xr:uid="{00000000-0005-0000-0000-0000A78C0000}"/>
    <cellStyle name="Total 2 4 2 2 9 2" xfId="27862" xr:uid="{00000000-0005-0000-0000-0000A88C0000}"/>
    <cellStyle name="Total 2 4 2 2 9 3" xfId="38707" xr:uid="{00000000-0005-0000-0000-0000A98C0000}"/>
    <cellStyle name="Total 2 4 2 2 9 4" xfId="17597" xr:uid="{00000000-0005-0000-0000-0000AA8C0000}"/>
    <cellStyle name="Total 2 4 2 3" xfId="761" xr:uid="{00000000-0005-0000-0000-0000AB8C0000}"/>
    <cellStyle name="Total 2 4 2 3 10" xfId="19746" xr:uid="{00000000-0005-0000-0000-0000AC8C0000}"/>
    <cellStyle name="Total 2 4 2 3 11" xfId="30591" xr:uid="{00000000-0005-0000-0000-0000AD8C0000}"/>
    <cellStyle name="Total 2 4 2 3 12" xfId="11783" xr:uid="{00000000-0005-0000-0000-0000AE8C0000}"/>
    <cellStyle name="Total 2 4 2 3 2" xfId="1348" xr:uid="{00000000-0005-0000-0000-0000AF8C0000}"/>
    <cellStyle name="Total 2 4 2 3 2 2" xfId="4201" xr:uid="{00000000-0005-0000-0000-0000B08C0000}"/>
    <cellStyle name="Total 2 4 2 3 2 2 2" xfId="23173" xr:uid="{00000000-0005-0000-0000-0000B18C0000}"/>
    <cellStyle name="Total 2 4 2 3 2 2 3" xfId="34018" xr:uid="{00000000-0005-0000-0000-0000B28C0000}"/>
    <cellStyle name="Total 2 4 2 3 2 2 4" xfId="14244" xr:uid="{00000000-0005-0000-0000-0000B38C0000}"/>
    <cellStyle name="Total 2 4 2 3 2 3" xfId="6874" xr:uid="{00000000-0005-0000-0000-0000B48C0000}"/>
    <cellStyle name="Total 2 4 2 3 2 3 2" xfId="25846" xr:uid="{00000000-0005-0000-0000-0000B58C0000}"/>
    <cellStyle name="Total 2 4 2 3 2 3 3" xfId="36691" xr:uid="{00000000-0005-0000-0000-0000B68C0000}"/>
    <cellStyle name="Total 2 4 2 3 2 3 4" xfId="16159" xr:uid="{00000000-0005-0000-0000-0000B78C0000}"/>
    <cellStyle name="Total 2 4 2 3 2 4" xfId="9533" xr:uid="{00000000-0005-0000-0000-0000B88C0000}"/>
    <cellStyle name="Total 2 4 2 3 2 4 2" xfId="28505" xr:uid="{00000000-0005-0000-0000-0000B98C0000}"/>
    <cellStyle name="Total 2 4 2 3 2 4 3" xfId="39350" xr:uid="{00000000-0005-0000-0000-0000BA8C0000}"/>
    <cellStyle name="Total 2 4 2 3 2 4 4" xfId="18063" xr:uid="{00000000-0005-0000-0000-0000BB8C0000}"/>
    <cellStyle name="Total 2 4 2 3 2 5" xfId="20329" xr:uid="{00000000-0005-0000-0000-0000BC8C0000}"/>
    <cellStyle name="Total 2 4 2 3 2 6" xfId="31174" xr:uid="{00000000-0005-0000-0000-0000BD8C0000}"/>
    <cellStyle name="Total 2 4 2 3 2 7" xfId="12209" xr:uid="{00000000-0005-0000-0000-0000BE8C0000}"/>
    <cellStyle name="Total 2 4 2 3 3" xfId="1747" xr:uid="{00000000-0005-0000-0000-0000BF8C0000}"/>
    <cellStyle name="Total 2 4 2 3 3 2" xfId="4600" xr:uid="{00000000-0005-0000-0000-0000C08C0000}"/>
    <cellStyle name="Total 2 4 2 3 3 2 2" xfId="23572" xr:uid="{00000000-0005-0000-0000-0000C18C0000}"/>
    <cellStyle name="Total 2 4 2 3 3 2 3" xfId="34417" xr:uid="{00000000-0005-0000-0000-0000C28C0000}"/>
    <cellStyle name="Total 2 4 2 3 3 2 4" xfId="14531" xr:uid="{00000000-0005-0000-0000-0000C38C0000}"/>
    <cellStyle name="Total 2 4 2 3 3 3" xfId="7272" xr:uid="{00000000-0005-0000-0000-0000C48C0000}"/>
    <cellStyle name="Total 2 4 2 3 3 3 2" xfId="26244" xr:uid="{00000000-0005-0000-0000-0000C58C0000}"/>
    <cellStyle name="Total 2 4 2 3 3 3 3" xfId="37089" xr:uid="{00000000-0005-0000-0000-0000C68C0000}"/>
    <cellStyle name="Total 2 4 2 3 3 3 4" xfId="16445" xr:uid="{00000000-0005-0000-0000-0000C78C0000}"/>
    <cellStyle name="Total 2 4 2 3 3 4" xfId="9931" xr:uid="{00000000-0005-0000-0000-0000C88C0000}"/>
    <cellStyle name="Total 2 4 2 3 3 4 2" xfId="28903" xr:uid="{00000000-0005-0000-0000-0000C98C0000}"/>
    <cellStyle name="Total 2 4 2 3 3 4 3" xfId="39748" xr:uid="{00000000-0005-0000-0000-0000CA8C0000}"/>
    <cellStyle name="Total 2 4 2 3 3 4 4" xfId="18349" xr:uid="{00000000-0005-0000-0000-0000CB8C0000}"/>
    <cellStyle name="Total 2 4 2 3 3 5" xfId="20727" xr:uid="{00000000-0005-0000-0000-0000CC8C0000}"/>
    <cellStyle name="Total 2 4 2 3 3 6" xfId="31572" xr:uid="{00000000-0005-0000-0000-0000CD8C0000}"/>
    <cellStyle name="Total 2 4 2 3 3 7" xfId="12495" xr:uid="{00000000-0005-0000-0000-0000CE8C0000}"/>
    <cellStyle name="Total 2 4 2 3 4" xfId="2151" xr:uid="{00000000-0005-0000-0000-0000CF8C0000}"/>
    <cellStyle name="Total 2 4 2 3 4 2" xfId="5004" xr:uid="{00000000-0005-0000-0000-0000D08C0000}"/>
    <cellStyle name="Total 2 4 2 3 4 2 2" xfId="23976" xr:uid="{00000000-0005-0000-0000-0000D18C0000}"/>
    <cellStyle name="Total 2 4 2 3 4 2 3" xfId="34821" xr:uid="{00000000-0005-0000-0000-0000D28C0000}"/>
    <cellStyle name="Total 2 4 2 3 4 2 4" xfId="14818" xr:uid="{00000000-0005-0000-0000-0000D38C0000}"/>
    <cellStyle name="Total 2 4 2 3 4 3" xfId="7675" xr:uid="{00000000-0005-0000-0000-0000D48C0000}"/>
    <cellStyle name="Total 2 4 2 3 4 3 2" xfId="26647" xr:uid="{00000000-0005-0000-0000-0000D58C0000}"/>
    <cellStyle name="Total 2 4 2 3 4 3 3" xfId="37492" xr:uid="{00000000-0005-0000-0000-0000D68C0000}"/>
    <cellStyle name="Total 2 4 2 3 4 3 4" xfId="16731" xr:uid="{00000000-0005-0000-0000-0000D78C0000}"/>
    <cellStyle name="Total 2 4 2 3 4 4" xfId="10334" xr:uid="{00000000-0005-0000-0000-0000D88C0000}"/>
    <cellStyle name="Total 2 4 2 3 4 4 2" xfId="29306" xr:uid="{00000000-0005-0000-0000-0000D98C0000}"/>
    <cellStyle name="Total 2 4 2 3 4 4 3" xfId="40151" xr:uid="{00000000-0005-0000-0000-0000DA8C0000}"/>
    <cellStyle name="Total 2 4 2 3 4 4 4" xfId="18635" xr:uid="{00000000-0005-0000-0000-0000DB8C0000}"/>
    <cellStyle name="Total 2 4 2 3 4 5" xfId="21130" xr:uid="{00000000-0005-0000-0000-0000DC8C0000}"/>
    <cellStyle name="Total 2 4 2 3 4 6" xfId="31975" xr:uid="{00000000-0005-0000-0000-0000DD8C0000}"/>
    <cellStyle name="Total 2 4 2 3 4 7" xfId="12781" xr:uid="{00000000-0005-0000-0000-0000DE8C0000}"/>
    <cellStyle name="Total 2 4 2 3 5" xfId="2541" xr:uid="{00000000-0005-0000-0000-0000DF8C0000}"/>
    <cellStyle name="Total 2 4 2 3 5 2" xfId="5393" xr:uid="{00000000-0005-0000-0000-0000E08C0000}"/>
    <cellStyle name="Total 2 4 2 3 5 2 2" xfId="24365" xr:uid="{00000000-0005-0000-0000-0000E18C0000}"/>
    <cellStyle name="Total 2 4 2 3 5 2 3" xfId="35210" xr:uid="{00000000-0005-0000-0000-0000E28C0000}"/>
    <cellStyle name="Total 2 4 2 3 5 2 4" xfId="15097" xr:uid="{00000000-0005-0000-0000-0000E38C0000}"/>
    <cellStyle name="Total 2 4 2 3 5 3" xfId="8064" xr:uid="{00000000-0005-0000-0000-0000E48C0000}"/>
    <cellStyle name="Total 2 4 2 3 5 3 2" xfId="27036" xr:uid="{00000000-0005-0000-0000-0000E58C0000}"/>
    <cellStyle name="Total 2 4 2 3 5 3 3" xfId="37881" xr:uid="{00000000-0005-0000-0000-0000E68C0000}"/>
    <cellStyle name="Total 2 4 2 3 5 3 4" xfId="17010" xr:uid="{00000000-0005-0000-0000-0000E78C0000}"/>
    <cellStyle name="Total 2 4 2 3 5 4" xfId="10723" xr:uid="{00000000-0005-0000-0000-0000E88C0000}"/>
    <cellStyle name="Total 2 4 2 3 5 4 2" xfId="29695" xr:uid="{00000000-0005-0000-0000-0000E98C0000}"/>
    <cellStyle name="Total 2 4 2 3 5 4 3" xfId="40540" xr:uid="{00000000-0005-0000-0000-0000EA8C0000}"/>
    <cellStyle name="Total 2 4 2 3 5 4 4" xfId="18914" xr:uid="{00000000-0005-0000-0000-0000EB8C0000}"/>
    <cellStyle name="Total 2 4 2 3 5 5" xfId="21519" xr:uid="{00000000-0005-0000-0000-0000EC8C0000}"/>
    <cellStyle name="Total 2 4 2 3 5 6" xfId="32364" xr:uid="{00000000-0005-0000-0000-0000ED8C0000}"/>
    <cellStyle name="Total 2 4 2 3 5 7" xfId="13060" xr:uid="{00000000-0005-0000-0000-0000EE8C0000}"/>
    <cellStyle name="Total 2 4 2 3 6" xfId="2927" xr:uid="{00000000-0005-0000-0000-0000EF8C0000}"/>
    <cellStyle name="Total 2 4 2 3 6 2" xfId="5778" xr:uid="{00000000-0005-0000-0000-0000F08C0000}"/>
    <cellStyle name="Total 2 4 2 3 6 2 2" xfId="24750" xr:uid="{00000000-0005-0000-0000-0000F18C0000}"/>
    <cellStyle name="Total 2 4 2 3 6 2 3" xfId="35595" xr:uid="{00000000-0005-0000-0000-0000F28C0000}"/>
    <cellStyle name="Total 2 4 2 3 6 2 4" xfId="15373" xr:uid="{00000000-0005-0000-0000-0000F38C0000}"/>
    <cellStyle name="Total 2 4 2 3 6 3" xfId="8449" xr:uid="{00000000-0005-0000-0000-0000F48C0000}"/>
    <cellStyle name="Total 2 4 2 3 6 3 2" xfId="27421" xr:uid="{00000000-0005-0000-0000-0000F58C0000}"/>
    <cellStyle name="Total 2 4 2 3 6 3 3" xfId="38266" xr:uid="{00000000-0005-0000-0000-0000F68C0000}"/>
    <cellStyle name="Total 2 4 2 3 6 3 4" xfId="17286" xr:uid="{00000000-0005-0000-0000-0000F78C0000}"/>
    <cellStyle name="Total 2 4 2 3 6 4" xfId="11108" xr:uid="{00000000-0005-0000-0000-0000F88C0000}"/>
    <cellStyle name="Total 2 4 2 3 6 4 2" xfId="30080" xr:uid="{00000000-0005-0000-0000-0000F98C0000}"/>
    <cellStyle name="Total 2 4 2 3 6 4 3" xfId="40925" xr:uid="{00000000-0005-0000-0000-0000FA8C0000}"/>
    <cellStyle name="Total 2 4 2 3 6 4 4" xfId="19190" xr:uid="{00000000-0005-0000-0000-0000FB8C0000}"/>
    <cellStyle name="Total 2 4 2 3 6 5" xfId="21904" xr:uid="{00000000-0005-0000-0000-0000FC8C0000}"/>
    <cellStyle name="Total 2 4 2 3 6 6" xfId="32749" xr:uid="{00000000-0005-0000-0000-0000FD8C0000}"/>
    <cellStyle name="Total 2 4 2 3 6 7" xfId="13336" xr:uid="{00000000-0005-0000-0000-0000FE8C0000}"/>
    <cellStyle name="Total 2 4 2 3 7" xfId="3616" xr:uid="{00000000-0005-0000-0000-0000FF8C0000}"/>
    <cellStyle name="Total 2 4 2 3 7 2" xfId="22588" xr:uid="{00000000-0005-0000-0000-0000008D0000}"/>
    <cellStyle name="Total 2 4 2 3 7 3" xfId="33433" xr:uid="{00000000-0005-0000-0000-0000018D0000}"/>
    <cellStyle name="Total 2 4 2 3 7 4" xfId="13817" xr:uid="{00000000-0005-0000-0000-0000028D0000}"/>
    <cellStyle name="Total 2 4 2 3 8" xfId="6291" xr:uid="{00000000-0005-0000-0000-0000038D0000}"/>
    <cellStyle name="Total 2 4 2 3 8 2" xfId="25263" xr:uid="{00000000-0005-0000-0000-0000048D0000}"/>
    <cellStyle name="Total 2 4 2 3 8 3" xfId="36108" xr:uid="{00000000-0005-0000-0000-0000058D0000}"/>
    <cellStyle name="Total 2 4 2 3 8 4" xfId="15733" xr:uid="{00000000-0005-0000-0000-0000068D0000}"/>
    <cellStyle name="Total 2 4 2 3 9" xfId="8950" xr:uid="{00000000-0005-0000-0000-0000078D0000}"/>
    <cellStyle name="Total 2 4 2 3 9 2" xfId="27922" xr:uid="{00000000-0005-0000-0000-0000088D0000}"/>
    <cellStyle name="Total 2 4 2 3 9 3" xfId="38767" xr:uid="{00000000-0005-0000-0000-0000098D0000}"/>
    <cellStyle name="Total 2 4 2 3 9 4" xfId="17637" xr:uid="{00000000-0005-0000-0000-00000A8D0000}"/>
    <cellStyle name="Total 2 4 2 4" xfId="821" xr:uid="{00000000-0005-0000-0000-00000B8D0000}"/>
    <cellStyle name="Total 2 4 2 4 10" xfId="19806" xr:uid="{00000000-0005-0000-0000-00000C8D0000}"/>
    <cellStyle name="Total 2 4 2 4 11" xfId="30651" xr:uid="{00000000-0005-0000-0000-00000D8D0000}"/>
    <cellStyle name="Total 2 4 2 4 12" xfId="11823" xr:uid="{00000000-0005-0000-0000-00000E8D0000}"/>
    <cellStyle name="Total 2 4 2 4 2" xfId="1408" xr:uid="{00000000-0005-0000-0000-00000F8D0000}"/>
    <cellStyle name="Total 2 4 2 4 2 2" xfId="4261" xr:uid="{00000000-0005-0000-0000-0000108D0000}"/>
    <cellStyle name="Total 2 4 2 4 2 2 2" xfId="23233" xr:uid="{00000000-0005-0000-0000-0000118D0000}"/>
    <cellStyle name="Total 2 4 2 4 2 2 3" xfId="34078" xr:uid="{00000000-0005-0000-0000-0000128D0000}"/>
    <cellStyle name="Total 2 4 2 4 2 2 4" xfId="14284" xr:uid="{00000000-0005-0000-0000-0000138D0000}"/>
    <cellStyle name="Total 2 4 2 4 2 3" xfId="6934" xr:uid="{00000000-0005-0000-0000-0000148D0000}"/>
    <cellStyle name="Total 2 4 2 4 2 3 2" xfId="25906" xr:uid="{00000000-0005-0000-0000-0000158D0000}"/>
    <cellStyle name="Total 2 4 2 4 2 3 3" xfId="36751" xr:uid="{00000000-0005-0000-0000-0000168D0000}"/>
    <cellStyle name="Total 2 4 2 4 2 3 4" xfId="16199" xr:uid="{00000000-0005-0000-0000-0000178D0000}"/>
    <cellStyle name="Total 2 4 2 4 2 4" xfId="9593" xr:uid="{00000000-0005-0000-0000-0000188D0000}"/>
    <cellStyle name="Total 2 4 2 4 2 4 2" xfId="28565" xr:uid="{00000000-0005-0000-0000-0000198D0000}"/>
    <cellStyle name="Total 2 4 2 4 2 4 3" xfId="39410" xr:uid="{00000000-0005-0000-0000-00001A8D0000}"/>
    <cellStyle name="Total 2 4 2 4 2 4 4" xfId="18103" xr:uid="{00000000-0005-0000-0000-00001B8D0000}"/>
    <cellStyle name="Total 2 4 2 4 2 5" xfId="20389" xr:uid="{00000000-0005-0000-0000-00001C8D0000}"/>
    <cellStyle name="Total 2 4 2 4 2 6" xfId="31234" xr:uid="{00000000-0005-0000-0000-00001D8D0000}"/>
    <cellStyle name="Total 2 4 2 4 2 7" xfId="12249" xr:uid="{00000000-0005-0000-0000-00001E8D0000}"/>
    <cellStyle name="Total 2 4 2 4 3" xfId="1807" xr:uid="{00000000-0005-0000-0000-00001F8D0000}"/>
    <cellStyle name="Total 2 4 2 4 3 2" xfId="4660" xr:uid="{00000000-0005-0000-0000-0000208D0000}"/>
    <cellStyle name="Total 2 4 2 4 3 2 2" xfId="23632" xr:uid="{00000000-0005-0000-0000-0000218D0000}"/>
    <cellStyle name="Total 2 4 2 4 3 2 3" xfId="34477" xr:uid="{00000000-0005-0000-0000-0000228D0000}"/>
    <cellStyle name="Total 2 4 2 4 3 2 4" xfId="14571" xr:uid="{00000000-0005-0000-0000-0000238D0000}"/>
    <cellStyle name="Total 2 4 2 4 3 3" xfId="7332" xr:uid="{00000000-0005-0000-0000-0000248D0000}"/>
    <cellStyle name="Total 2 4 2 4 3 3 2" xfId="26304" xr:uid="{00000000-0005-0000-0000-0000258D0000}"/>
    <cellStyle name="Total 2 4 2 4 3 3 3" xfId="37149" xr:uid="{00000000-0005-0000-0000-0000268D0000}"/>
    <cellStyle name="Total 2 4 2 4 3 3 4" xfId="16485" xr:uid="{00000000-0005-0000-0000-0000278D0000}"/>
    <cellStyle name="Total 2 4 2 4 3 4" xfId="9991" xr:uid="{00000000-0005-0000-0000-0000288D0000}"/>
    <cellStyle name="Total 2 4 2 4 3 4 2" xfId="28963" xr:uid="{00000000-0005-0000-0000-0000298D0000}"/>
    <cellStyle name="Total 2 4 2 4 3 4 3" xfId="39808" xr:uid="{00000000-0005-0000-0000-00002A8D0000}"/>
    <cellStyle name="Total 2 4 2 4 3 4 4" xfId="18389" xr:uid="{00000000-0005-0000-0000-00002B8D0000}"/>
    <cellStyle name="Total 2 4 2 4 3 5" xfId="20787" xr:uid="{00000000-0005-0000-0000-00002C8D0000}"/>
    <cellStyle name="Total 2 4 2 4 3 6" xfId="31632" xr:uid="{00000000-0005-0000-0000-00002D8D0000}"/>
    <cellStyle name="Total 2 4 2 4 3 7" xfId="12535" xr:uid="{00000000-0005-0000-0000-00002E8D0000}"/>
    <cellStyle name="Total 2 4 2 4 4" xfId="2211" xr:uid="{00000000-0005-0000-0000-00002F8D0000}"/>
    <cellStyle name="Total 2 4 2 4 4 2" xfId="5064" xr:uid="{00000000-0005-0000-0000-0000308D0000}"/>
    <cellStyle name="Total 2 4 2 4 4 2 2" xfId="24036" xr:uid="{00000000-0005-0000-0000-0000318D0000}"/>
    <cellStyle name="Total 2 4 2 4 4 2 3" xfId="34881" xr:uid="{00000000-0005-0000-0000-0000328D0000}"/>
    <cellStyle name="Total 2 4 2 4 4 2 4" xfId="14858" xr:uid="{00000000-0005-0000-0000-0000338D0000}"/>
    <cellStyle name="Total 2 4 2 4 4 3" xfId="7735" xr:uid="{00000000-0005-0000-0000-0000348D0000}"/>
    <cellStyle name="Total 2 4 2 4 4 3 2" xfId="26707" xr:uid="{00000000-0005-0000-0000-0000358D0000}"/>
    <cellStyle name="Total 2 4 2 4 4 3 3" xfId="37552" xr:uid="{00000000-0005-0000-0000-0000368D0000}"/>
    <cellStyle name="Total 2 4 2 4 4 3 4" xfId="16771" xr:uid="{00000000-0005-0000-0000-0000378D0000}"/>
    <cellStyle name="Total 2 4 2 4 4 4" xfId="10394" xr:uid="{00000000-0005-0000-0000-0000388D0000}"/>
    <cellStyle name="Total 2 4 2 4 4 4 2" xfId="29366" xr:uid="{00000000-0005-0000-0000-0000398D0000}"/>
    <cellStyle name="Total 2 4 2 4 4 4 3" xfId="40211" xr:uid="{00000000-0005-0000-0000-00003A8D0000}"/>
    <cellStyle name="Total 2 4 2 4 4 4 4" xfId="18675" xr:uid="{00000000-0005-0000-0000-00003B8D0000}"/>
    <cellStyle name="Total 2 4 2 4 4 5" xfId="21190" xr:uid="{00000000-0005-0000-0000-00003C8D0000}"/>
    <cellStyle name="Total 2 4 2 4 4 6" xfId="32035" xr:uid="{00000000-0005-0000-0000-00003D8D0000}"/>
    <cellStyle name="Total 2 4 2 4 4 7" xfId="12821" xr:uid="{00000000-0005-0000-0000-00003E8D0000}"/>
    <cellStyle name="Total 2 4 2 4 5" xfId="2601" xr:uid="{00000000-0005-0000-0000-00003F8D0000}"/>
    <cellStyle name="Total 2 4 2 4 5 2" xfId="5453" xr:uid="{00000000-0005-0000-0000-0000408D0000}"/>
    <cellStyle name="Total 2 4 2 4 5 2 2" xfId="24425" xr:uid="{00000000-0005-0000-0000-0000418D0000}"/>
    <cellStyle name="Total 2 4 2 4 5 2 3" xfId="35270" xr:uid="{00000000-0005-0000-0000-0000428D0000}"/>
    <cellStyle name="Total 2 4 2 4 5 2 4" xfId="15137" xr:uid="{00000000-0005-0000-0000-0000438D0000}"/>
    <cellStyle name="Total 2 4 2 4 5 3" xfId="8124" xr:uid="{00000000-0005-0000-0000-0000448D0000}"/>
    <cellStyle name="Total 2 4 2 4 5 3 2" xfId="27096" xr:uid="{00000000-0005-0000-0000-0000458D0000}"/>
    <cellStyle name="Total 2 4 2 4 5 3 3" xfId="37941" xr:uid="{00000000-0005-0000-0000-0000468D0000}"/>
    <cellStyle name="Total 2 4 2 4 5 3 4" xfId="17050" xr:uid="{00000000-0005-0000-0000-0000478D0000}"/>
    <cellStyle name="Total 2 4 2 4 5 4" xfId="10783" xr:uid="{00000000-0005-0000-0000-0000488D0000}"/>
    <cellStyle name="Total 2 4 2 4 5 4 2" xfId="29755" xr:uid="{00000000-0005-0000-0000-0000498D0000}"/>
    <cellStyle name="Total 2 4 2 4 5 4 3" xfId="40600" xr:uid="{00000000-0005-0000-0000-00004A8D0000}"/>
    <cellStyle name="Total 2 4 2 4 5 4 4" xfId="18954" xr:uid="{00000000-0005-0000-0000-00004B8D0000}"/>
    <cellStyle name="Total 2 4 2 4 5 5" xfId="21579" xr:uid="{00000000-0005-0000-0000-00004C8D0000}"/>
    <cellStyle name="Total 2 4 2 4 5 6" xfId="32424" xr:uid="{00000000-0005-0000-0000-00004D8D0000}"/>
    <cellStyle name="Total 2 4 2 4 5 7" xfId="13100" xr:uid="{00000000-0005-0000-0000-00004E8D0000}"/>
    <cellStyle name="Total 2 4 2 4 6" xfId="2987" xr:uid="{00000000-0005-0000-0000-00004F8D0000}"/>
    <cellStyle name="Total 2 4 2 4 6 2" xfId="5838" xr:uid="{00000000-0005-0000-0000-0000508D0000}"/>
    <cellStyle name="Total 2 4 2 4 6 2 2" xfId="24810" xr:uid="{00000000-0005-0000-0000-0000518D0000}"/>
    <cellStyle name="Total 2 4 2 4 6 2 3" xfId="35655" xr:uid="{00000000-0005-0000-0000-0000528D0000}"/>
    <cellStyle name="Total 2 4 2 4 6 2 4" xfId="15413" xr:uid="{00000000-0005-0000-0000-0000538D0000}"/>
    <cellStyle name="Total 2 4 2 4 6 3" xfId="8509" xr:uid="{00000000-0005-0000-0000-0000548D0000}"/>
    <cellStyle name="Total 2 4 2 4 6 3 2" xfId="27481" xr:uid="{00000000-0005-0000-0000-0000558D0000}"/>
    <cellStyle name="Total 2 4 2 4 6 3 3" xfId="38326" xr:uid="{00000000-0005-0000-0000-0000568D0000}"/>
    <cellStyle name="Total 2 4 2 4 6 3 4" xfId="17326" xr:uid="{00000000-0005-0000-0000-0000578D0000}"/>
    <cellStyle name="Total 2 4 2 4 6 4" xfId="11168" xr:uid="{00000000-0005-0000-0000-0000588D0000}"/>
    <cellStyle name="Total 2 4 2 4 6 4 2" xfId="30140" xr:uid="{00000000-0005-0000-0000-0000598D0000}"/>
    <cellStyle name="Total 2 4 2 4 6 4 3" xfId="40985" xr:uid="{00000000-0005-0000-0000-00005A8D0000}"/>
    <cellStyle name="Total 2 4 2 4 6 4 4" xfId="19230" xr:uid="{00000000-0005-0000-0000-00005B8D0000}"/>
    <cellStyle name="Total 2 4 2 4 6 5" xfId="21964" xr:uid="{00000000-0005-0000-0000-00005C8D0000}"/>
    <cellStyle name="Total 2 4 2 4 6 6" xfId="32809" xr:uid="{00000000-0005-0000-0000-00005D8D0000}"/>
    <cellStyle name="Total 2 4 2 4 6 7" xfId="13376" xr:uid="{00000000-0005-0000-0000-00005E8D0000}"/>
    <cellStyle name="Total 2 4 2 4 7" xfId="3676" xr:uid="{00000000-0005-0000-0000-00005F8D0000}"/>
    <cellStyle name="Total 2 4 2 4 7 2" xfId="22648" xr:uid="{00000000-0005-0000-0000-0000608D0000}"/>
    <cellStyle name="Total 2 4 2 4 7 3" xfId="33493" xr:uid="{00000000-0005-0000-0000-0000618D0000}"/>
    <cellStyle name="Total 2 4 2 4 7 4" xfId="13857" xr:uid="{00000000-0005-0000-0000-0000628D0000}"/>
    <cellStyle name="Total 2 4 2 4 8" xfId="6351" xr:uid="{00000000-0005-0000-0000-0000638D0000}"/>
    <cellStyle name="Total 2 4 2 4 8 2" xfId="25323" xr:uid="{00000000-0005-0000-0000-0000648D0000}"/>
    <cellStyle name="Total 2 4 2 4 8 3" xfId="36168" xr:uid="{00000000-0005-0000-0000-0000658D0000}"/>
    <cellStyle name="Total 2 4 2 4 8 4" xfId="15773" xr:uid="{00000000-0005-0000-0000-0000668D0000}"/>
    <cellStyle name="Total 2 4 2 4 9" xfId="9010" xr:uid="{00000000-0005-0000-0000-0000678D0000}"/>
    <cellStyle name="Total 2 4 2 4 9 2" xfId="27982" xr:uid="{00000000-0005-0000-0000-0000688D0000}"/>
    <cellStyle name="Total 2 4 2 4 9 3" xfId="38827" xr:uid="{00000000-0005-0000-0000-0000698D0000}"/>
    <cellStyle name="Total 2 4 2 4 9 4" xfId="17677" xr:uid="{00000000-0005-0000-0000-00006A8D0000}"/>
    <cellStyle name="Total 2 4 2 5" xfId="880" xr:uid="{00000000-0005-0000-0000-00006B8D0000}"/>
    <cellStyle name="Total 2 4 2 5 10" xfId="19865" xr:uid="{00000000-0005-0000-0000-00006C8D0000}"/>
    <cellStyle name="Total 2 4 2 5 11" xfId="30710" xr:uid="{00000000-0005-0000-0000-00006D8D0000}"/>
    <cellStyle name="Total 2 4 2 5 12" xfId="11862" xr:uid="{00000000-0005-0000-0000-00006E8D0000}"/>
    <cellStyle name="Total 2 4 2 5 2" xfId="1467" xr:uid="{00000000-0005-0000-0000-00006F8D0000}"/>
    <cellStyle name="Total 2 4 2 5 2 2" xfId="4320" xr:uid="{00000000-0005-0000-0000-0000708D0000}"/>
    <cellStyle name="Total 2 4 2 5 2 2 2" xfId="23292" xr:uid="{00000000-0005-0000-0000-0000718D0000}"/>
    <cellStyle name="Total 2 4 2 5 2 2 3" xfId="34137" xr:uid="{00000000-0005-0000-0000-0000728D0000}"/>
    <cellStyle name="Total 2 4 2 5 2 2 4" xfId="14323" xr:uid="{00000000-0005-0000-0000-0000738D0000}"/>
    <cellStyle name="Total 2 4 2 5 2 3" xfId="6993" xr:uid="{00000000-0005-0000-0000-0000748D0000}"/>
    <cellStyle name="Total 2 4 2 5 2 3 2" xfId="25965" xr:uid="{00000000-0005-0000-0000-0000758D0000}"/>
    <cellStyle name="Total 2 4 2 5 2 3 3" xfId="36810" xr:uid="{00000000-0005-0000-0000-0000768D0000}"/>
    <cellStyle name="Total 2 4 2 5 2 3 4" xfId="16238" xr:uid="{00000000-0005-0000-0000-0000778D0000}"/>
    <cellStyle name="Total 2 4 2 5 2 4" xfId="9652" xr:uid="{00000000-0005-0000-0000-0000788D0000}"/>
    <cellStyle name="Total 2 4 2 5 2 4 2" xfId="28624" xr:uid="{00000000-0005-0000-0000-0000798D0000}"/>
    <cellStyle name="Total 2 4 2 5 2 4 3" xfId="39469" xr:uid="{00000000-0005-0000-0000-00007A8D0000}"/>
    <cellStyle name="Total 2 4 2 5 2 4 4" xfId="18142" xr:uid="{00000000-0005-0000-0000-00007B8D0000}"/>
    <cellStyle name="Total 2 4 2 5 2 5" xfId="20448" xr:uid="{00000000-0005-0000-0000-00007C8D0000}"/>
    <cellStyle name="Total 2 4 2 5 2 6" xfId="31293" xr:uid="{00000000-0005-0000-0000-00007D8D0000}"/>
    <cellStyle name="Total 2 4 2 5 2 7" xfId="12288" xr:uid="{00000000-0005-0000-0000-00007E8D0000}"/>
    <cellStyle name="Total 2 4 2 5 3" xfId="1866" xr:uid="{00000000-0005-0000-0000-00007F8D0000}"/>
    <cellStyle name="Total 2 4 2 5 3 2" xfId="4719" xr:uid="{00000000-0005-0000-0000-0000808D0000}"/>
    <cellStyle name="Total 2 4 2 5 3 2 2" xfId="23691" xr:uid="{00000000-0005-0000-0000-0000818D0000}"/>
    <cellStyle name="Total 2 4 2 5 3 2 3" xfId="34536" xr:uid="{00000000-0005-0000-0000-0000828D0000}"/>
    <cellStyle name="Total 2 4 2 5 3 2 4" xfId="14610" xr:uid="{00000000-0005-0000-0000-0000838D0000}"/>
    <cellStyle name="Total 2 4 2 5 3 3" xfId="7391" xr:uid="{00000000-0005-0000-0000-0000848D0000}"/>
    <cellStyle name="Total 2 4 2 5 3 3 2" xfId="26363" xr:uid="{00000000-0005-0000-0000-0000858D0000}"/>
    <cellStyle name="Total 2 4 2 5 3 3 3" xfId="37208" xr:uid="{00000000-0005-0000-0000-0000868D0000}"/>
    <cellStyle name="Total 2 4 2 5 3 3 4" xfId="16524" xr:uid="{00000000-0005-0000-0000-0000878D0000}"/>
    <cellStyle name="Total 2 4 2 5 3 4" xfId="10050" xr:uid="{00000000-0005-0000-0000-0000888D0000}"/>
    <cellStyle name="Total 2 4 2 5 3 4 2" xfId="29022" xr:uid="{00000000-0005-0000-0000-0000898D0000}"/>
    <cellStyle name="Total 2 4 2 5 3 4 3" xfId="39867" xr:uid="{00000000-0005-0000-0000-00008A8D0000}"/>
    <cellStyle name="Total 2 4 2 5 3 4 4" xfId="18428" xr:uid="{00000000-0005-0000-0000-00008B8D0000}"/>
    <cellStyle name="Total 2 4 2 5 3 5" xfId="20846" xr:uid="{00000000-0005-0000-0000-00008C8D0000}"/>
    <cellStyle name="Total 2 4 2 5 3 6" xfId="31691" xr:uid="{00000000-0005-0000-0000-00008D8D0000}"/>
    <cellStyle name="Total 2 4 2 5 3 7" xfId="12574" xr:uid="{00000000-0005-0000-0000-00008E8D0000}"/>
    <cellStyle name="Total 2 4 2 5 4" xfId="2270" xr:uid="{00000000-0005-0000-0000-00008F8D0000}"/>
    <cellStyle name="Total 2 4 2 5 4 2" xfId="5123" xr:uid="{00000000-0005-0000-0000-0000908D0000}"/>
    <cellStyle name="Total 2 4 2 5 4 2 2" xfId="24095" xr:uid="{00000000-0005-0000-0000-0000918D0000}"/>
    <cellStyle name="Total 2 4 2 5 4 2 3" xfId="34940" xr:uid="{00000000-0005-0000-0000-0000928D0000}"/>
    <cellStyle name="Total 2 4 2 5 4 2 4" xfId="14897" xr:uid="{00000000-0005-0000-0000-0000938D0000}"/>
    <cellStyle name="Total 2 4 2 5 4 3" xfId="7794" xr:uid="{00000000-0005-0000-0000-0000948D0000}"/>
    <cellStyle name="Total 2 4 2 5 4 3 2" xfId="26766" xr:uid="{00000000-0005-0000-0000-0000958D0000}"/>
    <cellStyle name="Total 2 4 2 5 4 3 3" xfId="37611" xr:uid="{00000000-0005-0000-0000-0000968D0000}"/>
    <cellStyle name="Total 2 4 2 5 4 3 4" xfId="16810" xr:uid="{00000000-0005-0000-0000-0000978D0000}"/>
    <cellStyle name="Total 2 4 2 5 4 4" xfId="10453" xr:uid="{00000000-0005-0000-0000-0000988D0000}"/>
    <cellStyle name="Total 2 4 2 5 4 4 2" xfId="29425" xr:uid="{00000000-0005-0000-0000-0000998D0000}"/>
    <cellStyle name="Total 2 4 2 5 4 4 3" xfId="40270" xr:uid="{00000000-0005-0000-0000-00009A8D0000}"/>
    <cellStyle name="Total 2 4 2 5 4 4 4" xfId="18714" xr:uid="{00000000-0005-0000-0000-00009B8D0000}"/>
    <cellStyle name="Total 2 4 2 5 4 5" xfId="21249" xr:uid="{00000000-0005-0000-0000-00009C8D0000}"/>
    <cellStyle name="Total 2 4 2 5 4 6" xfId="32094" xr:uid="{00000000-0005-0000-0000-00009D8D0000}"/>
    <cellStyle name="Total 2 4 2 5 4 7" xfId="12860" xr:uid="{00000000-0005-0000-0000-00009E8D0000}"/>
    <cellStyle name="Total 2 4 2 5 5" xfId="2660" xr:uid="{00000000-0005-0000-0000-00009F8D0000}"/>
    <cellStyle name="Total 2 4 2 5 5 2" xfId="5512" xr:uid="{00000000-0005-0000-0000-0000A08D0000}"/>
    <cellStyle name="Total 2 4 2 5 5 2 2" xfId="24484" xr:uid="{00000000-0005-0000-0000-0000A18D0000}"/>
    <cellStyle name="Total 2 4 2 5 5 2 3" xfId="35329" xr:uid="{00000000-0005-0000-0000-0000A28D0000}"/>
    <cellStyle name="Total 2 4 2 5 5 2 4" xfId="15176" xr:uid="{00000000-0005-0000-0000-0000A38D0000}"/>
    <cellStyle name="Total 2 4 2 5 5 3" xfId="8183" xr:uid="{00000000-0005-0000-0000-0000A48D0000}"/>
    <cellStyle name="Total 2 4 2 5 5 3 2" xfId="27155" xr:uid="{00000000-0005-0000-0000-0000A58D0000}"/>
    <cellStyle name="Total 2 4 2 5 5 3 3" xfId="38000" xr:uid="{00000000-0005-0000-0000-0000A68D0000}"/>
    <cellStyle name="Total 2 4 2 5 5 3 4" xfId="17089" xr:uid="{00000000-0005-0000-0000-0000A78D0000}"/>
    <cellStyle name="Total 2 4 2 5 5 4" xfId="10842" xr:uid="{00000000-0005-0000-0000-0000A88D0000}"/>
    <cellStyle name="Total 2 4 2 5 5 4 2" xfId="29814" xr:uid="{00000000-0005-0000-0000-0000A98D0000}"/>
    <cellStyle name="Total 2 4 2 5 5 4 3" xfId="40659" xr:uid="{00000000-0005-0000-0000-0000AA8D0000}"/>
    <cellStyle name="Total 2 4 2 5 5 4 4" xfId="18993" xr:uid="{00000000-0005-0000-0000-0000AB8D0000}"/>
    <cellStyle name="Total 2 4 2 5 5 5" xfId="21638" xr:uid="{00000000-0005-0000-0000-0000AC8D0000}"/>
    <cellStyle name="Total 2 4 2 5 5 6" xfId="32483" xr:uid="{00000000-0005-0000-0000-0000AD8D0000}"/>
    <cellStyle name="Total 2 4 2 5 5 7" xfId="13139" xr:uid="{00000000-0005-0000-0000-0000AE8D0000}"/>
    <cellStyle name="Total 2 4 2 5 6" xfId="3046" xr:uid="{00000000-0005-0000-0000-0000AF8D0000}"/>
    <cellStyle name="Total 2 4 2 5 6 2" xfId="5897" xr:uid="{00000000-0005-0000-0000-0000B08D0000}"/>
    <cellStyle name="Total 2 4 2 5 6 2 2" xfId="24869" xr:uid="{00000000-0005-0000-0000-0000B18D0000}"/>
    <cellStyle name="Total 2 4 2 5 6 2 3" xfId="35714" xr:uid="{00000000-0005-0000-0000-0000B28D0000}"/>
    <cellStyle name="Total 2 4 2 5 6 2 4" xfId="15452" xr:uid="{00000000-0005-0000-0000-0000B38D0000}"/>
    <cellStyle name="Total 2 4 2 5 6 3" xfId="8568" xr:uid="{00000000-0005-0000-0000-0000B48D0000}"/>
    <cellStyle name="Total 2 4 2 5 6 3 2" xfId="27540" xr:uid="{00000000-0005-0000-0000-0000B58D0000}"/>
    <cellStyle name="Total 2 4 2 5 6 3 3" xfId="38385" xr:uid="{00000000-0005-0000-0000-0000B68D0000}"/>
    <cellStyle name="Total 2 4 2 5 6 3 4" xfId="17365" xr:uid="{00000000-0005-0000-0000-0000B78D0000}"/>
    <cellStyle name="Total 2 4 2 5 6 4" xfId="11227" xr:uid="{00000000-0005-0000-0000-0000B88D0000}"/>
    <cellStyle name="Total 2 4 2 5 6 4 2" xfId="30199" xr:uid="{00000000-0005-0000-0000-0000B98D0000}"/>
    <cellStyle name="Total 2 4 2 5 6 4 3" xfId="41044" xr:uid="{00000000-0005-0000-0000-0000BA8D0000}"/>
    <cellStyle name="Total 2 4 2 5 6 4 4" xfId="19269" xr:uid="{00000000-0005-0000-0000-0000BB8D0000}"/>
    <cellStyle name="Total 2 4 2 5 6 5" xfId="22023" xr:uid="{00000000-0005-0000-0000-0000BC8D0000}"/>
    <cellStyle name="Total 2 4 2 5 6 6" xfId="32868" xr:uid="{00000000-0005-0000-0000-0000BD8D0000}"/>
    <cellStyle name="Total 2 4 2 5 6 7" xfId="13415" xr:uid="{00000000-0005-0000-0000-0000BE8D0000}"/>
    <cellStyle name="Total 2 4 2 5 7" xfId="3735" xr:uid="{00000000-0005-0000-0000-0000BF8D0000}"/>
    <cellStyle name="Total 2 4 2 5 7 2" xfId="22707" xr:uid="{00000000-0005-0000-0000-0000C08D0000}"/>
    <cellStyle name="Total 2 4 2 5 7 3" xfId="33552" xr:uid="{00000000-0005-0000-0000-0000C18D0000}"/>
    <cellStyle name="Total 2 4 2 5 7 4" xfId="13896" xr:uid="{00000000-0005-0000-0000-0000C28D0000}"/>
    <cellStyle name="Total 2 4 2 5 8" xfId="6410" xr:uid="{00000000-0005-0000-0000-0000C38D0000}"/>
    <cellStyle name="Total 2 4 2 5 8 2" xfId="25382" xr:uid="{00000000-0005-0000-0000-0000C48D0000}"/>
    <cellStyle name="Total 2 4 2 5 8 3" xfId="36227" xr:uid="{00000000-0005-0000-0000-0000C58D0000}"/>
    <cellStyle name="Total 2 4 2 5 8 4" xfId="15812" xr:uid="{00000000-0005-0000-0000-0000C68D0000}"/>
    <cellStyle name="Total 2 4 2 5 9" xfId="9069" xr:uid="{00000000-0005-0000-0000-0000C78D0000}"/>
    <cellStyle name="Total 2 4 2 5 9 2" xfId="28041" xr:uid="{00000000-0005-0000-0000-0000C88D0000}"/>
    <cellStyle name="Total 2 4 2 5 9 3" xfId="38886" xr:uid="{00000000-0005-0000-0000-0000C98D0000}"/>
    <cellStyle name="Total 2 4 2 5 9 4" xfId="17716" xr:uid="{00000000-0005-0000-0000-0000CA8D0000}"/>
    <cellStyle name="Total 2 4 2 6" xfId="1102" xr:uid="{00000000-0005-0000-0000-0000CB8D0000}"/>
    <cellStyle name="Total 2 4 2 6 2" xfId="3955" xr:uid="{00000000-0005-0000-0000-0000CC8D0000}"/>
    <cellStyle name="Total 2 4 2 6 2 2" xfId="22927" xr:uid="{00000000-0005-0000-0000-0000CD8D0000}"/>
    <cellStyle name="Total 2 4 2 6 2 3" xfId="33772" xr:uid="{00000000-0005-0000-0000-0000CE8D0000}"/>
    <cellStyle name="Total 2 4 2 6 2 4" xfId="14058" xr:uid="{00000000-0005-0000-0000-0000CF8D0000}"/>
    <cellStyle name="Total 2 4 2 6 3" xfId="6629" xr:uid="{00000000-0005-0000-0000-0000D08D0000}"/>
    <cellStyle name="Total 2 4 2 6 3 2" xfId="25601" xr:uid="{00000000-0005-0000-0000-0000D18D0000}"/>
    <cellStyle name="Total 2 4 2 6 3 3" xfId="36446" xr:uid="{00000000-0005-0000-0000-0000D28D0000}"/>
    <cellStyle name="Total 2 4 2 6 3 4" xfId="15974" xr:uid="{00000000-0005-0000-0000-0000D38D0000}"/>
    <cellStyle name="Total 2 4 2 6 4" xfId="9288" xr:uid="{00000000-0005-0000-0000-0000D48D0000}"/>
    <cellStyle name="Total 2 4 2 6 4 2" xfId="28260" xr:uid="{00000000-0005-0000-0000-0000D58D0000}"/>
    <cellStyle name="Total 2 4 2 6 4 3" xfId="39105" xr:uid="{00000000-0005-0000-0000-0000D68D0000}"/>
    <cellStyle name="Total 2 4 2 6 4 4" xfId="17878" xr:uid="{00000000-0005-0000-0000-0000D78D0000}"/>
    <cellStyle name="Total 2 4 2 6 5" xfId="20084" xr:uid="{00000000-0005-0000-0000-0000D88D0000}"/>
    <cellStyle name="Total 2 4 2 6 6" xfId="30929" xr:uid="{00000000-0005-0000-0000-0000D98D0000}"/>
    <cellStyle name="Total 2 4 2 6 7" xfId="12024" xr:uid="{00000000-0005-0000-0000-0000DA8D0000}"/>
    <cellStyle name="Total 2 4 2 7" xfId="1502" xr:uid="{00000000-0005-0000-0000-0000DB8D0000}"/>
    <cellStyle name="Total 2 4 2 7 2" xfId="4355" xr:uid="{00000000-0005-0000-0000-0000DC8D0000}"/>
    <cellStyle name="Total 2 4 2 7 2 2" xfId="23327" xr:uid="{00000000-0005-0000-0000-0000DD8D0000}"/>
    <cellStyle name="Total 2 4 2 7 2 3" xfId="34172" xr:uid="{00000000-0005-0000-0000-0000DE8D0000}"/>
    <cellStyle name="Total 2 4 2 7 2 4" xfId="14348" xr:uid="{00000000-0005-0000-0000-0000DF8D0000}"/>
    <cellStyle name="Total 2 4 2 7 3" xfId="7028" xr:uid="{00000000-0005-0000-0000-0000E08D0000}"/>
    <cellStyle name="Total 2 4 2 7 3 2" xfId="26000" xr:uid="{00000000-0005-0000-0000-0000E18D0000}"/>
    <cellStyle name="Total 2 4 2 7 3 3" xfId="36845" xr:uid="{00000000-0005-0000-0000-0000E28D0000}"/>
    <cellStyle name="Total 2 4 2 7 3 4" xfId="16263" xr:uid="{00000000-0005-0000-0000-0000E38D0000}"/>
    <cellStyle name="Total 2 4 2 7 4" xfId="9687" xr:uid="{00000000-0005-0000-0000-0000E48D0000}"/>
    <cellStyle name="Total 2 4 2 7 4 2" xfId="28659" xr:uid="{00000000-0005-0000-0000-0000E58D0000}"/>
    <cellStyle name="Total 2 4 2 7 4 3" xfId="39504" xr:uid="{00000000-0005-0000-0000-0000E68D0000}"/>
    <cellStyle name="Total 2 4 2 7 4 4" xfId="18167" xr:uid="{00000000-0005-0000-0000-0000E78D0000}"/>
    <cellStyle name="Total 2 4 2 7 5" xfId="20483" xr:uid="{00000000-0005-0000-0000-0000E88D0000}"/>
    <cellStyle name="Total 2 4 2 7 6" xfId="31328" xr:uid="{00000000-0005-0000-0000-0000E98D0000}"/>
    <cellStyle name="Total 2 4 2 7 7" xfId="12313" xr:uid="{00000000-0005-0000-0000-0000EA8D0000}"/>
    <cellStyle name="Total 2 4 2 8" xfId="1910" xr:uid="{00000000-0005-0000-0000-0000EB8D0000}"/>
    <cellStyle name="Total 2 4 2 8 2" xfId="4763" xr:uid="{00000000-0005-0000-0000-0000EC8D0000}"/>
    <cellStyle name="Total 2 4 2 8 2 2" xfId="23735" xr:uid="{00000000-0005-0000-0000-0000ED8D0000}"/>
    <cellStyle name="Total 2 4 2 8 2 3" xfId="34580" xr:uid="{00000000-0005-0000-0000-0000EE8D0000}"/>
    <cellStyle name="Total 2 4 2 8 2 4" xfId="14639" xr:uid="{00000000-0005-0000-0000-0000EF8D0000}"/>
    <cellStyle name="Total 2 4 2 8 3" xfId="7435" xr:uid="{00000000-0005-0000-0000-0000F08D0000}"/>
    <cellStyle name="Total 2 4 2 8 3 2" xfId="26407" xr:uid="{00000000-0005-0000-0000-0000F18D0000}"/>
    <cellStyle name="Total 2 4 2 8 3 3" xfId="37252" xr:uid="{00000000-0005-0000-0000-0000F28D0000}"/>
    <cellStyle name="Total 2 4 2 8 3 4" xfId="16553" xr:uid="{00000000-0005-0000-0000-0000F38D0000}"/>
    <cellStyle name="Total 2 4 2 8 4" xfId="10094" xr:uid="{00000000-0005-0000-0000-0000F48D0000}"/>
    <cellStyle name="Total 2 4 2 8 4 2" xfId="29066" xr:uid="{00000000-0005-0000-0000-0000F58D0000}"/>
    <cellStyle name="Total 2 4 2 8 4 3" xfId="39911" xr:uid="{00000000-0005-0000-0000-0000F68D0000}"/>
    <cellStyle name="Total 2 4 2 8 4 4" xfId="18457" xr:uid="{00000000-0005-0000-0000-0000F78D0000}"/>
    <cellStyle name="Total 2 4 2 8 5" xfId="20890" xr:uid="{00000000-0005-0000-0000-0000F88D0000}"/>
    <cellStyle name="Total 2 4 2 8 6" xfId="31735" xr:uid="{00000000-0005-0000-0000-0000F98D0000}"/>
    <cellStyle name="Total 2 4 2 8 7" xfId="12603" xr:uid="{00000000-0005-0000-0000-0000FA8D0000}"/>
    <cellStyle name="Total 2 4 2 9" xfId="2304" xr:uid="{00000000-0005-0000-0000-0000FB8D0000}"/>
    <cellStyle name="Total 2 4 2 9 2" xfId="5157" xr:uid="{00000000-0005-0000-0000-0000FC8D0000}"/>
    <cellStyle name="Total 2 4 2 9 2 2" xfId="24129" xr:uid="{00000000-0005-0000-0000-0000FD8D0000}"/>
    <cellStyle name="Total 2 4 2 9 2 3" xfId="34974" xr:uid="{00000000-0005-0000-0000-0000FE8D0000}"/>
    <cellStyle name="Total 2 4 2 9 2 4" xfId="14921" xr:uid="{00000000-0005-0000-0000-0000FF8D0000}"/>
    <cellStyle name="Total 2 4 2 9 3" xfId="7828" xr:uid="{00000000-0005-0000-0000-0000008E0000}"/>
    <cellStyle name="Total 2 4 2 9 3 2" xfId="26800" xr:uid="{00000000-0005-0000-0000-0000018E0000}"/>
    <cellStyle name="Total 2 4 2 9 3 3" xfId="37645" xr:uid="{00000000-0005-0000-0000-0000028E0000}"/>
    <cellStyle name="Total 2 4 2 9 3 4" xfId="16834" xr:uid="{00000000-0005-0000-0000-0000038E0000}"/>
    <cellStyle name="Total 2 4 2 9 4" xfId="10487" xr:uid="{00000000-0005-0000-0000-0000048E0000}"/>
    <cellStyle name="Total 2 4 2 9 4 2" xfId="29459" xr:uid="{00000000-0005-0000-0000-0000058E0000}"/>
    <cellStyle name="Total 2 4 2 9 4 3" xfId="40304" xr:uid="{00000000-0005-0000-0000-0000068E0000}"/>
    <cellStyle name="Total 2 4 2 9 4 4" xfId="18738" xr:uid="{00000000-0005-0000-0000-0000078E0000}"/>
    <cellStyle name="Total 2 4 2 9 5" xfId="21283" xr:uid="{00000000-0005-0000-0000-0000088E0000}"/>
    <cellStyle name="Total 2 4 2 9 6" xfId="32128" xr:uid="{00000000-0005-0000-0000-0000098E0000}"/>
    <cellStyle name="Total 2 4 2 9 7" xfId="12884" xr:uid="{00000000-0005-0000-0000-00000A8E0000}"/>
    <cellStyle name="Total 2 4 3" xfId="584" xr:uid="{00000000-0005-0000-0000-00000B8E0000}"/>
    <cellStyle name="Total 2 4 3 10" xfId="19594" xr:uid="{00000000-0005-0000-0000-00000C8E0000}"/>
    <cellStyle name="Total 2 4 3 11" xfId="30439" xr:uid="{00000000-0005-0000-0000-00000D8E0000}"/>
    <cellStyle name="Total 2 4 3 12" xfId="11648" xr:uid="{00000000-0005-0000-0000-00000E8E0000}"/>
    <cellStyle name="Total 2 4 3 2" xfId="1190" xr:uid="{00000000-0005-0000-0000-00000F8E0000}"/>
    <cellStyle name="Total 2 4 3 2 2" xfId="4043" xr:uid="{00000000-0005-0000-0000-0000108E0000}"/>
    <cellStyle name="Total 2 4 3 2 2 2" xfId="23015" xr:uid="{00000000-0005-0000-0000-0000118E0000}"/>
    <cellStyle name="Total 2 4 3 2 2 3" xfId="33860" xr:uid="{00000000-0005-0000-0000-0000128E0000}"/>
    <cellStyle name="Total 2 4 3 2 2 4" xfId="14125" xr:uid="{00000000-0005-0000-0000-0000138E0000}"/>
    <cellStyle name="Total 2 4 3 2 3" xfId="6716" xr:uid="{00000000-0005-0000-0000-0000148E0000}"/>
    <cellStyle name="Total 2 4 3 2 3 2" xfId="25688" xr:uid="{00000000-0005-0000-0000-0000158E0000}"/>
    <cellStyle name="Total 2 4 3 2 3 3" xfId="36533" xr:uid="{00000000-0005-0000-0000-0000168E0000}"/>
    <cellStyle name="Total 2 4 3 2 3 4" xfId="16040" xr:uid="{00000000-0005-0000-0000-0000178E0000}"/>
    <cellStyle name="Total 2 4 3 2 4" xfId="9375" xr:uid="{00000000-0005-0000-0000-0000188E0000}"/>
    <cellStyle name="Total 2 4 3 2 4 2" xfId="28347" xr:uid="{00000000-0005-0000-0000-0000198E0000}"/>
    <cellStyle name="Total 2 4 3 2 4 3" xfId="39192" xr:uid="{00000000-0005-0000-0000-00001A8E0000}"/>
    <cellStyle name="Total 2 4 3 2 4 4" xfId="17944" xr:uid="{00000000-0005-0000-0000-00001B8E0000}"/>
    <cellStyle name="Total 2 4 3 2 5" xfId="20171" xr:uid="{00000000-0005-0000-0000-00001C8E0000}"/>
    <cellStyle name="Total 2 4 3 2 6" xfId="31016" xr:uid="{00000000-0005-0000-0000-00001D8E0000}"/>
    <cellStyle name="Total 2 4 3 2 7" xfId="12090" xr:uid="{00000000-0005-0000-0000-00001E8E0000}"/>
    <cellStyle name="Total 2 4 3 3" xfId="1587" xr:uid="{00000000-0005-0000-0000-00001F8E0000}"/>
    <cellStyle name="Total 2 4 3 3 2" xfId="4440" xr:uid="{00000000-0005-0000-0000-0000208E0000}"/>
    <cellStyle name="Total 2 4 3 3 2 2" xfId="23412" xr:uid="{00000000-0005-0000-0000-0000218E0000}"/>
    <cellStyle name="Total 2 4 3 3 2 3" xfId="34257" xr:uid="{00000000-0005-0000-0000-0000228E0000}"/>
    <cellStyle name="Total 2 4 3 3 2 4" xfId="14411" xr:uid="{00000000-0005-0000-0000-0000238E0000}"/>
    <cellStyle name="Total 2 4 3 3 3" xfId="7112" xr:uid="{00000000-0005-0000-0000-0000248E0000}"/>
    <cellStyle name="Total 2 4 3 3 3 2" xfId="26084" xr:uid="{00000000-0005-0000-0000-0000258E0000}"/>
    <cellStyle name="Total 2 4 3 3 3 3" xfId="36929" xr:uid="{00000000-0005-0000-0000-0000268E0000}"/>
    <cellStyle name="Total 2 4 3 3 3 4" xfId="16325" xr:uid="{00000000-0005-0000-0000-0000278E0000}"/>
    <cellStyle name="Total 2 4 3 3 4" xfId="9771" xr:uid="{00000000-0005-0000-0000-0000288E0000}"/>
    <cellStyle name="Total 2 4 3 3 4 2" xfId="28743" xr:uid="{00000000-0005-0000-0000-0000298E0000}"/>
    <cellStyle name="Total 2 4 3 3 4 3" xfId="39588" xr:uid="{00000000-0005-0000-0000-00002A8E0000}"/>
    <cellStyle name="Total 2 4 3 3 4 4" xfId="18229" xr:uid="{00000000-0005-0000-0000-00002B8E0000}"/>
    <cellStyle name="Total 2 4 3 3 5" xfId="20567" xr:uid="{00000000-0005-0000-0000-00002C8E0000}"/>
    <cellStyle name="Total 2 4 3 3 6" xfId="31412" xr:uid="{00000000-0005-0000-0000-00002D8E0000}"/>
    <cellStyle name="Total 2 4 3 3 7" xfId="12375" xr:uid="{00000000-0005-0000-0000-00002E8E0000}"/>
    <cellStyle name="Total 2 4 3 4" xfId="1991" xr:uid="{00000000-0005-0000-0000-00002F8E0000}"/>
    <cellStyle name="Total 2 4 3 4 2" xfId="4844" xr:uid="{00000000-0005-0000-0000-0000308E0000}"/>
    <cellStyle name="Total 2 4 3 4 2 2" xfId="23816" xr:uid="{00000000-0005-0000-0000-0000318E0000}"/>
    <cellStyle name="Total 2 4 3 4 2 3" xfId="34661" xr:uid="{00000000-0005-0000-0000-0000328E0000}"/>
    <cellStyle name="Total 2 4 3 4 2 4" xfId="14699" xr:uid="{00000000-0005-0000-0000-0000338E0000}"/>
    <cellStyle name="Total 2 4 3 4 3" xfId="7516" xr:uid="{00000000-0005-0000-0000-0000348E0000}"/>
    <cellStyle name="Total 2 4 3 4 3 2" xfId="26488" xr:uid="{00000000-0005-0000-0000-0000358E0000}"/>
    <cellStyle name="Total 2 4 3 4 3 3" xfId="37333" xr:uid="{00000000-0005-0000-0000-0000368E0000}"/>
    <cellStyle name="Total 2 4 3 4 3 4" xfId="16613" xr:uid="{00000000-0005-0000-0000-0000378E0000}"/>
    <cellStyle name="Total 2 4 3 4 4" xfId="10175" xr:uid="{00000000-0005-0000-0000-0000388E0000}"/>
    <cellStyle name="Total 2 4 3 4 4 2" xfId="29147" xr:uid="{00000000-0005-0000-0000-0000398E0000}"/>
    <cellStyle name="Total 2 4 3 4 4 3" xfId="39992" xr:uid="{00000000-0005-0000-0000-00003A8E0000}"/>
    <cellStyle name="Total 2 4 3 4 4 4" xfId="18517" xr:uid="{00000000-0005-0000-0000-00003B8E0000}"/>
    <cellStyle name="Total 2 4 3 4 5" xfId="20971" xr:uid="{00000000-0005-0000-0000-00003C8E0000}"/>
    <cellStyle name="Total 2 4 3 4 6" xfId="31816" xr:uid="{00000000-0005-0000-0000-00003D8E0000}"/>
    <cellStyle name="Total 2 4 3 4 7" xfId="12663" xr:uid="{00000000-0005-0000-0000-00003E8E0000}"/>
    <cellStyle name="Total 2 4 3 5" xfId="2383" xr:uid="{00000000-0005-0000-0000-00003F8E0000}"/>
    <cellStyle name="Total 2 4 3 5 2" xfId="5236" xr:uid="{00000000-0005-0000-0000-0000408E0000}"/>
    <cellStyle name="Total 2 4 3 5 2 2" xfId="24208" xr:uid="{00000000-0005-0000-0000-0000418E0000}"/>
    <cellStyle name="Total 2 4 3 5 2 3" xfId="35053" xr:uid="{00000000-0005-0000-0000-0000428E0000}"/>
    <cellStyle name="Total 2 4 3 5 2 4" xfId="14980" xr:uid="{00000000-0005-0000-0000-0000438E0000}"/>
    <cellStyle name="Total 2 4 3 5 3" xfId="7907" xr:uid="{00000000-0005-0000-0000-0000448E0000}"/>
    <cellStyle name="Total 2 4 3 5 3 2" xfId="26879" xr:uid="{00000000-0005-0000-0000-0000458E0000}"/>
    <cellStyle name="Total 2 4 3 5 3 3" xfId="37724" xr:uid="{00000000-0005-0000-0000-0000468E0000}"/>
    <cellStyle name="Total 2 4 3 5 3 4" xfId="16893" xr:uid="{00000000-0005-0000-0000-0000478E0000}"/>
    <cellStyle name="Total 2 4 3 5 4" xfId="10566" xr:uid="{00000000-0005-0000-0000-0000488E0000}"/>
    <cellStyle name="Total 2 4 3 5 4 2" xfId="29538" xr:uid="{00000000-0005-0000-0000-0000498E0000}"/>
    <cellStyle name="Total 2 4 3 5 4 3" xfId="40383" xr:uid="{00000000-0005-0000-0000-00004A8E0000}"/>
    <cellStyle name="Total 2 4 3 5 4 4" xfId="18797" xr:uid="{00000000-0005-0000-0000-00004B8E0000}"/>
    <cellStyle name="Total 2 4 3 5 5" xfId="21362" xr:uid="{00000000-0005-0000-0000-00004C8E0000}"/>
    <cellStyle name="Total 2 4 3 5 6" xfId="32207" xr:uid="{00000000-0005-0000-0000-00004D8E0000}"/>
    <cellStyle name="Total 2 4 3 5 7" xfId="12943" xr:uid="{00000000-0005-0000-0000-00004E8E0000}"/>
    <cellStyle name="Total 2 4 3 6" xfId="2772" xr:uid="{00000000-0005-0000-0000-00004F8E0000}"/>
    <cellStyle name="Total 2 4 3 6 2" xfId="5624" xr:uid="{00000000-0005-0000-0000-0000508E0000}"/>
    <cellStyle name="Total 2 4 3 6 2 2" xfId="24596" xr:uid="{00000000-0005-0000-0000-0000518E0000}"/>
    <cellStyle name="Total 2 4 3 6 2 3" xfId="35441" xr:uid="{00000000-0005-0000-0000-0000528E0000}"/>
    <cellStyle name="Total 2 4 3 6 2 4" xfId="15258" xr:uid="{00000000-0005-0000-0000-0000538E0000}"/>
    <cellStyle name="Total 2 4 3 6 3" xfId="8295" xr:uid="{00000000-0005-0000-0000-0000548E0000}"/>
    <cellStyle name="Total 2 4 3 6 3 2" xfId="27267" xr:uid="{00000000-0005-0000-0000-0000558E0000}"/>
    <cellStyle name="Total 2 4 3 6 3 3" xfId="38112" xr:uid="{00000000-0005-0000-0000-0000568E0000}"/>
    <cellStyle name="Total 2 4 3 6 3 4" xfId="17171" xr:uid="{00000000-0005-0000-0000-0000578E0000}"/>
    <cellStyle name="Total 2 4 3 6 4" xfId="10954" xr:uid="{00000000-0005-0000-0000-0000588E0000}"/>
    <cellStyle name="Total 2 4 3 6 4 2" xfId="29926" xr:uid="{00000000-0005-0000-0000-0000598E0000}"/>
    <cellStyle name="Total 2 4 3 6 4 3" xfId="40771" xr:uid="{00000000-0005-0000-0000-00005A8E0000}"/>
    <cellStyle name="Total 2 4 3 6 4 4" xfId="19075" xr:uid="{00000000-0005-0000-0000-00005B8E0000}"/>
    <cellStyle name="Total 2 4 3 6 5" xfId="21750" xr:uid="{00000000-0005-0000-0000-00005C8E0000}"/>
    <cellStyle name="Total 2 4 3 6 6" xfId="32595" xr:uid="{00000000-0005-0000-0000-00005D8E0000}"/>
    <cellStyle name="Total 2 4 3 6 7" xfId="13221" xr:uid="{00000000-0005-0000-0000-00005E8E0000}"/>
    <cellStyle name="Total 2 4 3 7" xfId="3463" xr:uid="{00000000-0005-0000-0000-00005F8E0000}"/>
    <cellStyle name="Total 2 4 3 7 2" xfId="22435" xr:uid="{00000000-0005-0000-0000-0000608E0000}"/>
    <cellStyle name="Total 2 4 3 7 3" xfId="33280" xr:uid="{00000000-0005-0000-0000-0000618E0000}"/>
    <cellStyle name="Total 2 4 3 7 4" xfId="13703" xr:uid="{00000000-0005-0000-0000-0000628E0000}"/>
    <cellStyle name="Total 2 4 3 8" xfId="6139" xr:uid="{00000000-0005-0000-0000-0000638E0000}"/>
    <cellStyle name="Total 2 4 3 8 2" xfId="25111" xr:uid="{00000000-0005-0000-0000-0000648E0000}"/>
    <cellStyle name="Total 2 4 3 8 3" xfId="35956" xr:uid="{00000000-0005-0000-0000-0000658E0000}"/>
    <cellStyle name="Total 2 4 3 8 4" xfId="15620" xr:uid="{00000000-0005-0000-0000-0000668E0000}"/>
    <cellStyle name="Total 2 4 3 9" xfId="8798" xr:uid="{00000000-0005-0000-0000-0000678E0000}"/>
    <cellStyle name="Total 2 4 3 9 2" xfId="27770" xr:uid="{00000000-0005-0000-0000-0000688E0000}"/>
    <cellStyle name="Total 2 4 3 9 3" xfId="38615" xr:uid="{00000000-0005-0000-0000-0000698E0000}"/>
    <cellStyle name="Total 2 4 3 9 4" xfId="17524" xr:uid="{00000000-0005-0000-0000-00006A8E0000}"/>
    <cellStyle name="Total 2 4 4" xfId="11477" xr:uid="{00000000-0005-0000-0000-00006B8E0000}"/>
    <cellStyle name="Total 2 5" xfId="159" xr:uid="{00000000-0005-0000-0000-00006C8E0000}"/>
    <cellStyle name="Total 2 5 2" xfId="403" xr:uid="{00000000-0005-0000-0000-00006D8E0000}"/>
    <cellStyle name="Total 2 5 2 10" xfId="2694" xr:uid="{00000000-0005-0000-0000-00006E8E0000}"/>
    <cellStyle name="Total 2 5 2 10 2" xfId="5546" xr:uid="{00000000-0005-0000-0000-00006F8E0000}"/>
    <cellStyle name="Total 2 5 2 10 2 2" xfId="24518" xr:uid="{00000000-0005-0000-0000-0000708E0000}"/>
    <cellStyle name="Total 2 5 2 10 2 3" xfId="35363" xr:uid="{00000000-0005-0000-0000-0000718E0000}"/>
    <cellStyle name="Total 2 5 2 10 2 4" xfId="15200" xr:uid="{00000000-0005-0000-0000-0000728E0000}"/>
    <cellStyle name="Total 2 5 2 10 3" xfId="8217" xr:uid="{00000000-0005-0000-0000-0000738E0000}"/>
    <cellStyle name="Total 2 5 2 10 3 2" xfId="27189" xr:uid="{00000000-0005-0000-0000-0000748E0000}"/>
    <cellStyle name="Total 2 5 2 10 3 3" xfId="38034" xr:uid="{00000000-0005-0000-0000-0000758E0000}"/>
    <cellStyle name="Total 2 5 2 10 3 4" xfId="17113" xr:uid="{00000000-0005-0000-0000-0000768E0000}"/>
    <cellStyle name="Total 2 5 2 10 4" xfId="10876" xr:uid="{00000000-0005-0000-0000-0000778E0000}"/>
    <cellStyle name="Total 2 5 2 10 4 2" xfId="29848" xr:uid="{00000000-0005-0000-0000-0000788E0000}"/>
    <cellStyle name="Total 2 5 2 10 4 3" xfId="40693" xr:uid="{00000000-0005-0000-0000-0000798E0000}"/>
    <cellStyle name="Total 2 5 2 10 4 4" xfId="19017" xr:uid="{00000000-0005-0000-0000-00007A8E0000}"/>
    <cellStyle name="Total 2 5 2 10 5" xfId="21672" xr:uid="{00000000-0005-0000-0000-00007B8E0000}"/>
    <cellStyle name="Total 2 5 2 10 6" xfId="32517" xr:uid="{00000000-0005-0000-0000-00007C8E0000}"/>
    <cellStyle name="Total 2 5 2 10 7" xfId="13163" xr:uid="{00000000-0005-0000-0000-00007D8E0000}"/>
    <cellStyle name="Total 2 5 2 11" xfId="3080" xr:uid="{00000000-0005-0000-0000-00007E8E0000}"/>
    <cellStyle name="Total 2 5 2 11 2" xfId="5931" xr:uid="{00000000-0005-0000-0000-00007F8E0000}"/>
    <cellStyle name="Total 2 5 2 11 2 2" xfId="24903" xr:uid="{00000000-0005-0000-0000-0000808E0000}"/>
    <cellStyle name="Total 2 5 2 11 2 3" xfId="35748" xr:uid="{00000000-0005-0000-0000-0000818E0000}"/>
    <cellStyle name="Total 2 5 2 11 2 4" xfId="15476" xr:uid="{00000000-0005-0000-0000-0000828E0000}"/>
    <cellStyle name="Total 2 5 2 11 3" xfId="8602" xr:uid="{00000000-0005-0000-0000-0000838E0000}"/>
    <cellStyle name="Total 2 5 2 11 3 2" xfId="27574" xr:uid="{00000000-0005-0000-0000-0000848E0000}"/>
    <cellStyle name="Total 2 5 2 11 3 3" xfId="38419" xr:uid="{00000000-0005-0000-0000-0000858E0000}"/>
    <cellStyle name="Total 2 5 2 11 3 4" xfId="17389" xr:uid="{00000000-0005-0000-0000-0000868E0000}"/>
    <cellStyle name="Total 2 5 2 11 4" xfId="11261" xr:uid="{00000000-0005-0000-0000-0000878E0000}"/>
    <cellStyle name="Total 2 5 2 11 4 2" xfId="30233" xr:uid="{00000000-0005-0000-0000-0000888E0000}"/>
    <cellStyle name="Total 2 5 2 11 4 3" xfId="41078" xr:uid="{00000000-0005-0000-0000-0000898E0000}"/>
    <cellStyle name="Total 2 5 2 11 4 4" xfId="19293" xr:uid="{00000000-0005-0000-0000-00008A8E0000}"/>
    <cellStyle name="Total 2 5 2 11 5" xfId="22057" xr:uid="{00000000-0005-0000-0000-00008B8E0000}"/>
    <cellStyle name="Total 2 5 2 11 6" xfId="32902" xr:uid="{00000000-0005-0000-0000-00008C8E0000}"/>
    <cellStyle name="Total 2 5 2 11 7" xfId="13439" xr:uid="{00000000-0005-0000-0000-00008D8E0000}"/>
    <cellStyle name="Total 2 5 2 12" xfId="3137" xr:uid="{00000000-0005-0000-0000-00008E8E0000}"/>
    <cellStyle name="Total 2 5 2 12 2" xfId="5988" xr:uid="{00000000-0005-0000-0000-00008F8E0000}"/>
    <cellStyle name="Total 2 5 2 12 2 2" xfId="24960" xr:uid="{00000000-0005-0000-0000-0000908E0000}"/>
    <cellStyle name="Total 2 5 2 12 2 3" xfId="35805" xr:uid="{00000000-0005-0000-0000-0000918E0000}"/>
    <cellStyle name="Total 2 5 2 12 2 4" xfId="15513" xr:uid="{00000000-0005-0000-0000-0000928E0000}"/>
    <cellStyle name="Total 2 5 2 12 3" xfId="8659" xr:uid="{00000000-0005-0000-0000-0000938E0000}"/>
    <cellStyle name="Total 2 5 2 12 3 2" xfId="27631" xr:uid="{00000000-0005-0000-0000-0000948E0000}"/>
    <cellStyle name="Total 2 5 2 12 3 3" xfId="38476" xr:uid="{00000000-0005-0000-0000-0000958E0000}"/>
    <cellStyle name="Total 2 5 2 12 3 4" xfId="17426" xr:uid="{00000000-0005-0000-0000-0000968E0000}"/>
    <cellStyle name="Total 2 5 2 12 4" xfId="11318" xr:uid="{00000000-0005-0000-0000-0000978E0000}"/>
    <cellStyle name="Total 2 5 2 12 4 2" xfId="30290" xr:uid="{00000000-0005-0000-0000-0000988E0000}"/>
    <cellStyle name="Total 2 5 2 12 4 3" xfId="41135" xr:uid="{00000000-0005-0000-0000-0000998E0000}"/>
    <cellStyle name="Total 2 5 2 12 4 4" xfId="19330" xr:uid="{00000000-0005-0000-0000-00009A8E0000}"/>
    <cellStyle name="Total 2 5 2 12 5" xfId="22114" xr:uid="{00000000-0005-0000-0000-00009B8E0000}"/>
    <cellStyle name="Total 2 5 2 12 6" xfId="32959" xr:uid="{00000000-0005-0000-0000-00009C8E0000}"/>
    <cellStyle name="Total 2 5 2 12 7" xfId="13476" xr:uid="{00000000-0005-0000-0000-00009D8E0000}"/>
    <cellStyle name="Total 2 5 2 13" xfId="3194" xr:uid="{00000000-0005-0000-0000-00009E8E0000}"/>
    <cellStyle name="Total 2 5 2 13 2" xfId="6045" xr:uid="{00000000-0005-0000-0000-00009F8E0000}"/>
    <cellStyle name="Total 2 5 2 13 2 2" xfId="25017" xr:uid="{00000000-0005-0000-0000-0000A08E0000}"/>
    <cellStyle name="Total 2 5 2 13 2 3" xfId="35862" xr:uid="{00000000-0005-0000-0000-0000A18E0000}"/>
    <cellStyle name="Total 2 5 2 13 2 4" xfId="15550" xr:uid="{00000000-0005-0000-0000-0000A28E0000}"/>
    <cellStyle name="Total 2 5 2 13 3" xfId="8716" xr:uid="{00000000-0005-0000-0000-0000A38E0000}"/>
    <cellStyle name="Total 2 5 2 13 3 2" xfId="27688" xr:uid="{00000000-0005-0000-0000-0000A48E0000}"/>
    <cellStyle name="Total 2 5 2 13 3 3" xfId="38533" xr:uid="{00000000-0005-0000-0000-0000A58E0000}"/>
    <cellStyle name="Total 2 5 2 13 3 4" xfId="17463" xr:uid="{00000000-0005-0000-0000-0000A68E0000}"/>
    <cellStyle name="Total 2 5 2 13 4" xfId="11375" xr:uid="{00000000-0005-0000-0000-0000A78E0000}"/>
    <cellStyle name="Total 2 5 2 13 4 2" xfId="30347" xr:uid="{00000000-0005-0000-0000-0000A88E0000}"/>
    <cellStyle name="Total 2 5 2 13 4 3" xfId="41192" xr:uid="{00000000-0005-0000-0000-0000A98E0000}"/>
    <cellStyle name="Total 2 5 2 13 4 4" xfId="19367" xr:uid="{00000000-0005-0000-0000-0000AA8E0000}"/>
    <cellStyle name="Total 2 5 2 13 5" xfId="22171" xr:uid="{00000000-0005-0000-0000-0000AB8E0000}"/>
    <cellStyle name="Total 2 5 2 13 6" xfId="33016" xr:uid="{00000000-0005-0000-0000-0000AC8E0000}"/>
    <cellStyle name="Total 2 5 2 13 7" xfId="13513" xr:uid="{00000000-0005-0000-0000-0000AD8E0000}"/>
    <cellStyle name="Total 2 5 2 14" xfId="3361" xr:uid="{00000000-0005-0000-0000-0000AE8E0000}"/>
    <cellStyle name="Total 2 5 2 14 2" xfId="22335" xr:uid="{00000000-0005-0000-0000-0000AF8E0000}"/>
    <cellStyle name="Total 2 5 2 14 3" xfId="33180" xr:uid="{00000000-0005-0000-0000-0000B08E0000}"/>
    <cellStyle name="Total 2 5 2 14 4" xfId="13630" xr:uid="{00000000-0005-0000-0000-0000B18E0000}"/>
    <cellStyle name="Total 2 5 2 15" xfId="3315" xr:uid="{00000000-0005-0000-0000-0000B28E0000}"/>
    <cellStyle name="Total 2 5 2 15 2" xfId="22289" xr:uid="{00000000-0005-0000-0000-0000B38E0000}"/>
    <cellStyle name="Total 2 5 2 15 3" xfId="33134" xr:uid="{00000000-0005-0000-0000-0000B48E0000}"/>
    <cellStyle name="Total 2 5 2 15 4" xfId="13598" xr:uid="{00000000-0005-0000-0000-0000B58E0000}"/>
    <cellStyle name="Total 2 5 2 16" xfId="4385" xr:uid="{00000000-0005-0000-0000-0000B68E0000}"/>
    <cellStyle name="Total 2 5 2 16 2" xfId="23357" xr:uid="{00000000-0005-0000-0000-0000B78E0000}"/>
    <cellStyle name="Total 2 5 2 16 3" xfId="34202" xr:uid="{00000000-0005-0000-0000-0000B88E0000}"/>
    <cellStyle name="Total 2 5 2 16 4" xfId="14366" xr:uid="{00000000-0005-0000-0000-0000B98E0000}"/>
    <cellStyle name="Total 2 5 2 17" xfId="19491" xr:uid="{00000000-0005-0000-0000-0000BA8E0000}"/>
    <cellStyle name="Total 2 5 2 18" xfId="19427" xr:uid="{00000000-0005-0000-0000-0000BB8E0000}"/>
    <cellStyle name="Total 2 5 2 19" xfId="11540" xr:uid="{00000000-0005-0000-0000-0000BC8E0000}"/>
    <cellStyle name="Total 2 5 2 2" xfId="702" xr:uid="{00000000-0005-0000-0000-0000BD8E0000}"/>
    <cellStyle name="Total 2 5 2 2 10" xfId="19687" xr:uid="{00000000-0005-0000-0000-0000BE8E0000}"/>
    <cellStyle name="Total 2 5 2 2 11" xfId="30532" xr:uid="{00000000-0005-0000-0000-0000BF8E0000}"/>
    <cellStyle name="Total 2 5 2 2 12" xfId="11744" xr:uid="{00000000-0005-0000-0000-0000C08E0000}"/>
    <cellStyle name="Total 2 5 2 2 2" xfId="1289" xr:uid="{00000000-0005-0000-0000-0000C18E0000}"/>
    <cellStyle name="Total 2 5 2 2 2 2" xfId="4142" xr:uid="{00000000-0005-0000-0000-0000C28E0000}"/>
    <cellStyle name="Total 2 5 2 2 2 2 2" xfId="23114" xr:uid="{00000000-0005-0000-0000-0000C38E0000}"/>
    <cellStyle name="Total 2 5 2 2 2 2 3" xfId="33959" xr:uid="{00000000-0005-0000-0000-0000C48E0000}"/>
    <cellStyle name="Total 2 5 2 2 2 2 4" xfId="14205" xr:uid="{00000000-0005-0000-0000-0000C58E0000}"/>
    <cellStyle name="Total 2 5 2 2 2 3" xfId="6815" xr:uid="{00000000-0005-0000-0000-0000C68E0000}"/>
    <cellStyle name="Total 2 5 2 2 2 3 2" xfId="25787" xr:uid="{00000000-0005-0000-0000-0000C78E0000}"/>
    <cellStyle name="Total 2 5 2 2 2 3 3" xfId="36632" xr:uid="{00000000-0005-0000-0000-0000C88E0000}"/>
    <cellStyle name="Total 2 5 2 2 2 3 4" xfId="16120" xr:uid="{00000000-0005-0000-0000-0000C98E0000}"/>
    <cellStyle name="Total 2 5 2 2 2 4" xfId="9474" xr:uid="{00000000-0005-0000-0000-0000CA8E0000}"/>
    <cellStyle name="Total 2 5 2 2 2 4 2" xfId="28446" xr:uid="{00000000-0005-0000-0000-0000CB8E0000}"/>
    <cellStyle name="Total 2 5 2 2 2 4 3" xfId="39291" xr:uid="{00000000-0005-0000-0000-0000CC8E0000}"/>
    <cellStyle name="Total 2 5 2 2 2 4 4" xfId="18024" xr:uid="{00000000-0005-0000-0000-0000CD8E0000}"/>
    <cellStyle name="Total 2 5 2 2 2 5" xfId="20270" xr:uid="{00000000-0005-0000-0000-0000CE8E0000}"/>
    <cellStyle name="Total 2 5 2 2 2 6" xfId="31115" xr:uid="{00000000-0005-0000-0000-0000CF8E0000}"/>
    <cellStyle name="Total 2 5 2 2 2 7" xfId="12170" xr:uid="{00000000-0005-0000-0000-0000D08E0000}"/>
    <cellStyle name="Total 2 5 2 2 3" xfId="1688" xr:uid="{00000000-0005-0000-0000-0000D18E0000}"/>
    <cellStyle name="Total 2 5 2 2 3 2" xfId="4541" xr:uid="{00000000-0005-0000-0000-0000D28E0000}"/>
    <cellStyle name="Total 2 5 2 2 3 2 2" xfId="23513" xr:uid="{00000000-0005-0000-0000-0000D38E0000}"/>
    <cellStyle name="Total 2 5 2 2 3 2 3" xfId="34358" xr:uid="{00000000-0005-0000-0000-0000D48E0000}"/>
    <cellStyle name="Total 2 5 2 2 3 2 4" xfId="14492" xr:uid="{00000000-0005-0000-0000-0000D58E0000}"/>
    <cellStyle name="Total 2 5 2 2 3 3" xfId="7213" xr:uid="{00000000-0005-0000-0000-0000D68E0000}"/>
    <cellStyle name="Total 2 5 2 2 3 3 2" xfId="26185" xr:uid="{00000000-0005-0000-0000-0000D78E0000}"/>
    <cellStyle name="Total 2 5 2 2 3 3 3" xfId="37030" xr:uid="{00000000-0005-0000-0000-0000D88E0000}"/>
    <cellStyle name="Total 2 5 2 2 3 3 4" xfId="16406" xr:uid="{00000000-0005-0000-0000-0000D98E0000}"/>
    <cellStyle name="Total 2 5 2 2 3 4" xfId="9872" xr:uid="{00000000-0005-0000-0000-0000DA8E0000}"/>
    <cellStyle name="Total 2 5 2 2 3 4 2" xfId="28844" xr:uid="{00000000-0005-0000-0000-0000DB8E0000}"/>
    <cellStyle name="Total 2 5 2 2 3 4 3" xfId="39689" xr:uid="{00000000-0005-0000-0000-0000DC8E0000}"/>
    <cellStyle name="Total 2 5 2 2 3 4 4" xfId="18310" xr:uid="{00000000-0005-0000-0000-0000DD8E0000}"/>
    <cellStyle name="Total 2 5 2 2 3 5" xfId="20668" xr:uid="{00000000-0005-0000-0000-0000DE8E0000}"/>
    <cellStyle name="Total 2 5 2 2 3 6" xfId="31513" xr:uid="{00000000-0005-0000-0000-0000DF8E0000}"/>
    <cellStyle name="Total 2 5 2 2 3 7" xfId="12456" xr:uid="{00000000-0005-0000-0000-0000E08E0000}"/>
    <cellStyle name="Total 2 5 2 2 4" xfId="2092" xr:uid="{00000000-0005-0000-0000-0000E18E0000}"/>
    <cellStyle name="Total 2 5 2 2 4 2" xfId="4945" xr:uid="{00000000-0005-0000-0000-0000E28E0000}"/>
    <cellStyle name="Total 2 5 2 2 4 2 2" xfId="23917" xr:uid="{00000000-0005-0000-0000-0000E38E0000}"/>
    <cellStyle name="Total 2 5 2 2 4 2 3" xfId="34762" xr:uid="{00000000-0005-0000-0000-0000E48E0000}"/>
    <cellStyle name="Total 2 5 2 2 4 2 4" xfId="14779" xr:uid="{00000000-0005-0000-0000-0000E58E0000}"/>
    <cellStyle name="Total 2 5 2 2 4 3" xfId="7616" xr:uid="{00000000-0005-0000-0000-0000E68E0000}"/>
    <cellStyle name="Total 2 5 2 2 4 3 2" xfId="26588" xr:uid="{00000000-0005-0000-0000-0000E78E0000}"/>
    <cellStyle name="Total 2 5 2 2 4 3 3" xfId="37433" xr:uid="{00000000-0005-0000-0000-0000E88E0000}"/>
    <cellStyle name="Total 2 5 2 2 4 3 4" xfId="16692" xr:uid="{00000000-0005-0000-0000-0000E98E0000}"/>
    <cellStyle name="Total 2 5 2 2 4 4" xfId="10275" xr:uid="{00000000-0005-0000-0000-0000EA8E0000}"/>
    <cellStyle name="Total 2 5 2 2 4 4 2" xfId="29247" xr:uid="{00000000-0005-0000-0000-0000EB8E0000}"/>
    <cellStyle name="Total 2 5 2 2 4 4 3" xfId="40092" xr:uid="{00000000-0005-0000-0000-0000EC8E0000}"/>
    <cellStyle name="Total 2 5 2 2 4 4 4" xfId="18596" xr:uid="{00000000-0005-0000-0000-0000ED8E0000}"/>
    <cellStyle name="Total 2 5 2 2 4 5" xfId="21071" xr:uid="{00000000-0005-0000-0000-0000EE8E0000}"/>
    <cellStyle name="Total 2 5 2 2 4 6" xfId="31916" xr:uid="{00000000-0005-0000-0000-0000EF8E0000}"/>
    <cellStyle name="Total 2 5 2 2 4 7" xfId="12742" xr:uid="{00000000-0005-0000-0000-0000F08E0000}"/>
    <cellStyle name="Total 2 5 2 2 5" xfId="2482" xr:uid="{00000000-0005-0000-0000-0000F18E0000}"/>
    <cellStyle name="Total 2 5 2 2 5 2" xfId="5334" xr:uid="{00000000-0005-0000-0000-0000F28E0000}"/>
    <cellStyle name="Total 2 5 2 2 5 2 2" xfId="24306" xr:uid="{00000000-0005-0000-0000-0000F38E0000}"/>
    <cellStyle name="Total 2 5 2 2 5 2 3" xfId="35151" xr:uid="{00000000-0005-0000-0000-0000F48E0000}"/>
    <cellStyle name="Total 2 5 2 2 5 2 4" xfId="15058" xr:uid="{00000000-0005-0000-0000-0000F58E0000}"/>
    <cellStyle name="Total 2 5 2 2 5 3" xfId="8005" xr:uid="{00000000-0005-0000-0000-0000F68E0000}"/>
    <cellStyle name="Total 2 5 2 2 5 3 2" xfId="26977" xr:uid="{00000000-0005-0000-0000-0000F78E0000}"/>
    <cellStyle name="Total 2 5 2 2 5 3 3" xfId="37822" xr:uid="{00000000-0005-0000-0000-0000F88E0000}"/>
    <cellStyle name="Total 2 5 2 2 5 3 4" xfId="16971" xr:uid="{00000000-0005-0000-0000-0000F98E0000}"/>
    <cellStyle name="Total 2 5 2 2 5 4" xfId="10664" xr:uid="{00000000-0005-0000-0000-0000FA8E0000}"/>
    <cellStyle name="Total 2 5 2 2 5 4 2" xfId="29636" xr:uid="{00000000-0005-0000-0000-0000FB8E0000}"/>
    <cellStyle name="Total 2 5 2 2 5 4 3" xfId="40481" xr:uid="{00000000-0005-0000-0000-0000FC8E0000}"/>
    <cellStyle name="Total 2 5 2 2 5 4 4" xfId="18875" xr:uid="{00000000-0005-0000-0000-0000FD8E0000}"/>
    <cellStyle name="Total 2 5 2 2 5 5" xfId="21460" xr:uid="{00000000-0005-0000-0000-0000FE8E0000}"/>
    <cellStyle name="Total 2 5 2 2 5 6" xfId="32305" xr:uid="{00000000-0005-0000-0000-0000FF8E0000}"/>
    <cellStyle name="Total 2 5 2 2 5 7" xfId="13021" xr:uid="{00000000-0005-0000-0000-0000008F0000}"/>
    <cellStyle name="Total 2 5 2 2 6" xfId="2868" xr:uid="{00000000-0005-0000-0000-0000018F0000}"/>
    <cellStyle name="Total 2 5 2 2 6 2" xfId="5719" xr:uid="{00000000-0005-0000-0000-0000028F0000}"/>
    <cellStyle name="Total 2 5 2 2 6 2 2" xfId="24691" xr:uid="{00000000-0005-0000-0000-0000038F0000}"/>
    <cellStyle name="Total 2 5 2 2 6 2 3" xfId="35536" xr:uid="{00000000-0005-0000-0000-0000048F0000}"/>
    <cellStyle name="Total 2 5 2 2 6 2 4" xfId="15334" xr:uid="{00000000-0005-0000-0000-0000058F0000}"/>
    <cellStyle name="Total 2 5 2 2 6 3" xfId="8390" xr:uid="{00000000-0005-0000-0000-0000068F0000}"/>
    <cellStyle name="Total 2 5 2 2 6 3 2" xfId="27362" xr:uid="{00000000-0005-0000-0000-0000078F0000}"/>
    <cellStyle name="Total 2 5 2 2 6 3 3" xfId="38207" xr:uid="{00000000-0005-0000-0000-0000088F0000}"/>
    <cellStyle name="Total 2 5 2 2 6 3 4" xfId="17247" xr:uid="{00000000-0005-0000-0000-0000098F0000}"/>
    <cellStyle name="Total 2 5 2 2 6 4" xfId="11049" xr:uid="{00000000-0005-0000-0000-00000A8F0000}"/>
    <cellStyle name="Total 2 5 2 2 6 4 2" xfId="30021" xr:uid="{00000000-0005-0000-0000-00000B8F0000}"/>
    <cellStyle name="Total 2 5 2 2 6 4 3" xfId="40866" xr:uid="{00000000-0005-0000-0000-00000C8F0000}"/>
    <cellStyle name="Total 2 5 2 2 6 4 4" xfId="19151" xr:uid="{00000000-0005-0000-0000-00000D8F0000}"/>
    <cellStyle name="Total 2 5 2 2 6 5" xfId="21845" xr:uid="{00000000-0005-0000-0000-00000E8F0000}"/>
    <cellStyle name="Total 2 5 2 2 6 6" xfId="32690" xr:uid="{00000000-0005-0000-0000-00000F8F0000}"/>
    <cellStyle name="Total 2 5 2 2 6 7" xfId="13297" xr:uid="{00000000-0005-0000-0000-0000108F0000}"/>
    <cellStyle name="Total 2 5 2 2 7" xfId="3557" xr:uid="{00000000-0005-0000-0000-0000118F0000}"/>
    <cellStyle name="Total 2 5 2 2 7 2" xfId="22529" xr:uid="{00000000-0005-0000-0000-0000128F0000}"/>
    <cellStyle name="Total 2 5 2 2 7 3" xfId="33374" xr:uid="{00000000-0005-0000-0000-0000138F0000}"/>
    <cellStyle name="Total 2 5 2 2 7 4" xfId="13778" xr:uid="{00000000-0005-0000-0000-0000148F0000}"/>
    <cellStyle name="Total 2 5 2 2 8" xfId="6232" xr:uid="{00000000-0005-0000-0000-0000158F0000}"/>
    <cellStyle name="Total 2 5 2 2 8 2" xfId="25204" xr:uid="{00000000-0005-0000-0000-0000168F0000}"/>
    <cellStyle name="Total 2 5 2 2 8 3" xfId="36049" xr:uid="{00000000-0005-0000-0000-0000178F0000}"/>
    <cellStyle name="Total 2 5 2 2 8 4" xfId="15694" xr:uid="{00000000-0005-0000-0000-0000188F0000}"/>
    <cellStyle name="Total 2 5 2 2 9" xfId="8891" xr:uid="{00000000-0005-0000-0000-0000198F0000}"/>
    <cellStyle name="Total 2 5 2 2 9 2" xfId="27863" xr:uid="{00000000-0005-0000-0000-00001A8F0000}"/>
    <cellStyle name="Total 2 5 2 2 9 3" xfId="38708" xr:uid="{00000000-0005-0000-0000-00001B8F0000}"/>
    <cellStyle name="Total 2 5 2 2 9 4" xfId="17598" xr:uid="{00000000-0005-0000-0000-00001C8F0000}"/>
    <cellStyle name="Total 2 5 2 3" xfId="762" xr:uid="{00000000-0005-0000-0000-00001D8F0000}"/>
    <cellStyle name="Total 2 5 2 3 10" xfId="19747" xr:uid="{00000000-0005-0000-0000-00001E8F0000}"/>
    <cellStyle name="Total 2 5 2 3 11" xfId="30592" xr:uid="{00000000-0005-0000-0000-00001F8F0000}"/>
    <cellStyle name="Total 2 5 2 3 12" xfId="11784" xr:uid="{00000000-0005-0000-0000-0000208F0000}"/>
    <cellStyle name="Total 2 5 2 3 2" xfId="1349" xr:uid="{00000000-0005-0000-0000-0000218F0000}"/>
    <cellStyle name="Total 2 5 2 3 2 2" xfId="4202" xr:uid="{00000000-0005-0000-0000-0000228F0000}"/>
    <cellStyle name="Total 2 5 2 3 2 2 2" xfId="23174" xr:uid="{00000000-0005-0000-0000-0000238F0000}"/>
    <cellStyle name="Total 2 5 2 3 2 2 3" xfId="34019" xr:uid="{00000000-0005-0000-0000-0000248F0000}"/>
    <cellStyle name="Total 2 5 2 3 2 2 4" xfId="14245" xr:uid="{00000000-0005-0000-0000-0000258F0000}"/>
    <cellStyle name="Total 2 5 2 3 2 3" xfId="6875" xr:uid="{00000000-0005-0000-0000-0000268F0000}"/>
    <cellStyle name="Total 2 5 2 3 2 3 2" xfId="25847" xr:uid="{00000000-0005-0000-0000-0000278F0000}"/>
    <cellStyle name="Total 2 5 2 3 2 3 3" xfId="36692" xr:uid="{00000000-0005-0000-0000-0000288F0000}"/>
    <cellStyle name="Total 2 5 2 3 2 3 4" xfId="16160" xr:uid="{00000000-0005-0000-0000-0000298F0000}"/>
    <cellStyle name="Total 2 5 2 3 2 4" xfId="9534" xr:uid="{00000000-0005-0000-0000-00002A8F0000}"/>
    <cellStyle name="Total 2 5 2 3 2 4 2" xfId="28506" xr:uid="{00000000-0005-0000-0000-00002B8F0000}"/>
    <cellStyle name="Total 2 5 2 3 2 4 3" xfId="39351" xr:uid="{00000000-0005-0000-0000-00002C8F0000}"/>
    <cellStyle name="Total 2 5 2 3 2 4 4" xfId="18064" xr:uid="{00000000-0005-0000-0000-00002D8F0000}"/>
    <cellStyle name="Total 2 5 2 3 2 5" xfId="20330" xr:uid="{00000000-0005-0000-0000-00002E8F0000}"/>
    <cellStyle name="Total 2 5 2 3 2 6" xfId="31175" xr:uid="{00000000-0005-0000-0000-00002F8F0000}"/>
    <cellStyle name="Total 2 5 2 3 2 7" xfId="12210" xr:uid="{00000000-0005-0000-0000-0000308F0000}"/>
    <cellStyle name="Total 2 5 2 3 3" xfId="1748" xr:uid="{00000000-0005-0000-0000-0000318F0000}"/>
    <cellStyle name="Total 2 5 2 3 3 2" xfId="4601" xr:uid="{00000000-0005-0000-0000-0000328F0000}"/>
    <cellStyle name="Total 2 5 2 3 3 2 2" xfId="23573" xr:uid="{00000000-0005-0000-0000-0000338F0000}"/>
    <cellStyle name="Total 2 5 2 3 3 2 3" xfId="34418" xr:uid="{00000000-0005-0000-0000-0000348F0000}"/>
    <cellStyle name="Total 2 5 2 3 3 2 4" xfId="14532" xr:uid="{00000000-0005-0000-0000-0000358F0000}"/>
    <cellStyle name="Total 2 5 2 3 3 3" xfId="7273" xr:uid="{00000000-0005-0000-0000-0000368F0000}"/>
    <cellStyle name="Total 2 5 2 3 3 3 2" xfId="26245" xr:uid="{00000000-0005-0000-0000-0000378F0000}"/>
    <cellStyle name="Total 2 5 2 3 3 3 3" xfId="37090" xr:uid="{00000000-0005-0000-0000-0000388F0000}"/>
    <cellStyle name="Total 2 5 2 3 3 3 4" xfId="16446" xr:uid="{00000000-0005-0000-0000-0000398F0000}"/>
    <cellStyle name="Total 2 5 2 3 3 4" xfId="9932" xr:uid="{00000000-0005-0000-0000-00003A8F0000}"/>
    <cellStyle name="Total 2 5 2 3 3 4 2" xfId="28904" xr:uid="{00000000-0005-0000-0000-00003B8F0000}"/>
    <cellStyle name="Total 2 5 2 3 3 4 3" xfId="39749" xr:uid="{00000000-0005-0000-0000-00003C8F0000}"/>
    <cellStyle name="Total 2 5 2 3 3 4 4" xfId="18350" xr:uid="{00000000-0005-0000-0000-00003D8F0000}"/>
    <cellStyle name="Total 2 5 2 3 3 5" xfId="20728" xr:uid="{00000000-0005-0000-0000-00003E8F0000}"/>
    <cellStyle name="Total 2 5 2 3 3 6" xfId="31573" xr:uid="{00000000-0005-0000-0000-00003F8F0000}"/>
    <cellStyle name="Total 2 5 2 3 3 7" xfId="12496" xr:uid="{00000000-0005-0000-0000-0000408F0000}"/>
    <cellStyle name="Total 2 5 2 3 4" xfId="2152" xr:uid="{00000000-0005-0000-0000-0000418F0000}"/>
    <cellStyle name="Total 2 5 2 3 4 2" xfId="5005" xr:uid="{00000000-0005-0000-0000-0000428F0000}"/>
    <cellStyle name="Total 2 5 2 3 4 2 2" xfId="23977" xr:uid="{00000000-0005-0000-0000-0000438F0000}"/>
    <cellStyle name="Total 2 5 2 3 4 2 3" xfId="34822" xr:uid="{00000000-0005-0000-0000-0000448F0000}"/>
    <cellStyle name="Total 2 5 2 3 4 2 4" xfId="14819" xr:uid="{00000000-0005-0000-0000-0000458F0000}"/>
    <cellStyle name="Total 2 5 2 3 4 3" xfId="7676" xr:uid="{00000000-0005-0000-0000-0000468F0000}"/>
    <cellStyle name="Total 2 5 2 3 4 3 2" xfId="26648" xr:uid="{00000000-0005-0000-0000-0000478F0000}"/>
    <cellStyle name="Total 2 5 2 3 4 3 3" xfId="37493" xr:uid="{00000000-0005-0000-0000-0000488F0000}"/>
    <cellStyle name="Total 2 5 2 3 4 3 4" xfId="16732" xr:uid="{00000000-0005-0000-0000-0000498F0000}"/>
    <cellStyle name="Total 2 5 2 3 4 4" xfId="10335" xr:uid="{00000000-0005-0000-0000-00004A8F0000}"/>
    <cellStyle name="Total 2 5 2 3 4 4 2" xfId="29307" xr:uid="{00000000-0005-0000-0000-00004B8F0000}"/>
    <cellStyle name="Total 2 5 2 3 4 4 3" xfId="40152" xr:uid="{00000000-0005-0000-0000-00004C8F0000}"/>
    <cellStyle name="Total 2 5 2 3 4 4 4" xfId="18636" xr:uid="{00000000-0005-0000-0000-00004D8F0000}"/>
    <cellStyle name="Total 2 5 2 3 4 5" xfId="21131" xr:uid="{00000000-0005-0000-0000-00004E8F0000}"/>
    <cellStyle name="Total 2 5 2 3 4 6" xfId="31976" xr:uid="{00000000-0005-0000-0000-00004F8F0000}"/>
    <cellStyle name="Total 2 5 2 3 4 7" xfId="12782" xr:uid="{00000000-0005-0000-0000-0000508F0000}"/>
    <cellStyle name="Total 2 5 2 3 5" xfId="2542" xr:uid="{00000000-0005-0000-0000-0000518F0000}"/>
    <cellStyle name="Total 2 5 2 3 5 2" xfId="5394" xr:uid="{00000000-0005-0000-0000-0000528F0000}"/>
    <cellStyle name="Total 2 5 2 3 5 2 2" xfId="24366" xr:uid="{00000000-0005-0000-0000-0000538F0000}"/>
    <cellStyle name="Total 2 5 2 3 5 2 3" xfId="35211" xr:uid="{00000000-0005-0000-0000-0000548F0000}"/>
    <cellStyle name="Total 2 5 2 3 5 2 4" xfId="15098" xr:uid="{00000000-0005-0000-0000-0000558F0000}"/>
    <cellStyle name="Total 2 5 2 3 5 3" xfId="8065" xr:uid="{00000000-0005-0000-0000-0000568F0000}"/>
    <cellStyle name="Total 2 5 2 3 5 3 2" xfId="27037" xr:uid="{00000000-0005-0000-0000-0000578F0000}"/>
    <cellStyle name="Total 2 5 2 3 5 3 3" xfId="37882" xr:uid="{00000000-0005-0000-0000-0000588F0000}"/>
    <cellStyle name="Total 2 5 2 3 5 3 4" xfId="17011" xr:uid="{00000000-0005-0000-0000-0000598F0000}"/>
    <cellStyle name="Total 2 5 2 3 5 4" xfId="10724" xr:uid="{00000000-0005-0000-0000-00005A8F0000}"/>
    <cellStyle name="Total 2 5 2 3 5 4 2" xfId="29696" xr:uid="{00000000-0005-0000-0000-00005B8F0000}"/>
    <cellStyle name="Total 2 5 2 3 5 4 3" xfId="40541" xr:uid="{00000000-0005-0000-0000-00005C8F0000}"/>
    <cellStyle name="Total 2 5 2 3 5 4 4" xfId="18915" xr:uid="{00000000-0005-0000-0000-00005D8F0000}"/>
    <cellStyle name="Total 2 5 2 3 5 5" xfId="21520" xr:uid="{00000000-0005-0000-0000-00005E8F0000}"/>
    <cellStyle name="Total 2 5 2 3 5 6" xfId="32365" xr:uid="{00000000-0005-0000-0000-00005F8F0000}"/>
    <cellStyle name="Total 2 5 2 3 5 7" xfId="13061" xr:uid="{00000000-0005-0000-0000-0000608F0000}"/>
    <cellStyle name="Total 2 5 2 3 6" xfId="2928" xr:uid="{00000000-0005-0000-0000-0000618F0000}"/>
    <cellStyle name="Total 2 5 2 3 6 2" xfId="5779" xr:uid="{00000000-0005-0000-0000-0000628F0000}"/>
    <cellStyle name="Total 2 5 2 3 6 2 2" xfId="24751" xr:uid="{00000000-0005-0000-0000-0000638F0000}"/>
    <cellStyle name="Total 2 5 2 3 6 2 3" xfId="35596" xr:uid="{00000000-0005-0000-0000-0000648F0000}"/>
    <cellStyle name="Total 2 5 2 3 6 2 4" xfId="15374" xr:uid="{00000000-0005-0000-0000-0000658F0000}"/>
    <cellStyle name="Total 2 5 2 3 6 3" xfId="8450" xr:uid="{00000000-0005-0000-0000-0000668F0000}"/>
    <cellStyle name="Total 2 5 2 3 6 3 2" xfId="27422" xr:uid="{00000000-0005-0000-0000-0000678F0000}"/>
    <cellStyle name="Total 2 5 2 3 6 3 3" xfId="38267" xr:uid="{00000000-0005-0000-0000-0000688F0000}"/>
    <cellStyle name="Total 2 5 2 3 6 3 4" xfId="17287" xr:uid="{00000000-0005-0000-0000-0000698F0000}"/>
    <cellStyle name="Total 2 5 2 3 6 4" xfId="11109" xr:uid="{00000000-0005-0000-0000-00006A8F0000}"/>
    <cellStyle name="Total 2 5 2 3 6 4 2" xfId="30081" xr:uid="{00000000-0005-0000-0000-00006B8F0000}"/>
    <cellStyle name="Total 2 5 2 3 6 4 3" xfId="40926" xr:uid="{00000000-0005-0000-0000-00006C8F0000}"/>
    <cellStyle name="Total 2 5 2 3 6 4 4" xfId="19191" xr:uid="{00000000-0005-0000-0000-00006D8F0000}"/>
    <cellStyle name="Total 2 5 2 3 6 5" xfId="21905" xr:uid="{00000000-0005-0000-0000-00006E8F0000}"/>
    <cellStyle name="Total 2 5 2 3 6 6" xfId="32750" xr:uid="{00000000-0005-0000-0000-00006F8F0000}"/>
    <cellStyle name="Total 2 5 2 3 6 7" xfId="13337" xr:uid="{00000000-0005-0000-0000-0000708F0000}"/>
    <cellStyle name="Total 2 5 2 3 7" xfId="3617" xr:uid="{00000000-0005-0000-0000-0000718F0000}"/>
    <cellStyle name="Total 2 5 2 3 7 2" xfId="22589" xr:uid="{00000000-0005-0000-0000-0000728F0000}"/>
    <cellStyle name="Total 2 5 2 3 7 3" xfId="33434" xr:uid="{00000000-0005-0000-0000-0000738F0000}"/>
    <cellStyle name="Total 2 5 2 3 7 4" xfId="13818" xr:uid="{00000000-0005-0000-0000-0000748F0000}"/>
    <cellStyle name="Total 2 5 2 3 8" xfId="6292" xr:uid="{00000000-0005-0000-0000-0000758F0000}"/>
    <cellStyle name="Total 2 5 2 3 8 2" xfId="25264" xr:uid="{00000000-0005-0000-0000-0000768F0000}"/>
    <cellStyle name="Total 2 5 2 3 8 3" xfId="36109" xr:uid="{00000000-0005-0000-0000-0000778F0000}"/>
    <cellStyle name="Total 2 5 2 3 8 4" xfId="15734" xr:uid="{00000000-0005-0000-0000-0000788F0000}"/>
    <cellStyle name="Total 2 5 2 3 9" xfId="8951" xr:uid="{00000000-0005-0000-0000-0000798F0000}"/>
    <cellStyle name="Total 2 5 2 3 9 2" xfId="27923" xr:uid="{00000000-0005-0000-0000-00007A8F0000}"/>
    <cellStyle name="Total 2 5 2 3 9 3" xfId="38768" xr:uid="{00000000-0005-0000-0000-00007B8F0000}"/>
    <cellStyle name="Total 2 5 2 3 9 4" xfId="17638" xr:uid="{00000000-0005-0000-0000-00007C8F0000}"/>
    <cellStyle name="Total 2 5 2 4" xfId="822" xr:uid="{00000000-0005-0000-0000-00007D8F0000}"/>
    <cellStyle name="Total 2 5 2 4 10" xfId="19807" xr:uid="{00000000-0005-0000-0000-00007E8F0000}"/>
    <cellStyle name="Total 2 5 2 4 11" xfId="30652" xr:uid="{00000000-0005-0000-0000-00007F8F0000}"/>
    <cellStyle name="Total 2 5 2 4 12" xfId="11824" xr:uid="{00000000-0005-0000-0000-0000808F0000}"/>
    <cellStyle name="Total 2 5 2 4 2" xfId="1409" xr:uid="{00000000-0005-0000-0000-0000818F0000}"/>
    <cellStyle name="Total 2 5 2 4 2 2" xfId="4262" xr:uid="{00000000-0005-0000-0000-0000828F0000}"/>
    <cellStyle name="Total 2 5 2 4 2 2 2" xfId="23234" xr:uid="{00000000-0005-0000-0000-0000838F0000}"/>
    <cellStyle name="Total 2 5 2 4 2 2 3" xfId="34079" xr:uid="{00000000-0005-0000-0000-0000848F0000}"/>
    <cellStyle name="Total 2 5 2 4 2 2 4" xfId="14285" xr:uid="{00000000-0005-0000-0000-0000858F0000}"/>
    <cellStyle name="Total 2 5 2 4 2 3" xfId="6935" xr:uid="{00000000-0005-0000-0000-0000868F0000}"/>
    <cellStyle name="Total 2 5 2 4 2 3 2" xfId="25907" xr:uid="{00000000-0005-0000-0000-0000878F0000}"/>
    <cellStyle name="Total 2 5 2 4 2 3 3" xfId="36752" xr:uid="{00000000-0005-0000-0000-0000888F0000}"/>
    <cellStyle name="Total 2 5 2 4 2 3 4" xfId="16200" xr:uid="{00000000-0005-0000-0000-0000898F0000}"/>
    <cellStyle name="Total 2 5 2 4 2 4" xfId="9594" xr:uid="{00000000-0005-0000-0000-00008A8F0000}"/>
    <cellStyle name="Total 2 5 2 4 2 4 2" xfId="28566" xr:uid="{00000000-0005-0000-0000-00008B8F0000}"/>
    <cellStyle name="Total 2 5 2 4 2 4 3" xfId="39411" xr:uid="{00000000-0005-0000-0000-00008C8F0000}"/>
    <cellStyle name="Total 2 5 2 4 2 4 4" xfId="18104" xr:uid="{00000000-0005-0000-0000-00008D8F0000}"/>
    <cellStyle name="Total 2 5 2 4 2 5" xfId="20390" xr:uid="{00000000-0005-0000-0000-00008E8F0000}"/>
    <cellStyle name="Total 2 5 2 4 2 6" xfId="31235" xr:uid="{00000000-0005-0000-0000-00008F8F0000}"/>
    <cellStyle name="Total 2 5 2 4 2 7" xfId="12250" xr:uid="{00000000-0005-0000-0000-0000908F0000}"/>
    <cellStyle name="Total 2 5 2 4 3" xfId="1808" xr:uid="{00000000-0005-0000-0000-0000918F0000}"/>
    <cellStyle name="Total 2 5 2 4 3 2" xfId="4661" xr:uid="{00000000-0005-0000-0000-0000928F0000}"/>
    <cellStyle name="Total 2 5 2 4 3 2 2" xfId="23633" xr:uid="{00000000-0005-0000-0000-0000938F0000}"/>
    <cellStyle name="Total 2 5 2 4 3 2 3" xfId="34478" xr:uid="{00000000-0005-0000-0000-0000948F0000}"/>
    <cellStyle name="Total 2 5 2 4 3 2 4" xfId="14572" xr:uid="{00000000-0005-0000-0000-0000958F0000}"/>
    <cellStyle name="Total 2 5 2 4 3 3" xfId="7333" xr:uid="{00000000-0005-0000-0000-0000968F0000}"/>
    <cellStyle name="Total 2 5 2 4 3 3 2" xfId="26305" xr:uid="{00000000-0005-0000-0000-0000978F0000}"/>
    <cellStyle name="Total 2 5 2 4 3 3 3" xfId="37150" xr:uid="{00000000-0005-0000-0000-0000988F0000}"/>
    <cellStyle name="Total 2 5 2 4 3 3 4" xfId="16486" xr:uid="{00000000-0005-0000-0000-0000998F0000}"/>
    <cellStyle name="Total 2 5 2 4 3 4" xfId="9992" xr:uid="{00000000-0005-0000-0000-00009A8F0000}"/>
    <cellStyle name="Total 2 5 2 4 3 4 2" xfId="28964" xr:uid="{00000000-0005-0000-0000-00009B8F0000}"/>
    <cellStyle name="Total 2 5 2 4 3 4 3" xfId="39809" xr:uid="{00000000-0005-0000-0000-00009C8F0000}"/>
    <cellStyle name="Total 2 5 2 4 3 4 4" xfId="18390" xr:uid="{00000000-0005-0000-0000-00009D8F0000}"/>
    <cellStyle name="Total 2 5 2 4 3 5" xfId="20788" xr:uid="{00000000-0005-0000-0000-00009E8F0000}"/>
    <cellStyle name="Total 2 5 2 4 3 6" xfId="31633" xr:uid="{00000000-0005-0000-0000-00009F8F0000}"/>
    <cellStyle name="Total 2 5 2 4 3 7" xfId="12536" xr:uid="{00000000-0005-0000-0000-0000A08F0000}"/>
    <cellStyle name="Total 2 5 2 4 4" xfId="2212" xr:uid="{00000000-0005-0000-0000-0000A18F0000}"/>
    <cellStyle name="Total 2 5 2 4 4 2" xfId="5065" xr:uid="{00000000-0005-0000-0000-0000A28F0000}"/>
    <cellStyle name="Total 2 5 2 4 4 2 2" xfId="24037" xr:uid="{00000000-0005-0000-0000-0000A38F0000}"/>
    <cellStyle name="Total 2 5 2 4 4 2 3" xfId="34882" xr:uid="{00000000-0005-0000-0000-0000A48F0000}"/>
    <cellStyle name="Total 2 5 2 4 4 2 4" xfId="14859" xr:uid="{00000000-0005-0000-0000-0000A58F0000}"/>
    <cellStyle name="Total 2 5 2 4 4 3" xfId="7736" xr:uid="{00000000-0005-0000-0000-0000A68F0000}"/>
    <cellStyle name="Total 2 5 2 4 4 3 2" xfId="26708" xr:uid="{00000000-0005-0000-0000-0000A78F0000}"/>
    <cellStyle name="Total 2 5 2 4 4 3 3" xfId="37553" xr:uid="{00000000-0005-0000-0000-0000A88F0000}"/>
    <cellStyle name="Total 2 5 2 4 4 3 4" xfId="16772" xr:uid="{00000000-0005-0000-0000-0000A98F0000}"/>
    <cellStyle name="Total 2 5 2 4 4 4" xfId="10395" xr:uid="{00000000-0005-0000-0000-0000AA8F0000}"/>
    <cellStyle name="Total 2 5 2 4 4 4 2" xfId="29367" xr:uid="{00000000-0005-0000-0000-0000AB8F0000}"/>
    <cellStyle name="Total 2 5 2 4 4 4 3" xfId="40212" xr:uid="{00000000-0005-0000-0000-0000AC8F0000}"/>
    <cellStyle name="Total 2 5 2 4 4 4 4" xfId="18676" xr:uid="{00000000-0005-0000-0000-0000AD8F0000}"/>
    <cellStyle name="Total 2 5 2 4 4 5" xfId="21191" xr:uid="{00000000-0005-0000-0000-0000AE8F0000}"/>
    <cellStyle name="Total 2 5 2 4 4 6" xfId="32036" xr:uid="{00000000-0005-0000-0000-0000AF8F0000}"/>
    <cellStyle name="Total 2 5 2 4 4 7" xfId="12822" xr:uid="{00000000-0005-0000-0000-0000B08F0000}"/>
    <cellStyle name="Total 2 5 2 4 5" xfId="2602" xr:uid="{00000000-0005-0000-0000-0000B18F0000}"/>
    <cellStyle name="Total 2 5 2 4 5 2" xfId="5454" xr:uid="{00000000-0005-0000-0000-0000B28F0000}"/>
    <cellStyle name="Total 2 5 2 4 5 2 2" xfId="24426" xr:uid="{00000000-0005-0000-0000-0000B38F0000}"/>
    <cellStyle name="Total 2 5 2 4 5 2 3" xfId="35271" xr:uid="{00000000-0005-0000-0000-0000B48F0000}"/>
    <cellStyle name="Total 2 5 2 4 5 2 4" xfId="15138" xr:uid="{00000000-0005-0000-0000-0000B58F0000}"/>
    <cellStyle name="Total 2 5 2 4 5 3" xfId="8125" xr:uid="{00000000-0005-0000-0000-0000B68F0000}"/>
    <cellStyle name="Total 2 5 2 4 5 3 2" xfId="27097" xr:uid="{00000000-0005-0000-0000-0000B78F0000}"/>
    <cellStyle name="Total 2 5 2 4 5 3 3" xfId="37942" xr:uid="{00000000-0005-0000-0000-0000B88F0000}"/>
    <cellStyle name="Total 2 5 2 4 5 3 4" xfId="17051" xr:uid="{00000000-0005-0000-0000-0000B98F0000}"/>
    <cellStyle name="Total 2 5 2 4 5 4" xfId="10784" xr:uid="{00000000-0005-0000-0000-0000BA8F0000}"/>
    <cellStyle name="Total 2 5 2 4 5 4 2" xfId="29756" xr:uid="{00000000-0005-0000-0000-0000BB8F0000}"/>
    <cellStyle name="Total 2 5 2 4 5 4 3" xfId="40601" xr:uid="{00000000-0005-0000-0000-0000BC8F0000}"/>
    <cellStyle name="Total 2 5 2 4 5 4 4" xfId="18955" xr:uid="{00000000-0005-0000-0000-0000BD8F0000}"/>
    <cellStyle name="Total 2 5 2 4 5 5" xfId="21580" xr:uid="{00000000-0005-0000-0000-0000BE8F0000}"/>
    <cellStyle name="Total 2 5 2 4 5 6" xfId="32425" xr:uid="{00000000-0005-0000-0000-0000BF8F0000}"/>
    <cellStyle name="Total 2 5 2 4 5 7" xfId="13101" xr:uid="{00000000-0005-0000-0000-0000C08F0000}"/>
    <cellStyle name="Total 2 5 2 4 6" xfId="2988" xr:uid="{00000000-0005-0000-0000-0000C18F0000}"/>
    <cellStyle name="Total 2 5 2 4 6 2" xfId="5839" xr:uid="{00000000-0005-0000-0000-0000C28F0000}"/>
    <cellStyle name="Total 2 5 2 4 6 2 2" xfId="24811" xr:uid="{00000000-0005-0000-0000-0000C38F0000}"/>
    <cellStyle name="Total 2 5 2 4 6 2 3" xfId="35656" xr:uid="{00000000-0005-0000-0000-0000C48F0000}"/>
    <cellStyle name="Total 2 5 2 4 6 2 4" xfId="15414" xr:uid="{00000000-0005-0000-0000-0000C58F0000}"/>
    <cellStyle name="Total 2 5 2 4 6 3" xfId="8510" xr:uid="{00000000-0005-0000-0000-0000C68F0000}"/>
    <cellStyle name="Total 2 5 2 4 6 3 2" xfId="27482" xr:uid="{00000000-0005-0000-0000-0000C78F0000}"/>
    <cellStyle name="Total 2 5 2 4 6 3 3" xfId="38327" xr:uid="{00000000-0005-0000-0000-0000C88F0000}"/>
    <cellStyle name="Total 2 5 2 4 6 3 4" xfId="17327" xr:uid="{00000000-0005-0000-0000-0000C98F0000}"/>
    <cellStyle name="Total 2 5 2 4 6 4" xfId="11169" xr:uid="{00000000-0005-0000-0000-0000CA8F0000}"/>
    <cellStyle name="Total 2 5 2 4 6 4 2" xfId="30141" xr:uid="{00000000-0005-0000-0000-0000CB8F0000}"/>
    <cellStyle name="Total 2 5 2 4 6 4 3" xfId="40986" xr:uid="{00000000-0005-0000-0000-0000CC8F0000}"/>
    <cellStyle name="Total 2 5 2 4 6 4 4" xfId="19231" xr:uid="{00000000-0005-0000-0000-0000CD8F0000}"/>
    <cellStyle name="Total 2 5 2 4 6 5" xfId="21965" xr:uid="{00000000-0005-0000-0000-0000CE8F0000}"/>
    <cellStyle name="Total 2 5 2 4 6 6" xfId="32810" xr:uid="{00000000-0005-0000-0000-0000CF8F0000}"/>
    <cellStyle name="Total 2 5 2 4 6 7" xfId="13377" xr:uid="{00000000-0005-0000-0000-0000D08F0000}"/>
    <cellStyle name="Total 2 5 2 4 7" xfId="3677" xr:uid="{00000000-0005-0000-0000-0000D18F0000}"/>
    <cellStyle name="Total 2 5 2 4 7 2" xfId="22649" xr:uid="{00000000-0005-0000-0000-0000D28F0000}"/>
    <cellStyle name="Total 2 5 2 4 7 3" xfId="33494" xr:uid="{00000000-0005-0000-0000-0000D38F0000}"/>
    <cellStyle name="Total 2 5 2 4 7 4" xfId="13858" xr:uid="{00000000-0005-0000-0000-0000D48F0000}"/>
    <cellStyle name="Total 2 5 2 4 8" xfId="6352" xr:uid="{00000000-0005-0000-0000-0000D58F0000}"/>
    <cellStyle name="Total 2 5 2 4 8 2" xfId="25324" xr:uid="{00000000-0005-0000-0000-0000D68F0000}"/>
    <cellStyle name="Total 2 5 2 4 8 3" xfId="36169" xr:uid="{00000000-0005-0000-0000-0000D78F0000}"/>
    <cellStyle name="Total 2 5 2 4 8 4" xfId="15774" xr:uid="{00000000-0005-0000-0000-0000D88F0000}"/>
    <cellStyle name="Total 2 5 2 4 9" xfId="9011" xr:uid="{00000000-0005-0000-0000-0000D98F0000}"/>
    <cellStyle name="Total 2 5 2 4 9 2" xfId="27983" xr:uid="{00000000-0005-0000-0000-0000DA8F0000}"/>
    <cellStyle name="Total 2 5 2 4 9 3" xfId="38828" xr:uid="{00000000-0005-0000-0000-0000DB8F0000}"/>
    <cellStyle name="Total 2 5 2 4 9 4" xfId="17678" xr:uid="{00000000-0005-0000-0000-0000DC8F0000}"/>
    <cellStyle name="Total 2 5 2 5" xfId="881" xr:uid="{00000000-0005-0000-0000-0000DD8F0000}"/>
    <cellStyle name="Total 2 5 2 5 10" xfId="19866" xr:uid="{00000000-0005-0000-0000-0000DE8F0000}"/>
    <cellStyle name="Total 2 5 2 5 11" xfId="30711" xr:uid="{00000000-0005-0000-0000-0000DF8F0000}"/>
    <cellStyle name="Total 2 5 2 5 12" xfId="11863" xr:uid="{00000000-0005-0000-0000-0000E08F0000}"/>
    <cellStyle name="Total 2 5 2 5 2" xfId="1468" xr:uid="{00000000-0005-0000-0000-0000E18F0000}"/>
    <cellStyle name="Total 2 5 2 5 2 2" xfId="4321" xr:uid="{00000000-0005-0000-0000-0000E28F0000}"/>
    <cellStyle name="Total 2 5 2 5 2 2 2" xfId="23293" xr:uid="{00000000-0005-0000-0000-0000E38F0000}"/>
    <cellStyle name="Total 2 5 2 5 2 2 3" xfId="34138" xr:uid="{00000000-0005-0000-0000-0000E48F0000}"/>
    <cellStyle name="Total 2 5 2 5 2 2 4" xfId="14324" xr:uid="{00000000-0005-0000-0000-0000E58F0000}"/>
    <cellStyle name="Total 2 5 2 5 2 3" xfId="6994" xr:uid="{00000000-0005-0000-0000-0000E68F0000}"/>
    <cellStyle name="Total 2 5 2 5 2 3 2" xfId="25966" xr:uid="{00000000-0005-0000-0000-0000E78F0000}"/>
    <cellStyle name="Total 2 5 2 5 2 3 3" xfId="36811" xr:uid="{00000000-0005-0000-0000-0000E88F0000}"/>
    <cellStyle name="Total 2 5 2 5 2 3 4" xfId="16239" xr:uid="{00000000-0005-0000-0000-0000E98F0000}"/>
    <cellStyle name="Total 2 5 2 5 2 4" xfId="9653" xr:uid="{00000000-0005-0000-0000-0000EA8F0000}"/>
    <cellStyle name="Total 2 5 2 5 2 4 2" xfId="28625" xr:uid="{00000000-0005-0000-0000-0000EB8F0000}"/>
    <cellStyle name="Total 2 5 2 5 2 4 3" xfId="39470" xr:uid="{00000000-0005-0000-0000-0000EC8F0000}"/>
    <cellStyle name="Total 2 5 2 5 2 4 4" xfId="18143" xr:uid="{00000000-0005-0000-0000-0000ED8F0000}"/>
    <cellStyle name="Total 2 5 2 5 2 5" xfId="20449" xr:uid="{00000000-0005-0000-0000-0000EE8F0000}"/>
    <cellStyle name="Total 2 5 2 5 2 6" xfId="31294" xr:uid="{00000000-0005-0000-0000-0000EF8F0000}"/>
    <cellStyle name="Total 2 5 2 5 2 7" xfId="12289" xr:uid="{00000000-0005-0000-0000-0000F08F0000}"/>
    <cellStyle name="Total 2 5 2 5 3" xfId="1867" xr:uid="{00000000-0005-0000-0000-0000F18F0000}"/>
    <cellStyle name="Total 2 5 2 5 3 2" xfId="4720" xr:uid="{00000000-0005-0000-0000-0000F28F0000}"/>
    <cellStyle name="Total 2 5 2 5 3 2 2" xfId="23692" xr:uid="{00000000-0005-0000-0000-0000F38F0000}"/>
    <cellStyle name="Total 2 5 2 5 3 2 3" xfId="34537" xr:uid="{00000000-0005-0000-0000-0000F48F0000}"/>
    <cellStyle name="Total 2 5 2 5 3 2 4" xfId="14611" xr:uid="{00000000-0005-0000-0000-0000F58F0000}"/>
    <cellStyle name="Total 2 5 2 5 3 3" xfId="7392" xr:uid="{00000000-0005-0000-0000-0000F68F0000}"/>
    <cellStyle name="Total 2 5 2 5 3 3 2" xfId="26364" xr:uid="{00000000-0005-0000-0000-0000F78F0000}"/>
    <cellStyle name="Total 2 5 2 5 3 3 3" xfId="37209" xr:uid="{00000000-0005-0000-0000-0000F88F0000}"/>
    <cellStyle name="Total 2 5 2 5 3 3 4" xfId="16525" xr:uid="{00000000-0005-0000-0000-0000F98F0000}"/>
    <cellStyle name="Total 2 5 2 5 3 4" xfId="10051" xr:uid="{00000000-0005-0000-0000-0000FA8F0000}"/>
    <cellStyle name="Total 2 5 2 5 3 4 2" xfId="29023" xr:uid="{00000000-0005-0000-0000-0000FB8F0000}"/>
    <cellStyle name="Total 2 5 2 5 3 4 3" xfId="39868" xr:uid="{00000000-0005-0000-0000-0000FC8F0000}"/>
    <cellStyle name="Total 2 5 2 5 3 4 4" xfId="18429" xr:uid="{00000000-0005-0000-0000-0000FD8F0000}"/>
    <cellStyle name="Total 2 5 2 5 3 5" xfId="20847" xr:uid="{00000000-0005-0000-0000-0000FE8F0000}"/>
    <cellStyle name="Total 2 5 2 5 3 6" xfId="31692" xr:uid="{00000000-0005-0000-0000-0000FF8F0000}"/>
    <cellStyle name="Total 2 5 2 5 3 7" xfId="12575" xr:uid="{00000000-0005-0000-0000-000000900000}"/>
    <cellStyle name="Total 2 5 2 5 4" xfId="2271" xr:uid="{00000000-0005-0000-0000-000001900000}"/>
    <cellStyle name="Total 2 5 2 5 4 2" xfId="5124" xr:uid="{00000000-0005-0000-0000-000002900000}"/>
    <cellStyle name="Total 2 5 2 5 4 2 2" xfId="24096" xr:uid="{00000000-0005-0000-0000-000003900000}"/>
    <cellStyle name="Total 2 5 2 5 4 2 3" xfId="34941" xr:uid="{00000000-0005-0000-0000-000004900000}"/>
    <cellStyle name="Total 2 5 2 5 4 2 4" xfId="14898" xr:uid="{00000000-0005-0000-0000-000005900000}"/>
    <cellStyle name="Total 2 5 2 5 4 3" xfId="7795" xr:uid="{00000000-0005-0000-0000-000006900000}"/>
    <cellStyle name="Total 2 5 2 5 4 3 2" xfId="26767" xr:uid="{00000000-0005-0000-0000-000007900000}"/>
    <cellStyle name="Total 2 5 2 5 4 3 3" xfId="37612" xr:uid="{00000000-0005-0000-0000-000008900000}"/>
    <cellStyle name="Total 2 5 2 5 4 3 4" xfId="16811" xr:uid="{00000000-0005-0000-0000-000009900000}"/>
    <cellStyle name="Total 2 5 2 5 4 4" xfId="10454" xr:uid="{00000000-0005-0000-0000-00000A900000}"/>
    <cellStyle name="Total 2 5 2 5 4 4 2" xfId="29426" xr:uid="{00000000-0005-0000-0000-00000B900000}"/>
    <cellStyle name="Total 2 5 2 5 4 4 3" xfId="40271" xr:uid="{00000000-0005-0000-0000-00000C900000}"/>
    <cellStyle name="Total 2 5 2 5 4 4 4" xfId="18715" xr:uid="{00000000-0005-0000-0000-00000D900000}"/>
    <cellStyle name="Total 2 5 2 5 4 5" xfId="21250" xr:uid="{00000000-0005-0000-0000-00000E900000}"/>
    <cellStyle name="Total 2 5 2 5 4 6" xfId="32095" xr:uid="{00000000-0005-0000-0000-00000F900000}"/>
    <cellStyle name="Total 2 5 2 5 4 7" xfId="12861" xr:uid="{00000000-0005-0000-0000-000010900000}"/>
    <cellStyle name="Total 2 5 2 5 5" xfId="2661" xr:uid="{00000000-0005-0000-0000-000011900000}"/>
    <cellStyle name="Total 2 5 2 5 5 2" xfId="5513" xr:uid="{00000000-0005-0000-0000-000012900000}"/>
    <cellStyle name="Total 2 5 2 5 5 2 2" xfId="24485" xr:uid="{00000000-0005-0000-0000-000013900000}"/>
    <cellStyle name="Total 2 5 2 5 5 2 3" xfId="35330" xr:uid="{00000000-0005-0000-0000-000014900000}"/>
    <cellStyle name="Total 2 5 2 5 5 2 4" xfId="15177" xr:uid="{00000000-0005-0000-0000-000015900000}"/>
    <cellStyle name="Total 2 5 2 5 5 3" xfId="8184" xr:uid="{00000000-0005-0000-0000-000016900000}"/>
    <cellStyle name="Total 2 5 2 5 5 3 2" xfId="27156" xr:uid="{00000000-0005-0000-0000-000017900000}"/>
    <cellStyle name="Total 2 5 2 5 5 3 3" xfId="38001" xr:uid="{00000000-0005-0000-0000-000018900000}"/>
    <cellStyle name="Total 2 5 2 5 5 3 4" xfId="17090" xr:uid="{00000000-0005-0000-0000-000019900000}"/>
    <cellStyle name="Total 2 5 2 5 5 4" xfId="10843" xr:uid="{00000000-0005-0000-0000-00001A900000}"/>
    <cellStyle name="Total 2 5 2 5 5 4 2" xfId="29815" xr:uid="{00000000-0005-0000-0000-00001B900000}"/>
    <cellStyle name="Total 2 5 2 5 5 4 3" xfId="40660" xr:uid="{00000000-0005-0000-0000-00001C900000}"/>
    <cellStyle name="Total 2 5 2 5 5 4 4" xfId="18994" xr:uid="{00000000-0005-0000-0000-00001D900000}"/>
    <cellStyle name="Total 2 5 2 5 5 5" xfId="21639" xr:uid="{00000000-0005-0000-0000-00001E900000}"/>
    <cellStyle name="Total 2 5 2 5 5 6" xfId="32484" xr:uid="{00000000-0005-0000-0000-00001F900000}"/>
    <cellStyle name="Total 2 5 2 5 5 7" xfId="13140" xr:uid="{00000000-0005-0000-0000-000020900000}"/>
    <cellStyle name="Total 2 5 2 5 6" xfId="3047" xr:uid="{00000000-0005-0000-0000-000021900000}"/>
    <cellStyle name="Total 2 5 2 5 6 2" xfId="5898" xr:uid="{00000000-0005-0000-0000-000022900000}"/>
    <cellStyle name="Total 2 5 2 5 6 2 2" xfId="24870" xr:uid="{00000000-0005-0000-0000-000023900000}"/>
    <cellStyle name="Total 2 5 2 5 6 2 3" xfId="35715" xr:uid="{00000000-0005-0000-0000-000024900000}"/>
    <cellStyle name="Total 2 5 2 5 6 2 4" xfId="15453" xr:uid="{00000000-0005-0000-0000-000025900000}"/>
    <cellStyle name="Total 2 5 2 5 6 3" xfId="8569" xr:uid="{00000000-0005-0000-0000-000026900000}"/>
    <cellStyle name="Total 2 5 2 5 6 3 2" xfId="27541" xr:uid="{00000000-0005-0000-0000-000027900000}"/>
    <cellStyle name="Total 2 5 2 5 6 3 3" xfId="38386" xr:uid="{00000000-0005-0000-0000-000028900000}"/>
    <cellStyle name="Total 2 5 2 5 6 3 4" xfId="17366" xr:uid="{00000000-0005-0000-0000-000029900000}"/>
    <cellStyle name="Total 2 5 2 5 6 4" xfId="11228" xr:uid="{00000000-0005-0000-0000-00002A900000}"/>
    <cellStyle name="Total 2 5 2 5 6 4 2" xfId="30200" xr:uid="{00000000-0005-0000-0000-00002B900000}"/>
    <cellStyle name="Total 2 5 2 5 6 4 3" xfId="41045" xr:uid="{00000000-0005-0000-0000-00002C900000}"/>
    <cellStyle name="Total 2 5 2 5 6 4 4" xfId="19270" xr:uid="{00000000-0005-0000-0000-00002D900000}"/>
    <cellStyle name="Total 2 5 2 5 6 5" xfId="22024" xr:uid="{00000000-0005-0000-0000-00002E900000}"/>
    <cellStyle name="Total 2 5 2 5 6 6" xfId="32869" xr:uid="{00000000-0005-0000-0000-00002F900000}"/>
    <cellStyle name="Total 2 5 2 5 6 7" xfId="13416" xr:uid="{00000000-0005-0000-0000-000030900000}"/>
    <cellStyle name="Total 2 5 2 5 7" xfId="3736" xr:uid="{00000000-0005-0000-0000-000031900000}"/>
    <cellStyle name="Total 2 5 2 5 7 2" xfId="22708" xr:uid="{00000000-0005-0000-0000-000032900000}"/>
    <cellStyle name="Total 2 5 2 5 7 3" xfId="33553" xr:uid="{00000000-0005-0000-0000-000033900000}"/>
    <cellStyle name="Total 2 5 2 5 7 4" xfId="13897" xr:uid="{00000000-0005-0000-0000-000034900000}"/>
    <cellStyle name="Total 2 5 2 5 8" xfId="6411" xr:uid="{00000000-0005-0000-0000-000035900000}"/>
    <cellStyle name="Total 2 5 2 5 8 2" xfId="25383" xr:uid="{00000000-0005-0000-0000-000036900000}"/>
    <cellStyle name="Total 2 5 2 5 8 3" xfId="36228" xr:uid="{00000000-0005-0000-0000-000037900000}"/>
    <cellStyle name="Total 2 5 2 5 8 4" xfId="15813" xr:uid="{00000000-0005-0000-0000-000038900000}"/>
    <cellStyle name="Total 2 5 2 5 9" xfId="9070" xr:uid="{00000000-0005-0000-0000-000039900000}"/>
    <cellStyle name="Total 2 5 2 5 9 2" xfId="28042" xr:uid="{00000000-0005-0000-0000-00003A900000}"/>
    <cellStyle name="Total 2 5 2 5 9 3" xfId="38887" xr:uid="{00000000-0005-0000-0000-00003B900000}"/>
    <cellStyle name="Total 2 5 2 5 9 4" xfId="17717" xr:uid="{00000000-0005-0000-0000-00003C900000}"/>
    <cellStyle name="Total 2 5 2 6" xfId="1103" xr:uid="{00000000-0005-0000-0000-00003D900000}"/>
    <cellStyle name="Total 2 5 2 6 2" xfId="3956" xr:uid="{00000000-0005-0000-0000-00003E900000}"/>
    <cellStyle name="Total 2 5 2 6 2 2" xfId="22928" xr:uid="{00000000-0005-0000-0000-00003F900000}"/>
    <cellStyle name="Total 2 5 2 6 2 3" xfId="33773" xr:uid="{00000000-0005-0000-0000-000040900000}"/>
    <cellStyle name="Total 2 5 2 6 2 4" xfId="14059" xr:uid="{00000000-0005-0000-0000-000041900000}"/>
    <cellStyle name="Total 2 5 2 6 3" xfId="6630" xr:uid="{00000000-0005-0000-0000-000042900000}"/>
    <cellStyle name="Total 2 5 2 6 3 2" xfId="25602" xr:uid="{00000000-0005-0000-0000-000043900000}"/>
    <cellStyle name="Total 2 5 2 6 3 3" xfId="36447" xr:uid="{00000000-0005-0000-0000-000044900000}"/>
    <cellStyle name="Total 2 5 2 6 3 4" xfId="15975" xr:uid="{00000000-0005-0000-0000-000045900000}"/>
    <cellStyle name="Total 2 5 2 6 4" xfId="9289" xr:uid="{00000000-0005-0000-0000-000046900000}"/>
    <cellStyle name="Total 2 5 2 6 4 2" xfId="28261" xr:uid="{00000000-0005-0000-0000-000047900000}"/>
    <cellStyle name="Total 2 5 2 6 4 3" xfId="39106" xr:uid="{00000000-0005-0000-0000-000048900000}"/>
    <cellStyle name="Total 2 5 2 6 4 4" xfId="17879" xr:uid="{00000000-0005-0000-0000-000049900000}"/>
    <cellStyle name="Total 2 5 2 6 5" xfId="20085" xr:uid="{00000000-0005-0000-0000-00004A900000}"/>
    <cellStyle name="Total 2 5 2 6 6" xfId="30930" xr:uid="{00000000-0005-0000-0000-00004B900000}"/>
    <cellStyle name="Total 2 5 2 6 7" xfId="12025" xr:uid="{00000000-0005-0000-0000-00004C900000}"/>
    <cellStyle name="Total 2 5 2 7" xfId="1503" xr:uid="{00000000-0005-0000-0000-00004D900000}"/>
    <cellStyle name="Total 2 5 2 7 2" xfId="4356" xr:uid="{00000000-0005-0000-0000-00004E900000}"/>
    <cellStyle name="Total 2 5 2 7 2 2" xfId="23328" xr:uid="{00000000-0005-0000-0000-00004F900000}"/>
    <cellStyle name="Total 2 5 2 7 2 3" xfId="34173" xr:uid="{00000000-0005-0000-0000-000050900000}"/>
    <cellStyle name="Total 2 5 2 7 2 4" xfId="14349" xr:uid="{00000000-0005-0000-0000-000051900000}"/>
    <cellStyle name="Total 2 5 2 7 3" xfId="7029" xr:uid="{00000000-0005-0000-0000-000052900000}"/>
    <cellStyle name="Total 2 5 2 7 3 2" xfId="26001" xr:uid="{00000000-0005-0000-0000-000053900000}"/>
    <cellStyle name="Total 2 5 2 7 3 3" xfId="36846" xr:uid="{00000000-0005-0000-0000-000054900000}"/>
    <cellStyle name="Total 2 5 2 7 3 4" xfId="16264" xr:uid="{00000000-0005-0000-0000-000055900000}"/>
    <cellStyle name="Total 2 5 2 7 4" xfId="9688" xr:uid="{00000000-0005-0000-0000-000056900000}"/>
    <cellStyle name="Total 2 5 2 7 4 2" xfId="28660" xr:uid="{00000000-0005-0000-0000-000057900000}"/>
    <cellStyle name="Total 2 5 2 7 4 3" xfId="39505" xr:uid="{00000000-0005-0000-0000-000058900000}"/>
    <cellStyle name="Total 2 5 2 7 4 4" xfId="18168" xr:uid="{00000000-0005-0000-0000-000059900000}"/>
    <cellStyle name="Total 2 5 2 7 5" xfId="20484" xr:uid="{00000000-0005-0000-0000-00005A900000}"/>
    <cellStyle name="Total 2 5 2 7 6" xfId="31329" xr:uid="{00000000-0005-0000-0000-00005B900000}"/>
    <cellStyle name="Total 2 5 2 7 7" xfId="12314" xr:uid="{00000000-0005-0000-0000-00005C900000}"/>
    <cellStyle name="Total 2 5 2 8" xfId="1911" xr:uid="{00000000-0005-0000-0000-00005D900000}"/>
    <cellStyle name="Total 2 5 2 8 2" xfId="4764" xr:uid="{00000000-0005-0000-0000-00005E900000}"/>
    <cellStyle name="Total 2 5 2 8 2 2" xfId="23736" xr:uid="{00000000-0005-0000-0000-00005F900000}"/>
    <cellStyle name="Total 2 5 2 8 2 3" xfId="34581" xr:uid="{00000000-0005-0000-0000-000060900000}"/>
    <cellStyle name="Total 2 5 2 8 2 4" xfId="14640" xr:uid="{00000000-0005-0000-0000-000061900000}"/>
    <cellStyle name="Total 2 5 2 8 3" xfId="7436" xr:uid="{00000000-0005-0000-0000-000062900000}"/>
    <cellStyle name="Total 2 5 2 8 3 2" xfId="26408" xr:uid="{00000000-0005-0000-0000-000063900000}"/>
    <cellStyle name="Total 2 5 2 8 3 3" xfId="37253" xr:uid="{00000000-0005-0000-0000-000064900000}"/>
    <cellStyle name="Total 2 5 2 8 3 4" xfId="16554" xr:uid="{00000000-0005-0000-0000-000065900000}"/>
    <cellStyle name="Total 2 5 2 8 4" xfId="10095" xr:uid="{00000000-0005-0000-0000-000066900000}"/>
    <cellStyle name="Total 2 5 2 8 4 2" xfId="29067" xr:uid="{00000000-0005-0000-0000-000067900000}"/>
    <cellStyle name="Total 2 5 2 8 4 3" xfId="39912" xr:uid="{00000000-0005-0000-0000-000068900000}"/>
    <cellStyle name="Total 2 5 2 8 4 4" xfId="18458" xr:uid="{00000000-0005-0000-0000-000069900000}"/>
    <cellStyle name="Total 2 5 2 8 5" xfId="20891" xr:uid="{00000000-0005-0000-0000-00006A900000}"/>
    <cellStyle name="Total 2 5 2 8 6" xfId="31736" xr:uid="{00000000-0005-0000-0000-00006B900000}"/>
    <cellStyle name="Total 2 5 2 8 7" xfId="12604" xr:uid="{00000000-0005-0000-0000-00006C900000}"/>
    <cellStyle name="Total 2 5 2 9" xfId="2305" xr:uid="{00000000-0005-0000-0000-00006D900000}"/>
    <cellStyle name="Total 2 5 2 9 2" xfId="5158" xr:uid="{00000000-0005-0000-0000-00006E900000}"/>
    <cellStyle name="Total 2 5 2 9 2 2" xfId="24130" xr:uid="{00000000-0005-0000-0000-00006F900000}"/>
    <cellStyle name="Total 2 5 2 9 2 3" xfId="34975" xr:uid="{00000000-0005-0000-0000-000070900000}"/>
    <cellStyle name="Total 2 5 2 9 2 4" xfId="14922" xr:uid="{00000000-0005-0000-0000-000071900000}"/>
    <cellStyle name="Total 2 5 2 9 3" xfId="7829" xr:uid="{00000000-0005-0000-0000-000072900000}"/>
    <cellStyle name="Total 2 5 2 9 3 2" xfId="26801" xr:uid="{00000000-0005-0000-0000-000073900000}"/>
    <cellStyle name="Total 2 5 2 9 3 3" xfId="37646" xr:uid="{00000000-0005-0000-0000-000074900000}"/>
    <cellStyle name="Total 2 5 2 9 3 4" xfId="16835" xr:uid="{00000000-0005-0000-0000-000075900000}"/>
    <cellStyle name="Total 2 5 2 9 4" xfId="10488" xr:uid="{00000000-0005-0000-0000-000076900000}"/>
    <cellStyle name="Total 2 5 2 9 4 2" xfId="29460" xr:uid="{00000000-0005-0000-0000-000077900000}"/>
    <cellStyle name="Total 2 5 2 9 4 3" xfId="40305" xr:uid="{00000000-0005-0000-0000-000078900000}"/>
    <cellStyle name="Total 2 5 2 9 4 4" xfId="18739" xr:uid="{00000000-0005-0000-0000-000079900000}"/>
    <cellStyle name="Total 2 5 2 9 5" xfId="21284" xr:uid="{00000000-0005-0000-0000-00007A900000}"/>
    <cellStyle name="Total 2 5 2 9 6" xfId="32129" xr:uid="{00000000-0005-0000-0000-00007B900000}"/>
    <cellStyle name="Total 2 5 2 9 7" xfId="12885" xr:uid="{00000000-0005-0000-0000-00007C900000}"/>
    <cellStyle name="Total 2 5 3" xfId="585" xr:uid="{00000000-0005-0000-0000-00007D900000}"/>
    <cellStyle name="Total 2 5 3 10" xfId="19595" xr:uid="{00000000-0005-0000-0000-00007E900000}"/>
    <cellStyle name="Total 2 5 3 11" xfId="30440" xr:uid="{00000000-0005-0000-0000-00007F900000}"/>
    <cellStyle name="Total 2 5 3 12" xfId="11649" xr:uid="{00000000-0005-0000-0000-000080900000}"/>
    <cellStyle name="Total 2 5 3 2" xfId="1191" xr:uid="{00000000-0005-0000-0000-000081900000}"/>
    <cellStyle name="Total 2 5 3 2 2" xfId="4044" xr:uid="{00000000-0005-0000-0000-000082900000}"/>
    <cellStyle name="Total 2 5 3 2 2 2" xfId="23016" xr:uid="{00000000-0005-0000-0000-000083900000}"/>
    <cellStyle name="Total 2 5 3 2 2 3" xfId="33861" xr:uid="{00000000-0005-0000-0000-000084900000}"/>
    <cellStyle name="Total 2 5 3 2 2 4" xfId="14126" xr:uid="{00000000-0005-0000-0000-000085900000}"/>
    <cellStyle name="Total 2 5 3 2 3" xfId="6717" xr:uid="{00000000-0005-0000-0000-000086900000}"/>
    <cellStyle name="Total 2 5 3 2 3 2" xfId="25689" xr:uid="{00000000-0005-0000-0000-000087900000}"/>
    <cellStyle name="Total 2 5 3 2 3 3" xfId="36534" xr:uid="{00000000-0005-0000-0000-000088900000}"/>
    <cellStyle name="Total 2 5 3 2 3 4" xfId="16041" xr:uid="{00000000-0005-0000-0000-000089900000}"/>
    <cellStyle name="Total 2 5 3 2 4" xfId="9376" xr:uid="{00000000-0005-0000-0000-00008A900000}"/>
    <cellStyle name="Total 2 5 3 2 4 2" xfId="28348" xr:uid="{00000000-0005-0000-0000-00008B900000}"/>
    <cellStyle name="Total 2 5 3 2 4 3" xfId="39193" xr:uid="{00000000-0005-0000-0000-00008C900000}"/>
    <cellStyle name="Total 2 5 3 2 4 4" xfId="17945" xr:uid="{00000000-0005-0000-0000-00008D900000}"/>
    <cellStyle name="Total 2 5 3 2 5" xfId="20172" xr:uid="{00000000-0005-0000-0000-00008E900000}"/>
    <cellStyle name="Total 2 5 3 2 6" xfId="31017" xr:uid="{00000000-0005-0000-0000-00008F900000}"/>
    <cellStyle name="Total 2 5 3 2 7" xfId="12091" xr:uid="{00000000-0005-0000-0000-000090900000}"/>
    <cellStyle name="Total 2 5 3 3" xfId="1588" xr:uid="{00000000-0005-0000-0000-000091900000}"/>
    <cellStyle name="Total 2 5 3 3 2" xfId="4441" xr:uid="{00000000-0005-0000-0000-000092900000}"/>
    <cellStyle name="Total 2 5 3 3 2 2" xfId="23413" xr:uid="{00000000-0005-0000-0000-000093900000}"/>
    <cellStyle name="Total 2 5 3 3 2 3" xfId="34258" xr:uid="{00000000-0005-0000-0000-000094900000}"/>
    <cellStyle name="Total 2 5 3 3 2 4" xfId="14412" xr:uid="{00000000-0005-0000-0000-000095900000}"/>
    <cellStyle name="Total 2 5 3 3 3" xfId="7113" xr:uid="{00000000-0005-0000-0000-000096900000}"/>
    <cellStyle name="Total 2 5 3 3 3 2" xfId="26085" xr:uid="{00000000-0005-0000-0000-000097900000}"/>
    <cellStyle name="Total 2 5 3 3 3 3" xfId="36930" xr:uid="{00000000-0005-0000-0000-000098900000}"/>
    <cellStyle name="Total 2 5 3 3 3 4" xfId="16326" xr:uid="{00000000-0005-0000-0000-000099900000}"/>
    <cellStyle name="Total 2 5 3 3 4" xfId="9772" xr:uid="{00000000-0005-0000-0000-00009A900000}"/>
    <cellStyle name="Total 2 5 3 3 4 2" xfId="28744" xr:uid="{00000000-0005-0000-0000-00009B900000}"/>
    <cellStyle name="Total 2 5 3 3 4 3" xfId="39589" xr:uid="{00000000-0005-0000-0000-00009C900000}"/>
    <cellStyle name="Total 2 5 3 3 4 4" xfId="18230" xr:uid="{00000000-0005-0000-0000-00009D900000}"/>
    <cellStyle name="Total 2 5 3 3 5" xfId="20568" xr:uid="{00000000-0005-0000-0000-00009E900000}"/>
    <cellStyle name="Total 2 5 3 3 6" xfId="31413" xr:uid="{00000000-0005-0000-0000-00009F900000}"/>
    <cellStyle name="Total 2 5 3 3 7" xfId="12376" xr:uid="{00000000-0005-0000-0000-0000A0900000}"/>
    <cellStyle name="Total 2 5 3 4" xfId="1992" xr:uid="{00000000-0005-0000-0000-0000A1900000}"/>
    <cellStyle name="Total 2 5 3 4 2" xfId="4845" xr:uid="{00000000-0005-0000-0000-0000A2900000}"/>
    <cellStyle name="Total 2 5 3 4 2 2" xfId="23817" xr:uid="{00000000-0005-0000-0000-0000A3900000}"/>
    <cellStyle name="Total 2 5 3 4 2 3" xfId="34662" xr:uid="{00000000-0005-0000-0000-0000A4900000}"/>
    <cellStyle name="Total 2 5 3 4 2 4" xfId="14700" xr:uid="{00000000-0005-0000-0000-0000A5900000}"/>
    <cellStyle name="Total 2 5 3 4 3" xfId="7517" xr:uid="{00000000-0005-0000-0000-0000A6900000}"/>
    <cellStyle name="Total 2 5 3 4 3 2" xfId="26489" xr:uid="{00000000-0005-0000-0000-0000A7900000}"/>
    <cellStyle name="Total 2 5 3 4 3 3" xfId="37334" xr:uid="{00000000-0005-0000-0000-0000A8900000}"/>
    <cellStyle name="Total 2 5 3 4 3 4" xfId="16614" xr:uid="{00000000-0005-0000-0000-0000A9900000}"/>
    <cellStyle name="Total 2 5 3 4 4" xfId="10176" xr:uid="{00000000-0005-0000-0000-0000AA900000}"/>
    <cellStyle name="Total 2 5 3 4 4 2" xfId="29148" xr:uid="{00000000-0005-0000-0000-0000AB900000}"/>
    <cellStyle name="Total 2 5 3 4 4 3" xfId="39993" xr:uid="{00000000-0005-0000-0000-0000AC900000}"/>
    <cellStyle name="Total 2 5 3 4 4 4" xfId="18518" xr:uid="{00000000-0005-0000-0000-0000AD900000}"/>
    <cellStyle name="Total 2 5 3 4 5" xfId="20972" xr:uid="{00000000-0005-0000-0000-0000AE900000}"/>
    <cellStyle name="Total 2 5 3 4 6" xfId="31817" xr:uid="{00000000-0005-0000-0000-0000AF900000}"/>
    <cellStyle name="Total 2 5 3 4 7" xfId="12664" xr:uid="{00000000-0005-0000-0000-0000B0900000}"/>
    <cellStyle name="Total 2 5 3 5" xfId="2384" xr:uid="{00000000-0005-0000-0000-0000B1900000}"/>
    <cellStyle name="Total 2 5 3 5 2" xfId="5237" xr:uid="{00000000-0005-0000-0000-0000B2900000}"/>
    <cellStyle name="Total 2 5 3 5 2 2" xfId="24209" xr:uid="{00000000-0005-0000-0000-0000B3900000}"/>
    <cellStyle name="Total 2 5 3 5 2 3" xfId="35054" xr:uid="{00000000-0005-0000-0000-0000B4900000}"/>
    <cellStyle name="Total 2 5 3 5 2 4" xfId="14981" xr:uid="{00000000-0005-0000-0000-0000B5900000}"/>
    <cellStyle name="Total 2 5 3 5 3" xfId="7908" xr:uid="{00000000-0005-0000-0000-0000B6900000}"/>
    <cellStyle name="Total 2 5 3 5 3 2" xfId="26880" xr:uid="{00000000-0005-0000-0000-0000B7900000}"/>
    <cellStyle name="Total 2 5 3 5 3 3" xfId="37725" xr:uid="{00000000-0005-0000-0000-0000B8900000}"/>
    <cellStyle name="Total 2 5 3 5 3 4" xfId="16894" xr:uid="{00000000-0005-0000-0000-0000B9900000}"/>
    <cellStyle name="Total 2 5 3 5 4" xfId="10567" xr:uid="{00000000-0005-0000-0000-0000BA900000}"/>
    <cellStyle name="Total 2 5 3 5 4 2" xfId="29539" xr:uid="{00000000-0005-0000-0000-0000BB900000}"/>
    <cellStyle name="Total 2 5 3 5 4 3" xfId="40384" xr:uid="{00000000-0005-0000-0000-0000BC900000}"/>
    <cellStyle name="Total 2 5 3 5 4 4" xfId="18798" xr:uid="{00000000-0005-0000-0000-0000BD900000}"/>
    <cellStyle name="Total 2 5 3 5 5" xfId="21363" xr:uid="{00000000-0005-0000-0000-0000BE900000}"/>
    <cellStyle name="Total 2 5 3 5 6" xfId="32208" xr:uid="{00000000-0005-0000-0000-0000BF900000}"/>
    <cellStyle name="Total 2 5 3 5 7" xfId="12944" xr:uid="{00000000-0005-0000-0000-0000C0900000}"/>
    <cellStyle name="Total 2 5 3 6" xfId="2773" xr:uid="{00000000-0005-0000-0000-0000C1900000}"/>
    <cellStyle name="Total 2 5 3 6 2" xfId="5625" xr:uid="{00000000-0005-0000-0000-0000C2900000}"/>
    <cellStyle name="Total 2 5 3 6 2 2" xfId="24597" xr:uid="{00000000-0005-0000-0000-0000C3900000}"/>
    <cellStyle name="Total 2 5 3 6 2 3" xfId="35442" xr:uid="{00000000-0005-0000-0000-0000C4900000}"/>
    <cellStyle name="Total 2 5 3 6 2 4" xfId="15259" xr:uid="{00000000-0005-0000-0000-0000C5900000}"/>
    <cellStyle name="Total 2 5 3 6 3" xfId="8296" xr:uid="{00000000-0005-0000-0000-0000C6900000}"/>
    <cellStyle name="Total 2 5 3 6 3 2" xfId="27268" xr:uid="{00000000-0005-0000-0000-0000C7900000}"/>
    <cellStyle name="Total 2 5 3 6 3 3" xfId="38113" xr:uid="{00000000-0005-0000-0000-0000C8900000}"/>
    <cellStyle name="Total 2 5 3 6 3 4" xfId="17172" xr:uid="{00000000-0005-0000-0000-0000C9900000}"/>
    <cellStyle name="Total 2 5 3 6 4" xfId="10955" xr:uid="{00000000-0005-0000-0000-0000CA900000}"/>
    <cellStyle name="Total 2 5 3 6 4 2" xfId="29927" xr:uid="{00000000-0005-0000-0000-0000CB900000}"/>
    <cellStyle name="Total 2 5 3 6 4 3" xfId="40772" xr:uid="{00000000-0005-0000-0000-0000CC900000}"/>
    <cellStyle name="Total 2 5 3 6 4 4" xfId="19076" xr:uid="{00000000-0005-0000-0000-0000CD900000}"/>
    <cellStyle name="Total 2 5 3 6 5" xfId="21751" xr:uid="{00000000-0005-0000-0000-0000CE900000}"/>
    <cellStyle name="Total 2 5 3 6 6" xfId="32596" xr:uid="{00000000-0005-0000-0000-0000CF900000}"/>
    <cellStyle name="Total 2 5 3 6 7" xfId="13222" xr:uid="{00000000-0005-0000-0000-0000D0900000}"/>
    <cellStyle name="Total 2 5 3 7" xfId="3464" xr:uid="{00000000-0005-0000-0000-0000D1900000}"/>
    <cellStyle name="Total 2 5 3 7 2" xfId="22436" xr:uid="{00000000-0005-0000-0000-0000D2900000}"/>
    <cellStyle name="Total 2 5 3 7 3" xfId="33281" xr:uid="{00000000-0005-0000-0000-0000D3900000}"/>
    <cellStyle name="Total 2 5 3 7 4" xfId="13704" xr:uid="{00000000-0005-0000-0000-0000D4900000}"/>
    <cellStyle name="Total 2 5 3 8" xfId="6140" xr:uid="{00000000-0005-0000-0000-0000D5900000}"/>
    <cellStyle name="Total 2 5 3 8 2" xfId="25112" xr:uid="{00000000-0005-0000-0000-0000D6900000}"/>
    <cellStyle name="Total 2 5 3 8 3" xfId="35957" xr:uid="{00000000-0005-0000-0000-0000D7900000}"/>
    <cellStyle name="Total 2 5 3 8 4" xfId="15621" xr:uid="{00000000-0005-0000-0000-0000D8900000}"/>
    <cellStyle name="Total 2 5 3 9" xfId="8799" xr:uid="{00000000-0005-0000-0000-0000D9900000}"/>
    <cellStyle name="Total 2 5 3 9 2" xfId="27771" xr:uid="{00000000-0005-0000-0000-0000DA900000}"/>
    <cellStyle name="Total 2 5 3 9 3" xfId="38616" xr:uid="{00000000-0005-0000-0000-0000DB900000}"/>
    <cellStyle name="Total 2 5 3 9 4" xfId="17525" xr:uid="{00000000-0005-0000-0000-0000DC900000}"/>
    <cellStyle name="Total 2 5 4" xfId="11478" xr:uid="{00000000-0005-0000-0000-0000DD900000}"/>
    <cellStyle name="Total 2 6" xfId="160" xr:uid="{00000000-0005-0000-0000-0000DE900000}"/>
    <cellStyle name="Total 2 6 2" xfId="404" xr:uid="{00000000-0005-0000-0000-0000DF900000}"/>
    <cellStyle name="Total 2 6 2 10" xfId="2695" xr:uid="{00000000-0005-0000-0000-0000E0900000}"/>
    <cellStyle name="Total 2 6 2 10 2" xfId="5547" xr:uid="{00000000-0005-0000-0000-0000E1900000}"/>
    <cellStyle name="Total 2 6 2 10 2 2" xfId="24519" xr:uid="{00000000-0005-0000-0000-0000E2900000}"/>
    <cellStyle name="Total 2 6 2 10 2 3" xfId="35364" xr:uid="{00000000-0005-0000-0000-0000E3900000}"/>
    <cellStyle name="Total 2 6 2 10 2 4" xfId="15201" xr:uid="{00000000-0005-0000-0000-0000E4900000}"/>
    <cellStyle name="Total 2 6 2 10 3" xfId="8218" xr:uid="{00000000-0005-0000-0000-0000E5900000}"/>
    <cellStyle name="Total 2 6 2 10 3 2" xfId="27190" xr:uid="{00000000-0005-0000-0000-0000E6900000}"/>
    <cellStyle name="Total 2 6 2 10 3 3" xfId="38035" xr:uid="{00000000-0005-0000-0000-0000E7900000}"/>
    <cellStyle name="Total 2 6 2 10 3 4" xfId="17114" xr:uid="{00000000-0005-0000-0000-0000E8900000}"/>
    <cellStyle name="Total 2 6 2 10 4" xfId="10877" xr:uid="{00000000-0005-0000-0000-0000E9900000}"/>
    <cellStyle name="Total 2 6 2 10 4 2" xfId="29849" xr:uid="{00000000-0005-0000-0000-0000EA900000}"/>
    <cellStyle name="Total 2 6 2 10 4 3" xfId="40694" xr:uid="{00000000-0005-0000-0000-0000EB900000}"/>
    <cellStyle name="Total 2 6 2 10 4 4" xfId="19018" xr:uid="{00000000-0005-0000-0000-0000EC900000}"/>
    <cellStyle name="Total 2 6 2 10 5" xfId="21673" xr:uid="{00000000-0005-0000-0000-0000ED900000}"/>
    <cellStyle name="Total 2 6 2 10 6" xfId="32518" xr:uid="{00000000-0005-0000-0000-0000EE900000}"/>
    <cellStyle name="Total 2 6 2 10 7" xfId="13164" xr:uid="{00000000-0005-0000-0000-0000EF900000}"/>
    <cellStyle name="Total 2 6 2 11" xfId="3081" xr:uid="{00000000-0005-0000-0000-0000F0900000}"/>
    <cellStyle name="Total 2 6 2 11 2" xfId="5932" xr:uid="{00000000-0005-0000-0000-0000F1900000}"/>
    <cellStyle name="Total 2 6 2 11 2 2" xfId="24904" xr:uid="{00000000-0005-0000-0000-0000F2900000}"/>
    <cellStyle name="Total 2 6 2 11 2 3" xfId="35749" xr:uid="{00000000-0005-0000-0000-0000F3900000}"/>
    <cellStyle name="Total 2 6 2 11 2 4" xfId="15477" xr:uid="{00000000-0005-0000-0000-0000F4900000}"/>
    <cellStyle name="Total 2 6 2 11 3" xfId="8603" xr:uid="{00000000-0005-0000-0000-0000F5900000}"/>
    <cellStyle name="Total 2 6 2 11 3 2" xfId="27575" xr:uid="{00000000-0005-0000-0000-0000F6900000}"/>
    <cellStyle name="Total 2 6 2 11 3 3" xfId="38420" xr:uid="{00000000-0005-0000-0000-0000F7900000}"/>
    <cellStyle name="Total 2 6 2 11 3 4" xfId="17390" xr:uid="{00000000-0005-0000-0000-0000F8900000}"/>
    <cellStyle name="Total 2 6 2 11 4" xfId="11262" xr:uid="{00000000-0005-0000-0000-0000F9900000}"/>
    <cellStyle name="Total 2 6 2 11 4 2" xfId="30234" xr:uid="{00000000-0005-0000-0000-0000FA900000}"/>
    <cellStyle name="Total 2 6 2 11 4 3" xfId="41079" xr:uid="{00000000-0005-0000-0000-0000FB900000}"/>
    <cellStyle name="Total 2 6 2 11 4 4" xfId="19294" xr:uid="{00000000-0005-0000-0000-0000FC900000}"/>
    <cellStyle name="Total 2 6 2 11 5" xfId="22058" xr:uid="{00000000-0005-0000-0000-0000FD900000}"/>
    <cellStyle name="Total 2 6 2 11 6" xfId="32903" xr:uid="{00000000-0005-0000-0000-0000FE900000}"/>
    <cellStyle name="Total 2 6 2 11 7" xfId="13440" xr:uid="{00000000-0005-0000-0000-0000FF900000}"/>
    <cellStyle name="Total 2 6 2 12" xfId="3138" xr:uid="{00000000-0005-0000-0000-000000910000}"/>
    <cellStyle name="Total 2 6 2 12 2" xfId="5989" xr:uid="{00000000-0005-0000-0000-000001910000}"/>
    <cellStyle name="Total 2 6 2 12 2 2" xfId="24961" xr:uid="{00000000-0005-0000-0000-000002910000}"/>
    <cellStyle name="Total 2 6 2 12 2 3" xfId="35806" xr:uid="{00000000-0005-0000-0000-000003910000}"/>
    <cellStyle name="Total 2 6 2 12 2 4" xfId="15514" xr:uid="{00000000-0005-0000-0000-000004910000}"/>
    <cellStyle name="Total 2 6 2 12 3" xfId="8660" xr:uid="{00000000-0005-0000-0000-000005910000}"/>
    <cellStyle name="Total 2 6 2 12 3 2" xfId="27632" xr:uid="{00000000-0005-0000-0000-000006910000}"/>
    <cellStyle name="Total 2 6 2 12 3 3" xfId="38477" xr:uid="{00000000-0005-0000-0000-000007910000}"/>
    <cellStyle name="Total 2 6 2 12 3 4" xfId="17427" xr:uid="{00000000-0005-0000-0000-000008910000}"/>
    <cellStyle name="Total 2 6 2 12 4" xfId="11319" xr:uid="{00000000-0005-0000-0000-000009910000}"/>
    <cellStyle name="Total 2 6 2 12 4 2" xfId="30291" xr:uid="{00000000-0005-0000-0000-00000A910000}"/>
    <cellStyle name="Total 2 6 2 12 4 3" xfId="41136" xr:uid="{00000000-0005-0000-0000-00000B910000}"/>
    <cellStyle name="Total 2 6 2 12 4 4" xfId="19331" xr:uid="{00000000-0005-0000-0000-00000C910000}"/>
    <cellStyle name="Total 2 6 2 12 5" xfId="22115" xr:uid="{00000000-0005-0000-0000-00000D910000}"/>
    <cellStyle name="Total 2 6 2 12 6" xfId="32960" xr:uid="{00000000-0005-0000-0000-00000E910000}"/>
    <cellStyle name="Total 2 6 2 12 7" xfId="13477" xr:uid="{00000000-0005-0000-0000-00000F910000}"/>
    <cellStyle name="Total 2 6 2 13" xfId="3195" xr:uid="{00000000-0005-0000-0000-000010910000}"/>
    <cellStyle name="Total 2 6 2 13 2" xfId="6046" xr:uid="{00000000-0005-0000-0000-000011910000}"/>
    <cellStyle name="Total 2 6 2 13 2 2" xfId="25018" xr:uid="{00000000-0005-0000-0000-000012910000}"/>
    <cellStyle name="Total 2 6 2 13 2 3" xfId="35863" xr:uid="{00000000-0005-0000-0000-000013910000}"/>
    <cellStyle name="Total 2 6 2 13 2 4" xfId="15551" xr:uid="{00000000-0005-0000-0000-000014910000}"/>
    <cellStyle name="Total 2 6 2 13 3" xfId="8717" xr:uid="{00000000-0005-0000-0000-000015910000}"/>
    <cellStyle name="Total 2 6 2 13 3 2" xfId="27689" xr:uid="{00000000-0005-0000-0000-000016910000}"/>
    <cellStyle name="Total 2 6 2 13 3 3" xfId="38534" xr:uid="{00000000-0005-0000-0000-000017910000}"/>
    <cellStyle name="Total 2 6 2 13 3 4" xfId="17464" xr:uid="{00000000-0005-0000-0000-000018910000}"/>
    <cellStyle name="Total 2 6 2 13 4" xfId="11376" xr:uid="{00000000-0005-0000-0000-000019910000}"/>
    <cellStyle name="Total 2 6 2 13 4 2" xfId="30348" xr:uid="{00000000-0005-0000-0000-00001A910000}"/>
    <cellStyle name="Total 2 6 2 13 4 3" xfId="41193" xr:uid="{00000000-0005-0000-0000-00001B910000}"/>
    <cellStyle name="Total 2 6 2 13 4 4" xfId="19368" xr:uid="{00000000-0005-0000-0000-00001C910000}"/>
    <cellStyle name="Total 2 6 2 13 5" xfId="22172" xr:uid="{00000000-0005-0000-0000-00001D910000}"/>
    <cellStyle name="Total 2 6 2 13 6" xfId="33017" xr:uid="{00000000-0005-0000-0000-00001E910000}"/>
    <cellStyle name="Total 2 6 2 13 7" xfId="13514" xr:uid="{00000000-0005-0000-0000-00001F910000}"/>
    <cellStyle name="Total 2 6 2 14" xfId="3362" xr:uid="{00000000-0005-0000-0000-000020910000}"/>
    <cellStyle name="Total 2 6 2 14 2" xfId="22336" xr:uid="{00000000-0005-0000-0000-000021910000}"/>
    <cellStyle name="Total 2 6 2 14 3" xfId="33181" xr:uid="{00000000-0005-0000-0000-000022910000}"/>
    <cellStyle name="Total 2 6 2 14 4" xfId="13631" xr:uid="{00000000-0005-0000-0000-000023910000}"/>
    <cellStyle name="Total 2 6 2 15" xfId="3306" xr:uid="{00000000-0005-0000-0000-000024910000}"/>
    <cellStyle name="Total 2 6 2 15 2" xfId="22280" xr:uid="{00000000-0005-0000-0000-000025910000}"/>
    <cellStyle name="Total 2 6 2 15 3" xfId="33125" xr:uid="{00000000-0005-0000-0000-000026910000}"/>
    <cellStyle name="Total 2 6 2 15 4" xfId="13591" xr:uid="{00000000-0005-0000-0000-000027910000}"/>
    <cellStyle name="Total 2 6 2 16" xfId="3237" xr:uid="{00000000-0005-0000-0000-000028910000}"/>
    <cellStyle name="Total 2 6 2 16 2" xfId="22214" xr:uid="{00000000-0005-0000-0000-000029910000}"/>
    <cellStyle name="Total 2 6 2 16 3" xfId="33059" xr:uid="{00000000-0005-0000-0000-00002A910000}"/>
    <cellStyle name="Total 2 6 2 16 4" xfId="13542" xr:uid="{00000000-0005-0000-0000-00002B910000}"/>
    <cellStyle name="Total 2 6 2 17" xfId="19492" xr:uid="{00000000-0005-0000-0000-00002C910000}"/>
    <cellStyle name="Total 2 6 2 18" xfId="19426" xr:uid="{00000000-0005-0000-0000-00002D910000}"/>
    <cellStyle name="Total 2 6 2 19" xfId="11541" xr:uid="{00000000-0005-0000-0000-00002E910000}"/>
    <cellStyle name="Total 2 6 2 2" xfId="703" xr:uid="{00000000-0005-0000-0000-00002F910000}"/>
    <cellStyle name="Total 2 6 2 2 10" xfId="19688" xr:uid="{00000000-0005-0000-0000-000030910000}"/>
    <cellStyle name="Total 2 6 2 2 11" xfId="30533" xr:uid="{00000000-0005-0000-0000-000031910000}"/>
    <cellStyle name="Total 2 6 2 2 12" xfId="11745" xr:uid="{00000000-0005-0000-0000-000032910000}"/>
    <cellStyle name="Total 2 6 2 2 2" xfId="1290" xr:uid="{00000000-0005-0000-0000-000033910000}"/>
    <cellStyle name="Total 2 6 2 2 2 2" xfId="4143" xr:uid="{00000000-0005-0000-0000-000034910000}"/>
    <cellStyle name="Total 2 6 2 2 2 2 2" xfId="23115" xr:uid="{00000000-0005-0000-0000-000035910000}"/>
    <cellStyle name="Total 2 6 2 2 2 2 3" xfId="33960" xr:uid="{00000000-0005-0000-0000-000036910000}"/>
    <cellStyle name="Total 2 6 2 2 2 2 4" xfId="14206" xr:uid="{00000000-0005-0000-0000-000037910000}"/>
    <cellStyle name="Total 2 6 2 2 2 3" xfId="6816" xr:uid="{00000000-0005-0000-0000-000038910000}"/>
    <cellStyle name="Total 2 6 2 2 2 3 2" xfId="25788" xr:uid="{00000000-0005-0000-0000-000039910000}"/>
    <cellStyle name="Total 2 6 2 2 2 3 3" xfId="36633" xr:uid="{00000000-0005-0000-0000-00003A910000}"/>
    <cellStyle name="Total 2 6 2 2 2 3 4" xfId="16121" xr:uid="{00000000-0005-0000-0000-00003B910000}"/>
    <cellStyle name="Total 2 6 2 2 2 4" xfId="9475" xr:uid="{00000000-0005-0000-0000-00003C910000}"/>
    <cellStyle name="Total 2 6 2 2 2 4 2" xfId="28447" xr:uid="{00000000-0005-0000-0000-00003D910000}"/>
    <cellStyle name="Total 2 6 2 2 2 4 3" xfId="39292" xr:uid="{00000000-0005-0000-0000-00003E910000}"/>
    <cellStyle name="Total 2 6 2 2 2 4 4" xfId="18025" xr:uid="{00000000-0005-0000-0000-00003F910000}"/>
    <cellStyle name="Total 2 6 2 2 2 5" xfId="20271" xr:uid="{00000000-0005-0000-0000-000040910000}"/>
    <cellStyle name="Total 2 6 2 2 2 6" xfId="31116" xr:uid="{00000000-0005-0000-0000-000041910000}"/>
    <cellStyle name="Total 2 6 2 2 2 7" xfId="12171" xr:uid="{00000000-0005-0000-0000-000042910000}"/>
    <cellStyle name="Total 2 6 2 2 3" xfId="1689" xr:uid="{00000000-0005-0000-0000-000043910000}"/>
    <cellStyle name="Total 2 6 2 2 3 2" xfId="4542" xr:uid="{00000000-0005-0000-0000-000044910000}"/>
    <cellStyle name="Total 2 6 2 2 3 2 2" xfId="23514" xr:uid="{00000000-0005-0000-0000-000045910000}"/>
    <cellStyle name="Total 2 6 2 2 3 2 3" xfId="34359" xr:uid="{00000000-0005-0000-0000-000046910000}"/>
    <cellStyle name="Total 2 6 2 2 3 2 4" xfId="14493" xr:uid="{00000000-0005-0000-0000-000047910000}"/>
    <cellStyle name="Total 2 6 2 2 3 3" xfId="7214" xr:uid="{00000000-0005-0000-0000-000048910000}"/>
    <cellStyle name="Total 2 6 2 2 3 3 2" xfId="26186" xr:uid="{00000000-0005-0000-0000-000049910000}"/>
    <cellStyle name="Total 2 6 2 2 3 3 3" xfId="37031" xr:uid="{00000000-0005-0000-0000-00004A910000}"/>
    <cellStyle name="Total 2 6 2 2 3 3 4" xfId="16407" xr:uid="{00000000-0005-0000-0000-00004B910000}"/>
    <cellStyle name="Total 2 6 2 2 3 4" xfId="9873" xr:uid="{00000000-0005-0000-0000-00004C910000}"/>
    <cellStyle name="Total 2 6 2 2 3 4 2" xfId="28845" xr:uid="{00000000-0005-0000-0000-00004D910000}"/>
    <cellStyle name="Total 2 6 2 2 3 4 3" xfId="39690" xr:uid="{00000000-0005-0000-0000-00004E910000}"/>
    <cellStyle name="Total 2 6 2 2 3 4 4" xfId="18311" xr:uid="{00000000-0005-0000-0000-00004F910000}"/>
    <cellStyle name="Total 2 6 2 2 3 5" xfId="20669" xr:uid="{00000000-0005-0000-0000-000050910000}"/>
    <cellStyle name="Total 2 6 2 2 3 6" xfId="31514" xr:uid="{00000000-0005-0000-0000-000051910000}"/>
    <cellStyle name="Total 2 6 2 2 3 7" xfId="12457" xr:uid="{00000000-0005-0000-0000-000052910000}"/>
    <cellStyle name="Total 2 6 2 2 4" xfId="2093" xr:uid="{00000000-0005-0000-0000-000053910000}"/>
    <cellStyle name="Total 2 6 2 2 4 2" xfId="4946" xr:uid="{00000000-0005-0000-0000-000054910000}"/>
    <cellStyle name="Total 2 6 2 2 4 2 2" xfId="23918" xr:uid="{00000000-0005-0000-0000-000055910000}"/>
    <cellStyle name="Total 2 6 2 2 4 2 3" xfId="34763" xr:uid="{00000000-0005-0000-0000-000056910000}"/>
    <cellStyle name="Total 2 6 2 2 4 2 4" xfId="14780" xr:uid="{00000000-0005-0000-0000-000057910000}"/>
    <cellStyle name="Total 2 6 2 2 4 3" xfId="7617" xr:uid="{00000000-0005-0000-0000-000058910000}"/>
    <cellStyle name="Total 2 6 2 2 4 3 2" xfId="26589" xr:uid="{00000000-0005-0000-0000-000059910000}"/>
    <cellStyle name="Total 2 6 2 2 4 3 3" xfId="37434" xr:uid="{00000000-0005-0000-0000-00005A910000}"/>
    <cellStyle name="Total 2 6 2 2 4 3 4" xfId="16693" xr:uid="{00000000-0005-0000-0000-00005B910000}"/>
    <cellStyle name="Total 2 6 2 2 4 4" xfId="10276" xr:uid="{00000000-0005-0000-0000-00005C910000}"/>
    <cellStyle name="Total 2 6 2 2 4 4 2" xfId="29248" xr:uid="{00000000-0005-0000-0000-00005D910000}"/>
    <cellStyle name="Total 2 6 2 2 4 4 3" xfId="40093" xr:uid="{00000000-0005-0000-0000-00005E910000}"/>
    <cellStyle name="Total 2 6 2 2 4 4 4" xfId="18597" xr:uid="{00000000-0005-0000-0000-00005F910000}"/>
    <cellStyle name="Total 2 6 2 2 4 5" xfId="21072" xr:uid="{00000000-0005-0000-0000-000060910000}"/>
    <cellStyle name="Total 2 6 2 2 4 6" xfId="31917" xr:uid="{00000000-0005-0000-0000-000061910000}"/>
    <cellStyle name="Total 2 6 2 2 4 7" xfId="12743" xr:uid="{00000000-0005-0000-0000-000062910000}"/>
    <cellStyle name="Total 2 6 2 2 5" xfId="2483" xr:uid="{00000000-0005-0000-0000-000063910000}"/>
    <cellStyle name="Total 2 6 2 2 5 2" xfId="5335" xr:uid="{00000000-0005-0000-0000-000064910000}"/>
    <cellStyle name="Total 2 6 2 2 5 2 2" xfId="24307" xr:uid="{00000000-0005-0000-0000-000065910000}"/>
    <cellStyle name="Total 2 6 2 2 5 2 3" xfId="35152" xr:uid="{00000000-0005-0000-0000-000066910000}"/>
    <cellStyle name="Total 2 6 2 2 5 2 4" xfId="15059" xr:uid="{00000000-0005-0000-0000-000067910000}"/>
    <cellStyle name="Total 2 6 2 2 5 3" xfId="8006" xr:uid="{00000000-0005-0000-0000-000068910000}"/>
    <cellStyle name="Total 2 6 2 2 5 3 2" xfId="26978" xr:uid="{00000000-0005-0000-0000-000069910000}"/>
    <cellStyle name="Total 2 6 2 2 5 3 3" xfId="37823" xr:uid="{00000000-0005-0000-0000-00006A910000}"/>
    <cellStyle name="Total 2 6 2 2 5 3 4" xfId="16972" xr:uid="{00000000-0005-0000-0000-00006B910000}"/>
    <cellStyle name="Total 2 6 2 2 5 4" xfId="10665" xr:uid="{00000000-0005-0000-0000-00006C910000}"/>
    <cellStyle name="Total 2 6 2 2 5 4 2" xfId="29637" xr:uid="{00000000-0005-0000-0000-00006D910000}"/>
    <cellStyle name="Total 2 6 2 2 5 4 3" xfId="40482" xr:uid="{00000000-0005-0000-0000-00006E910000}"/>
    <cellStyle name="Total 2 6 2 2 5 4 4" xfId="18876" xr:uid="{00000000-0005-0000-0000-00006F910000}"/>
    <cellStyle name="Total 2 6 2 2 5 5" xfId="21461" xr:uid="{00000000-0005-0000-0000-000070910000}"/>
    <cellStyle name="Total 2 6 2 2 5 6" xfId="32306" xr:uid="{00000000-0005-0000-0000-000071910000}"/>
    <cellStyle name="Total 2 6 2 2 5 7" xfId="13022" xr:uid="{00000000-0005-0000-0000-000072910000}"/>
    <cellStyle name="Total 2 6 2 2 6" xfId="2869" xr:uid="{00000000-0005-0000-0000-000073910000}"/>
    <cellStyle name="Total 2 6 2 2 6 2" xfId="5720" xr:uid="{00000000-0005-0000-0000-000074910000}"/>
    <cellStyle name="Total 2 6 2 2 6 2 2" xfId="24692" xr:uid="{00000000-0005-0000-0000-000075910000}"/>
    <cellStyle name="Total 2 6 2 2 6 2 3" xfId="35537" xr:uid="{00000000-0005-0000-0000-000076910000}"/>
    <cellStyle name="Total 2 6 2 2 6 2 4" xfId="15335" xr:uid="{00000000-0005-0000-0000-000077910000}"/>
    <cellStyle name="Total 2 6 2 2 6 3" xfId="8391" xr:uid="{00000000-0005-0000-0000-000078910000}"/>
    <cellStyle name="Total 2 6 2 2 6 3 2" xfId="27363" xr:uid="{00000000-0005-0000-0000-000079910000}"/>
    <cellStyle name="Total 2 6 2 2 6 3 3" xfId="38208" xr:uid="{00000000-0005-0000-0000-00007A910000}"/>
    <cellStyle name="Total 2 6 2 2 6 3 4" xfId="17248" xr:uid="{00000000-0005-0000-0000-00007B910000}"/>
    <cellStyle name="Total 2 6 2 2 6 4" xfId="11050" xr:uid="{00000000-0005-0000-0000-00007C910000}"/>
    <cellStyle name="Total 2 6 2 2 6 4 2" xfId="30022" xr:uid="{00000000-0005-0000-0000-00007D910000}"/>
    <cellStyle name="Total 2 6 2 2 6 4 3" xfId="40867" xr:uid="{00000000-0005-0000-0000-00007E910000}"/>
    <cellStyle name="Total 2 6 2 2 6 4 4" xfId="19152" xr:uid="{00000000-0005-0000-0000-00007F910000}"/>
    <cellStyle name="Total 2 6 2 2 6 5" xfId="21846" xr:uid="{00000000-0005-0000-0000-000080910000}"/>
    <cellStyle name="Total 2 6 2 2 6 6" xfId="32691" xr:uid="{00000000-0005-0000-0000-000081910000}"/>
    <cellStyle name="Total 2 6 2 2 6 7" xfId="13298" xr:uid="{00000000-0005-0000-0000-000082910000}"/>
    <cellStyle name="Total 2 6 2 2 7" xfId="3558" xr:uid="{00000000-0005-0000-0000-000083910000}"/>
    <cellStyle name="Total 2 6 2 2 7 2" xfId="22530" xr:uid="{00000000-0005-0000-0000-000084910000}"/>
    <cellStyle name="Total 2 6 2 2 7 3" xfId="33375" xr:uid="{00000000-0005-0000-0000-000085910000}"/>
    <cellStyle name="Total 2 6 2 2 7 4" xfId="13779" xr:uid="{00000000-0005-0000-0000-000086910000}"/>
    <cellStyle name="Total 2 6 2 2 8" xfId="6233" xr:uid="{00000000-0005-0000-0000-000087910000}"/>
    <cellStyle name="Total 2 6 2 2 8 2" xfId="25205" xr:uid="{00000000-0005-0000-0000-000088910000}"/>
    <cellStyle name="Total 2 6 2 2 8 3" xfId="36050" xr:uid="{00000000-0005-0000-0000-000089910000}"/>
    <cellStyle name="Total 2 6 2 2 8 4" xfId="15695" xr:uid="{00000000-0005-0000-0000-00008A910000}"/>
    <cellStyle name="Total 2 6 2 2 9" xfId="8892" xr:uid="{00000000-0005-0000-0000-00008B910000}"/>
    <cellStyle name="Total 2 6 2 2 9 2" xfId="27864" xr:uid="{00000000-0005-0000-0000-00008C910000}"/>
    <cellStyle name="Total 2 6 2 2 9 3" xfId="38709" xr:uid="{00000000-0005-0000-0000-00008D910000}"/>
    <cellStyle name="Total 2 6 2 2 9 4" xfId="17599" xr:uid="{00000000-0005-0000-0000-00008E910000}"/>
    <cellStyle name="Total 2 6 2 3" xfId="763" xr:uid="{00000000-0005-0000-0000-00008F910000}"/>
    <cellStyle name="Total 2 6 2 3 10" xfId="19748" xr:uid="{00000000-0005-0000-0000-000090910000}"/>
    <cellStyle name="Total 2 6 2 3 11" xfId="30593" xr:uid="{00000000-0005-0000-0000-000091910000}"/>
    <cellStyle name="Total 2 6 2 3 12" xfId="11785" xr:uid="{00000000-0005-0000-0000-000092910000}"/>
    <cellStyle name="Total 2 6 2 3 2" xfId="1350" xr:uid="{00000000-0005-0000-0000-000093910000}"/>
    <cellStyle name="Total 2 6 2 3 2 2" xfId="4203" xr:uid="{00000000-0005-0000-0000-000094910000}"/>
    <cellStyle name="Total 2 6 2 3 2 2 2" xfId="23175" xr:uid="{00000000-0005-0000-0000-000095910000}"/>
    <cellStyle name="Total 2 6 2 3 2 2 3" xfId="34020" xr:uid="{00000000-0005-0000-0000-000096910000}"/>
    <cellStyle name="Total 2 6 2 3 2 2 4" xfId="14246" xr:uid="{00000000-0005-0000-0000-000097910000}"/>
    <cellStyle name="Total 2 6 2 3 2 3" xfId="6876" xr:uid="{00000000-0005-0000-0000-000098910000}"/>
    <cellStyle name="Total 2 6 2 3 2 3 2" xfId="25848" xr:uid="{00000000-0005-0000-0000-000099910000}"/>
    <cellStyle name="Total 2 6 2 3 2 3 3" xfId="36693" xr:uid="{00000000-0005-0000-0000-00009A910000}"/>
    <cellStyle name="Total 2 6 2 3 2 3 4" xfId="16161" xr:uid="{00000000-0005-0000-0000-00009B910000}"/>
    <cellStyle name="Total 2 6 2 3 2 4" xfId="9535" xr:uid="{00000000-0005-0000-0000-00009C910000}"/>
    <cellStyle name="Total 2 6 2 3 2 4 2" xfId="28507" xr:uid="{00000000-0005-0000-0000-00009D910000}"/>
    <cellStyle name="Total 2 6 2 3 2 4 3" xfId="39352" xr:uid="{00000000-0005-0000-0000-00009E910000}"/>
    <cellStyle name="Total 2 6 2 3 2 4 4" xfId="18065" xr:uid="{00000000-0005-0000-0000-00009F910000}"/>
    <cellStyle name="Total 2 6 2 3 2 5" xfId="20331" xr:uid="{00000000-0005-0000-0000-0000A0910000}"/>
    <cellStyle name="Total 2 6 2 3 2 6" xfId="31176" xr:uid="{00000000-0005-0000-0000-0000A1910000}"/>
    <cellStyle name="Total 2 6 2 3 2 7" xfId="12211" xr:uid="{00000000-0005-0000-0000-0000A2910000}"/>
    <cellStyle name="Total 2 6 2 3 3" xfId="1749" xr:uid="{00000000-0005-0000-0000-0000A3910000}"/>
    <cellStyle name="Total 2 6 2 3 3 2" xfId="4602" xr:uid="{00000000-0005-0000-0000-0000A4910000}"/>
    <cellStyle name="Total 2 6 2 3 3 2 2" xfId="23574" xr:uid="{00000000-0005-0000-0000-0000A5910000}"/>
    <cellStyle name="Total 2 6 2 3 3 2 3" xfId="34419" xr:uid="{00000000-0005-0000-0000-0000A6910000}"/>
    <cellStyle name="Total 2 6 2 3 3 2 4" xfId="14533" xr:uid="{00000000-0005-0000-0000-0000A7910000}"/>
    <cellStyle name="Total 2 6 2 3 3 3" xfId="7274" xr:uid="{00000000-0005-0000-0000-0000A8910000}"/>
    <cellStyle name="Total 2 6 2 3 3 3 2" xfId="26246" xr:uid="{00000000-0005-0000-0000-0000A9910000}"/>
    <cellStyle name="Total 2 6 2 3 3 3 3" xfId="37091" xr:uid="{00000000-0005-0000-0000-0000AA910000}"/>
    <cellStyle name="Total 2 6 2 3 3 3 4" xfId="16447" xr:uid="{00000000-0005-0000-0000-0000AB910000}"/>
    <cellStyle name="Total 2 6 2 3 3 4" xfId="9933" xr:uid="{00000000-0005-0000-0000-0000AC910000}"/>
    <cellStyle name="Total 2 6 2 3 3 4 2" xfId="28905" xr:uid="{00000000-0005-0000-0000-0000AD910000}"/>
    <cellStyle name="Total 2 6 2 3 3 4 3" xfId="39750" xr:uid="{00000000-0005-0000-0000-0000AE910000}"/>
    <cellStyle name="Total 2 6 2 3 3 4 4" xfId="18351" xr:uid="{00000000-0005-0000-0000-0000AF910000}"/>
    <cellStyle name="Total 2 6 2 3 3 5" xfId="20729" xr:uid="{00000000-0005-0000-0000-0000B0910000}"/>
    <cellStyle name="Total 2 6 2 3 3 6" xfId="31574" xr:uid="{00000000-0005-0000-0000-0000B1910000}"/>
    <cellStyle name="Total 2 6 2 3 3 7" xfId="12497" xr:uid="{00000000-0005-0000-0000-0000B2910000}"/>
    <cellStyle name="Total 2 6 2 3 4" xfId="2153" xr:uid="{00000000-0005-0000-0000-0000B3910000}"/>
    <cellStyle name="Total 2 6 2 3 4 2" xfId="5006" xr:uid="{00000000-0005-0000-0000-0000B4910000}"/>
    <cellStyle name="Total 2 6 2 3 4 2 2" xfId="23978" xr:uid="{00000000-0005-0000-0000-0000B5910000}"/>
    <cellStyle name="Total 2 6 2 3 4 2 3" xfId="34823" xr:uid="{00000000-0005-0000-0000-0000B6910000}"/>
    <cellStyle name="Total 2 6 2 3 4 2 4" xfId="14820" xr:uid="{00000000-0005-0000-0000-0000B7910000}"/>
    <cellStyle name="Total 2 6 2 3 4 3" xfId="7677" xr:uid="{00000000-0005-0000-0000-0000B8910000}"/>
    <cellStyle name="Total 2 6 2 3 4 3 2" xfId="26649" xr:uid="{00000000-0005-0000-0000-0000B9910000}"/>
    <cellStyle name="Total 2 6 2 3 4 3 3" xfId="37494" xr:uid="{00000000-0005-0000-0000-0000BA910000}"/>
    <cellStyle name="Total 2 6 2 3 4 3 4" xfId="16733" xr:uid="{00000000-0005-0000-0000-0000BB910000}"/>
    <cellStyle name="Total 2 6 2 3 4 4" xfId="10336" xr:uid="{00000000-0005-0000-0000-0000BC910000}"/>
    <cellStyle name="Total 2 6 2 3 4 4 2" xfId="29308" xr:uid="{00000000-0005-0000-0000-0000BD910000}"/>
    <cellStyle name="Total 2 6 2 3 4 4 3" xfId="40153" xr:uid="{00000000-0005-0000-0000-0000BE910000}"/>
    <cellStyle name="Total 2 6 2 3 4 4 4" xfId="18637" xr:uid="{00000000-0005-0000-0000-0000BF910000}"/>
    <cellStyle name="Total 2 6 2 3 4 5" xfId="21132" xr:uid="{00000000-0005-0000-0000-0000C0910000}"/>
    <cellStyle name="Total 2 6 2 3 4 6" xfId="31977" xr:uid="{00000000-0005-0000-0000-0000C1910000}"/>
    <cellStyle name="Total 2 6 2 3 4 7" xfId="12783" xr:uid="{00000000-0005-0000-0000-0000C2910000}"/>
    <cellStyle name="Total 2 6 2 3 5" xfId="2543" xr:uid="{00000000-0005-0000-0000-0000C3910000}"/>
    <cellStyle name="Total 2 6 2 3 5 2" xfId="5395" xr:uid="{00000000-0005-0000-0000-0000C4910000}"/>
    <cellStyle name="Total 2 6 2 3 5 2 2" xfId="24367" xr:uid="{00000000-0005-0000-0000-0000C5910000}"/>
    <cellStyle name="Total 2 6 2 3 5 2 3" xfId="35212" xr:uid="{00000000-0005-0000-0000-0000C6910000}"/>
    <cellStyle name="Total 2 6 2 3 5 2 4" xfId="15099" xr:uid="{00000000-0005-0000-0000-0000C7910000}"/>
    <cellStyle name="Total 2 6 2 3 5 3" xfId="8066" xr:uid="{00000000-0005-0000-0000-0000C8910000}"/>
    <cellStyle name="Total 2 6 2 3 5 3 2" xfId="27038" xr:uid="{00000000-0005-0000-0000-0000C9910000}"/>
    <cellStyle name="Total 2 6 2 3 5 3 3" xfId="37883" xr:uid="{00000000-0005-0000-0000-0000CA910000}"/>
    <cellStyle name="Total 2 6 2 3 5 3 4" xfId="17012" xr:uid="{00000000-0005-0000-0000-0000CB910000}"/>
    <cellStyle name="Total 2 6 2 3 5 4" xfId="10725" xr:uid="{00000000-0005-0000-0000-0000CC910000}"/>
    <cellStyle name="Total 2 6 2 3 5 4 2" xfId="29697" xr:uid="{00000000-0005-0000-0000-0000CD910000}"/>
    <cellStyle name="Total 2 6 2 3 5 4 3" xfId="40542" xr:uid="{00000000-0005-0000-0000-0000CE910000}"/>
    <cellStyle name="Total 2 6 2 3 5 4 4" xfId="18916" xr:uid="{00000000-0005-0000-0000-0000CF910000}"/>
    <cellStyle name="Total 2 6 2 3 5 5" xfId="21521" xr:uid="{00000000-0005-0000-0000-0000D0910000}"/>
    <cellStyle name="Total 2 6 2 3 5 6" xfId="32366" xr:uid="{00000000-0005-0000-0000-0000D1910000}"/>
    <cellStyle name="Total 2 6 2 3 5 7" xfId="13062" xr:uid="{00000000-0005-0000-0000-0000D2910000}"/>
    <cellStyle name="Total 2 6 2 3 6" xfId="2929" xr:uid="{00000000-0005-0000-0000-0000D3910000}"/>
    <cellStyle name="Total 2 6 2 3 6 2" xfId="5780" xr:uid="{00000000-0005-0000-0000-0000D4910000}"/>
    <cellStyle name="Total 2 6 2 3 6 2 2" xfId="24752" xr:uid="{00000000-0005-0000-0000-0000D5910000}"/>
    <cellStyle name="Total 2 6 2 3 6 2 3" xfId="35597" xr:uid="{00000000-0005-0000-0000-0000D6910000}"/>
    <cellStyle name="Total 2 6 2 3 6 2 4" xfId="15375" xr:uid="{00000000-0005-0000-0000-0000D7910000}"/>
    <cellStyle name="Total 2 6 2 3 6 3" xfId="8451" xr:uid="{00000000-0005-0000-0000-0000D8910000}"/>
    <cellStyle name="Total 2 6 2 3 6 3 2" xfId="27423" xr:uid="{00000000-0005-0000-0000-0000D9910000}"/>
    <cellStyle name="Total 2 6 2 3 6 3 3" xfId="38268" xr:uid="{00000000-0005-0000-0000-0000DA910000}"/>
    <cellStyle name="Total 2 6 2 3 6 3 4" xfId="17288" xr:uid="{00000000-0005-0000-0000-0000DB910000}"/>
    <cellStyle name="Total 2 6 2 3 6 4" xfId="11110" xr:uid="{00000000-0005-0000-0000-0000DC910000}"/>
    <cellStyle name="Total 2 6 2 3 6 4 2" xfId="30082" xr:uid="{00000000-0005-0000-0000-0000DD910000}"/>
    <cellStyle name="Total 2 6 2 3 6 4 3" xfId="40927" xr:uid="{00000000-0005-0000-0000-0000DE910000}"/>
    <cellStyle name="Total 2 6 2 3 6 4 4" xfId="19192" xr:uid="{00000000-0005-0000-0000-0000DF910000}"/>
    <cellStyle name="Total 2 6 2 3 6 5" xfId="21906" xr:uid="{00000000-0005-0000-0000-0000E0910000}"/>
    <cellStyle name="Total 2 6 2 3 6 6" xfId="32751" xr:uid="{00000000-0005-0000-0000-0000E1910000}"/>
    <cellStyle name="Total 2 6 2 3 6 7" xfId="13338" xr:uid="{00000000-0005-0000-0000-0000E2910000}"/>
    <cellStyle name="Total 2 6 2 3 7" xfId="3618" xr:uid="{00000000-0005-0000-0000-0000E3910000}"/>
    <cellStyle name="Total 2 6 2 3 7 2" xfId="22590" xr:uid="{00000000-0005-0000-0000-0000E4910000}"/>
    <cellStyle name="Total 2 6 2 3 7 3" xfId="33435" xr:uid="{00000000-0005-0000-0000-0000E5910000}"/>
    <cellStyle name="Total 2 6 2 3 7 4" xfId="13819" xr:uid="{00000000-0005-0000-0000-0000E6910000}"/>
    <cellStyle name="Total 2 6 2 3 8" xfId="6293" xr:uid="{00000000-0005-0000-0000-0000E7910000}"/>
    <cellStyle name="Total 2 6 2 3 8 2" xfId="25265" xr:uid="{00000000-0005-0000-0000-0000E8910000}"/>
    <cellStyle name="Total 2 6 2 3 8 3" xfId="36110" xr:uid="{00000000-0005-0000-0000-0000E9910000}"/>
    <cellStyle name="Total 2 6 2 3 8 4" xfId="15735" xr:uid="{00000000-0005-0000-0000-0000EA910000}"/>
    <cellStyle name="Total 2 6 2 3 9" xfId="8952" xr:uid="{00000000-0005-0000-0000-0000EB910000}"/>
    <cellStyle name="Total 2 6 2 3 9 2" xfId="27924" xr:uid="{00000000-0005-0000-0000-0000EC910000}"/>
    <cellStyle name="Total 2 6 2 3 9 3" xfId="38769" xr:uid="{00000000-0005-0000-0000-0000ED910000}"/>
    <cellStyle name="Total 2 6 2 3 9 4" xfId="17639" xr:uid="{00000000-0005-0000-0000-0000EE910000}"/>
    <cellStyle name="Total 2 6 2 4" xfId="823" xr:uid="{00000000-0005-0000-0000-0000EF910000}"/>
    <cellStyle name="Total 2 6 2 4 10" xfId="19808" xr:uid="{00000000-0005-0000-0000-0000F0910000}"/>
    <cellStyle name="Total 2 6 2 4 11" xfId="30653" xr:uid="{00000000-0005-0000-0000-0000F1910000}"/>
    <cellStyle name="Total 2 6 2 4 12" xfId="11825" xr:uid="{00000000-0005-0000-0000-0000F2910000}"/>
    <cellStyle name="Total 2 6 2 4 2" xfId="1410" xr:uid="{00000000-0005-0000-0000-0000F3910000}"/>
    <cellStyle name="Total 2 6 2 4 2 2" xfId="4263" xr:uid="{00000000-0005-0000-0000-0000F4910000}"/>
    <cellStyle name="Total 2 6 2 4 2 2 2" xfId="23235" xr:uid="{00000000-0005-0000-0000-0000F5910000}"/>
    <cellStyle name="Total 2 6 2 4 2 2 3" xfId="34080" xr:uid="{00000000-0005-0000-0000-0000F6910000}"/>
    <cellStyle name="Total 2 6 2 4 2 2 4" xfId="14286" xr:uid="{00000000-0005-0000-0000-0000F7910000}"/>
    <cellStyle name="Total 2 6 2 4 2 3" xfId="6936" xr:uid="{00000000-0005-0000-0000-0000F8910000}"/>
    <cellStyle name="Total 2 6 2 4 2 3 2" xfId="25908" xr:uid="{00000000-0005-0000-0000-0000F9910000}"/>
    <cellStyle name="Total 2 6 2 4 2 3 3" xfId="36753" xr:uid="{00000000-0005-0000-0000-0000FA910000}"/>
    <cellStyle name="Total 2 6 2 4 2 3 4" xfId="16201" xr:uid="{00000000-0005-0000-0000-0000FB910000}"/>
    <cellStyle name="Total 2 6 2 4 2 4" xfId="9595" xr:uid="{00000000-0005-0000-0000-0000FC910000}"/>
    <cellStyle name="Total 2 6 2 4 2 4 2" xfId="28567" xr:uid="{00000000-0005-0000-0000-0000FD910000}"/>
    <cellStyle name="Total 2 6 2 4 2 4 3" xfId="39412" xr:uid="{00000000-0005-0000-0000-0000FE910000}"/>
    <cellStyle name="Total 2 6 2 4 2 4 4" xfId="18105" xr:uid="{00000000-0005-0000-0000-0000FF910000}"/>
    <cellStyle name="Total 2 6 2 4 2 5" xfId="20391" xr:uid="{00000000-0005-0000-0000-000000920000}"/>
    <cellStyle name="Total 2 6 2 4 2 6" xfId="31236" xr:uid="{00000000-0005-0000-0000-000001920000}"/>
    <cellStyle name="Total 2 6 2 4 2 7" xfId="12251" xr:uid="{00000000-0005-0000-0000-000002920000}"/>
    <cellStyle name="Total 2 6 2 4 3" xfId="1809" xr:uid="{00000000-0005-0000-0000-000003920000}"/>
    <cellStyle name="Total 2 6 2 4 3 2" xfId="4662" xr:uid="{00000000-0005-0000-0000-000004920000}"/>
    <cellStyle name="Total 2 6 2 4 3 2 2" xfId="23634" xr:uid="{00000000-0005-0000-0000-000005920000}"/>
    <cellStyle name="Total 2 6 2 4 3 2 3" xfId="34479" xr:uid="{00000000-0005-0000-0000-000006920000}"/>
    <cellStyle name="Total 2 6 2 4 3 2 4" xfId="14573" xr:uid="{00000000-0005-0000-0000-000007920000}"/>
    <cellStyle name="Total 2 6 2 4 3 3" xfId="7334" xr:uid="{00000000-0005-0000-0000-000008920000}"/>
    <cellStyle name="Total 2 6 2 4 3 3 2" xfId="26306" xr:uid="{00000000-0005-0000-0000-000009920000}"/>
    <cellStyle name="Total 2 6 2 4 3 3 3" xfId="37151" xr:uid="{00000000-0005-0000-0000-00000A920000}"/>
    <cellStyle name="Total 2 6 2 4 3 3 4" xfId="16487" xr:uid="{00000000-0005-0000-0000-00000B920000}"/>
    <cellStyle name="Total 2 6 2 4 3 4" xfId="9993" xr:uid="{00000000-0005-0000-0000-00000C920000}"/>
    <cellStyle name="Total 2 6 2 4 3 4 2" xfId="28965" xr:uid="{00000000-0005-0000-0000-00000D920000}"/>
    <cellStyle name="Total 2 6 2 4 3 4 3" xfId="39810" xr:uid="{00000000-0005-0000-0000-00000E920000}"/>
    <cellStyle name="Total 2 6 2 4 3 4 4" xfId="18391" xr:uid="{00000000-0005-0000-0000-00000F920000}"/>
    <cellStyle name="Total 2 6 2 4 3 5" xfId="20789" xr:uid="{00000000-0005-0000-0000-000010920000}"/>
    <cellStyle name="Total 2 6 2 4 3 6" xfId="31634" xr:uid="{00000000-0005-0000-0000-000011920000}"/>
    <cellStyle name="Total 2 6 2 4 3 7" xfId="12537" xr:uid="{00000000-0005-0000-0000-000012920000}"/>
    <cellStyle name="Total 2 6 2 4 4" xfId="2213" xr:uid="{00000000-0005-0000-0000-000013920000}"/>
    <cellStyle name="Total 2 6 2 4 4 2" xfId="5066" xr:uid="{00000000-0005-0000-0000-000014920000}"/>
    <cellStyle name="Total 2 6 2 4 4 2 2" xfId="24038" xr:uid="{00000000-0005-0000-0000-000015920000}"/>
    <cellStyle name="Total 2 6 2 4 4 2 3" xfId="34883" xr:uid="{00000000-0005-0000-0000-000016920000}"/>
    <cellStyle name="Total 2 6 2 4 4 2 4" xfId="14860" xr:uid="{00000000-0005-0000-0000-000017920000}"/>
    <cellStyle name="Total 2 6 2 4 4 3" xfId="7737" xr:uid="{00000000-0005-0000-0000-000018920000}"/>
    <cellStyle name="Total 2 6 2 4 4 3 2" xfId="26709" xr:uid="{00000000-0005-0000-0000-000019920000}"/>
    <cellStyle name="Total 2 6 2 4 4 3 3" xfId="37554" xr:uid="{00000000-0005-0000-0000-00001A920000}"/>
    <cellStyle name="Total 2 6 2 4 4 3 4" xfId="16773" xr:uid="{00000000-0005-0000-0000-00001B920000}"/>
    <cellStyle name="Total 2 6 2 4 4 4" xfId="10396" xr:uid="{00000000-0005-0000-0000-00001C920000}"/>
    <cellStyle name="Total 2 6 2 4 4 4 2" xfId="29368" xr:uid="{00000000-0005-0000-0000-00001D920000}"/>
    <cellStyle name="Total 2 6 2 4 4 4 3" xfId="40213" xr:uid="{00000000-0005-0000-0000-00001E920000}"/>
    <cellStyle name="Total 2 6 2 4 4 4 4" xfId="18677" xr:uid="{00000000-0005-0000-0000-00001F920000}"/>
    <cellStyle name="Total 2 6 2 4 4 5" xfId="21192" xr:uid="{00000000-0005-0000-0000-000020920000}"/>
    <cellStyle name="Total 2 6 2 4 4 6" xfId="32037" xr:uid="{00000000-0005-0000-0000-000021920000}"/>
    <cellStyle name="Total 2 6 2 4 4 7" xfId="12823" xr:uid="{00000000-0005-0000-0000-000022920000}"/>
    <cellStyle name="Total 2 6 2 4 5" xfId="2603" xr:uid="{00000000-0005-0000-0000-000023920000}"/>
    <cellStyle name="Total 2 6 2 4 5 2" xfId="5455" xr:uid="{00000000-0005-0000-0000-000024920000}"/>
    <cellStyle name="Total 2 6 2 4 5 2 2" xfId="24427" xr:uid="{00000000-0005-0000-0000-000025920000}"/>
    <cellStyle name="Total 2 6 2 4 5 2 3" xfId="35272" xr:uid="{00000000-0005-0000-0000-000026920000}"/>
    <cellStyle name="Total 2 6 2 4 5 2 4" xfId="15139" xr:uid="{00000000-0005-0000-0000-000027920000}"/>
    <cellStyle name="Total 2 6 2 4 5 3" xfId="8126" xr:uid="{00000000-0005-0000-0000-000028920000}"/>
    <cellStyle name="Total 2 6 2 4 5 3 2" xfId="27098" xr:uid="{00000000-0005-0000-0000-000029920000}"/>
    <cellStyle name="Total 2 6 2 4 5 3 3" xfId="37943" xr:uid="{00000000-0005-0000-0000-00002A920000}"/>
    <cellStyle name="Total 2 6 2 4 5 3 4" xfId="17052" xr:uid="{00000000-0005-0000-0000-00002B920000}"/>
    <cellStyle name="Total 2 6 2 4 5 4" xfId="10785" xr:uid="{00000000-0005-0000-0000-00002C920000}"/>
    <cellStyle name="Total 2 6 2 4 5 4 2" xfId="29757" xr:uid="{00000000-0005-0000-0000-00002D920000}"/>
    <cellStyle name="Total 2 6 2 4 5 4 3" xfId="40602" xr:uid="{00000000-0005-0000-0000-00002E920000}"/>
    <cellStyle name="Total 2 6 2 4 5 4 4" xfId="18956" xr:uid="{00000000-0005-0000-0000-00002F920000}"/>
    <cellStyle name="Total 2 6 2 4 5 5" xfId="21581" xr:uid="{00000000-0005-0000-0000-000030920000}"/>
    <cellStyle name="Total 2 6 2 4 5 6" xfId="32426" xr:uid="{00000000-0005-0000-0000-000031920000}"/>
    <cellStyle name="Total 2 6 2 4 5 7" xfId="13102" xr:uid="{00000000-0005-0000-0000-000032920000}"/>
    <cellStyle name="Total 2 6 2 4 6" xfId="2989" xr:uid="{00000000-0005-0000-0000-000033920000}"/>
    <cellStyle name="Total 2 6 2 4 6 2" xfId="5840" xr:uid="{00000000-0005-0000-0000-000034920000}"/>
    <cellStyle name="Total 2 6 2 4 6 2 2" xfId="24812" xr:uid="{00000000-0005-0000-0000-000035920000}"/>
    <cellStyle name="Total 2 6 2 4 6 2 3" xfId="35657" xr:uid="{00000000-0005-0000-0000-000036920000}"/>
    <cellStyle name="Total 2 6 2 4 6 2 4" xfId="15415" xr:uid="{00000000-0005-0000-0000-000037920000}"/>
    <cellStyle name="Total 2 6 2 4 6 3" xfId="8511" xr:uid="{00000000-0005-0000-0000-000038920000}"/>
    <cellStyle name="Total 2 6 2 4 6 3 2" xfId="27483" xr:uid="{00000000-0005-0000-0000-000039920000}"/>
    <cellStyle name="Total 2 6 2 4 6 3 3" xfId="38328" xr:uid="{00000000-0005-0000-0000-00003A920000}"/>
    <cellStyle name="Total 2 6 2 4 6 3 4" xfId="17328" xr:uid="{00000000-0005-0000-0000-00003B920000}"/>
    <cellStyle name="Total 2 6 2 4 6 4" xfId="11170" xr:uid="{00000000-0005-0000-0000-00003C920000}"/>
    <cellStyle name="Total 2 6 2 4 6 4 2" xfId="30142" xr:uid="{00000000-0005-0000-0000-00003D920000}"/>
    <cellStyle name="Total 2 6 2 4 6 4 3" xfId="40987" xr:uid="{00000000-0005-0000-0000-00003E920000}"/>
    <cellStyle name="Total 2 6 2 4 6 4 4" xfId="19232" xr:uid="{00000000-0005-0000-0000-00003F920000}"/>
    <cellStyle name="Total 2 6 2 4 6 5" xfId="21966" xr:uid="{00000000-0005-0000-0000-000040920000}"/>
    <cellStyle name="Total 2 6 2 4 6 6" xfId="32811" xr:uid="{00000000-0005-0000-0000-000041920000}"/>
    <cellStyle name="Total 2 6 2 4 6 7" xfId="13378" xr:uid="{00000000-0005-0000-0000-000042920000}"/>
    <cellStyle name="Total 2 6 2 4 7" xfId="3678" xr:uid="{00000000-0005-0000-0000-000043920000}"/>
    <cellStyle name="Total 2 6 2 4 7 2" xfId="22650" xr:uid="{00000000-0005-0000-0000-000044920000}"/>
    <cellStyle name="Total 2 6 2 4 7 3" xfId="33495" xr:uid="{00000000-0005-0000-0000-000045920000}"/>
    <cellStyle name="Total 2 6 2 4 7 4" xfId="13859" xr:uid="{00000000-0005-0000-0000-000046920000}"/>
    <cellStyle name="Total 2 6 2 4 8" xfId="6353" xr:uid="{00000000-0005-0000-0000-000047920000}"/>
    <cellStyle name="Total 2 6 2 4 8 2" xfId="25325" xr:uid="{00000000-0005-0000-0000-000048920000}"/>
    <cellStyle name="Total 2 6 2 4 8 3" xfId="36170" xr:uid="{00000000-0005-0000-0000-000049920000}"/>
    <cellStyle name="Total 2 6 2 4 8 4" xfId="15775" xr:uid="{00000000-0005-0000-0000-00004A920000}"/>
    <cellStyle name="Total 2 6 2 4 9" xfId="9012" xr:uid="{00000000-0005-0000-0000-00004B920000}"/>
    <cellStyle name="Total 2 6 2 4 9 2" xfId="27984" xr:uid="{00000000-0005-0000-0000-00004C920000}"/>
    <cellStyle name="Total 2 6 2 4 9 3" xfId="38829" xr:uid="{00000000-0005-0000-0000-00004D920000}"/>
    <cellStyle name="Total 2 6 2 4 9 4" xfId="17679" xr:uid="{00000000-0005-0000-0000-00004E920000}"/>
    <cellStyle name="Total 2 6 2 5" xfId="882" xr:uid="{00000000-0005-0000-0000-00004F920000}"/>
    <cellStyle name="Total 2 6 2 5 10" xfId="19867" xr:uid="{00000000-0005-0000-0000-000050920000}"/>
    <cellStyle name="Total 2 6 2 5 11" xfId="30712" xr:uid="{00000000-0005-0000-0000-000051920000}"/>
    <cellStyle name="Total 2 6 2 5 12" xfId="11864" xr:uid="{00000000-0005-0000-0000-000052920000}"/>
    <cellStyle name="Total 2 6 2 5 2" xfId="1469" xr:uid="{00000000-0005-0000-0000-000053920000}"/>
    <cellStyle name="Total 2 6 2 5 2 2" xfId="4322" xr:uid="{00000000-0005-0000-0000-000054920000}"/>
    <cellStyle name="Total 2 6 2 5 2 2 2" xfId="23294" xr:uid="{00000000-0005-0000-0000-000055920000}"/>
    <cellStyle name="Total 2 6 2 5 2 2 3" xfId="34139" xr:uid="{00000000-0005-0000-0000-000056920000}"/>
    <cellStyle name="Total 2 6 2 5 2 2 4" xfId="14325" xr:uid="{00000000-0005-0000-0000-000057920000}"/>
    <cellStyle name="Total 2 6 2 5 2 3" xfId="6995" xr:uid="{00000000-0005-0000-0000-000058920000}"/>
    <cellStyle name="Total 2 6 2 5 2 3 2" xfId="25967" xr:uid="{00000000-0005-0000-0000-000059920000}"/>
    <cellStyle name="Total 2 6 2 5 2 3 3" xfId="36812" xr:uid="{00000000-0005-0000-0000-00005A920000}"/>
    <cellStyle name="Total 2 6 2 5 2 3 4" xfId="16240" xr:uid="{00000000-0005-0000-0000-00005B920000}"/>
    <cellStyle name="Total 2 6 2 5 2 4" xfId="9654" xr:uid="{00000000-0005-0000-0000-00005C920000}"/>
    <cellStyle name="Total 2 6 2 5 2 4 2" xfId="28626" xr:uid="{00000000-0005-0000-0000-00005D920000}"/>
    <cellStyle name="Total 2 6 2 5 2 4 3" xfId="39471" xr:uid="{00000000-0005-0000-0000-00005E920000}"/>
    <cellStyle name="Total 2 6 2 5 2 4 4" xfId="18144" xr:uid="{00000000-0005-0000-0000-00005F920000}"/>
    <cellStyle name="Total 2 6 2 5 2 5" xfId="20450" xr:uid="{00000000-0005-0000-0000-000060920000}"/>
    <cellStyle name="Total 2 6 2 5 2 6" xfId="31295" xr:uid="{00000000-0005-0000-0000-000061920000}"/>
    <cellStyle name="Total 2 6 2 5 2 7" xfId="12290" xr:uid="{00000000-0005-0000-0000-000062920000}"/>
    <cellStyle name="Total 2 6 2 5 3" xfId="1868" xr:uid="{00000000-0005-0000-0000-000063920000}"/>
    <cellStyle name="Total 2 6 2 5 3 2" xfId="4721" xr:uid="{00000000-0005-0000-0000-000064920000}"/>
    <cellStyle name="Total 2 6 2 5 3 2 2" xfId="23693" xr:uid="{00000000-0005-0000-0000-000065920000}"/>
    <cellStyle name="Total 2 6 2 5 3 2 3" xfId="34538" xr:uid="{00000000-0005-0000-0000-000066920000}"/>
    <cellStyle name="Total 2 6 2 5 3 2 4" xfId="14612" xr:uid="{00000000-0005-0000-0000-000067920000}"/>
    <cellStyle name="Total 2 6 2 5 3 3" xfId="7393" xr:uid="{00000000-0005-0000-0000-000068920000}"/>
    <cellStyle name="Total 2 6 2 5 3 3 2" xfId="26365" xr:uid="{00000000-0005-0000-0000-000069920000}"/>
    <cellStyle name="Total 2 6 2 5 3 3 3" xfId="37210" xr:uid="{00000000-0005-0000-0000-00006A920000}"/>
    <cellStyle name="Total 2 6 2 5 3 3 4" xfId="16526" xr:uid="{00000000-0005-0000-0000-00006B920000}"/>
    <cellStyle name="Total 2 6 2 5 3 4" xfId="10052" xr:uid="{00000000-0005-0000-0000-00006C920000}"/>
    <cellStyle name="Total 2 6 2 5 3 4 2" xfId="29024" xr:uid="{00000000-0005-0000-0000-00006D920000}"/>
    <cellStyle name="Total 2 6 2 5 3 4 3" xfId="39869" xr:uid="{00000000-0005-0000-0000-00006E920000}"/>
    <cellStyle name="Total 2 6 2 5 3 4 4" xfId="18430" xr:uid="{00000000-0005-0000-0000-00006F920000}"/>
    <cellStyle name="Total 2 6 2 5 3 5" xfId="20848" xr:uid="{00000000-0005-0000-0000-000070920000}"/>
    <cellStyle name="Total 2 6 2 5 3 6" xfId="31693" xr:uid="{00000000-0005-0000-0000-000071920000}"/>
    <cellStyle name="Total 2 6 2 5 3 7" xfId="12576" xr:uid="{00000000-0005-0000-0000-000072920000}"/>
    <cellStyle name="Total 2 6 2 5 4" xfId="2272" xr:uid="{00000000-0005-0000-0000-000073920000}"/>
    <cellStyle name="Total 2 6 2 5 4 2" xfId="5125" xr:uid="{00000000-0005-0000-0000-000074920000}"/>
    <cellStyle name="Total 2 6 2 5 4 2 2" xfId="24097" xr:uid="{00000000-0005-0000-0000-000075920000}"/>
    <cellStyle name="Total 2 6 2 5 4 2 3" xfId="34942" xr:uid="{00000000-0005-0000-0000-000076920000}"/>
    <cellStyle name="Total 2 6 2 5 4 2 4" xfId="14899" xr:uid="{00000000-0005-0000-0000-000077920000}"/>
    <cellStyle name="Total 2 6 2 5 4 3" xfId="7796" xr:uid="{00000000-0005-0000-0000-000078920000}"/>
    <cellStyle name="Total 2 6 2 5 4 3 2" xfId="26768" xr:uid="{00000000-0005-0000-0000-000079920000}"/>
    <cellStyle name="Total 2 6 2 5 4 3 3" xfId="37613" xr:uid="{00000000-0005-0000-0000-00007A920000}"/>
    <cellStyle name="Total 2 6 2 5 4 3 4" xfId="16812" xr:uid="{00000000-0005-0000-0000-00007B920000}"/>
    <cellStyle name="Total 2 6 2 5 4 4" xfId="10455" xr:uid="{00000000-0005-0000-0000-00007C920000}"/>
    <cellStyle name="Total 2 6 2 5 4 4 2" xfId="29427" xr:uid="{00000000-0005-0000-0000-00007D920000}"/>
    <cellStyle name="Total 2 6 2 5 4 4 3" xfId="40272" xr:uid="{00000000-0005-0000-0000-00007E920000}"/>
    <cellStyle name="Total 2 6 2 5 4 4 4" xfId="18716" xr:uid="{00000000-0005-0000-0000-00007F920000}"/>
    <cellStyle name="Total 2 6 2 5 4 5" xfId="21251" xr:uid="{00000000-0005-0000-0000-000080920000}"/>
    <cellStyle name="Total 2 6 2 5 4 6" xfId="32096" xr:uid="{00000000-0005-0000-0000-000081920000}"/>
    <cellStyle name="Total 2 6 2 5 4 7" xfId="12862" xr:uid="{00000000-0005-0000-0000-000082920000}"/>
    <cellStyle name="Total 2 6 2 5 5" xfId="2662" xr:uid="{00000000-0005-0000-0000-000083920000}"/>
    <cellStyle name="Total 2 6 2 5 5 2" xfId="5514" xr:uid="{00000000-0005-0000-0000-000084920000}"/>
    <cellStyle name="Total 2 6 2 5 5 2 2" xfId="24486" xr:uid="{00000000-0005-0000-0000-000085920000}"/>
    <cellStyle name="Total 2 6 2 5 5 2 3" xfId="35331" xr:uid="{00000000-0005-0000-0000-000086920000}"/>
    <cellStyle name="Total 2 6 2 5 5 2 4" xfId="15178" xr:uid="{00000000-0005-0000-0000-000087920000}"/>
    <cellStyle name="Total 2 6 2 5 5 3" xfId="8185" xr:uid="{00000000-0005-0000-0000-000088920000}"/>
    <cellStyle name="Total 2 6 2 5 5 3 2" xfId="27157" xr:uid="{00000000-0005-0000-0000-000089920000}"/>
    <cellStyle name="Total 2 6 2 5 5 3 3" xfId="38002" xr:uid="{00000000-0005-0000-0000-00008A920000}"/>
    <cellStyle name="Total 2 6 2 5 5 3 4" xfId="17091" xr:uid="{00000000-0005-0000-0000-00008B920000}"/>
    <cellStyle name="Total 2 6 2 5 5 4" xfId="10844" xr:uid="{00000000-0005-0000-0000-00008C920000}"/>
    <cellStyle name="Total 2 6 2 5 5 4 2" xfId="29816" xr:uid="{00000000-0005-0000-0000-00008D920000}"/>
    <cellStyle name="Total 2 6 2 5 5 4 3" xfId="40661" xr:uid="{00000000-0005-0000-0000-00008E920000}"/>
    <cellStyle name="Total 2 6 2 5 5 4 4" xfId="18995" xr:uid="{00000000-0005-0000-0000-00008F920000}"/>
    <cellStyle name="Total 2 6 2 5 5 5" xfId="21640" xr:uid="{00000000-0005-0000-0000-000090920000}"/>
    <cellStyle name="Total 2 6 2 5 5 6" xfId="32485" xr:uid="{00000000-0005-0000-0000-000091920000}"/>
    <cellStyle name="Total 2 6 2 5 5 7" xfId="13141" xr:uid="{00000000-0005-0000-0000-000092920000}"/>
    <cellStyle name="Total 2 6 2 5 6" xfId="3048" xr:uid="{00000000-0005-0000-0000-000093920000}"/>
    <cellStyle name="Total 2 6 2 5 6 2" xfId="5899" xr:uid="{00000000-0005-0000-0000-000094920000}"/>
    <cellStyle name="Total 2 6 2 5 6 2 2" xfId="24871" xr:uid="{00000000-0005-0000-0000-000095920000}"/>
    <cellStyle name="Total 2 6 2 5 6 2 3" xfId="35716" xr:uid="{00000000-0005-0000-0000-000096920000}"/>
    <cellStyle name="Total 2 6 2 5 6 2 4" xfId="15454" xr:uid="{00000000-0005-0000-0000-000097920000}"/>
    <cellStyle name="Total 2 6 2 5 6 3" xfId="8570" xr:uid="{00000000-0005-0000-0000-000098920000}"/>
    <cellStyle name="Total 2 6 2 5 6 3 2" xfId="27542" xr:uid="{00000000-0005-0000-0000-000099920000}"/>
    <cellStyle name="Total 2 6 2 5 6 3 3" xfId="38387" xr:uid="{00000000-0005-0000-0000-00009A920000}"/>
    <cellStyle name="Total 2 6 2 5 6 3 4" xfId="17367" xr:uid="{00000000-0005-0000-0000-00009B920000}"/>
    <cellStyle name="Total 2 6 2 5 6 4" xfId="11229" xr:uid="{00000000-0005-0000-0000-00009C920000}"/>
    <cellStyle name="Total 2 6 2 5 6 4 2" xfId="30201" xr:uid="{00000000-0005-0000-0000-00009D920000}"/>
    <cellStyle name="Total 2 6 2 5 6 4 3" xfId="41046" xr:uid="{00000000-0005-0000-0000-00009E920000}"/>
    <cellStyle name="Total 2 6 2 5 6 4 4" xfId="19271" xr:uid="{00000000-0005-0000-0000-00009F920000}"/>
    <cellStyle name="Total 2 6 2 5 6 5" xfId="22025" xr:uid="{00000000-0005-0000-0000-0000A0920000}"/>
    <cellStyle name="Total 2 6 2 5 6 6" xfId="32870" xr:uid="{00000000-0005-0000-0000-0000A1920000}"/>
    <cellStyle name="Total 2 6 2 5 6 7" xfId="13417" xr:uid="{00000000-0005-0000-0000-0000A2920000}"/>
    <cellStyle name="Total 2 6 2 5 7" xfId="3737" xr:uid="{00000000-0005-0000-0000-0000A3920000}"/>
    <cellStyle name="Total 2 6 2 5 7 2" xfId="22709" xr:uid="{00000000-0005-0000-0000-0000A4920000}"/>
    <cellStyle name="Total 2 6 2 5 7 3" xfId="33554" xr:uid="{00000000-0005-0000-0000-0000A5920000}"/>
    <cellStyle name="Total 2 6 2 5 7 4" xfId="13898" xr:uid="{00000000-0005-0000-0000-0000A6920000}"/>
    <cellStyle name="Total 2 6 2 5 8" xfId="6412" xr:uid="{00000000-0005-0000-0000-0000A7920000}"/>
    <cellStyle name="Total 2 6 2 5 8 2" xfId="25384" xr:uid="{00000000-0005-0000-0000-0000A8920000}"/>
    <cellStyle name="Total 2 6 2 5 8 3" xfId="36229" xr:uid="{00000000-0005-0000-0000-0000A9920000}"/>
    <cellStyle name="Total 2 6 2 5 8 4" xfId="15814" xr:uid="{00000000-0005-0000-0000-0000AA920000}"/>
    <cellStyle name="Total 2 6 2 5 9" xfId="9071" xr:uid="{00000000-0005-0000-0000-0000AB920000}"/>
    <cellStyle name="Total 2 6 2 5 9 2" xfId="28043" xr:uid="{00000000-0005-0000-0000-0000AC920000}"/>
    <cellStyle name="Total 2 6 2 5 9 3" xfId="38888" xr:uid="{00000000-0005-0000-0000-0000AD920000}"/>
    <cellStyle name="Total 2 6 2 5 9 4" xfId="17718" xr:uid="{00000000-0005-0000-0000-0000AE920000}"/>
    <cellStyle name="Total 2 6 2 6" xfId="1104" xr:uid="{00000000-0005-0000-0000-0000AF920000}"/>
    <cellStyle name="Total 2 6 2 6 2" xfId="3957" xr:uid="{00000000-0005-0000-0000-0000B0920000}"/>
    <cellStyle name="Total 2 6 2 6 2 2" xfId="22929" xr:uid="{00000000-0005-0000-0000-0000B1920000}"/>
    <cellStyle name="Total 2 6 2 6 2 3" xfId="33774" xr:uid="{00000000-0005-0000-0000-0000B2920000}"/>
    <cellStyle name="Total 2 6 2 6 2 4" xfId="14060" xr:uid="{00000000-0005-0000-0000-0000B3920000}"/>
    <cellStyle name="Total 2 6 2 6 3" xfId="6631" xr:uid="{00000000-0005-0000-0000-0000B4920000}"/>
    <cellStyle name="Total 2 6 2 6 3 2" xfId="25603" xr:uid="{00000000-0005-0000-0000-0000B5920000}"/>
    <cellStyle name="Total 2 6 2 6 3 3" xfId="36448" xr:uid="{00000000-0005-0000-0000-0000B6920000}"/>
    <cellStyle name="Total 2 6 2 6 3 4" xfId="15976" xr:uid="{00000000-0005-0000-0000-0000B7920000}"/>
    <cellStyle name="Total 2 6 2 6 4" xfId="9290" xr:uid="{00000000-0005-0000-0000-0000B8920000}"/>
    <cellStyle name="Total 2 6 2 6 4 2" xfId="28262" xr:uid="{00000000-0005-0000-0000-0000B9920000}"/>
    <cellStyle name="Total 2 6 2 6 4 3" xfId="39107" xr:uid="{00000000-0005-0000-0000-0000BA920000}"/>
    <cellStyle name="Total 2 6 2 6 4 4" xfId="17880" xr:uid="{00000000-0005-0000-0000-0000BB920000}"/>
    <cellStyle name="Total 2 6 2 6 5" xfId="20086" xr:uid="{00000000-0005-0000-0000-0000BC920000}"/>
    <cellStyle name="Total 2 6 2 6 6" xfId="30931" xr:uid="{00000000-0005-0000-0000-0000BD920000}"/>
    <cellStyle name="Total 2 6 2 6 7" xfId="12026" xr:uid="{00000000-0005-0000-0000-0000BE920000}"/>
    <cellStyle name="Total 2 6 2 7" xfId="1504" xr:uid="{00000000-0005-0000-0000-0000BF920000}"/>
    <cellStyle name="Total 2 6 2 7 2" xfId="4357" xr:uid="{00000000-0005-0000-0000-0000C0920000}"/>
    <cellStyle name="Total 2 6 2 7 2 2" xfId="23329" xr:uid="{00000000-0005-0000-0000-0000C1920000}"/>
    <cellStyle name="Total 2 6 2 7 2 3" xfId="34174" xr:uid="{00000000-0005-0000-0000-0000C2920000}"/>
    <cellStyle name="Total 2 6 2 7 2 4" xfId="14350" xr:uid="{00000000-0005-0000-0000-0000C3920000}"/>
    <cellStyle name="Total 2 6 2 7 3" xfId="7030" xr:uid="{00000000-0005-0000-0000-0000C4920000}"/>
    <cellStyle name="Total 2 6 2 7 3 2" xfId="26002" xr:uid="{00000000-0005-0000-0000-0000C5920000}"/>
    <cellStyle name="Total 2 6 2 7 3 3" xfId="36847" xr:uid="{00000000-0005-0000-0000-0000C6920000}"/>
    <cellStyle name="Total 2 6 2 7 3 4" xfId="16265" xr:uid="{00000000-0005-0000-0000-0000C7920000}"/>
    <cellStyle name="Total 2 6 2 7 4" xfId="9689" xr:uid="{00000000-0005-0000-0000-0000C8920000}"/>
    <cellStyle name="Total 2 6 2 7 4 2" xfId="28661" xr:uid="{00000000-0005-0000-0000-0000C9920000}"/>
    <cellStyle name="Total 2 6 2 7 4 3" xfId="39506" xr:uid="{00000000-0005-0000-0000-0000CA920000}"/>
    <cellStyle name="Total 2 6 2 7 4 4" xfId="18169" xr:uid="{00000000-0005-0000-0000-0000CB920000}"/>
    <cellStyle name="Total 2 6 2 7 5" xfId="20485" xr:uid="{00000000-0005-0000-0000-0000CC920000}"/>
    <cellStyle name="Total 2 6 2 7 6" xfId="31330" xr:uid="{00000000-0005-0000-0000-0000CD920000}"/>
    <cellStyle name="Total 2 6 2 7 7" xfId="12315" xr:uid="{00000000-0005-0000-0000-0000CE920000}"/>
    <cellStyle name="Total 2 6 2 8" xfId="1912" xr:uid="{00000000-0005-0000-0000-0000CF920000}"/>
    <cellStyle name="Total 2 6 2 8 2" xfId="4765" xr:uid="{00000000-0005-0000-0000-0000D0920000}"/>
    <cellStyle name="Total 2 6 2 8 2 2" xfId="23737" xr:uid="{00000000-0005-0000-0000-0000D1920000}"/>
    <cellStyle name="Total 2 6 2 8 2 3" xfId="34582" xr:uid="{00000000-0005-0000-0000-0000D2920000}"/>
    <cellStyle name="Total 2 6 2 8 2 4" xfId="14641" xr:uid="{00000000-0005-0000-0000-0000D3920000}"/>
    <cellStyle name="Total 2 6 2 8 3" xfId="7437" xr:uid="{00000000-0005-0000-0000-0000D4920000}"/>
    <cellStyle name="Total 2 6 2 8 3 2" xfId="26409" xr:uid="{00000000-0005-0000-0000-0000D5920000}"/>
    <cellStyle name="Total 2 6 2 8 3 3" xfId="37254" xr:uid="{00000000-0005-0000-0000-0000D6920000}"/>
    <cellStyle name="Total 2 6 2 8 3 4" xfId="16555" xr:uid="{00000000-0005-0000-0000-0000D7920000}"/>
    <cellStyle name="Total 2 6 2 8 4" xfId="10096" xr:uid="{00000000-0005-0000-0000-0000D8920000}"/>
    <cellStyle name="Total 2 6 2 8 4 2" xfId="29068" xr:uid="{00000000-0005-0000-0000-0000D9920000}"/>
    <cellStyle name="Total 2 6 2 8 4 3" xfId="39913" xr:uid="{00000000-0005-0000-0000-0000DA920000}"/>
    <cellStyle name="Total 2 6 2 8 4 4" xfId="18459" xr:uid="{00000000-0005-0000-0000-0000DB920000}"/>
    <cellStyle name="Total 2 6 2 8 5" xfId="20892" xr:uid="{00000000-0005-0000-0000-0000DC920000}"/>
    <cellStyle name="Total 2 6 2 8 6" xfId="31737" xr:uid="{00000000-0005-0000-0000-0000DD920000}"/>
    <cellStyle name="Total 2 6 2 8 7" xfId="12605" xr:uid="{00000000-0005-0000-0000-0000DE920000}"/>
    <cellStyle name="Total 2 6 2 9" xfId="2306" xr:uid="{00000000-0005-0000-0000-0000DF920000}"/>
    <cellStyle name="Total 2 6 2 9 2" xfId="5159" xr:uid="{00000000-0005-0000-0000-0000E0920000}"/>
    <cellStyle name="Total 2 6 2 9 2 2" xfId="24131" xr:uid="{00000000-0005-0000-0000-0000E1920000}"/>
    <cellStyle name="Total 2 6 2 9 2 3" xfId="34976" xr:uid="{00000000-0005-0000-0000-0000E2920000}"/>
    <cellStyle name="Total 2 6 2 9 2 4" xfId="14923" xr:uid="{00000000-0005-0000-0000-0000E3920000}"/>
    <cellStyle name="Total 2 6 2 9 3" xfId="7830" xr:uid="{00000000-0005-0000-0000-0000E4920000}"/>
    <cellStyle name="Total 2 6 2 9 3 2" xfId="26802" xr:uid="{00000000-0005-0000-0000-0000E5920000}"/>
    <cellStyle name="Total 2 6 2 9 3 3" xfId="37647" xr:uid="{00000000-0005-0000-0000-0000E6920000}"/>
    <cellStyle name="Total 2 6 2 9 3 4" xfId="16836" xr:uid="{00000000-0005-0000-0000-0000E7920000}"/>
    <cellStyle name="Total 2 6 2 9 4" xfId="10489" xr:uid="{00000000-0005-0000-0000-0000E8920000}"/>
    <cellStyle name="Total 2 6 2 9 4 2" xfId="29461" xr:uid="{00000000-0005-0000-0000-0000E9920000}"/>
    <cellStyle name="Total 2 6 2 9 4 3" xfId="40306" xr:uid="{00000000-0005-0000-0000-0000EA920000}"/>
    <cellStyle name="Total 2 6 2 9 4 4" xfId="18740" xr:uid="{00000000-0005-0000-0000-0000EB920000}"/>
    <cellStyle name="Total 2 6 2 9 5" xfId="21285" xr:uid="{00000000-0005-0000-0000-0000EC920000}"/>
    <cellStyle name="Total 2 6 2 9 6" xfId="32130" xr:uid="{00000000-0005-0000-0000-0000ED920000}"/>
    <cellStyle name="Total 2 6 2 9 7" xfId="12886" xr:uid="{00000000-0005-0000-0000-0000EE920000}"/>
    <cellStyle name="Total 2 6 3" xfId="586" xr:uid="{00000000-0005-0000-0000-0000EF920000}"/>
    <cellStyle name="Total 2 6 3 10" xfId="19596" xr:uid="{00000000-0005-0000-0000-0000F0920000}"/>
    <cellStyle name="Total 2 6 3 11" xfId="30441" xr:uid="{00000000-0005-0000-0000-0000F1920000}"/>
    <cellStyle name="Total 2 6 3 12" xfId="11650" xr:uid="{00000000-0005-0000-0000-0000F2920000}"/>
    <cellStyle name="Total 2 6 3 2" xfId="1192" xr:uid="{00000000-0005-0000-0000-0000F3920000}"/>
    <cellStyle name="Total 2 6 3 2 2" xfId="4045" xr:uid="{00000000-0005-0000-0000-0000F4920000}"/>
    <cellStyle name="Total 2 6 3 2 2 2" xfId="23017" xr:uid="{00000000-0005-0000-0000-0000F5920000}"/>
    <cellStyle name="Total 2 6 3 2 2 3" xfId="33862" xr:uid="{00000000-0005-0000-0000-0000F6920000}"/>
    <cellStyle name="Total 2 6 3 2 2 4" xfId="14127" xr:uid="{00000000-0005-0000-0000-0000F7920000}"/>
    <cellStyle name="Total 2 6 3 2 3" xfId="6718" xr:uid="{00000000-0005-0000-0000-0000F8920000}"/>
    <cellStyle name="Total 2 6 3 2 3 2" xfId="25690" xr:uid="{00000000-0005-0000-0000-0000F9920000}"/>
    <cellStyle name="Total 2 6 3 2 3 3" xfId="36535" xr:uid="{00000000-0005-0000-0000-0000FA920000}"/>
    <cellStyle name="Total 2 6 3 2 3 4" xfId="16042" xr:uid="{00000000-0005-0000-0000-0000FB920000}"/>
    <cellStyle name="Total 2 6 3 2 4" xfId="9377" xr:uid="{00000000-0005-0000-0000-0000FC920000}"/>
    <cellStyle name="Total 2 6 3 2 4 2" xfId="28349" xr:uid="{00000000-0005-0000-0000-0000FD920000}"/>
    <cellStyle name="Total 2 6 3 2 4 3" xfId="39194" xr:uid="{00000000-0005-0000-0000-0000FE920000}"/>
    <cellStyle name="Total 2 6 3 2 4 4" xfId="17946" xr:uid="{00000000-0005-0000-0000-0000FF920000}"/>
    <cellStyle name="Total 2 6 3 2 5" xfId="20173" xr:uid="{00000000-0005-0000-0000-000000930000}"/>
    <cellStyle name="Total 2 6 3 2 6" xfId="31018" xr:uid="{00000000-0005-0000-0000-000001930000}"/>
    <cellStyle name="Total 2 6 3 2 7" xfId="12092" xr:uid="{00000000-0005-0000-0000-000002930000}"/>
    <cellStyle name="Total 2 6 3 3" xfId="1589" xr:uid="{00000000-0005-0000-0000-000003930000}"/>
    <cellStyle name="Total 2 6 3 3 2" xfId="4442" xr:uid="{00000000-0005-0000-0000-000004930000}"/>
    <cellStyle name="Total 2 6 3 3 2 2" xfId="23414" xr:uid="{00000000-0005-0000-0000-000005930000}"/>
    <cellStyle name="Total 2 6 3 3 2 3" xfId="34259" xr:uid="{00000000-0005-0000-0000-000006930000}"/>
    <cellStyle name="Total 2 6 3 3 2 4" xfId="14413" xr:uid="{00000000-0005-0000-0000-000007930000}"/>
    <cellStyle name="Total 2 6 3 3 3" xfId="7114" xr:uid="{00000000-0005-0000-0000-000008930000}"/>
    <cellStyle name="Total 2 6 3 3 3 2" xfId="26086" xr:uid="{00000000-0005-0000-0000-000009930000}"/>
    <cellStyle name="Total 2 6 3 3 3 3" xfId="36931" xr:uid="{00000000-0005-0000-0000-00000A930000}"/>
    <cellStyle name="Total 2 6 3 3 3 4" xfId="16327" xr:uid="{00000000-0005-0000-0000-00000B930000}"/>
    <cellStyle name="Total 2 6 3 3 4" xfId="9773" xr:uid="{00000000-0005-0000-0000-00000C930000}"/>
    <cellStyle name="Total 2 6 3 3 4 2" xfId="28745" xr:uid="{00000000-0005-0000-0000-00000D930000}"/>
    <cellStyle name="Total 2 6 3 3 4 3" xfId="39590" xr:uid="{00000000-0005-0000-0000-00000E930000}"/>
    <cellStyle name="Total 2 6 3 3 4 4" xfId="18231" xr:uid="{00000000-0005-0000-0000-00000F930000}"/>
    <cellStyle name="Total 2 6 3 3 5" xfId="20569" xr:uid="{00000000-0005-0000-0000-000010930000}"/>
    <cellStyle name="Total 2 6 3 3 6" xfId="31414" xr:uid="{00000000-0005-0000-0000-000011930000}"/>
    <cellStyle name="Total 2 6 3 3 7" xfId="12377" xr:uid="{00000000-0005-0000-0000-000012930000}"/>
    <cellStyle name="Total 2 6 3 4" xfId="1993" xr:uid="{00000000-0005-0000-0000-000013930000}"/>
    <cellStyle name="Total 2 6 3 4 2" xfId="4846" xr:uid="{00000000-0005-0000-0000-000014930000}"/>
    <cellStyle name="Total 2 6 3 4 2 2" xfId="23818" xr:uid="{00000000-0005-0000-0000-000015930000}"/>
    <cellStyle name="Total 2 6 3 4 2 3" xfId="34663" xr:uid="{00000000-0005-0000-0000-000016930000}"/>
    <cellStyle name="Total 2 6 3 4 2 4" xfId="14701" xr:uid="{00000000-0005-0000-0000-000017930000}"/>
    <cellStyle name="Total 2 6 3 4 3" xfId="7518" xr:uid="{00000000-0005-0000-0000-000018930000}"/>
    <cellStyle name="Total 2 6 3 4 3 2" xfId="26490" xr:uid="{00000000-0005-0000-0000-000019930000}"/>
    <cellStyle name="Total 2 6 3 4 3 3" xfId="37335" xr:uid="{00000000-0005-0000-0000-00001A930000}"/>
    <cellStyle name="Total 2 6 3 4 3 4" xfId="16615" xr:uid="{00000000-0005-0000-0000-00001B930000}"/>
    <cellStyle name="Total 2 6 3 4 4" xfId="10177" xr:uid="{00000000-0005-0000-0000-00001C930000}"/>
    <cellStyle name="Total 2 6 3 4 4 2" xfId="29149" xr:uid="{00000000-0005-0000-0000-00001D930000}"/>
    <cellStyle name="Total 2 6 3 4 4 3" xfId="39994" xr:uid="{00000000-0005-0000-0000-00001E930000}"/>
    <cellStyle name="Total 2 6 3 4 4 4" xfId="18519" xr:uid="{00000000-0005-0000-0000-00001F930000}"/>
    <cellStyle name="Total 2 6 3 4 5" xfId="20973" xr:uid="{00000000-0005-0000-0000-000020930000}"/>
    <cellStyle name="Total 2 6 3 4 6" xfId="31818" xr:uid="{00000000-0005-0000-0000-000021930000}"/>
    <cellStyle name="Total 2 6 3 4 7" xfId="12665" xr:uid="{00000000-0005-0000-0000-000022930000}"/>
    <cellStyle name="Total 2 6 3 5" xfId="2385" xr:uid="{00000000-0005-0000-0000-000023930000}"/>
    <cellStyle name="Total 2 6 3 5 2" xfId="5238" xr:uid="{00000000-0005-0000-0000-000024930000}"/>
    <cellStyle name="Total 2 6 3 5 2 2" xfId="24210" xr:uid="{00000000-0005-0000-0000-000025930000}"/>
    <cellStyle name="Total 2 6 3 5 2 3" xfId="35055" xr:uid="{00000000-0005-0000-0000-000026930000}"/>
    <cellStyle name="Total 2 6 3 5 2 4" xfId="14982" xr:uid="{00000000-0005-0000-0000-000027930000}"/>
    <cellStyle name="Total 2 6 3 5 3" xfId="7909" xr:uid="{00000000-0005-0000-0000-000028930000}"/>
    <cellStyle name="Total 2 6 3 5 3 2" xfId="26881" xr:uid="{00000000-0005-0000-0000-000029930000}"/>
    <cellStyle name="Total 2 6 3 5 3 3" xfId="37726" xr:uid="{00000000-0005-0000-0000-00002A930000}"/>
    <cellStyle name="Total 2 6 3 5 3 4" xfId="16895" xr:uid="{00000000-0005-0000-0000-00002B930000}"/>
    <cellStyle name="Total 2 6 3 5 4" xfId="10568" xr:uid="{00000000-0005-0000-0000-00002C930000}"/>
    <cellStyle name="Total 2 6 3 5 4 2" xfId="29540" xr:uid="{00000000-0005-0000-0000-00002D930000}"/>
    <cellStyle name="Total 2 6 3 5 4 3" xfId="40385" xr:uid="{00000000-0005-0000-0000-00002E930000}"/>
    <cellStyle name="Total 2 6 3 5 4 4" xfId="18799" xr:uid="{00000000-0005-0000-0000-00002F930000}"/>
    <cellStyle name="Total 2 6 3 5 5" xfId="21364" xr:uid="{00000000-0005-0000-0000-000030930000}"/>
    <cellStyle name="Total 2 6 3 5 6" xfId="32209" xr:uid="{00000000-0005-0000-0000-000031930000}"/>
    <cellStyle name="Total 2 6 3 5 7" xfId="12945" xr:uid="{00000000-0005-0000-0000-000032930000}"/>
    <cellStyle name="Total 2 6 3 6" xfId="2774" xr:uid="{00000000-0005-0000-0000-000033930000}"/>
    <cellStyle name="Total 2 6 3 6 2" xfId="5626" xr:uid="{00000000-0005-0000-0000-000034930000}"/>
    <cellStyle name="Total 2 6 3 6 2 2" xfId="24598" xr:uid="{00000000-0005-0000-0000-000035930000}"/>
    <cellStyle name="Total 2 6 3 6 2 3" xfId="35443" xr:uid="{00000000-0005-0000-0000-000036930000}"/>
    <cellStyle name="Total 2 6 3 6 2 4" xfId="15260" xr:uid="{00000000-0005-0000-0000-000037930000}"/>
    <cellStyle name="Total 2 6 3 6 3" xfId="8297" xr:uid="{00000000-0005-0000-0000-000038930000}"/>
    <cellStyle name="Total 2 6 3 6 3 2" xfId="27269" xr:uid="{00000000-0005-0000-0000-000039930000}"/>
    <cellStyle name="Total 2 6 3 6 3 3" xfId="38114" xr:uid="{00000000-0005-0000-0000-00003A930000}"/>
    <cellStyle name="Total 2 6 3 6 3 4" xfId="17173" xr:uid="{00000000-0005-0000-0000-00003B930000}"/>
    <cellStyle name="Total 2 6 3 6 4" xfId="10956" xr:uid="{00000000-0005-0000-0000-00003C930000}"/>
    <cellStyle name="Total 2 6 3 6 4 2" xfId="29928" xr:uid="{00000000-0005-0000-0000-00003D930000}"/>
    <cellStyle name="Total 2 6 3 6 4 3" xfId="40773" xr:uid="{00000000-0005-0000-0000-00003E930000}"/>
    <cellStyle name="Total 2 6 3 6 4 4" xfId="19077" xr:uid="{00000000-0005-0000-0000-00003F930000}"/>
    <cellStyle name="Total 2 6 3 6 5" xfId="21752" xr:uid="{00000000-0005-0000-0000-000040930000}"/>
    <cellStyle name="Total 2 6 3 6 6" xfId="32597" xr:uid="{00000000-0005-0000-0000-000041930000}"/>
    <cellStyle name="Total 2 6 3 6 7" xfId="13223" xr:uid="{00000000-0005-0000-0000-000042930000}"/>
    <cellStyle name="Total 2 6 3 7" xfId="3465" xr:uid="{00000000-0005-0000-0000-000043930000}"/>
    <cellStyle name="Total 2 6 3 7 2" xfId="22437" xr:uid="{00000000-0005-0000-0000-000044930000}"/>
    <cellStyle name="Total 2 6 3 7 3" xfId="33282" xr:uid="{00000000-0005-0000-0000-000045930000}"/>
    <cellStyle name="Total 2 6 3 7 4" xfId="13705" xr:uid="{00000000-0005-0000-0000-000046930000}"/>
    <cellStyle name="Total 2 6 3 8" xfId="6141" xr:uid="{00000000-0005-0000-0000-000047930000}"/>
    <cellStyle name="Total 2 6 3 8 2" xfId="25113" xr:uid="{00000000-0005-0000-0000-000048930000}"/>
    <cellStyle name="Total 2 6 3 8 3" xfId="35958" xr:uid="{00000000-0005-0000-0000-000049930000}"/>
    <cellStyle name="Total 2 6 3 8 4" xfId="15622" xr:uid="{00000000-0005-0000-0000-00004A930000}"/>
    <cellStyle name="Total 2 6 3 9" xfId="8800" xr:uid="{00000000-0005-0000-0000-00004B930000}"/>
    <cellStyle name="Total 2 6 3 9 2" xfId="27772" xr:uid="{00000000-0005-0000-0000-00004C930000}"/>
    <cellStyle name="Total 2 6 3 9 3" xfId="38617" xr:uid="{00000000-0005-0000-0000-00004D930000}"/>
    <cellStyle name="Total 2 6 3 9 4" xfId="17526" xr:uid="{00000000-0005-0000-0000-00004E930000}"/>
    <cellStyle name="Total 2 6 4" xfId="11479" xr:uid="{00000000-0005-0000-0000-00004F930000}"/>
    <cellStyle name="Total 2 7" xfId="161" xr:uid="{00000000-0005-0000-0000-000050930000}"/>
    <cellStyle name="Total 2 7 2" xfId="405" xr:uid="{00000000-0005-0000-0000-000051930000}"/>
    <cellStyle name="Total 2 7 2 10" xfId="2696" xr:uid="{00000000-0005-0000-0000-000052930000}"/>
    <cellStyle name="Total 2 7 2 10 2" xfId="5548" xr:uid="{00000000-0005-0000-0000-000053930000}"/>
    <cellStyle name="Total 2 7 2 10 2 2" xfId="24520" xr:uid="{00000000-0005-0000-0000-000054930000}"/>
    <cellStyle name="Total 2 7 2 10 2 3" xfId="35365" xr:uid="{00000000-0005-0000-0000-000055930000}"/>
    <cellStyle name="Total 2 7 2 10 2 4" xfId="15202" xr:uid="{00000000-0005-0000-0000-000056930000}"/>
    <cellStyle name="Total 2 7 2 10 3" xfId="8219" xr:uid="{00000000-0005-0000-0000-000057930000}"/>
    <cellStyle name="Total 2 7 2 10 3 2" xfId="27191" xr:uid="{00000000-0005-0000-0000-000058930000}"/>
    <cellStyle name="Total 2 7 2 10 3 3" xfId="38036" xr:uid="{00000000-0005-0000-0000-000059930000}"/>
    <cellStyle name="Total 2 7 2 10 3 4" xfId="17115" xr:uid="{00000000-0005-0000-0000-00005A930000}"/>
    <cellStyle name="Total 2 7 2 10 4" xfId="10878" xr:uid="{00000000-0005-0000-0000-00005B930000}"/>
    <cellStyle name="Total 2 7 2 10 4 2" xfId="29850" xr:uid="{00000000-0005-0000-0000-00005C930000}"/>
    <cellStyle name="Total 2 7 2 10 4 3" xfId="40695" xr:uid="{00000000-0005-0000-0000-00005D930000}"/>
    <cellStyle name="Total 2 7 2 10 4 4" xfId="19019" xr:uid="{00000000-0005-0000-0000-00005E930000}"/>
    <cellStyle name="Total 2 7 2 10 5" xfId="21674" xr:uid="{00000000-0005-0000-0000-00005F930000}"/>
    <cellStyle name="Total 2 7 2 10 6" xfId="32519" xr:uid="{00000000-0005-0000-0000-000060930000}"/>
    <cellStyle name="Total 2 7 2 10 7" xfId="13165" xr:uid="{00000000-0005-0000-0000-000061930000}"/>
    <cellStyle name="Total 2 7 2 11" xfId="3082" xr:uid="{00000000-0005-0000-0000-000062930000}"/>
    <cellStyle name="Total 2 7 2 11 2" xfId="5933" xr:uid="{00000000-0005-0000-0000-000063930000}"/>
    <cellStyle name="Total 2 7 2 11 2 2" xfId="24905" xr:uid="{00000000-0005-0000-0000-000064930000}"/>
    <cellStyle name="Total 2 7 2 11 2 3" xfId="35750" xr:uid="{00000000-0005-0000-0000-000065930000}"/>
    <cellStyle name="Total 2 7 2 11 2 4" xfId="15478" xr:uid="{00000000-0005-0000-0000-000066930000}"/>
    <cellStyle name="Total 2 7 2 11 3" xfId="8604" xr:uid="{00000000-0005-0000-0000-000067930000}"/>
    <cellStyle name="Total 2 7 2 11 3 2" xfId="27576" xr:uid="{00000000-0005-0000-0000-000068930000}"/>
    <cellStyle name="Total 2 7 2 11 3 3" xfId="38421" xr:uid="{00000000-0005-0000-0000-000069930000}"/>
    <cellStyle name="Total 2 7 2 11 3 4" xfId="17391" xr:uid="{00000000-0005-0000-0000-00006A930000}"/>
    <cellStyle name="Total 2 7 2 11 4" xfId="11263" xr:uid="{00000000-0005-0000-0000-00006B930000}"/>
    <cellStyle name="Total 2 7 2 11 4 2" xfId="30235" xr:uid="{00000000-0005-0000-0000-00006C930000}"/>
    <cellStyle name="Total 2 7 2 11 4 3" xfId="41080" xr:uid="{00000000-0005-0000-0000-00006D930000}"/>
    <cellStyle name="Total 2 7 2 11 4 4" xfId="19295" xr:uid="{00000000-0005-0000-0000-00006E930000}"/>
    <cellStyle name="Total 2 7 2 11 5" xfId="22059" xr:uid="{00000000-0005-0000-0000-00006F930000}"/>
    <cellStyle name="Total 2 7 2 11 6" xfId="32904" xr:uid="{00000000-0005-0000-0000-000070930000}"/>
    <cellStyle name="Total 2 7 2 11 7" xfId="13441" xr:uid="{00000000-0005-0000-0000-000071930000}"/>
    <cellStyle name="Total 2 7 2 12" xfId="3139" xr:uid="{00000000-0005-0000-0000-000072930000}"/>
    <cellStyle name="Total 2 7 2 12 2" xfId="5990" xr:uid="{00000000-0005-0000-0000-000073930000}"/>
    <cellStyle name="Total 2 7 2 12 2 2" xfId="24962" xr:uid="{00000000-0005-0000-0000-000074930000}"/>
    <cellStyle name="Total 2 7 2 12 2 3" xfId="35807" xr:uid="{00000000-0005-0000-0000-000075930000}"/>
    <cellStyle name="Total 2 7 2 12 2 4" xfId="15515" xr:uid="{00000000-0005-0000-0000-000076930000}"/>
    <cellStyle name="Total 2 7 2 12 3" xfId="8661" xr:uid="{00000000-0005-0000-0000-000077930000}"/>
    <cellStyle name="Total 2 7 2 12 3 2" xfId="27633" xr:uid="{00000000-0005-0000-0000-000078930000}"/>
    <cellStyle name="Total 2 7 2 12 3 3" xfId="38478" xr:uid="{00000000-0005-0000-0000-000079930000}"/>
    <cellStyle name="Total 2 7 2 12 3 4" xfId="17428" xr:uid="{00000000-0005-0000-0000-00007A930000}"/>
    <cellStyle name="Total 2 7 2 12 4" xfId="11320" xr:uid="{00000000-0005-0000-0000-00007B930000}"/>
    <cellStyle name="Total 2 7 2 12 4 2" xfId="30292" xr:uid="{00000000-0005-0000-0000-00007C930000}"/>
    <cellStyle name="Total 2 7 2 12 4 3" xfId="41137" xr:uid="{00000000-0005-0000-0000-00007D930000}"/>
    <cellStyle name="Total 2 7 2 12 4 4" xfId="19332" xr:uid="{00000000-0005-0000-0000-00007E930000}"/>
    <cellStyle name="Total 2 7 2 12 5" xfId="22116" xr:uid="{00000000-0005-0000-0000-00007F930000}"/>
    <cellStyle name="Total 2 7 2 12 6" xfId="32961" xr:uid="{00000000-0005-0000-0000-000080930000}"/>
    <cellStyle name="Total 2 7 2 12 7" xfId="13478" xr:uid="{00000000-0005-0000-0000-000081930000}"/>
    <cellStyle name="Total 2 7 2 13" xfId="3196" xr:uid="{00000000-0005-0000-0000-000082930000}"/>
    <cellStyle name="Total 2 7 2 13 2" xfId="6047" xr:uid="{00000000-0005-0000-0000-000083930000}"/>
    <cellStyle name="Total 2 7 2 13 2 2" xfId="25019" xr:uid="{00000000-0005-0000-0000-000084930000}"/>
    <cellStyle name="Total 2 7 2 13 2 3" xfId="35864" xr:uid="{00000000-0005-0000-0000-000085930000}"/>
    <cellStyle name="Total 2 7 2 13 2 4" xfId="15552" xr:uid="{00000000-0005-0000-0000-000086930000}"/>
    <cellStyle name="Total 2 7 2 13 3" xfId="8718" xr:uid="{00000000-0005-0000-0000-000087930000}"/>
    <cellStyle name="Total 2 7 2 13 3 2" xfId="27690" xr:uid="{00000000-0005-0000-0000-000088930000}"/>
    <cellStyle name="Total 2 7 2 13 3 3" xfId="38535" xr:uid="{00000000-0005-0000-0000-000089930000}"/>
    <cellStyle name="Total 2 7 2 13 3 4" xfId="17465" xr:uid="{00000000-0005-0000-0000-00008A930000}"/>
    <cellStyle name="Total 2 7 2 13 4" xfId="11377" xr:uid="{00000000-0005-0000-0000-00008B930000}"/>
    <cellStyle name="Total 2 7 2 13 4 2" xfId="30349" xr:uid="{00000000-0005-0000-0000-00008C930000}"/>
    <cellStyle name="Total 2 7 2 13 4 3" xfId="41194" xr:uid="{00000000-0005-0000-0000-00008D930000}"/>
    <cellStyle name="Total 2 7 2 13 4 4" xfId="19369" xr:uid="{00000000-0005-0000-0000-00008E930000}"/>
    <cellStyle name="Total 2 7 2 13 5" xfId="22173" xr:uid="{00000000-0005-0000-0000-00008F930000}"/>
    <cellStyle name="Total 2 7 2 13 6" xfId="33018" xr:uid="{00000000-0005-0000-0000-000090930000}"/>
    <cellStyle name="Total 2 7 2 13 7" xfId="13515" xr:uid="{00000000-0005-0000-0000-000091930000}"/>
    <cellStyle name="Total 2 7 2 14" xfId="3363" xr:uid="{00000000-0005-0000-0000-000092930000}"/>
    <cellStyle name="Total 2 7 2 14 2" xfId="22337" xr:uid="{00000000-0005-0000-0000-000093930000}"/>
    <cellStyle name="Total 2 7 2 14 3" xfId="33182" xr:uid="{00000000-0005-0000-0000-000094930000}"/>
    <cellStyle name="Total 2 7 2 14 4" xfId="13632" xr:uid="{00000000-0005-0000-0000-000095930000}"/>
    <cellStyle name="Total 2 7 2 15" xfId="3390" xr:uid="{00000000-0005-0000-0000-000096930000}"/>
    <cellStyle name="Total 2 7 2 15 2" xfId="22362" xr:uid="{00000000-0005-0000-0000-000097930000}"/>
    <cellStyle name="Total 2 7 2 15 3" xfId="33207" xr:uid="{00000000-0005-0000-0000-000098930000}"/>
    <cellStyle name="Total 2 7 2 15 4" xfId="13644" xr:uid="{00000000-0005-0000-0000-000099930000}"/>
    <cellStyle name="Total 2 7 2 16" xfId="3224" xr:uid="{00000000-0005-0000-0000-00009A930000}"/>
    <cellStyle name="Total 2 7 2 16 2" xfId="22201" xr:uid="{00000000-0005-0000-0000-00009B930000}"/>
    <cellStyle name="Total 2 7 2 16 3" xfId="33046" xr:uid="{00000000-0005-0000-0000-00009C930000}"/>
    <cellStyle name="Total 2 7 2 16 4" xfId="13532" xr:uid="{00000000-0005-0000-0000-00009D930000}"/>
    <cellStyle name="Total 2 7 2 17" xfId="19493" xr:uid="{00000000-0005-0000-0000-00009E930000}"/>
    <cellStyle name="Total 2 7 2 18" xfId="19413" xr:uid="{00000000-0005-0000-0000-00009F930000}"/>
    <cellStyle name="Total 2 7 2 19" xfId="11542" xr:uid="{00000000-0005-0000-0000-0000A0930000}"/>
    <cellStyle name="Total 2 7 2 2" xfId="704" xr:uid="{00000000-0005-0000-0000-0000A1930000}"/>
    <cellStyle name="Total 2 7 2 2 10" xfId="19689" xr:uid="{00000000-0005-0000-0000-0000A2930000}"/>
    <cellStyle name="Total 2 7 2 2 11" xfId="30534" xr:uid="{00000000-0005-0000-0000-0000A3930000}"/>
    <cellStyle name="Total 2 7 2 2 12" xfId="11746" xr:uid="{00000000-0005-0000-0000-0000A4930000}"/>
    <cellStyle name="Total 2 7 2 2 2" xfId="1291" xr:uid="{00000000-0005-0000-0000-0000A5930000}"/>
    <cellStyle name="Total 2 7 2 2 2 2" xfId="4144" xr:uid="{00000000-0005-0000-0000-0000A6930000}"/>
    <cellStyle name="Total 2 7 2 2 2 2 2" xfId="23116" xr:uid="{00000000-0005-0000-0000-0000A7930000}"/>
    <cellStyle name="Total 2 7 2 2 2 2 3" xfId="33961" xr:uid="{00000000-0005-0000-0000-0000A8930000}"/>
    <cellStyle name="Total 2 7 2 2 2 2 4" xfId="14207" xr:uid="{00000000-0005-0000-0000-0000A9930000}"/>
    <cellStyle name="Total 2 7 2 2 2 3" xfId="6817" xr:uid="{00000000-0005-0000-0000-0000AA930000}"/>
    <cellStyle name="Total 2 7 2 2 2 3 2" xfId="25789" xr:uid="{00000000-0005-0000-0000-0000AB930000}"/>
    <cellStyle name="Total 2 7 2 2 2 3 3" xfId="36634" xr:uid="{00000000-0005-0000-0000-0000AC930000}"/>
    <cellStyle name="Total 2 7 2 2 2 3 4" xfId="16122" xr:uid="{00000000-0005-0000-0000-0000AD930000}"/>
    <cellStyle name="Total 2 7 2 2 2 4" xfId="9476" xr:uid="{00000000-0005-0000-0000-0000AE930000}"/>
    <cellStyle name="Total 2 7 2 2 2 4 2" xfId="28448" xr:uid="{00000000-0005-0000-0000-0000AF930000}"/>
    <cellStyle name="Total 2 7 2 2 2 4 3" xfId="39293" xr:uid="{00000000-0005-0000-0000-0000B0930000}"/>
    <cellStyle name="Total 2 7 2 2 2 4 4" xfId="18026" xr:uid="{00000000-0005-0000-0000-0000B1930000}"/>
    <cellStyle name="Total 2 7 2 2 2 5" xfId="20272" xr:uid="{00000000-0005-0000-0000-0000B2930000}"/>
    <cellStyle name="Total 2 7 2 2 2 6" xfId="31117" xr:uid="{00000000-0005-0000-0000-0000B3930000}"/>
    <cellStyle name="Total 2 7 2 2 2 7" xfId="12172" xr:uid="{00000000-0005-0000-0000-0000B4930000}"/>
    <cellStyle name="Total 2 7 2 2 3" xfId="1690" xr:uid="{00000000-0005-0000-0000-0000B5930000}"/>
    <cellStyle name="Total 2 7 2 2 3 2" xfId="4543" xr:uid="{00000000-0005-0000-0000-0000B6930000}"/>
    <cellStyle name="Total 2 7 2 2 3 2 2" xfId="23515" xr:uid="{00000000-0005-0000-0000-0000B7930000}"/>
    <cellStyle name="Total 2 7 2 2 3 2 3" xfId="34360" xr:uid="{00000000-0005-0000-0000-0000B8930000}"/>
    <cellStyle name="Total 2 7 2 2 3 2 4" xfId="14494" xr:uid="{00000000-0005-0000-0000-0000B9930000}"/>
    <cellStyle name="Total 2 7 2 2 3 3" xfId="7215" xr:uid="{00000000-0005-0000-0000-0000BA930000}"/>
    <cellStyle name="Total 2 7 2 2 3 3 2" xfId="26187" xr:uid="{00000000-0005-0000-0000-0000BB930000}"/>
    <cellStyle name="Total 2 7 2 2 3 3 3" xfId="37032" xr:uid="{00000000-0005-0000-0000-0000BC930000}"/>
    <cellStyle name="Total 2 7 2 2 3 3 4" xfId="16408" xr:uid="{00000000-0005-0000-0000-0000BD930000}"/>
    <cellStyle name="Total 2 7 2 2 3 4" xfId="9874" xr:uid="{00000000-0005-0000-0000-0000BE930000}"/>
    <cellStyle name="Total 2 7 2 2 3 4 2" xfId="28846" xr:uid="{00000000-0005-0000-0000-0000BF930000}"/>
    <cellStyle name="Total 2 7 2 2 3 4 3" xfId="39691" xr:uid="{00000000-0005-0000-0000-0000C0930000}"/>
    <cellStyle name="Total 2 7 2 2 3 4 4" xfId="18312" xr:uid="{00000000-0005-0000-0000-0000C1930000}"/>
    <cellStyle name="Total 2 7 2 2 3 5" xfId="20670" xr:uid="{00000000-0005-0000-0000-0000C2930000}"/>
    <cellStyle name="Total 2 7 2 2 3 6" xfId="31515" xr:uid="{00000000-0005-0000-0000-0000C3930000}"/>
    <cellStyle name="Total 2 7 2 2 3 7" xfId="12458" xr:uid="{00000000-0005-0000-0000-0000C4930000}"/>
    <cellStyle name="Total 2 7 2 2 4" xfId="2094" xr:uid="{00000000-0005-0000-0000-0000C5930000}"/>
    <cellStyle name="Total 2 7 2 2 4 2" xfId="4947" xr:uid="{00000000-0005-0000-0000-0000C6930000}"/>
    <cellStyle name="Total 2 7 2 2 4 2 2" xfId="23919" xr:uid="{00000000-0005-0000-0000-0000C7930000}"/>
    <cellStyle name="Total 2 7 2 2 4 2 3" xfId="34764" xr:uid="{00000000-0005-0000-0000-0000C8930000}"/>
    <cellStyle name="Total 2 7 2 2 4 2 4" xfId="14781" xr:uid="{00000000-0005-0000-0000-0000C9930000}"/>
    <cellStyle name="Total 2 7 2 2 4 3" xfId="7618" xr:uid="{00000000-0005-0000-0000-0000CA930000}"/>
    <cellStyle name="Total 2 7 2 2 4 3 2" xfId="26590" xr:uid="{00000000-0005-0000-0000-0000CB930000}"/>
    <cellStyle name="Total 2 7 2 2 4 3 3" xfId="37435" xr:uid="{00000000-0005-0000-0000-0000CC930000}"/>
    <cellStyle name="Total 2 7 2 2 4 3 4" xfId="16694" xr:uid="{00000000-0005-0000-0000-0000CD930000}"/>
    <cellStyle name="Total 2 7 2 2 4 4" xfId="10277" xr:uid="{00000000-0005-0000-0000-0000CE930000}"/>
    <cellStyle name="Total 2 7 2 2 4 4 2" xfId="29249" xr:uid="{00000000-0005-0000-0000-0000CF930000}"/>
    <cellStyle name="Total 2 7 2 2 4 4 3" xfId="40094" xr:uid="{00000000-0005-0000-0000-0000D0930000}"/>
    <cellStyle name="Total 2 7 2 2 4 4 4" xfId="18598" xr:uid="{00000000-0005-0000-0000-0000D1930000}"/>
    <cellStyle name="Total 2 7 2 2 4 5" xfId="21073" xr:uid="{00000000-0005-0000-0000-0000D2930000}"/>
    <cellStyle name="Total 2 7 2 2 4 6" xfId="31918" xr:uid="{00000000-0005-0000-0000-0000D3930000}"/>
    <cellStyle name="Total 2 7 2 2 4 7" xfId="12744" xr:uid="{00000000-0005-0000-0000-0000D4930000}"/>
    <cellStyle name="Total 2 7 2 2 5" xfId="2484" xr:uid="{00000000-0005-0000-0000-0000D5930000}"/>
    <cellStyle name="Total 2 7 2 2 5 2" xfId="5336" xr:uid="{00000000-0005-0000-0000-0000D6930000}"/>
    <cellStyle name="Total 2 7 2 2 5 2 2" xfId="24308" xr:uid="{00000000-0005-0000-0000-0000D7930000}"/>
    <cellStyle name="Total 2 7 2 2 5 2 3" xfId="35153" xr:uid="{00000000-0005-0000-0000-0000D8930000}"/>
    <cellStyle name="Total 2 7 2 2 5 2 4" xfId="15060" xr:uid="{00000000-0005-0000-0000-0000D9930000}"/>
    <cellStyle name="Total 2 7 2 2 5 3" xfId="8007" xr:uid="{00000000-0005-0000-0000-0000DA930000}"/>
    <cellStyle name="Total 2 7 2 2 5 3 2" xfId="26979" xr:uid="{00000000-0005-0000-0000-0000DB930000}"/>
    <cellStyle name="Total 2 7 2 2 5 3 3" xfId="37824" xr:uid="{00000000-0005-0000-0000-0000DC930000}"/>
    <cellStyle name="Total 2 7 2 2 5 3 4" xfId="16973" xr:uid="{00000000-0005-0000-0000-0000DD930000}"/>
    <cellStyle name="Total 2 7 2 2 5 4" xfId="10666" xr:uid="{00000000-0005-0000-0000-0000DE930000}"/>
    <cellStyle name="Total 2 7 2 2 5 4 2" xfId="29638" xr:uid="{00000000-0005-0000-0000-0000DF930000}"/>
    <cellStyle name="Total 2 7 2 2 5 4 3" xfId="40483" xr:uid="{00000000-0005-0000-0000-0000E0930000}"/>
    <cellStyle name="Total 2 7 2 2 5 4 4" xfId="18877" xr:uid="{00000000-0005-0000-0000-0000E1930000}"/>
    <cellStyle name="Total 2 7 2 2 5 5" xfId="21462" xr:uid="{00000000-0005-0000-0000-0000E2930000}"/>
    <cellStyle name="Total 2 7 2 2 5 6" xfId="32307" xr:uid="{00000000-0005-0000-0000-0000E3930000}"/>
    <cellStyle name="Total 2 7 2 2 5 7" xfId="13023" xr:uid="{00000000-0005-0000-0000-0000E4930000}"/>
    <cellStyle name="Total 2 7 2 2 6" xfId="2870" xr:uid="{00000000-0005-0000-0000-0000E5930000}"/>
    <cellStyle name="Total 2 7 2 2 6 2" xfId="5721" xr:uid="{00000000-0005-0000-0000-0000E6930000}"/>
    <cellStyle name="Total 2 7 2 2 6 2 2" xfId="24693" xr:uid="{00000000-0005-0000-0000-0000E7930000}"/>
    <cellStyle name="Total 2 7 2 2 6 2 3" xfId="35538" xr:uid="{00000000-0005-0000-0000-0000E8930000}"/>
    <cellStyle name="Total 2 7 2 2 6 2 4" xfId="15336" xr:uid="{00000000-0005-0000-0000-0000E9930000}"/>
    <cellStyle name="Total 2 7 2 2 6 3" xfId="8392" xr:uid="{00000000-0005-0000-0000-0000EA930000}"/>
    <cellStyle name="Total 2 7 2 2 6 3 2" xfId="27364" xr:uid="{00000000-0005-0000-0000-0000EB930000}"/>
    <cellStyle name="Total 2 7 2 2 6 3 3" xfId="38209" xr:uid="{00000000-0005-0000-0000-0000EC930000}"/>
    <cellStyle name="Total 2 7 2 2 6 3 4" xfId="17249" xr:uid="{00000000-0005-0000-0000-0000ED930000}"/>
    <cellStyle name="Total 2 7 2 2 6 4" xfId="11051" xr:uid="{00000000-0005-0000-0000-0000EE930000}"/>
    <cellStyle name="Total 2 7 2 2 6 4 2" xfId="30023" xr:uid="{00000000-0005-0000-0000-0000EF930000}"/>
    <cellStyle name="Total 2 7 2 2 6 4 3" xfId="40868" xr:uid="{00000000-0005-0000-0000-0000F0930000}"/>
    <cellStyle name="Total 2 7 2 2 6 4 4" xfId="19153" xr:uid="{00000000-0005-0000-0000-0000F1930000}"/>
    <cellStyle name="Total 2 7 2 2 6 5" xfId="21847" xr:uid="{00000000-0005-0000-0000-0000F2930000}"/>
    <cellStyle name="Total 2 7 2 2 6 6" xfId="32692" xr:uid="{00000000-0005-0000-0000-0000F3930000}"/>
    <cellStyle name="Total 2 7 2 2 6 7" xfId="13299" xr:uid="{00000000-0005-0000-0000-0000F4930000}"/>
    <cellStyle name="Total 2 7 2 2 7" xfId="3559" xr:uid="{00000000-0005-0000-0000-0000F5930000}"/>
    <cellStyle name="Total 2 7 2 2 7 2" xfId="22531" xr:uid="{00000000-0005-0000-0000-0000F6930000}"/>
    <cellStyle name="Total 2 7 2 2 7 3" xfId="33376" xr:uid="{00000000-0005-0000-0000-0000F7930000}"/>
    <cellStyle name="Total 2 7 2 2 7 4" xfId="13780" xr:uid="{00000000-0005-0000-0000-0000F8930000}"/>
    <cellStyle name="Total 2 7 2 2 8" xfId="6234" xr:uid="{00000000-0005-0000-0000-0000F9930000}"/>
    <cellStyle name="Total 2 7 2 2 8 2" xfId="25206" xr:uid="{00000000-0005-0000-0000-0000FA930000}"/>
    <cellStyle name="Total 2 7 2 2 8 3" xfId="36051" xr:uid="{00000000-0005-0000-0000-0000FB930000}"/>
    <cellStyle name="Total 2 7 2 2 8 4" xfId="15696" xr:uid="{00000000-0005-0000-0000-0000FC930000}"/>
    <cellStyle name="Total 2 7 2 2 9" xfId="8893" xr:uid="{00000000-0005-0000-0000-0000FD930000}"/>
    <cellStyle name="Total 2 7 2 2 9 2" xfId="27865" xr:uid="{00000000-0005-0000-0000-0000FE930000}"/>
    <cellStyle name="Total 2 7 2 2 9 3" xfId="38710" xr:uid="{00000000-0005-0000-0000-0000FF930000}"/>
    <cellStyle name="Total 2 7 2 2 9 4" xfId="17600" xr:uid="{00000000-0005-0000-0000-000000940000}"/>
    <cellStyle name="Total 2 7 2 3" xfId="764" xr:uid="{00000000-0005-0000-0000-000001940000}"/>
    <cellStyle name="Total 2 7 2 3 10" xfId="19749" xr:uid="{00000000-0005-0000-0000-000002940000}"/>
    <cellStyle name="Total 2 7 2 3 11" xfId="30594" xr:uid="{00000000-0005-0000-0000-000003940000}"/>
    <cellStyle name="Total 2 7 2 3 12" xfId="11786" xr:uid="{00000000-0005-0000-0000-000004940000}"/>
    <cellStyle name="Total 2 7 2 3 2" xfId="1351" xr:uid="{00000000-0005-0000-0000-000005940000}"/>
    <cellStyle name="Total 2 7 2 3 2 2" xfId="4204" xr:uid="{00000000-0005-0000-0000-000006940000}"/>
    <cellStyle name="Total 2 7 2 3 2 2 2" xfId="23176" xr:uid="{00000000-0005-0000-0000-000007940000}"/>
    <cellStyle name="Total 2 7 2 3 2 2 3" xfId="34021" xr:uid="{00000000-0005-0000-0000-000008940000}"/>
    <cellStyle name="Total 2 7 2 3 2 2 4" xfId="14247" xr:uid="{00000000-0005-0000-0000-000009940000}"/>
    <cellStyle name="Total 2 7 2 3 2 3" xfId="6877" xr:uid="{00000000-0005-0000-0000-00000A940000}"/>
    <cellStyle name="Total 2 7 2 3 2 3 2" xfId="25849" xr:uid="{00000000-0005-0000-0000-00000B940000}"/>
    <cellStyle name="Total 2 7 2 3 2 3 3" xfId="36694" xr:uid="{00000000-0005-0000-0000-00000C940000}"/>
    <cellStyle name="Total 2 7 2 3 2 3 4" xfId="16162" xr:uid="{00000000-0005-0000-0000-00000D940000}"/>
    <cellStyle name="Total 2 7 2 3 2 4" xfId="9536" xr:uid="{00000000-0005-0000-0000-00000E940000}"/>
    <cellStyle name="Total 2 7 2 3 2 4 2" xfId="28508" xr:uid="{00000000-0005-0000-0000-00000F940000}"/>
    <cellStyle name="Total 2 7 2 3 2 4 3" xfId="39353" xr:uid="{00000000-0005-0000-0000-000010940000}"/>
    <cellStyle name="Total 2 7 2 3 2 4 4" xfId="18066" xr:uid="{00000000-0005-0000-0000-000011940000}"/>
    <cellStyle name="Total 2 7 2 3 2 5" xfId="20332" xr:uid="{00000000-0005-0000-0000-000012940000}"/>
    <cellStyle name="Total 2 7 2 3 2 6" xfId="31177" xr:uid="{00000000-0005-0000-0000-000013940000}"/>
    <cellStyle name="Total 2 7 2 3 2 7" xfId="12212" xr:uid="{00000000-0005-0000-0000-000014940000}"/>
    <cellStyle name="Total 2 7 2 3 3" xfId="1750" xr:uid="{00000000-0005-0000-0000-000015940000}"/>
    <cellStyle name="Total 2 7 2 3 3 2" xfId="4603" xr:uid="{00000000-0005-0000-0000-000016940000}"/>
    <cellStyle name="Total 2 7 2 3 3 2 2" xfId="23575" xr:uid="{00000000-0005-0000-0000-000017940000}"/>
    <cellStyle name="Total 2 7 2 3 3 2 3" xfId="34420" xr:uid="{00000000-0005-0000-0000-000018940000}"/>
    <cellStyle name="Total 2 7 2 3 3 2 4" xfId="14534" xr:uid="{00000000-0005-0000-0000-000019940000}"/>
    <cellStyle name="Total 2 7 2 3 3 3" xfId="7275" xr:uid="{00000000-0005-0000-0000-00001A940000}"/>
    <cellStyle name="Total 2 7 2 3 3 3 2" xfId="26247" xr:uid="{00000000-0005-0000-0000-00001B940000}"/>
    <cellStyle name="Total 2 7 2 3 3 3 3" xfId="37092" xr:uid="{00000000-0005-0000-0000-00001C940000}"/>
    <cellStyle name="Total 2 7 2 3 3 3 4" xfId="16448" xr:uid="{00000000-0005-0000-0000-00001D940000}"/>
    <cellStyle name="Total 2 7 2 3 3 4" xfId="9934" xr:uid="{00000000-0005-0000-0000-00001E940000}"/>
    <cellStyle name="Total 2 7 2 3 3 4 2" xfId="28906" xr:uid="{00000000-0005-0000-0000-00001F940000}"/>
    <cellStyle name="Total 2 7 2 3 3 4 3" xfId="39751" xr:uid="{00000000-0005-0000-0000-000020940000}"/>
    <cellStyle name="Total 2 7 2 3 3 4 4" xfId="18352" xr:uid="{00000000-0005-0000-0000-000021940000}"/>
    <cellStyle name="Total 2 7 2 3 3 5" xfId="20730" xr:uid="{00000000-0005-0000-0000-000022940000}"/>
    <cellStyle name="Total 2 7 2 3 3 6" xfId="31575" xr:uid="{00000000-0005-0000-0000-000023940000}"/>
    <cellStyle name="Total 2 7 2 3 3 7" xfId="12498" xr:uid="{00000000-0005-0000-0000-000024940000}"/>
    <cellStyle name="Total 2 7 2 3 4" xfId="2154" xr:uid="{00000000-0005-0000-0000-000025940000}"/>
    <cellStyle name="Total 2 7 2 3 4 2" xfId="5007" xr:uid="{00000000-0005-0000-0000-000026940000}"/>
    <cellStyle name="Total 2 7 2 3 4 2 2" xfId="23979" xr:uid="{00000000-0005-0000-0000-000027940000}"/>
    <cellStyle name="Total 2 7 2 3 4 2 3" xfId="34824" xr:uid="{00000000-0005-0000-0000-000028940000}"/>
    <cellStyle name="Total 2 7 2 3 4 2 4" xfId="14821" xr:uid="{00000000-0005-0000-0000-000029940000}"/>
    <cellStyle name="Total 2 7 2 3 4 3" xfId="7678" xr:uid="{00000000-0005-0000-0000-00002A940000}"/>
    <cellStyle name="Total 2 7 2 3 4 3 2" xfId="26650" xr:uid="{00000000-0005-0000-0000-00002B940000}"/>
    <cellStyle name="Total 2 7 2 3 4 3 3" xfId="37495" xr:uid="{00000000-0005-0000-0000-00002C940000}"/>
    <cellStyle name="Total 2 7 2 3 4 3 4" xfId="16734" xr:uid="{00000000-0005-0000-0000-00002D940000}"/>
    <cellStyle name="Total 2 7 2 3 4 4" xfId="10337" xr:uid="{00000000-0005-0000-0000-00002E940000}"/>
    <cellStyle name="Total 2 7 2 3 4 4 2" xfId="29309" xr:uid="{00000000-0005-0000-0000-00002F940000}"/>
    <cellStyle name="Total 2 7 2 3 4 4 3" xfId="40154" xr:uid="{00000000-0005-0000-0000-000030940000}"/>
    <cellStyle name="Total 2 7 2 3 4 4 4" xfId="18638" xr:uid="{00000000-0005-0000-0000-000031940000}"/>
    <cellStyle name="Total 2 7 2 3 4 5" xfId="21133" xr:uid="{00000000-0005-0000-0000-000032940000}"/>
    <cellStyle name="Total 2 7 2 3 4 6" xfId="31978" xr:uid="{00000000-0005-0000-0000-000033940000}"/>
    <cellStyle name="Total 2 7 2 3 4 7" xfId="12784" xr:uid="{00000000-0005-0000-0000-000034940000}"/>
    <cellStyle name="Total 2 7 2 3 5" xfId="2544" xr:uid="{00000000-0005-0000-0000-000035940000}"/>
    <cellStyle name="Total 2 7 2 3 5 2" xfId="5396" xr:uid="{00000000-0005-0000-0000-000036940000}"/>
    <cellStyle name="Total 2 7 2 3 5 2 2" xfId="24368" xr:uid="{00000000-0005-0000-0000-000037940000}"/>
    <cellStyle name="Total 2 7 2 3 5 2 3" xfId="35213" xr:uid="{00000000-0005-0000-0000-000038940000}"/>
    <cellStyle name="Total 2 7 2 3 5 2 4" xfId="15100" xr:uid="{00000000-0005-0000-0000-000039940000}"/>
    <cellStyle name="Total 2 7 2 3 5 3" xfId="8067" xr:uid="{00000000-0005-0000-0000-00003A940000}"/>
    <cellStyle name="Total 2 7 2 3 5 3 2" xfId="27039" xr:uid="{00000000-0005-0000-0000-00003B940000}"/>
    <cellStyle name="Total 2 7 2 3 5 3 3" xfId="37884" xr:uid="{00000000-0005-0000-0000-00003C940000}"/>
    <cellStyle name="Total 2 7 2 3 5 3 4" xfId="17013" xr:uid="{00000000-0005-0000-0000-00003D940000}"/>
    <cellStyle name="Total 2 7 2 3 5 4" xfId="10726" xr:uid="{00000000-0005-0000-0000-00003E940000}"/>
    <cellStyle name="Total 2 7 2 3 5 4 2" xfId="29698" xr:uid="{00000000-0005-0000-0000-00003F940000}"/>
    <cellStyle name="Total 2 7 2 3 5 4 3" xfId="40543" xr:uid="{00000000-0005-0000-0000-000040940000}"/>
    <cellStyle name="Total 2 7 2 3 5 4 4" xfId="18917" xr:uid="{00000000-0005-0000-0000-000041940000}"/>
    <cellStyle name="Total 2 7 2 3 5 5" xfId="21522" xr:uid="{00000000-0005-0000-0000-000042940000}"/>
    <cellStyle name="Total 2 7 2 3 5 6" xfId="32367" xr:uid="{00000000-0005-0000-0000-000043940000}"/>
    <cellStyle name="Total 2 7 2 3 5 7" xfId="13063" xr:uid="{00000000-0005-0000-0000-000044940000}"/>
    <cellStyle name="Total 2 7 2 3 6" xfId="2930" xr:uid="{00000000-0005-0000-0000-000045940000}"/>
    <cellStyle name="Total 2 7 2 3 6 2" xfId="5781" xr:uid="{00000000-0005-0000-0000-000046940000}"/>
    <cellStyle name="Total 2 7 2 3 6 2 2" xfId="24753" xr:uid="{00000000-0005-0000-0000-000047940000}"/>
    <cellStyle name="Total 2 7 2 3 6 2 3" xfId="35598" xr:uid="{00000000-0005-0000-0000-000048940000}"/>
    <cellStyle name="Total 2 7 2 3 6 2 4" xfId="15376" xr:uid="{00000000-0005-0000-0000-000049940000}"/>
    <cellStyle name="Total 2 7 2 3 6 3" xfId="8452" xr:uid="{00000000-0005-0000-0000-00004A940000}"/>
    <cellStyle name="Total 2 7 2 3 6 3 2" xfId="27424" xr:uid="{00000000-0005-0000-0000-00004B940000}"/>
    <cellStyle name="Total 2 7 2 3 6 3 3" xfId="38269" xr:uid="{00000000-0005-0000-0000-00004C940000}"/>
    <cellStyle name="Total 2 7 2 3 6 3 4" xfId="17289" xr:uid="{00000000-0005-0000-0000-00004D940000}"/>
    <cellStyle name="Total 2 7 2 3 6 4" xfId="11111" xr:uid="{00000000-0005-0000-0000-00004E940000}"/>
    <cellStyle name="Total 2 7 2 3 6 4 2" xfId="30083" xr:uid="{00000000-0005-0000-0000-00004F940000}"/>
    <cellStyle name="Total 2 7 2 3 6 4 3" xfId="40928" xr:uid="{00000000-0005-0000-0000-000050940000}"/>
    <cellStyle name="Total 2 7 2 3 6 4 4" xfId="19193" xr:uid="{00000000-0005-0000-0000-000051940000}"/>
    <cellStyle name="Total 2 7 2 3 6 5" xfId="21907" xr:uid="{00000000-0005-0000-0000-000052940000}"/>
    <cellStyle name="Total 2 7 2 3 6 6" xfId="32752" xr:uid="{00000000-0005-0000-0000-000053940000}"/>
    <cellStyle name="Total 2 7 2 3 6 7" xfId="13339" xr:uid="{00000000-0005-0000-0000-000054940000}"/>
    <cellStyle name="Total 2 7 2 3 7" xfId="3619" xr:uid="{00000000-0005-0000-0000-000055940000}"/>
    <cellStyle name="Total 2 7 2 3 7 2" xfId="22591" xr:uid="{00000000-0005-0000-0000-000056940000}"/>
    <cellStyle name="Total 2 7 2 3 7 3" xfId="33436" xr:uid="{00000000-0005-0000-0000-000057940000}"/>
    <cellStyle name="Total 2 7 2 3 7 4" xfId="13820" xr:uid="{00000000-0005-0000-0000-000058940000}"/>
    <cellStyle name="Total 2 7 2 3 8" xfId="6294" xr:uid="{00000000-0005-0000-0000-000059940000}"/>
    <cellStyle name="Total 2 7 2 3 8 2" xfId="25266" xr:uid="{00000000-0005-0000-0000-00005A940000}"/>
    <cellStyle name="Total 2 7 2 3 8 3" xfId="36111" xr:uid="{00000000-0005-0000-0000-00005B940000}"/>
    <cellStyle name="Total 2 7 2 3 8 4" xfId="15736" xr:uid="{00000000-0005-0000-0000-00005C940000}"/>
    <cellStyle name="Total 2 7 2 3 9" xfId="8953" xr:uid="{00000000-0005-0000-0000-00005D940000}"/>
    <cellStyle name="Total 2 7 2 3 9 2" xfId="27925" xr:uid="{00000000-0005-0000-0000-00005E940000}"/>
    <cellStyle name="Total 2 7 2 3 9 3" xfId="38770" xr:uid="{00000000-0005-0000-0000-00005F940000}"/>
    <cellStyle name="Total 2 7 2 3 9 4" xfId="17640" xr:uid="{00000000-0005-0000-0000-000060940000}"/>
    <cellStyle name="Total 2 7 2 4" xfId="824" xr:uid="{00000000-0005-0000-0000-000061940000}"/>
    <cellStyle name="Total 2 7 2 4 10" xfId="19809" xr:uid="{00000000-0005-0000-0000-000062940000}"/>
    <cellStyle name="Total 2 7 2 4 11" xfId="30654" xr:uid="{00000000-0005-0000-0000-000063940000}"/>
    <cellStyle name="Total 2 7 2 4 12" xfId="11826" xr:uid="{00000000-0005-0000-0000-000064940000}"/>
    <cellStyle name="Total 2 7 2 4 2" xfId="1411" xr:uid="{00000000-0005-0000-0000-000065940000}"/>
    <cellStyle name="Total 2 7 2 4 2 2" xfId="4264" xr:uid="{00000000-0005-0000-0000-000066940000}"/>
    <cellStyle name="Total 2 7 2 4 2 2 2" xfId="23236" xr:uid="{00000000-0005-0000-0000-000067940000}"/>
    <cellStyle name="Total 2 7 2 4 2 2 3" xfId="34081" xr:uid="{00000000-0005-0000-0000-000068940000}"/>
    <cellStyle name="Total 2 7 2 4 2 2 4" xfId="14287" xr:uid="{00000000-0005-0000-0000-000069940000}"/>
    <cellStyle name="Total 2 7 2 4 2 3" xfId="6937" xr:uid="{00000000-0005-0000-0000-00006A940000}"/>
    <cellStyle name="Total 2 7 2 4 2 3 2" xfId="25909" xr:uid="{00000000-0005-0000-0000-00006B940000}"/>
    <cellStyle name="Total 2 7 2 4 2 3 3" xfId="36754" xr:uid="{00000000-0005-0000-0000-00006C940000}"/>
    <cellStyle name="Total 2 7 2 4 2 3 4" xfId="16202" xr:uid="{00000000-0005-0000-0000-00006D940000}"/>
    <cellStyle name="Total 2 7 2 4 2 4" xfId="9596" xr:uid="{00000000-0005-0000-0000-00006E940000}"/>
    <cellStyle name="Total 2 7 2 4 2 4 2" xfId="28568" xr:uid="{00000000-0005-0000-0000-00006F940000}"/>
    <cellStyle name="Total 2 7 2 4 2 4 3" xfId="39413" xr:uid="{00000000-0005-0000-0000-000070940000}"/>
    <cellStyle name="Total 2 7 2 4 2 4 4" xfId="18106" xr:uid="{00000000-0005-0000-0000-000071940000}"/>
    <cellStyle name="Total 2 7 2 4 2 5" xfId="20392" xr:uid="{00000000-0005-0000-0000-000072940000}"/>
    <cellStyle name="Total 2 7 2 4 2 6" xfId="31237" xr:uid="{00000000-0005-0000-0000-000073940000}"/>
    <cellStyle name="Total 2 7 2 4 2 7" xfId="12252" xr:uid="{00000000-0005-0000-0000-000074940000}"/>
    <cellStyle name="Total 2 7 2 4 3" xfId="1810" xr:uid="{00000000-0005-0000-0000-000075940000}"/>
    <cellStyle name="Total 2 7 2 4 3 2" xfId="4663" xr:uid="{00000000-0005-0000-0000-000076940000}"/>
    <cellStyle name="Total 2 7 2 4 3 2 2" xfId="23635" xr:uid="{00000000-0005-0000-0000-000077940000}"/>
    <cellStyle name="Total 2 7 2 4 3 2 3" xfId="34480" xr:uid="{00000000-0005-0000-0000-000078940000}"/>
    <cellStyle name="Total 2 7 2 4 3 2 4" xfId="14574" xr:uid="{00000000-0005-0000-0000-000079940000}"/>
    <cellStyle name="Total 2 7 2 4 3 3" xfId="7335" xr:uid="{00000000-0005-0000-0000-00007A940000}"/>
    <cellStyle name="Total 2 7 2 4 3 3 2" xfId="26307" xr:uid="{00000000-0005-0000-0000-00007B940000}"/>
    <cellStyle name="Total 2 7 2 4 3 3 3" xfId="37152" xr:uid="{00000000-0005-0000-0000-00007C940000}"/>
    <cellStyle name="Total 2 7 2 4 3 3 4" xfId="16488" xr:uid="{00000000-0005-0000-0000-00007D940000}"/>
    <cellStyle name="Total 2 7 2 4 3 4" xfId="9994" xr:uid="{00000000-0005-0000-0000-00007E940000}"/>
    <cellStyle name="Total 2 7 2 4 3 4 2" xfId="28966" xr:uid="{00000000-0005-0000-0000-00007F940000}"/>
    <cellStyle name="Total 2 7 2 4 3 4 3" xfId="39811" xr:uid="{00000000-0005-0000-0000-000080940000}"/>
    <cellStyle name="Total 2 7 2 4 3 4 4" xfId="18392" xr:uid="{00000000-0005-0000-0000-000081940000}"/>
    <cellStyle name="Total 2 7 2 4 3 5" xfId="20790" xr:uid="{00000000-0005-0000-0000-000082940000}"/>
    <cellStyle name="Total 2 7 2 4 3 6" xfId="31635" xr:uid="{00000000-0005-0000-0000-000083940000}"/>
    <cellStyle name="Total 2 7 2 4 3 7" xfId="12538" xr:uid="{00000000-0005-0000-0000-000084940000}"/>
    <cellStyle name="Total 2 7 2 4 4" xfId="2214" xr:uid="{00000000-0005-0000-0000-000085940000}"/>
    <cellStyle name="Total 2 7 2 4 4 2" xfId="5067" xr:uid="{00000000-0005-0000-0000-000086940000}"/>
    <cellStyle name="Total 2 7 2 4 4 2 2" xfId="24039" xr:uid="{00000000-0005-0000-0000-000087940000}"/>
    <cellStyle name="Total 2 7 2 4 4 2 3" xfId="34884" xr:uid="{00000000-0005-0000-0000-000088940000}"/>
    <cellStyle name="Total 2 7 2 4 4 2 4" xfId="14861" xr:uid="{00000000-0005-0000-0000-000089940000}"/>
    <cellStyle name="Total 2 7 2 4 4 3" xfId="7738" xr:uid="{00000000-0005-0000-0000-00008A940000}"/>
    <cellStyle name="Total 2 7 2 4 4 3 2" xfId="26710" xr:uid="{00000000-0005-0000-0000-00008B940000}"/>
    <cellStyle name="Total 2 7 2 4 4 3 3" xfId="37555" xr:uid="{00000000-0005-0000-0000-00008C940000}"/>
    <cellStyle name="Total 2 7 2 4 4 3 4" xfId="16774" xr:uid="{00000000-0005-0000-0000-00008D940000}"/>
    <cellStyle name="Total 2 7 2 4 4 4" xfId="10397" xr:uid="{00000000-0005-0000-0000-00008E940000}"/>
    <cellStyle name="Total 2 7 2 4 4 4 2" xfId="29369" xr:uid="{00000000-0005-0000-0000-00008F940000}"/>
    <cellStyle name="Total 2 7 2 4 4 4 3" xfId="40214" xr:uid="{00000000-0005-0000-0000-000090940000}"/>
    <cellStyle name="Total 2 7 2 4 4 4 4" xfId="18678" xr:uid="{00000000-0005-0000-0000-000091940000}"/>
    <cellStyle name="Total 2 7 2 4 4 5" xfId="21193" xr:uid="{00000000-0005-0000-0000-000092940000}"/>
    <cellStyle name="Total 2 7 2 4 4 6" xfId="32038" xr:uid="{00000000-0005-0000-0000-000093940000}"/>
    <cellStyle name="Total 2 7 2 4 4 7" xfId="12824" xr:uid="{00000000-0005-0000-0000-000094940000}"/>
    <cellStyle name="Total 2 7 2 4 5" xfId="2604" xr:uid="{00000000-0005-0000-0000-000095940000}"/>
    <cellStyle name="Total 2 7 2 4 5 2" xfId="5456" xr:uid="{00000000-0005-0000-0000-000096940000}"/>
    <cellStyle name="Total 2 7 2 4 5 2 2" xfId="24428" xr:uid="{00000000-0005-0000-0000-000097940000}"/>
    <cellStyle name="Total 2 7 2 4 5 2 3" xfId="35273" xr:uid="{00000000-0005-0000-0000-000098940000}"/>
    <cellStyle name="Total 2 7 2 4 5 2 4" xfId="15140" xr:uid="{00000000-0005-0000-0000-000099940000}"/>
    <cellStyle name="Total 2 7 2 4 5 3" xfId="8127" xr:uid="{00000000-0005-0000-0000-00009A940000}"/>
    <cellStyle name="Total 2 7 2 4 5 3 2" xfId="27099" xr:uid="{00000000-0005-0000-0000-00009B940000}"/>
    <cellStyle name="Total 2 7 2 4 5 3 3" xfId="37944" xr:uid="{00000000-0005-0000-0000-00009C940000}"/>
    <cellStyle name="Total 2 7 2 4 5 3 4" xfId="17053" xr:uid="{00000000-0005-0000-0000-00009D940000}"/>
    <cellStyle name="Total 2 7 2 4 5 4" xfId="10786" xr:uid="{00000000-0005-0000-0000-00009E940000}"/>
    <cellStyle name="Total 2 7 2 4 5 4 2" xfId="29758" xr:uid="{00000000-0005-0000-0000-00009F940000}"/>
    <cellStyle name="Total 2 7 2 4 5 4 3" xfId="40603" xr:uid="{00000000-0005-0000-0000-0000A0940000}"/>
    <cellStyle name="Total 2 7 2 4 5 4 4" xfId="18957" xr:uid="{00000000-0005-0000-0000-0000A1940000}"/>
    <cellStyle name="Total 2 7 2 4 5 5" xfId="21582" xr:uid="{00000000-0005-0000-0000-0000A2940000}"/>
    <cellStyle name="Total 2 7 2 4 5 6" xfId="32427" xr:uid="{00000000-0005-0000-0000-0000A3940000}"/>
    <cellStyle name="Total 2 7 2 4 5 7" xfId="13103" xr:uid="{00000000-0005-0000-0000-0000A4940000}"/>
    <cellStyle name="Total 2 7 2 4 6" xfId="2990" xr:uid="{00000000-0005-0000-0000-0000A5940000}"/>
    <cellStyle name="Total 2 7 2 4 6 2" xfId="5841" xr:uid="{00000000-0005-0000-0000-0000A6940000}"/>
    <cellStyle name="Total 2 7 2 4 6 2 2" xfId="24813" xr:uid="{00000000-0005-0000-0000-0000A7940000}"/>
    <cellStyle name="Total 2 7 2 4 6 2 3" xfId="35658" xr:uid="{00000000-0005-0000-0000-0000A8940000}"/>
    <cellStyle name="Total 2 7 2 4 6 2 4" xfId="15416" xr:uid="{00000000-0005-0000-0000-0000A9940000}"/>
    <cellStyle name="Total 2 7 2 4 6 3" xfId="8512" xr:uid="{00000000-0005-0000-0000-0000AA940000}"/>
    <cellStyle name="Total 2 7 2 4 6 3 2" xfId="27484" xr:uid="{00000000-0005-0000-0000-0000AB940000}"/>
    <cellStyle name="Total 2 7 2 4 6 3 3" xfId="38329" xr:uid="{00000000-0005-0000-0000-0000AC940000}"/>
    <cellStyle name="Total 2 7 2 4 6 3 4" xfId="17329" xr:uid="{00000000-0005-0000-0000-0000AD940000}"/>
    <cellStyle name="Total 2 7 2 4 6 4" xfId="11171" xr:uid="{00000000-0005-0000-0000-0000AE940000}"/>
    <cellStyle name="Total 2 7 2 4 6 4 2" xfId="30143" xr:uid="{00000000-0005-0000-0000-0000AF940000}"/>
    <cellStyle name="Total 2 7 2 4 6 4 3" xfId="40988" xr:uid="{00000000-0005-0000-0000-0000B0940000}"/>
    <cellStyle name="Total 2 7 2 4 6 4 4" xfId="19233" xr:uid="{00000000-0005-0000-0000-0000B1940000}"/>
    <cellStyle name="Total 2 7 2 4 6 5" xfId="21967" xr:uid="{00000000-0005-0000-0000-0000B2940000}"/>
    <cellStyle name="Total 2 7 2 4 6 6" xfId="32812" xr:uid="{00000000-0005-0000-0000-0000B3940000}"/>
    <cellStyle name="Total 2 7 2 4 6 7" xfId="13379" xr:uid="{00000000-0005-0000-0000-0000B4940000}"/>
    <cellStyle name="Total 2 7 2 4 7" xfId="3679" xr:uid="{00000000-0005-0000-0000-0000B5940000}"/>
    <cellStyle name="Total 2 7 2 4 7 2" xfId="22651" xr:uid="{00000000-0005-0000-0000-0000B6940000}"/>
    <cellStyle name="Total 2 7 2 4 7 3" xfId="33496" xr:uid="{00000000-0005-0000-0000-0000B7940000}"/>
    <cellStyle name="Total 2 7 2 4 7 4" xfId="13860" xr:uid="{00000000-0005-0000-0000-0000B8940000}"/>
    <cellStyle name="Total 2 7 2 4 8" xfId="6354" xr:uid="{00000000-0005-0000-0000-0000B9940000}"/>
    <cellStyle name="Total 2 7 2 4 8 2" xfId="25326" xr:uid="{00000000-0005-0000-0000-0000BA940000}"/>
    <cellStyle name="Total 2 7 2 4 8 3" xfId="36171" xr:uid="{00000000-0005-0000-0000-0000BB940000}"/>
    <cellStyle name="Total 2 7 2 4 8 4" xfId="15776" xr:uid="{00000000-0005-0000-0000-0000BC940000}"/>
    <cellStyle name="Total 2 7 2 4 9" xfId="9013" xr:uid="{00000000-0005-0000-0000-0000BD940000}"/>
    <cellStyle name="Total 2 7 2 4 9 2" xfId="27985" xr:uid="{00000000-0005-0000-0000-0000BE940000}"/>
    <cellStyle name="Total 2 7 2 4 9 3" xfId="38830" xr:uid="{00000000-0005-0000-0000-0000BF940000}"/>
    <cellStyle name="Total 2 7 2 4 9 4" xfId="17680" xr:uid="{00000000-0005-0000-0000-0000C0940000}"/>
    <cellStyle name="Total 2 7 2 5" xfId="883" xr:uid="{00000000-0005-0000-0000-0000C1940000}"/>
    <cellStyle name="Total 2 7 2 5 10" xfId="19868" xr:uid="{00000000-0005-0000-0000-0000C2940000}"/>
    <cellStyle name="Total 2 7 2 5 11" xfId="30713" xr:uid="{00000000-0005-0000-0000-0000C3940000}"/>
    <cellStyle name="Total 2 7 2 5 12" xfId="11865" xr:uid="{00000000-0005-0000-0000-0000C4940000}"/>
    <cellStyle name="Total 2 7 2 5 2" xfId="1470" xr:uid="{00000000-0005-0000-0000-0000C5940000}"/>
    <cellStyle name="Total 2 7 2 5 2 2" xfId="4323" xr:uid="{00000000-0005-0000-0000-0000C6940000}"/>
    <cellStyle name="Total 2 7 2 5 2 2 2" xfId="23295" xr:uid="{00000000-0005-0000-0000-0000C7940000}"/>
    <cellStyle name="Total 2 7 2 5 2 2 3" xfId="34140" xr:uid="{00000000-0005-0000-0000-0000C8940000}"/>
    <cellStyle name="Total 2 7 2 5 2 2 4" xfId="14326" xr:uid="{00000000-0005-0000-0000-0000C9940000}"/>
    <cellStyle name="Total 2 7 2 5 2 3" xfId="6996" xr:uid="{00000000-0005-0000-0000-0000CA940000}"/>
    <cellStyle name="Total 2 7 2 5 2 3 2" xfId="25968" xr:uid="{00000000-0005-0000-0000-0000CB940000}"/>
    <cellStyle name="Total 2 7 2 5 2 3 3" xfId="36813" xr:uid="{00000000-0005-0000-0000-0000CC940000}"/>
    <cellStyle name="Total 2 7 2 5 2 3 4" xfId="16241" xr:uid="{00000000-0005-0000-0000-0000CD940000}"/>
    <cellStyle name="Total 2 7 2 5 2 4" xfId="9655" xr:uid="{00000000-0005-0000-0000-0000CE940000}"/>
    <cellStyle name="Total 2 7 2 5 2 4 2" xfId="28627" xr:uid="{00000000-0005-0000-0000-0000CF940000}"/>
    <cellStyle name="Total 2 7 2 5 2 4 3" xfId="39472" xr:uid="{00000000-0005-0000-0000-0000D0940000}"/>
    <cellStyle name="Total 2 7 2 5 2 4 4" xfId="18145" xr:uid="{00000000-0005-0000-0000-0000D1940000}"/>
    <cellStyle name="Total 2 7 2 5 2 5" xfId="20451" xr:uid="{00000000-0005-0000-0000-0000D2940000}"/>
    <cellStyle name="Total 2 7 2 5 2 6" xfId="31296" xr:uid="{00000000-0005-0000-0000-0000D3940000}"/>
    <cellStyle name="Total 2 7 2 5 2 7" xfId="12291" xr:uid="{00000000-0005-0000-0000-0000D4940000}"/>
    <cellStyle name="Total 2 7 2 5 3" xfId="1869" xr:uid="{00000000-0005-0000-0000-0000D5940000}"/>
    <cellStyle name="Total 2 7 2 5 3 2" xfId="4722" xr:uid="{00000000-0005-0000-0000-0000D6940000}"/>
    <cellStyle name="Total 2 7 2 5 3 2 2" xfId="23694" xr:uid="{00000000-0005-0000-0000-0000D7940000}"/>
    <cellStyle name="Total 2 7 2 5 3 2 3" xfId="34539" xr:uid="{00000000-0005-0000-0000-0000D8940000}"/>
    <cellStyle name="Total 2 7 2 5 3 2 4" xfId="14613" xr:uid="{00000000-0005-0000-0000-0000D9940000}"/>
    <cellStyle name="Total 2 7 2 5 3 3" xfId="7394" xr:uid="{00000000-0005-0000-0000-0000DA940000}"/>
    <cellStyle name="Total 2 7 2 5 3 3 2" xfId="26366" xr:uid="{00000000-0005-0000-0000-0000DB940000}"/>
    <cellStyle name="Total 2 7 2 5 3 3 3" xfId="37211" xr:uid="{00000000-0005-0000-0000-0000DC940000}"/>
    <cellStyle name="Total 2 7 2 5 3 3 4" xfId="16527" xr:uid="{00000000-0005-0000-0000-0000DD940000}"/>
    <cellStyle name="Total 2 7 2 5 3 4" xfId="10053" xr:uid="{00000000-0005-0000-0000-0000DE940000}"/>
    <cellStyle name="Total 2 7 2 5 3 4 2" xfId="29025" xr:uid="{00000000-0005-0000-0000-0000DF940000}"/>
    <cellStyle name="Total 2 7 2 5 3 4 3" xfId="39870" xr:uid="{00000000-0005-0000-0000-0000E0940000}"/>
    <cellStyle name="Total 2 7 2 5 3 4 4" xfId="18431" xr:uid="{00000000-0005-0000-0000-0000E1940000}"/>
    <cellStyle name="Total 2 7 2 5 3 5" xfId="20849" xr:uid="{00000000-0005-0000-0000-0000E2940000}"/>
    <cellStyle name="Total 2 7 2 5 3 6" xfId="31694" xr:uid="{00000000-0005-0000-0000-0000E3940000}"/>
    <cellStyle name="Total 2 7 2 5 3 7" xfId="12577" xr:uid="{00000000-0005-0000-0000-0000E4940000}"/>
    <cellStyle name="Total 2 7 2 5 4" xfId="2273" xr:uid="{00000000-0005-0000-0000-0000E5940000}"/>
    <cellStyle name="Total 2 7 2 5 4 2" xfId="5126" xr:uid="{00000000-0005-0000-0000-0000E6940000}"/>
    <cellStyle name="Total 2 7 2 5 4 2 2" xfId="24098" xr:uid="{00000000-0005-0000-0000-0000E7940000}"/>
    <cellStyle name="Total 2 7 2 5 4 2 3" xfId="34943" xr:uid="{00000000-0005-0000-0000-0000E8940000}"/>
    <cellStyle name="Total 2 7 2 5 4 2 4" xfId="14900" xr:uid="{00000000-0005-0000-0000-0000E9940000}"/>
    <cellStyle name="Total 2 7 2 5 4 3" xfId="7797" xr:uid="{00000000-0005-0000-0000-0000EA940000}"/>
    <cellStyle name="Total 2 7 2 5 4 3 2" xfId="26769" xr:uid="{00000000-0005-0000-0000-0000EB940000}"/>
    <cellStyle name="Total 2 7 2 5 4 3 3" xfId="37614" xr:uid="{00000000-0005-0000-0000-0000EC940000}"/>
    <cellStyle name="Total 2 7 2 5 4 3 4" xfId="16813" xr:uid="{00000000-0005-0000-0000-0000ED940000}"/>
    <cellStyle name="Total 2 7 2 5 4 4" xfId="10456" xr:uid="{00000000-0005-0000-0000-0000EE940000}"/>
    <cellStyle name="Total 2 7 2 5 4 4 2" xfId="29428" xr:uid="{00000000-0005-0000-0000-0000EF940000}"/>
    <cellStyle name="Total 2 7 2 5 4 4 3" xfId="40273" xr:uid="{00000000-0005-0000-0000-0000F0940000}"/>
    <cellStyle name="Total 2 7 2 5 4 4 4" xfId="18717" xr:uid="{00000000-0005-0000-0000-0000F1940000}"/>
    <cellStyle name="Total 2 7 2 5 4 5" xfId="21252" xr:uid="{00000000-0005-0000-0000-0000F2940000}"/>
    <cellStyle name="Total 2 7 2 5 4 6" xfId="32097" xr:uid="{00000000-0005-0000-0000-0000F3940000}"/>
    <cellStyle name="Total 2 7 2 5 4 7" xfId="12863" xr:uid="{00000000-0005-0000-0000-0000F4940000}"/>
    <cellStyle name="Total 2 7 2 5 5" xfId="2663" xr:uid="{00000000-0005-0000-0000-0000F5940000}"/>
    <cellStyle name="Total 2 7 2 5 5 2" xfId="5515" xr:uid="{00000000-0005-0000-0000-0000F6940000}"/>
    <cellStyle name="Total 2 7 2 5 5 2 2" xfId="24487" xr:uid="{00000000-0005-0000-0000-0000F7940000}"/>
    <cellStyle name="Total 2 7 2 5 5 2 3" xfId="35332" xr:uid="{00000000-0005-0000-0000-0000F8940000}"/>
    <cellStyle name="Total 2 7 2 5 5 2 4" xfId="15179" xr:uid="{00000000-0005-0000-0000-0000F9940000}"/>
    <cellStyle name="Total 2 7 2 5 5 3" xfId="8186" xr:uid="{00000000-0005-0000-0000-0000FA940000}"/>
    <cellStyle name="Total 2 7 2 5 5 3 2" xfId="27158" xr:uid="{00000000-0005-0000-0000-0000FB940000}"/>
    <cellStyle name="Total 2 7 2 5 5 3 3" xfId="38003" xr:uid="{00000000-0005-0000-0000-0000FC940000}"/>
    <cellStyle name="Total 2 7 2 5 5 3 4" xfId="17092" xr:uid="{00000000-0005-0000-0000-0000FD940000}"/>
    <cellStyle name="Total 2 7 2 5 5 4" xfId="10845" xr:uid="{00000000-0005-0000-0000-0000FE940000}"/>
    <cellStyle name="Total 2 7 2 5 5 4 2" xfId="29817" xr:uid="{00000000-0005-0000-0000-0000FF940000}"/>
    <cellStyle name="Total 2 7 2 5 5 4 3" xfId="40662" xr:uid="{00000000-0005-0000-0000-000000950000}"/>
    <cellStyle name="Total 2 7 2 5 5 4 4" xfId="18996" xr:uid="{00000000-0005-0000-0000-000001950000}"/>
    <cellStyle name="Total 2 7 2 5 5 5" xfId="21641" xr:uid="{00000000-0005-0000-0000-000002950000}"/>
    <cellStyle name="Total 2 7 2 5 5 6" xfId="32486" xr:uid="{00000000-0005-0000-0000-000003950000}"/>
    <cellStyle name="Total 2 7 2 5 5 7" xfId="13142" xr:uid="{00000000-0005-0000-0000-000004950000}"/>
    <cellStyle name="Total 2 7 2 5 6" xfId="3049" xr:uid="{00000000-0005-0000-0000-000005950000}"/>
    <cellStyle name="Total 2 7 2 5 6 2" xfId="5900" xr:uid="{00000000-0005-0000-0000-000006950000}"/>
    <cellStyle name="Total 2 7 2 5 6 2 2" xfId="24872" xr:uid="{00000000-0005-0000-0000-000007950000}"/>
    <cellStyle name="Total 2 7 2 5 6 2 3" xfId="35717" xr:uid="{00000000-0005-0000-0000-000008950000}"/>
    <cellStyle name="Total 2 7 2 5 6 2 4" xfId="15455" xr:uid="{00000000-0005-0000-0000-000009950000}"/>
    <cellStyle name="Total 2 7 2 5 6 3" xfId="8571" xr:uid="{00000000-0005-0000-0000-00000A950000}"/>
    <cellStyle name="Total 2 7 2 5 6 3 2" xfId="27543" xr:uid="{00000000-0005-0000-0000-00000B950000}"/>
    <cellStyle name="Total 2 7 2 5 6 3 3" xfId="38388" xr:uid="{00000000-0005-0000-0000-00000C950000}"/>
    <cellStyle name="Total 2 7 2 5 6 3 4" xfId="17368" xr:uid="{00000000-0005-0000-0000-00000D950000}"/>
    <cellStyle name="Total 2 7 2 5 6 4" xfId="11230" xr:uid="{00000000-0005-0000-0000-00000E950000}"/>
    <cellStyle name="Total 2 7 2 5 6 4 2" xfId="30202" xr:uid="{00000000-0005-0000-0000-00000F950000}"/>
    <cellStyle name="Total 2 7 2 5 6 4 3" xfId="41047" xr:uid="{00000000-0005-0000-0000-000010950000}"/>
    <cellStyle name="Total 2 7 2 5 6 4 4" xfId="19272" xr:uid="{00000000-0005-0000-0000-000011950000}"/>
    <cellStyle name="Total 2 7 2 5 6 5" xfId="22026" xr:uid="{00000000-0005-0000-0000-000012950000}"/>
    <cellStyle name="Total 2 7 2 5 6 6" xfId="32871" xr:uid="{00000000-0005-0000-0000-000013950000}"/>
    <cellStyle name="Total 2 7 2 5 6 7" xfId="13418" xr:uid="{00000000-0005-0000-0000-000014950000}"/>
    <cellStyle name="Total 2 7 2 5 7" xfId="3738" xr:uid="{00000000-0005-0000-0000-000015950000}"/>
    <cellStyle name="Total 2 7 2 5 7 2" xfId="22710" xr:uid="{00000000-0005-0000-0000-000016950000}"/>
    <cellStyle name="Total 2 7 2 5 7 3" xfId="33555" xr:uid="{00000000-0005-0000-0000-000017950000}"/>
    <cellStyle name="Total 2 7 2 5 7 4" xfId="13899" xr:uid="{00000000-0005-0000-0000-000018950000}"/>
    <cellStyle name="Total 2 7 2 5 8" xfId="6413" xr:uid="{00000000-0005-0000-0000-000019950000}"/>
    <cellStyle name="Total 2 7 2 5 8 2" xfId="25385" xr:uid="{00000000-0005-0000-0000-00001A950000}"/>
    <cellStyle name="Total 2 7 2 5 8 3" xfId="36230" xr:uid="{00000000-0005-0000-0000-00001B950000}"/>
    <cellStyle name="Total 2 7 2 5 8 4" xfId="15815" xr:uid="{00000000-0005-0000-0000-00001C950000}"/>
    <cellStyle name="Total 2 7 2 5 9" xfId="9072" xr:uid="{00000000-0005-0000-0000-00001D950000}"/>
    <cellStyle name="Total 2 7 2 5 9 2" xfId="28044" xr:uid="{00000000-0005-0000-0000-00001E950000}"/>
    <cellStyle name="Total 2 7 2 5 9 3" xfId="38889" xr:uid="{00000000-0005-0000-0000-00001F950000}"/>
    <cellStyle name="Total 2 7 2 5 9 4" xfId="17719" xr:uid="{00000000-0005-0000-0000-000020950000}"/>
    <cellStyle name="Total 2 7 2 6" xfId="1105" xr:uid="{00000000-0005-0000-0000-000021950000}"/>
    <cellStyle name="Total 2 7 2 6 2" xfId="3958" xr:uid="{00000000-0005-0000-0000-000022950000}"/>
    <cellStyle name="Total 2 7 2 6 2 2" xfId="22930" xr:uid="{00000000-0005-0000-0000-000023950000}"/>
    <cellStyle name="Total 2 7 2 6 2 3" xfId="33775" xr:uid="{00000000-0005-0000-0000-000024950000}"/>
    <cellStyle name="Total 2 7 2 6 2 4" xfId="14061" xr:uid="{00000000-0005-0000-0000-000025950000}"/>
    <cellStyle name="Total 2 7 2 6 3" xfId="6632" xr:uid="{00000000-0005-0000-0000-000026950000}"/>
    <cellStyle name="Total 2 7 2 6 3 2" xfId="25604" xr:uid="{00000000-0005-0000-0000-000027950000}"/>
    <cellStyle name="Total 2 7 2 6 3 3" xfId="36449" xr:uid="{00000000-0005-0000-0000-000028950000}"/>
    <cellStyle name="Total 2 7 2 6 3 4" xfId="15977" xr:uid="{00000000-0005-0000-0000-000029950000}"/>
    <cellStyle name="Total 2 7 2 6 4" xfId="9291" xr:uid="{00000000-0005-0000-0000-00002A950000}"/>
    <cellStyle name="Total 2 7 2 6 4 2" xfId="28263" xr:uid="{00000000-0005-0000-0000-00002B950000}"/>
    <cellStyle name="Total 2 7 2 6 4 3" xfId="39108" xr:uid="{00000000-0005-0000-0000-00002C950000}"/>
    <cellStyle name="Total 2 7 2 6 4 4" xfId="17881" xr:uid="{00000000-0005-0000-0000-00002D950000}"/>
    <cellStyle name="Total 2 7 2 6 5" xfId="20087" xr:uid="{00000000-0005-0000-0000-00002E950000}"/>
    <cellStyle name="Total 2 7 2 6 6" xfId="30932" xr:uid="{00000000-0005-0000-0000-00002F950000}"/>
    <cellStyle name="Total 2 7 2 6 7" xfId="12027" xr:uid="{00000000-0005-0000-0000-000030950000}"/>
    <cellStyle name="Total 2 7 2 7" xfId="1505" xr:uid="{00000000-0005-0000-0000-000031950000}"/>
    <cellStyle name="Total 2 7 2 7 2" xfId="4358" xr:uid="{00000000-0005-0000-0000-000032950000}"/>
    <cellStyle name="Total 2 7 2 7 2 2" xfId="23330" xr:uid="{00000000-0005-0000-0000-000033950000}"/>
    <cellStyle name="Total 2 7 2 7 2 3" xfId="34175" xr:uid="{00000000-0005-0000-0000-000034950000}"/>
    <cellStyle name="Total 2 7 2 7 2 4" xfId="14351" xr:uid="{00000000-0005-0000-0000-000035950000}"/>
    <cellStyle name="Total 2 7 2 7 3" xfId="7031" xr:uid="{00000000-0005-0000-0000-000036950000}"/>
    <cellStyle name="Total 2 7 2 7 3 2" xfId="26003" xr:uid="{00000000-0005-0000-0000-000037950000}"/>
    <cellStyle name="Total 2 7 2 7 3 3" xfId="36848" xr:uid="{00000000-0005-0000-0000-000038950000}"/>
    <cellStyle name="Total 2 7 2 7 3 4" xfId="16266" xr:uid="{00000000-0005-0000-0000-000039950000}"/>
    <cellStyle name="Total 2 7 2 7 4" xfId="9690" xr:uid="{00000000-0005-0000-0000-00003A950000}"/>
    <cellStyle name="Total 2 7 2 7 4 2" xfId="28662" xr:uid="{00000000-0005-0000-0000-00003B950000}"/>
    <cellStyle name="Total 2 7 2 7 4 3" xfId="39507" xr:uid="{00000000-0005-0000-0000-00003C950000}"/>
    <cellStyle name="Total 2 7 2 7 4 4" xfId="18170" xr:uid="{00000000-0005-0000-0000-00003D950000}"/>
    <cellStyle name="Total 2 7 2 7 5" xfId="20486" xr:uid="{00000000-0005-0000-0000-00003E950000}"/>
    <cellStyle name="Total 2 7 2 7 6" xfId="31331" xr:uid="{00000000-0005-0000-0000-00003F950000}"/>
    <cellStyle name="Total 2 7 2 7 7" xfId="12316" xr:uid="{00000000-0005-0000-0000-000040950000}"/>
    <cellStyle name="Total 2 7 2 8" xfId="1913" xr:uid="{00000000-0005-0000-0000-000041950000}"/>
    <cellStyle name="Total 2 7 2 8 2" xfId="4766" xr:uid="{00000000-0005-0000-0000-000042950000}"/>
    <cellStyle name="Total 2 7 2 8 2 2" xfId="23738" xr:uid="{00000000-0005-0000-0000-000043950000}"/>
    <cellStyle name="Total 2 7 2 8 2 3" xfId="34583" xr:uid="{00000000-0005-0000-0000-000044950000}"/>
    <cellStyle name="Total 2 7 2 8 2 4" xfId="14642" xr:uid="{00000000-0005-0000-0000-000045950000}"/>
    <cellStyle name="Total 2 7 2 8 3" xfId="7438" xr:uid="{00000000-0005-0000-0000-000046950000}"/>
    <cellStyle name="Total 2 7 2 8 3 2" xfId="26410" xr:uid="{00000000-0005-0000-0000-000047950000}"/>
    <cellStyle name="Total 2 7 2 8 3 3" xfId="37255" xr:uid="{00000000-0005-0000-0000-000048950000}"/>
    <cellStyle name="Total 2 7 2 8 3 4" xfId="16556" xr:uid="{00000000-0005-0000-0000-000049950000}"/>
    <cellStyle name="Total 2 7 2 8 4" xfId="10097" xr:uid="{00000000-0005-0000-0000-00004A950000}"/>
    <cellStyle name="Total 2 7 2 8 4 2" xfId="29069" xr:uid="{00000000-0005-0000-0000-00004B950000}"/>
    <cellStyle name="Total 2 7 2 8 4 3" xfId="39914" xr:uid="{00000000-0005-0000-0000-00004C950000}"/>
    <cellStyle name="Total 2 7 2 8 4 4" xfId="18460" xr:uid="{00000000-0005-0000-0000-00004D950000}"/>
    <cellStyle name="Total 2 7 2 8 5" xfId="20893" xr:uid="{00000000-0005-0000-0000-00004E950000}"/>
    <cellStyle name="Total 2 7 2 8 6" xfId="31738" xr:uid="{00000000-0005-0000-0000-00004F950000}"/>
    <cellStyle name="Total 2 7 2 8 7" xfId="12606" xr:uid="{00000000-0005-0000-0000-000050950000}"/>
    <cellStyle name="Total 2 7 2 9" xfId="2307" xr:uid="{00000000-0005-0000-0000-000051950000}"/>
    <cellStyle name="Total 2 7 2 9 2" xfId="5160" xr:uid="{00000000-0005-0000-0000-000052950000}"/>
    <cellStyle name="Total 2 7 2 9 2 2" xfId="24132" xr:uid="{00000000-0005-0000-0000-000053950000}"/>
    <cellStyle name="Total 2 7 2 9 2 3" xfId="34977" xr:uid="{00000000-0005-0000-0000-000054950000}"/>
    <cellStyle name="Total 2 7 2 9 2 4" xfId="14924" xr:uid="{00000000-0005-0000-0000-000055950000}"/>
    <cellStyle name="Total 2 7 2 9 3" xfId="7831" xr:uid="{00000000-0005-0000-0000-000056950000}"/>
    <cellStyle name="Total 2 7 2 9 3 2" xfId="26803" xr:uid="{00000000-0005-0000-0000-000057950000}"/>
    <cellStyle name="Total 2 7 2 9 3 3" xfId="37648" xr:uid="{00000000-0005-0000-0000-000058950000}"/>
    <cellStyle name="Total 2 7 2 9 3 4" xfId="16837" xr:uid="{00000000-0005-0000-0000-000059950000}"/>
    <cellStyle name="Total 2 7 2 9 4" xfId="10490" xr:uid="{00000000-0005-0000-0000-00005A950000}"/>
    <cellStyle name="Total 2 7 2 9 4 2" xfId="29462" xr:uid="{00000000-0005-0000-0000-00005B950000}"/>
    <cellStyle name="Total 2 7 2 9 4 3" xfId="40307" xr:uid="{00000000-0005-0000-0000-00005C950000}"/>
    <cellStyle name="Total 2 7 2 9 4 4" xfId="18741" xr:uid="{00000000-0005-0000-0000-00005D950000}"/>
    <cellStyle name="Total 2 7 2 9 5" xfId="21286" xr:uid="{00000000-0005-0000-0000-00005E950000}"/>
    <cellStyle name="Total 2 7 2 9 6" xfId="32131" xr:uid="{00000000-0005-0000-0000-00005F950000}"/>
    <cellStyle name="Total 2 7 2 9 7" xfId="12887" xr:uid="{00000000-0005-0000-0000-000060950000}"/>
    <cellStyle name="Total 2 7 3" xfId="587" xr:uid="{00000000-0005-0000-0000-000061950000}"/>
    <cellStyle name="Total 2 7 3 10" xfId="19597" xr:uid="{00000000-0005-0000-0000-000062950000}"/>
    <cellStyle name="Total 2 7 3 11" xfId="30442" xr:uid="{00000000-0005-0000-0000-000063950000}"/>
    <cellStyle name="Total 2 7 3 12" xfId="11651" xr:uid="{00000000-0005-0000-0000-000064950000}"/>
    <cellStyle name="Total 2 7 3 2" xfId="1193" xr:uid="{00000000-0005-0000-0000-000065950000}"/>
    <cellStyle name="Total 2 7 3 2 2" xfId="4046" xr:uid="{00000000-0005-0000-0000-000066950000}"/>
    <cellStyle name="Total 2 7 3 2 2 2" xfId="23018" xr:uid="{00000000-0005-0000-0000-000067950000}"/>
    <cellStyle name="Total 2 7 3 2 2 3" xfId="33863" xr:uid="{00000000-0005-0000-0000-000068950000}"/>
    <cellStyle name="Total 2 7 3 2 2 4" xfId="14128" xr:uid="{00000000-0005-0000-0000-000069950000}"/>
    <cellStyle name="Total 2 7 3 2 3" xfId="6719" xr:uid="{00000000-0005-0000-0000-00006A950000}"/>
    <cellStyle name="Total 2 7 3 2 3 2" xfId="25691" xr:uid="{00000000-0005-0000-0000-00006B950000}"/>
    <cellStyle name="Total 2 7 3 2 3 3" xfId="36536" xr:uid="{00000000-0005-0000-0000-00006C950000}"/>
    <cellStyle name="Total 2 7 3 2 3 4" xfId="16043" xr:uid="{00000000-0005-0000-0000-00006D950000}"/>
    <cellStyle name="Total 2 7 3 2 4" xfId="9378" xr:uid="{00000000-0005-0000-0000-00006E950000}"/>
    <cellStyle name="Total 2 7 3 2 4 2" xfId="28350" xr:uid="{00000000-0005-0000-0000-00006F950000}"/>
    <cellStyle name="Total 2 7 3 2 4 3" xfId="39195" xr:uid="{00000000-0005-0000-0000-000070950000}"/>
    <cellStyle name="Total 2 7 3 2 4 4" xfId="17947" xr:uid="{00000000-0005-0000-0000-000071950000}"/>
    <cellStyle name="Total 2 7 3 2 5" xfId="20174" xr:uid="{00000000-0005-0000-0000-000072950000}"/>
    <cellStyle name="Total 2 7 3 2 6" xfId="31019" xr:uid="{00000000-0005-0000-0000-000073950000}"/>
    <cellStyle name="Total 2 7 3 2 7" xfId="12093" xr:uid="{00000000-0005-0000-0000-000074950000}"/>
    <cellStyle name="Total 2 7 3 3" xfId="1590" xr:uid="{00000000-0005-0000-0000-000075950000}"/>
    <cellStyle name="Total 2 7 3 3 2" xfId="4443" xr:uid="{00000000-0005-0000-0000-000076950000}"/>
    <cellStyle name="Total 2 7 3 3 2 2" xfId="23415" xr:uid="{00000000-0005-0000-0000-000077950000}"/>
    <cellStyle name="Total 2 7 3 3 2 3" xfId="34260" xr:uid="{00000000-0005-0000-0000-000078950000}"/>
    <cellStyle name="Total 2 7 3 3 2 4" xfId="14414" xr:uid="{00000000-0005-0000-0000-000079950000}"/>
    <cellStyle name="Total 2 7 3 3 3" xfId="7115" xr:uid="{00000000-0005-0000-0000-00007A950000}"/>
    <cellStyle name="Total 2 7 3 3 3 2" xfId="26087" xr:uid="{00000000-0005-0000-0000-00007B950000}"/>
    <cellStyle name="Total 2 7 3 3 3 3" xfId="36932" xr:uid="{00000000-0005-0000-0000-00007C950000}"/>
    <cellStyle name="Total 2 7 3 3 3 4" xfId="16328" xr:uid="{00000000-0005-0000-0000-00007D950000}"/>
    <cellStyle name="Total 2 7 3 3 4" xfId="9774" xr:uid="{00000000-0005-0000-0000-00007E950000}"/>
    <cellStyle name="Total 2 7 3 3 4 2" xfId="28746" xr:uid="{00000000-0005-0000-0000-00007F950000}"/>
    <cellStyle name="Total 2 7 3 3 4 3" xfId="39591" xr:uid="{00000000-0005-0000-0000-000080950000}"/>
    <cellStyle name="Total 2 7 3 3 4 4" xfId="18232" xr:uid="{00000000-0005-0000-0000-000081950000}"/>
    <cellStyle name="Total 2 7 3 3 5" xfId="20570" xr:uid="{00000000-0005-0000-0000-000082950000}"/>
    <cellStyle name="Total 2 7 3 3 6" xfId="31415" xr:uid="{00000000-0005-0000-0000-000083950000}"/>
    <cellStyle name="Total 2 7 3 3 7" xfId="12378" xr:uid="{00000000-0005-0000-0000-000084950000}"/>
    <cellStyle name="Total 2 7 3 4" xfId="1994" xr:uid="{00000000-0005-0000-0000-000085950000}"/>
    <cellStyle name="Total 2 7 3 4 2" xfId="4847" xr:uid="{00000000-0005-0000-0000-000086950000}"/>
    <cellStyle name="Total 2 7 3 4 2 2" xfId="23819" xr:uid="{00000000-0005-0000-0000-000087950000}"/>
    <cellStyle name="Total 2 7 3 4 2 3" xfId="34664" xr:uid="{00000000-0005-0000-0000-000088950000}"/>
    <cellStyle name="Total 2 7 3 4 2 4" xfId="14702" xr:uid="{00000000-0005-0000-0000-000089950000}"/>
    <cellStyle name="Total 2 7 3 4 3" xfId="7519" xr:uid="{00000000-0005-0000-0000-00008A950000}"/>
    <cellStyle name="Total 2 7 3 4 3 2" xfId="26491" xr:uid="{00000000-0005-0000-0000-00008B950000}"/>
    <cellStyle name="Total 2 7 3 4 3 3" xfId="37336" xr:uid="{00000000-0005-0000-0000-00008C950000}"/>
    <cellStyle name="Total 2 7 3 4 3 4" xfId="16616" xr:uid="{00000000-0005-0000-0000-00008D950000}"/>
    <cellStyle name="Total 2 7 3 4 4" xfId="10178" xr:uid="{00000000-0005-0000-0000-00008E950000}"/>
    <cellStyle name="Total 2 7 3 4 4 2" xfId="29150" xr:uid="{00000000-0005-0000-0000-00008F950000}"/>
    <cellStyle name="Total 2 7 3 4 4 3" xfId="39995" xr:uid="{00000000-0005-0000-0000-000090950000}"/>
    <cellStyle name="Total 2 7 3 4 4 4" xfId="18520" xr:uid="{00000000-0005-0000-0000-000091950000}"/>
    <cellStyle name="Total 2 7 3 4 5" xfId="20974" xr:uid="{00000000-0005-0000-0000-000092950000}"/>
    <cellStyle name="Total 2 7 3 4 6" xfId="31819" xr:uid="{00000000-0005-0000-0000-000093950000}"/>
    <cellStyle name="Total 2 7 3 4 7" xfId="12666" xr:uid="{00000000-0005-0000-0000-000094950000}"/>
    <cellStyle name="Total 2 7 3 5" xfId="2386" xr:uid="{00000000-0005-0000-0000-000095950000}"/>
    <cellStyle name="Total 2 7 3 5 2" xfId="5239" xr:uid="{00000000-0005-0000-0000-000096950000}"/>
    <cellStyle name="Total 2 7 3 5 2 2" xfId="24211" xr:uid="{00000000-0005-0000-0000-000097950000}"/>
    <cellStyle name="Total 2 7 3 5 2 3" xfId="35056" xr:uid="{00000000-0005-0000-0000-000098950000}"/>
    <cellStyle name="Total 2 7 3 5 2 4" xfId="14983" xr:uid="{00000000-0005-0000-0000-000099950000}"/>
    <cellStyle name="Total 2 7 3 5 3" xfId="7910" xr:uid="{00000000-0005-0000-0000-00009A950000}"/>
    <cellStyle name="Total 2 7 3 5 3 2" xfId="26882" xr:uid="{00000000-0005-0000-0000-00009B950000}"/>
    <cellStyle name="Total 2 7 3 5 3 3" xfId="37727" xr:uid="{00000000-0005-0000-0000-00009C950000}"/>
    <cellStyle name="Total 2 7 3 5 3 4" xfId="16896" xr:uid="{00000000-0005-0000-0000-00009D950000}"/>
    <cellStyle name="Total 2 7 3 5 4" xfId="10569" xr:uid="{00000000-0005-0000-0000-00009E950000}"/>
    <cellStyle name="Total 2 7 3 5 4 2" xfId="29541" xr:uid="{00000000-0005-0000-0000-00009F950000}"/>
    <cellStyle name="Total 2 7 3 5 4 3" xfId="40386" xr:uid="{00000000-0005-0000-0000-0000A0950000}"/>
    <cellStyle name="Total 2 7 3 5 4 4" xfId="18800" xr:uid="{00000000-0005-0000-0000-0000A1950000}"/>
    <cellStyle name="Total 2 7 3 5 5" xfId="21365" xr:uid="{00000000-0005-0000-0000-0000A2950000}"/>
    <cellStyle name="Total 2 7 3 5 6" xfId="32210" xr:uid="{00000000-0005-0000-0000-0000A3950000}"/>
    <cellStyle name="Total 2 7 3 5 7" xfId="12946" xr:uid="{00000000-0005-0000-0000-0000A4950000}"/>
    <cellStyle name="Total 2 7 3 6" xfId="2775" xr:uid="{00000000-0005-0000-0000-0000A5950000}"/>
    <cellStyle name="Total 2 7 3 6 2" xfId="5627" xr:uid="{00000000-0005-0000-0000-0000A6950000}"/>
    <cellStyle name="Total 2 7 3 6 2 2" xfId="24599" xr:uid="{00000000-0005-0000-0000-0000A7950000}"/>
    <cellStyle name="Total 2 7 3 6 2 3" xfId="35444" xr:uid="{00000000-0005-0000-0000-0000A8950000}"/>
    <cellStyle name="Total 2 7 3 6 2 4" xfId="15261" xr:uid="{00000000-0005-0000-0000-0000A9950000}"/>
    <cellStyle name="Total 2 7 3 6 3" xfId="8298" xr:uid="{00000000-0005-0000-0000-0000AA950000}"/>
    <cellStyle name="Total 2 7 3 6 3 2" xfId="27270" xr:uid="{00000000-0005-0000-0000-0000AB950000}"/>
    <cellStyle name="Total 2 7 3 6 3 3" xfId="38115" xr:uid="{00000000-0005-0000-0000-0000AC950000}"/>
    <cellStyle name="Total 2 7 3 6 3 4" xfId="17174" xr:uid="{00000000-0005-0000-0000-0000AD950000}"/>
    <cellStyle name="Total 2 7 3 6 4" xfId="10957" xr:uid="{00000000-0005-0000-0000-0000AE950000}"/>
    <cellStyle name="Total 2 7 3 6 4 2" xfId="29929" xr:uid="{00000000-0005-0000-0000-0000AF950000}"/>
    <cellStyle name="Total 2 7 3 6 4 3" xfId="40774" xr:uid="{00000000-0005-0000-0000-0000B0950000}"/>
    <cellStyle name="Total 2 7 3 6 4 4" xfId="19078" xr:uid="{00000000-0005-0000-0000-0000B1950000}"/>
    <cellStyle name="Total 2 7 3 6 5" xfId="21753" xr:uid="{00000000-0005-0000-0000-0000B2950000}"/>
    <cellStyle name="Total 2 7 3 6 6" xfId="32598" xr:uid="{00000000-0005-0000-0000-0000B3950000}"/>
    <cellStyle name="Total 2 7 3 6 7" xfId="13224" xr:uid="{00000000-0005-0000-0000-0000B4950000}"/>
    <cellStyle name="Total 2 7 3 7" xfId="3466" xr:uid="{00000000-0005-0000-0000-0000B5950000}"/>
    <cellStyle name="Total 2 7 3 7 2" xfId="22438" xr:uid="{00000000-0005-0000-0000-0000B6950000}"/>
    <cellStyle name="Total 2 7 3 7 3" xfId="33283" xr:uid="{00000000-0005-0000-0000-0000B7950000}"/>
    <cellStyle name="Total 2 7 3 7 4" xfId="13706" xr:uid="{00000000-0005-0000-0000-0000B8950000}"/>
    <cellStyle name="Total 2 7 3 8" xfId="6142" xr:uid="{00000000-0005-0000-0000-0000B9950000}"/>
    <cellStyle name="Total 2 7 3 8 2" xfId="25114" xr:uid="{00000000-0005-0000-0000-0000BA950000}"/>
    <cellStyle name="Total 2 7 3 8 3" xfId="35959" xr:uid="{00000000-0005-0000-0000-0000BB950000}"/>
    <cellStyle name="Total 2 7 3 8 4" xfId="15623" xr:uid="{00000000-0005-0000-0000-0000BC950000}"/>
    <cellStyle name="Total 2 7 3 9" xfId="8801" xr:uid="{00000000-0005-0000-0000-0000BD950000}"/>
    <cellStyle name="Total 2 7 3 9 2" xfId="27773" xr:uid="{00000000-0005-0000-0000-0000BE950000}"/>
    <cellStyle name="Total 2 7 3 9 3" xfId="38618" xr:uid="{00000000-0005-0000-0000-0000BF950000}"/>
    <cellStyle name="Total 2 7 3 9 4" xfId="17527" xr:uid="{00000000-0005-0000-0000-0000C0950000}"/>
    <cellStyle name="Total 2 7 4" xfId="11480" xr:uid="{00000000-0005-0000-0000-0000C1950000}"/>
    <cellStyle name="Total 2 8" xfId="162" xr:uid="{00000000-0005-0000-0000-0000C2950000}"/>
    <cellStyle name="Total 2 8 2" xfId="406" xr:uid="{00000000-0005-0000-0000-0000C3950000}"/>
    <cellStyle name="Total 2 8 2 10" xfId="2697" xr:uid="{00000000-0005-0000-0000-0000C4950000}"/>
    <cellStyle name="Total 2 8 2 10 2" xfId="5549" xr:uid="{00000000-0005-0000-0000-0000C5950000}"/>
    <cellStyle name="Total 2 8 2 10 2 2" xfId="24521" xr:uid="{00000000-0005-0000-0000-0000C6950000}"/>
    <cellStyle name="Total 2 8 2 10 2 3" xfId="35366" xr:uid="{00000000-0005-0000-0000-0000C7950000}"/>
    <cellStyle name="Total 2 8 2 10 2 4" xfId="15203" xr:uid="{00000000-0005-0000-0000-0000C8950000}"/>
    <cellStyle name="Total 2 8 2 10 3" xfId="8220" xr:uid="{00000000-0005-0000-0000-0000C9950000}"/>
    <cellStyle name="Total 2 8 2 10 3 2" xfId="27192" xr:uid="{00000000-0005-0000-0000-0000CA950000}"/>
    <cellStyle name="Total 2 8 2 10 3 3" xfId="38037" xr:uid="{00000000-0005-0000-0000-0000CB950000}"/>
    <cellStyle name="Total 2 8 2 10 3 4" xfId="17116" xr:uid="{00000000-0005-0000-0000-0000CC950000}"/>
    <cellStyle name="Total 2 8 2 10 4" xfId="10879" xr:uid="{00000000-0005-0000-0000-0000CD950000}"/>
    <cellStyle name="Total 2 8 2 10 4 2" xfId="29851" xr:uid="{00000000-0005-0000-0000-0000CE950000}"/>
    <cellStyle name="Total 2 8 2 10 4 3" xfId="40696" xr:uid="{00000000-0005-0000-0000-0000CF950000}"/>
    <cellStyle name="Total 2 8 2 10 4 4" xfId="19020" xr:uid="{00000000-0005-0000-0000-0000D0950000}"/>
    <cellStyle name="Total 2 8 2 10 5" xfId="21675" xr:uid="{00000000-0005-0000-0000-0000D1950000}"/>
    <cellStyle name="Total 2 8 2 10 6" xfId="32520" xr:uid="{00000000-0005-0000-0000-0000D2950000}"/>
    <cellStyle name="Total 2 8 2 10 7" xfId="13166" xr:uid="{00000000-0005-0000-0000-0000D3950000}"/>
    <cellStyle name="Total 2 8 2 11" xfId="3083" xr:uid="{00000000-0005-0000-0000-0000D4950000}"/>
    <cellStyle name="Total 2 8 2 11 2" xfId="5934" xr:uid="{00000000-0005-0000-0000-0000D5950000}"/>
    <cellStyle name="Total 2 8 2 11 2 2" xfId="24906" xr:uid="{00000000-0005-0000-0000-0000D6950000}"/>
    <cellStyle name="Total 2 8 2 11 2 3" xfId="35751" xr:uid="{00000000-0005-0000-0000-0000D7950000}"/>
    <cellStyle name="Total 2 8 2 11 2 4" xfId="15479" xr:uid="{00000000-0005-0000-0000-0000D8950000}"/>
    <cellStyle name="Total 2 8 2 11 3" xfId="8605" xr:uid="{00000000-0005-0000-0000-0000D9950000}"/>
    <cellStyle name="Total 2 8 2 11 3 2" xfId="27577" xr:uid="{00000000-0005-0000-0000-0000DA950000}"/>
    <cellStyle name="Total 2 8 2 11 3 3" xfId="38422" xr:uid="{00000000-0005-0000-0000-0000DB950000}"/>
    <cellStyle name="Total 2 8 2 11 3 4" xfId="17392" xr:uid="{00000000-0005-0000-0000-0000DC950000}"/>
    <cellStyle name="Total 2 8 2 11 4" xfId="11264" xr:uid="{00000000-0005-0000-0000-0000DD950000}"/>
    <cellStyle name="Total 2 8 2 11 4 2" xfId="30236" xr:uid="{00000000-0005-0000-0000-0000DE950000}"/>
    <cellStyle name="Total 2 8 2 11 4 3" xfId="41081" xr:uid="{00000000-0005-0000-0000-0000DF950000}"/>
    <cellStyle name="Total 2 8 2 11 4 4" xfId="19296" xr:uid="{00000000-0005-0000-0000-0000E0950000}"/>
    <cellStyle name="Total 2 8 2 11 5" xfId="22060" xr:uid="{00000000-0005-0000-0000-0000E1950000}"/>
    <cellStyle name="Total 2 8 2 11 6" xfId="32905" xr:uid="{00000000-0005-0000-0000-0000E2950000}"/>
    <cellStyle name="Total 2 8 2 11 7" xfId="13442" xr:uid="{00000000-0005-0000-0000-0000E3950000}"/>
    <cellStyle name="Total 2 8 2 12" xfId="3140" xr:uid="{00000000-0005-0000-0000-0000E4950000}"/>
    <cellStyle name="Total 2 8 2 12 2" xfId="5991" xr:uid="{00000000-0005-0000-0000-0000E5950000}"/>
    <cellStyle name="Total 2 8 2 12 2 2" xfId="24963" xr:uid="{00000000-0005-0000-0000-0000E6950000}"/>
    <cellStyle name="Total 2 8 2 12 2 3" xfId="35808" xr:uid="{00000000-0005-0000-0000-0000E7950000}"/>
    <cellStyle name="Total 2 8 2 12 2 4" xfId="15516" xr:uid="{00000000-0005-0000-0000-0000E8950000}"/>
    <cellStyle name="Total 2 8 2 12 3" xfId="8662" xr:uid="{00000000-0005-0000-0000-0000E9950000}"/>
    <cellStyle name="Total 2 8 2 12 3 2" xfId="27634" xr:uid="{00000000-0005-0000-0000-0000EA950000}"/>
    <cellStyle name="Total 2 8 2 12 3 3" xfId="38479" xr:uid="{00000000-0005-0000-0000-0000EB950000}"/>
    <cellStyle name="Total 2 8 2 12 3 4" xfId="17429" xr:uid="{00000000-0005-0000-0000-0000EC950000}"/>
    <cellStyle name="Total 2 8 2 12 4" xfId="11321" xr:uid="{00000000-0005-0000-0000-0000ED950000}"/>
    <cellStyle name="Total 2 8 2 12 4 2" xfId="30293" xr:uid="{00000000-0005-0000-0000-0000EE950000}"/>
    <cellStyle name="Total 2 8 2 12 4 3" xfId="41138" xr:uid="{00000000-0005-0000-0000-0000EF950000}"/>
    <cellStyle name="Total 2 8 2 12 4 4" xfId="19333" xr:uid="{00000000-0005-0000-0000-0000F0950000}"/>
    <cellStyle name="Total 2 8 2 12 5" xfId="22117" xr:uid="{00000000-0005-0000-0000-0000F1950000}"/>
    <cellStyle name="Total 2 8 2 12 6" xfId="32962" xr:uid="{00000000-0005-0000-0000-0000F2950000}"/>
    <cellStyle name="Total 2 8 2 12 7" xfId="13479" xr:uid="{00000000-0005-0000-0000-0000F3950000}"/>
    <cellStyle name="Total 2 8 2 13" xfId="3197" xr:uid="{00000000-0005-0000-0000-0000F4950000}"/>
    <cellStyle name="Total 2 8 2 13 2" xfId="6048" xr:uid="{00000000-0005-0000-0000-0000F5950000}"/>
    <cellStyle name="Total 2 8 2 13 2 2" xfId="25020" xr:uid="{00000000-0005-0000-0000-0000F6950000}"/>
    <cellStyle name="Total 2 8 2 13 2 3" xfId="35865" xr:uid="{00000000-0005-0000-0000-0000F7950000}"/>
    <cellStyle name="Total 2 8 2 13 2 4" xfId="15553" xr:uid="{00000000-0005-0000-0000-0000F8950000}"/>
    <cellStyle name="Total 2 8 2 13 3" xfId="8719" xr:uid="{00000000-0005-0000-0000-0000F9950000}"/>
    <cellStyle name="Total 2 8 2 13 3 2" xfId="27691" xr:uid="{00000000-0005-0000-0000-0000FA950000}"/>
    <cellStyle name="Total 2 8 2 13 3 3" xfId="38536" xr:uid="{00000000-0005-0000-0000-0000FB950000}"/>
    <cellStyle name="Total 2 8 2 13 3 4" xfId="17466" xr:uid="{00000000-0005-0000-0000-0000FC950000}"/>
    <cellStyle name="Total 2 8 2 13 4" xfId="11378" xr:uid="{00000000-0005-0000-0000-0000FD950000}"/>
    <cellStyle name="Total 2 8 2 13 4 2" xfId="30350" xr:uid="{00000000-0005-0000-0000-0000FE950000}"/>
    <cellStyle name="Total 2 8 2 13 4 3" xfId="41195" xr:uid="{00000000-0005-0000-0000-0000FF950000}"/>
    <cellStyle name="Total 2 8 2 13 4 4" xfId="19370" xr:uid="{00000000-0005-0000-0000-000000960000}"/>
    <cellStyle name="Total 2 8 2 13 5" xfId="22174" xr:uid="{00000000-0005-0000-0000-000001960000}"/>
    <cellStyle name="Total 2 8 2 13 6" xfId="33019" xr:uid="{00000000-0005-0000-0000-000002960000}"/>
    <cellStyle name="Total 2 8 2 13 7" xfId="13516" xr:uid="{00000000-0005-0000-0000-000003960000}"/>
    <cellStyle name="Total 2 8 2 14" xfId="3364" xr:uid="{00000000-0005-0000-0000-000004960000}"/>
    <cellStyle name="Total 2 8 2 14 2" xfId="22338" xr:uid="{00000000-0005-0000-0000-000005960000}"/>
    <cellStyle name="Total 2 8 2 14 3" xfId="33183" xr:uid="{00000000-0005-0000-0000-000006960000}"/>
    <cellStyle name="Total 2 8 2 14 4" xfId="13633" xr:uid="{00000000-0005-0000-0000-000007960000}"/>
    <cellStyle name="Total 2 8 2 15" xfId="3292" xr:uid="{00000000-0005-0000-0000-000008960000}"/>
    <cellStyle name="Total 2 8 2 15 2" xfId="22266" xr:uid="{00000000-0005-0000-0000-000009960000}"/>
    <cellStyle name="Total 2 8 2 15 3" xfId="33111" xr:uid="{00000000-0005-0000-0000-00000A960000}"/>
    <cellStyle name="Total 2 8 2 15 4" xfId="13582" xr:uid="{00000000-0005-0000-0000-00000B960000}"/>
    <cellStyle name="Total 2 8 2 16" xfId="6071" xr:uid="{00000000-0005-0000-0000-00000C960000}"/>
    <cellStyle name="Total 2 8 2 16 2" xfId="25043" xr:uid="{00000000-0005-0000-0000-00000D960000}"/>
    <cellStyle name="Total 2 8 2 16 3" xfId="35888" xr:uid="{00000000-0005-0000-0000-00000E960000}"/>
    <cellStyle name="Total 2 8 2 16 4" xfId="15565" xr:uid="{00000000-0005-0000-0000-00000F960000}"/>
    <cellStyle name="Total 2 8 2 17" xfId="19494" xr:uid="{00000000-0005-0000-0000-000010960000}"/>
    <cellStyle name="Total 2 8 2 18" xfId="19389" xr:uid="{00000000-0005-0000-0000-000011960000}"/>
    <cellStyle name="Total 2 8 2 19" xfId="11543" xr:uid="{00000000-0005-0000-0000-000012960000}"/>
    <cellStyle name="Total 2 8 2 2" xfId="705" xr:uid="{00000000-0005-0000-0000-000013960000}"/>
    <cellStyle name="Total 2 8 2 2 10" xfId="19690" xr:uid="{00000000-0005-0000-0000-000014960000}"/>
    <cellStyle name="Total 2 8 2 2 11" xfId="30535" xr:uid="{00000000-0005-0000-0000-000015960000}"/>
    <cellStyle name="Total 2 8 2 2 12" xfId="11747" xr:uid="{00000000-0005-0000-0000-000016960000}"/>
    <cellStyle name="Total 2 8 2 2 2" xfId="1292" xr:uid="{00000000-0005-0000-0000-000017960000}"/>
    <cellStyle name="Total 2 8 2 2 2 2" xfId="4145" xr:uid="{00000000-0005-0000-0000-000018960000}"/>
    <cellStyle name="Total 2 8 2 2 2 2 2" xfId="23117" xr:uid="{00000000-0005-0000-0000-000019960000}"/>
    <cellStyle name="Total 2 8 2 2 2 2 3" xfId="33962" xr:uid="{00000000-0005-0000-0000-00001A960000}"/>
    <cellStyle name="Total 2 8 2 2 2 2 4" xfId="14208" xr:uid="{00000000-0005-0000-0000-00001B960000}"/>
    <cellStyle name="Total 2 8 2 2 2 3" xfId="6818" xr:uid="{00000000-0005-0000-0000-00001C960000}"/>
    <cellStyle name="Total 2 8 2 2 2 3 2" xfId="25790" xr:uid="{00000000-0005-0000-0000-00001D960000}"/>
    <cellStyle name="Total 2 8 2 2 2 3 3" xfId="36635" xr:uid="{00000000-0005-0000-0000-00001E960000}"/>
    <cellStyle name="Total 2 8 2 2 2 3 4" xfId="16123" xr:uid="{00000000-0005-0000-0000-00001F960000}"/>
    <cellStyle name="Total 2 8 2 2 2 4" xfId="9477" xr:uid="{00000000-0005-0000-0000-000020960000}"/>
    <cellStyle name="Total 2 8 2 2 2 4 2" xfId="28449" xr:uid="{00000000-0005-0000-0000-000021960000}"/>
    <cellStyle name="Total 2 8 2 2 2 4 3" xfId="39294" xr:uid="{00000000-0005-0000-0000-000022960000}"/>
    <cellStyle name="Total 2 8 2 2 2 4 4" xfId="18027" xr:uid="{00000000-0005-0000-0000-000023960000}"/>
    <cellStyle name="Total 2 8 2 2 2 5" xfId="20273" xr:uid="{00000000-0005-0000-0000-000024960000}"/>
    <cellStyle name="Total 2 8 2 2 2 6" xfId="31118" xr:uid="{00000000-0005-0000-0000-000025960000}"/>
    <cellStyle name="Total 2 8 2 2 2 7" xfId="12173" xr:uid="{00000000-0005-0000-0000-000026960000}"/>
    <cellStyle name="Total 2 8 2 2 3" xfId="1691" xr:uid="{00000000-0005-0000-0000-000027960000}"/>
    <cellStyle name="Total 2 8 2 2 3 2" xfId="4544" xr:uid="{00000000-0005-0000-0000-000028960000}"/>
    <cellStyle name="Total 2 8 2 2 3 2 2" xfId="23516" xr:uid="{00000000-0005-0000-0000-000029960000}"/>
    <cellStyle name="Total 2 8 2 2 3 2 3" xfId="34361" xr:uid="{00000000-0005-0000-0000-00002A960000}"/>
    <cellStyle name="Total 2 8 2 2 3 2 4" xfId="14495" xr:uid="{00000000-0005-0000-0000-00002B960000}"/>
    <cellStyle name="Total 2 8 2 2 3 3" xfId="7216" xr:uid="{00000000-0005-0000-0000-00002C960000}"/>
    <cellStyle name="Total 2 8 2 2 3 3 2" xfId="26188" xr:uid="{00000000-0005-0000-0000-00002D960000}"/>
    <cellStyle name="Total 2 8 2 2 3 3 3" xfId="37033" xr:uid="{00000000-0005-0000-0000-00002E960000}"/>
    <cellStyle name="Total 2 8 2 2 3 3 4" xfId="16409" xr:uid="{00000000-0005-0000-0000-00002F960000}"/>
    <cellStyle name="Total 2 8 2 2 3 4" xfId="9875" xr:uid="{00000000-0005-0000-0000-000030960000}"/>
    <cellStyle name="Total 2 8 2 2 3 4 2" xfId="28847" xr:uid="{00000000-0005-0000-0000-000031960000}"/>
    <cellStyle name="Total 2 8 2 2 3 4 3" xfId="39692" xr:uid="{00000000-0005-0000-0000-000032960000}"/>
    <cellStyle name="Total 2 8 2 2 3 4 4" xfId="18313" xr:uid="{00000000-0005-0000-0000-000033960000}"/>
    <cellStyle name="Total 2 8 2 2 3 5" xfId="20671" xr:uid="{00000000-0005-0000-0000-000034960000}"/>
    <cellStyle name="Total 2 8 2 2 3 6" xfId="31516" xr:uid="{00000000-0005-0000-0000-000035960000}"/>
    <cellStyle name="Total 2 8 2 2 3 7" xfId="12459" xr:uid="{00000000-0005-0000-0000-000036960000}"/>
    <cellStyle name="Total 2 8 2 2 4" xfId="2095" xr:uid="{00000000-0005-0000-0000-000037960000}"/>
    <cellStyle name="Total 2 8 2 2 4 2" xfId="4948" xr:uid="{00000000-0005-0000-0000-000038960000}"/>
    <cellStyle name="Total 2 8 2 2 4 2 2" xfId="23920" xr:uid="{00000000-0005-0000-0000-000039960000}"/>
    <cellStyle name="Total 2 8 2 2 4 2 3" xfId="34765" xr:uid="{00000000-0005-0000-0000-00003A960000}"/>
    <cellStyle name="Total 2 8 2 2 4 2 4" xfId="14782" xr:uid="{00000000-0005-0000-0000-00003B960000}"/>
    <cellStyle name="Total 2 8 2 2 4 3" xfId="7619" xr:uid="{00000000-0005-0000-0000-00003C960000}"/>
    <cellStyle name="Total 2 8 2 2 4 3 2" xfId="26591" xr:uid="{00000000-0005-0000-0000-00003D960000}"/>
    <cellStyle name="Total 2 8 2 2 4 3 3" xfId="37436" xr:uid="{00000000-0005-0000-0000-00003E960000}"/>
    <cellStyle name="Total 2 8 2 2 4 3 4" xfId="16695" xr:uid="{00000000-0005-0000-0000-00003F960000}"/>
    <cellStyle name="Total 2 8 2 2 4 4" xfId="10278" xr:uid="{00000000-0005-0000-0000-000040960000}"/>
    <cellStyle name="Total 2 8 2 2 4 4 2" xfId="29250" xr:uid="{00000000-0005-0000-0000-000041960000}"/>
    <cellStyle name="Total 2 8 2 2 4 4 3" xfId="40095" xr:uid="{00000000-0005-0000-0000-000042960000}"/>
    <cellStyle name="Total 2 8 2 2 4 4 4" xfId="18599" xr:uid="{00000000-0005-0000-0000-000043960000}"/>
    <cellStyle name="Total 2 8 2 2 4 5" xfId="21074" xr:uid="{00000000-0005-0000-0000-000044960000}"/>
    <cellStyle name="Total 2 8 2 2 4 6" xfId="31919" xr:uid="{00000000-0005-0000-0000-000045960000}"/>
    <cellStyle name="Total 2 8 2 2 4 7" xfId="12745" xr:uid="{00000000-0005-0000-0000-000046960000}"/>
    <cellStyle name="Total 2 8 2 2 5" xfId="2485" xr:uid="{00000000-0005-0000-0000-000047960000}"/>
    <cellStyle name="Total 2 8 2 2 5 2" xfId="5337" xr:uid="{00000000-0005-0000-0000-000048960000}"/>
    <cellStyle name="Total 2 8 2 2 5 2 2" xfId="24309" xr:uid="{00000000-0005-0000-0000-000049960000}"/>
    <cellStyle name="Total 2 8 2 2 5 2 3" xfId="35154" xr:uid="{00000000-0005-0000-0000-00004A960000}"/>
    <cellStyle name="Total 2 8 2 2 5 2 4" xfId="15061" xr:uid="{00000000-0005-0000-0000-00004B960000}"/>
    <cellStyle name="Total 2 8 2 2 5 3" xfId="8008" xr:uid="{00000000-0005-0000-0000-00004C960000}"/>
    <cellStyle name="Total 2 8 2 2 5 3 2" xfId="26980" xr:uid="{00000000-0005-0000-0000-00004D960000}"/>
    <cellStyle name="Total 2 8 2 2 5 3 3" xfId="37825" xr:uid="{00000000-0005-0000-0000-00004E960000}"/>
    <cellStyle name="Total 2 8 2 2 5 3 4" xfId="16974" xr:uid="{00000000-0005-0000-0000-00004F960000}"/>
    <cellStyle name="Total 2 8 2 2 5 4" xfId="10667" xr:uid="{00000000-0005-0000-0000-000050960000}"/>
    <cellStyle name="Total 2 8 2 2 5 4 2" xfId="29639" xr:uid="{00000000-0005-0000-0000-000051960000}"/>
    <cellStyle name="Total 2 8 2 2 5 4 3" xfId="40484" xr:uid="{00000000-0005-0000-0000-000052960000}"/>
    <cellStyle name="Total 2 8 2 2 5 4 4" xfId="18878" xr:uid="{00000000-0005-0000-0000-000053960000}"/>
    <cellStyle name="Total 2 8 2 2 5 5" xfId="21463" xr:uid="{00000000-0005-0000-0000-000054960000}"/>
    <cellStyle name="Total 2 8 2 2 5 6" xfId="32308" xr:uid="{00000000-0005-0000-0000-000055960000}"/>
    <cellStyle name="Total 2 8 2 2 5 7" xfId="13024" xr:uid="{00000000-0005-0000-0000-000056960000}"/>
    <cellStyle name="Total 2 8 2 2 6" xfId="2871" xr:uid="{00000000-0005-0000-0000-000057960000}"/>
    <cellStyle name="Total 2 8 2 2 6 2" xfId="5722" xr:uid="{00000000-0005-0000-0000-000058960000}"/>
    <cellStyle name="Total 2 8 2 2 6 2 2" xfId="24694" xr:uid="{00000000-0005-0000-0000-000059960000}"/>
    <cellStyle name="Total 2 8 2 2 6 2 3" xfId="35539" xr:uid="{00000000-0005-0000-0000-00005A960000}"/>
    <cellStyle name="Total 2 8 2 2 6 2 4" xfId="15337" xr:uid="{00000000-0005-0000-0000-00005B960000}"/>
    <cellStyle name="Total 2 8 2 2 6 3" xfId="8393" xr:uid="{00000000-0005-0000-0000-00005C960000}"/>
    <cellStyle name="Total 2 8 2 2 6 3 2" xfId="27365" xr:uid="{00000000-0005-0000-0000-00005D960000}"/>
    <cellStyle name="Total 2 8 2 2 6 3 3" xfId="38210" xr:uid="{00000000-0005-0000-0000-00005E960000}"/>
    <cellStyle name="Total 2 8 2 2 6 3 4" xfId="17250" xr:uid="{00000000-0005-0000-0000-00005F960000}"/>
    <cellStyle name="Total 2 8 2 2 6 4" xfId="11052" xr:uid="{00000000-0005-0000-0000-000060960000}"/>
    <cellStyle name="Total 2 8 2 2 6 4 2" xfId="30024" xr:uid="{00000000-0005-0000-0000-000061960000}"/>
    <cellStyle name="Total 2 8 2 2 6 4 3" xfId="40869" xr:uid="{00000000-0005-0000-0000-000062960000}"/>
    <cellStyle name="Total 2 8 2 2 6 4 4" xfId="19154" xr:uid="{00000000-0005-0000-0000-000063960000}"/>
    <cellStyle name="Total 2 8 2 2 6 5" xfId="21848" xr:uid="{00000000-0005-0000-0000-000064960000}"/>
    <cellStyle name="Total 2 8 2 2 6 6" xfId="32693" xr:uid="{00000000-0005-0000-0000-000065960000}"/>
    <cellStyle name="Total 2 8 2 2 6 7" xfId="13300" xr:uid="{00000000-0005-0000-0000-000066960000}"/>
    <cellStyle name="Total 2 8 2 2 7" xfId="3560" xr:uid="{00000000-0005-0000-0000-000067960000}"/>
    <cellStyle name="Total 2 8 2 2 7 2" xfId="22532" xr:uid="{00000000-0005-0000-0000-000068960000}"/>
    <cellStyle name="Total 2 8 2 2 7 3" xfId="33377" xr:uid="{00000000-0005-0000-0000-000069960000}"/>
    <cellStyle name="Total 2 8 2 2 7 4" xfId="13781" xr:uid="{00000000-0005-0000-0000-00006A960000}"/>
    <cellStyle name="Total 2 8 2 2 8" xfId="6235" xr:uid="{00000000-0005-0000-0000-00006B960000}"/>
    <cellStyle name="Total 2 8 2 2 8 2" xfId="25207" xr:uid="{00000000-0005-0000-0000-00006C960000}"/>
    <cellStyle name="Total 2 8 2 2 8 3" xfId="36052" xr:uid="{00000000-0005-0000-0000-00006D960000}"/>
    <cellStyle name="Total 2 8 2 2 8 4" xfId="15697" xr:uid="{00000000-0005-0000-0000-00006E960000}"/>
    <cellStyle name="Total 2 8 2 2 9" xfId="8894" xr:uid="{00000000-0005-0000-0000-00006F960000}"/>
    <cellStyle name="Total 2 8 2 2 9 2" xfId="27866" xr:uid="{00000000-0005-0000-0000-000070960000}"/>
    <cellStyle name="Total 2 8 2 2 9 3" xfId="38711" xr:uid="{00000000-0005-0000-0000-000071960000}"/>
    <cellStyle name="Total 2 8 2 2 9 4" xfId="17601" xr:uid="{00000000-0005-0000-0000-000072960000}"/>
    <cellStyle name="Total 2 8 2 3" xfId="765" xr:uid="{00000000-0005-0000-0000-000073960000}"/>
    <cellStyle name="Total 2 8 2 3 10" xfId="19750" xr:uid="{00000000-0005-0000-0000-000074960000}"/>
    <cellStyle name="Total 2 8 2 3 11" xfId="30595" xr:uid="{00000000-0005-0000-0000-000075960000}"/>
    <cellStyle name="Total 2 8 2 3 12" xfId="11787" xr:uid="{00000000-0005-0000-0000-000076960000}"/>
    <cellStyle name="Total 2 8 2 3 2" xfId="1352" xr:uid="{00000000-0005-0000-0000-000077960000}"/>
    <cellStyle name="Total 2 8 2 3 2 2" xfId="4205" xr:uid="{00000000-0005-0000-0000-000078960000}"/>
    <cellStyle name="Total 2 8 2 3 2 2 2" xfId="23177" xr:uid="{00000000-0005-0000-0000-000079960000}"/>
    <cellStyle name="Total 2 8 2 3 2 2 3" xfId="34022" xr:uid="{00000000-0005-0000-0000-00007A960000}"/>
    <cellStyle name="Total 2 8 2 3 2 2 4" xfId="14248" xr:uid="{00000000-0005-0000-0000-00007B960000}"/>
    <cellStyle name="Total 2 8 2 3 2 3" xfId="6878" xr:uid="{00000000-0005-0000-0000-00007C960000}"/>
    <cellStyle name="Total 2 8 2 3 2 3 2" xfId="25850" xr:uid="{00000000-0005-0000-0000-00007D960000}"/>
    <cellStyle name="Total 2 8 2 3 2 3 3" xfId="36695" xr:uid="{00000000-0005-0000-0000-00007E960000}"/>
    <cellStyle name="Total 2 8 2 3 2 3 4" xfId="16163" xr:uid="{00000000-0005-0000-0000-00007F960000}"/>
    <cellStyle name="Total 2 8 2 3 2 4" xfId="9537" xr:uid="{00000000-0005-0000-0000-000080960000}"/>
    <cellStyle name="Total 2 8 2 3 2 4 2" xfId="28509" xr:uid="{00000000-0005-0000-0000-000081960000}"/>
    <cellStyle name="Total 2 8 2 3 2 4 3" xfId="39354" xr:uid="{00000000-0005-0000-0000-000082960000}"/>
    <cellStyle name="Total 2 8 2 3 2 4 4" xfId="18067" xr:uid="{00000000-0005-0000-0000-000083960000}"/>
    <cellStyle name="Total 2 8 2 3 2 5" xfId="20333" xr:uid="{00000000-0005-0000-0000-000084960000}"/>
    <cellStyle name="Total 2 8 2 3 2 6" xfId="31178" xr:uid="{00000000-0005-0000-0000-000085960000}"/>
    <cellStyle name="Total 2 8 2 3 2 7" xfId="12213" xr:uid="{00000000-0005-0000-0000-000086960000}"/>
    <cellStyle name="Total 2 8 2 3 3" xfId="1751" xr:uid="{00000000-0005-0000-0000-000087960000}"/>
    <cellStyle name="Total 2 8 2 3 3 2" xfId="4604" xr:uid="{00000000-0005-0000-0000-000088960000}"/>
    <cellStyle name="Total 2 8 2 3 3 2 2" xfId="23576" xr:uid="{00000000-0005-0000-0000-000089960000}"/>
    <cellStyle name="Total 2 8 2 3 3 2 3" xfId="34421" xr:uid="{00000000-0005-0000-0000-00008A960000}"/>
    <cellStyle name="Total 2 8 2 3 3 2 4" xfId="14535" xr:uid="{00000000-0005-0000-0000-00008B960000}"/>
    <cellStyle name="Total 2 8 2 3 3 3" xfId="7276" xr:uid="{00000000-0005-0000-0000-00008C960000}"/>
    <cellStyle name="Total 2 8 2 3 3 3 2" xfId="26248" xr:uid="{00000000-0005-0000-0000-00008D960000}"/>
    <cellStyle name="Total 2 8 2 3 3 3 3" xfId="37093" xr:uid="{00000000-0005-0000-0000-00008E960000}"/>
    <cellStyle name="Total 2 8 2 3 3 3 4" xfId="16449" xr:uid="{00000000-0005-0000-0000-00008F960000}"/>
    <cellStyle name="Total 2 8 2 3 3 4" xfId="9935" xr:uid="{00000000-0005-0000-0000-000090960000}"/>
    <cellStyle name="Total 2 8 2 3 3 4 2" xfId="28907" xr:uid="{00000000-0005-0000-0000-000091960000}"/>
    <cellStyle name="Total 2 8 2 3 3 4 3" xfId="39752" xr:uid="{00000000-0005-0000-0000-000092960000}"/>
    <cellStyle name="Total 2 8 2 3 3 4 4" xfId="18353" xr:uid="{00000000-0005-0000-0000-000093960000}"/>
    <cellStyle name="Total 2 8 2 3 3 5" xfId="20731" xr:uid="{00000000-0005-0000-0000-000094960000}"/>
    <cellStyle name="Total 2 8 2 3 3 6" xfId="31576" xr:uid="{00000000-0005-0000-0000-000095960000}"/>
    <cellStyle name="Total 2 8 2 3 3 7" xfId="12499" xr:uid="{00000000-0005-0000-0000-000096960000}"/>
    <cellStyle name="Total 2 8 2 3 4" xfId="2155" xr:uid="{00000000-0005-0000-0000-000097960000}"/>
    <cellStyle name="Total 2 8 2 3 4 2" xfId="5008" xr:uid="{00000000-0005-0000-0000-000098960000}"/>
    <cellStyle name="Total 2 8 2 3 4 2 2" xfId="23980" xr:uid="{00000000-0005-0000-0000-000099960000}"/>
    <cellStyle name="Total 2 8 2 3 4 2 3" xfId="34825" xr:uid="{00000000-0005-0000-0000-00009A960000}"/>
    <cellStyle name="Total 2 8 2 3 4 2 4" xfId="14822" xr:uid="{00000000-0005-0000-0000-00009B960000}"/>
    <cellStyle name="Total 2 8 2 3 4 3" xfId="7679" xr:uid="{00000000-0005-0000-0000-00009C960000}"/>
    <cellStyle name="Total 2 8 2 3 4 3 2" xfId="26651" xr:uid="{00000000-0005-0000-0000-00009D960000}"/>
    <cellStyle name="Total 2 8 2 3 4 3 3" xfId="37496" xr:uid="{00000000-0005-0000-0000-00009E960000}"/>
    <cellStyle name="Total 2 8 2 3 4 3 4" xfId="16735" xr:uid="{00000000-0005-0000-0000-00009F960000}"/>
    <cellStyle name="Total 2 8 2 3 4 4" xfId="10338" xr:uid="{00000000-0005-0000-0000-0000A0960000}"/>
    <cellStyle name="Total 2 8 2 3 4 4 2" xfId="29310" xr:uid="{00000000-0005-0000-0000-0000A1960000}"/>
    <cellStyle name="Total 2 8 2 3 4 4 3" xfId="40155" xr:uid="{00000000-0005-0000-0000-0000A2960000}"/>
    <cellStyle name="Total 2 8 2 3 4 4 4" xfId="18639" xr:uid="{00000000-0005-0000-0000-0000A3960000}"/>
    <cellStyle name="Total 2 8 2 3 4 5" xfId="21134" xr:uid="{00000000-0005-0000-0000-0000A4960000}"/>
    <cellStyle name="Total 2 8 2 3 4 6" xfId="31979" xr:uid="{00000000-0005-0000-0000-0000A5960000}"/>
    <cellStyle name="Total 2 8 2 3 4 7" xfId="12785" xr:uid="{00000000-0005-0000-0000-0000A6960000}"/>
    <cellStyle name="Total 2 8 2 3 5" xfId="2545" xr:uid="{00000000-0005-0000-0000-0000A7960000}"/>
    <cellStyle name="Total 2 8 2 3 5 2" xfId="5397" xr:uid="{00000000-0005-0000-0000-0000A8960000}"/>
    <cellStyle name="Total 2 8 2 3 5 2 2" xfId="24369" xr:uid="{00000000-0005-0000-0000-0000A9960000}"/>
    <cellStyle name="Total 2 8 2 3 5 2 3" xfId="35214" xr:uid="{00000000-0005-0000-0000-0000AA960000}"/>
    <cellStyle name="Total 2 8 2 3 5 2 4" xfId="15101" xr:uid="{00000000-0005-0000-0000-0000AB960000}"/>
    <cellStyle name="Total 2 8 2 3 5 3" xfId="8068" xr:uid="{00000000-0005-0000-0000-0000AC960000}"/>
    <cellStyle name="Total 2 8 2 3 5 3 2" xfId="27040" xr:uid="{00000000-0005-0000-0000-0000AD960000}"/>
    <cellStyle name="Total 2 8 2 3 5 3 3" xfId="37885" xr:uid="{00000000-0005-0000-0000-0000AE960000}"/>
    <cellStyle name="Total 2 8 2 3 5 3 4" xfId="17014" xr:uid="{00000000-0005-0000-0000-0000AF960000}"/>
    <cellStyle name="Total 2 8 2 3 5 4" xfId="10727" xr:uid="{00000000-0005-0000-0000-0000B0960000}"/>
    <cellStyle name="Total 2 8 2 3 5 4 2" xfId="29699" xr:uid="{00000000-0005-0000-0000-0000B1960000}"/>
    <cellStyle name="Total 2 8 2 3 5 4 3" xfId="40544" xr:uid="{00000000-0005-0000-0000-0000B2960000}"/>
    <cellStyle name="Total 2 8 2 3 5 4 4" xfId="18918" xr:uid="{00000000-0005-0000-0000-0000B3960000}"/>
    <cellStyle name="Total 2 8 2 3 5 5" xfId="21523" xr:uid="{00000000-0005-0000-0000-0000B4960000}"/>
    <cellStyle name="Total 2 8 2 3 5 6" xfId="32368" xr:uid="{00000000-0005-0000-0000-0000B5960000}"/>
    <cellStyle name="Total 2 8 2 3 5 7" xfId="13064" xr:uid="{00000000-0005-0000-0000-0000B6960000}"/>
    <cellStyle name="Total 2 8 2 3 6" xfId="2931" xr:uid="{00000000-0005-0000-0000-0000B7960000}"/>
    <cellStyle name="Total 2 8 2 3 6 2" xfId="5782" xr:uid="{00000000-0005-0000-0000-0000B8960000}"/>
    <cellStyle name="Total 2 8 2 3 6 2 2" xfId="24754" xr:uid="{00000000-0005-0000-0000-0000B9960000}"/>
    <cellStyle name="Total 2 8 2 3 6 2 3" xfId="35599" xr:uid="{00000000-0005-0000-0000-0000BA960000}"/>
    <cellStyle name="Total 2 8 2 3 6 2 4" xfId="15377" xr:uid="{00000000-0005-0000-0000-0000BB960000}"/>
    <cellStyle name="Total 2 8 2 3 6 3" xfId="8453" xr:uid="{00000000-0005-0000-0000-0000BC960000}"/>
    <cellStyle name="Total 2 8 2 3 6 3 2" xfId="27425" xr:uid="{00000000-0005-0000-0000-0000BD960000}"/>
    <cellStyle name="Total 2 8 2 3 6 3 3" xfId="38270" xr:uid="{00000000-0005-0000-0000-0000BE960000}"/>
    <cellStyle name="Total 2 8 2 3 6 3 4" xfId="17290" xr:uid="{00000000-0005-0000-0000-0000BF960000}"/>
    <cellStyle name="Total 2 8 2 3 6 4" xfId="11112" xr:uid="{00000000-0005-0000-0000-0000C0960000}"/>
    <cellStyle name="Total 2 8 2 3 6 4 2" xfId="30084" xr:uid="{00000000-0005-0000-0000-0000C1960000}"/>
    <cellStyle name="Total 2 8 2 3 6 4 3" xfId="40929" xr:uid="{00000000-0005-0000-0000-0000C2960000}"/>
    <cellStyle name="Total 2 8 2 3 6 4 4" xfId="19194" xr:uid="{00000000-0005-0000-0000-0000C3960000}"/>
    <cellStyle name="Total 2 8 2 3 6 5" xfId="21908" xr:uid="{00000000-0005-0000-0000-0000C4960000}"/>
    <cellStyle name="Total 2 8 2 3 6 6" xfId="32753" xr:uid="{00000000-0005-0000-0000-0000C5960000}"/>
    <cellStyle name="Total 2 8 2 3 6 7" xfId="13340" xr:uid="{00000000-0005-0000-0000-0000C6960000}"/>
    <cellStyle name="Total 2 8 2 3 7" xfId="3620" xr:uid="{00000000-0005-0000-0000-0000C7960000}"/>
    <cellStyle name="Total 2 8 2 3 7 2" xfId="22592" xr:uid="{00000000-0005-0000-0000-0000C8960000}"/>
    <cellStyle name="Total 2 8 2 3 7 3" xfId="33437" xr:uid="{00000000-0005-0000-0000-0000C9960000}"/>
    <cellStyle name="Total 2 8 2 3 7 4" xfId="13821" xr:uid="{00000000-0005-0000-0000-0000CA960000}"/>
    <cellStyle name="Total 2 8 2 3 8" xfId="6295" xr:uid="{00000000-0005-0000-0000-0000CB960000}"/>
    <cellStyle name="Total 2 8 2 3 8 2" xfId="25267" xr:uid="{00000000-0005-0000-0000-0000CC960000}"/>
    <cellStyle name="Total 2 8 2 3 8 3" xfId="36112" xr:uid="{00000000-0005-0000-0000-0000CD960000}"/>
    <cellStyle name="Total 2 8 2 3 8 4" xfId="15737" xr:uid="{00000000-0005-0000-0000-0000CE960000}"/>
    <cellStyle name="Total 2 8 2 3 9" xfId="8954" xr:uid="{00000000-0005-0000-0000-0000CF960000}"/>
    <cellStyle name="Total 2 8 2 3 9 2" xfId="27926" xr:uid="{00000000-0005-0000-0000-0000D0960000}"/>
    <cellStyle name="Total 2 8 2 3 9 3" xfId="38771" xr:uid="{00000000-0005-0000-0000-0000D1960000}"/>
    <cellStyle name="Total 2 8 2 3 9 4" xfId="17641" xr:uid="{00000000-0005-0000-0000-0000D2960000}"/>
    <cellStyle name="Total 2 8 2 4" xfId="825" xr:uid="{00000000-0005-0000-0000-0000D3960000}"/>
    <cellStyle name="Total 2 8 2 4 10" xfId="19810" xr:uid="{00000000-0005-0000-0000-0000D4960000}"/>
    <cellStyle name="Total 2 8 2 4 11" xfId="30655" xr:uid="{00000000-0005-0000-0000-0000D5960000}"/>
    <cellStyle name="Total 2 8 2 4 12" xfId="11827" xr:uid="{00000000-0005-0000-0000-0000D6960000}"/>
    <cellStyle name="Total 2 8 2 4 2" xfId="1412" xr:uid="{00000000-0005-0000-0000-0000D7960000}"/>
    <cellStyle name="Total 2 8 2 4 2 2" xfId="4265" xr:uid="{00000000-0005-0000-0000-0000D8960000}"/>
    <cellStyle name="Total 2 8 2 4 2 2 2" xfId="23237" xr:uid="{00000000-0005-0000-0000-0000D9960000}"/>
    <cellStyle name="Total 2 8 2 4 2 2 3" xfId="34082" xr:uid="{00000000-0005-0000-0000-0000DA960000}"/>
    <cellStyle name="Total 2 8 2 4 2 2 4" xfId="14288" xr:uid="{00000000-0005-0000-0000-0000DB960000}"/>
    <cellStyle name="Total 2 8 2 4 2 3" xfId="6938" xr:uid="{00000000-0005-0000-0000-0000DC960000}"/>
    <cellStyle name="Total 2 8 2 4 2 3 2" xfId="25910" xr:uid="{00000000-0005-0000-0000-0000DD960000}"/>
    <cellStyle name="Total 2 8 2 4 2 3 3" xfId="36755" xr:uid="{00000000-0005-0000-0000-0000DE960000}"/>
    <cellStyle name="Total 2 8 2 4 2 3 4" xfId="16203" xr:uid="{00000000-0005-0000-0000-0000DF960000}"/>
    <cellStyle name="Total 2 8 2 4 2 4" xfId="9597" xr:uid="{00000000-0005-0000-0000-0000E0960000}"/>
    <cellStyle name="Total 2 8 2 4 2 4 2" xfId="28569" xr:uid="{00000000-0005-0000-0000-0000E1960000}"/>
    <cellStyle name="Total 2 8 2 4 2 4 3" xfId="39414" xr:uid="{00000000-0005-0000-0000-0000E2960000}"/>
    <cellStyle name="Total 2 8 2 4 2 4 4" xfId="18107" xr:uid="{00000000-0005-0000-0000-0000E3960000}"/>
    <cellStyle name="Total 2 8 2 4 2 5" xfId="20393" xr:uid="{00000000-0005-0000-0000-0000E4960000}"/>
    <cellStyle name="Total 2 8 2 4 2 6" xfId="31238" xr:uid="{00000000-0005-0000-0000-0000E5960000}"/>
    <cellStyle name="Total 2 8 2 4 2 7" xfId="12253" xr:uid="{00000000-0005-0000-0000-0000E6960000}"/>
    <cellStyle name="Total 2 8 2 4 3" xfId="1811" xr:uid="{00000000-0005-0000-0000-0000E7960000}"/>
    <cellStyle name="Total 2 8 2 4 3 2" xfId="4664" xr:uid="{00000000-0005-0000-0000-0000E8960000}"/>
    <cellStyle name="Total 2 8 2 4 3 2 2" xfId="23636" xr:uid="{00000000-0005-0000-0000-0000E9960000}"/>
    <cellStyle name="Total 2 8 2 4 3 2 3" xfId="34481" xr:uid="{00000000-0005-0000-0000-0000EA960000}"/>
    <cellStyle name="Total 2 8 2 4 3 2 4" xfId="14575" xr:uid="{00000000-0005-0000-0000-0000EB960000}"/>
    <cellStyle name="Total 2 8 2 4 3 3" xfId="7336" xr:uid="{00000000-0005-0000-0000-0000EC960000}"/>
    <cellStyle name="Total 2 8 2 4 3 3 2" xfId="26308" xr:uid="{00000000-0005-0000-0000-0000ED960000}"/>
    <cellStyle name="Total 2 8 2 4 3 3 3" xfId="37153" xr:uid="{00000000-0005-0000-0000-0000EE960000}"/>
    <cellStyle name="Total 2 8 2 4 3 3 4" xfId="16489" xr:uid="{00000000-0005-0000-0000-0000EF960000}"/>
    <cellStyle name="Total 2 8 2 4 3 4" xfId="9995" xr:uid="{00000000-0005-0000-0000-0000F0960000}"/>
    <cellStyle name="Total 2 8 2 4 3 4 2" xfId="28967" xr:uid="{00000000-0005-0000-0000-0000F1960000}"/>
    <cellStyle name="Total 2 8 2 4 3 4 3" xfId="39812" xr:uid="{00000000-0005-0000-0000-0000F2960000}"/>
    <cellStyle name="Total 2 8 2 4 3 4 4" xfId="18393" xr:uid="{00000000-0005-0000-0000-0000F3960000}"/>
    <cellStyle name="Total 2 8 2 4 3 5" xfId="20791" xr:uid="{00000000-0005-0000-0000-0000F4960000}"/>
    <cellStyle name="Total 2 8 2 4 3 6" xfId="31636" xr:uid="{00000000-0005-0000-0000-0000F5960000}"/>
    <cellStyle name="Total 2 8 2 4 3 7" xfId="12539" xr:uid="{00000000-0005-0000-0000-0000F6960000}"/>
    <cellStyle name="Total 2 8 2 4 4" xfId="2215" xr:uid="{00000000-0005-0000-0000-0000F7960000}"/>
    <cellStyle name="Total 2 8 2 4 4 2" xfId="5068" xr:uid="{00000000-0005-0000-0000-0000F8960000}"/>
    <cellStyle name="Total 2 8 2 4 4 2 2" xfId="24040" xr:uid="{00000000-0005-0000-0000-0000F9960000}"/>
    <cellStyle name="Total 2 8 2 4 4 2 3" xfId="34885" xr:uid="{00000000-0005-0000-0000-0000FA960000}"/>
    <cellStyle name="Total 2 8 2 4 4 2 4" xfId="14862" xr:uid="{00000000-0005-0000-0000-0000FB960000}"/>
    <cellStyle name="Total 2 8 2 4 4 3" xfId="7739" xr:uid="{00000000-0005-0000-0000-0000FC960000}"/>
    <cellStyle name="Total 2 8 2 4 4 3 2" xfId="26711" xr:uid="{00000000-0005-0000-0000-0000FD960000}"/>
    <cellStyle name="Total 2 8 2 4 4 3 3" xfId="37556" xr:uid="{00000000-0005-0000-0000-0000FE960000}"/>
    <cellStyle name="Total 2 8 2 4 4 3 4" xfId="16775" xr:uid="{00000000-0005-0000-0000-0000FF960000}"/>
    <cellStyle name="Total 2 8 2 4 4 4" xfId="10398" xr:uid="{00000000-0005-0000-0000-000000970000}"/>
    <cellStyle name="Total 2 8 2 4 4 4 2" xfId="29370" xr:uid="{00000000-0005-0000-0000-000001970000}"/>
    <cellStyle name="Total 2 8 2 4 4 4 3" xfId="40215" xr:uid="{00000000-0005-0000-0000-000002970000}"/>
    <cellStyle name="Total 2 8 2 4 4 4 4" xfId="18679" xr:uid="{00000000-0005-0000-0000-000003970000}"/>
    <cellStyle name="Total 2 8 2 4 4 5" xfId="21194" xr:uid="{00000000-0005-0000-0000-000004970000}"/>
    <cellStyle name="Total 2 8 2 4 4 6" xfId="32039" xr:uid="{00000000-0005-0000-0000-000005970000}"/>
    <cellStyle name="Total 2 8 2 4 4 7" xfId="12825" xr:uid="{00000000-0005-0000-0000-000006970000}"/>
    <cellStyle name="Total 2 8 2 4 5" xfId="2605" xr:uid="{00000000-0005-0000-0000-000007970000}"/>
    <cellStyle name="Total 2 8 2 4 5 2" xfId="5457" xr:uid="{00000000-0005-0000-0000-000008970000}"/>
    <cellStyle name="Total 2 8 2 4 5 2 2" xfId="24429" xr:uid="{00000000-0005-0000-0000-000009970000}"/>
    <cellStyle name="Total 2 8 2 4 5 2 3" xfId="35274" xr:uid="{00000000-0005-0000-0000-00000A970000}"/>
    <cellStyle name="Total 2 8 2 4 5 2 4" xfId="15141" xr:uid="{00000000-0005-0000-0000-00000B970000}"/>
    <cellStyle name="Total 2 8 2 4 5 3" xfId="8128" xr:uid="{00000000-0005-0000-0000-00000C970000}"/>
    <cellStyle name="Total 2 8 2 4 5 3 2" xfId="27100" xr:uid="{00000000-0005-0000-0000-00000D970000}"/>
    <cellStyle name="Total 2 8 2 4 5 3 3" xfId="37945" xr:uid="{00000000-0005-0000-0000-00000E970000}"/>
    <cellStyle name="Total 2 8 2 4 5 3 4" xfId="17054" xr:uid="{00000000-0005-0000-0000-00000F970000}"/>
    <cellStyle name="Total 2 8 2 4 5 4" xfId="10787" xr:uid="{00000000-0005-0000-0000-000010970000}"/>
    <cellStyle name="Total 2 8 2 4 5 4 2" xfId="29759" xr:uid="{00000000-0005-0000-0000-000011970000}"/>
    <cellStyle name="Total 2 8 2 4 5 4 3" xfId="40604" xr:uid="{00000000-0005-0000-0000-000012970000}"/>
    <cellStyle name="Total 2 8 2 4 5 4 4" xfId="18958" xr:uid="{00000000-0005-0000-0000-000013970000}"/>
    <cellStyle name="Total 2 8 2 4 5 5" xfId="21583" xr:uid="{00000000-0005-0000-0000-000014970000}"/>
    <cellStyle name="Total 2 8 2 4 5 6" xfId="32428" xr:uid="{00000000-0005-0000-0000-000015970000}"/>
    <cellStyle name="Total 2 8 2 4 5 7" xfId="13104" xr:uid="{00000000-0005-0000-0000-000016970000}"/>
    <cellStyle name="Total 2 8 2 4 6" xfId="2991" xr:uid="{00000000-0005-0000-0000-000017970000}"/>
    <cellStyle name="Total 2 8 2 4 6 2" xfId="5842" xr:uid="{00000000-0005-0000-0000-000018970000}"/>
    <cellStyle name="Total 2 8 2 4 6 2 2" xfId="24814" xr:uid="{00000000-0005-0000-0000-000019970000}"/>
    <cellStyle name="Total 2 8 2 4 6 2 3" xfId="35659" xr:uid="{00000000-0005-0000-0000-00001A970000}"/>
    <cellStyle name="Total 2 8 2 4 6 2 4" xfId="15417" xr:uid="{00000000-0005-0000-0000-00001B970000}"/>
    <cellStyle name="Total 2 8 2 4 6 3" xfId="8513" xr:uid="{00000000-0005-0000-0000-00001C970000}"/>
    <cellStyle name="Total 2 8 2 4 6 3 2" xfId="27485" xr:uid="{00000000-0005-0000-0000-00001D970000}"/>
    <cellStyle name="Total 2 8 2 4 6 3 3" xfId="38330" xr:uid="{00000000-0005-0000-0000-00001E970000}"/>
    <cellStyle name="Total 2 8 2 4 6 3 4" xfId="17330" xr:uid="{00000000-0005-0000-0000-00001F970000}"/>
    <cellStyle name="Total 2 8 2 4 6 4" xfId="11172" xr:uid="{00000000-0005-0000-0000-000020970000}"/>
    <cellStyle name="Total 2 8 2 4 6 4 2" xfId="30144" xr:uid="{00000000-0005-0000-0000-000021970000}"/>
    <cellStyle name="Total 2 8 2 4 6 4 3" xfId="40989" xr:uid="{00000000-0005-0000-0000-000022970000}"/>
    <cellStyle name="Total 2 8 2 4 6 4 4" xfId="19234" xr:uid="{00000000-0005-0000-0000-000023970000}"/>
    <cellStyle name="Total 2 8 2 4 6 5" xfId="21968" xr:uid="{00000000-0005-0000-0000-000024970000}"/>
    <cellStyle name="Total 2 8 2 4 6 6" xfId="32813" xr:uid="{00000000-0005-0000-0000-000025970000}"/>
    <cellStyle name="Total 2 8 2 4 6 7" xfId="13380" xr:uid="{00000000-0005-0000-0000-000026970000}"/>
    <cellStyle name="Total 2 8 2 4 7" xfId="3680" xr:uid="{00000000-0005-0000-0000-000027970000}"/>
    <cellStyle name="Total 2 8 2 4 7 2" xfId="22652" xr:uid="{00000000-0005-0000-0000-000028970000}"/>
    <cellStyle name="Total 2 8 2 4 7 3" xfId="33497" xr:uid="{00000000-0005-0000-0000-000029970000}"/>
    <cellStyle name="Total 2 8 2 4 7 4" xfId="13861" xr:uid="{00000000-0005-0000-0000-00002A970000}"/>
    <cellStyle name="Total 2 8 2 4 8" xfId="6355" xr:uid="{00000000-0005-0000-0000-00002B970000}"/>
    <cellStyle name="Total 2 8 2 4 8 2" xfId="25327" xr:uid="{00000000-0005-0000-0000-00002C970000}"/>
    <cellStyle name="Total 2 8 2 4 8 3" xfId="36172" xr:uid="{00000000-0005-0000-0000-00002D970000}"/>
    <cellStyle name="Total 2 8 2 4 8 4" xfId="15777" xr:uid="{00000000-0005-0000-0000-00002E970000}"/>
    <cellStyle name="Total 2 8 2 4 9" xfId="9014" xr:uid="{00000000-0005-0000-0000-00002F970000}"/>
    <cellStyle name="Total 2 8 2 4 9 2" xfId="27986" xr:uid="{00000000-0005-0000-0000-000030970000}"/>
    <cellStyle name="Total 2 8 2 4 9 3" xfId="38831" xr:uid="{00000000-0005-0000-0000-000031970000}"/>
    <cellStyle name="Total 2 8 2 4 9 4" xfId="17681" xr:uid="{00000000-0005-0000-0000-000032970000}"/>
    <cellStyle name="Total 2 8 2 5" xfId="884" xr:uid="{00000000-0005-0000-0000-000033970000}"/>
    <cellStyle name="Total 2 8 2 5 10" xfId="19869" xr:uid="{00000000-0005-0000-0000-000034970000}"/>
    <cellStyle name="Total 2 8 2 5 11" xfId="30714" xr:uid="{00000000-0005-0000-0000-000035970000}"/>
    <cellStyle name="Total 2 8 2 5 12" xfId="11866" xr:uid="{00000000-0005-0000-0000-000036970000}"/>
    <cellStyle name="Total 2 8 2 5 2" xfId="1471" xr:uid="{00000000-0005-0000-0000-000037970000}"/>
    <cellStyle name="Total 2 8 2 5 2 2" xfId="4324" xr:uid="{00000000-0005-0000-0000-000038970000}"/>
    <cellStyle name="Total 2 8 2 5 2 2 2" xfId="23296" xr:uid="{00000000-0005-0000-0000-000039970000}"/>
    <cellStyle name="Total 2 8 2 5 2 2 3" xfId="34141" xr:uid="{00000000-0005-0000-0000-00003A970000}"/>
    <cellStyle name="Total 2 8 2 5 2 2 4" xfId="14327" xr:uid="{00000000-0005-0000-0000-00003B970000}"/>
    <cellStyle name="Total 2 8 2 5 2 3" xfId="6997" xr:uid="{00000000-0005-0000-0000-00003C970000}"/>
    <cellStyle name="Total 2 8 2 5 2 3 2" xfId="25969" xr:uid="{00000000-0005-0000-0000-00003D970000}"/>
    <cellStyle name="Total 2 8 2 5 2 3 3" xfId="36814" xr:uid="{00000000-0005-0000-0000-00003E970000}"/>
    <cellStyle name="Total 2 8 2 5 2 3 4" xfId="16242" xr:uid="{00000000-0005-0000-0000-00003F970000}"/>
    <cellStyle name="Total 2 8 2 5 2 4" xfId="9656" xr:uid="{00000000-0005-0000-0000-000040970000}"/>
    <cellStyle name="Total 2 8 2 5 2 4 2" xfId="28628" xr:uid="{00000000-0005-0000-0000-000041970000}"/>
    <cellStyle name="Total 2 8 2 5 2 4 3" xfId="39473" xr:uid="{00000000-0005-0000-0000-000042970000}"/>
    <cellStyle name="Total 2 8 2 5 2 4 4" xfId="18146" xr:uid="{00000000-0005-0000-0000-000043970000}"/>
    <cellStyle name="Total 2 8 2 5 2 5" xfId="20452" xr:uid="{00000000-0005-0000-0000-000044970000}"/>
    <cellStyle name="Total 2 8 2 5 2 6" xfId="31297" xr:uid="{00000000-0005-0000-0000-000045970000}"/>
    <cellStyle name="Total 2 8 2 5 2 7" xfId="12292" xr:uid="{00000000-0005-0000-0000-000046970000}"/>
    <cellStyle name="Total 2 8 2 5 3" xfId="1870" xr:uid="{00000000-0005-0000-0000-000047970000}"/>
    <cellStyle name="Total 2 8 2 5 3 2" xfId="4723" xr:uid="{00000000-0005-0000-0000-000048970000}"/>
    <cellStyle name="Total 2 8 2 5 3 2 2" xfId="23695" xr:uid="{00000000-0005-0000-0000-000049970000}"/>
    <cellStyle name="Total 2 8 2 5 3 2 3" xfId="34540" xr:uid="{00000000-0005-0000-0000-00004A970000}"/>
    <cellStyle name="Total 2 8 2 5 3 2 4" xfId="14614" xr:uid="{00000000-0005-0000-0000-00004B970000}"/>
    <cellStyle name="Total 2 8 2 5 3 3" xfId="7395" xr:uid="{00000000-0005-0000-0000-00004C970000}"/>
    <cellStyle name="Total 2 8 2 5 3 3 2" xfId="26367" xr:uid="{00000000-0005-0000-0000-00004D970000}"/>
    <cellStyle name="Total 2 8 2 5 3 3 3" xfId="37212" xr:uid="{00000000-0005-0000-0000-00004E970000}"/>
    <cellStyle name="Total 2 8 2 5 3 3 4" xfId="16528" xr:uid="{00000000-0005-0000-0000-00004F970000}"/>
    <cellStyle name="Total 2 8 2 5 3 4" xfId="10054" xr:uid="{00000000-0005-0000-0000-000050970000}"/>
    <cellStyle name="Total 2 8 2 5 3 4 2" xfId="29026" xr:uid="{00000000-0005-0000-0000-000051970000}"/>
    <cellStyle name="Total 2 8 2 5 3 4 3" xfId="39871" xr:uid="{00000000-0005-0000-0000-000052970000}"/>
    <cellStyle name="Total 2 8 2 5 3 4 4" xfId="18432" xr:uid="{00000000-0005-0000-0000-000053970000}"/>
    <cellStyle name="Total 2 8 2 5 3 5" xfId="20850" xr:uid="{00000000-0005-0000-0000-000054970000}"/>
    <cellStyle name="Total 2 8 2 5 3 6" xfId="31695" xr:uid="{00000000-0005-0000-0000-000055970000}"/>
    <cellStyle name="Total 2 8 2 5 3 7" xfId="12578" xr:uid="{00000000-0005-0000-0000-000056970000}"/>
    <cellStyle name="Total 2 8 2 5 4" xfId="2274" xr:uid="{00000000-0005-0000-0000-000057970000}"/>
    <cellStyle name="Total 2 8 2 5 4 2" xfId="5127" xr:uid="{00000000-0005-0000-0000-000058970000}"/>
    <cellStyle name="Total 2 8 2 5 4 2 2" xfId="24099" xr:uid="{00000000-0005-0000-0000-000059970000}"/>
    <cellStyle name="Total 2 8 2 5 4 2 3" xfId="34944" xr:uid="{00000000-0005-0000-0000-00005A970000}"/>
    <cellStyle name="Total 2 8 2 5 4 2 4" xfId="14901" xr:uid="{00000000-0005-0000-0000-00005B970000}"/>
    <cellStyle name="Total 2 8 2 5 4 3" xfId="7798" xr:uid="{00000000-0005-0000-0000-00005C970000}"/>
    <cellStyle name="Total 2 8 2 5 4 3 2" xfId="26770" xr:uid="{00000000-0005-0000-0000-00005D970000}"/>
    <cellStyle name="Total 2 8 2 5 4 3 3" xfId="37615" xr:uid="{00000000-0005-0000-0000-00005E970000}"/>
    <cellStyle name="Total 2 8 2 5 4 3 4" xfId="16814" xr:uid="{00000000-0005-0000-0000-00005F970000}"/>
    <cellStyle name="Total 2 8 2 5 4 4" xfId="10457" xr:uid="{00000000-0005-0000-0000-000060970000}"/>
    <cellStyle name="Total 2 8 2 5 4 4 2" xfId="29429" xr:uid="{00000000-0005-0000-0000-000061970000}"/>
    <cellStyle name="Total 2 8 2 5 4 4 3" xfId="40274" xr:uid="{00000000-0005-0000-0000-000062970000}"/>
    <cellStyle name="Total 2 8 2 5 4 4 4" xfId="18718" xr:uid="{00000000-0005-0000-0000-000063970000}"/>
    <cellStyle name="Total 2 8 2 5 4 5" xfId="21253" xr:uid="{00000000-0005-0000-0000-000064970000}"/>
    <cellStyle name="Total 2 8 2 5 4 6" xfId="32098" xr:uid="{00000000-0005-0000-0000-000065970000}"/>
    <cellStyle name="Total 2 8 2 5 4 7" xfId="12864" xr:uid="{00000000-0005-0000-0000-000066970000}"/>
    <cellStyle name="Total 2 8 2 5 5" xfId="2664" xr:uid="{00000000-0005-0000-0000-000067970000}"/>
    <cellStyle name="Total 2 8 2 5 5 2" xfId="5516" xr:uid="{00000000-0005-0000-0000-000068970000}"/>
    <cellStyle name="Total 2 8 2 5 5 2 2" xfId="24488" xr:uid="{00000000-0005-0000-0000-000069970000}"/>
    <cellStyle name="Total 2 8 2 5 5 2 3" xfId="35333" xr:uid="{00000000-0005-0000-0000-00006A970000}"/>
    <cellStyle name="Total 2 8 2 5 5 2 4" xfId="15180" xr:uid="{00000000-0005-0000-0000-00006B970000}"/>
    <cellStyle name="Total 2 8 2 5 5 3" xfId="8187" xr:uid="{00000000-0005-0000-0000-00006C970000}"/>
    <cellStyle name="Total 2 8 2 5 5 3 2" xfId="27159" xr:uid="{00000000-0005-0000-0000-00006D970000}"/>
    <cellStyle name="Total 2 8 2 5 5 3 3" xfId="38004" xr:uid="{00000000-0005-0000-0000-00006E970000}"/>
    <cellStyle name="Total 2 8 2 5 5 3 4" xfId="17093" xr:uid="{00000000-0005-0000-0000-00006F970000}"/>
    <cellStyle name="Total 2 8 2 5 5 4" xfId="10846" xr:uid="{00000000-0005-0000-0000-000070970000}"/>
    <cellStyle name="Total 2 8 2 5 5 4 2" xfId="29818" xr:uid="{00000000-0005-0000-0000-000071970000}"/>
    <cellStyle name="Total 2 8 2 5 5 4 3" xfId="40663" xr:uid="{00000000-0005-0000-0000-000072970000}"/>
    <cellStyle name="Total 2 8 2 5 5 4 4" xfId="18997" xr:uid="{00000000-0005-0000-0000-000073970000}"/>
    <cellStyle name="Total 2 8 2 5 5 5" xfId="21642" xr:uid="{00000000-0005-0000-0000-000074970000}"/>
    <cellStyle name="Total 2 8 2 5 5 6" xfId="32487" xr:uid="{00000000-0005-0000-0000-000075970000}"/>
    <cellStyle name="Total 2 8 2 5 5 7" xfId="13143" xr:uid="{00000000-0005-0000-0000-000076970000}"/>
    <cellStyle name="Total 2 8 2 5 6" xfId="3050" xr:uid="{00000000-0005-0000-0000-000077970000}"/>
    <cellStyle name="Total 2 8 2 5 6 2" xfId="5901" xr:uid="{00000000-0005-0000-0000-000078970000}"/>
    <cellStyle name="Total 2 8 2 5 6 2 2" xfId="24873" xr:uid="{00000000-0005-0000-0000-000079970000}"/>
    <cellStyle name="Total 2 8 2 5 6 2 3" xfId="35718" xr:uid="{00000000-0005-0000-0000-00007A970000}"/>
    <cellStyle name="Total 2 8 2 5 6 2 4" xfId="15456" xr:uid="{00000000-0005-0000-0000-00007B970000}"/>
    <cellStyle name="Total 2 8 2 5 6 3" xfId="8572" xr:uid="{00000000-0005-0000-0000-00007C970000}"/>
    <cellStyle name="Total 2 8 2 5 6 3 2" xfId="27544" xr:uid="{00000000-0005-0000-0000-00007D970000}"/>
    <cellStyle name="Total 2 8 2 5 6 3 3" xfId="38389" xr:uid="{00000000-0005-0000-0000-00007E970000}"/>
    <cellStyle name="Total 2 8 2 5 6 3 4" xfId="17369" xr:uid="{00000000-0005-0000-0000-00007F970000}"/>
    <cellStyle name="Total 2 8 2 5 6 4" xfId="11231" xr:uid="{00000000-0005-0000-0000-000080970000}"/>
    <cellStyle name="Total 2 8 2 5 6 4 2" xfId="30203" xr:uid="{00000000-0005-0000-0000-000081970000}"/>
    <cellStyle name="Total 2 8 2 5 6 4 3" xfId="41048" xr:uid="{00000000-0005-0000-0000-000082970000}"/>
    <cellStyle name="Total 2 8 2 5 6 4 4" xfId="19273" xr:uid="{00000000-0005-0000-0000-000083970000}"/>
    <cellStyle name="Total 2 8 2 5 6 5" xfId="22027" xr:uid="{00000000-0005-0000-0000-000084970000}"/>
    <cellStyle name="Total 2 8 2 5 6 6" xfId="32872" xr:uid="{00000000-0005-0000-0000-000085970000}"/>
    <cellStyle name="Total 2 8 2 5 6 7" xfId="13419" xr:uid="{00000000-0005-0000-0000-000086970000}"/>
    <cellStyle name="Total 2 8 2 5 7" xfId="3739" xr:uid="{00000000-0005-0000-0000-000087970000}"/>
    <cellStyle name="Total 2 8 2 5 7 2" xfId="22711" xr:uid="{00000000-0005-0000-0000-000088970000}"/>
    <cellStyle name="Total 2 8 2 5 7 3" xfId="33556" xr:uid="{00000000-0005-0000-0000-000089970000}"/>
    <cellStyle name="Total 2 8 2 5 7 4" xfId="13900" xr:uid="{00000000-0005-0000-0000-00008A970000}"/>
    <cellStyle name="Total 2 8 2 5 8" xfId="6414" xr:uid="{00000000-0005-0000-0000-00008B970000}"/>
    <cellStyle name="Total 2 8 2 5 8 2" xfId="25386" xr:uid="{00000000-0005-0000-0000-00008C970000}"/>
    <cellStyle name="Total 2 8 2 5 8 3" xfId="36231" xr:uid="{00000000-0005-0000-0000-00008D970000}"/>
    <cellStyle name="Total 2 8 2 5 8 4" xfId="15816" xr:uid="{00000000-0005-0000-0000-00008E970000}"/>
    <cellStyle name="Total 2 8 2 5 9" xfId="9073" xr:uid="{00000000-0005-0000-0000-00008F970000}"/>
    <cellStyle name="Total 2 8 2 5 9 2" xfId="28045" xr:uid="{00000000-0005-0000-0000-000090970000}"/>
    <cellStyle name="Total 2 8 2 5 9 3" xfId="38890" xr:uid="{00000000-0005-0000-0000-000091970000}"/>
    <cellStyle name="Total 2 8 2 5 9 4" xfId="17720" xr:uid="{00000000-0005-0000-0000-000092970000}"/>
    <cellStyle name="Total 2 8 2 6" xfId="1106" xr:uid="{00000000-0005-0000-0000-000093970000}"/>
    <cellStyle name="Total 2 8 2 6 2" xfId="3959" xr:uid="{00000000-0005-0000-0000-000094970000}"/>
    <cellStyle name="Total 2 8 2 6 2 2" xfId="22931" xr:uid="{00000000-0005-0000-0000-000095970000}"/>
    <cellStyle name="Total 2 8 2 6 2 3" xfId="33776" xr:uid="{00000000-0005-0000-0000-000096970000}"/>
    <cellStyle name="Total 2 8 2 6 2 4" xfId="14062" xr:uid="{00000000-0005-0000-0000-000097970000}"/>
    <cellStyle name="Total 2 8 2 6 3" xfId="6633" xr:uid="{00000000-0005-0000-0000-000098970000}"/>
    <cellStyle name="Total 2 8 2 6 3 2" xfId="25605" xr:uid="{00000000-0005-0000-0000-000099970000}"/>
    <cellStyle name="Total 2 8 2 6 3 3" xfId="36450" xr:uid="{00000000-0005-0000-0000-00009A970000}"/>
    <cellStyle name="Total 2 8 2 6 3 4" xfId="15978" xr:uid="{00000000-0005-0000-0000-00009B970000}"/>
    <cellStyle name="Total 2 8 2 6 4" xfId="9292" xr:uid="{00000000-0005-0000-0000-00009C970000}"/>
    <cellStyle name="Total 2 8 2 6 4 2" xfId="28264" xr:uid="{00000000-0005-0000-0000-00009D970000}"/>
    <cellStyle name="Total 2 8 2 6 4 3" xfId="39109" xr:uid="{00000000-0005-0000-0000-00009E970000}"/>
    <cellStyle name="Total 2 8 2 6 4 4" xfId="17882" xr:uid="{00000000-0005-0000-0000-00009F970000}"/>
    <cellStyle name="Total 2 8 2 6 5" xfId="20088" xr:uid="{00000000-0005-0000-0000-0000A0970000}"/>
    <cellStyle name="Total 2 8 2 6 6" xfId="30933" xr:uid="{00000000-0005-0000-0000-0000A1970000}"/>
    <cellStyle name="Total 2 8 2 6 7" xfId="12028" xr:uid="{00000000-0005-0000-0000-0000A2970000}"/>
    <cellStyle name="Total 2 8 2 7" xfId="1506" xr:uid="{00000000-0005-0000-0000-0000A3970000}"/>
    <cellStyle name="Total 2 8 2 7 2" xfId="4359" xr:uid="{00000000-0005-0000-0000-0000A4970000}"/>
    <cellStyle name="Total 2 8 2 7 2 2" xfId="23331" xr:uid="{00000000-0005-0000-0000-0000A5970000}"/>
    <cellStyle name="Total 2 8 2 7 2 3" xfId="34176" xr:uid="{00000000-0005-0000-0000-0000A6970000}"/>
    <cellStyle name="Total 2 8 2 7 2 4" xfId="14352" xr:uid="{00000000-0005-0000-0000-0000A7970000}"/>
    <cellStyle name="Total 2 8 2 7 3" xfId="7032" xr:uid="{00000000-0005-0000-0000-0000A8970000}"/>
    <cellStyle name="Total 2 8 2 7 3 2" xfId="26004" xr:uid="{00000000-0005-0000-0000-0000A9970000}"/>
    <cellStyle name="Total 2 8 2 7 3 3" xfId="36849" xr:uid="{00000000-0005-0000-0000-0000AA970000}"/>
    <cellStyle name="Total 2 8 2 7 3 4" xfId="16267" xr:uid="{00000000-0005-0000-0000-0000AB970000}"/>
    <cellStyle name="Total 2 8 2 7 4" xfId="9691" xr:uid="{00000000-0005-0000-0000-0000AC970000}"/>
    <cellStyle name="Total 2 8 2 7 4 2" xfId="28663" xr:uid="{00000000-0005-0000-0000-0000AD970000}"/>
    <cellStyle name="Total 2 8 2 7 4 3" xfId="39508" xr:uid="{00000000-0005-0000-0000-0000AE970000}"/>
    <cellStyle name="Total 2 8 2 7 4 4" xfId="18171" xr:uid="{00000000-0005-0000-0000-0000AF970000}"/>
    <cellStyle name="Total 2 8 2 7 5" xfId="20487" xr:uid="{00000000-0005-0000-0000-0000B0970000}"/>
    <cellStyle name="Total 2 8 2 7 6" xfId="31332" xr:uid="{00000000-0005-0000-0000-0000B1970000}"/>
    <cellStyle name="Total 2 8 2 7 7" xfId="12317" xr:uid="{00000000-0005-0000-0000-0000B2970000}"/>
    <cellStyle name="Total 2 8 2 8" xfId="1914" xr:uid="{00000000-0005-0000-0000-0000B3970000}"/>
    <cellStyle name="Total 2 8 2 8 2" xfId="4767" xr:uid="{00000000-0005-0000-0000-0000B4970000}"/>
    <cellStyle name="Total 2 8 2 8 2 2" xfId="23739" xr:uid="{00000000-0005-0000-0000-0000B5970000}"/>
    <cellStyle name="Total 2 8 2 8 2 3" xfId="34584" xr:uid="{00000000-0005-0000-0000-0000B6970000}"/>
    <cellStyle name="Total 2 8 2 8 2 4" xfId="14643" xr:uid="{00000000-0005-0000-0000-0000B7970000}"/>
    <cellStyle name="Total 2 8 2 8 3" xfId="7439" xr:uid="{00000000-0005-0000-0000-0000B8970000}"/>
    <cellStyle name="Total 2 8 2 8 3 2" xfId="26411" xr:uid="{00000000-0005-0000-0000-0000B9970000}"/>
    <cellStyle name="Total 2 8 2 8 3 3" xfId="37256" xr:uid="{00000000-0005-0000-0000-0000BA970000}"/>
    <cellStyle name="Total 2 8 2 8 3 4" xfId="16557" xr:uid="{00000000-0005-0000-0000-0000BB970000}"/>
    <cellStyle name="Total 2 8 2 8 4" xfId="10098" xr:uid="{00000000-0005-0000-0000-0000BC970000}"/>
    <cellStyle name="Total 2 8 2 8 4 2" xfId="29070" xr:uid="{00000000-0005-0000-0000-0000BD970000}"/>
    <cellStyle name="Total 2 8 2 8 4 3" xfId="39915" xr:uid="{00000000-0005-0000-0000-0000BE970000}"/>
    <cellStyle name="Total 2 8 2 8 4 4" xfId="18461" xr:uid="{00000000-0005-0000-0000-0000BF970000}"/>
    <cellStyle name="Total 2 8 2 8 5" xfId="20894" xr:uid="{00000000-0005-0000-0000-0000C0970000}"/>
    <cellStyle name="Total 2 8 2 8 6" xfId="31739" xr:uid="{00000000-0005-0000-0000-0000C1970000}"/>
    <cellStyle name="Total 2 8 2 8 7" xfId="12607" xr:uid="{00000000-0005-0000-0000-0000C2970000}"/>
    <cellStyle name="Total 2 8 2 9" xfId="2308" xr:uid="{00000000-0005-0000-0000-0000C3970000}"/>
    <cellStyle name="Total 2 8 2 9 2" xfId="5161" xr:uid="{00000000-0005-0000-0000-0000C4970000}"/>
    <cellStyle name="Total 2 8 2 9 2 2" xfId="24133" xr:uid="{00000000-0005-0000-0000-0000C5970000}"/>
    <cellStyle name="Total 2 8 2 9 2 3" xfId="34978" xr:uid="{00000000-0005-0000-0000-0000C6970000}"/>
    <cellStyle name="Total 2 8 2 9 2 4" xfId="14925" xr:uid="{00000000-0005-0000-0000-0000C7970000}"/>
    <cellStyle name="Total 2 8 2 9 3" xfId="7832" xr:uid="{00000000-0005-0000-0000-0000C8970000}"/>
    <cellStyle name="Total 2 8 2 9 3 2" xfId="26804" xr:uid="{00000000-0005-0000-0000-0000C9970000}"/>
    <cellStyle name="Total 2 8 2 9 3 3" xfId="37649" xr:uid="{00000000-0005-0000-0000-0000CA970000}"/>
    <cellStyle name="Total 2 8 2 9 3 4" xfId="16838" xr:uid="{00000000-0005-0000-0000-0000CB970000}"/>
    <cellStyle name="Total 2 8 2 9 4" xfId="10491" xr:uid="{00000000-0005-0000-0000-0000CC970000}"/>
    <cellStyle name="Total 2 8 2 9 4 2" xfId="29463" xr:uid="{00000000-0005-0000-0000-0000CD970000}"/>
    <cellStyle name="Total 2 8 2 9 4 3" xfId="40308" xr:uid="{00000000-0005-0000-0000-0000CE970000}"/>
    <cellStyle name="Total 2 8 2 9 4 4" xfId="18742" xr:uid="{00000000-0005-0000-0000-0000CF970000}"/>
    <cellStyle name="Total 2 8 2 9 5" xfId="21287" xr:uid="{00000000-0005-0000-0000-0000D0970000}"/>
    <cellStyle name="Total 2 8 2 9 6" xfId="32132" xr:uid="{00000000-0005-0000-0000-0000D1970000}"/>
    <cellStyle name="Total 2 8 2 9 7" xfId="12888" xr:uid="{00000000-0005-0000-0000-0000D2970000}"/>
    <cellStyle name="Total 2 8 3" xfId="588" xr:uid="{00000000-0005-0000-0000-0000D3970000}"/>
    <cellStyle name="Total 2 8 3 10" xfId="19598" xr:uid="{00000000-0005-0000-0000-0000D4970000}"/>
    <cellStyle name="Total 2 8 3 11" xfId="30443" xr:uid="{00000000-0005-0000-0000-0000D5970000}"/>
    <cellStyle name="Total 2 8 3 12" xfId="11652" xr:uid="{00000000-0005-0000-0000-0000D6970000}"/>
    <cellStyle name="Total 2 8 3 2" xfId="1194" xr:uid="{00000000-0005-0000-0000-0000D7970000}"/>
    <cellStyle name="Total 2 8 3 2 2" xfId="4047" xr:uid="{00000000-0005-0000-0000-0000D8970000}"/>
    <cellStyle name="Total 2 8 3 2 2 2" xfId="23019" xr:uid="{00000000-0005-0000-0000-0000D9970000}"/>
    <cellStyle name="Total 2 8 3 2 2 3" xfId="33864" xr:uid="{00000000-0005-0000-0000-0000DA970000}"/>
    <cellStyle name="Total 2 8 3 2 2 4" xfId="14129" xr:uid="{00000000-0005-0000-0000-0000DB970000}"/>
    <cellStyle name="Total 2 8 3 2 3" xfId="6720" xr:uid="{00000000-0005-0000-0000-0000DC970000}"/>
    <cellStyle name="Total 2 8 3 2 3 2" xfId="25692" xr:uid="{00000000-0005-0000-0000-0000DD970000}"/>
    <cellStyle name="Total 2 8 3 2 3 3" xfId="36537" xr:uid="{00000000-0005-0000-0000-0000DE970000}"/>
    <cellStyle name="Total 2 8 3 2 3 4" xfId="16044" xr:uid="{00000000-0005-0000-0000-0000DF970000}"/>
    <cellStyle name="Total 2 8 3 2 4" xfId="9379" xr:uid="{00000000-0005-0000-0000-0000E0970000}"/>
    <cellStyle name="Total 2 8 3 2 4 2" xfId="28351" xr:uid="{00000000-0005-0000-0000-0000E1970000}"/>
    <cellStyle name="Total 2 8 3 2 4 3" xfId="39196" xr:uid="{00000000-0005-0000-0000-0000E2970000}"/>
    <cellStyle name="Total 2 8 3 2 4 4" xfId="17948" xr:uid="{00000000-0005-0000-0000-0000E3970000}"/>
    <cellStyle name="Total 2 8 3 2 5" xfId="20175" xr:uid="{00000000-0005-0000-0000-0000E4970000}"/>
    <cellStyle name="Total 2 8 3 2 6" xfId="31020" xr:uid="{00000000-0005-0000-0000-0000E5970000}"/>
    <cellStyle name="Total 2 8 3 2 7" xfId="12094" xr:uid="{00000000-0005-0000-0000-0000E6970000}"/>
    <cellStyle name="Total 2 8 3 3" xfId="1591" xr:uid="{00000000-0005-0000-0000-0000E7970000}"/>
    <cellStyle name="Total 2 8 3 3 2" xfId="4444" xr:uid="{00000000-0005-0000-0000-0000E8970000}"/>
    <cellStyle name="Total 2 8 3 3 2 2" xfId="23416" xr:uid="{00000000-0005-0000-0000-0000E9970000}"/>
    <cellStyle name="Total 2 8 3 3 2 3" xfId="34261" xr:uid="{00000000-0005-0000-0000-0000EA970000}"/>
    <cellStyle name="Total 2 8 3 3 2 4" xfId="14415" xr:uid="{00000000-0005-0000-0000-0000EB970000}"/>
    <cellStyle name="Total 2 8 3 3 3" xfId="7116" xr:uid="{00000000-0005-0000-0000-0000EC970000}"/>
    <cellStyle name="Total 2 8 3 3 3 2" xfId="26088" xr:uid="{00000000-0005-0000-0000-0000ED970000}"/>
    <cellStyle name="Total 2 8 3 3 3 3" xfId="36933" xr:uid="{00000000-0005-0000-0000-0000EE970000}"/>
    <cellStyle name="Total 2 8 3 3 3 4" xfId="16329" xr:uid="{00000000-0005-0000-0000-0000EF970000}"/>
    <cellStyle name="Total 2 8 3 3 4" xfId="9775" xr:uid="{00000000-0005-0000-0000-0000F0970000}"/>
    <cellStyle name="Total 2 8 3 3 4 2" xfId="28747" xr:uid="{00000000-0005-0000-0000-0000F1970000}"/>
    <cellStyle name="Total 2 8 3 3 4 3" xfId="39592" xr:uid="{00000000-0005-0000-0000-0000F2970000}"/>
    <cellStyle name="Total 2 8 3 3 4 4" xfId="18233" xr:uid="{00000000-0005-0000-0000-0000F3970000}"/>
    <cellStyle name="Total 2 8 3 3 5" xfId="20571" xr:uid="{00000000-0005-0000-0000-0000F4970000}"/>
    <cellStyle name="Total 2 8 3 3 6" xfId="31416" xr:uid="{00000000-0005-0000-0000-0000F5970000}"/>
    <cellStyle name="Total 2 8 3 3 7" xfId="12379" xr:uid="{00000000-0005-0000-0000-0000F6970000}"/>
    <cellStyle name="Total 2 8 3 4" xfId="1995" xr:uid="{00000000-0005-0000-0000-0000F7970000}"/>
    <cellStyle name="Total 2 8 3 4 2" xfId="4848" xr:uid="{00000000-0005-0000-0000-0000F8970000}"/>
    <cellStyle name="Total 2 8 3 4 2 2" xfId="23820" xr:uid="{00000000-0005-0000-0000-0000F9970000}"/>
    <cellStyle name="Total 2 8 3 4 2 3" xfId="34665" xr:uid="{00000000-0005-0000-0000-0000FA970000}"/>
    <cellStyle name="Total 2 8 3 4 2 4" xfId="14703" xr:uid="{00000000-0005-0000-0000-0000FB970000}"/>
    <cellStyle name="Total 2 8 3 4 3" xfId="7520" xr:uid="{00000000-0005-0000-0000-0000FC970000}"/>
    <cellStyle name="Total 2 8 3 4 3 2" xfId="26492" xr:uid="{00000000-0005-0000-0000-0000FD970000}"/>
    <cellStyle name="Total 2 8 3 4 3 3" xfId="37337" xr:uid="{00000000-0005-0000-0000-0000FE970000}"/>
    <cellStyle name="Total 2 8 3 4 3 4" xfId="16617" xr:uid="{00000000-0005-0000-0000-0000FF970000}"/>
    <cellStyle name="Total 2 8 3 4 4" xfId="10179" xr:uid="{00000000-0005-0000-0000-000000980000}"/>
    <cellStyle name="Total 2 8 3 4 4 2" xfId="29151" xr:uid="{00000000-0005-0000-0000-000001980000}"/>
    <cellStyle name="Total 2 8 3 4 4 3" xfId="39996" xr:uid="{00000000-0005-0000-0000-000002980000}"/>
    <cellStyle name="Total 2 8 3 4 4 4" xfId="18521" xr:uid="{00000000-0005-0000-0000-000003980000}"/>
    <cellStyle name="Total 2 8 3 4 5" xfId="20975" xr:uid="{00000000-0005-0000-0000-000004980000}"/>
    <cellStyle name="Total 2 8 3 4 6" xfId="31820" xr:uid="{00000000-0005-0000-0000-000005980000}"/>
    <cellStyle name="Total 2 8 3 4 7" xfId="12667" xr:uid="{00000000-0005-0000-0000-000006980000}"/>
    <cellStyle name="Total 2 8 3 5" xfId="2387" xr:uid="{00000000-0005-0000-0000-000007980000}"/>
    <cellStyle name="Total 2 8 3 5 2" xfId="5240" xr:uid="{00000000-0005-0000-0000-000008980000}"/>
    <cellStyle name="Total 2 8 3 5 2 2" xfId="24212" xr:uid="{00000000-0005-0000-0000-000009980000}"/>
    <cellStyle name="Total 2 8 3 5 2 3" xfId="35057" xr:uid="{00000000-0005-0000-0000-00000A980000}"/>
    <cellStyle name="Total 2 8 3 5 2 4" xfId="14984" xr:uid="{00000000-0005-0000-0000-00000B980000}"/>
    <cellStyle name="Total 2 8 3 5 3" xfId="7911" xr:uid="{00000000-0005-0000-0000-00000C980000}"/>
    <cellStyle name="Total 2 8 3 5 3 2" xfId="26883" xr:uid="{00000000-0005-0000-0000-00000D980000}"/>
    <cellStyle name="Total 2 8 3 5 3 3" xfId="37728" xr:uid="{00000000-0005-0000-0000-00000E980000}"/>
    <cellStyle name="Total 2 8 3 5 3 4" xfId="16897" xr:uid="{00000000-0005-0000-0000-00000F980000}"/>
    <cellStyle name="Total 2 8 3 5 4" xfId="10570" xr:uid="{00000000-0005-0000-0000-000010980000}"/>
    <cellStyle name="Total 2 8 3 5 4 2" xfId="29542" xr:uid="{00000000-0005-0000-0000-000011980000}"/>
    <cellStyle name="Total 2 8 3 5 4 3" xfId="40387" xr:uid="{00000000-0005-0000-0000-000012980000}"/>
    <cellStyle name="Total 2 8 3 5 4 4" xfId="18801" xr:uid="{00000000-0005-0000-0000-000013980000}"/>
    <cellStyle name="Total 2 8 3 5 5" xfId="21366" xr:uid="{00000000-0005-0000-0000-000014980000}"/>
    <cellStyle name="Total 2 8 3 5 6" xfId="32211" xr:uid="{00000000-0005-0000-0000-000015980000}"/>
    <cellStyle name="Total 2 8 3 5 7" xfId="12947" xr:uid="{00000000-0005-0000-0000-000016980000}"/>
    <cellStyle name="Total 2 8 3 6" xfId="2776" xr:uid="{00000000-0005-0000-0000-000017980000}"/>
    <cellStyle name="Total 2 8 3 6 2" xfId="5628" xr:uid="{00000000-0005-0000-0000-000018980000}"/>
    <cellStyle name="Total 2 8 3 6 2 2" xfId="24600" xr:uid="{00000000-0005-0000-0000-000019980000}"/>
    <cellStyle name="Total 2 8 3 6 2 3" xfId="35445" xr:uid="{00000000-0005-0000-0000-00001A980000}"/>
    <cellStyle name="Total 2 8 3 6 2 4" xfId="15262" xr:uid="{00000000-0005-0000-0000-00001B980000}"/>
    <cellStyle name="Total 2 8 3 6 3" xfId="8299" xr:uid="{00000000-0005-0000-0000-00001C980000}"/>
    <cellStyle name="Total 2 8 3 6 3 2" xfId="27271" xr:uid="{00000000-0005-0000-0000-00001D980000}"/>
    <cellStyle name="Total 2 8 3 6 3 3" xfId="38116" xr:uid="{00000000-0005-0000-0000-00001E980000}"/>
    <cellStyle name="Total 2 8 3 6 3 4" xfId="17175" xr:uid="{00000000-0005-0000-0000-00001F980000}"/>
    <cellStyle name="Total 2 8 3 6 4" xfId="10958" xr:uid="{00000000-0005-0000-0000-000020980000}"/>
    <cellStyle name="Total 2 8 3 6 4 2" xfId="29930" xr:uid="{00000000-0005-0000-0000-000021980000}"/>
    <cellStyle name="Total 2 8 3 6 4 3" xfId="40775" xr:uid="{00000000-0005-0000-0000-000022980000}"/>
    <cellStyle name="Total 2 8 3 6 4 4" xfId="19079" xr:uid="{00000000-0005-0000-0000-000023980000}"/>
    <cellStyle name="Total 2 8 3 6 5" xfId="21754" xr:uid="{00000000-0005-0000-0000-000024980000}"/>
    <cellStyle name="Total 2 8 3 6 6" xfId="32599" xr:uid="{00000000-0005-0000-0000-000025980000}"/>
    <cellStyle name="Total 2 8 3 6 7" xfId="13225" xr:uid="{00000000-0005-0000-0000-000026980000}"/>
    <cellStyle name="Total 2 8 3 7" xfId="3467" xr:uid="{00000000-0005-0000-0000-000027980000}"/>
    <cellStyle name="Total 2 8 3 7 2" xfId="22439" xr:uid="{00000000-0005-0000-0000-000028980000}"/>
    <cellStyle name="Total 2 8 3 7 3" xfId="33284" xr:uid="{00000000-0005-0000-0000-000029980000}"/>
    <cellStyle name="Total 2 8 3 7 4" xfId="13707" xr:uid="{00000000-0005-0000-0000-00002A980000}"/>
    <cellStyle name="Total 2 8 3 8" xfId="6143" xr:uid="{00000000-0005-0000-0000-00002B980000}"/>
    <cellStyle name="Total 2 8 3 8 2" xfId="25115" xr:uid="{00000000-0005-0000-0000-00002C980000}"/>
    <cellStyle name="Total 2 8 3 8 3" xfId="35960" xr:uid="{00000000-0005-0000-0000-00002D980000}"/>
    <cellStyle name="Total 2 8 3 8 4" xfId="15624" xr:uid="{00000000-0005-0000-0000-00002E980000}"/>
    <cellStyle name="Total 2 8 3 9" xfId="8802" xr:uid="{00000000-0005-0000-0000-00002F980000}"/>
    <cellStyle name="Total 2 8 3 9 2" xfId="27774" xr:uid="{00000000-0005-0000-0000-000030980000}"/>
    <cellStyle name="Total 2 8 3 9 3" xfId="38619" xr:uid="{00000000-0005-0000-0000-000031980000}"/>
    <cellStyle name="Total 2 8 3 9 4" xfId="17528" xr:uid="{00000000-0005-0000-0000-000032980000}"/>
    <cellStyle name="Total 2 8 4" xfId="11481" xr:uid="{00000000-0005-0000-0000-000033980000}"/>
    <cellStyle name="Total 2 9" xfId="399" xr:uid="{00000000-0005-0000-0000-000034980000}"/>
    <cellStyle name="Total 2 9 10" xfId="2690" xr:uid="{00000000-0005-0000-0000-000035980000}"/>
    <cellStyle name="Total 2 9 10 2" xfId="5542" xr:uid="{00000000-0005-0000-0000-000036980000}"/>
    <cellStyle name="Total 2 9 10 2 2" xfId="24514" xr:uid="{00000000-0005-0000-0000-000037980000}"/>
    <cellStyle name="Total 2 9 10 2 3" xfId="35359" xr:uid="{00000000-0005-0000-0000-000038980000}"/>
    <cellStyle name="Total 2 9 10 2 4" xfId="15196" xr:uid="{00000000-0005-0000-0000-000039980000}"/>
    <cellStyle name="Total 2 9 10 3" xfId="8213" xr:uid="{00000000-0005-0000-0000-00003A980000}"/>
    <cellStyle name="Total 2 9 10 3 2" xfId="27185" xr:uid="{00000000-0005-0000-0000-00003B980000}"/>
    <cellStyle name="Total 2 9 10 3 3" xfId="38030" xr:uid="{00000000-0005-0000-0000-00003C980000}"/>
    <cellStyle name="Total 2 9 10 3 4" xfId="17109" xr:uid="{00000000-0005-0000-0000-00003D980000}"/>
    <cellStyle name="Total 2 9 10 4" xfId="10872" xr:uid="{00000000-0005-0000-0000-00003E980000}"/>
    <cellStyle name="Total 2 9 10 4 2" xfId="29844" xr:uid="{00000000-0005-0000-0000-00003F980000}"/>
    <cellStyle name="Total 2 9 10 4 3" xfId="40689" xr:uid="{00000000-0005-0000-0000-000040980000}"/>
    <cellStyle name="Total 2 9 10 4 4" xfId="19013" xr:uid="{00000000-0005-0000-0000-000041980000}"/>
    <cellStyle name="Total 2 9 10 5" xfId="21668" xr:uid="{00000000-0005-0000-0000-000042980000}"/>
    <cellStyle name="Total 2 9 10 6" xfId="32513" xr:uid="{00000000-0005-0000-0000-000043980000}"/>
    <cellStyle name="Total 2 9 10 7" xfId="13159" xr:uid="{00000000-0005-0000-0000-000044980000}"/>
    <cellStyle name="Total 2 9 11" xfId="3076" xr:uid="{00000000-0005-0000-0000-000045980000}"/>
    <cellStyle name="Total 2 9 11 2" xfId="5927" xr:uid="{00000000-0005-0000-0000-000046980000}"/>
    <cellStyle name="Total 2 9 11 2 2" xfId="24899" xr:uid="{00000000-0005-0000-0000-000047980000}"/>
    <cellStyle name="Total 2 9 11 2 3" xfId="35744" xr:uid="{00000000-0005-0000-0000-000048980000}"/>
    <cellStyle name="Total 2 9 11 2 4" xfId="15472" xr:uid="{00000000-0005-0000-0000-000049980000}"/>
    <cellStyle name="Total 2 9 11 3" xfId="8598" xr:uid="{00000000-0005-0000-0000-00004A980000}"/>
    <cellStyle name="Total 2 9 11 3 2" xfId="27570" xr:uid="{00000000-0005-0000-0000-00004B980000}"/>
    <cellStyle name="Total 2 9 11 3 3" xfId="38415" xr:uid="{00000000-0005-0000-0000-00004C980000}"/>
    <cellStyle name="Total 2 9 11 3 4" xfId="17385" xr:uid="{00000000-0005-0000-0000-00004D980000}"/>
    <cellStyle name="Total 2 9 11 4" xfId="11257" xr:uid="{00000000-0005-0000-0000-00004E980000}"/>
    <cellStyle name="Total 2 9 11 4 2" xfId="30229" xr:uid="{00000000-0005-0000-0000-00004F980000}"/>
    <cellStyle name="Total 2 9 11 4 3" xfId="41074" xr:uid="{00000000-0005-0000-0000-000050980000}"/>
    <cellStyle name="Total 2 9 11 4 4" xfId="19289" xr:uid="{00000000-0005-0000-0000-000051980000}"/>
    <cellStyle name="Total 2 9 11 5" xfId="22053" xr:uid="{00000000-0005-0000-0000-000052980000}"/>
    <cellStyle name="Total 2 9 11 6" xfId="32898" xr:uid="{00000000-0005-0000-0000-000053980000}"/>
    <cellStyle name="Total 2 9 11 7" xfId="13435" xr:uid="{00000000-0005-0000-0000-000054980000}"/>
    <cellStyle name="Total 2 9 12" xfId="3133" xr:uid="{00000000-0005-0000-0000-000055980000}"/>
    <cellStyle name="Total 2 9 12 2" xfId="5984" xr:uid="{00000000-0005-0000-0000-000056980000}"/>
    <cellStyle name="Total 2 9 12 2 2" xfId="24956" xr:uid="{00000000-0005-0000-0000-000057980000}"/>
    <cellStyle name="Total 2 9 12 2 3" xfId="35801" xr:uid="{00000000-0005-0000-0000-000058980000}"/>
    <cellStyle name="Total 2 9 12 2 4" xfId="15509" xr:uid="{00000000-0005-0000-0000-000059980000}"/>
    <cellStyle name="Total 2 9 12 3" xfId="8655" xr:uid="{00000000-0005-0000-0000-00005A980000}"/>
    <cellStyle name="Total 2 9 12 3 2" xfId="27627" xr:uid="{00000000-0005-0000-0000-00005B980000}"/>
    <cellStyle name="Total 2 9 12 3 3" xfId="38472" xr:uid="{00000000-0005-0000-0000-00005C980000}"/>
    <cellStyle name="Total 2 9 12 3 4" xfId="17422" xr:uid="{00000000-0005-0000-0000-00005D980000}"/>
    <cellStyle name="Total 2 9 12 4" xfId="11314" xr:uid="{00000000-0005-0000-0000-00005E980000}"/>
    <cellStyle name="Total 2 9 12 4 2" xfId="30286" xr:uid="{00000000-0005-0000-0000-00005F980000}"/>
    <cellStyle name="Total 2 9 12 4 3" xfId="41131" xr:uid="{00000000-0005-0000-0000-000060980000}"/>
    <cellStyle name="Total 2 9 12 4 4" xfId="19326" xr:uid="{00000000-0005-0000-0000-000061980000}"/>
    <cellStyle name="Total 2 9 12 5" xfId="22110" xr:uid="{00000000-0005-0000-0000-000062980000}"/>
    <cellStyle name="Total 2 9 12 6" xfId="32955" xr:uid="{00000000-0005-0000-0000-000063980000}"/>
    <cellStyle name="Total 2 9 12 7" xfId="13472" xr:uid="{00000000-0005-0000-0000-000064980000}"/>
    <cellStyle name="Total 2 9 13" xfId="3190" xr:uid="{00000000-0005-0000-0000-000065980000}"/>
    <cellStyle name="Total 2 9 13 2" xfId="6041" xr:uid="{00000000-0005-0000-0000-000066980000}"/>
    <cellStyle name="Total 2 9 13 2 2" xfId="25013" xr:uid="{00000000-0005-0000-0000-000067980000}"/>
    <cellStyle name="Total 2 9 13 2 3" xfId="35858" xr:uid="{00000000-0005-0000-0000-000068980000}"/>
    <cellStyle name="Total 2 9 13 2 4" xfId="15546" xr:uid="{00000000-0005-0000-0000-000069980000}"/>
    <cellStyle name="Total 2 9 13 3" xfId="8712" xr:uid="{00000000-0005-0000-0000-00006A980000}"/>
    <cellStyle name="Total 2 9 13 3 2" xfId="27684" xr:uid="{00000000-0005-0000-0000-00006B980000}"/>
    <cellStyle name="Total 2 9 13 3 3" xfId="38529" xr:uid="{00000000-0005-0000-0000-00006C980000}"/>
    <cellStyle name="Total 2 9 13 3 4" xfId="17459" xr:uid="{00000000-0005-0000-0000-00006D980000}"/>
    <cellStyle name="Total 2 9 13 4" xfId="11371" xr:uid="{00000000-0005-0000-0000-00006E980000}"/>
    <cellStyle name="Total 2 9 13 4 2" xfId="30343" xr:uid="{00000000-0005-0000-0000-00006F980000}"/>
    <cellStyle name="Total 2 9 13 4 3" xfId="41188" xr:uid="{00000000-0005-0000-0000-000070980000}"/>
    <cellStyle name="Total 2 9 13 4 4" xfId="19363" xr:uid="{00000000-0005-0000-0000-000071980000}"/>
    <cellStyle name="Total 2 9 13 5" xfId="22167" xr:uid="{00000000-0005-0000-0000-000072980000}"/>
    <cellStyle name="Total 2 9 13 6" xfId="33012" xr:uid="{00000000-0005-0000-0000-000073980000}"/>
    <cellStyle name="Total 2 9 13 7" xfId="13509" xr:uid="{00000000-0005-0000-0000-000074980000}"/>
    <cellStyle name="Total 2 9 14" xfId="3357" xr:uid="{00000000-0005-0000-0000-000075980000}"/>
    <cellStyle name="Total 2 9 14 2" xfId="22331" xr:uid="{00000000-0005-0000-0000-000076980000}"/>
    <cellStyle name="Total 2 9 14 3" xfId="33176" xr:uid="{00000000-0005-0000-0000-000077980000}"/>
    <cellStyle name="Total 2 9 14 4" xfId="13626" xr:uid="{00000000-0005-0000-0000-000078980000}"/>
    <cellStyle name="Total 2 9 15" xfId="3219" xr:uid="{00000000-0005-0000-0000-000079980000}"/>
    <cellStyle name="Total 2 9 15 2" xfId="22196" xr:uid="{00000000-0005-0000-0000-00007A980000}"/>
    <cellStyle name="Total 2 9 15 3" xfId="33041" xr:uid="{00000000-0005-0000-0000-00007B980000}"/>
    <cellStyle name="Total 2 9 15 4" xfId="13527" xr:uid="{00000000-0005-0000-0000-00007C980000}"/>
    <cellStyle name="Total 2 9 16" xfId="497" xr:uid="{00000000-0005-0000-0000-00007D980000}"/>
    <cellStyle name="Total 2 9 16 2" xfId="19530" xr:uid="{00000000-0005-0000-0000-00007E980000}"/>
    <cellStyle name="Total 2 9 16 3" xfId="30375" xr:uid="{00000000-0005-0000-0000-00007F980000}"/>
    <cellStyle name="Total 2 9 16 4" xfId="11576" xr:uid="{00000000-0005-0000-0000-000080980000}"/>
    <cellStyle name="Total 2 9 17" xfId="19487" xr:uid="{00000000-0005-0000-0000-000081980000}"/>
    <cellStyle name="Total 2 9 18" xfId="19414" xr:uid="{00000000-0005-0000-0000-000082980000}"/>
    <cellStyle name="Total 2 9 19" xfId="11536" xr:uid="{00000000-0005-0000-0000-000083980000}"/>
    <cellStyle name="Total 2 9 2" xfId="698" xr:uid="{00000000-0005-0000-0000-000084980000}"/>
    <cellStyle name="Total 2 9 2 10" xfId="19683" xr:uid="{00000000-0005-0000-0000-000085980000}"/>
    <cellStyle name="Total 2 9 2 11" xfId="30528" xr:uid="{00000000-0005-0000-0000-000086980000}"/>
    <cellStyle name="Total 2 9 2 12" xfId="11740" xr:uid="{00000000-0005-0000-0000-000087980000}"/>
    <cellStyle name="Total 2 9 2 2" xfId="1285" xr:uid="{00000000-0005-0000-0000-000088980000}"/>
    <cellStyle name="Total 2 9 2 2 2" xfId="4138" xr:uid="{00000000-0005-0000-0000-000089980000}"/>
    <cellStyle name="Total 2 9 2 2 2 2" xfId="23110" xr:uid="{00000000-0005-0000-0000-00008A980000}"/>
    <cellStyle name="Total 2 9 2 2 2 3" xfId="33955" xr:uid="{00000000-0005-0000-0000-00008B980000}"/>
    <cellStyle name="Total 2 9 2 2 2 4" xfId="14201" xr:uid="{00000000-0005-0000-0000-00008C980000}"/>
    <cellStyle name="Total 2 9 2 2 3" xfId="6811" xr:uid="{00000000-0005-0000-0000-00008D980000}"/>
    <cellStyle name="Total 2 9 2 2 3 2" xfId="25783" xr:uid="{00000000-0005-0000-0000-00008E980000}"/>
    <cellStyle name="Total 2 9 2 2 3 3" xfId="36628" xr:uid="{00000000-0005-0000-0000-00008F980000}"/>
    <cellStyle name="Total 2 9 2 2 3 4" xfId="16116" xr:uid="{00000000-0005-0000-0000-000090980000}"/>
    <cellStyle name="Total 2 9 2 2 4" xfId="9470" xr:uid="{00000000-0005-0000-0000-000091980000}"/>
    <cellStyle name="Total 2 9 2 2 4 2" xfId="28442" xr:uid="{00000000-0005-0000-0000-000092980000}"/>
    <cellStyle name="Total 2 9 2 2 4 3" xfId="39287" xr:uid="{00000000-0005-0000-0000-000093980000}"/>
    <cellStyle name="Total 2 9 2 2 4 4" xfId="18020" xr:uid="{00000000-0005-0000-0000-000094980000}"/>
    <cellStyle name="Total 2 9 2 2 5" xfId="20266" xr:uid="{00000000-0005-0000-0000-000095980000}"/>
    <cellStyle name="Total 2 9 2 2 6" xfId="31111" xr:uid="{00000000-0005-0000-0000-000096980000}"/>
    <cellStyle name="Total 2 9 2 2 7" xfId="12166" xr:uid="{00000000-0005-0000-0000-000097980000}"/>
    <cellStyle name="Total 2 9 2 3" xfId="1684" xr:uid="{00000000-0005-0000-0000-000098980000}"/>
    <cellStyle name="Total 2 9 2 3 2" xfId="4537" xr:uid="{00000000-0005-0000-0000-000099980000}"/>
    <cellStyle name="Total 2 9 2 3 2 2" xfId="23509" xr:uid="{00000000-0005-0000-0000-00009A980000}"/>
    <cellStyle name="Total 2 9 2 3 2 3" xfId="34354" xr:uid="{00000000-0005-0000-0000-00009B980000}"/>
    <cellStyle name="Total 2 9 2 3 2 4" xfId="14488" xr:uid="{00000000-0005-0000-0000-00009C980000}"/>
    <cellStyle name="Total 2 9 2 3 3" xfId="7209" xr:uid="{00000000-0005-0000-0000-00009D980000}"/>
    <cellStyle name="Total 2 9 2 3 3 2" xfId="26181" xr:uid="{00000000-0005-0000-0000-00009E980000}"/>
    <cellStyle name="Total 2 9 2 3 3 3" xfId="37026" xr:uid="{00000000-0005-0000-0000-00009F980000}"/>
    <cellStyle name="Total 2 9 2 3 3 4" xfId="16402" xr:uid="{00000000-0005-0000-0000-0000A0980000}"/>
    <cellStyle name="Total 2 9 2 3 4" xfId="9868" xr:uid="{00000000-0005-0000-0000-0000A1980000}"/>
    <cellStyle name="Total 2 9 2 3 4 2" xfId="28840" xr:uid="{00000000-0005-0000-0000-0000A2980000}"/>
    <cellStyle name="Total 2 9 2 3 4 3" xfId="39685" xr:uid="{00000000-0005-0000-0000-0000A3980000}"/>
    <cellStyle name="Total 2 9 2 3 4 4" xfId="18306" xr:uid="{00000000-0005-0000-0000-0000A4980000}"/>
    <cellStyle name="Total 2 9 2 3 5" xfId="20664" xr:uid="{00000000-0005-0000-0000-0000A5980000}"/>
    <cellStyle name="Total 2 9 2 3 6" xfId="31509" xr:uid="{00000000-0005-0000-0000-0000A6980000}"/>
    <cellStyle name="Total 2 9 2 3 7" xfId="12452" xr:uid="{00000000-0005-0000-0000-0000A7980000}"/>
    <cellStyle name="Total 2 9 2 4" xfId="2088" xr:uid="{00000000-0005-0000-0000-0000A8980000}"/>
    <cellStyle name="Total 2 9 2 4 2" xfId="4941" xr:uid="{00000000-0005-0000-0000-0000A9980000}"/>
    <cellStyle name="Total 2 9 2 4 2 2" xfId="23913" xr:uid="{00000000-0005-0000-0000-0000AA980000}"/>
    <cellStyle name="Total 2 9 2 4 2 3" xfId="34758" xr:uid="{00000000-0005-0000-0000-0000AB980000}"/>
    <cellStyle name="Total 2 9 2 4 2 4" xfId="14775" xr:uid="{00000000-0005-0000-0000-0000AC980000}"/>
    <cellStyle name="Total 2 9 2 4 3" xfId="7612" xr:uid="{00000000-0005-0000-0000-0000AD980000}"/>
    <cellStyle name="Total 2 9 2 4 3 2" xfId="26584" xr:uid="{00000000-0005-0000-0000-0000AE980000}"/>
    <cellStyle name="Total 2 9 2 4 3 3" xfId="37429" xr:uid="{00000000-0005-0000-0000-0000AF980000}"/>
    <cellStyle name="Total 2 9 2 4 3 4" xfId="16688" xr:uid="{00000000-0005-0000-0000-0000B0980000}"/>
    <cellStyle name="Total 2 9 2 4 4" xfId="10271" xr:uid="{00000000-0005-0000-0000-0000B1980000}"/>
    <cellStyle name="Total 2 9 2 4 4 2" xfId="29243" xr:uid="{00000000-0005-0000-0000-0000B2980000}"/>
    <cellStyle name="Total 2 9 2 4 4 3" xfId="40088" xr:uid="{00000000-0005-0000-0000-0000B3980000}"/>
    <cellStyle name="Total 2 9 2 4 4 4" xfId="18592" xr:uid="{00000000-0005-0000-0000-0000B4980000}"/>
    <cellStyle name="Total 2 9 2 4 5" xfId="21067" xr:uid="{00000000-0005-0000-0000-0000B5980000}"/>
    <cellStyle name="Total 2 9 2 4 6" xfId="31912" xr:uid="{00000000-0005-0000-0000-0000B6980000}"/>
    <cellStyle name="Total 2 9 2 4 7" xfId="12738" xr:uid="{00000000-0005-0000-0000-0000B7980000}"/>
    <cellStyle name="Total 2 9 2 5" xfId="2478" xr:uid="{00000000-0005-0000-0000-0000B8980000}"/>
    <cellStyle name="Total 2 9 2 5 2" xfId="5330" xr:uid="{00000000-0005-0000-0000-0000B9980000}"/>
    <cellStyle name="Total 2 9 2 5 2 2" xfId="24302" xr:uid="{00000000-0005-0000-0000-0000BA980000}"/>
    <cellStyle name="Total 2 9 2 5 2 3" xfId="35147" xr:uid="{00000000-0005-0000-0000-0000BB980000}"/>
    <cellStyle name="Total 2 9 2 5 2 4" xfId="15054" xr:uid="{00000000-0005-0000-0000-0000BC980000}"/>
    <cellStyle name="Total 2 9 2 5 3" xfId="8001" xr:uid="{00000000-0005-0000-0000-0000BD980000}"/>
    <cellStyle name="Total 2 9 2 5 3 2" xfId="26973" xr:uid="{00000000-0005-0000-0000-0000BE980000}"/>
    <cellStyle name="Total 2 9 2 5 3 3" xfId="37818" xr:uid="{00000000-0005-0000-0000-0000BF980000}"/>
    <cellStyle name="Total 2 9 2 5 3 4" xfId="16967" xr:uid="{00000000-0005-0000-0000-0000C0980000}"/>
    <cellStyle name="Total 2 9 2 5 4" xfId="10660" xr:uid="{00000000-0005-0000-0000-0000C1980000}"/>
    <cellStyle name="Total 2 9 2 5 4 2" xfId="29632" xr:uid="{00000000-0005-0000-0000-0000C2980000}"/>
    <cellStyle name="Total 2 9 2 5 4 3" xfId="40477" xr:uid="{00000000-0005-0000-0000-0000C3980000}"/>
    <cellStyle name="Total 2 9 2 5 4 4" xfId="18871" xr:uid="{00000000-0005-0000-0000-0000C4980000}"/>
    <cellStyle name="Total 2 9 2 5 5" xfId="21456" xr:uid="{00000000-0005-0000-0000-0000C5980000}"/>
    <cellStyle name="Total 2 9 2 5 6" xfId="32301" xr:uid="{00000000-0005-0000-0000-0000C6980000}"/>
    <cellStyle name="Total 2 9 2 5 7" xfId="13017" xr:uid="{00000000-0005-0000-0000-0000C7980000}"/>
    <cellStyle name="Total 2 9 2 6" xfId="2864" xr:uid="{00000000-0005-0000-0000-0000C8980000}"/>
    <cellStyle name="Total 2 9 2 6 2" xfId="5715" xr:uid="{00000000-0005-0000-0000-0000C9980000}"/>
    <cellStyle name="Total 2 9 2 6 2 2" xfId="24687" xr:uid="{00000000-0005-0000-0000-0000CA980000}"/>
    <cellStyle name="Total 2 9 2 6 2 3" xfId="35532" xr:uid="{00000000-0005-0000-0000-0000CB980000}"/>
    <cellStyle name="Total 2 9 2 6 2 4" xfId="15330" xr:uid="{00000000-0005-0000-0000-0000CC980000}"/>
    <cellStyle name="Total 2 9 2 6 3" xfId="8386" xr:uid="{00000000-0005-0000-0000-0000CD980000}"/>
    <cellStyle name="Total 2 9 2 6 3 2" xfId="27358" xr:uid="{00000000-0005-0000-0000-0000CE980000}"/>
    <cellStyle name="Total 2 9 2 6 3 3" xfId="38203" xr:uid="{00000000-0005-0000-0000-0000CF980000}"/>
    <cellStyle name="Total 2 9 2 6 3 4" xfId="17243" xr:uid="{00000000-0005-0000-0000-0000D0980000}"/>
    <cellStyle name="Total 2 9 2 6 4" xfId="11045" xr:uid="{00000000-0005-0000-0000-0000D1980000}"/>
    <cellStyle name="Total 2 9 2 6 4 2" xfId="30017" xr:uid="{00000000-0005-0000-0000-0000D2980000}"/>
    <cellStyle name="Total 2 9 2 6 4 3" xfId="40862" xr:uid="{00000000-0005-0000-0000-0000D3980000}"/>
    <cellStyle name="Total 2 9 2 6 4 4" xfId="19147" xr:uid="{00000000-0005-0000-0000-0000D4980000}"/>
    <cellStyle name="Total 2 9 2 6 5" xfId="21841" xr:uid="{00000000-0005-0000-0000-0000D5980000}"/>
    <cellStyle name="Total 2 9 2 6 6" xfId="32686" xr:uid="{00000000-0005-0000-0000-0000D6980000}"/>
    <cellStyle name="Total 2 9 2 6 7" xfId="13293" xr:uid="{00000000-0005-0000-0000-0000D7980000}"/>
    <cellStyle name="Total 2 9 2 7" xfId="3553" xr:uid="{00000000-0005-0000-0000-0000D8980000}"/>
    <cellStyle name="Total 2 9 2 7 2" xfId="22525" xr:uid="{00000000-0005-0000-0000-0000D9980000}"/>
    <cellStyle name="Total 2 9 2 7 3" xfId="33370" xr:uid="{00000000-0005-0000-0000-0000DA980000}"/>
    <cellStyle name="Total 2 9 2 7 4" xfId="13774" xr:uid="{00000000-0005-0000-0000-0000DB980000}"/>
    <cellStyle name="Total 2 9 2 8" xfId="6228" xr:uid="{00000000-0005-0000-0000-0000DC980000}"/>
    <cellStyle name="Total 2 9 2 8 2" xfId="25200" xr:uid="{00000000-0005-0000-0000-0000DD980000}"/>
    <cellStyle name="Total 2 9 2 8 3" xfId="36045" xr:uid="{00000000-0005-0000-0000-0000DE980000}"/>
    <cellStyle name="Total 2 9 2 8 4" xfId="15690" xr:uid="{00000000-0005-0000-0000-0000DF980000}"/>
    <cellStyle name="Total 2 9 2 9" xfId="8887" xr:uid="{00000000-0005-0000-0000-0000E0980000}"/>
    <cellStyle name="Total 2 9 2 9 2" xfId="27859" xr:uid="{00000000-0005-0000-0000-0000E1980000}"/>
    <cellStyle name="Total 2 9 2 9 3" xfId="38704" xr:uid="{00000000-0005-0000-0000-0000E2980000}"/>
    <cellStyle name="Total 2 9 2 9 4" xfId="17594" xr:uid="{00000000-0005-0000-0000-0000E3980000}"/>
    <cellStyle name="Total 2 9 3" xfId="758" xr:uid="{00000000-0005-0000-0000-0000E4980000}"/>
    <cellStyle name="Total 2 9 3 10" xfId="19743" xr:uid="{00000000-0005-0000-0000-0000E5980000}"/>
    <cellStyle name="Total 2 9 3 11" xfId="30588" xr:uid="{00000000-0005-0000-0000-0000E6980000}"/>
    <cellStyle name="Total 2 9 3 12" xfId="11780" xr:uid="{00000000-0005-0000-0000-0000E7980000}"/>
    <cellStyle name="Total 2 9 3 2" xfId="1345" xr:uid="{00000000-0005-0000-0000-0000E8980000}"/>
    <cellStyle name="Total 2 9 3 2 2" xfId="4198" xr:uid="{00000000-0005-0000-0000-0000E9980000}"/>
    <cellStyle name="Total 2 9 3 2 2 2" xfId="23170" xr:uid="{00000000-0005-0000-0000-0000EA980000}"/>
    <cellStyle name="Total 2 9 3 2 2 3" xfId="34015" xr:uid="{00000000-0005-0000-0000-0000EB980000}"/>
    <cellStyle name="Total 2 9 3 2 2 4" xfId="14241" xr:uid="{00000000-0005-0000-0000-0000EC980000}"/>
    <cellStyle name="Total 2 9 3 2 3" xfId="6871" xr:uid="{00000000-0005-0000-0000-0000ED980000}"/>
    <cellStyle name="Total 2 9 3 2 3 2" xfId="25843" xr:uid="{00000000-0005-0000-0000-0000EE980000}"/>
    <cellStyle name="Total 2 9 3 2 3 3" xfId="36688" xr:uid="{00000000-0005-0000-0000-0000EF980000}"/>
    <cellStyle name="Total 2 9 3 2 3 4" xfId="16156" xr:uid="{00000000-0005-0000-0000-0000F0980000}"/>
    <cellStyle name="Total 2 9 3 2 4" xfId="9530" xr:uid="{00000000-0005-0000-0000-0000F1980000}"/>
    <cellStyle name="Total 2 9 3 2 4 2" xfId="28502" xr:uid="{00000000-0005-0000-0000-0000F2980000}"/>
    <cellStyle name="Total 2 9 3 2 4 3" xfId="39347" xr:uid="{00000000-0005-0000-0000-0000F3980000}"/>
    <cellStyle name="Total 2 9 3 2 4 4" xfId="18060" xr:uid="{00000000-0005-0000-0000-0000F4980000}"/>
    <cellStyle name="Total 2 9 3 2 5" xfId="20326" xr:uid="{00000000-0005-0000-0000-0000F5980000}"/>
    <cellStyle name="Total 2 9 3 2 6" xfId="31171" xr:uid="{00000000-0005-0000-0000-0000F6980000}"/>
    <cellStyle name="Total 2 9 3 2 7" xfId="12206" xr:uid="{00000000-0005-0000-0000-0000F7980000}"/>
    <cellStyle name="Total 2 9 3 3" xfId="1744" xr:uid="{00000000-0005-0000-0000-0000F8980000}"/>
    <cellStyle name="Total 2 9 3 3 2" xfId="4597" xr:uid="{00000000-0005-0000-0000-0000F9980000}"/>
    <cellStyle name="Total 2 9 3 3 2 2" xfId="23569" xr:uid="{00000000-0005-0000-0000-0000FA980000}"/>
    <cellStyle name="Total 2 9 3 3 2 3" xfId="34414" xr:uid="{00000000-0005-0000-0000-0000FB980000}"/>
    <cellStyle name="Total 2 9 3 3 2 4" xfId="14528" xr:uid="{00000000-0005-0000-0000-0000FC980000}"/>
    <cellStyle name="Total 2 9 3 3 3" xfId="7269" xr:uid="{00000000-0005-0000-0000-0000FD980000}"/>
    <cellStyle name="Total 2 9 3 3 3 2" xfId="26241" xr:uid="{00000000-0005-0000-0000-0000FE980000}"/>
    <cellStyle name="Total 2 9 3 3 3 3" xfId="37086" xr:uid="{00000000-0005-0000-0000-0000FF980000}"/>
    <cellStyle name="Total 2 9 3 3 3 4" xfId="16442" xr:uid="{00000000-0005-0000-0000-000000990000}"/>
    <cellStyle name="Total 2 9 3 3 4" xfId="9928" xr:uid="{00000000-0005-0000-0000-000001990000}"/>
    <cellStyle name="Total 2 9 3 3 4 2" xfId="28900" xr:uid="{00000000-0005-0000-0000-000002990000}"/>
    <cellStyle name="Total 2 9 3 3 4 3" xfId="39745" xr:uid="{00000000-0005-0000-0000-000003990000}"/>
    <cellStyle name="Total 2 9 3 3 4 4" xfId="18346" xr:uid="{00000000-0005-0000-0000-000004990000}"/>
    <cellStyle name="Total 2 9 3 3 5" xfId="20724" xr:uid="{00000000-0005-0000-0000-000005990000}"/>
    <cellStyle name="Total 2 9 3 3 6" xfId="31569" xr:uid="{00000000-0005-0000-0000-000006990000}"/>
    <cellStyle name="Total 2 9 3 3 7" xfId="12492" xr:uid="{00000000-0005-0000-0000-000007990000}"/>
    <cellStyle name="Total 2 9 3 4" xfId="2148" xr:uid="{00000000-0005-0000-0000-000008990000}"/>
    <cellStyle name="Total 2 9 3 4 2" xfId="5001" xr:uid="{00000000-0005-0000-0000-000009990000}"/>
    <cellStyle name="Total 2 9 3 4 2 2" xfId="23973" xr:uid="{00000000-0005-0000-0000-00000A990000}"/>
    <cellStyle name="Total 2 9 3 4 2 3" xfId="34818" xr:uid="{00000000-0005-0000-0000-00000B990000}"/>
    <cellStyle name="Total 2 9 3 4 2 4" xfId="14815" xr:uid="{00000000-0005-0000-0000-00000C990000}"/>
    <cellStyle name="Total 2 9 3 4 3" xfId="7672" xr:uid="{00000000-0005-0000-0000-00000D990000}"/>
    <cellStyle name="Total 2 9 3 4 3 2" xfId="26644" xr:uid="{00000000-0005-0000-0000-00000E990000}"/>
    <cellStyle name="Total 2 9 3 4 3 3" xfId="37489" xr:uid="{00000000-0005-0000-0000-00000F990000}"/>
    <cellStyle name="Total 2 9 3 4 3 4" xfId="16728" xr:uid="{00000000-0005-0000-0000-000010990000}"/>
    <cellStyle name="Total 2 9 3 4 4" xfId="10331" xr:uid="{00000000-0005-0000-0000-000011990000}"/>
    <cellStyle name="Total 2 9 3 4 4 2" xfId="29303" xr:uid="{00000000-0005-0000-0000-000012990000}"/>
    <cellStyle name="Total 2 9 3 4 4 3" xfId="40148" xr:uid="{00000000-0005-0000-0000-000013990000}"/>
    <cellStyle name="Total 2 9 3 4 4 4" xfId="18632" xr:uid="{00000000-0005-0000-0000-000014990000}"/>
    <cellStyle name="Total 2 9 3 4 5" xfId="21127" xr:uid="{00000000-0005-0000-0000-000015990000}"/>
    <cellStyle name="Total 2 9 3 4 6" xfId="31972" xr:uid="{00000000-0005-0000-0000-000016990000}"/>
    <cellStyle name="Total 2 9 3 4 7" xfId="12778" xr:uid="{00000000-0005-0000-0000-000017990000}"/>
    <cellStyle name="Total 2 9 3 5" xfId="2538" xr:uid="{00000000-0005-0000-0000-000018990000}"/>
    <cellStyle name="Total 2 9 3 5 2" xfId="5390" xr:uid="{00000000-0005-0000-0000-000019990000}"/>
    <cellStyle name="Total 2 9 3 5 2 2" xfId="24362" xr:uid="{00000000-0005-0000-0000-00001A990000}"/>
    <cellStyle name="Total 2 9 3 5 2 3" xfId="35207" xr:uid="{00000000-0005-0000-0000-00001B990000}"/>
    <cellStyle name="Total 2 9 3 5 2 4" xfId="15094" xr:uid="{00000000-0005-0000-0000-00001C990000}"/>
    <cellStyle name="Total 2 9 3 5 3" xfId="8061" xr:uid="{00000000-0005-0000-0000-00001D990000}"/>
    <cellStyle name="Total 2 9 3 5 3 2" xfId="27033" xr:uid="{00000000-0005-0000-0000-00001E990000}"/>
    <cellStyle name="Total 2 9 3 5 3 3" xfId="37878" xr:uid="{00000000-0005-0000-0000-00001F990000}"/>
    <cellStyle name="Total 2 9 3 5 3 4" xfId="17007" xr:uid="{00000000-0005-0000-0000-000020990000}"/>
    <cellStyle name="Total 2 9 3 5 4" xfId="10720" xr:uid="{00000000-0005-0000-0000-000021990000}"/>
    <cellStyle name="Total 2 9 3 5 4 2" xfId="29692" xr:uid="{00000000-0005-0000-0000-000022990000}"/>
    <cellStyle name="Total 2 9 3 5 4 3" xfId="40537" xr:uid="{00000000-0005-0000-0000-000023990000}"/>
    <cellStyle name="Total 2 9 3 5 4 4" xfId="18911" xr:uid="{00000000-0005-0000-0000-000024990000}"/>
    <cellStyle name="Total 2 9 3 5 5" xfId="21516" xr:uid="{00000000-0005-0000-0000-000025990000}"/>
    <cellStyle name="Total 2 9 3 5 6" xfId="32361" xr:uid="{00000000-0005-0000-0000-000026990000}"/>
    <cellStyle name="Total 2 9 3 5 7" xfId="13057" xr:uid="{00000000-0005-0000-0000-000027990000}"/>
    <cellStyle name="Total 2 9 3 6" xfId="2924" xr:uid="{00000000-0005-0000-0000-000028990000}"/>
    <cellStyle name="Total 2 9 3 6 2" xfId="5775" xr:uid="{00000000-0005-0000-0000-000029990000}"/>
    <cellStyle name="Total 2 9 3 6 2 2" xfId="24747" xr:uid="{00000000-0005-0000-0000-00002A990000}"/>
    <cellStyle name="Total 2 9 3 6 2 3" xfId="35592" xr:uid="{00000000-0005-0000-0000-00002B990000}"/>
    <cellStyle name="Total 2 9 3 6 2 4" xfId="15370" xr:uid="{00000000-0005-0000-0000-00002C990000}"/>
    <cellStyle name="Total 2 9 3 6 3" xfId="8446" xr:uid="{00000000-0005-0000-0000-00002D990000}"/>
    <cellStyle name="Total 2 9 3 6 3 2" xfId="27418" xr:uid="{00000000-0005-0000-0000-00002E990000}"/>
    <cellStyle name="Total 2 9 3 6 3 3" xfId="38263" xr:uid="{00000000-0005-0000-0000-00002F990000}"/>
    <cellStyle name="Total 2 9 3 6 3 4" xfId="17283" xr:uid="{00000000-0005-0000-0000-000030990000}"/>
    <cellStyle name="Total 2 9 3 6 4" xfId="11105" xr:uid="{00000000-0005-0000-0000-000031990000}"/>
    <cellStyle name="Total 2 9 3 6 4 2" xfId="30077" xr:uid="{00000000-0005-0000-0000-000032990000}"/>
    <cellStyle name="Total 2 9 3 6 4 3" xfId="40922" xr:uid="{00000000-0005-0000-0000-000033990000}"/>
    <cellStyle name="Total 2 9 3 6 4 4" xfId="19187" xr:uid="{00000000-0005-0000-0000-000034990000}"/>
    <cellStyle name="Total 2 9 3 6 5" xfId="21901" xr:uid="{00000000-0005-0000-0000-000035990000}"/>
    <cellStyle name="Total 2 9 3 6 6" xfId="32746" xr:uid="{00000000-0005-0000-0000-000036990000}"/>
    <cellStyle name="Total 2 9 3 6 7" xfId="13333" xr:uid="{00000000-0005-0000-0000-000037990000}"/>
    <cellStyle name="Total 2 9 3 7" xfId="3613" xr:uid="{00000000-0005-0000-0000-000038990000}"/>
    <cellStyle name="Total 2 9 3 7 2" xfId="22585" xr:uid="{00000000-0005-0000-0000-000039990000}"/>
    <cellStyle name="Total 2 9 3 7 3" xfId="33430" xr:uid="{00000000-0005-0000-0000-00003A990000}"/>
    <cellStyle name="Total 2 9 3 7 4" xfId="13814" xr:uid="{00000000-0005-0000-0000-00003B990000}"/>
    <cellStyle name="Total 2 9 3 8" xfId="6288" xr:uid="{00000000-0005-0000-0000-00003C990000}"/>
    <cellStyle name="Total 2 9 3 8 2" xfId="25260" xr:uid="{00000000-0005-0000-0000-00003D990000}"/>
    <cellStyle name="Total 2 9 3 8 3" xfId="36105" xr:uid="{00000000-0005-0000-0000-00003E990000}"/>
    <cellStyle name="Total 2 9 3 8 4" xfId="15730" xr:uid="{00000000-0005-0000-0000-00003F990000}"/>
    <cellStyle name="Total 2 9 3 9" xfId="8947" xr:uid="{00000000-0005-0000-0000-000040990000}"/>
    <cellStyle name="Total 2 9 3 9 2" xfId="27919" xr:uid="{00000000-0005-0000-0000-000041990000}"/>
    <cellStyle name="Total 2 9 3 9 3" xfId="38764" xr:uid="{00000000-0005-0000-0000-000042990000}"/>
    <cellStyle name="Total 2 9 3 9 4" xfId="17634" xr:uid="{00000000-0005-0000-0000-000043990000}"/>
    <cellStyle name="Total 2 9 4" xfId="818" xr:uid="{00000000-0005-0000-0000-000044990000}"/>
    <cellStyle name="Total 2 9 4 10" xfId="19803" xr:uid="{00000000-0005-0000-0000-000045990000}"/>
    <cellStyle name="Total 2 9 4 11" xfId="30648" xr:uid="{00000000-0005-0000-0000-000046990000}"/>
    <cellStyle name="Total 2 9 4 12" xfId="11820" xr:uid="{00000000-0005-0000-0000-000047990000}"/>
    <cellStyle name="Total 2 9 4 2" xfId="1405" xr:uid="{00000000-0005-0000-0000-000048990000}"/>
    <cellStyle name="Total 2 9 4 2 2" xfId="4258" xr:uid="{00000000-0005-0000-0000-000049990000}"/>
    <cellStyle name="Total 2 9 4 2 2 2" xfId="23230" xr:uid="{00000000-0005-0000-0000-00004A990000}"/>
    <cellStyle name="Total 2 9 4 2 2 3" xfId="34075" xr:uid="{00000000-0005-0000-0000-00004B990000}"/>
    <cellStyle name="Total 2 9 4 2 2 4" xfId="14281" xr:uid="{00000000-0005-0000-0000-00004C990000}"/>
    <cellStyle name="Total 2 9 4 2 3" xfId="6931" xr:uid="{00000000-0005-0000-0000-00004D990000}"/>
    <cellStyle name="Total 2 9 4 2 3 2" xfId="25903" xr:uid="{00000000-0005-0000-0000-00004E990000}"/>
    <cellStyle name="Total 2 9 4 2 3 3" xfId="36748" xr:uid="{00000000-0005-0000-0000-00004F990000}"/>
    <cellStyle name="Total 2 9 4 2 3 4" xfId="16196" xr:uid="{00000000-0005-0000-0000-000050990000}"/>
    <cellStyle name="Total 2 9 4 2 4" xfId="9590" xr:uid="{00000000-0005-0000-0000-000051990000}"/>
    <cellStyle name="Total 2 9 4 2 4 2" xfId="28562" xr:uid="{00000000-0005-0000-0000-000052990000}"/>
    <cellStyle name="Total 2 9 4 2 4 3" xfId="39407" xr:uid="{00000000-0005-0000-0000-000053990000}"/>
    <cellStyle name="Total 2 9 4 2 4 4" xfId="18100" xr:uid="{00000000-0005-0000-0000-000054990000}"/>
    <cellStyle name="Total 2 9 4 2 5" xfId="20386" xr:uid="{00000000-0005-0000-0000-000055990000}"/>
    <cellStyle name="Total 2 9 4 2 6" xfId="31231" xr:uid="{00000000-0005-0000-0000-000056990000}"/>
    <cellStyle name="Total 2 9 4 2 7" xfId="12246" xr:uid="{00000000-0005-0000-0000-000057990000}"/>
    <cellStyle name="Total 2 9 4 3" xfId="1804" xr:uid="{00000000-0005-0000-0000-000058990000}"/>
    <cellStyle name="Total 2 9 4 3 2" xfId="4657" xr:uid="{00000000-0005-0000-0000-000059990000}"/>
    <cellStyle name="Total 2 9 4 3 2 2" xfId="23629" xr:uid="{00000000-0005-0000-0000-00005A990000}"/>
    <cellStyle name="Total 2 9 4 3 2 3" xfId="34474" xr:uid="{00000000-0005-0000-0000-00005B990000}"/>
    <cellStyle name="Total 2 9 4 3 2 4" xfId="14568" xr:uid="{00000000-0005-0000-0000-00005C990000}"/>
    <cellStyle name="Total 2 9 4 3 3" xfId="7329" xr:uid="{00000000-0005-0000-0000-00005D990000}"/>
    <cellStyle name="Total 2 9 4 3 3 2" xfId="26301" xr:uid="{00000000-0005-0000-0000-00005E990000}"/>
    <cellStyle name="Total 2 9 4 3 3 3" xfId="37146" xr:uid="{00000000-0005-0000-0000-00005F990000}"/>
    <cellStyle name="Total 2 9 4 3 3 4" xfId="16482" xr:uid="{00000000-0005-0000-0000-000060990000}"/>
    <cellStyle name="Total 2 9 4 3 4" xfId="9988" xr:uid="{00000000-0005-0000-0000-000061990000}"/>
    <cellStyle name="Total 2 9 4 3 4 2" xfId="28960" xr:uid="{00000000-0005-0000-0000-000062990000}"/>
    <cellStyle name="Total 2 9 4 3 4 3" xfId="39805" xr:uid="{00000000-0005-0000-0000-000063990000}"/>
    <cellStyle name="Total 2 9 4 3 4 4" xfId="18386" xr:uid="{00000000-0005-0000-0000-000064990000}"/>
    <cellStyle name="Total 2 9 4 3 5" xfId="20784" xr:uid="{00000000-0005-0000-0000-000065990000}"/>
    <cellStyle name="Total 2 9 4 3 6" xfId="31629" xr:uid="{00000000-0005-0000-0000-000066990000}"/>
    <cellStyle name="Total 2 9 4 3 7" xfId="12532" xr:uid="{00000000-0005-0000-0000-000067990000}"/>
    <cellStyle name="Total 2 9 4 4" xfId="2208" xr:uid="{00000000-0005-0000-0000-000068990000}"/>
    <cellStyle name="Total 2 9 4 4 2" xfId="5061" xr:uid="{00000000-0005-0000-0000-000069990000}"/>
    <cellStyle name="Total 2 9 4 4 2 2" xfId="24033" xr:uid="{00000000-0005-0000-0000-00006A990000}"/>
    <cellStyle name="Total 2 9 4 4 2 3" xfId="34878" xr:uid="{00000000-0005-0000-0000-00006B990000}"/>
    <cellStyle name="Total 2 9 4 4 2 4" xfId="14855" xr:uid="{00000000-0005-0000-0000-00006C990000}"/>
    <cellStyle name="Total 2 9 4 4 3" xfId="7732" xr:uid="{00000000-0005-0000-0000-00006D990000}"/>
    <cellStyle name="Total 2 9 4 4 3 2" xfId="26704" xr:uid="{00000000-0005-0000-0000-00006E990000}"/>
    <cellStyle name="Total 2 9 4 4 3 3" xfId="37549" xr:uid="{00000000-0005-0000-0000-00006F990000}"/>
    <cellStyle name="Total 2 9 4 4 3 4" xfId="16768" xr:uid="{00000000-0005-0000-0000-000070990000}"/>
    <cellStyle name="Total 2 9 4 4 4" xfId="10391" xr:uid="{00000000-0005-0000-0000-000071990000}"/>
    <cellStyle name="Total 2 9 4 4 4 2" xfId="29363" xr:uid="{00000000-0005-0000-0000-000072990000}"/>
    <cellStyle name="Total 2 9 4 4 4 3" xfId="40208" xr:uid="{00000000-0005-0000-0000-000073990000}"/>
    <cellStyle name="Total 2 9 4 4 4 4" xfId="18672" xr:uid="{00000000-0005-0000-0000-000074990000}"/>
    <cellStyle name="Total 2 9 4 4 5" xfId="21187" xr:uid="{00000000-0005-0000-0000-000075990000}"/>
    <cellStyle name="Total 2 9 4 4 6" xfId="32032" xr:uid="{00000000-0005-0000-0000-000076990000}"/>
    <cellStyle name="Total 2 9 4 4 7" xfId="12818" xr:uid="{00000000-0005-0000-0000-000077990000}"/>
    <cellStyle name="Total 2 9 4 5" xfId="2598" xr:uid="{00000000-0005-0000-0000-000078990000}"/>
    <cellStyle name="Total 2 9 4 5 2" xfId="5450" xr:uid="{00000000-0005-0000-0000-000079990000}"/>
    <cellStyle name="Total 2 9 4 5 2 2" xfId="24422" xr:uid="{00000000-0005-0000-0000-00007A990000}"/>
    <cellStyle name="Total 2 9 4 5 2 3" xfId="35267" xr:uid="{00000000-0005-0000-0000-00007B990000}"/>
    <cellStyle name="Total 2 9 4 5 2 4" xfId="15134" xr:uid="{00000000-0005-0000-0000-00007C990000}"/>
    <cellStyle name="Total 2 9 4 5 3" xfId="8121" xr:uid="{00000000-0005-0000-0000-00007D990000}"/>
    <cellStyle name="Total 2 9 4 5 3 2" xfId="27093" xr:uid="{00000000-0005-0000-0000-00007E990000}"/>
    <cellStyle name="Total 2 9 4 5 3 3" xfId="37938" xr:uid="{00000000-0005-0000-0000-00007F990000}"/>
    <cellStyle name="Total 2 9 4 5 3 4" xfId="17047" xr:uid="{00000000-0005-0000-0000-000080990000}"/>
    <cellStyle name="Total 2 9 4 5 4" xfId="10780" xr:uid="{00000000-0005-0000-0000-000081990000}"/>
    <cellStyle name="Total 2 9 4 5 4 2" xfId="29752" xr:uid="{00000000-0005-0000-0000-000082990000}"/>
    <cellStyle name="Total 2 9 4 5 4 3" xfId="40597" xr:uid="{00000000-0005-0000-0000-000083990000}"/>
    <cellStyle name="Total 2 9 4 5 4 4" xfId="18951" xr:uid="{00000000-0005-0000-0000-000084990000}"/>
    <cellStyle name="Total 2 9 4 5 5" xfId="21576" xr:uid="{00000000-0005-0000-0000-000085990000}"/>
    <cellStyle name="Total 2 9 4 5 6" xfId="32421" xr:uid="{00000000-0005-0000-0000-000086990000}"/>
    <cellStyle name="Total 2 9 4 5 7" xfId="13097" xr:uid="{00000000-0005-0000-0000-000087990000}"/>
    <cellStyle name="Total 2 9 4 6" xfId="2984" xr:uid="{00000000-0005-0000-0000-000088990000}"/>
    <cellStyle name="Total 2 9 4 6 2" xfId="5835" xr:uid="{00000000-0005-0000-0000-000089990000}"/>
    <cellStyle name="Total 2 9 4 6 2 2" xfId="24807" xr:uid="{00000000-0005-0000-0000-00008A990000}"/>
    <cellStyle name="Total 2 9 4 6 2 3" xfId="35652" xr:uid="{00000000-0005-0000-0000-00008B990000}"/>
    <cellStyle name="Total 2 9 4 6 2 4" xfId="15410" xr:uid="{00000000-0005-0000-0000-00008C990000}"/>
    <cellStyle name="Total 2 9 4 6 3" xfId="8506" xr:uid="{00000000-0005-0000-0000-00008D990000}"/>
    <cellStyle name="Total 2 9 4 6 3 2" xfId="27478" xr:uid="{00000000-0005-0000-0000-00008E990000}"/>
    <cellStyle name="Total 2 9 4 6 3 3" xfId="38323" xr:uid="{00000000-0005-0000-0000-00008F990000}"/>
    <cellStyle name="Total 2 9 4 6 3 4" xfId="17323" xr:uid="{00000000-0005-0000-0000-000090990000}"/>
    <cellStyle name="Total 2 9 4 6 4" xfId="11165" xr:uid="{00000000-0005-0000-0000-000091990000}"/>
    <cellStyle name="Total 2 9 4 6 4 2" xfId="30137" xr:uid="{00000000-0005-0000-0000-000092990000}"/>
    <cellStyle name="Total 2 9 4 6 4 3" xfId="40982" xr:uid="{00000000-0005-0000-0000-000093990000}"/>
    <cellStyle name="Total 2 9 4 6 4 4" xfId="19227" xr:uid="{00000000-0005-0000-0000-000094990000}"/>
    <cellStyle name="Total 2 9 4 6 5" xfId="21961" xr:uid="{00000000-0005-0000-0000-000095990000}"/>
    <cellStyle name="Total 2 9 4 6 6" xfId="32806" xr:uid="{00000000-0005-0000-0000-000096990000}"/>
    <cellStyle name="Total 2 9 4 6 7" xfId="13373" xr:uid="{00000000-0005-0000-0000-000097990000}"/>
    <cellStyle name="Total 2 9 4 7" xfId="3673" xr:uid="{00000000-0005-0000-0000-000098990000}"/>
    <cellStyle name="Total 2 9 4 7 2" xfId="22645" xr:uid="{00000000-0005-0000-0000-000099990000}"/>
    <cellStyle name="Total 2 9 4 7 3" xfId="33490" xr:uid="{00000000-0005-0000-0000-00009A990000}"/>
    <cellStyle name="Total 2 9 4 7 4" xfId="13854" xr:uid="{00000000-0005-0000-0000-00009B990000}"/>
    <cellStyle name="Total 2 9 4 8" xfId="6348" xr:uid="{00000000-0005-0000-0000-00009C990000}"/>
    <cellStyle name="Total 2 9 4 8 2" xfId="25320" xr:uid="{00000000-0005-0000-0000-00009D990000}"/>
    <cellStyle name="Total 2 9 4 8 3" xfId="36165" xr:uid="{00000000-0005-0000-0000-00009E990000}"/>
    <cellStyle name="Total 2 9 4 8 4" xfId="15770" xr:uid="{00000000-0005-0000-0000-00009F990000}"/>
    <cellStyle name="Total 2 9 4 9" xfId="9007" xr:uid="{00000000-0005-0000-0000-0000A0990000}"/>
    <cellStyle name="Total 2 9 4 9 2" xfId="27979" xr:uid="{00000000-0005-0000-0000-0000A1990000}"/>
    <cellStyle name="Total 2 9 4 9 3" xfId="38824" xr:uid="{00000000-0005-0000-0000-0000A2990000}"/>
    <cellStyle name="Total 2 9 4 9 4" xfId="17674" xr:uid="{00000000-0005-0000-0000-0000A3990000}"/>
    <cellStyle name="Total 2 9 5" xfId="877" xr:uid="{00000000-0005-0000-0000-0000A4990000}"/>
    <cellStyle name="Total 2 9 5 10" xfId="19862" xr:uid="{00000000-0005-0000-0000-0000A5990000}"/>
    <cellStyle name="Total 2 9 5 11" xfId="30707" xr:uid="{00000000-0005-0000-0000-0000A6990000}"/>
    <cellStyle name="Total 2 9 5 12" xfId="11859" xr:uid="{00000000-0005-0000-0000-0000A7990000}"/>
    <cellStyle name="Total 2 9 5 2" xfId="1464" xr:uid="{00000000-0005-0000-0000-0000A8990000}"/>
    <cellStyle name="Total 2 9 5 2 2" xfId="4317" xr:uid="{00000000-0005-0000-0000-0000A9990000}"/>
    <cellStyle name="Total 2 9 5 2 2 2" xfId="23289" xr:uid="{00000000-0005-0000-0000-0000AA990000}"/>
    <cellStyle name="Total 2 9 5 2 2 3" xfId="34134" xr:uid="{00000000-0005-0000-0000-0000AB990000}"/>
    <cellStyle name="Total 2 9 5 2 2 4" xfId="14320" xr:uid="{00000000-0005-0000-0000-0000AC990000}"/>
    <cellStyle name="Total 2 9 5 2 3" xfId="6990" xr:uid="{00000000-0005-0000-0000-0000AD990000}"/>
    <cellStyle name="Total 2 9 5 2 3 2" xfId="25962" xr:uid="{00000000-0005-0000-0000-0000AE990000}"/>
    <cellStyle name="Total 2 9 5 2 3 3" xfId="36807" xr:uid="{00000000-0005-0000-0000-0000AF990000}"/>
    <cellStyle name="Total 2 9 5 2 3 4" xfId="16235" xr:uid="{00000000-0005-0000-0000-0000B0990000}"/>
    <cellStyle name="Total 2 9 5 2 4" xfId="9649" xr:uid="{00000000-0005-0000-0000-0000B1990000}"/>
    <cellStyle name="Total 2 9 5 2 4 2" xfId="28621" xr:uid="{00000000-0005-0000-0000-0000B2990000}"/>
    <cellStyle name="Total 2 9 5 2 4 3" xfId="39466" xr:uid="{00000000-0005-0000-0000-0000B3990000}"/>
    <cellStyle name="Total 2 9 5 2 4 4" xfId="18139" xr:uid="{00000000-0005-0000-0000-0000B4990000}"/>
    <cellStyle name="Total 2 9 5 2 5" xfId="20445" xr:uid="{00000000-0005-0000-0000-0000B5990000}"/>
    <cellStyle name="Total 2 9 5 2 6" xfId="31290" xr:uid="{00000000-0005-0000-0000-0000B6990000}"/>
    <cellStyle name="Total 2 9 5 2 7" xfId="12285" xr:uid="{00000000-0005-0000-0000-0000B7990000}"/>
    <cellStyle name="Total 2 9 5 3" xfId="1863" xr:uid="{00000000-0005-0000-0000-0000B8990000}"/>
    <cellStyle name="Total 2 9 5 3 2" xfId="4716" xr:uid="{00000000-0005-0000-0000-0000B9990000}"/>
    <cellStyle name="Total 2 9 5 3 2 2" xfId="23688" xr:uid="{00000000-0005-0000-0000-0000BA990000}"/>
    <cellStyle name="Total 2 9 5 3 2 3" xfId="34533" xr:uid="{00000000-0005-0000-0000-0000BB990000}"/>
    <cellStyle name="Total 2 9 5 3 2 4" xfId="14607" xr:uid="{00000000-0005-0000-0000-0000BC990000}"/>
    <cellStyle name="Total 2 9 5 3 3" xfId="7388" xr:uid="{00000000-0005-0000-0000-0000BD990000}"/>
    <cellStyle name="Total 2 9 5 3 3 2" xfId="26360" xr:uid="{00000000-0005-0000-0000-0000BE990000}"/>
    <cellStyle name="Total 2 9 5 3 3 3" xfId="37205" xr:uid="{00000000-0005-0000-0000-0000BF990000}"/>
    <cellStyle name="Total 2 9 5 3 3 4" xfId="16521" xr:uid="{00000000-0005-0000-0000-0000C0990000}"/>
    <cellStyle name="Total 2 9 5 3 4" xfId="10047" xr:uid="{00000000-0005-0000-0000-0000C1990000}"/>
    <cellStyle name="Total 2 9 5 3 4 2" xfId="29019" xr:uid="{00000000-0005-0000-0000-0000C2990000}"/>
    <cellStyle name="Total 2 9 5 3 4 3" xfId="39864" xr:uid="{00000000-0005-0000-0000-0000C3990000}"/>
    <cellStyle name="Total 2 9 5 3 4 4" xfId="18425" xr:uid="{00000000-0005-0000-0000-0000C4990000}"/>
    <cellStyle name="Total 2 9 5 3 5" xfId="20843" xr:uid="{00000000-0005-0000-0000-0000C5990000}"/>
    <cellStyle name="Total 2 9 5 3 6" xfId="31688" xr:uid="{00000000-0005-0000-0000-0000C6990000}"/>
    <cellStyle name="Total 2 9 5 3 7" xfId="12571" xr:uid="{00000000-0005-0000-0000-0000C7990000}"/>
    <cellStyle name="Total 2 9 5 4" xfId="2267" xr:uid="{00000000-0005-0000-0000-0000C8990000}"/>
    <cellStyle name="Total 2 9 5 4 2" xfId="5120" xr:uid="{00000000-0005-0000-0000-0000C9990000}"/>
    <cellStyle name="Total 2 9 5 4 2 2" xfId="24092" xr:uid="{00000000-0005-0000-0000-0000CA990000}"/>
    <cellStyle name="Total 2 9 5 4 2 3" xfId="34937" xr:uid="{00000000-0005-0000-0000-0000CB990000}"/>
    <cellStyle name="Total 2 9 5 4 2 4" xfId="14894" xr:uid="{00000000-0005-0000-0000-0000CC990000}"/>
    <cellStyle name="Total 2 9 5 4 3" xfId="7791" xr:uid="{00000000-0005-0000-0000-0000CD990000}"/>
    <cellStyle name="Total 2 9 5 4 3 2" xfId="26763" xr:uid="{00000000-0005-0000-0000-0000CE990000}"/>
    <cellStyle name="Total 2 9 5 4 3 3" xfId="37608" xr:uid="{00000000-0005-0000-0000-0000CF990000}"/>
    <cellStyle name="Total 2 9 5 4 3 4" xfId="16807" xr:uid="{00000000-0005-0000-0000-0000D0990000}"/>
    <cellStyle name="Total 2 9 5 4 4" xfId="10450" xr:uid="{00000000-0005-0000-0000-0000D1990000}"/>
    <cellStyle name="Total 2 9 5 4 4 2" xfId="29422" xr:uid="{00000000-0005-0000-0000-0000D2990000}"/>
    <cellStyle name="Total 2 9 5 4 4 3" xfId="40267" xr:uid="{00000000-0005-0000-0000-0000D3990000}"/>
    <cellStyle name="Total 2 9 5 4 4 4" xfId="18711" xr:uid="{00000000-0005-0000-0000-0000D4990000}"/>
    <cellStyle name="Total 2 9 5 4 5" xfId="21246" xr:uid="{00000000-0005-0000-0000-0000D5990000}"/>
    <cellStyle name="Total 2 9 5 4 6" xfId="32091" xr:uid="{00000000-0005-0000-0000-0000D6990000}"/>
    <cellStyle name="Total 2 9 5 4 7" xfId="12857" xr:uid="{00000000-0005-0000-0000-0000D7990000}"/>
    <cellStyle name="Total 2 9 5 5" xfId="2657" xr:uid="{00000000-0005-0000-0000-0000D8990000}"/>
    <cellStyle name="Total 2 9 5 5 2" xfId="5509" xr:uid="{00000000-0005-0000-0000-0000D9990000}"/>
    <cellStyle name="Total 2 9 5 5 2 2" xfId="24481" xr:uid="{00000000-0005-0000-0000-0000DA990000}"/>
    <cellStyle name="Total 2 9 5 5 2 3" xfId="35326" xr:uid="{00000000-0005-0000-0000-0000DB990000}"/>
    <cellStyle name="Total 2 9 5 5 2 4" xfId="15173" xr:uid="{00000000-0005-0000-0000-0000DC990000}"/>
    <cellStyle name="Total 2 9 5 5 3" xfId="8180" xr:uid="{00000000-0005-0000-0000-0000DD990000}"/>
    <cellStyle name="Total 2 9 5 5 3 2" xfId="27152" xr:uid="{00000000-0005-0000-0000-0000DE990000}"/>
    <cellStyle name="Total 2 9 5 5 3 3" xfId="37997" xr:uid="{00000000-0005-0000-0000-0000DF990000}"/>
    <cellStyle name="Total 2 9 5 5 3 4" xfId="17086" xr:uid="{00000000-0005-0000-0000-0000E0990000}"/>
    <cellStyle name="Total 2 9 5 5 4" xfId="10839" xr:uid="{00000000-0005-0000-0000-0000E1990000}"/>
    <cellStyle name="Total 2 9 5 5 4 2" xfId="29811" xr:uid="{00000000-0005-0000-0000-0000E2990000}"/>
    <cellStyle name="Total 2 9 5 5 4 3" xfId="40656" xr:uid="{00000000-0005-0000-0000-0000E3990000}"/>
    <cellStyle name="Total 2 9 5 5 4 4" xfId="18990" xr:uid="{00000000-0005-0000-0000-0000E4990000}"/>
    <cellStyle name="Total 2 9 5 5 5" xfId="21635" xr:uid="{00000000-0005-0000-0000-0000E5990000}"/>
    <cellStyle name="Total 2 9 5 5 6" xfId="32480" xr:uid="{00000000-0005-0000-0000-0000E6990000}"/>
    <cellStyle name="Total 2 9 5 5 7" xfId="13136" xr:uid="{00000000-0005-0000-0000-0000E7990000}"/>
    <cellStyle name="Total 2 9 5 6" xfId="3043" xr:uid="{00000000-0005-0000-0000-0000E8990000}"/>
    <cellStyle name="Total 2 9 5 6 2" xfId="5894" xr:uid="{00000000-0005-0000-0000-0000E9990000}"/>
    <cellStyle name="Total 2 9 5 6 2 2" xfId="24866" xr:uid="{00000000-0005-0000-0000-0000EA990000}"/>
    <cellStyle name="Total 2 9 5 6 2 3" xfId="35711" xr:uid="{00000000-0005-0000-0000-0000EB990000}"/>
    <cellStyle name="Total 2 9 5 6 2 4" xfId="15449" xr:uid="{00000000-0005-0000-0000-0000EC990000}"/>
    <cellStyle name="Total 2 9 5 6 3" xfId="8565" xr:uid="{00000000-0005-0000-0000-0000ED990000}"/>
    <cellStyle name="Total 2 9 5 6 3 2" xfId="27537" xr:uid="{00000000-0005-0000-0000-0000EE990000}"/>
    <cellStyle name="Total 2 9 5 6 3 3" xfId="38382" xr:uid="{00000000-0005-0000-0000-0000EF990000}"/>
    <cellStyle name="Total 2 9 5 6 3 4" xfId="17362" xr:uid="{00000000-0005-0000-0000-0000F0990000}"/>
    <cellStyle name="Total 2 9 5 6 4" xfId="11224" xr:uid="{00000000-0005-0000-0000-0000F1990000}"/>
    <cellStyle name="Total 2 9 5 6 4 2" xfId="30196" xr:uid="{00000000-0005-0000-0000-0000F2990000}"/>
    <cellStyle name="Total 2 9 5 6 4 3" xfId="41041" xr:uid="{00000000-0005-0000-0000-0000F3990000}"/>
    <cellStyle name="Total 2 9 5 6 4 4" xfId="19266" xr:uid="{00000000-0005-0000-0000-0000F4990000}"/>
    <cellStyle name="Total 2 9 5 6 5" xfId="22020" xr:uid="{00000000-0005-0000-0000-0000F5990000}"/>
    <cellStyle name="Total 2 9 5 6 6" xfId="32865" xr:uid="{00000000-0005-0000-0000-0000F6990000}"/>
    <cellStyle name="Total 2 9 5 6 7" xfId="13412" xr:uid="{00000000-0005-0000-0000-0000F7990000}"/>
    <cellStyle name="Total 2 9 5 7" xfId="3732" xr:uid="{00000000-0005-0000-0000-0000F8990000}"/>
    <cellStyle name="Total 2 9 5 7 2" xfId="22704" xr:uid="{00000000-0005-0000-0000-0000F9990000}"/>
    <cellStyle name="Total 2 9 5 7 3" xfId="33549" xr:uid="{00000000-0005-0000-0000-0000FA990000}"/>
    <cellStyle name="Total 2 9 5 7 4" xfId="13893" xr:uid="{00000000-0005-0000-0000-0000FB990000}"/>
    <cellStyle name="Total 2 9 5 8" xfId="6407" xr:uid="{00000000-0005-0000-0000-0000FC990000}"/>
    <cellStyle name="Total 2 9 5 8 2" xfId="25379" xr:uid="{00000000-0005-0000-0000-0000FD990000}"/>
    <cellStyle name="Total 2 9 5 8 3" xfId="36224" xr:uid="{00000000-0005-0000-0000-0000FE990000}"/>
    <cellStyle name="Total 2 9 5 8 4" xfId="15809" xr:uid="{00000000-0005-0000-0000-0000FF990000}"/>
    <cellStyle name="Total 2 9 5 9" xfId="9066" xr:uid="{00000000-0005-0000-0000-0000009A0000}"/>
    <cellStyle name="Total 2 9 5 9 2" xfId="28038" xr:uid="{00000000-0005-0000-0000-0000019A0000}"/>
    <cellStyle name="Total 2 9 5 9 3" xfId="38883" xr:uid="{00000000-0005-0000-0000-0000029A0000}"/>
    <cellStyle name="Total 2 9 5 9 4" xfId="17713" xr:uid="{00000000-0005-0000-0000-0000039A0000}"/>
    <cellStyle name="Total 2 9 6" xfId="1099" xr:uid="{00000000-0005-0000-0000-0000049A0000}"/>
    <cellStyle name="Total 2 9 6 2" xfId="3952" xr:uid="{00000000-0005-0000-0000-0000059A0000}"/>
    <cellStyle name="Total 2 9 6 2 2" xfId="22924" xr:uid="{00000000-0005-0000-0000-0000069A0000}"/>
    <cellStyle name="Total 2 9 6 2 3" xfId="33769" xr:uid="{00000000-0005-0000-0000-0000079A0000}"/>
    <cellStyle name="Total 2 9 6 2 4" xfId="14055" xr:uid="{00000000-0005-0000-0000-0000089A0000}"/>
    <cellStyle name="Total 2 9 6 3" xfId="6626" xr:uid="{00000000-0005-0000-0000-0000099A0000}"/>
    <cellStyle name="Total 2 9 6 3 2" xfId="25598" xr:uid="{00000000-0005-0000-0000-00000A9A0000}"/>
    <cellStyle name="Total 2 9 6 3 3" xfId="36443" xr:uid="{00000000-0005-0000-0000-00000B9A0000}"/>
    <cellStyle name="Total 2 9 6 3 4" xfId="15971" xr:uid="{00000000-0005-0000-0000-00000C9A0000}"/>
    <cellStyle name="Total 2 9 6 4" xfId="9285" xr:uid="{00000000-0005-0000-0000-00000D9A0000}"/>
    <cellStyle name="Total 2 9 6 4 2" xfId="28257" xr:uid="{00000000-0005-0000-0000-00000E9A0000}"/>
    <cellStyle name="Total 2 9 6 4 3" xfId="39102" xr:uid="{00000000-0005-0000-0000-00000F9A0000}"/>
    <cellStyle name="Total 2 9 6 4 4" xfId="17875" xr:uid="{00000000-0005-0000-0000-0000109A0000}"/>
    <cellStyle name="Total 2 9 6 5" xfId="20081" xr:uid="{00000000-0005-0000-0000-0000119A0000}"/>
    <cellStyle name="Total 2 9 6 6" xfId="30926" xr:uid="{00000000-0005-0000-0000-0000129A0000}"/>
    <cellStyle name="Total 2 9 6 7" xfId="12021" xr:uid="{00000000-0005-0000-0000-0000139A0000}"/>
    <cellStyle name="Total 2 9 7" xfId="1499" xr:uid="{00000000-0005-0000-0000-0000149A0000}"/>
    <cellStyle name="Total 2 9 7 2" xfId="4352" xr:uid="{00000000-0005-0000-0000-0000159A0000}"/>
    <cellStyle name="Total 2 9 7 2 2" xfId="23324" xr:uid="{00000000-0005-0000-0000-0000169A0000}"/>
    <cellStyle name="Total 2 9 7 2 3" xfId="34169" xr:uid="{00000000-0005-0000-0000-0000179A0000}"/>
    <cellStyle name="Total 2 9 7 2 4" xfId="14345" xr:uid="{00000000-0005-0000-0000-0000189A0000}"/>
    <cellStyle name="Total 2 9 7 3" xfId="7025" xr:uid="{00000000-0005-0000-0000-0000199A0000}"/>
    <cellStyle name="Total 2 9 7 3 2" xfId="25997" xr:uid="{00000000-0005-0000-0000-00001A9A0000}"/>
    <cellStyle name="Total 2 9 7 3 3" xfId="36842" xr:uid="{00000000-0005-0000-0000-00001B9A0000}"/>
    <cellStyle name="Total 2 9 7 3 4" xfId="16260" xr:uid="{00000000-0005-0000-0000-00001C9A0000}"/>
    <cellStyle name="Total 2 9 7 4" xfId="9684" xr:uid="{00000000-0005-0000-0000-00001D9A0000}"/>
    <cellStyle name="Total 2 9 7 4 2" xfId="28656" xr:uid="{00000000-0005-0000-0000-00001E9A0000}"/>
    <cellStyle name="Total 2 9 7 4 3" xfId="39501" xr:uid="{00000000-0005-0000-0000-00001F9A0000}"/>
    <cellStyle name="Total 2 9 7 4 4" xfId="18164" xr:uid="{00000000-0005-0000-0000-0000209A0000}"/>
    <cellStyle name="Total 2 9 7 5" xfId="20480" xr:uid="{00000000-0005-0000-0000-0000219A0000}"/>
    <cellStyle name="Total 2 9 7 6" xfId="31325" xr:uid="{00000000-0005-0000-0000-0000229A0000}"/>
    <cellStyle name="Total 2 9 7 7" xfId="12310" xr:uid="{00000000-0005-0000-0000-0000239A0000}"/>
    <cellStyle name="Total 2 9 8" xfId="1907" xr:uid="{00000000-0005-0000-0000-0000249A0000}"/>
    <cellStyle name="Total 2 9 8 2" xfId="4760" xr:uid="{00000000-0005-0000-0000-0000259A0000}"/>
    <cellStyle name="Total 2 9 8 2 2" xfId="23732" xr:uid="{00000000-0005-0000-0000-0000269A0000}"/>
    <cellStyle name="Total 2 9 8 2 3" xfId="34577" xr:uid="{00000000-0005-0000-0000-0000279A0000}"/>
    <cellStyle name="Total 2 9 8 2 4" xfId="14636" xr:uid="{00000000-0005-0000-0000-0000289A0000}"/>
    <cellStyle name="Total 2 9 8 3" xfId="7432" xr:uid="{00000000-0005-0000-0000-0000299A0000}"/>
    <cellStyle name="Total 2 9 8 3 2" xfId="26404" xr:uid="{00000000-0005-0000-0000-00002A9A0000}"/>
    <cellStyle name="Total 2 9 8 3 3" xfId="37249" xr:uid="{00000000-0005-0000-0000-00002B9A0000}"/>
    <cellStyle name="Total 2 9 8 3 4" xfId="16550" xr:uid="{00000000-0005-0000-0000-00002C9A0000}"/>
    <cellStyle name="Total 2 9 8 4" xfId="10091" xr:uid="{00000000-0005-0000-0000-00002D9A0000}"/>
    <cellStyle name="Total 2 9 8 4 2" xfId="29063" xr:uid="{00000000-0005-0000-0000-00002E9A0000}"/>
    <cellStyle name="Total 2 9 8 4 3" xfId="39908" xr:uid="{00000000-0005-0000-0000-00002F9A0000}"/>
    <cellStyle name="Total 2 9 8 4 4" xfId="18454" xr:uid="{00000000-0005-0000-0000-0000309A0000}"/>
    <cellStyle name="Total 2 9 8 5" xfId="20887" xr:uid="{00000000-0005-0000-0000-0000319A0000}"/>
    <cellStyle name="Total 2 9 8 6" xfId="31732" xr:uid="{00000000-0005-0000-0000-0000329A0000}"/>
    <cellStyle name="Total 2 9 8 7" xfId="12600" xr:uid="{00000000-0005-0000-0000-0000339A0000}"/>
    <cellStyle name="Total 2 9 9" xfId="2301" xr:uid="{00000000-0005-0000-0000-0000349A0000}"/>
    <cellStyle name="Total 2 9 9 2" xfId="5154" xr:uid="{00000000-0005-0000-0000-0000359A0000}"/>
    <cellStyle name="Total 2 9 9 2 2" xfId="24126" xr:uid="{00000000-0005-0000-0000-0000369A0000}"/>
    <cellStyle name="Total 2 9 9 2 3" xfId="34971" xr:uid="{00000000-0005-0000-0000-0000379A0000}"/>
    <cellStyle name="Total 2 9 9 2 4" xfId="14918" xr:uid="{00000000-0005-0000-0000-0000389A0000}"/>
    <cellStyle name="Total 2 9 9 3" xfId="7825" xr:uid="{00000000-0005-0000-0000-0000399A0000}"/>
    <cellStyle name="Total 2 9 9 3 2" xfId="26797" xr:uid="{00000000-0005-0000-0000-00003A9A0000}"/>
    <cellStyle name="Total 2 9 9 3 3" xfId="37642" xr:uid="{00000000-0005-0000-0000-00003B9A0000}"/>
    <cellStyle name="Total 2 9 9 3 4" xfId="16831" xr:uid="{00000000-0005-0000-0000-00003C9A0000}"/>
    <cellStyle name="Total 2 9 9 4" xfId="10484" xr:uid="{00000000-0005-0000-0000-00003D9A0000}"/>
    <cellStyle name="Total 2 9 9 4 2" xfId="29456" xr:uid="{00000000-0005-0000-0000-00003E9A0000}"/>
    <cellStyle name="Total 2 9 9 4 3" xfId="40301" xr:uid="{00000000-0005-0000-0000-00003F9A0000}"/>
    <cellStyle name="Total 2 9 9 4 4" xfId="18735" xr:uid="{00000000-0005-0000-0000-0000409A0000}"/>
    <cellStyle name="Total 2 9 9 5" xfId="21280" xr:uid="{00000000-0005-0000-0000-0000419A0000}"/>
    <cellStyle name="Total 2 9 9 6" xfId="32125" xr:uid="{00000000-0005-0000-0000-0000429A0000}"/>
    <cellStyle name="Total 2 9 9 7" xfId="12881" xr:uid="{00000000-0005-0000-0000-0000439A0000}"/>
    <cellStyle name="Total 2_Avoided Costs" xfId="163" xr:uid="{00000000-0005-0000-0000-0000449A0000}"/>
    <cellStyle name="Total 3" xfId="164" xr:uid="{00000000-0005-0000-0000-0000459A0000}"/>
    <cellStyle name="Total 3 2" xfId="407" xr:uid="{00000000-0005-0000-0000-0000469A0000}"/>
    <cellStyle name="Total 3 2 10" xfId="2698" xr:uid="{00000000-0005-0000-0000-0000479A0000}"/>
    <cellStyle name="Total 3 2 10 2" xfId="5550" xr:uid="{00000000-0005-0000-0000-0000489A0000}"/>
    <cellStyle name="Total 3 2 10 2 2" xfId="24522" xr:uid="{00000000-0005-0000-0000-0000499A0000}"/>
    <cellStyle name="Total 3 2 10 2 3" xfId="35367" xr:uid="{00000000-0005-0000-0000-00004A9A0000}"/>
    <cellStyle name="Total 3 2 10 2 4" xfId="15204" xr:uid="{00000000-0005-0000-0000-00004B9A0000}"/>
    <cellStyle name="Total 3 2 10 3" xfId="8221" xr:uid="{00000000-0005-0000-0000-00004C9A0000}"/>
    <cellStyle name="Total 3 2 10 3 2" xfId="27193" xr:uid="{00000000-0005-0000-0000-00004D9A0000}"/>
    <cellStyle name="Total 3 2 10 3 3" xfId="38038" xr:uid="{00000000-0005-0000-0000-00004E9A0000}"/>
    <cellStyle name="Total 3 2 10 3 4" xfId="17117" xr:uid="{00000000-0005-0000-0000-00004F9A0000}"/>
    <cellStyle name="Total 3 2 10 4" xfId="10880" xr:uid="{00000000-0005-0000-0000-0000509A0000}"/>
    <cellStyle name="Total 3 2 10 4 2" xfId="29852" xr:uid="{00000000-0005-0000-0000-0000519A0000}"/>
    <cellStyle name="Total 3 2 10 4 3" xfId="40697" xr:uid="{00000000-0005-0000-0000-0000529A0000}"/>
    <cellStyle name="Total 3 2 10 4 4" xfId="19021" xr:uid="{00000000-0005-0000-0000-0000539A0000}"/>
    <cellStyle name="Total 3 2 10 5" xfId="21676" xr:uid="{00000000-0005-0000-0000-0000549A0000}"/>
    <cellStyle name="Total 3 2 10 6" xfId="32521" xr:uid="{00000000-0005-0000-0000-0000559A0000}"/>
    <cellStyle name="Total 3 2 10 7" xfId="13167" xr:uid="{00000000-0005-0000-0000-0000569A0000}"/>
    <cellStyle name="Total 3 2 11" xfId="3084" xr:uid="{00000000-0005-0000-0000-0000579A0000}"/>
    <cellStyle name="Total 3 2 11 2" xfId="5935" xr:uid="{00000000-0005-0000-0000-0000589A0000}"/>
    <cellStyle name="Total 3 2 11 2 2" xfId="24907" xr:uid="{00000000-0005-0000-0000-0000599A0000}"/>
    <cellStyle name="Total 3 2 11 2 3" xfId="35752" xr:uid="{00000000-0005-0000-0000-00005A9A0000}"/>
    <cellStyle name="Total 3 2 11 2 4" xfId="15480" xr:uid="{00000000-0005-0000-0000-00005B9A0000}"/>
    <cellStyle name="Total 3 2 11 3" xfId="8606" xr:uid="{00000000-0005-0000-0000-00005C9A0000}"/>
    <cellStyle name="Total 3 2 11 3 2" xfId="27578" xr:uid="{00000000-0005-0000-0000-00005D9A0000}"/>
    <cellStyle name="Total 3 2 11 3 3" xfId="38423" xr:uid="{00000000-0005-0000-0000-00005E9A0000}"/>
    <cellStyle name="Total 3 2 11 3 4" xfId="17393" xr:uid="{00000000-0005-0000-0000-00005F9A0000}"/>
    <cellStyle name="Total 3 2 11 4" xfId="11265" xr:uid="{00000000-0005-0000-0000-0000609A0000}"/>
    <cellStyle name="Total 3 2 11 4 2" xfId="30237" xr:uid="{00000000-0005-0000-0000-0000619A0000}"/>
    <cellStyle name="Total 3 2 11 4 3" xfId="41082" xr:uid="{00000000-0005-0000-0000-0000629A0000}"/>
    <cellStyle name="Total 3 2 11 4 4" xfId="19297" xr:uid="{00000000-0005-0000-0000-0000639A0000}"/>
    <cellStyle name="Total 3 2 11 5" xfId="22061" xr:uid="{00000000-0005-0000-0000-0000649A0000}"/>
    <cellStyle name="Total 3 2 11 6" xfId="32906" xr:uid="{00000000-0005-0000-0000-0000659A0000}"/>
    <cellStyle name="Total 3 2 11 7" xfId="13443" xr:uid="{00000000-0005-0000-0000-0000669A0000}"/>
    <cellStyle name="Total 3 2 12" xfId="3141" xr:uid="{00000000-0005-0000-0000-0000679A0000}"/>
    <cellStyle name="Total 3 2 12 2" xfId="5992" xr:uid="{00000000-0005-0000-0000-0000689A0000}"/>
    <cellStyle name="Total 3 2 12 2 2" xfId="24964" xr:uid="{00000000-0005-0000-0000-0000699A0000}"/>
    <cellStyle name="Total 3 2 12 2 3" xfId="35809" xr:uid="{00000000-0005-0000-0000-00006A9A0000}"/>
    <cellStyle name="Total 3 2 12 2 4" xfId="15517" xr:uid="{00000000-0005-0000-0000-00006B9A0000}"/>
    <cellStyle name="Total 3 2 12 3" xfId="8663" xr:uid="{00000000-0005-0000-0000-00006C9A0000}"/>
    <cellStyle name="Total 3 2 12 3 2" xfId="27635" xr:uid="{00000000-0005-0000-0000-00006D9A0000}"/>
    <cellStyle name="Total 3 2 12 3 3" xfId="38480" xr:uid="{00000000-0005-0000-0000-00006E9A0000}"/>
    <cellStyle name="Total 3 2 12 3 4" xfId="17430" xr:uid="{00000000-0005-0000-0000-00006F9A0000}"/>
    <cellStyle name="Total 3 2 12 4" xfId="11322" xr:uid="{00000000-0005-0000-0000-0000709A0000}"/>
    <cellStyle name="Total 3 2 12 4 2" xfId="30294" xr:uid="{00000000-0005-0000-0000-0000719A0000}"/>
    <cellStyle name="Total 3 2 12 4 3" xfId="41139" xr:uid="{00000000-0005-0000-0000-0000729A0000}"/>
    <cellStyle name="Total 3 2 12 4 4" xfId="19334" xr:uid="{00000000-0005-0000-0000-0000739A0000}"/>
    <cellStyle name="Total 3 2 12 5" xfId="22118" xr:uid="{00000000-0005-0000-0000-0000749A0000}"/>
    <cellStyle name="Total 3 2 12 6" xfId="32963" xr:uid="{00000000-0005-0000-0000-0000759A0000}"/>
    <cellStyle name="Total 3 2 12 7" xfId="13480" xr:uid="{00000000-0005-0000-0000-0000769A0000}"/>
    <cellStyle name="Total 3 2 13" xfId="3198" xr:uid="{00000000-0005-0000-0000-0000779A0000}"/>
    <cellStyle name="Total 3 2 13 2" xfId="6049" xr:uid="{00000000-0005-0000-0000-0000789A0000}"/>
    <cellStyle name="Total 3 2 13 2 2" xfId="25021" xr:uid="{00000000-0005-0000-0000-0000799A0000}"/>
    <cellStyle name="Total 3 2 13 2 3" xfId="35866" xr:uid="{00000000-0005-0000-0000-00007A9A0000}"/>
    <cellStyle name="Total 3 2 13 2 4" xfId="15554" xr:uid="{00000000-0005-0000-0000-00007B9A0000}"/>
    <cellStyle name="Total 3 2 13 3" xfId="8720" xr:uid="{00000000-0005-0000-0000-00007C9A0000}"/>
    <cellStyle name="Total 3 2 13 3 2" xfId="27692" xr:uid="{00000000-0005-0000-0000-00007D9A0000}"/>
    <cellStyle name="Total 3 2 13 3 3" xfId="38537" xr:uid="{00000000-0005-0000-0000-00007E9A0000}"/>
    <cellStyle name="Total 3 2 13 3 4" xfId="17467" xr:uid="{00000000-0005-0000-0000-00007F9A0000}"/>
    <cellStyle name="Total 3 2 13 4" xfId="11379" xr:uid="{00000000-0005-0000-0000-0000809A0000}"/>
    <cellStyle name="Total 3 2 13 4 2" xfId="30351" xr:uid="{00000000-0005-0000-0000-0000819A0000}"/>
    <cellStyle name="Total 3 2 13 4 3" xfId="41196" xr:uid="{00000000-0005-0000-0000-0000829A0000}"/>
    <cellStyle name="Total 3 2 13 4 4" xfId="19371" xr:uid="{00000000-0005-0000-0000-0000839A0000}"/>
    <cellStyle name="Total 3 2 13 5" xfId="22175" xr:uid="{00000000-0005-0000-0000-0000849A0000}"/>
    <cellStyle name="Total 3 2 13 6" xfId="33020" xr:uid="{00000000-0005-0000-0000-0000859A0000}"/>
    <cellStyle name="Total 3 2 13 7" xfId="13517" xr:uid="{00000000-0005-0000-0000-0000869A0000}"/>
    <cellStyle name="Total 3 2 14" xfId="3365" xr:uid="{00000000-0005-0000-0000-0000879A0000}"/>
    <cellStyle name="Total 3 2 14 2" xfId="22339" xr:uid="{00000000-0005-0000-0000-0000889A0000}"/>
    <cellStyle name="Total 3 2 14 3" xfId="33184" xr:uid="{00000000-0005-0000-0000-0000899A0000}"/>
    <cellStyle name="Total 3 2 14 4" xfId="13634" xr:uid="{00000000-0005-0000-0000-00008A9A0000}"/>
    <cellStyle name="Total 3 2 15" xfId="3242" xr:uid="{00000000-0005-0000-0000-00008B9A0000}"/>
    <cellStyle name="Total 3 2 15 2" xfId="22219" xr:uid="{00000000-0005-0000-0000-00008C9A0000}"/>
    <cellStyle name="Total 3 2 15 3" xfId="33064" xr:uid="{00000000-0005-0000-0000-00008D9A0000}"/>
    <cellStyle name="Total 3 2 15 4" xfId="13546" xr:uid="{00000000-0005-0000-0000-00008E9A0000}"/>
    <cellStyle name="Total 3 2 16" xfId="4892" xr:uid="{00000000-0005-0000-0000-00008F9A0000}"/>
    <cellStyle name="Total 3 2 16 2" xfId="23864" xr:uid="{00000000-0005-0000-0000-0000909A0000}"/>
    <cellStyle name="Total 3 2 16 3" xfId="34709" xr:uid="{00000000-0005-0000-0000-0000919A0000}"/>
    <cellStyle name="Total 3 2 16 4" xfId="14737" xr:uid="{00000000-0005-0000-0000-0000929A0000}"/>
    <cellStyle name="Total 3 2 17" xfId="19495" xr:uid="{00000000-0005-0000-0000-0000939A0000}"/>
    <cellStyle name="Total 3 2 18" xfId="19388" xr:uid="{00000000-0005-0000-0000-0000949A0000}"/>
    <cellStyle name="Total 3 2 19" xfId="11544" xr:uid="{00000000-0005-0000-0000-0000959A0000}"/>
    <cellStyle name="Total 3 2 2" xfId="706" xr:uid="{00000000-0005-0000-0000-0000969A0000}"/>
    <cellStyle name="Total 3 2 2 10" xfId="19691" xr:uid="{00000000-0005-0000-0000-0000979A0000}"/>
    <cellStyle name="Total 3 2 2 11" xfId="30536" xr:uid="{00000000-0005-0000-0000-0000989A0000}"/>
    <cellStyle name="Total 3 2 2 12" xfId="11748" xr:uid="{00000000-0005-0000-0000-0000999A0000}"/>
    <cellStyle name="Total 3 2 2 2" xfId="1293" xr:uid="{00000000-0005-0000-0000-00009A9A0000}"/>
    <cellStyle name="Total 3 2 2 2 2" xfId="4146" xr:uid="{00000000-0005-0000-0000-00009B9A0000}"/>
    <cellStyle name="Total 3 2 2 2 2 2" xfId="23118" xr:uid="{00000000-0005-0000-0000-00009C9A0000}"/>
    <cellStyle name="Total 3 2 2 2 2 3" xfId="33963" xr:uid="{00000000-0005-0000-0000-00009D9A0000}"/>
    <cellStyle name="Total 3 2 2 2 2 4" xfId="14209" xr:uid="{00000000-0005-0000-0000-00009E9A0000}"/>
    <cellStyle name="Total 3 2 2 2 3" xfId="6819" xr:uid="{00000000-0005-0000-0000-00009F9A0000}"/>
    <cellStyle name="Total 3 2 2 2 3 2" xfId="25791" xr:uid="{00000000-0005-0000-0000-0000A09A0000}"/>
    <cellStyle name="Total 3 2 2 2 3 3" xfId="36636" xr:uid="{00000000-0005-0000-0000-0000A19A0000}"/>
    <cellStyle name="Total 3 2 2 2 3 4" xfId="16124" xr:uid="{00000000-0005-0000-0000-0000A29A0000}"/>
    <cellStyle name="Total 3 2 2 2 4" xfId="9478" xr:uid="{00000000-0005-0000-0000-0000A39A0000}"/>
    <cellStyle name="Total 3 2 2 2 4 2" xfId="28450" xr:uid="{00000000-0005-0000-0000-0000A49A0000}"/>
    <cellStyle name="Total 3 2 2 2 4 3" xfId="39295" xr:uid="{00000000-0005-0000-0000-0000A59A0000}"/>
    <cellStyle name="Total 3 2 2 2 4 4" xfId="18028" xr:uid="{00000000-0005-0000-0000-0000A69A0000}"/>
    <cellStyle name="Total 3 2 2 2 5" xfId="20274" xr:uid="{00000000-0005-0000-0000-0000A79A0000}"/>
    <cellStyle name="Total 3 2 2 2 6" xfId="31119" xr:uid="{00000000-0005-0000-0000-0000A89A0000}"/>
    <cellStyle name="Total 3 2 2 2 7" xfId="12174" xr:uid="{00000000-0005-0000-0000-0000A99A0000}"/>
    <cellStyle name="Total 3 2 2 3" xfId="1692" xr:uid="{00000000-0005-0000-0000-0000AA9A0000}"/>
    <cellStyle name="Total 3 2 2 3 2" xfId="4545" xr:uid="{00000000-0005-0000-0000-0000AB9A0000}"/>
    <cellStyle name="Total 3 2 2 3 2 2" xfId="23517" xr:uid="{00000000-0005-0000-0000-0000AC9A0000}"/>
    <cellStyle name="Total 3 2 2 3 2 3" xfId="34362" xr:uid="{00000000-0005-0000-0000-0000AD9A0000}"/>
    <cellStyle name="Total 3 2 2 3 2 4" xfId="14496" xr:uid="{00000000-0005-0000-0000-0000AE9A0000}"/>
    <cellStyle name="Total 3 2 2 3 3" xfId="7217" xr:uid="{00000000-0005-0000-0000-0000AF9A0000}"/>
    <cellStyle name="Total 3 2 2 3 3 2" xfId="26189" xr:uid="{00000000-0005-0000-0000-0000B09A0000}"/>
    <cellStyle name="Total 3 2 2 3 3 3" xfId="37034" xr:uid="{00000000-0005-0000-0000-0000B19A0000}"/>
    <cellStyle name="Total 3 2 2 3 3 4" xfId="16410" xr:uid="{00000000-0005-0000-0000-0000B29A0000}"/>
    <cellStyle name="Total 3 2 2 3 4" xfId="9876" xr:uid="{00000000-0005-0000-0000-0000B39A0000}"/>
    <cellStyle name="Total 3 2 2 3 4 2" xfId="28848" xr:uid="{00000000-0005-0000-0000-0000B49A0000}"/>
    <cellStyle name="Total 3 2 2 3 4 3" xfId="39693" xr:uid="{00000000-0005-0000-0000-0000B59A0000}"/>
    <cellStyle name="Total 3 2 2 3 4 4" xfId="18314" xr:uid="{00000000-0005-0000-0000-0000B69A0000}"/>
    <cellStyle name="Total 3 2 2 3 5" xfId="20672" xr:uid="{00000000-0005-0000-0000-0000B79A0000}"/>
    <cellStyle name="Total 3 2 2 3 6" xfId="31517" xr:uid="{00000000-0005-0000-0000-0000B89A0000}"/>
    <cellStyle name="Total 3 2 2 3 7" xfId="12460" xr:uid="{00000000-0005-0000-0000-0000B99A0000}"/>
    <cellStyle name="Total 3 2 2 4" xfId="2096" xr:uid="{00000000-0005-0000-0000-0000BA9A0000}"/>
    <cellStyle name="Total 3 2 2 4 2" xfId="4949" xr:uid="{00000000-0005-0000-0000-0000BB9A0000}"/>
    <cellStyle name="Total 3 2 2 4 2 2" xfId="23921" xr:uid="{00000000-0005-0000-0000-0000BC9A0000}"/>
    <cellStyle name="Total 3 2 2 4 2 3" xfId="34766" xr:uid="{00000000-0005-0000-0000-0000BD9A0000}"/>
    <cellStyle name="Total 3 2 2 4 2 4" xfId="14783" xr:uid="{00000000-0005-0000-0000-0000BE9A0000}"/>
    <cellStyle name="Total 3 2 2 4 3" xfId="7620" xr:uid="{00000000-0005-0000-0000-0000BF9A0000}"/>
    <cellStyle name="Total 3 2 2 4 3 2" xfId="26592" xr:uid="{00000000-0005-0000-0000-0000C09A0000}"/>
    <cellStyle name="Total 3 2 2 4 3 3" xfId="37437" xr:uid="{00000000-0005-0000-0000-0000C19A0000}"/>
    <cellStyle name="Total 3 2 2 4 3 4" xfId="16696" xr:uid="{00000000-0005-0000-0000-0000C29A0000}"/>
    <cellStyle name="Total 3 2 2 4 4" xfId="10279" xr:uid="{00000000-0005-0000-0000-0000C39A0000}"/>
    <cellStyle name="Total 3 2 2 4 4 2" xfId="29251" xr:uid="{00000000-0005-0000-0000-0000C49A0000}"/>
    <cellStyle name="Total 3 2 2 4 4 3" xfId="40096" xr:uid="{00000000-0005-0000-0000-0000C59A0000}"/>
    <cellStyle name="Total 3 2 2 4 4 4" xfId="18600" xr:uid="{00000000-0005-0000-0000-0000C69A0000}"/>
    <cellStyle name="Total 3 2 2 4 5" xfId="21075" xr:uid="{00000000-0005-0000-0000-0000C79A0000}"/>
    <cellStyle name="Total 3 2 2 4 6" xfId="31920" xr:uid="{00000000-0005-0000-0000-0000C89A0000}"/>
    <cellStyle name="Total 3 2 2 4 7" xfId="12746" xr:uid="{00000000-0005-0000-0000-0000C99A0000}"/>
    <cellStyle name="Total 3 2 2 5" xfId="2486" xr:uid="{00000000-0005-0000-0000-0000CA9A0000}"/>
    <cellStyle name="Total 3 2 2 5 2" xfId="5338" xr:uid="{00000000-0005-0000-0000-0000CB9A0000}"/>
    <cellStyle name="Total 3 2 2 5 2 2" xfId="24310" xr:uid="{00000000-0005-0000-0000-0000CC9A0000}"/>
    <cellStyle name="Total 3 2 2 5 2 3" xfId="35155" xr:uid="{00000000-0005-0000-0000-0000CD9A0000}"/>
    <cellStyle name="Total 3 2 2 5 2 4" xfId="15062" xr:uid="{00000000-0005-0000-0000-0000CE9A0000}"/>
    <cellStyle name="Total 3 2 2 5 3" xfId="8009" xr:uid="{00000000-0005-0000-0000-0000CF9A0000}"/>
    <cellStyle name="Total 3 2 2 5 3 2" xfId="26981" xr:uid="{00000000-0005-0000-0000-0000D09A0000}"/>
    <cellStyle name="Total 3 2 2 5 3 3" xfId="37826" xr:uid="{00000000-0005-0000-0000-0000D19A0000}"/>
    <cellStyle name="Total 3 2 2 5 3 4" xfId="16975" xr:uid="{00000000-0005-0000-0000-0000D29A0000}"/>
    <cellStyle name="Total 3 2 2 5 4" xfId="10668" xr:uid="{00000000-0005-0000-0000-0000D39A0000}"/>
    <cellStyle name="Total 3 2 2 5 4 2" xfId="29640" xr:uid="{00000000-0005-0000-0000-0000D49A0000}"/>
    <cellStyle name="Total 3 2 2 5 4 3" xfId="40485" xr:uid="{00000000-0005-0000-0000-0000D59A0000}"/>
    <cellStyle name="Total 3 2 2 5 4 4" xfId="18879" xr:uid="{00000000-0005-0000-0000-0000D69A0000}"/>
    <cellStyle name="Total 3 2 2 5 5" xfId="21464" xr:uid="{00000000-0005-0000-0000-0000D79A0000}"/>
    <cellStyle name="Total 3 2 2 5 6" xfId="32309" xr:uid="{00000000-0005-0000-0000-0000D89A0000}"/>
    <cellStyle name="Total 3 2 2 5 7" xfId="13025" xr:uid="{00000000-0005-0000-0000-0000D99A0000}"/>
    <cellStyle name="Total 3 2 2 6" xfId="2872" xr:uid="{00000000-0005-0000-0000-0000DA9A0000}"/>
    <cellStyle name="Total 3 2 2 6 2" xfId="5723" xr:uid="{00000000-0005-0000-0000-0000DB9A0000}"/>
    <cellStyle name="Total 3 2 2 6 2 2" xfId="24695" xr:uid="{00000000-0005-0000-0000-0000DC9A0000}"/>
    <cellStyle name="Total 3 2 2 6 2 3" xfId="35540" xr:uid="{00000000-0005-0000-0000-0000DD9A0000}"/>
    <cellStyle name="Total 3 2 2 6 2 4" xfId="15338" xr:uid="{00000000-0005-0000-0000-0000DE9A0000}"/>
    <cellStyle name="Total 3 2 2 6 3" xfId="8394" xr:uid="{00000000-0005-0000-0000-0000DF9A0000}"/>
    <cellStyle name="Total 3 2 2 6 3 2" xfId="27366" xr:uid="{00000000-0005-0000-0000-0000E09A0000}"/>
    <cellStyle name="Total 3 2 2 6 3 3" xfId="38211" xr:uid="{00000000-0005-0000-0000-0000E19A0000}"/>
    <cellStyle name="Total 3 2 2 6 3 4" xfId="17251" xr:uid="{00000000-0005-0000-0000-0000E29A0000}"/>
    <cellStyle name="Total 3 2 2 6 4" xfId="11053" xr:uid="{00000000-0005-0000-0000-0000E39A0000}"/>
    <cellStyle name="Total 3 2 2 6 4 2" xfId="30025" xr:uid="{00000000-0005-0000-0000-0000E49A0000}"/>
    <cellStyle name="Total 3 2 2 6 4 3" xfId="40870" xr:uid="{00000000-0005-0000-0000-0000E59A0000}"/>
    <cellStyle name="Total 3 2 2 6 4 4" xfId="19155" xr:uid="{00000000-0005-0000-0000-0000E69A0000}"/>
    <cellStyle name="Total 3 2 2 6 5" xfId="21849" xr:uid="{00000000-0005-0000-0000-0000E79A0000}"/>
    <cellStyle name="Total 3 2 2 6 6" xfId="32694" xr:uid="{00000000-0005-0000-0000-0000E89A0000}"/>
    <cellStyle name="Total 3 2 2 6 7" xfId="13301" xr:uid="{00000000-0005-0000-0000-0000E99A0000}"/>
    <cellStyle name="Total 3 2 2 7" xfId="3561" xr:uid="{00000000-0005-0000-0000-0000EA9A0000}"/>
    <cellStyle name="Total 3 2 2 7 2" xfId="22533" xr:uid="{00000000-0005-0000-0000-0000EB9A0000}"/>
    <cellStyle name="Total 3 2 2 7 3" xfId="33378" xr:uid="{00000000-0005-0000-0000-0000EC9A0000}"/>
    <cellStyle name="Total 3 2 2 7 4" xfId="13782" xr:uid="{00000000-0005-0000-0000-0000ED9A0000}"/>
    <cellStyle name="Total 3 2 2 8" xfId="6236" xr:uid="{00000000-0005-0000-0000-0000EE9A0000}"/>
    <cellStyle name="Total 3 2 2 8 2" xfId="25208" xr:uid="{00000000-0005-0000-0000-0000EF9A0000}"/>
    <cellStyle name="Total 3 2 2 8 3" xfId="36053" xr:uid="{00000000-0005-0000-0000-0000F09A0000}"/>
    <cellStyle name="Total 3 2 2 8 4" xfId="15698" xr:uid="{00000000-0005-0000-0000-0000F19A0000}"/>
    <cellStyle name="Total 3 2 2 9" xfId="8895" xr:uid="{00000000-0005-0000-0000-0000F29A0000}"/>
    <cellStyle name="Total 3 2 2 9 2" xfId="27867" xr:uid="{00000000-0005-0000-0000-0000F39A0000}"/>
    <cellStyle name="Total 3 2 2 9 3" xfId="38712" xr:uid="{00000000-0005-0000-0000-0000F49A0000}"/>
    <cellStyle name="Total 3 2 2 9 4" xfId="17602" xr:uid="{00000000-0005-0000-0000-0000F59A0000}"/>
    <cellStyle name="Total 3 2 3" xfId="766" xr:uid="{00000000-0005-0000-0000-0000F69A0000}"/>
    <cellStyle name="Total 3 2 3 10" xfId="19751" xr:uid="{00000000-0005-0000-0000-0000F79A0000}"/>
    <cellStyle name="Total 3 2 3 11" xfId="30596" xr:uid="{00000000-0005-0000-0000-0000F89A0000}"/>
    <cellStyle name="Total 3 2 3 12" xfId="11788" xr:uid="{00000000-0005-0000-0000-0000F99A0000}"/>
    <cellStyle name="Total 3 2 3 2" xfId="1353" xr:uid="{00000000-0005-0000-0000-0000FA9A0000}"/>
    <cellStyle name="Total 3 2 3 2 2" xfId="4206" xr:uid="{00000000-0005-0000-0000-0000FB9A0000}"/>
    <cellStyle name="Total 3 2 3 2 2 2" xfId="23178" xr:uid="{00000000-0005-0000-0000-0000FC9A0000}"/>
    <cellStyle name="Total 3 2 3 2 2 3" xfId="34023" xr:uid="{00000000-0005-0000-0000-0000FD9A0000}"/>
    <cellStyle name="Total 3 2 3 2 2 4" xfId="14249" xr:uid="{00000000-0005-0000-0000-0000FE9A0000}"/>
    <cellStyle name="Total 3 2 3 2 3" xfId="6879" xr:uid="{00000000-0005-0000-0000-0000FF9A0000}"/>
    <cellStyle name="Total 3 2 3 2 3 2" xfId="25851" xr:uid="{00000000-0005-0000-0000-0000009B0000}"/>
    <cellStyle name="Total 3 2 3 2 3 3" xfId="36696" xr:uid="{00000000-0005-0000-0000-0000019B0000}"/>
    <cellStyle name="Total 3 2 3 2 3 4" xfId="16164" xr:uid="{00000000-0005-0000-0000-0000029B0000}"/>
    <cellStyle name="Total 3 2 3 2 4" xfId="9538" xr:uid="{00000000-0005-0000-0000-0000039B0000}"/>
    <cellStyle name="Total 3 2 3 2 4 2" xfId="28510" xr:uid="{00000000-0005-0000-0000-0000049B0000}"/>
    <cellStyle name="Total 3 2 3 2 4 3" xfId="39355" xr:uid="{00000000-0005-0000-0000-0000059B0000}"/>
    <cellStyle name="Total 3 2 3 2 4 4" xfId="18068" xr:uid="{00000000-0005-0000-0000-0000069B0000}"/>
    <cellStyle name="Total 3 2 3 2 5" xfId="20334" xr:uid="{00000000-0005-0000-0000-0000079B0000}"/>
    <cellStyle name="Total 3 2 3 2 6" xfId="31179" xr:uid="{00000000-0005-0000-0000-0000089B0000}"/>
    <cellStyle name="Total 3 2 3 2 7" xfId="12214" xr:uid="{00000000-0005-0000-0000-0000099B0000}"/>
    <cellStyle name="Total 3 2 3 3" xfId="1752" xr:uid="{00000000-0005-0000-0000-00000A9B0000}"/>
    <cellStyle name="Total 3 2 3 3 2" xfId="4605" xr:uid="{00000000-0005-0000-0000-00000B9B0000}"/>
    <cellStyle name="Total 3 2 3 3 2 2" xfId="23577" xr:uid="{00000000-0005-0000-0000-00000C9B0000}"/>
    <cellStyle name="Total 3 2 3 3 2 3" xfId="34422" xr:uid="{00000000-0005-0000-0000-00000D9B0000}"/>
    <cellStyle name="Total 3 2 3 3 2 4" xfId="14536" xr:uid="{00000000-0005-0000-0000-00000E9B0000}"/>
    <cellStyle name="Total 3 2 3 3 3" xfId="7277" xr:uid="{00000000-0005-0000-0000-00000F9B0000}"/>
    <cellStyle name="Total 3 2 3 3 3 2" xfId="26249" xr:uid="{00000000-0005-0000-0000-0000109B0000}"/>
    <cellStyle name="Total 3 2 3 3 3 3" xfId="37094" xr:uid="{00000000-0005-0000-0000-0000119B0000}"/>
    <cellStyle name="Total 3 2 3 3 3 4" xfId="16450" xr:uid="{00000000-0005-0000-0000-0000129B0000}"/>
    <cellStyle name="Total 3 2 3 3 4" xfId="9936" xr:uid="{00000000-0005-0000-0000-0000139B0000}"/>
    <cellStyle name="Total 3 2 3 3 4 2" xfId="28908" xr:uid="{00000000-0005-0000-0000-0000149B0000}"/>
    <cellStyle name="Total 3 2 3 3 4 3" xfId="39753" xr:uid="{00000000-0005-0000-0000-0000159B0000}"/>
    <cellStyle name="Total 3 2 3 3 4 4" xfId="18354" xr:uid="{00000000-0005-0000-0000-0000169B0000}"/>
    <cellStyle name="Total 3 2 3 3 5" xfId="20732" xr:uid="{00000000-0005-0000-0000-0000179B0000}"/>
    <cellStyle name="Total 3 2 3 3 6" xfId="31577" xr:uid="{00000000-0005-0000-0000-0000189B0000}"/>
    <cellStyle name="Total 3 2 3 3 7" xfId="12500" xr:uid="{00000000-0005-0000-0000-0000199B0000}"/>
    <cellStyle name="Total 3 2 3 4" xfId="2156" xr:uid="{00000000-0005-0000-0000-00001A9B0000}"/>
    <cellStyle name="Total 3 2 3 4 2" xfId="5009" xr:uid="{00000000-0005-0000-0000-00001B9B0000}"/>
    <cellStyle name="Total 3 2 3 4 2 2" xfId="23981" xr:uid="{00000000-0005-0000-0000-00001C9B0000}"/>
    <cellStyle name="Total 3 2 3 4 2 3" xfId="34826" xr:uid="{00000000-0005-0000-0000-00001D9B0000}"/>
    <cellStyle name="Total 3 2 3 4 2 4" xfId="14823" xr:uid="{00000000-0005-0000-0000-00001E9B0000}"/>
    <cellStyle name="Total 3 2 3 4 3" xfId="7680" xr:uid="{00000000-0005-0000-0000-00001F9B0000}"/>
    <cellStyle name="Total 3 2 3 4 3 2" xfId="26652" xr:uid="{00000000-0005-0000-0000-0000209B0000}"/>
    <cellStyle name="Total 3 2 3 4 3 3" xfId="37497" xr:uid="{00000000-0005-0000-0000-0000219B0000}"/>
    <cellStyle name="Total 3 2 3 4 3 4" xfId="16736" xr:uid="{00000000-0005-0000-0000-0000229B0000}"/>
    <cellStyle name="Total 3 2 3 4 4" xfId="10339" xr:uid="{00000000-0005-0000-0000-0000239B0000}"/>
    <cellStyle name="Total 3 2 3 4 4 2" xfId="29311" xr:uid="{00000000-0005-0000-0000-0000249B0000}"/>
    <cellStyle name="Total 3 2 3 4 4 3" xfId="40156" xr:uid="{00000000-0005-0000-0000-0000259B0000}"/>
    <cellStyle name="Total 3 2 3 4 4 4" xfId="18640" xr:uid="{00000000-0005-0000-0000-0000269B0000}"/>
    <cellStyle name="Total 3 2 3 4 5" xfId="21135" xr:uid="{00000000-0005-0000-0000-0000279B0000}"/>
    <cellStyle name="Total 3 2 3 4 6" xfId="31980" xr:uid="{00000000-0005-0000-0000-0000289B0000}"/>
    <cellStyle name="Total 3 2 3 4 7" xfId="12786" xr:uid="{00000000-0005-0000-0000-0000299B0000}"/>
    <cellStyle name="Total 3 2 3 5" xfId="2546" xr:uid="{00000000-0005-0000-0000-00002A9B0000}"/>
    <cellStyle name="Total 3 2 3 5 2" xfId="5398" xr:uid="{00000000-0005-0000-0000-00002B9B0000}"/>
    <cellStyle name="Total 3 2 3 5 2 2" xfId="24370" xr:uid="{00000000-0005-0000-0000-00002C9B0000}"/>
    <cellStyle name="Total 3 2 3 5 2 3" xfId="35215" xr:uid="{00000000-0005-0000-0000-00002D9B0000}"/>
    <cellStyle name="Total 3 2 3 5 2 4" xfId="15102" xr:uid="{00000000-0005-0000-0000-00002E9B0000}"/>
    <cellStyle name="Total 3 2 3 5 3" xfId="8069" xr:uid="{00000000-0005-0000-0000-00002F9B0000}"/>
    <cellStyle name="Total 3 2 3 5 3 2" xfId="27041" xr:uid="{00000000-0005-0000-0000-0000309B0000}"/>
    <cellStyle name="Total 3 2 3 5 3 3" xfId="37886" xr:uid="{00000000-0005-0000-0000-0000319B0000}"/>
    <cellStyle name="Total 3 2 3 5 3 4" xfId="17015" xr:uid="{00000000-0005-0000-0000-0000329B0000}"/>
    <cellStyle name="Total 3 2 3 5 4" xfId="10728" xr:uid="{00000000-0005-0000-0000-0000339B0000}"/>
    <cellStyle name="Total 3 2 3 5 4 2" xfId="29700" xr:uid="{00000000-0005-0000-0000-0000349B0000}"/>
    <cellStyle name="Total 3 2 3 5 4 3" xfId="40545" xr:uid="{00000000-0005-0000-0000-0000359B0000}"/>
    <cellStyle name="Total 3 2 3 5 4 4" xfId="18919" xr:uid="{00000000-0005-0000-0000-0000369B0000}"/>
    <cellStyle name="Total 3 2 3 5 5" xfId="21524" xr:uid="{00000000-0005-0000-0000-0000379B0000}"/>
    <cellStyle name="Total 3 2 3 5 6" xfId="32369" xr:uid="{00000000-0005-0000-0000-0000389B0000}"/>
    <cellStyle name="Total 3 2 3 5 7" xfId="13065" xr:uid="{00000000-0005-0000-0000-0000399B0000}"/>
    <cellStyle name="Total 3 2 3 6" xfId="2932" xr:uid="{00000000-0005-0000-0000-00003A9B0000}"/>
    <cellStyle name="Total 3 2 3 6 2" xfId="5783" xr:uid="{00000000-0005-0000-0000-00003B9B0000}"/>
    <cellStyle name="Total 3 2 3 6 2 2" xfId="24755" xr:uid="{00000000-0005-0000-0000-00003C9B0000}"/>
    <cellStyle name="Total 3 2 3 6 2 3" xfId="35600" xr:uid="{00000000-0005-0000-0000-00003D9B0000}"/>
    <cellStyle name="Total 3 2 3 6 2 4" xfId="15378" xr:uid="{00000000-0005-0000-0000-00003E9B0000}"/>
    <cellStyle name="Total 3 2 3 6 3" xfId="8454" xr:uid="{00000000-0005-0000-0000-00003F9B0000}"/>
    <cellStyle name="Total 3 2 3 6 3 2" xfId="27426" xr:uid="{00000000-0005-0000-0000-0000409B0000}"/>
    <cellStyle name="Total 3 2 3 6 3 3" xfId="38271" xr:uid="{00000000-0005-0000-0000-0000419B0000}"/>
    <cellStyle name="Total 3 2 3 6 3 4" xfId="17291" xr:uid="{00000000-0005-0000-0000-0000429B0000}"/>
    <cellStyle name="Total 3 2 3 6 4" xfId="11113" xr:uid="{00000000-0005-0000-0000-0000439B0000}"/>
    <cellStyle name="Total 3 2 3 6 4 2" xfId="30085" xr:uid="{00000000-0005-0000-0000-0000449B0000}"/>
    <cellStyle name="Total 3 2 3 6 4 3" xfId="40930" xr:uid="{00000000-0005-0000-0000-0000459B0000}"/>
    <cellStyle name="Total 3 2 3 6 4 4" xfId="19195" xr:uid="{00000000-0005-0000-0000-0000469B0000}"/>
    <cellStyle name="Total 3 2 3 6 5" xfId="21909" xr:uid="{00000000-0005-0000-0000-0000479B0000}"/>
    <cellStyle name="Total 3 2 3 6 6" xfId="32754" xr:uid="{00000000-0005-0000-0000-0000489B0000}"/>
    <cellStyle name="Total 3 2 3 6 7" xfId="13341" xr:uid="{00000000-0005-0000-0000-0000499B0000}"/>
    <cellStyle name="Total 3 2 3 7" xfId="3621" xr:uid="{00000000-0005-0000-0000-00004A9B0000}"/>
    <cellStyle name="Total 3 2 3 7 2" xfId="22593" xr:uid="{00000000-0005-0000-0000-00004B9B0000}"/>
    <cellStyle name="Total 3 2 3 7 3" xfId="33438" xr:uid="{00000000-0005-0000-0000-00004C9B0000}"/>
    <cellStyle name="Total 3 2 3 7 4" xfId="13822" xr:uid="{00000000-0005-0000-0000-00004D9B0000}"/>
    <cellStyle name="Total 3 2 3 8" xfId="6296" xr:uid="{00000000-0005-0000-0000-00004E9B0000}"/>
    <cellStyle name="Total 3 2 3 8 2" xfId="25268" xr:uid="{00000000-0005-0000-0000-00004F9B0000}"/>
    <cellStyle name="Total 3 2 3 8 3" xfId="36113" xr:uid="{00000000-0005-0000-0000-0000509B0000}"/>
    <cellStyle name="Total 3 2 3 8 4" xfId="15738" xr:uid="{00000000-0005-0000-0000-0000519B0000}"/>
    <cellStyle name="Total 3 2 3 9" xfId="8955" xr:uid="{00000000-0005-0000-0000-0000529B0000}"/>
    <cellStyle name="Total 3 2 3 9 2" xfId="27927" xr:uid="{00000000-0005-0000-0000-0000539B0000}"/>
    <cellStyle name="Total 3 2 3 9 3" xfId="38772" xr:uid="{00000000-0005-0000-0000-0000549B0000}"/>
    <cellStyle name="Total 3 2 3 9 4" xfId="17642" xr:uid="{00000000-0005-0000-0000-0000559B0000}"/>
    <cellStyle name="Total 3 2 4" xfId="826" xr:uid="{00000000-0005-0000-0000-0000569B0000}"/>
    <cellStyle name="Total 3 2 4 10" xfId="19811" xr:uid="{00000000-0005-0000-0000-0000579B0000}"/>
    <cellStyle name="Total 3 2 4 11" xfId="30656" xr:uid="{00000000-0005-0000-0000-0000589B0000}"/>
    <cellStyle name="Total 3 2 4 12" xfId="11828" xr:uid="{00000000-0005-0000-0000-0000599B0000}"/>
    <cellStyle name="Total 3 2 4 2" xfId="1413" xr:uid="{00000000-0005-0000-0000-00005A9B0000}"/>
    <cellStyle name="Total 3 2 4 2 2" xfId="4266" xr:uid="{00000000-0005-0000-0000-00005B9B0000}"/>
    <cellStyle name="Total 3 2 4 2 2 2" xfId="23238" xr:uid="{00000000-0005-0000-0000-00005C9B0000}"/>
    <cellStyle name="Total 3 2 4 2 2 3" xfId="34083" xr:uid="{00000000-0005-0000-0000-00005D9B0000}"/>
    <cellStyle name="Total 3 2 4 2 2 4" xfId="14289" xr:uid="{00000000-0005-0000-0000-00005E9B0000}"/>
    <cellStyle name="Total 3 2 4 2 3" xfId="6939" xr:uid="{00000000-0005-0000-0000-00005F9B0000}"/>
    <cellStyle name="Total 3 2 4 2 3 2" xfId="25911" xr:uid="{00000000-0005-0000-0000-0000609B0000}"/>
    <cellStyle name="Total 3 2 4 2 3 3" xfId="36756" xr:uid="{00000000-0005-0000-0000-0000619B0000}"/>
    <cellStyle name="Total 3 2 4 2 3 4" xfId="16204" xr:uid="{00000000-0005-0000-0000-0000629B0000}"/>
    <cellStyle name="Total 3 2 4 2 4" xfId="9598" xr:uid="{00000000-0005-0000-0000-0000639B0000}"/>
    <cellStyle name="Total 3 2 4 2 4 2" xfId="28570" xr:uid="{00000000-0005-0000-0000-0000649B0000}"/>
    <cellStyle name="Total 3 2 4 2 4 3" xfId="39415" xr:uid="{00000000-0005-0000-0000-0000659B0000}"/>
    <cellStyle name="Total 3 2 4 2 4 4" xfId="18108" xr:uid="{00000000-0005-0000-0000-0000669B0000}"/>
    <cellStyle name="Total 3 2 4 2 5" xfId="20394" xr:uid="{00000000-0005-0000-0000-0000679B0000}"/>
    <cellStyle name="Total 3 2 4 2 6" xfId="31239" xr:uid="{00000000-0005-0000-0000-0000689B0000}"/>
    <cellStyle name="Total 3 2 4 2 7" xfId="12254" xr:uid="{00000000-0005-0000-0000-0000699B0000}"/>
    <cellStyle name="Total 3 2 4 3" xfId="1812" xr:uid="{00000000-0005-0000-0000-00006A9B0000}"/>
    <cellStyle name="Total 3 2 4 3 2" xfId="4665" xr:uid="{00000000-0005-0000-0000-00006B9B0000}"/>
    <cellStyle name="Total 3 2 4 3 2 2" xfId="23637" xr:uid="{00000000-0005-0000-0000-00006C9B0000}"/>
    <cellStyle name="Total 3 2 4 3 2 3" xfId="34482" xr:uid="{00000000-0005-0000-0000-00006D9B0000}"/>
    <cellStyle name="Total 3 2 4 3 2 4" xfId="14576" xr:uid="{00000000-0005-0000-0000-00006E9B0000}"/>
    <cellStyle name="Total 3 2 4 3 3" xfId="7337" xr:uid="{00000000-0005-0000-0000-00006F9B0000}"/>
    <cellStyle name="Total 3 2 4 3 3 2" xfId="26309" xr:uid="{00000000-0005-0000-0000-0000709B0000}"/>
    <cellStyle name="Total 3 2 4 3 3 3" xfId="37154" xr:uid="{00000000-0005-0000-0000-0000719B0000}"/>
    <cellStyle name="Total 3 2 4 3 3 4" xfId="16490" xr:uid="{00000000-0005-0000-0000-0000729B0000}"/>
    <cellStyle name="Total 3 2 4 3 4" xfId="9996" xr:uid="{00000000-0005-0000-0000-0000739B0000}"/>
    <cellStyle name="Total 3 2 4 3 4 2" xfId="28968" xr:uid="{00000000-0005-0000-0000-0000749B0000}"/>
    <cellStyle name="Total 3 2 4 3 4 3" xfId="39813" xr:uid="{00000000-0005-0000-0000-0000759B0000}"/>
    <cellStyle name="Total 3 2 4 3 4 4" xfId="18394" xr:uid="{00000000-0005-0000-0000-0000769B0000}"/>
    <cellStyle name="Total 3 2 4 3 5" xfId="20792" xr:uid="{00000000-0005-0000-0000-0000779B0000}"/>
    <cellStyle name="Total 3 2 4 3 6" xfId="31637" xr:uid="{00000000-0005-0000-0000-0000789B0000}"/>
    <cellStyle name="Total 3 2 4 3 7" xfId="12540" xr:uid="{00000000-0005-0000-0000-0000799B0000}"/>
    <cellStyle name="Total 3 2 4 4" xfId="2216" xr:uid="{00000000-0005-0000-0000-00007A9B0000}"/>
    <cellStyle name="Total 3 2 4 4 2" xfId="5069" xr:uid="{00000000-0005-0000-0000-00007B9B0000}"/>
    <cellStyle name="Total 3 2 4 4 2 2" xfId="24041" xr:uid="{00000000-0005-0000-0000-00007C9B0000}"/>
    <cellStyle name="Total 3 2 4 4 2 3" xfId="34886" xr:uid="{00000000-0005-0000-0000-00007D9B0000}"/>
    <cellStyle name="Total 3 2 4 4 2 4" xfId="14863" xr:uid="{00000000-0005-0000-0000-00007E9B0000}"/>
    <cellStyle name="Total 3 2 4 4 3" xfId="7740" xr:uid="{00000000-0005-0000-0000-00007F9B0000}"/>
    <cellStyle name="Total 3 2 4 4 3 2" xfId="26712" xr:uid="{00000000-0005-0000-0000-0000809B0000}"/>
    <cellStyle name="Total 3 2 4 4 3 3" xfId="37557" xr:uid="{00000000-0005-0000-0000-0000819B0000}"/>
    <cellStyle name="Total 3 2 4 4 3 4" xfId="16776" xr:uid="{00000000-0005-0000-0000-0000829B0000}"/>
    <cellStyle name="Total 3 2 4 4 4" xfId="10399" xr:uid="{00000000-0005-0000-0000-0000839B0000}"/>
    <cellStyle name="Total 3 2 4 4 4 2" xfId="29371" xr:uid="{00000000-0005-0000-0000-0000849B0000}"/>
    <cellStyle name="Total 3 2 4 4 4 3" xfId="40216" xr:uid="{00000000-0005-0000-0000-0000859B0000}"/>
    <cellStyle name="Total 3 2 4 4 4 4" xfId="18680" xr:uid="{00000000-0005-0000-0000-0000869B0000}"/>
    <cellStyle name="Total 3 2 4 4 5" xfId="21195" xr:uid="{00000000-0005-0000-0000-0000879B0000}"/>
    <cellStyle name="Total 3 2 4 4 6" xfId="32040" xr:uid="{00000000-0005-0000-0000-0000889B0000}"/>
    <cellStyle name="Total 3 2 4 4 7" xfId="12826" xr:uid="{00000000-0005-0000-0000-0000899B0000}"/>
    <cellStyle name="Total 3 2 4 5" xfId="2606" xr:uid="{00000000-0005-0000-0000-00008A9B0000}"/>
    <cellStyle name="Total 3 2 4 5 2" xfId="5458" xr:uid="{00000000-0005-0000-0000-00008B9B0000}"/>
    <cellStyle name="Total 3 2 4 5 2 2" xfId="24430" xr:uid="{00000000-0005-0000-0000-00008C9B0000}"/>
    <cellStyle name="Total 3 2 4 5 2 3" xfId="35275" xr:uid="{00000000-0005-0000-0000-00008D9B0000}"/>
    <cellStyle name="Total 3 2 4 5 2 4" xfId="15142" xr:uid="{00000000-0005-0000-0000-00008E9B0000}"/>
    <cellStyle name="Total 3 2 4 5 3" xfId="8129" xr:uid="{00000000-0005-0000-0000-00008F9B0000}"/>
    <cellStyle name="Total 3 2 4 5 3 2" xfId="27101" xr:uid="{00000000-0005-0000-0000-0000909B0000}"/>
    <cellStyle name="Total 3 2 4 5 3 3" xfId="37946" xr:uid="{00000000-0005-0000-0000-0000919B0000}"/>
    <cellStyle name="Total 3 2 4 5 3 4" xfId="17055" xr:uid="{00000000-0005-0000-0000-0000929B0000}"/>
    <cellStyle name="Total 3 2 4 5 4" xfId="10788" xr:uid="{00000000-0005-0000-0000-0000939B0000}"/>
    <cellStyle name="Total 3 2 4 5 4 2" xfId="29760" xr:uid="{00000000-0005-0000-0000-0000949B0000}"/>
    <cellStyle name="Total 3 2 4 5 4 3" xfId="40605" xr:uid="{00000000-0005-0000-0000-0000959B0000}"/>
    <cellStyle name="Total 3 2 4 5 4 4" xfId="18959" xr:uid="{00000000-0005-0000-0000-0000969B0000}"/>
    <cellStyle name="Total 3 2 4 5 5" xfId="21584" xr:uid="{00000000-0005-0000-0000-0000979B0000}"/>
    <cellStyle name="Total 3 2 4 5 6" xfId="32429" xr:uid="{00000000-0005-0000-0000-0000989B0000}"/>
    <cellStyle name="Total 3 2 4 5 7" xfId="13105" xr:uid="{00000000-0005-0000-0000-0000999B0000}"/>
    <cellStyle name="Total 3 2 4 6" xfId="2992" xr:uid="{00000000-0005-0000-0000-00009A9B0000}"/>
    <cellStyle name="Total 3 2 4 6 2" xfId="5843" xr:uid="{00000000-0005-0000-0000-00009B9B0000}"/>
    <cellStyle name="Total 3 2 4 6 2 2" xfId="24815" xr:uid="{00000000-0005-0000-0000-00009C9B0000}"/>
    <cellStyle name="Total 3 2 4 6 2 3" xfId="35660" xr:uid="{00000000-0005-0000-0000-00009D9B0000}"/>
    <cellStyle name="Total 3 2 4 6 2 4" xfId="15418" xr:uid="{00000000-0005-0000-0000-00009E9B0000}"/>
    <cellStyle name="Total 3 2 4 6 3" xfId="8514" xr:uid="{00000000-0005-0000-0000-00009F9B0000}"/>
    <cellStyle name="Total 3 2 4 6 3 2" xfId="27486" xr:uid="{00000000-0005-0000-0000-0000A09B0000}"/>
    <cellStyle name="Total 3 2 4 6 3 3" xfId="38331" xr:uid="{00000000-0005-0000-0000-0000A19B0000}"/>
    <cellStyle name="Total 3 2 4 6 3 4" xfId="17331" xr:uid="{00000000-0005-0000-0000-0000A29B0000}"/>
    <cellStyle name="Total 3 2 4 6 4" xfId="11173" xr:uid="{00000000-0005-0000-0000-0000A39B0000}"/>
    <cellStyle name="Total 3 2 4 6 4 2" xfId="30145" xr:uid="{00000000-0005-0000-0000-0000A49B0000}"/>
    <cellStyle name="Total 3 2 4 6 4 3" xfId="40990" xr:uid="{00000000-0005-0000-0000-0000A59B0000}"/>
    <cellStyle name="Total 3 2 4 6 4 4" xfId="19235" xr:uid="{00000000-0005-0000-0000-0000A69B0000}"/>
    <cellStyle name="Total 3 2 4 6 5" xfId="21969" xr:uid="{00000000-0005-0000-0000-0000A79B0000}"/>
    <cellStyle name="Total 3 2 4 6 6" xfId="32814" xr:uid="{00000000-0005-0000-0000-0000A89B0000}"/>
    <cellStyle name="Total 3 2 4 6 7" xfId="13381" xr:uid="{00000000-0005-0000-0000-0000A99B0000}"/>
    <cellStyle name="Total 3 2 4 7" xfId="3681" xr:uid="{00000000-0005-0000-0000-0000AA9B0000}"/>
    <cellStyle name="Total 3 2 4 7 2" xfId="22653" xr:uid="{00000000-0005-0000-0000-0000AB9B0000}"/>
    <cellStyle name="Total 3 2 4 7 3" xfId="33498" xr:uid="{00000000-0005-0000-0000-0000AC9B0000}"/>
    <cellStyle name="Total 3 2 4 7 4" xfId="13862" xr:uid="{00000000-0005-0000-0000-0000AD9B0000}"/>
    <cellStyle name="Total 3 2 4 8" xfId="6356" xr:uid="{00000000-0005-0000-0000-0000AE9B0000}"/>
    <cellStyle name="Total 3 2 4 8 2" xfId="25328" xr:uid="{00000000-0005-0000-0000-0000AF9B0000}"/>
    <cellStyle name="Total 3 2 4 8 3" xfId="36173" xr:uid="{00000000-0005-0000-0000-0000B09B0000}"/>
    <cellStyle name="Total 3 2 4 8 4" xfId="15778" xr:uid="{00000000-0005-0000-0000-0000B19B0000}"/>
    <cellStyle name="Total 3 2 4 9" xfId="9015" xr:uid="{00000000-0005-0000-0000-0000B29B0000}"/>
    <cellStyle name="Total 3 2 4 9 2" xfId="27987" xr:uid="{00000000-0005-0000-0000-0000B39B0000}"/>
    <cellStyle name="Total 3 2 4 9 3" xfId="38832" xr:uid="{00000000-0005-0000-0000-0000B49B0000}"/>
    <cellStyle name="Total 3 2 4 9 4" xfId="17682" xr:uid="{00000000-0005-0000-0000-0000B59B0000}"/>
    <cellStyle name="Total 3 2 5" xfId="885" xr:uid="{00000000-0005-0000-0000-0000B69B0000}"/>
    <cellStyle name="Total 3 2 5 10" xfId="19870" xr:uid="{00000000-0005-0000-0000-0000B79B0000}"/>
    <cellStyle name="Total 3 2 5 11" xfId="30715" xr:uid="{00000000-0005-0000-0000-0000B89B0000}"/>
    <cellStyle name="Total 3 2 5 12" xfId="11867" xr:uid="{00000000-0005-0000-0000-0000B99B0000}"/>
    <cellStyle name="Total 3 2 5 2" xfId="1472" xr:uid="{00000000-0005-0000-0000-0000BA9B0000}"/>
    <cellStyle name="Total 3 2 5 2 2" xfId="4325" xr:uid="{00000000-0005-0000-0000-0000BB9B0000}"/>
    <cellStyle name="Total 3 2 5 2 2 2" xfId="23297" xr:uid="{00000000-0005-0000-0000-0000BC9B0000}"/>
    <cellStyle name="Total 3 2 5 2 2 3" xfId="34142" xr:uid="{00000000-0005-0000-0000-0000BD9B0000}"/>
    <cellStyle name="Total 3 2 5 2 2 4" xfId="14328" xr:uid="{00000000-0005-0000-0000-0000BE9B0000}"/>
    <cellStyle name="Total 3 2 5 2 3" xfId="6998" xr:uid="{00000000-0005-0000-0000-0000BF9B0000}"/>
    <cellStyle name="Total 3 2 5 2 3 2" xfId="25970" xr:uid="{00000000-0005-0000-0000-0000C09B0000}"/>
    <cellStyle name="Total 3 2 5 2 3 3" xfId="36815" xr:uid="{00000000-0005-0000-0000-0000C19B0000}"/>
    <cellStyle name="Total 3 2 5 2 3 4" xfId="16243" xr:uid="{00000000-0005-0000-0000-0000C29B0000}"/>
    <cellStyle name="Total 3 2 5 2 4" xfId="9657" xr:uid="{00000000-0005-0000-0000-0000C39B0000}"/>
    <cellStyle name="Total 3 2 5 2 4 2" xfId="28629" xr:uid="{00000000-0005-0000-0000-0000C49B0000}"/>
    <cellStyle name="Total 3 2 5 2 4 3" xfId="39474" xr:uid="{00000000-0005-0000-0000-0000C59B0000}"/>
    <cellStyle name="Total 3 2 5 2 4 4" xfId="18147" xr:uid="{00000000-0005-0000-0000-0000C69B0000}"/>
    <cellStyle name="Total 3 2 5 2 5" xfId="20453" xr:uid="{00000000-0005-0000-0000-0000C79B0000}"/>
    <cellStyle name="Total 3 2 5 2 6" xfId="31298" xr:uid="{00000000-0005-0000-0000-0000C89B0000}"/>
    <cellStyle name="Total 3 2 5 2 7" xfId="12293" xr:uid="{00000000-0005-0000-0000-0000C99B0000}"/>
    <cellStyle name="Total 3 2 5 3" xfId="1871" xr:uid="{00000000-0005-0000-0000-0000CA9B0000}"/>
    <cellStyle name="Total 3 2 5 3 2" xfId="4724" xr:uid="{00000000-0005-0000-0000-0000CB9B0000}"/>
    <cellStyle name="Total 3 2 5 3 2 2" xfId="23696" xr:uid="{00000000-0005-0000-0000-0000CC9B0000}"/>
    <cellStyle name="Total 3 2 5 3 2 3" xfId="34541" xr:uid="{00000000-0005-0000-0000-0000CD9B0000}"/>
    <cellStyle name="Total 3 2 5 3 2 4" xfId="14615" xr:uid="{00000000-0005-0000-0000-0000CE9B0000}"/>
    <cellStyle name="Total 3 2 5 3 3" xfId="7396" xr:uid="{00000000-0005-0000-0000-0000CF9B0000}"/>
    <cellStyle name="Total 3 2 5 3 3 2" xfId="26368" xr:uid="{00000000-0005-0000-0000-0000D09B0000}"/>
    <cellStyle name="Total 3 2 5 3 3 3" xfId="37213" xr:uid="{00000000-0005-0000-0000-0000D19B0000}"/>
    <cellStyle name="Total 3 2 5 3 3 4" xfId="16529" xr:uid="{00000000-0005-0000-0000-0000D29B0000}"/>
    <cellStyle name="Total 3 2 5 3 4" xfId="10055" xr:uid="{00000000-0005-0000-0000-0000D39B0000}"/>
    <cellStyle name="Total 3 2 5 3 4 2" xfId="29027" xr:uid="{00000000-0005-0000-0000-0000D49B0000}"/>
    <cellStyle name="Total 3 2 5 3 4 3" xfId="39872" xr:uid="{00000000-0005-0000-0000-0000D59B0000}"/>
    <cellStyle name="Total 3 2 5 3 4 4" xfId="18433" xr:uid="{00000000-0005-0000-0000-0000D69B0000}"/>
    <cellStyle name="Total 3 2 5 3 5" xfId="20851" xr:uid="{00000000-0005-0000-0000-0000D79B0000}"/>
    <cellStyle name="Total 3 2 5 3 6" xfId="31696" xr:uid="{00000000-0005-0000-0000-0000D89B0000}"/>
    <cellStyle name="Total 3 2 5 3 7" xfId="12579" xr:uid="{00000000-0005-0000-0000-0000D99B0000}"/>
    <cellStyle name="Total 3 2 5 4" xfId="2275" xr:uid="{00000000-0005-0000-0000-0000DA9B0000}"/>
    <cellStyle name="Total 3 2 5 4 2" xfId="5128" xr:uid="{00000000-0005-0000-0000-0000DB9B0000}"/>
    <cellStyle name="Total 3 2 5 4 2 2" xfId="24100" xr:uid="{00000000-0005-0000-0000-0000DC9B0000}"/>
    <cellStyle name="Total 3 2 5 4 2 3" xfId="34945" xr:uid="{00000000-0005-0000-0000-0000DD9B0000}"/>
    <cellStyle name="Total 3 2 5 4 2 4" xfId="14902" xr:uid="{00000000-0005-0000-0000-0000DE9B0000}"/>
    <cellStyle name="Total 3 2 5 4 3" xfId="7799" xr:uid="{00000000-0005-0000-0000-0000DF9B0000}"/>
    <cellStyle name="Total 3 2 5 4 3 2" xfId="26771" xr:uid="{00000000-0005-0000-0000-0000E09B0000}"/>
    <cellStyle name="Total 3 2 5 4 3 3" xfId="37616" xr:uid="{00000000-0005-0000-0000-0000E19B0000}"/>
    <cellStyle name="Total 3 2 5 4 3 4" xfId="16815" xr:uid="{00000000-0005-0000-0000-0000E29B0000}"/>
    <cellStyle name="Total 3 2 5 4 4" xfId="10458" xr:uid="{00000000-0005-0000-0000-0000E39B0000}"/>
    <cellStyle name="Total 3 2 5 4 4 2" xfId="29430" xr:uid="{00000000-0005-0000-0000-0000E49B0000}"/>
    <cellStyle name="Total 3 2 5 4 4 3" xfId="40275" xr:uid="{00000000-0005-0000-0000-0000E59B0000}"/>
    <cellStyle name="Total 3 2 5 4 4 4" xfId="18719" xr:uid="{00000000-0005-0000-0000-0000E69B0000}"/>
    <cellStyle name="Total 3 2 5 4 5" xfId="21254" xr:uid="{00000000-0005-0000-0000-0000E79B0000}"/>
    <cellStyle name="Total 3 2 5 4 6" xfId="32099" xr:uid="{00000000-0005-0000-0000-0000E89B0000}"/>
    <cellStyle name="Total 3 2 5 4 7" xfId="12865" xr:uid="{00000000-0005-0000-0000-0000E99B0000}"/>
    <cellStyle name="Total 3 2 5 5" xfId="2665" xr:uid="{00000000-0005-0000-0000-0000EA9B0000}"/>
    <cellStyle name="Total 3 2 5 5 2" xfId="5517" xr:uid="{00000000-0005-0000-0000-0000EB9B0000}"/>
    <cellStyle name="Total 3 2 5 5 2 2" xfId="24489" xr:uid="{00000000-0005-0000-0000-0000EC9B0000}"/>
    <cellStyle name="Total 3 2 5 5 2 3" xfId="35334" xr:uid="{00000000-0005-0000-0000-0000ED9B0000}"/>
    <cellStyle name="Total 3 2 5 5 2 4" xfId="15181" xr:uid="{00000000-0005-0000-0000-0000EE9B0000}"/>
    <cellStyle name="Total 3 2 5 5 3" xfId="8188" xr:uid="{00000000-0005-0000-0000-0000EF9B0000}"/>
    <cellStyle name="Total 3 2 5 5 3 2" xfId="27160" xr:uid="{00000000-0005-0000-0000-0000F09B0000}"/>
    <cellStyle name="Total 3 2 5 5 3 3" xfId="38005" xr:uid="{00000000-0005-0000-0000-0000F19B0000}"/>
    <cellStyle name="Total 3 2 5 5 3 4" xfId="17094" xr:uid="{00000000-0005-0000-0000-0000F29B0000}"/>
    <cellStyle name="Total 3 2 5 5 4" xfId="10847" xr:uid="{00000000-0005-0000-0000-0000F39B0000}"/>
    <cellStyle name="Total 3 2 5 5 4 2" xfId="29819" xr:uid="{00000000-0005-0000-0000-0000F49B0000}"/>
    <cellStyle name="Total 3 2 5 5 4 3" xfId="40664" xr:uid="{00000000-0005-0000-0000-0000F59B0000}"/>
    <cellStyle name="Total 3 2 5 5 4 4" xfId="18998" xr:uid="{00000000-0005-0000-0000-0000F69B0000}"/>
    <cellStyle name="Total 3 2 5 5 5" xfId="21643" xr:uid="{00000000-0005-0000-0000-0000F79B0000}"/>
    <cellStyle name="Total 3 2 5 5 6" xfId="32488" xr:uid="{00000000-0005-0000-0000-0000F89B0000}"/>
    <cellStyle name="Total 3 2 5 5 7" xfId="13144" xr:uid="{00000000-0005-0000-0000-0000F99B0000}"/>
    <cellStyle name="Total 3 2 5 6" xfId="3051" xr:uid="{00000000-0005-0000-0000-0000FA9B0000}"/>
    <cellStyle name="Total 3 2 5 6 2" xfId="5902" xr:uid="{00000000-0005-0000-0000-0000FB9B0000}"/>
    <cellStyle name="Total 3 2 5 6 2 2" xfId="24874" xr:uid="{00000000-0005-0000-0000-0000FC9B0000}"/>
    <cellStyle name="Total 3 2 5 6 2 3" xfId="35719" xr:uid="{00000000-0005-0000-0000-0000FD9B0000}"/>
    <cellStyle name="Total 3 2 5 6 2 4" xfId="15457" xr:uid="{00000000-0005-0000-0000-0000FE9B0000}"/>
    <cellStyle name="Total 3 2 5 6 3" xfId="8573" xr:uid="{00000000-0005-0000-0000-0000FF9B0000}"/>
    <cellStyle name="Total 3 2 5 6 3 2" xfId="27545" xr:uid="{00000000-0005-0000-0000-0000009C0000}"/>
    <cellStyle name="Total 3 2 5 6 3 3" xfId="38390" xr:uid="{00000000-0005-0000-0000-0000019C0000}"/>
    <cellStyle name="Total 3 2 5 6 3 4" xfId="17370" xr:uid="{00000000-0005-0000-0000-0000029C0000}"/>
    <cellStyle name="Total 3 2 5 6 4" xfId="11232" xr:uid="{00000000-0005-0000-0000-0000039C0000}"/>
    <cellStyle name="Total 3 2 5 6 4 2" xfId="30204" xr:uid="{00000000-0005-0000-0000-0000049C0000}"/>
    <cellStyle name="Total 3 2 5 6 4 3" xfId="41049" xr:uid="{00000000-0005-0000-0000-0000059C0000}"/>
    <cellStyle name="Total 3 2 5 6 4 4" xfId="19274" xr:uid="{00000000-0005-0000-0000-0000069C0000}"/>
    <cellStyle name="Total 3 2 5 6 5" xfId="22028" xr:uid="{00000000-0005-0000-0000-0000079C0000}"/>
    <cellStyle name="Total 3 2 5 6 6" xfId="32873" xr:uid="{00000000-0005-0000-0000-0000089C0000}"/>
    <cellStyle name="Total 3 2 5 6 7" xfId="13420" xr:uid="{00000000-0005-0000-0000-0000099C0000}"/>
    <cellStyle name="Total 3 2 5 7" xfId="3740" xr:uid="{00000000-0005-0000-0000-00000A9C0000}"/>
    <cellStyle name="Total 3 2 5 7 2" xfId="22712" xr:uid="{00000000-0005-0000-0000-00000B9C0000}"/>
    <cellStyle name="Total 3 2 5 7 3" xfId="33557" xr:uid="{00000000-0005-0000-0000-00000C9C0000}"/>
    <cellStyle name="Total 3 2 5 7 4" xfId="13901" xr:uid="{00000000-0005-0000-0000-00000D9C0000}"/>
    <cellStyle name="Total 3 2 5 8" xfId="6415" xr:uid="{00000000-0005-0000-0000-00000E9C0000}"/>
    <cellStyle name="Total 3 2 5 8 2" xfId="25387" xr:uid="{00000000-0005-0000-0000-00000F9C0000}"/>
    <cellStyle name="Total 3 2 5 8 3" xfId="36232" xr:uid="{00000000-0005-0000-0000-0000109C0000}"/>
    <cellStyle name="Total 3 2 5 8 4" xfId="15817" xr:uid="{00000000-0005-0000-0000-0000119C0000}"/>
    <cellStyle name="Total 3 2 5 9" xfId="9074" xr:uid="{00000000-0005-0000-0000-0000129C0000}"/>
    <cellStyle name="Total 3 2 5 9 2" xfId="28046" xr:uid="{00000000-0005-0000-0000-0000139C0000}"/>
    <cellStyle name="Total 3 2 5 9 3" xfId="38891" xr:uid="{00000000-0005-0000-0000-0000149C0000}"/>
    <cellStyle name="Total 3 2 5 9 4" xfId="17721" xr:uid="{00000000-0005-0000-0000-0000159C0000}"/>
    <cellStyle name="Total 3 2 6" xfId="1107" xr:uid="{00000000-0005-0000-0000-0000169C0000}"/>
    <cellStyle name="Total 3 2 6 2" xfId="3960" xr:uid="{00000000-0005-0000-0000-0000179C0000}"/>
    <cellStyle name="Total 3 2 6 2 2" xfId="22932" xr:uid="{00000000-0005-0000-0000-0000189C0000}"/>
    <cellStyle name="Total 3 2 6 2 3" xfId="33777" xr:uid="{00000000-0005-0000-0000-0000199C0000}"/>
    <cellStyle name="Total 3 2 6 2 4" xfId="14063" xr:uid="{00000000-0005-0000-0000-00001A9C0000}"/>
    <cellStyle name="Total 3 2 6 3" xfId="6634" xr:uid="{00000000-0005-0000-0000-00001B9C0000}"/>
    <cellStyle name="Total 3 2 6 3 2" xfId="25606" xr:uid="{00000000-0005-0000-0000-00001C9C0000}"/>
    <cellStyle name="Total 3 2 6 3 3" xfId="36451" xr:uid="{00000000-0005-0000-0000-00001D9C0000}"/>
    <cellStyle name="Total 3 2 6 3 4" xfId="15979" xr:uid="{00000000-0005-0000-0000-00001E9C0000}"/>
    <cellStyle name="Total 3 2 6 4" xfId="9293" xr:uid="{00000000-0005-0000-0000-00001F9C0000}"/>
    <cellStyle name="Total 3 2 6 4 2" xfId="28265" xr:uid="{00000000-0005-0000-0000-0000209C0000}"/>
    <cellStyle name="Total 3 2 6 4 3" xfId="39110" xr:uid="{00000000-0005-0000-0000-0000219C0000}"/>
    <cellStyle name="Total 3 2 6 4 4" xfId="17883" xr:uid="{00000000-0005-0000-0000-0000229C0000}"/>
    <cellStyle name="Total 3 2 6 5" xfId="20089" xr:uid="{00000000-0005-0000-0000-0000239C0000}"/>
    <cellStyle name="Total 3 2 6 6" xfId="30934" xr:uid="{00000000-0005-0000-0000-0000249C0000}"/>
    <cellStyle name="Total 3 2 6 7" xfId="12029" xr:uid="{00000000-0005-0000-0000-0000259C0000}"/>
    <cellStyle name="Total 3 2 7" xfId="1507" xr:uid="{00000000-0005-0000-0000-0000269C0000}"/>
    <cellStyle name="Total 3 2 7 2" xfId="4360" xr:uid="{00000000-0005-0000-0000-0000279C0000}"/>
    <cellStyle name="Total 3 2 7 2 2" xfId="23332" xr:uid="{00000000-0005-0000-0000-0000289C0000}"/>
    <cellStyle name="Total 3 2 7 2 3" xfId="34177" xr:uid="{00000000-0005-0000-0000-0000299C0000}"/>
    <cellStyle name="Total 3 2 7 2 4" xfId="14353" xr:uid="{00000000-0005-0000-0000-00002A9C0000}"/>
    <cellStyle name="Total 3 2 7 3" xfId="7033" xr:uid="{00000000-0005-0000-0000-00002B9C0000}"/>
    <cellStyle name="Total 3 2 7 3 2" xfId="26005" xr:uid="{00000000-0005-0000-0000-00002C9C0000}"/>
    <cellStyle name="Total 3 2 7 3 3" xfId="36850" xr:uid="{00000000-0005-0000-0000-00002D9C0000}"/>
    <cellStyle name="Total 3 2 7 3 4" xfId="16268" xr:uid="{00000000-0005-0000-0000-00002E9C0000}"/>
    <cellStyle name="Total 3 2 7 4" xfId="9692" xr:uid="{00000000-0005-0000-0000-00002F9C0000}"/>
    <cellStyle name="Total 3 2 7 4 2" xfId="28664" xr:uid="{00000000-0005-0000-0000-0000309C0000}"/>
    <cellStyle name="Total 3 2 7 4 3" xfId="39509" xr:uid="{00000000-0005-0000-0000-0000319C0000}"/>
    <cellStyle name="Total 3 2 7 4 4" xfId="18172" xr:uid="{00000000-0005-0000-0000-0000329C0000}"/>
    <cellStyle name="Total 3 2 7 5" xfId="20488" xr:uid="{00000000-0005-0000-0000-0000339C0000}"/>
    <cellStyle name="Total 3 2 7 6" xfId="31333" xr:uid="{00000000-0005-0000-0000-0000349C0000}"/>
    <cellStyle name="Total 3 2 7 7" xfId="12318" xr:uid="{00000000-0005-0000-0000-0000359C0000}"/>
    <cellStyle name="Total 3 2 8" xfId="1915" xr:uid="{00000000-0005-0000-0000-0000369C0000}"/>
    <cellStyle name="Total 3 2 8 2" xfId="4768" xr:uid="{00000000-0005-0000-0000-0000379C0000}"/>
    <cellStyle name="Total 3 2 8 2 2" xfId="23740" xr:uid="{00000000-0005-0000-0000-0000389C0000}"/>
    <cellStyle name="Total 3 2 8 2 3" xfId="34585" xr:uid="{00000000-0005-0000-0000-0000399C0000}"/>
    <cellStyle name="Total 3 2 8 2 4" xfId="14644" xr:uid="{00000000-0005-0000-0000-00003A9C0000}"/>
    <cellStyle name="Total 3 2 8 3" xfId="7440" xr:uid="{00000000-0005-0000-0000-00003B9C0000}"/>
    <cellStyle name="Total 3 2 8 3 2" xfId="26412" xr:uid="{00000000-0005-0000-0000-00003C9C0000}"/>
    <cellStyle name="Total 3 2 8 3 3" xfId="37257" xr:uid="{00000000-0005-0000-0000-00003D9C0000}"/>
    <cellStyle name="Total 3 2 8 3 4" xfId="16558" xr:uid="{00000000-0005-0000-0000-00003E9C0000}"/>
    <cellStyle name="Total 3 2 8 4" xfId="10099" xr:uid="{00000000-0005-0000-0000-00003F9C0000}"/>
    <cellStyle name="Total 3 2 8 4 2" xfId="29071" xr:uid="{00000000-0005-0000-0000-0000409C0000}"/>
    <cellStyle name="Total 3 2 8 4 3" xfId="39916" xr:uid="{00000000-0005-0000-0000-0000419C0000}"/>
    <cellStyle name="Total 3 2 8 4 4" xfId="18462" xr:uid="{00000000-0005-0000-0000-0000429C0000}"/>
    <cellStyle name="Total 3 2 8 5" xfId="20895" xr:uid="{00000000-0005-0000-0000-0000439C0000}"/>
    <cellStyle name="Total 3 2 8 6" xfId="31740" xr:uid="{00000000-0005-0000-0000-0000449C0000}"/>
    <cellStyle name="Total 3 2 8 7" xfId="12608" xr:uid="{00000000-0005-0000-0000-0000459C0000}"/>
    <cellStyle name="Total 3 2 9" xfId="2309" xr:uid="{00000000-0005-0000-0000-0000469C0000}"/>
    <cellStyle name="Total 3 2 9 2" xfId="5162" xr:uid="{00000000-0005-0000-0000-0000479C0000}"/>
    <cellStyle name="Total 3 2 9 2 2" xfId="24134" xr:uid="{00000000-0005-0000-0000-0000489C0000}"/>
    <cellStyle name="Total 3 2 9 2 3" xfId="34979" xr:uid="{00000000-0005-0000-0000-0000499C0000}"/>
    <cellStyle name="Total 3 2 9 2 4" xfId="14926" xr:uid="{00000000-0005-0000-0000-00004A9C0000}"/>
    <cellStyle name="Total 3 2 9 3" xfId="7833" xr:uid="{00000000-0005-0000-0000-00004B9C0000}"/>
    <cellStyle name="Total 3 2 9 3 2" xfId="26805" xr:uid="{00000000-0005-0000-0000-00004C9C0000}"/>
    <cellStyle name="Total 3 2 9 3 3" xfId="37650" xr:uid="{00000000-0005-0000-0000-00004D9C0000}"/>
    <cellStyle name="Total 3 2 9 3 4" xfId="16839" xr:uid="{00000000-0005-0000-0000-00004E9C0000}"/>
    <cellStyle name="Total 3 2 9 4" xfId="10492" xr:uid="{00000000-0005-0000-0000-00004F9C0000}"/>
    <cellStyle name="Total 3 2 9 4 2" xfId="29464" xr:uid="{00000000-0005-0000-0000-0000509C0000}"/>
    <cellStyle name="Total 3 2 9 4 3" xfId="40309" xr:uid="{00000000-0005-0000-0000-0000519C0000}"/>
    <cellStyle name="Total 3 2 9 4 4" xfId="18743" xr:uid="{00000000-0005-0000-0000-0000529C0000}"/>
    <cellStyle name="Total 3 2 9 5" xfId="21288" xr:uid="{00000000-0005-0000-0000-0000539C0000}"/>
    <cellStyle name="Total 3 2 9 6" xfId="32133" xr:uid="{00000000-0005-0000-0000-0000549C0000}"/>
    <cellStyle name="Total 3 2 9 7" xfId="12889" xr:uid="{00000000-0005-0000-0000-0000559C0000}"/>
    <cellStyle name="Total 3 3" xfId="589" xr:uid="{00000000-0005-0000-0000-0000569C0000}"/>
    <cellStyle name="Total 3 3 10" xfId="19599" xr:uid="{00000000-0005-0000-0000-0000579C0000}"/>
    <cellStyle name="Total 3 3 11" xfId="30444" xr:uid="{00000000-0005-0000-0000-0000589C0000}"/>
    <cellStyle name="Total 3 3 12" xfId="11653" xr:uid="{00000000-0005-0000-0000-0000599C0000}"/>
    <cellStyle name="Total 3 3 2" xfId="1195" xr:uid="{00000000-0005-0000-0000-00005A9C0000}"/>
    <cellStyle name="Total 3 3 2 2" xfId="4048" xr:uid="{00000000-0005-0000-0000-00005B9C0000}"/>
    <cellStyle name="Total 3 3 2 2 2" xfId="23020" xr:uid="{00000000-0005-0000-0000-00005C9C0000}"/>
    <cellStyle name="Total 3 3 2 2 3" xfId="33865" xr:uid="{00000000-0005-0000-0000-00005D9C0000}"/>
    <cellStyle name="Total 3 3 2 2 4" xfId="14130" xr:uid="{00000000-0005-0000-0000-00005E9C0000}"/>
    <cellStyle name="Total 3 3 2 3" xfId="6721" xr:uid="{00000000-0005-0000-0000-00005F9C0000}"/>
    <cellStyle name="Total 3 3 2 3 2" xfId="25693" xr:uid="{00000000-0005-0000-0000-0000609C0000}"/>
    <cellStyle name="Total 3 3 2 3 3" xfId="36538" xr:uid="{00000000-0005-0000-0000-0000619C0000}"/>
    <cellStyle name="Total 3 3 2 3 4" xfId="16045" xr:uid="{00000000-0005-0000-0000-0000629C0000}"/>
    <cellStyle name="Total 3 3 2 4" xfId="9380" xr:uid="{00000000-0005-0000-0000-0000639C0000}"/>
    <cellStyle name="Total 3 3 2 4 2" xfId="28352" xr:uid="{00000000-0005-0000-0000-0000649C0000}"/>
    <cellStyle name="Total 3 3 2 4 3" xfId="39197" xr:uid="{00000000-0005-0000-0000-0000659C0000}"/>
    <cellStyle name="Total 3 3 2 4 4" xfId="17949" xr:uid="{00000000-0005-0000-0000-0000669C0000}"/>
    <cellStyle name="Total 3 3 2 5" xfId="20176" xr:uid="{00000000-0005-0000-0000-0000679C0000}"/>
    <cellStyle name="Total 3 3 2 6" xfId="31021" xr:uid="{00000000-0005-0000-0000-0000689C0000}"/>
    <cellStyle name="Total 3 3 2 7" xfId="12095" xr:uid="{00000000-0005-0000-0000-0000699C0000}"/>
    <cellStyle name="Total 3 3 3" xfId="1592" xr:uid="{00000000-0005-0000-0000-00006A9C0000}"/>
    <cellStyle name="Total 3 3 3 2" xfId="4445" xr:uid="{00000000-0005-0000-0000-00006B9C0000}"/>
    <cellStyle name="Total 3 3 3 2 2" xfId="23417" xr:uid="{00000000-0005-0000-0000-00006C9C0000}"/>
    <cellStyle name="Total 3 3 3 2 3" xfId="34262" xr:uid="{00000000-0005-0000-0000-00006D9C0000}"/>
    <cellStyle name="Total 3 3 3 2 4" xfId="14416" xr:uid="{00000000-0005-0000-0000-00006E9C0000}"/>
    <cellStyle name="Total 3 3 3 3" xfId="7117" xr:uid="{00000000-0005-0000-0000-00006F9C0000}"/>
    <cellStyle name="Total 3 3 3 3 2" xfId="26089" xr:uid="{00000000-0005-0000-0000-0000709C0000}"/>
    <cellStyle name="Total 3 3 3 3 3" xfId="36934" xr:uid="{00000000-0005-0000-0000-0000719C0000}"/>
    <cellStyle name="Total 3 3 3 3 4" xfId="16330" xr:uid="{00000000-0005-0000-0000-0000729C0000}"/>
    <cellStyle name="Total 3 3 3 4" xfId="9776" xr:uid="{00000000-0005-0000-0000-0000739C0000}"/>
    <cellStyle name="Total 3 3 3 4 2" xfId="28748" xr:uid="{00000000-0005-0000-0000-0000749C0000}"/>
    <cellStyle name="Total 3 3 3 4 3" xfId="39593" xr:uid="{00000000-0005-0000-0000-0000759C0000}"/>
    <cellStyle name="Total 3 3 3 4 4" xfId="18234" xr:uid="{00000000-0005-0000-0000-0000769C0000}"/>
    <cellStyle name="Total 3 3 3 5" xfId="20572" xr:uid="{00000000-0005-0000-0000-0000779C0000}"/>
    <cellStyle name="Total 3 3 3 6" xfId="31417" xr:uid="{00000000-0005-0000-0000-0000789C0000}"/>
    <cellStyle name="Total 3 3 3 7" xfId="12380" xr:uid="{00000000-0005-0000-0000-0000799C0000}"/>
    <cellStyle name="Total 3 3 4" xfId="1996" xr:uid="{00000000-0005-0000-0000-00007A9C0000}"/>
    <cellStyle name="Total 3 3 4 2" xfId="4849" xr:uid="{00000000-0005-0000-0000-00007B9C0000}"/>
    <cellStyle name="Total 3 3 4 2 2" xfId="23821" xr:uid="{00000000-0005-0000-0000-00007C9C0000}"/>
    <cellStyle name="Total 3 3 4 2 3" xfId="34666" xr:uid="{00000000-0005-0000-0000-00007D9C0000}"/>
    <cellStyle name="Total 3 3 4 2 4" xfId="14704" xr:uid="{00000000-0005-0000-0000-00007E9C0000}"/>
    <cellStyle name="Total 3 3 4 3" xfId="7521" xr:uid="{00000000-0005-0000-0000-00007F9C0000}"/>
    <cellStyle name="Total 3 3 4 3 2" xfId="26493" xr:uid="{00000000-0005-0000-0000-0000809C0000}"/>
    <cellStyle name="Total 3 3 4 3 3" xfId="37338" xr:uid="{00000000-0005-0000-0000-0000819C0000}"/>
    <cellStyle name="Total 3 3 4 3 4" xfId="16618" xr:uid="{00000000-0005-0000-0000-0000829C0000}"/>
    <cellStyle name="Total 3 3 4 4" xfId="10180" xr:uid="{00000000-0005-0000-0000-0000839C0000}"/>
    <cellStyle name="Total 3 3 4 4 2" xfId="29152" xr:uid="{00000000-0005-0000-0000-0000849C0000}"/>
    <cellStyle name="Total 3 3 4 4 3" xfId="39997" xr:uid="{00000000-0005-0000-0000-0000859C0000}"/>
    <cellStyle name="Total 3 3 4 4 4" xfId="18522" xr:uid="{00000000-0005-0000-0000-0000869C0000}"/>
    <cellStyle name="Total 3 3 4 5" xfId="20976" xr:uid="{00000000-0005-0000-0000-0000879C0000}"/>
    <cellStyle name="Total 3 3 4 6" xfId="31821" xr:uid="{00000000-0005-0000-0000-0000889C0000}"/>
    <cellStyle name="Total 3 3 4 7" xfId="12668" xr:uid="{00000000-0005-0000-0000-0000899C0000}"/>
    <cellStyle name="Total 3 3 5" xfId="2388" xr:uid="{00000000-0005-0000-0000-00008A9C0000}"/>
    <cellStyle name="Total 3 3 5 2" xfId="5241" xr:uid="{00000000-0005-0000-0000-00008B9C0000}"/>
    <cellStyle name="Total 3 3 5 2 2" xfId="24213" xr:uid="{00000000-0005-0000-0000-00008C9C0000}"/>
    <cellStyle name="Total 3 3 5 2 3" xfId="35058" xr:uid="{00000000-0005-0000-0000-00008D9C0000}"/>
    <cellStyle name="Total 3 3 5 2 4" xfId="14985" xr:uid="{00000000-0005-0000-0000-00008E9C0000}"/>
    <cellStyle name="Total 3 3 5 3" xfId="7912" xr:uid="{00000000-0005-0000-0000-00008F9C0000}"/>
    <cellStyle name="Total 3 3 5 3 2" xfId="26884" xr:uid="{00000000-0005-0000-0000-0000909C0000}"/>
    <cellStyle name="Total 3 3 5 3 3" xfId="37729" xr:uid="{00000000-0005-0000-0000-0000919C0000}"/>
    <cellStyle name="Total 3 3 5 3 4" xfId="16898" xr:uid="{00000000-0005-0000-0000-0000929C0000}"/>
    <cellStyle name="Total 3 3 5 4" xfId="10571" xr:uid="{00000000-0005-0000-0000-0000939C0000}"/>
    <cellStyle name="Total 3 3 5 4 2" xfId="29543" xr:uid="{00000000-0005-0000-0000-0000949C0000}"/>
    <cellStyle name="Total 3 3 5 4 3" xfId="40388" xr:uid="{00000000-0005-0000-0000-0000959C0000}"/>
    <cellStyle name="Total 3 3 5 4 4" xfId="18802" xr:uid="{00000000-0005-0000-0000-0000969C0000}"/>
    <cellStyle name="Total 3 3 5 5" xfId="21367" xr:uid="{00000000-0005-0000-0000-0000979C0000}"/>
    <cellStyle name="Total 3 3 5 6" xfId="32212" xr:uid="{00000000-0005-0000-0000-0000989C0000}"/>
    <cellStyle name="Total 3 3 5 7" xfId="12948" xr:uid="{00000000-0005-0000-0000-0000999C0000}"/>
    <cellStyle name="Total 3 3 6" xfId="2777" xr:uid="{00000000-0005-0000-0000-00009A9C0000}"/>
    <cellStyle name="Total 3 3 6 2" xfId="5629" xr:uid="{00000000-0005-0000-0000-00009B9C0000}"/>
    <cellStyle name="Total 3 3 6 2 2" xfId="24601" xr:uid="{00000000-0005-0000-0000-00009C9C0000}"/>
    <cellStyle name="Total 3 3 6 2 3" xfId="35446" xr:uid="{00000000-0005-0000-0000-00009D9C0000}"/>
    <cellStyle name="Total 3 3 6 2 4" xfId="15263" xr:uid="{00000000-0005-0000-0000-00009E9C0000}"/>
    <cellStyle name="Total 3 3 6 3" xfId="8300" xr:uid="{00000000-0005-0000-0000-00009F9C0000}"/>
    <cellStyle name="Total 3 3 6 3 2" xfId="27272" xr:uid="{00000000-0005-0000-0000-0000A09C0000}"/>
    <cellStyle name="Total 3 3 6 3 3" xfId="38117" xr:uid="{00000000-0005-0000-0000-0000A19C0000}"/>
    <cellStyle name="Total 3 3 6 3 4" xfId="17176" xr:uid="{00000000-0005-0000-0000-0000A29C0000}"/>
    <cellStyle name="Total 3 3 6 4" xfId="10959" xr:uid="{00000000-0005-0000-0000-0000A39C0000}"/>
    <cellStyle name="Total 3 3 6 4 2" xfId="29931" xr:uid="{00000000-0005-0000-0000-0000A49C0000}"/>
    <cellStyle name="Total 3 3 6 4 3" xfId="40776" xr:uid="{00000000-0005-0000-0000-0000A59C0000}"/>
    <cellStyle name="Total 3 3 6 4 4" xfId="19080" xr:uid="{00000000-0005-0000-0000-0000A69C0000}"/>
    <cellStyle name="Total 3 3 6 5" xfId="21755" xr:uid="{00000000-0005-0000-0000-0000A79C0000}"/>
    <cellStyle name="Total 3 3 6 6" xfId="32600" xr:uid="{00000000-0005-0000-0000-0000A89C0000}"/>
    <cellStyle name="Total 3 3 6 7" xfId="13226" xr:uid="{00000000-0005-0000-0000-0000A99C0000}"/>
    <cellStyle name="Total 3 3 7" xfId="3468" xr:uid="{00000000-0005-0000-0000-0000AA9C0000}"/>
    <cellStyle name="Total 3 3 7 2" xfId="22440" xr:uid="{00000000-0005-0000-0000-0000AB9C0000}"/>
    <cellStyle name="Total 3 3 7 3" xfId="33285" xr:uid="{00000000-0005-0000-0000-0000AC9C0000}"/>
    <cellStyle name="Total 3 3 7 4" xfId="13708" xr:uid="{00000000-0005-0000-0000-0000AD9C0000}"/>
    <cellStyle name="Total 3 3 8" xfId="6144" xr:uid="{00000000-0005-0000-0000-0000AE9C0000}"/>
    <cellStyle name="Total 3 3 8 2" xfId="25116" xr:uid="{00000000-0005-0000-0000-0000AF9C0000}"/>
    <cellStyle name="Total 3 3 8 3" xfId="35961" xr:uid="{00000000-0005-0000-0000-0000B09C0000}"/>
    <cellStyle name="Total 3 3 8 4" xfId="15625" xr:uid="{00000000-0005-0000-0000-0000B19C0000}"/>
    <cellStyle name="Total 3 3 9" xfId="8803" xr:uid="{00000000-0005-0000-0000-0000B29C0000}"/>
    <cellStyle name="Total 3 3 9 2" xfId="27775" xr:uid="{00000000-0005-0000-0000-0000B39C0000}"/>
    <cellStyle name="Total 3 3 9 3" xfId="38620" xr:uid="{00000000-0005-0000-0000-0000B49C0000}"/>
    <cellStyle name="Total 3 3 9 4" xfId="17529" xr:uid="{00000000-0005-0000-0000-0000B59C0000}"/>
    <cellStyle name="Total 3 4" xfId="11482" xr:uid="{00000000-0005-0000-0000-0000B69C0000}"/>
    <cellStyle name="Total 4" xfId="326" xr:uid="{00000000-0005-0000-0000-0000B79C0000}"/>
    <cellStyle name="Total 4 2" xfId="433" xr:uid="{00000000-0005-0000-0000-0000B89C0000}"/>
    <cellStyle name="Total 4 2 10" xfId="2715" xr:uid="{00000000-0005-0000-0000-0000B99C0000}"/>
    <cellStyle name="Total 4 2 10 2" xfId="5567" xr:uid="{00000000-0005-0000-0000-0000BA9C0000}"/>
    <cellStyle name="Total 4 2 10 2 2" xfId="24539" xr:uid="{00000000-0005-0000-0000-0000BB9C0000}"/>
    <cellStyle name="Total 4 2 10 2 3" xfId="35384" xr:uid="{00000000-0005-0000-0000-0000BC9C0000}"/>
    <cellStyle name="Total 4 2 10 2 4" xfId="15211" xr:uid="{00000000-0005-0000-0000-0000BD9C0000}"/>
    <cellStyle name="Total 4 2 10 3" xfId="8238" xr:uid="{00000000-0005-0000-0000-0000BE9C0000}"/>
    <cellStyle name="Total 4 2 10 3 2" xfId="27210" xr:uid="{00000000-0005-0000-0000-0000BF9C0000}"/>
    <cellStyle name="Total 4 2 10 3 3" xfId="38055" xr:uid="{00000000-0005-0000-0000-0000C09C0000}"/>
    <cellStyle name="Total 4 2 10 3 4" xfId="17124" xr:uid="{00000000-0005-0000-0000-0000C19C0000}"/>
    <cellStyle name="Total 4 2 10 4" xfId="10897" xr:uid="{00000000-0005-0000-0000-0000C29C0000}"/>
    <cellStyle name="Total 4 2 10 4 2" xfId="29869" xr:uid="{00000000-0005-0000-0000-0000C39C0000}"/>
    <cellStyle name="Total 4 2 10 4 3" xfId="40714" xr:uid="{00000000-0005-0000-0000-0000C49C0000}"/>
    <cellStyle name="Total 4 2 10 4 4" xfId="19028" xr:uid="{00000000-0005-0000-0000-0000C59C0000}"/>
    <cellStyle name="Total 4 2 10 5" xfId="21693" xr:uid="{00000000-0005-0000-0000-0000C69C0000}"/>
    <cellStyle name="Total 4 2 10 6" xfId="32538" xr:uid="{00000000-0005-0000-0000-0000C79C0000}"/>
    <cellStyle name="Total 4 2 10 7" xfId="13174" xr:uid="{00000000-0005-0000-0000-0000C89C0000}"/>
    <cellStyle name="Total 4 2 11" xfId="3100" xr:uid="{00000000-0005-0000-0000-0000C99C0000}"/>
    <cellStyle name="Total 4 2 11 2" xfId="5951" xr:uid="{00000000-0005-0000-0000-0000CA9C0000}"/>
    <cellStyle name="Total 4 2 11 2 2" xfId="24923" xr:uid="{00000000-0005-0000-0000-0000CB9C0000}"/>
    <cellStyle name="Total 4 2 11 2 3" xfId="35768" xr:uid="{00000000-0005-0000-0000-0000CC9C0000}"/>
    <cellStyle name="Total 4 2 11 2 4" xfId="15486" xr:uid="{00000000-0005-0000-0000-0000CD9C0000}"/>
    <cellStyle name="Total 4 2 11 3" xfId="8622" xr:uid="{00000000-0005-0000-0000-0000CE9C0000}"/>
    <cellStyle name="Total 4 2 11 3 2" xfId="27594" xr:uid="{00000000-0005-0000-0000-0000CF9C0000}"/>
    <cellStyle name="Total 4 2 11 3 3" xfId="38439" xr:uid="{00000000-0005-0000-0000-0000D09C0000}"/>
    <cellStyle name="Total 4 2 11 3 4" xfId="17399" xr:uid="{00000000-0005-0000-0000-0000D19C0000}"/>
    <cellStyle name="Total 4 2 11 4" xfId="11281" xr:uid="{00000000-0005-0000-0000-0000D29C0000}"/>
    <cellStyle name="Total 4 2 11 4 2" xfId="30253" xr:uid="{00000000-0005-0000-0000-0000D39C0000}"/>
    <cellStyle name="Total 4 2 11 4 3" xfId="41098" xr:uid="{00000000-0005-0000-0000-0000D49C0000}"/>
    <cellStyle name="Total 4 2 11 4 4" xfId="19303" xr:uid="{00000000-0005-0000-0000-0000D59C0000}"/>
    <cellStyle name="Total 4 2 11 5" xfId="22077" xr:uid="{00000000-0005-0000-0000-0000D69C0000}"/>
    <cellStyle name="Total 4 2 11 6" xfId="32922" xr:uid="{00000000-0005-0000-0000-0000D79C0000}"/>
    <cellStyle name="Total 4 2 11 7" xfId="13449" xr:uid="{00000000-0005-0000-0000-0000D89C0000}"/>
    <cellStyle name="Total 4 2 12" xfId="3157" xr:uid="{00000000-0005-0000-0000-0000D99C0000}"/>
    <cellStyle name="Total 4 2 12 2" xfId="6008" xr:uid="{00000000-0005-0000-0000-0000DA9C0000}"/>
    <cellStyle name="Total 4 2 12 2 2" xfId="24980" xr:uid="{00000000-0005-0000-0000-0000DB9C0000}"/>
    <cellStyle name="Total 4 2 12 2 3" xfId="35825" xr:uid="{00000000-0005-0000-0000-0000DC9C0000}"/>
    <cellStyle name="Total 4 2 12 2 4" xfId="15523" xr:uid="{00000000-0005-0000-0000-0000DD9C0000}"/>
    <cellStyle name="Total 4 2 12 3" xfId="8679" xr:uid="{00000000-0005-0000-0000-0000DE9C0000}"/>
    <cellStyle name="Total 4 2 12 3 2" xfId="27651" xr:uid="{00000000-0005-0000-0000-0000DF9C0000}"/>
    <cellStyle name="Total 4 2 12 3 3" xfId="38496" xr:uid="{00000000-0005-0000-0000-0000E09C0000}"/>
    <cellStyle name="Total 4 2 12 3 4" xfId="17436" xr:uid="{00000000-0005-0000-0000-0000E19C0000}"/>
    <cellStyle name="Total 4 2 12 4" xfId="11338" xr:uid="{00000000-0005-0000-0000-0000E29C0000}"/>
    <cellStyle name="Total 4 2 12 4 2" xfId="30310" xr:uid="{00000000-0005-0000-0000-0000E39C0000}"/>
    <cellStyle name="Total 4 2 12 4 3" xfId="41155" xr:uid="{00000000-0005-0000-0000-0000E49C0000}"/>
    <cellStyle name="Total 4 2 12 4 4" xfId="19340" xr:uid="{00000000-0005-0000-0000-0000E59C0000}"/>
    <cellStyle name="Total 4 2 12 5" xfId="22134" xr:uid="{00000000-0005-0000-0000-0000E69C0000}"/>
    <cellStyle name="Total 4 2 12 6" xfId="32979" xr:uid="{00000000-0005-0000-0000-0000E79C0000}"/>
    <cellStyle name="Total 4 2 12 7" xfId="13486" xr:uid="{00000000-0005-0000-0000-0000E89C0000}"/>
    <cellStyle name="Total 4 2 13" xfId="3214" xr:uid="{00000000-0005-0000-0000-0000E99C0000}"/>
    <cellStyle name="Total 4 2 13 2" xfId="6065" xr:uid="{00000000-0005-0000-0000-0000EA9C0000}"/>
    <cellStyle name="Total 4 2 13 2 2" xfId="25037" xr:uid="{00000000-0005-0000-0000-0000EB9C0000}"/>
    <cellStyle name="Total 4 2 13 2 3" xfId="35882" xr:uid="{00000000-0005-0000-0000-0000EC9C0000}"/>
    <cellStyle name="Total 4 2 13 2 4" xfId="15560" xr:uid="{00000000-0005-0000-0000-0000ED9C0000}"/>
    <cellStyle name="Total 4 2 13 3" xfId="8736" xr:uid="{00000000-0005-0000-0000-0000EE9C0000}"/>
    <cellStyle name="Total 4 2 13 3 2" xfId="27708" xr:uid="{00000000-0005-0000-0000-0000EF9C0000}"/>
    <cellStyle name="Total 4 2 13 3 3" xfId="38553" xr:uid="{00000000-0005-0000-0000-0000F09C0000}"/>
    <cellStyle name="Total 4 2 13 3 4" xfId="17473" xr:uid="{00000000-0005-0000-0000-0000F19C0000}"/>
    <cellStyle name="Total 4 2 13 4" xfId="11395" xr:uid="{00000000-0005-0000-0000-0000F29C0000}"/>
    <cellStyle name="Total 4 2 13 4 2" xfId="30367" xr:uid="{00000000-0005-0000-0000-0000F39C0000}"/>
    <cellStyle name="Total 4 2 13 4 3" xfId="41212" xr:uid="{00000000-0005-0000-0000-0000F49C0000}"/>
    <cellStyle name="Total 4 2 13 4 4" xfId="19377" xr:uid="{00000000-0005-0000-0000-0000F59C0000}"/>
    <cellStyle name="Total 4 2 13 5" xfId="22191" xr:uid="{00000000-0005-0000-0000-0000F69C0000}"/>
    <cellStyle name="Total 4 2 13 6" xfId="33036" xr:uid="{00000000-0005-0000-0000-0000F79C0000}"/>
    <cellStyle name="Total 4 2 13 7" xfId="13523" xr:uid="{00000000-0005-0000-0000-0000F89C0000}"/>
    <cellStyle name="Total 4 2 14" xfId="3383" xr:uid="{00000000-0005-0000-0000-0000F99C0000}"/>
    <cellStyle name="Total 4 2 14 2" xfId="22357" xr:uid="{00000000-0005-0000-0000-0000FA9C0000}"/>
    <cellStyle name="Total 4 2 14 3" xfId="33202" xr:uid="{00000000-0005-0000-0000-0000FB9C0000}"/>
    <cellStyle name="Total 4 2 14 4" xfId="13640" xr:uid="{00000000-0005-0000-0000-0000FC9C0000}"/>
    <cellStyle name="Total 4 2 15" xfId="3276" xr:uid="{00000000-0005-0000-0000-0000FD9C0000}"/>
    <cellStyle name="Total 4 2 15 2" xfId="22250" xr:uid="{00000000-0005-0000-0000-0000FE9C0000}"/>
    <cellStyle name="Total 4 2 15 3" xfId="33095" xr:uid="{00000000-0005-0000-0000-0000FF9C0000}"/>
    <cellStyle name="Total 4 2 15 4" xfId="13573" xr:uid="{00000000-0005-0000-0000-0000009D0000}"/>
    <cellStyle name="Total 4 2 16" xfId="3256" xr:uid="{00000000-0005-0000-0000-0000019D0000}"/>
    <cellStyle name="Total 4 2 16 2" xfId="22231" xr:uid="{00000000-0005-0000-0000-0000029D0000}"/>
    <cellStyle name="Total 4 2 16 3" xfId="33076" xr:uid="{00000000-0005-0000-0000-0000039D0000}"/>
    <cellStyle name="Total 4 2 16 4" xfId="13557" xr:uid="{00000000-0005-0000-0000-0000049D0000}"/>
    <cellStyle name="Total 4 2 17" xfId="19511" xr:uid="{00000000-0005-0000-0000-0000059D0000}"/>
    <cellStyle name="Total 4 2 18" xfId="19381" xr:uid="{00000000-0005-0000-0000-0000069D0000}"/>
    <cellStyle name="Total 4 2 19" xfId="11553" xr:uid="{00000000-0005-0000-0000-0000079D0000}"/>
    <cellStyle name="Total 4 2 2" xfId="724" xr:uid="{00000000-0005-0000-0000-0000089D0000}"/>
    <cellStyle name="Total 4 2 2 10" xfId="19709" xr:uid="{00000000-0005-0000-0000-0000099D0000}"/>
    <cellStyle name="Total 4 2 2 11" xfId="30554" xr:uid="{00000000-0005-0000-0000-00000A9D0000}"/>
    <cellStyle name="Total 4 2 2 12" xfId="11756" xr:uid="{00000000-0005-0000-0000-00000B9D0000}"/>
    <cellStyle name="Total 4 2 2 2" xfId="1311" xr:uid="{00000000-0005-0000-0000-00000C9D0000}"/>
    <cellStyle name="Total 4 2 2 2 2" xfId="4164" xr:uid="{00000000-0005-0000-0000-00000D9D0000}"/>
    <cellStyle name="Total 4 2 2 2 2 2" xfId="23136" xr:uid="{00000000-0005-0000-0000-00000E9D0000}"/>
    <cellStyle name="Total 4 2 2 2 2 3" xfId="33981" xr:uid="{00000000-0005-0000-0000-00000F9D0000}"/>
    <cellStyle name="Total 4 2 2 2 2 4" xfId="14217" xr:uid="{00000000-0005-0000-0000-0000109D0000}"/>
    <cellStyle name="Total 4 2 2 2 3" xfId="6837" xr:uid="{00000000-0005-0000-0000-0000119D0000}"/>
    <cellStyle name="Total 4 2 2 2 3 2" xfId="25809" xr:uid="{00000000-0005-0000-0000-0000129D0000}"/>
    <cellStyle name="Total 4 2 2 2 3 3" xfId="36654" xr:uid="{00000000-0005-0000-0000-0000139D0000}"/>
    <cellStyle name="Total 4 2 2 2 3 4" xfId="16132" xr:uid="{00000000-0005-0000-0000-0000149D0000}"/>
    <cellStyle name="Total 4 2 2 2 4" xfId="9496" xr:uid="{00000000-0005-0000-0000-0000159D0000}"/>
    <cellStyle name="Total 4 2 2 2 4 2" xfId="28468" xr:uid="{00000000-0005-0000-0000-0000169D0000}"/>
    <cellStyle name="Total 4 2 2 2 4 3" xfId="39313" xr:uid="{00000000-0005-0000-0000-0000179D0000}"/>
    <cellStyle name="Total 4 2 2 2 4 4" xfId="18036" xr:uid="{00000000-0005-0000-0000-0000189D0000}"/>
    <cellStyle name="Total 4 2 2 2 5" xfId="20292" xr:uid="{00000000-0005-0000-0000-0000199D0000}"/>
    <cellStyle name="Total 4 2 2 2 6" xfId="31137" xr:uid="{00000000-0005-0000-0000-00001A9D0000}"/>
    <cellStyle name="Total 4 2 2 2 7" xfId="12182" xr:uid="{00000000-0005-0000-0000-00001B9D0000}"/>
    <cellStyle name="Total 4 2 2 3" xfId="1710" xr:uid="{00000000-0005-0000-0000-00001C9D0000}"/>
    <cellStyle name="Total 4 2 2 3 2" xfId="4563" xr:uid="{00000000-0005-0000-0000-00001D9D0000}"/>
    <cellStyle name="Total 4 2 2 3 2 2" xfId="23535" xr:uid="{00000000-0005-0000-0000-00001E9D0000}"/>
    <cellStyle name="Total 4 2 2 3 2 3" xfId="34380" xr:uid="{00000000-0005-0000-0000-00001F9D0000}"/>
    <cellStyle name="Total 4 2 2 3 2 4" xfId="14504" xr:uid="{00000000-0005-0000-0000-0000209D0000}"/>
    <cellStyle name="Total 4 2 2 3 3" xfId="7235" xr:uid="{00000000-0005-0000-0000-0000219D0000}"/>
    <cellStyle name="Total 4 2 2 3 3 2" xfId="26207" xr:uid="{00000000-0005-0000-0000-0000229D0000}"/>
    <cellStyle name="Total 4 2 2 3 3 3" xfId="37052" xr:uid="{00000000-0005-0000-0000-0000239D0000}"/>
    <cellStyle name="Total 4 2 2 3 3 4" xfId="16418" xr:uid="{00000000-0005-0000-0000-0000249D0000}"/>
    <cellStyle name="Total 4 2 2 3 4" xfId="9894" xr:uid="{00000000-0005-0000-0000-0000259D0000}"/>
    <cellStyle name="Total 4 2 2 3 4 2" xfId="28866" xr:uid="{00000000-0005-0000-0000-0000269D0000}"/>
    <cellStyle name="Total 4 2 2 3 4 3" xfId="39711" xr:uid="{00000000-0005-0000-0000-0000279D0000}"/>
    <cellStyle name="Total 4 2 2 3 4 4" xfId="18322" xr:uid="{00000000-0005-0000-0000-0000289D0000}"/>
    <cellStyle name="Total 4 2 2 3 5" xfId="20690" xr:uid="{00000000-0005-0000-0000-0000299D0000}"/>
    <cellStyle name="Total 4 2 2 3 6" xfId="31535" xr:uid="{00000000-0005-0000-0000-00002A9D0000}"/>
    <cellStyle name="Total 4 2 2 3 7" xfId="12468" xr:uid="{00000000-0005-0000-0000-00002B9D0000}"/>
    <cellStyle name="Total 4 2 2 4" xfId="2114" xr:uid="{00000000-0005-0000-0000-00002C9D0000}"/>
    <cellStyle name="Total 4 2 2 4 2" xfId="4967" xr:uid="{00000000-0005-0000-0000-00002D9D0000}"/>
    <cellStyle name="Total 4 2 2 4 2 2" xfId="23939" xr:uid="{00000000-0005-0000-0000-00002E9D0000}"/>
    <cellStyle name="Total 4 2 2 4 2 3" xfId="34784" xr:uid="{00000000-0005-0000-0000-00002F9D0000}"/>
    <cellStyle name="Total 4 2 2 4 2 4" xfId="14791" xr:uid="{00000000-0005-0000-0000-0000309D0000}"/>
    <cellStyle name="Total 4 2 2 4 3" xfId="7638" xr:uid="{00000000-0005-0000-0000-0000319D0000}"/>
    <cellStyle name="Total 4 2 2 4 3 2" xfId="26610" xr:uid="{00000000-0005-0000-0000-0000329D0000}"/>
    <cellStyle name="Total 4 2 2 4 3 3" xfId="37455" xr:uid="{00000000-0005-0000-0000-0000339D0000}"/>
    <cellStyle name="Total 4 2 2 4 3 4" xfId="16704" xr:uid="{00000000-0005-0000-0000-0000349D0000}"/>
    <cellStyle name="Total 4 2 2 4 4" xfId="10297" xr:uid="{00000000-0005-0000-0000-0000359D0000}"/>
    <cellStyle name="Total 4 2 2 4 4 2" xfId="29269" xr:uid="{00000000-0005-0000-0000-0000369D0000}"/>
    <cellStyle name="Total 4 2 2 4 4 3" xfId="40114" xr:uid="{00000000-0005-0000-0000-0000379D0000}"/>
    <cellStyle name="Total 4 2 2 4 4 4" xfId="18608" xr:uid="{00000000-0005-0000-0000-0000389D0000}"/>
    <cellStyle name="Total 4 2 2 4 5" xfId="21093" xr:uid="{00000000-0005-0000-0000-0000399D0000}"/>
    <cellStyle name="Total 4 2 2 4 6" xfId="31938" xr:uid="{00000000-0005-0000-0000-00003A9D0000}"/>
    <cellStyle name="Total 4 2 2 4 7" xfId="12754" xr:uid="{00000000-0005-0000-0000-00003B9D0000}"/>
    <cellStyle name="Total 4 2 2 5" xfId="2504" xr:uid="{00000000-0005-0000-0000-00003C9D0000}"/>
    <cellStyle name="Total 4 2 2 5 2" xfId="5356" xr:uid="{00000000-0005-0000-0000-00003D9D0000}"/>
    <cellStyle name="Total 4 2 2 5 2 2" xfId="24328" xr:uid="{00000000-0005-0000-0000-00003E9D0000}"/>
    <cellStyle name="Total 4 2 2 5 2 3" xfId="35173" xr:uid="{00000000-0005-0000-0000-00003F9D0000}"/>
    <cellStyle name="Total 4 2 2 5 2 4" xfId="15070" xr:uid="{00000000-0005-0000-0000-0000409D0000}"/>
    <cellStyle name="Total 4 2 2 5 3" xfId="8027" xr:uid="{00000000-0005-0000-0000-0000419D0000}"/>
    <cellStyle name="Total 4 2 2 5 3 2" xfId="26999" xr:uid="{00000000-0005-0000-0000-0000429D0000}"/>
    <cellStyle name="Total 4 2 2 5 3 3" xfId="37844" xr:uid="{00000000-0005-0000-0000-0000439D0000}"/>
    <cellStyle name="Total 4 2 2 5 3 4" xfId="16983" xr:uid="{00000000-0005-0000-0000-0000449D0000}"/>
    <cellStyle name="Total 4 2 2 5 4" xfId="10686" xr:uid="{00000000-0005-0000-0000-0000459D0000}"/>
    <cellStyle name="Total 4 2 2 5 4 2" xfId="29658" xr:uid="{00000000-0005-0000-0000-0000469D0000}"/>
    <cellStyle name="Total 4 2 2 5 4 3" xfId="40503" xr:uid="{00000000-0005-0000-0000-0000479D0000}"/>
    <cellStyle name="Total 4 2 2 5 4 4" xfId="18887" xr:uid="{00000000-0005-0000-0000-0000489D0000}"/>
    <cellStyle name="Total 4 2 2 5 5" xfId="21482" xr:uid="{00000000-0005-0000-0000-0000499D0000}"/>
    <cellStyle name="Total 4 2 2 5 6" xfId="32327" xr:uid="{00000000-0005-0000-0000-00004A9D0000}"/>
    <cellStyle name="Total 4 2 2 5 7" xfId="13033" xr:uid="{00000000-0005-0000-0000-00004B9D0000}"/>
    <cellStyle name="Total 4 2 2 6" xfId="2890" xr:uid="{00000000-0005-0000-0000-00004C9D0000}"/>
    <cellStyle name="Total 4 2 2 6 2" xfId="5741" xr:uid="{00000000-0005-0000-0000-00004D9D0000}"/>
    <cellStyle name="Total 4 2 2 6 2 2" xfId="24713" xr:uid="{00000000-0005-0000-0000-00004E9D0000}"/>
    <cellStyle name="Total 4 2 2 6 2 3" xfId="35558" xr:uid="{00000000-0005-0000-0000-00004F9D0000}"/>
    <cellStyle name="Total 4 2 2 6 2 4" xfId="15346" xr:uid="{00000000-0005-0000-0000-0000509D0000}"/>
    <cellStyle name="Total 4 2 2 6 3" xfId="8412" xr:uid="{00000000-0005-0000-0000-0000519D0000}"/>
    <cellStyle name="Total 4 2 2 6 3 2" xfId="27384" xr:uid="{00000000-0005-0000-0000-0000529D0000}"/>
    <cellStyle name="Total 4 2 2 6 3 3" xfId="38229" xr:uid="{00000000-0005-0000-0000-0000539D0000}"/>
    <cellStyle name="Total 4 2 2 6 3 4" xfId="17259" xr:uid="{00000000-0005-0000-0000-0000549D0000}"/>
    <cellStyle name="Total 4 2 2 6 4" xfId="11071" xr:uid="{00000000-0005-0000-0000-0000559D0000}"/>
    <cellStyle name="Total 4 2 2 6 4 2" xfId="30043" xr:uid="{00000000-0005-0000-0000-0000569D0000}"/>
    <cellStyle name="Total 4 2 2 6 4 3" xfId="40888" xr:uid="{00000000-0005-0000-0000-0000579D0000}"/>
    <cellStyle name="Total 4 2 2 6 4 4" xfId="19163" xr:uid="{00000000-0005-0000-0000-0000589D0000}"/>
    <cellStyle name="Total 4 2 2 6 5" xfId="21867" xr:uid="{00000000-0005-0000-0000-0000599D0000}"/>
    <cellStyle name="Total 4 2 2 6 6" xfId="32712" xr:uid="{00000000-0005-0000-0000-00005A9D0000}"/>
    <cellStyle name="Total 4 2 2 6 7" xfId="13309" xr:uid="{00000000-0005-0000-0000-00005B9D0000}"/>
    <cellStyle name="Total 4 2 2 7" xfId="3579" xr:uid="{00000000-0005-0000-0000-00005C9D0000}"/>
    <cellStyle name="Total 4 2 2 7 2" xfId="22551" xr:uid="{00000000-0005-0000-0000-00005D9D0000}"/>
    <cellStyle name="Total 4 2 2 7 3" xfId="33396" xr:uid="{00000000-0005-0000-0000-00005E9D0000}"/>
    <cellStyle name="Total 4 2 2 7 4" xfId="13790" xr:uid="{00000000-0005-0000-0000-00005F9D0000}"/>
    <cellStyle name="Total 4 2 2 8" xfId="6254" xr:uid="{00000000-0005-0000-0000-0000609D0000}"/>
    <cellStyle name="Total 4 2 2 8 2" xfId="25226" xr:uid="{00000000-0005-0000-0000-0000619D0000}"/>
    <cellStyle name="Total 4 2 2 8 3" xfId="36071" xr:uid="{00000000-0005-0000-0000-0000629D0000}"/>
    <cellStyle name="Total 4 2 2 8 4" xfId="15706" xr:uid="{00000000-0005-0000-0000-0000639D0000}"/>
    <cellStyle name="Total 4 2 2 9" xfId="8913" xr:uid="{00000000-0005-0000-0000-0000649D0000}"/>
    <cellStyle name="Total 4 2 2 9 2" xfId="27885" xr:uid="{00000000-0005-0000-0000-0000659D0000}"/>
    <cellStyle name="Total 4 2 2 9 3" xfId="38730" xr:uid="{00000000-0005-0000-0000-0000669D0000}"/>
    <cellStyle name="Total 4 2 2 9 4" xfId="17610" xr:uid="{00000000-0005-0000-0000-0000679D0000}"/>
    <cellStyle name="Total 4 2 3" xfId="783" xr:uid="{00000000-0005-0000-0000-0000689D0000}"/>
    <cellStyle name="Total 4 2 3 10" xfId="19768" xr:uid="{00000000-0005-0000-0000-0000699D0000}"/>
    <cellStyle name="Total 4 2 3 11" xfId="30613" xr:uid="{00000000-0005-0000-0000-00006A9D0000}"/>
    <cellStyle name="Total 4 2 3 12" xfId="11795" xr:uid="{00000000-0005-0000-0000-00006B9D0000}"/>
    <cellStyle name="Total 4 2 3 2" xfId="1370" xr:uid="{00000000-0005-0000-0000-00006C9D0000}"/>
    <cellStyle name="Total 4 2 3 2 2" xfId="4223" xr:uid="{00000000-0005-0000-0000-00006D9D0000}"/>
    <cellStyle name="Total 4 2 3 2 2 2" xfId="23195" xr:uid="{00000000-0005-0000-0000-00006E9D0000}"/>
    <cellStyle name="Total 4 2 3 2 2 3" xfId="34040" xr:uid="{00000000-0005-0000-0000-00006F9D0000}"/>
    <cellStyle name="Total 4 2 3 2 2 4" xfId="14256" xr:uid="{00000000-0005-0000-0000-0000709D0000}"/>
    <cellStyle name="Total 4 2 3 2 3" xfId="6896" xr:uid="{00000000-0005-0000-0000-0000719D0000}"/>
    <cellStyle name="Total 4 2 3 2 3 2" xfId="25868" xr:uid="{00000000-0005-0000-0000-0000729D0000}"/>
    <cellStyle name="Total 4 2 3 2 3 3" xfId="36713" xr:uid="{00000000-0005-0000-0000-0000739D0000}"/>
    <cellStyle name="Total 4 2 3 2 3 4" xfId="16171" xr:uid="{00000000-0005-0000-0000-0000749D0000}"/>
    <cellStyle name="Total 4 2 3 2 4" xfId="9555" xr:uid="{00000000-0005-0000-0000-0000759D0000}"/>
    <cellStyle name="Total 4 2 3 2 4 2" xfId="28527" xr:uid="{00000000-0005-0000-0000-0000769D0000}"/>
    <cellStyle name="Total 4 2 3 2 4 3" xfId="39372" xr:uid="{00000000-0005-0000-0000-0000779D0000}"/>
    <cellStyle name="Total 4 2 3 2 4 4" xfId="18075" xr:uid="{00000000-0005-0000-0000-0000789D0000}"/>
    <cellStyle name="Total 4 2 3 2 5" xfId="20351" xr:uid="{00000000-0005-0000-0000-0000799D0000}"/>
    <cellStyle name="Total 4 2 3 2 6" xfId="31196" xr:uid="{00000000-0005-0000-0000-00007A9D0000}"/>
    <cellStyle name="Total 4 2 3 2 7" xfId="12221" xr:uid="{00000000-0005-0000-0000-00007B9D0000}"/>
    <cellStyle name="Total 4 2 3 3" xfId="1769" xr:uid="{00000000-0005-0000-0000-00007C9D0000}"/>
    <cellStyle name="Total 4 2 3 3 2" xfId="4622" xr:uid="{00000000-0005-0000-0000-00007D9D0000}"/>
    <cellStyle name="Total 4 2 3 3 2 2" xfId="23594" xr:uid="{00000000-0005-0000-0000-00007E9D0000}"/>
    <cellStyle name="Total 4 2 3 3 2 3" xfId="34439" xr:uid="{00000000-0005-0000-0000-00007F9D0000}"/>
    <cellStyle name="Total 4 2 3 3 2 4" xfId="14543" xr:uid="{00000000-0005-0000-0000-0000809D0000}"/>
    <cellStyle name="Total 4 2 3 3 3" xfId="7294" xr:uid="{00000000-0005-0000-0000-0000819D0000}"/>
    <cellStyle name="Total 4 2 3 3 3 2" xfId="26266" xr:uid="{00000000-0005-0000-0000-0000829D0000}"/>
    <cellStyle name="Total 4 2 3 3 3 3" xfId="37111" xr:uid="{00000000-0005-0000-0000-0000839D0000}"/>
    <cellStyle name="Total 4 2 3 3 3 4" xfId="16457" xr:uid="{00000000-0005-0000-0000-0000849D0000}"/>
    <cellStyle name="Total 4 2 3 3 4" xfId="9953" xr:uid="{00000000-0005-0000-0000-0000859D0000}"/>
    <cellStyle name="Total 4 2 3 3 4 2" xfId="28925" xr:uid="{00000000-0005-0000-0000-0000869D0000}"/>
    <cellStyle name="Total 4 2 3 3 4 3" xfId="39770" xr:uid="{00000000-0005-0000-0000-0000879D0000}"/>
    <cellStyle name="Total 4 2 3 3 4 4" xfId="18361" xr:uid="{00000000-0005-0000-0000-0000889D0000}"/>
    <cellStyle name="Total 4 2 3 3 5" xfId="20749" xr:uid="{00000000-0005-0000-0000-0000899D0000}"/>
    <cellStyle name="Total 4 2 3 3 6" xfId="31594" xr:uid="{00000000-0005-0000-0000-00008A9D0000}"/>
    <cellStyle name="Total 4 2 3 3 7" xfId="12507" xr:uid="{00000000-0005-0000-0000-00008B9D0000}"/>
    <cellStyle name="Total 4 2 3 4" xfId="2173" xr:uid="{00000000-0005-0000-0000-00008C9D0000}"/>
    <cellStyle name="Total 4 2 3 4 2" xfId="5026" xr:uid="{00000000-0005-0000-0000-00008D9D0000}"/>
    <cellStyle name="Total 4 2 3 4 2 2" xfId="23998" xr:uid="{00000000-0005-0000-0000-00008E9D0000}"/>
    <cellStyle name="Total 4 2 3 4 2 3" xfId="34843" xr:uid="{00000000-0005-0000-0000-00008F9D0000}"/>
    <cellStyle name="Total 4 2 3 4 2 4" xfId="14830" xr:uid="{00000000-0005-0000-0000-0000909D0000}"/>
    <cellStyle name="Total 4 2 3 4 3" xfId="7697" xr:uid="{00000000-0005-0000-0000-0000919D0000}"/>
    <cellStyle name="Total 4 2 3 4 3 2" xfId="26669" xr:uid="{00000000-0005-0000-0000-0000929D0000}"/>
    <cellStyle name="Total 4 2 3 4 3 3" xfId="37514" xr:uid="{00000000-0005-0000-0000-0000939D0000}"/>
    <cellStyle name="Total 4 2 3 4 3 4" xfId="16743" xr:uid="{00000000-0005-0000-0000-0000949D0000}"/>
    <cellStyle name="Total 4 2 3 4 4" xfId="10356" xr:uid="{00000000-0005-0000-0000-0000959D0000}"/>
    <cellStyle name="Total 4 2 3 4 4 2" xfId="29328" xr:uid="{00000000-0005-0000-0000-0000969D0000}"/>
    <cellStyle name="Total 4 2 3 4 4 3" xfId="40173" xr:uid="{00000000-0005-0000-0000-0000979D0000}"/>
    <cellStyle name="Total 4 2 3 4 4 4" xfId="18647" xr:uid="{00000000-0005-0000-0000-0000989D0000}"/>
    <cellStyle name="Total 4 2 3 4 5" xfId="21152" xr:uid="{00000000-0005-0000-0000-0000999D0000}"/>
    <cellStyle name="Total 4 2 3 4 6" xfId="31997" xr:uid="{00000000-0005-0000-0000-00009A9D0000}"/>
    <cellStyle name="Total 4 2 3 4 7" xfId="12793" xr:uid="{00000000-0005-0000-0000-00009B9D0000}"/>
    <cellStyle name="Total 4 2 3 5" xfId="2563" xr:uid="{00000000-0005-0000-0000-00009C9D0000}"/>
    <cellStyle name="Total 4 2 3 5 2" xfId="5415" xr:uid="{00000000-0005-0000-0000-00009D9D0000}"/>
    <cellStyle name="Total 4 2 3 5 2 2" xfId="24387" xr:uid="{00000000-0005-0000-0000-00009E9D0000}"/>
    <cellStyle name="Total 4 2 3 5 2 3" xfId="35232" xr:uid="{00000000-0005-0000-0000-00009F9D0000}"/>
    <cellStyle name="Total 4 2 3 5 2 4" xfId="15109" xr:uid="{00000000-0005-0000-0000-0000A09D0000}"/>
    <cellStyle name="Total 4 2 3 5 3" xfId="8086" xr:uid="{00000000-0005-0000-0000-0000A19D0000}"/>
    <cellStyle name="Total 4 2 3 5 3 2" xfId="27058" xr:uid="{00000000-0005-0000-0000-0000A29D0000}"/>
    <cellStyle name="Total 4 2 3 5 3 3" xfId="37903" xr:uid="{00000000-0005-0000-0000-0000A39D0000}"/>
    <cellStyle name="Total 4 2 3 5 3 4" xfId="17022" xr:uid="{00000000-0005-0000-0000-0000A49D0000}"/>
    <cellStyle name="Total 4 2 3 5 4" xfId="10745" xr:uid="{00000000-0005-0000-0000-0000A59D0000}"/>
    <cellStyle name="Total 4 2 3 5 4 2" xfId="29717" xr:uid="{00000000-0005-0000-0000-0000A69D0000}"/>
    <cellStyle name="Total 4 2 3 5 4 3" xfId="40562" xr:uid="{00000000-0005-0000-0000-0000A79D0000}"/>
    <cellStyle name="Total 4 2 3 5 4 4" xfId="18926" xr:uid="{00000000-0005-0000-0000-0000A89D0000}"/>
    <cellStyle name="Total 4 2 3 5 5" xfId="21541" xr:uid="{00000000-0005-0000-0000-0000A99D0000}"/>
    <cellStyle name="Total 4 2 3 5 6" xfId="32386" xr:uid="{00000000-0005-0000-0000-0000AA9D0000}"/>
    <cellStyle name="Total 4 2 3 5 7" xfId="13072" xr:uid="{00000000-0005-0000-0000-0000AB9D0000}"/>
    <cellStyle name="Total 4 2 3 6" xfId="2949" xr:uid="{00000000-0005-0000-0000-0000AC9D0000}"/>
    <cellStyle name="Total 4 2 3 6 2" xfId="5800" xr:uid="{00000000-0005-0000-0000-0000AD9D0000}"/>
    <cellStyle name="Total 4 2 3 6 2 2" xfId="24772" xr:uid="{00000000-0005-0000-0000-0000AE9D0000}"/>
    <cellStyle name="Total 4 2 3 6 2 3" xfId="35617" xr:uid="{00000000-0005-0000-0000-0000AF9D0000}"/>
    <cellStyle name="Total 4 2 3 6 2 4" xfId="15385" xr:uid="{00000000-0005-0000-0000-0000B09D0000}"/>
    <cellStyle name="Total 4 2 3 6 3" xfId="8471" xr:uid="{00000000-0005-0000-0000-0000B19D0000}"/>
    <cellStyle name="Total 4 2 3 6 3 2" xfId="27443" xr:uid="{00000000-0005-0000-0000-0000B29D0000}"/>
    <cellStyle name="Total 4 2 3 6 3 3" xfId="38288" xr:uid="{00000000-0005-0000-0000-0000B39D0000}"/>
    <cellStyle name="Total 4 2 3 6 3 4" xfId="17298" xr:uid="{00000000-0005-0000-0000-0000B49D0000}"/>
    <cellStyle name="Total 4 2 3 6 4" xfId="11130" xr:uid="{00000000-0005-0000-0000-0000B59D0000}"/>
    <cellStyle name="Total 4 2 3 6 4 2" xfId="30102" xr:uid="{00000000-0005-0000-0000-0000B69D0000}"/>
    <cellStyle name="Total 4 2 3 6 4 3" xfId="40947" xr:uid="{00000000-0005-0000-0000-0000B79D0000}"/>
    <cellStyle name="Total 4 2 3 6 4 4" xfId="19202" xr:uid="{00000000-0005-0000-0000-0000B89D0000}"/>
    <cellStyle name="Total 4 2 3 6 5" xfId="21926" xr:uid="{00000000-0005-0000-0000-0000B99D0000}"/>
    <cellStyle name="Total 4 2 3 6 6" xfId="32771" xr:uid="{00000000-0005-0000-0000-0000BA9D0000}"/>
    <cellStyle name="Total 4 2 3 6 7" xfId="13348" xr:uid="{00000000-0005-0000-0000-0000BB9D0000}"/>
    <cellStyle name="Total 4 2 3 7" xfId="3638" xr:uid="{00000000-0005-0000-0000-0000BC9D0000}"/>
    <cellStyle name="Total 4 2 3 7 2" xfId="22610" xr:uid="{00000000-0005-0000-0000-0000BD9D0000}"/>
    <cellStyle name="Total 4 2 3 7 3" xfId="33455" xr:uid="{00000000-0005-0000-0000-0000BE9D0000}"/>
    <cellStyle name="Total 4 2 3 7 4" xfId="13829" xr:uid="{00000000-0005-0000-0000-0000BF9D0000}"/>
    <cellStyle name="Total 4 2 3 8" xfId="6313" xr:uid="{00000000-0005-0000-0000-0000C09D0000}"/>
    <cellStyle name="Total 4 2 3 8 2" xfId="25285" xr:uid="{00000000-0005-0000-0000-0000C19D0000}"/>
    <cellStyle name="Total 4 2 3 8 3" xfId="36130" xr:uid="{00000000-0005-0000-0000-0000C29D0000}"/>
    <cellStyle name="Total 4 2 3 8 4" xfId="15745" xr:uid="{00000000-0005-0000-0000-0000C39D0000}"/>
    <cellStyle name="Total 4 2 3 9" xfId="8972" xr:uid="{00000000-0005-0000-0000-0000C49D0000}"/>
    <cellStyle name="Total 4 2 3 9 2" xfId="27944" xr:uid="{00000000-0005-0000-0000-0000C59D0000}"/>
    <cellStyle name="Total 4 2 3 9 3" xfId="38789" xr:uid="{00000000-0005-0000-0000-0000C69D0000}"/>
    <cellStyle name="Total 4 2 3 9 4" xfId="17649" xr:uid="{00000000-0005-0000-0000-0000C79D0000}"/>
    <cellStyle name="Total 4 2 4" xfId="842" xr:uid="{00000000-0005-0000-0000-0000C89D0000}"/>
    <cellStyle name="Total 4 2 4 10" xfId="19827" xr:uid="{00000000-0005-0000-0000-0000C99D0000}"/>
    <cellStyle name="Total 4 2 4 11" xfId="30672" xr:uid="{00000000-0005-0000-0000-0000CA9D0000}"/>
    <cellStyle name="Total 4 2 4 12" xfId="11834" xr:uid="{00000000-0005-0000-0000-0000CB9D0000}"/>
    <cellStyle name="Total 4 2 4 2" xfId="1429" xr:uid="{00000000-0005-0000-0000-0000CC9D0000}"/>
    <cellStyle name="Total 4 2 4 2 2" xfId="4282" xr:uid="{00000000-0005-0000-0000-0000CD9D0000}"/>
    <cellStyle name="Total 4 2 4 2 2 2" xfId="23254" xr:uid="{00000000-0005-0000-0000-0000CE9D0000}"/>
    <cellStyle name="Total 4 2 4 2 2 3" xfId="34099" xr:uid="{00000000-0005-0000-0000-0000CF9D0000}"/>
    <cellStyle name="Total 4 2 4 2 2 4" xfId="14295" xr:uid="{00000000-0005-0000-0000-0000D09D0000}"/>
    <cellStyle name="Total 4 2 4 2 3" xfId="6955" xr:uid="{00000000-0005-0000-0000-0000D19D0000}"/>
    <cellStyle name="Total 4 2 4 2 3 2" xfId="25927" xr:uid="{00000000-0005-0000-0000-0000D29D0000}"/>
    <cellStyle name="Total 4 2 4 2 3 3" xfId="36772" xr:uid="{00000000-0005-0000-0000-0000D39D0000}"/>
    <cellStyle name="Total 4 2 4 2 3 4" xfId="16210" xr:uid="{00000000-0005-0000-0000-0000D49D0000}"/>
    <cellStyle name="Total 4 2 4 2 4" xfId="9614" xr:uid="{00000000-0005-0000-0000-0000D59D0000}"/>
    <cellStyle name="Total 4 2 4 2 4 2" xfId="28586" xr:uid="{00000000-0005-0000-0000-0000D69D0000}"/>
    <cellStyle name="Total 4 2 4 2 4 3" xfId="39431" xr:uid="{00000000-0005-0000-0000-0000D79D0000}"/>
    <cellStyle name="Total 4 2 4 2 4 4" xfId="18114" xr:uid="{00000000-0005-0000-0000-0000D89D0000}"/>
    <cellStyle name="Total 4 2 4 2 5" xfId="20410" xr:uid="{00000000-0005-0000-0000-0000D99D0000}"/>
    <cellStyle name="Total 4 2 4 2 6" xfId="31255" xr:uid="{00000000-0005-0000-0000-0000DA9D0000}"/>
    <cellStyle name="Total 4 2 4 2 7" xfId="12260" xr:uid="{00000000-0005-0000-0000-0000DB9D0000}"/>
    <cellStyle name="Total 4 2 4 3" xfId="1828" xr:uid="{00000000-0005-0000-0000-0000DC9D0000}"/>
    <cellStyle name="Total 4 2 4 3 2" xfId="4681" xr:uid="{00000000-0005-0000-0000-0000DD9D0000}"/>
    <cellStyle name="Total 4 2 4 3 2 2" xfId="23653" xr:uid="{00000000-0005-0000-0000-0000DE9D0000}"/>
    <cellStyle name="Total 4 2 4 3 2 3" xfId="34498" xr:uid="{00000000-0005-0000-0000-0000DF9D0000}"/>
    <cellStyle name="Total 4 2 4 3 2 4" xfId="14582" xr:uid="{00000000-0005-0000-0000-0000E09D0000}"/>
    <cellStyle name="Total 4 2 4 3 3" xfId="7353" xr:uid="{00000000-0005-0000-0000-0000E19D0000}"/>
    <cellStyle name="Total 4 2 4 3 3 2" xfId="26325" xr:uid="{00000000-0005-0000-0000-0000E29D0000}"/>
    <cellStyle name="Total 4 2 4 3 3 3" xfId="37170" xr:uid="{00000000-0005-0000-0000-0000E39D0000}"/>
    <cellStyle name="Total 4 2 4 3 3 4" xfId="16496" xr:uid="{00000000-0005-0000-0000-0000E49D0000}"/>
    <cellStyle name="Total 4 2 4 3 4" xfId="10012" xr:uid="{00000000-0005-0000-0000-0000E59D0000}"/>
    <cellStyle name="Total 4 2 4 3 4 2" xfId="28984" xr:uid="{00000000-0005-0000-0000-0000E69D0000}"/>
    <cellStyle name="Total 4 2 4 3 4 3" xfId="39829" xr:uid="{00000000-0005-0000-0000-0000E79D0000}"/>
    <cellStyle name="Total 4 2 4 3 4 4" xfId="18400" xr:uid="{00000000-0005-0000-0000-0000E89D0000}"/>
    <cellStyle name="Total 4 2 4 3 5" xfId="20808" xr:uid="{00000000-0005-0000-0000-0000E99D0000}"/>
    <cellStyle name="Total 4 2 4 3 6" xfId="31653" xr:uid="{00000000-0005-0000-0000-0000EA9D0000}"/>
    <cellStyle name="Total 4 2 4 3 7" xfId="12546" xr:uid="{00000000-0005-0000-0000-0000EB9D0000}"/>
    <cellStyle name="Total 4 2 4 4" xfId="2232" xr:uid="{00000000-0005-0000-0000-0000EC9D0000}"/>
    <cellStyle name="Total 4 2 4 4 2" xfId="5085" xr:uid="{00000000-0005-0000-0000-0000ED9D0000}"/>
    <cellStyle name="Total 4 2 4 4 2 2" xfId="24057" xr:uid="{00000000-0005-0000-0000-0000EE9D0000}"/>
    <cellStyle name="Total 4 2 4 4 2 3" xfId="34902" xr:uid="{00000000-0005-0000-0000-0000EF9D0000}"/>
    <cellStyle name="Total 4 2 4 4 2 4" xfId="14869" xr:uid="{00000000-0005-0000-0000-0000F09D0000}"/>
    <cellStyle name="Total 4 2 4 4 3" xfId="7756" xr:uid="{00000000-0005-0000-0000-0000F19D0000}"/>
    <cellStyle name="Total 4 2 4 4 3 2" xfId="26728" xr:uid="{00000000-0005-0000-0000-0000F29D0000}"/>
    <cellStyle name="Total 4 2 4 4 3 3" xfId="37573" xr:uid="{00000000-0005-0000-0000-0000F39D0000}"/>
    <cellStyle name="Total 4 2 4 4 3 4" xfId="16782" xr:uid="{00000000-0005-0000-0000-0000F49D0000}"/>
    <cellStyle name="Total 4 2 4 4 4" xfId="10415" xr:uid="{00000000-0005-0000-0000-0000F59D0000}"/>
    <cellStyle name="Total 4 2 4 4 4 2" xfId="29387" xr:uid="{00000000-0005-0000-0000-0000F69D0000}"/>
    <cellStyle name="Total 4 2 4 4 4 3" xfId="40232" xr:uid="{00000000-0005-0000-0000-0000F79D0000}"/>
    <cellStyle name="Total 4 2 4 4 4 4" xfId="18686" xr:uid="{00000000-0005-0000-0000-0000F89D0000}"/>
    <cellStyle name="Total 4 2 4 4 5" xfId="21211" xr:uid="{00000000-0005-0000-0000-0000F99D0000}"/>
    <cellStyle name="Total 4 2 4 4 6" xfId="32056" xr:uid="{00000000-0005-0000-0000-0000FA9D0000}"/>
    <cellStyle name="Total 4 2 4 4 7" xfId="12832" xr:uid="{00000000-0005-0000-0000-0000FB9D0000}"/>
    <cellStyle name="Total 4 2 4 5" xfId="2622" xr:uid="{00000000-0005-0000-0000-0000FC9D0000}"/>
    <cellStyle name="Total 4 2 4 5 2" xfId="5474" xr:uid="{00000000-0005-0000-0000-0000FD9D0000}"/>
    <cellStyle name="Total 4 2 4 5 2 2" xfId="24446" xr:uid="{00000000-0005-0000-0000-0000FE9D0000}"/>
    <cellStyle name="Total 4 2 4 5 2 3" xfId="35291" xr:uid="{00000000-0005-0000-0000-0000FF9D0000}"/>
    <cellStyle name="Total 4 2 4 5 2 4" xfId="15148" xr:uid="{00000000-0005-0000-0000-0000009E0000}"/>
    <cellStyle name="Total 4 2 4 5 3" xfId="8145" xr:uid="{00000000-0005-0000-0000-0000019E0000}"/>
    <cellStyle name="Total 4 2 4 5 3 2" xfId="27117" xr:uid="{00000000-0005-0000-0000-0000029E0000}"/>
    <cellStyle name="Total 4 2 4 5 3 3" xfId="37962" xr:uid="{00000000-0005-0000-0000-0000039E0000}"/>
    <cellStyle name="Total 4 2 4 5 3 4" xfId="17061" xr:uid="{00000000-0005-0000-0000-0000049E0000}"/>
    <cellStyle name="Total 4 2 4 5 4" xfId="10804" xr:uid="{00000000-0005-0000-0000-0000059E0000}"/>
    <cellStyle name="Total 4 2 4 5 4 2" xfId="29776" xr:uid="{00000000-0005-0000-0000-0000069E0000}"/>
    <cellStyle name="Total 4 2 4 5 4 3" xfId="40621" xr:uid="{00000000-0005-0000-0000-0000079E0000}"/>
    <cellStyle name="Total 4 2 4 5 4 4" xfId="18965" xr:uid="{00000000-0005-0000-0000-0000089E0000}"/>
    <cellStyle name="Total 4 2 4 5 5" xfId="21600" xr:uid="{00000000-0005-0000-0000-0000099E0000}"/>
    <cellStyle name="Total 4 2 4 5 6" xfId="32445" xr:uid="{00000000-0005-0000-0000-00000A9E0000}"/>
    <cellStyle name="Total 4 2 4 5 7" xfId="13111" xr:uid="{00000000-0005-0000-0000-00000B9E0000}"/>
    <cellStyle name="Total 4 2 4 6" xfId="3008" xr:uid="{00000000-0005-0000-0000-00000C9E0000}"/>
    <cellStyle name="Total 4 2 4 6 2" xfId="5859" xr:uid="{00000000-0005-0000-0000-00000D9E0000}"/>
    <cellStyle name="Total 4 2 4 6 2 2" xfId="24831" xr:uid="{00000000-0005-0000-0000-00000E9E0000}"/>
    <cellStyle name="Total 4 2 4 6 2 3" xfId="35676" xr:uid="{00000000-0005-0000-0000-00000F9E0000}"/>
    <cellStyle name="Total 4 2 4 6 2 4" xfId="15424" xr:uid="{00000000-0005-0000-0000-0000109E0000}"/>
    <cellStyle name="Total 4 2 4 6 3" xfId="8530" xr:uid="{00000000-0005-0000-0000-0000119E0000}"/>
    <cellStyle name="Total 4 2 4 6 3 2" xfId="27502" xr:uid="{00000000-0005-0000-0000-0000129E0000}"/>
    <cellStyle name="Total 4 2 4 6 3 3" xfId="38347" xr:uid="{00000000-0005-0000-0000-0000139E0000}"/>
    <cellStyle name="Total 4 2 4 6 3 4" xfId="17337" xr:uid="{00000000-0005-0000-0000-0000149E0000}"/>
    <cellStyle name="Total 4 2 4 6 4" xfId="11189" xr:uid="{00000000-0005-0000-0000-0000159E0000}"/>
    <cellStyle name="Total 4 2 4 6 4 2" xfId="30161" xr:uid="{00000000-0005-0000-0000-0000169E0000}"/>
    <cellStyle name="Total 4 2 4 6 4 3" xfId="41006" xr:uid="{00000000-0005-0000-0000-0000179E0000}"/>
    <cellStyle name="Total 4 2 4 6 4 4" xfId="19241" xr:uid="{00000000-0005-0000-0000-0000189E0000}"/>
    <cellStyle name="Total 4 2 4 6 5" xfId="21985" xr:uid="{00000000-0005-0000-0000-0000199E0000}"/>
    <cellStyle name="Total 4 2 4 6 6" xfId="32830" xr:uid="{00000000-0005-0000-0000-00001A9E0000}"/>
    <cellStyle name="Total 4 2 4 6 7" xfId="13387" xr:uid="{00000000-0005-0000-0000-00001B9E0000}"/>
    <cellStyle name="Total 4 2 4 7" xfId="3697" xr:uid="{00000000-0005-0000-0000-00001C9E0000}"/>
    <cellStyle name="Total 4 2 4 7 2" xfId="22669" xr:uid="{00000000-0005-0000-0000-00001D9E0000}"/>
    <cellStyle name="Total 4 2 4 7 3" xfId="33514" xr:uid="{00000000-0005-0000-0000-00001E9E0000}"/>
    <cellStyle name="Total 4 2 4 7 4" xfId="13868" xr:uid="{00000000-0005-0000-0000-00001F9E0000}"/>
    <cellStyle name="Total 4 2 4 8" xfId="6372" xr:uid="{00000000-0005-0000-0000-0000209E0000}"/>
    <cellStyle name="Total 4 2 4 8 2" xfId="25344" xr:uid="{00000000-0005-0000-0000-0000219E0000}"/>
    <cellStyle name="Total 4 2 4 8 3" xfId="36189" xr:uid="{00000000-0005-0000-0000-0000229E0000}"/>
    <cellStyle name="Total 4 2 4 8 4" xfId="15784" xr:uid="{00000000-0005-0000-0000-0000239E0000}"/>
    <cellStyle name="Total 4 2 4 9" xfId="9031" xr:uid="{00000000-0005-0000-0000-0000249E0000}"/>
    <cellStyle name="Total 4 2 4 9 2" xfId="28003" xr:uid="{00000000-0005-0000-0000-0000259E0000}"/>
    <cellStyle name="Total 4 2 4 9 3" xfId="38848" xr:uid="{00000000-0005-0000-0000-0000269E0000}"/>
    <cellStyle name="Total 4 2 4 9 4" xfId="17688" xr:uid="{00000000-0005-0000-0000-0000279E0000}"/>
    <cellStyle name="Total 4 2 5" xfId="901" xr:uid="{00000000-0005-0000-0000-0000289E0000}"/>
    <cellStyle name="Total 4 2 5 10" xfId="19886" xr:uid="{00000000-0005-0000-0000-0000299E0000}"/>
    <cellStyle name="Total 4 2 5 11" xfId="30731" xr:uid="{00000000-0005-0000-0000-00002A9E0000}"/>
    <cellStyle name="Total 4 2 5 12" xfId="11873" xr:uid="{00000000-0005-0000-0000-00002B9E0000}"/>
    <cellStyle name="Total 4 2 5 2" xfId="1488" xr:uid="{00000000-0005-0000-0000-00002C9E0000}"/>
    <cellStyle name="Total 4 2 5 2 2" xfId="4341" xr:uid="{00000000-0005-0000-0000-00002D9E0000}"/>
    <cellStyle name="Total 4 2 5 2 2 2" xfId="23313" xr:uid="{00000000-0005-0000-0000-00002E9E0000}"/>
    <cellStyle name="Total 4 2 5 2 2 3" xfId="34158" xr:uid="{00000000-0005-0000-0000-00002F9E0000}"/>
    <cellStyle name="Total 4 2 5 2 2 4" xfId="14334" xr:uid="{00000000-0005-0000-0000-0000309E0000}"/>
    <cellStyle name="Total 4 2 5 2 3" xfId="7014" xr:uid="{00000000-0005-0000-0000-0000319E0000}"/>
    <cellStyle name="Total 4 2 5 2 3 2" xfId="25986" xr:uid="{00000000-0005-0000-0000-0000329E0000}"/>
    <cellStyle name="Total 4 2 5 2 3 3" xfId="36831" xr:uid="{00000000-0005-0000-0000-0000339E0000}"/>
    <cellStyle name="Total 4 2 5 2 3 4" xfId="16249" xr:uid="{00000000-0005-0000-0000-0000349E0000}"/>
    <cellStyle name="Total 4 2 5 2 4" xfId="9673" xr:uid="{00000000-0005-0000-0000-0000359E0000}"/>
    <cellStyle name="Total 4 2 5 2 4 2" xfId="28645" xr:uid="{00000000-0005-0000-0000-0000369E0000}"/>
    <cellStyle name="Total 4 2 5 2 4 3" xfId="39490" xr:uid="{00000000-0005-0000-0000-0000379E0000}"/>
    <cellStyle name="Total 4 2 5 2 4 4" xfId="18153" xr:uid="{00000000-0005-0000-0000-0000389E0000}"/>
    <cellStyle name="Total 4 2 5 2 5" xfId="20469" xr:uid="{00000000-0005-0000-0000-0000399E0000}"/>
    <cellStyle name="Total 4 2 5 2 6" xfId="31314" xr:uid="{00000000-0005-0000-0000-00003A9E0000}"/>
    <cellStyle name="Total 4 2 5 2 7" xfId="12299" xr:uid="{00000000-0005-0000-0000-00003B9E0000}"/>
    <cellStyle name="Total 4 2 5 3" xfId="1887" xr:uid="{00000000-0005-0000-0000-00003C9E0000}"/>
    <cellStyle name="Total 4 2 5 3 2" xfId="4740" xr:uid="{00000000-0005-0000-0000-00003D9E0000}"/>
    <cellStyle name="Total 4 2 5 3 2 2" xfId="23712" xr:uid="{00000000-0005-0000-0000-00003E9E0000}"/>
    <cellStyle name="Total 4 2 5 3 2 3" xfId="34557" xr:uid="{00000000-0005-0000-0000-00003F9E0000}"/>
    <cellStyle name="Total 4 2 5 3 2 4" xfId="14621" xr:uid="{00000000-0005-0000-0000-0000409E0000}"/>
    <cellStyle name="Total 4 2 5 3 3" xfId="7412" xr:uid="{00000000-0005-0000-0000-0000419E0000}"/>
    <cellStyle name="Total 4 2 5 3 3 2" xfId="26384" xr:uid="{00000000-0005-0000-0000-0000429E0000}"/>
    <cellStyle name="Total 4 2 5 3 3 3" xfId="37229" xr:uid="{00000000-0005-0000-0000-0000439E0000}"/>
    <cellStyle name="Total 4 2 5 3 3 4" xfId="16535" xr:uid="{00000000-0005-0000-0000-0000449E0000}"/>
    <cellStyle name="Total 4 2 5 3 4" xfId="10071" xr:uid="{00000000-0005-0000-0000-0000459E0000}"/>
    <cellStyle name="Total 4 2 5 3 4 2" xfId="29043" xr:uid="{00000000-0005-0000-0000-0000469E0000}"/>
    <cellStyle name="Total 4 2 5 3 4 3" xfId="39888" xr:uid="{00000000-0005-0000-0000-0000479E0000}"/>
    <cellStyle name="Total 4 2 5 3 4 4" xfId="18439" xr:uid="{00000000-0005-0000-0000-0000489E0000}"/>
    <cellStyle name="Total 4 2 5 3 5" xfId="20867" xr:uid="{00000000-0005-0000-0000-0000499E0000}"/>
    <cellStyle name="Total 4 2 5 3 6" xfId="31712" xr:uid="{00000000-0005-0000-0000-00004A9E0000}"/>
    <cellStyle name="Total 4 2 5 3 7" xfId="12585" xr:uid="{00000000-0005-0000-0000-00004B9E0000}"/>
    <cellStyle name="Total 4 2 5 4" xfId="2291" xr:uid="{00000000-0005-0000-0000-00004C9E0000}"/>
    <cellStyle name="Total 4 2 5 4 2" xfId="5144" xr:uid="{00000000-0005-0000-0000-00004D9E0000}"/>
    <cellStyle name="Total 4 2 5 4 2 2" xfId="24116" xr:uid="{00000000-0005-0000-0000-00004E9E0000}"/>
    <cellStyle name="Total 4 2 5 4 2 3" xfId="34961" xr:uid="{00000000-0005-0000-0000-00004F9E0000}"/>
    <cellStyle name="Total 4 2 5 4 2 4" xfId="14908" xr:uid="{00000000-0005-0000-0000-0000509E0000}"/>
    <cellStyle name="Total 4 2 5 4 3" xfId="7815" xr:uid="{00000000-0005-0000-0000-0000519E0000}"/>
    <cellStyle name="Total 4 2 5 4 3 2" xfId="26787" xr:uid="{00000000-0005-0000-0000-0000529E0000}"/>
    <cellStyle name="Total 4 2 5 4 3 3" xfId="37632" xr:uid="{00000000-0005-0000-0000-0000539E0000}"/>
    <cellStyle name="Total 4 2 5 4 3 4" xfId="16821" xr:uid="{00000000-0005-0000-0000-0000549E0000}"/>
    <cellStyle name="Total 4 2 5 4 4" xfId="10474" xr:uid="{00000000-0005-0000-0000-0000559E0000}"/>
    <cellStyle name="Total 4 2 5 4 4 2" xfId="29446" xr:uid="{00000000-0005-0000-0000-0000569E0000}"/>
    <cellStyle name="Total 4 2 5 4 4 3" xfId="40291" xr:uid="{00000000-0005-0000-0000-0000579E0000}"/>
    <cellStyle name="Total 4 2 5 4 4 4" xfId="18725" xr:uid="{00000000-0005-0000-0000-0000589E0000}"/>
    <cellStyle name="Total 4 2 5 4 5" xfId="21270" xr:uid="{00000000-0005-0000-0000-0000599E0000}"/>
    <cellStyle name="Total 4 2 5 4 6" xfId="32115" xr:uid="{00000000-0005-0000-0000-00005A9E0000}"/>
    <cellStyle name="Total 4 2 5 4 7" xfId="12871" xr:uid="{00000000-0005-0000-0000-00005B9E0000}"/>
    <cellStyle name="Total 4 2 5 5" xfId="2681" xr:uid="{00000000-0005-0000-0000-00005C9E0000}"/>
    <cellStyle name="Total 4 2 5 5 2" xfId="5533" xr:uid="{00000000-0005-0000-0000-00005D9E0000}"/>
    <cellStyle name="Total 4 2 5 5 2 2" xfId="24505" xr:uid="{00000000-0005-0000-0000-00005E9E0000}"/>
    <cellStyle name="Total 4 2 5 5 2 3" xfId="35350" xr:uid="{00000000-0005-0000-0000-00005F9E0000}"/>
    <cellStyle name="Total 4 2 5 5 2 4" xfId="15187" xr:uid="{00000000-0005-0000-0000-0000609E0000}"/>
    <cellStyle name="Total 4 2 5 5 3" xfId="8204" xr:uid="{00000000-0005-0000-0000-0000619E0000}"/>
    <cellStyle name="Total 4 2 5 5 3 2" xfId="27176" xr:uid="{00000000-0005-0000-0000-0000629E0000}"/>
    <cellStyle name="Total 4 2 5 5 3 3" xfId="38021" xr:uid="{00000000-0005-0000-0000-0000639E0000}"/>
    <cellStyle name="Total 4 2 5 5 3 4" xfId="17100" xr:uid="{00000000-0005-0000-0000-0000649E0000}"/>
    <cellStyle name="Total 4 2 5 5 4" xfId="10863" xr:uid="{00000000-0005-0000-0000-0000659E0000}"/>
    <cellStyle name="Total 4 2 5 5 4 2" xfId="29835" xr:uid="{00000000-0005-0000-0000-0000669E0000}"/>
    <cellStyle name="Total 4 2 5 5 4 3" xfId="40680" xr:uid="{00000000-0005-0000-0000-0000679E0000}"/>
    <cellStyle name="Total 4 2 5 5 4 4" xfId="19004" xr:uid="{00000000-0005-0000-0000-0000689E0000}"/>
    <cellStyle name="Total 4 2 5 5 5" xfId="21659" xr:uid="{00000000-0005-0000-0000-0000699E0000}"/>
    <cellStyle name="Total 4 2 5 5 6" xfId="32504" xr:uid="{00000000-0005-0000-0000-00006A9E0000}"/>
    <cellStyle name="Total 4 2 5 5 7" xfId="13150" xr:uid="{00000000-0005-0000-0000-00006B9E0000}"/>
    <cellStyle name="Total 4 2 5 6" xfId="3067" xr:uid="{00000000-0005-0000-0000-00006C9E0000}"/>
    <cellStyle name="Total 4 2 5 6 2" xfId="5918" xr:uid="{00000000-0005-0000-0000-00006D9E0000}"/>
    <cellStyle name="Total 4 2 5 6 2 2" xfId="24890" xr:uid="{00000000-0005-0000-0000-00006E9E0000}"/>
    <cellStyle name="Total 4 2 5 6 2 3" xfId="35735" xr:uid="{00000000-0005-0000-0000-00006F9E0000}"/>
    <cellStyle name="Total 4 2 5 6 2 4" xfId="15463" xr:uid="{00000000-0005-0000-0000-0000709E0000}"/>
    <cellStyle name="Total 4 2 5 6 3" xfId="8589" xr:uid="{00000000-0005-0000-0000-0000719E0000}"/>
    <cellStyle name="Total 4 2 5 6 3 2" xfId="27561" xr:uid="{00000000-0005-0000-0000-0000729E0000}"/>
    <cellStyle name="Total 4 2 5 6 3 3" xfId="38406" xr:uid="{00000000-0005-0000-0000-0000739E0000}"/>
    <cellStyle name="Total 4 2 5 6 3 4" xfId="17376" xr:uid="{00000000-0005-0000-0000-0000749E0000}"/>
    <cellStyle name="Total 4 2 5 6 4" xfId="11248" xr:uid="{00000000-0005-0000-0000-0000759E0000}"/>
    <cellStyle name="Total 4 2 5 6 4 2" xfId="30220" xr:uid="{00000000-0005-0000-0000-0000769E0000}"/>
    <cellStyle name="Total 4 2 5 6 4 3" xfId="41065" xr:uid="{00000000-0005-0000-0000-0000779E0000}"/>
    <cellStyle name="Total 4 2 5 6 4 4" xfId="19280" xr:uid="{00000000-0005-0000-0000-0000789E0000}"/>
    <cellStyle name="Total 4 2 5 6 5" xfId="22044" xr:uid="{00000000-0005-0000-0000-0000799E0000}"/>
    <cellStyle name="Total 4 2 5 6 6" xfId="32889" xr:uid="{00000000-0005-0000-0000-00007A9E0000}"/>
    <cellStyle name="Total 4 2 5 6 7" xfId="13426" xr:uid="{00000000-0005-0000-0000-00007B9E0000}"/>
    <cellStyle name="Total 4 2 5 7" xfId="3756" xr:uid="{00000000-0005-0000-0000-00007C9E0000}"/>
    <cellStyle name="Total 4 2 5 7 2" xfId="22728" xr:uid="{00000000-0005-0000-0000-00007D9E0000}"/>
    <cellStyle name="Total 4 2 5 7 3" xfId="33573" xr:uid="{00000000-0005-0000-0000-00007E9E0000}"/>
    <cellStyle name="Total 4 2 5 7 4" xfId="13907" xr:uid="{00000000-0005-0000-0000-00007F9E0000}"/>
    <cellStyle name="Total 4 2 5 8" xfId="6431" xr:uid="{00000000-0005-0000-0000-0000809E0000}"/>
    <cellStyle name="Total 4 2 5 8 2" xfId="25403" xr:uid="{00000000-0005-0000-0000-0000819E0000}"/>
    <cellStyle name="Total 4 2 5 8 3" xfId="36248" xr:uid="{00000000-0005-0000-0000-0000829E0000}"/>
    <cellStyle name="Total 4 2 5 8 4" xfId="15823" xr:uid="{00000000-0005-0000-0000-0000839E0000}"/>
    <cellStyle name="Total 4 2 5 9" xfId="9090" xr:uid="{00000000-0005-0000-0000-0000849E0000}"/>
    <cellStyle name="Total 4 2 5 9 2" xfId="28062" xr:uid="{00000000-0005-0000-0000-0000859E0000}"/>
    <cellStyle name="Total 4 2 5 9 3" xfId="38907" xr:uid="{00000000-0005-0000-0000-0000869E0000}"/>
    <cellStyle name="Total 4 2 5 9 4" xfId="17727" xr:uid="{00000000-0005-0000-0000-0000879E0000}"/>
    <cellStyle name="Total 4 2 6" xfId="1131" xr:uid="{00000000-0005-0000-0000-0000889E0000}"/>
    <cellStyle name="Total 4 2 6 2" xfId="3984" xr:uid="{00000000-0005-0000-0000-0000899E0000}"/>
    <cellStyle name="Total 4 2 6 2 2" xfId="22956" xr:uid="{00000000-0005-0000-0000-00008A9E0000}"/>
    <cellStyle name="Total 4 2 6 2 3" xfId="33801" xr:uid="{00000000-0005-0000-0000-00008B9E0000}"/>
    <cellStyle name="Total 4 2 6 2 4" xfId="14076" xr:uid="{00000000-0005-0000-0000-00008C9E0000}"/>
    <cellStyle name="Total 4 2 6 3" xfId="6657" xr:uid="{00000000-0005-0000-0000-00008D9E0000}"/>
    <cellStyle name="Total 4 2 6 3 2" xfId="25629" xr:uid="{00000000-0005-0000-0000-00008E9E0000}"/>
    <cellStyle name="Total 4 2 6 3 3" xfId="36474" xr:uid="{00000000-0005-0000-0000-00008F9E0000}"/>
    <cellStyle name="Total 4 2 6 3 4" xfId="15991" xr:uid="{00000000-0005-0000-0000-0000909E0000}"/>
    <cellStyle name="Total 4 2 6 4" xfId="9316" xr:uid="{00000000-0005-0000-0000-0000919E0000}"/>
    <cellStyle name="Total 4 2 6 4 2" xfId="28288" xr:uid="{00000000-0005-0000-0000-0000929E0000}"/>
    <cellStyle name="Total 4 2 6 4 3" xfId="39133" xr:uid="{00000000-0005-0000-0000-0000939E0000}"/>
    <cellStyle name="Total 4 2 6 4 4" xfId="17895" xr:uid="{00000000-0005-0000-0000-0000949E0000}"/>
    <cellStyle name="Total 4 2 6 5" xfId="20112" xr:uid="{00000000-0005-0000-0000-0000959E0000}"/>
    <cellStyle name="Total 4 2 6 6" xfId="30957" xr:uid="{00000000-0005-0000-0000-0000969E0000}"/>
    <cellStyle name="Total 4 2 6 7" xfId="12041" xr:uid="{00000000-0005-0000-0000-0000979E0000}"/>
    <cellStyle name="Total 4 2 7" xfId="1527" xr:uid="{00000000-0005-0000-0000-0000989E0000}"/>
    <cellStyle name="Total 4 2 7 2" xfId="4380" xr:uid="{00000000-0005-0000-0000-0000999E0000}"/>
    <cellStyle name="Total 4 2 7 2 2" xfId="23352" xr:uid="{00000000-0005-0000-0000-00009A9E0000}"/>
    <cellStyle name="Total 4 2 7 2 3" xfId="34197" xr:uid="{00000000-0005-0000-0000-00009B9E0000}"/>
    <cellStyle name="Total 4 2 7 2 4" xfId="14362" xr:uid="{00000000-0005-0000-0000-00009C9E0000}"/>
    <cellStyle name="Total 4 2 7 3" xfId="7053" xr:uid="{00000000-0005-0000-0000-00009D9E0000}"/>
    <cellStyle name="Total 4 2 7 3 2" xfId="26025" xr:uid="{00000000-0005-0000-0000-00009E9E0000}"/>
    <cellStyle name="Total 4 2 7 3 3" xfId="36870" xr:uid="{00000000-0005-0000-0000-00009F9E0000}"/>
    <cellStyle name="Total 4 2 7 3 4" xfId="16277" xr:uid="{00000000-0005-0000-0000-0000A09E0000}"/>
    <cellStyle name="Total 4 2 7 4" xfId="9712" xr:uid="{00000000-0005-0000-0000-0000A19E0000}"/>
    <cellStyle name="Total 4 2 7 4 2" xfId="28684" xr:uid="{00000000-0005-0000-0000-0000A29E0000}"/>
    <cellStyle name="Total 4 2 7 4 3" xfId="39529" xr:uid="{00000000-0005-0000-0000-0000A39E0000}"/>
    <cellStyle name="Total 4 2 7 4 4" xfId="18181" xr:uid="{00000000-0005-0000-0000-0000A49E0000}"/>
    <cellStyle name="Total 4 2 7 5" xfId="20508" xr:uid="{00000000-0005-0000-0000-0000A59E0000}"/>
    <cellStyle name="Total 4 2 7 6" xfId="31353" xr:uid="{00000000-0005-0000-0000-0000A69E0000}"/>
    <cellStyle name="Total 4 2 7 7" xfId="12327" xr:uid="{00000000-0005-0000-0000-0000A79E0000}"/>
    <cellStyle name="Total 4 2 8" xfId="1933" xr:uid="{00000000-0005-0000-0000-0000A89E0000}"/>
    <cellStyle name="Total 4 2 8 2" xfId="4786" xr:uid="{00000000-0005-0000-0000-0000A99E0000}"/>
    <cellStyle name="Total 4 2 8 2 2" xfId="23758" xr:uid="{00000000-0005-0000-0000-0000AA9E0000}"/>
    <cellStyle name="Total 4 2 8 2 3" xfId="34603" xr:uid="{00000000-0005-0000-0000-0000AB9E0000}"/>
    <cellStyle name="Total 4 2 8 2 4" xfId="14651" xr:uid="{00000000-0005-0000-0000-0000AC9E0000}"/>
    <cellStyle name="Total 4 2 8 3" xfId="7458" xr:uid="{00000000-0005-0000-0000-0000AD9E0000}"/>
    <cellStyle name="Total 4 2 8 3 2" xfId="26430" xr:uid="{00000000-0005-0000-0000-0000AE9E0000}"/>
    <cellStyle name="Total 4 2 8 3 3" xfId="37275" xr:uid="{00000000-0005-0000-0000-0000AF9E0000}"/>
    <cellStyle name="Total 4 2 8 3 4" xfId="16565" xr:uid="{00000000-0005-0000-0000-0000B09E0000}"/>
    <cellStyle name="Total 4 2 8 4" xfId="10117" xr:uid="{00000000-0005-0000-0000-0000B19E0000}"/>
    <cellStyle name="Total 4 2 8 4 2" xfId="29089" xr:uid="{00000000-0005-0000-0000-0000B29E0000}"/>
    <cellStyle name="Total 4 2 8 4 3" xfId="39934" xr:uid="{00000000-0005-0000-0000-0000B39E0000}"/>
    <cellStyle name="Total 4 2 8 4 4" xfId="18469" xr:uid="{00000000-0005-0000-0000-0000B49E0000}"/>
    <cellStyle name="Total 4 2 8 5" xfId="20913" xr:uid="{00000000-0005-0000-0000-0000B59E0000}"/>
    <cellStyle name="Total 4 2 8 6" xfId="31758" xr:uid="{00000000-0005-0000-0000-0000B69E0000}"/>
    <cellStyle name="Total 4 2 8 7" xfId="12615" xr:uid="{00000000-0005-0000-0000-0000B79E0000}"/>
    <cellStyle name="Total 4 2 9" xfId="2326" xr:uid="{00000000-0005-0000-0000-0000B89E0000}"/>
    <cellStyle name="Total 4 2 9 2" xfId="5179" xr:uid="{00000000-0005-0000-0000-0000B99E0000}"/>
    <cellStyle name="Total 4 2 9 2 2" xfId="24151" xr:uid="{00000000-0005-0000-0000-0000BA9E0000}"/>
    <cellStyle name="Total 4 2 9 2 3" xfId="34996" xr:uid="{00000000-0005-0000-0000-0000BB9E0000}"/>
    <cellStyle name="Total 4 2 9 2 4" xfId="14933" xr:uid="{00000000-0005-0000-0000-0000BC9E0000}"/>
    <cellStyle name="Total 4 2 9 3" xfId="7850" xr:uid="{00000000-0005-0000-0000-0000BD9E0000}"/>
    <cellStyle name="Total 4 2 9 3 2" xfId="26822" xr:uid="{00000000-0005-0000-0000-0000BE9E0000}"/>
    <cellStyle name="Total 4 2 9 3 3" xfId="37667" xr:uid="{00000000-0005-0000-0000-0000BF9E0000}"/>
    <cellStyle name="Total 4 2 9 3 4" xfId="16846" xr:uid="{00000000-0005-0000-0000-0000C09E0000}"/>
    <cellStyle name="Total 4 2 9 4" xfId="10509" xr:uid="{00000000-0005-0000-0000-0000C19E0000}"/>
    <cellStyle name="Total 4 2 9 4 2" xfId="29481" xr:uid="{00000000-0005-0000-0000-0000C29E0000}"/>
    <cellStyle name="Total 4 2 9 4 3" xfId="40326" xr:uid="{00000000-0005-0000-0000-0000C39E0000}"/>
    <cellStyle name="Total 4 2 9 4 4" xfId="18750" xr:uid="{00000000-0005-0000-0000-0000C49E0000}"/>
    <cellStyle name="Total 4 2 9 5" xfId="21305" xr:uid="{00000000-0005-0000-0000-0000C59E0000}"/>
    <cellStyle name="Total 4 2 9 6" xfId="32150" xr:uid="{00000000-0005-0000-0000-0000C69E0000}"/>
    <cellStyle name="Total 4 2 9 7" xfId="12896" xr:uid="{00000000-0005-0000-0000-0000C79E0000}"/>
    <cellStyle name="Total 4 3" xfId="621" xr:uid="{00000000-0005-0000-0000-0000C89E0000}"/>
    <cellStyle name="Total 4 3 10" xfId="19628" xr:uid="{00000000-0005-0000-0000-0000C99E0000}"/>
    <cellStyle name="Total 4 3 11" xfId="30473" xr:uid="{00000000-0005-0000-0000-0000CA9E0000}"/>
    <cellStyle name="Total 4 3 12" xfId="11676" xr:uid="{00000000-0005-0000-0000-0000CB9E0000}"/>
    <cellStyle name="Total 4 3 2" xfId="1225" xr:uid="{00000000-0005-0000-0000-0000CC9E0000}"/>
    <cellStyle name="Total 4 3 2 2" xfId="4078" xr:uid="{00000000-0005-0000-0000-0000CD9E0000}"/>
    <cellStyle name="Total 4 3 2 2 2" xfId="23050" xr:uid="{00000000-0005-0000-0000-0000CE9E0000}"/>
    <cellStyle name="Total 4 3 2 2 3" xfId="33895" xr:uid="{00000000-0005-0000-0000-0000CF9E0000}"/>
    <cellStyle name="Total 4 3 2 2 4" xfId="14151" xr:uid="{00000000-0005-0000-0000-0000D09E0000}"/>
    <cellStyle name="Total 4 3 2 3" xfId="6751" xr:uid="{00000000-0005-0000-0000-0000D19E0000}"/>
    <cellStyle name="Total 4 3 2 3 2" xfId="25723" xr:uid="{00000000-0005-0000-0000-0000D29E0000}"/>
    <cellStyle name="Total 4 3 2 3 3" xfId="36568" xr:uid="{00000000-0005-0000-0000-0000D39E0000}"/>
    <cellStyle name="Total 4 3 2 3 4" xfId="16066" xr:uid="{00000000-0005-0000-0000-0000D49E0000}"/>
    <cellStyle name="Total 4 3 2 4" xfId="9410" xr:uid="{00000000-0005-0000-0000-0000D59E0000}"/>
    <cellStyle name="Total 4 3 2 4 2" xfId="28382" xr:uid="{00000000-0005-0000-0000-0000D69E0000}"/>
    <cellStyle name="Total 4 3 2 4 3" xfId="39227" xr:uid="{00000000-0005-0000-0000-0000D79E0000}"/>
    <cellStyle name="Total 4 3 2 4 4" xfId="17970" xr:uid="{00000000-0005-0000-0000-0000D89E0000}"/>
    <cellStyle name="Total 4 3 2 5" xfId="20206" xr:uid="{00000000-0005-0000-0000-0000D99E0000}"/>
    <cellStyle name="Total 4 3 2 6" xfId="31051" xr:uid="{00000000-0005-0000-0000-0000DA9E0000}"/>
    <cellStyle name="Total 4 3 2 7" xfId="12116" xr:uid="{00000000-0005-0000-0000-0000DB9E0000}"/>
    <cellStyle name="Total 4 3 3" xfId="1623" xr:uid="{00000000-0005-0000-0000-0000DC9E0000}"/>
    <cellStyle name="Total 4 3 3 2" xfId="4476" xr:uid="{00000000-0005-0000-0000-0000DD9E0000}"/>
    <cellStyle name="Total 4 3 3 2 2" xfId="23448" xr:uid="{00000000-0005-0000-0000-0000DE9E0000}"/>
    <cellStyle name="Total 4 3 3 2 3" xfId="34293" xr:uid="{00000000-0005-0000-0000-0000DF9E0000}"/>
    <cellStyle name="Total 4 3 3 2 4" xfId="14438" xr:uid="{00000000-0005-0000-0000-0000E09E0000}"/>
    <cellStyle name="Total 4 3 3 3" xfId="7148" xr:uid="{00000000-0005-0000-0000-0000E19E0000}"/>
    <cellStyle name="Total 4 3 3 3 2" xfId="26120" xr:uid="{00000000-0005-0000-0000-0000E29E0000}"/>
    <cellStyle name="Total 4 3 3 3 3" xfId="36965" xr:uid="{00000000-0005-0000-0000-0000E39E0000}"/>
    <cellStyle name="Total 4 3 3 3 4" xfId="16352" xr:uid="{00000000-0005-0000-0000-0000E49E0000}"/>
    <cellStyle name="Total 4 3 3 4" xfId="9807" xr:uid="{00000000-0005-0000-0000-0000E59E0000}"/>
    <cellStyle name="Total 4 3 3 4 2" xfId="28779" xr:uid="{00000000-0005-0000-0000-0000E69E0000}"/>
    <cellStyle name="Total 4 3 3 4 3" xfId="39624" xr:uid="{00000000-0005-0000-0000-0000E79E0000}"/>
    <cellStyle name="Total 4 3 3 4 4" xfId="18256" xr:uid="{00000000-0005-0000-0000-0000E89E0000}"/>
    <cellStyle name="Total 4 3 3 5" xfId="20603" xr:uid="{00000000-0005-0000-0000-0000E99E0000}"/>
    <cellStyle name="Total 4 3 3 6" xfId="31448" xr:uid="{00000000-0005-0000-0000-0000EA9E0000}"/>
    <cellStyle name="Total 4 3 3 7" xfId="12402" xr:uid="{00000000-0005-0000-0000-0000EB9E0000}"/>
    <cellStyle name="Total 4 3 4" xfId="2025" xr:uid="{00000000-0005-0000-0000-0000EC9E0000}"/>
    <cellStyle name="Total 4 3 4 2" xfId="4878" xr:uid="{00000000-0005-0000-0000-0000ED9E0000}"/>
    <cellStyle name="Total 4 3 4 2 2" xfId="23850" xr:uid="{00000000-0005-0000-0000-0000EE9E0000}"/>
    <cellStyle name="Total 4 3 4 2 3" xfId="34695" xr:uid="{00000000-0005-0000-0000-0000EF9E0000}"/>
    <cellStyle name="Total 4 3 4 2 4" xfId="14724" xr:uid="{00000000-0005-0000-0000-0000F09E0000}"/>
    <cellStyle name="Total 4 3 4 3" xfId="7550" xr:uid="{00000000-0005-0000-0000-0000F19E0000}"/>
    <cellStyle name="Total 4 3 4 3 2" xfId="26522" xr:uid="{00000000-0005-0000-0000-0000F29E0000}"/>
    <cellStyle name="Total 4 3 4 3 3" xfId="37367" xr:uid="{00000000-0005-0000-0000-0000F39E0000}"/>
    <cellStyle name="Total 4 3 4 3 4" xfId="16638" xr:uid="{00000000-0005-0000-0000-0000F49E0000}"/>
    <cellStyle name="Total 4 3 4 4" xfId="10209" xr:uid="{00000000-0005-0000-0000-0000F59E0000}"/>
    <cellStyle name="Total 4 3 4 4 2" xfId="29181" xr:uid="{00000000-0005-0000-0000-0000F69E0000}"/>
    <cellStyle name="Total 4 3 4 4 3" xfId="40026" xr:uid="{00000000-0005-0000-0000-0000F79E0000}"/>
    <cellStyle name="Total 4 3 4 4 4" xfId="18542" xr:uid="{00000000-0005-0000-0000-0000F89E0000}"/>
    <cellStyle name="Total 4 3 4 5" xfId="21005" xr:uid="{00000000-0005-0000-0000-0000F99E0000}"/>
    <cellStyle name="Total 4 3 4 6" xfId="31850" xr:uid="{00000000-0005-0000-0000-0000FA9E0000}"/>
    <cellStyle name="Total 4 3 4 7" xfId="12688" xr:uid="{00000000-0005-0000-0000-0000FB9E0000}"/>
    <cellStyle name="Total 4 3 5" xfId="2417" xr:uid="{00000000-0005-0000-0000-0000FC9E0000}"/>
    <cellStyle name="Total 4 3 5 2" xfId="5270" xr:uid="{00000000-0005-0000-0000-0000FD9E0000}"/>
    <cellStyle name="Total 4 3 5 2 2" xfId="24242" xr:uid="{00000000-0005-0000-0000-0000FE9E0000}"/>
    <cellStyle name="Total 4 3 5 2 3" xfId="35087" xr:uid="{00000000-0005-0000-0000-0000FF9E0000}"/>
    <cellStyle name="Total 4 3 5 2 4" xfId="15005" xr:uid="{00000000-0005-0000-0000-0000009F0000}"/>
    <cellStyle name="Total 4 3 5 3" xfId="7941" xr:uid="{00000000-0005-0000-0000-0000019F0000}"/>
    <cellStyle name="Total 4 3 5 3 2" xfId="26913" xr:uid="{00000000-0005-0000-0000-0000029F0000}"/>
    <cellStyle name="Total 4 3 5 3 3" xfId="37758" xr:uid="{00000000-0005-0000-0000-0000039F0000}"/>
    <cellStyle name="Total 4 3 5 3 4" xfId="16918" xr:uid="{00000000-0005-0000-0000-0000049F0000}"/>
    <cellStyle name="Total 4 3 5 4" xfId="10600" xr:uid="{00000000-0005-0000-0000-0000059F0000}"/>
    <cellStyle name="Total 4 3 5 4 2" xfId="29572" xr:uid="{00000000-0005-0000-0000-0000069F0000}"/>
    <cellStyle name="Total 4 3 5 4 3" xfId="40417" xr:uid="{00000000-0005-0000-0000-0000079F0000}"/>
    <cellStyle name="Total 4 3 5 4 4" xfId="18822" xr:uid="{00000000-0005-0000-0000-0000089F0000}"/>
    <cellStyle name="Total 4 3 5 5" xfId="21396" xr:uid="{00000000-0005-0000-0000-0000099F0000}"/>
    <cellStyle name="Total 4 3 5 6" xfId="32241" xr:uid="{00000000-0005-0000-0000-00000A9F0000}"/>
    <cellStyle name="Total 4 3 5 7" xfId="12968" xr:uid="{00000000-0005-0000-0000-00000B9F0000}"/>
    <cellStyle name="Total 4 3 6" xfId="2806" xr:uid="{00000000-0005-0000-0000-00000C9F0000}"/>
    <cellStyle name="Total 4 3 6 2" xfId="5658" xr:uid="{00000000-0005-0000-0000-00000D9F0000}"/>
    <cellStyle name="Total 4 3 6 2 2" xfId="24630" xr:uid="{00000000-0005-0000-0000-00000E9F0000}"/>
    <cellStyle name="Total 4 3 6 2 3" xfId="35475" xr:uid="{00000000-0005-0000-0000-00000F9F0000}"/>
    <cellStyle name="Total 4 3 6 2 4" xfId="15283" xr:uid="{00000000-0005-0000-0000-0000109F0000}"/>
    <cellStyle name="Total 4 3 6 3" xfId="8329" xr:uid="{00000000-0005-0000-0000-0000119F0000}"/>
    <cellStyle name="Total 4 3 6 3 2" xfId="27301" xr:uid="{00000000-0005-0000-0000-0000129F0000}"/>
    <cellStyle name="Total 4 3 6 3 3" xfId="38146" xr:uid="{00000000-0005-0000-0000-0000139F0000}"/>
    <cellStyle name="Total 4 3 6 3 4" xfId="17196" xr:uid="{00000000-0005-0000-0000-0000149F0000}"/>
    <cellStyle name="Total 4 3 6 4" xfId="10988" xr:uid="{00000000-0005-0000-0000-0000159F0000}"/>
    <cellStyle name="Total 4 3 6 4 2" xfId="29960" xr:uid="{00000000-0005-0000-0000-0000169F0000}"/>
    <cellStyle name="Total 4 3 6 4 3" xfId="40805" xr:uid="{00000000-0005-0000-0000-0000179F0000}"/>
    <cellStyle name="Total 4 3 6 4 4" xfId="19100" xr:uid="{00000000-0005-0000-0000-0000189F0000}"/>
    <cellStyle name="Total 4 3 6 5" xfId="21784" xr:uid="{00000000-0005-0000-0000-0000199F0000}"/>
    <cellStyle name="Total 4 3 6 6" xfId="32629" xr:uid="{00000000-0005-0000-0000-00001A9F0000}"/>
    <cellStyle name="Total 4 3 6 7" xfId="13246" xr:uid="{00000000-0005-0000-0000-00001B9F0000}"/>
    <cellStyle name="Total 4 3 7" xfId="3497" xr:uid="{00000000-0005-0000-0000-00001C9F0000}"/>
    <cellStyle name="Total 4 3 7 2" xfId="22469" xr:uid="{00000000-0005-0000-0000-00001D9F0000}"/>
    <cellStyle name="Total 4 3 7 3" xfId="33314" xr:uid="{00000000-0005-0000-0000-00001E9F0000}"/>
    <cellStyle name="Total 4 3 7 4" xfId="13728" xr:uid="{00000000-0005-0000-0000-00001F9F0000}"/>
    <cellStyle name="Total 4 3 8" xfId="6173" xr:uid="{00000000-0005-0000-0000-0000209F0000}"/>
    <cellStyle name="Total 4 3 8 2" xfId="25145" xr:uid="{00000000-0005-0000-0000-0000219F0000}"/>
    <cellStyle name="Total 4 3 8 3" xfId="35990" xr:uid="{00000000-0005-0000-0000-0000229F0000}"/>
    <cellStyle name="Total 4 3 8 4" xfId="15645" xr:uid="{00000000-0005-0000-0000-0000239F0000}"/>
    <cellStyle name="Total 4 3 9" xfId="8832" xr:uid="{00000000-0005-0000-0000-0000249F0000}"/>
    <cellStyle name="Total 4 3 9 2" xfId="27804" xr:uid="{00000000-0005-0000-0000-0000259F0000}"/>
    <cellStyle name="Total 4 3 9 3" xfId="38649" xr:uid="{00000000-0005-0000-0000-0000269F0000}"/>
    <cellStyle name="Total 4 3 9 4" xfId="17549" xr:uid="{00000000-0005-0000-0000-0000279F0000}"/>
    <cellStyle name="Total 4 4" xfId="11492" xr:uid="{00000000-0005-0000-0000-0000289F0000}"/>
    <cellStyle name="Total 5" xfId="327" xr:uid="{00000000-0005-0000-0000-0000299F0000}"/>
    <cellStyle name="Total 5 2" xfId="434" xr:uid="{00000000-0005-0000-0000-00002A9F0000}"/>
    <cellStyle name="Total 5 2 10" xfId="2716" xr:uid="{00000000-0005-0000-0000-00002B9F0000}"/>
    <cellStyle name="Total 5 2 10 2" xfId="5568" xr:uid="{00000000-0005-0000-0000-00002C9F0000}"/>
    <cellStyle name="Total 5 2 10 2 2" xfId="24540" xr:uid="{00000000-0005-0000-0000-00002D9F0000}"/>
    <cellStyle name="Total 5 2 10 2 3" xfId="35385" xr:uid="{00000000-0005-0000-0000-00002E9F0000}"/>
    <cellStyle name="Total 5 2 10 2 4" xfId="15212" xr:uid="{00000000-0005-0000-0000-00002F9F0000}"/>
    <cellStyle name="Total 5 2 10 3" xfId="8239" xr:uid="{00000000-0005-0000-0000-0000309F0000}"/>
    <cellStyle name="Total 5 2 10 3 2" xfId="27211" xr:uid="{00000000-0005-0000-0000-0000319F0000}"/>
    <cellStyle name="Total 5 2 10 3 3" xfId="38056" xr:uid="{00000000-0005-0000-0000-0000329F0000}"/>
    <cellStyle name="Total 5 2 10 3 4" xfId="17125" xr:uid="{00000000-0005-0000-0000-0000339F0000}"/>
    <cellStyle name="Total 5 2 10 4" xfId="10898" xr:uid="{00000000-0005-0000-0000-0000349F0000}"/>
    <cellStyle name="Total 5 2 10 4 2" xfId="29870" xr:uid="{00000000-0005-0000-0000-0000359F0000}"/>
    <cellStyle name="Total 5 2 10 4 3" xfId="40715" xr:uid="{00000000-0005-0000-0000-0000369F0000}"/>
    <cellStyle name="Total 5 2 10 4 4" xfId="19029" xr:uid="{00000000-0005-0000-0000-0000379F0000}"/>
    <cellStyle name="Total 5 2 10 5" xfId="21694" xr:uid="{00000000-0005-0000-0000-0000389F0000}"/>
    <cellStyle name="Total 5 2 10 6" xfId="32539" xr:uid="{00000000-0005-0000-0000-0000399F0000}"/>
    <cellStyle name="Total 5 2 10 7" xfId="13175" xr:uid="{00000000-0005-0000-0000-00003A9F0000}"/>
    <cellStyle name="Total 5 2 11" xfId="3101" xr:uid="{00000000-0005-0000-0000-00003B9F0000}"/>
    <cellStyle name="Total 5 2 11 2" xfId="5952" xr:uid="{00000000-0005-0000-0000-00003C9F0000}"/>
    <cellStyle name="Total 5 2 11 2 2" xfId="24924" xr:uid="{00000000-0005-0000-0000-00003D9F0000}"/>
    <cellStyle name="Total 5 2 11 2 3" xfId="35769" xr:uid="{00000000-0005-0000-0000-00003E9F0000}"/>
    <cellStyle name="Total 5 2 11 2 4" xfId="15487" xr:uid="{00000000-0005-0000-0000-00003F9F0000}"/>
    <cellStyle name="Total 5 2 11 3" xfId="8623" xr:uid="{00000000-0005-0000-0000-0000409F0000}"/>
    <cellStyle name="Total 5 2 11 3 2" xfId="27595" xr:uid="{00000000-0005-0000-0000-0000419F0000}"/>
    <cellStyle name="Total 5 2 11 3 3" xfId="38440" xr:uid="{00000000-0005-0000-0000-0000429F0000}"/>
    <cellStyle name="Total 5 2 11 3 4" xfId="17400" xr:uid="{00000000-0005-0000-0000-0000439F0000}"/>
    <cellStyle name="Total 5 2 11 4" xfId="11282" xr:uid="{00000000-0005-0000-0000-0000449F0000}"/>
    <cellStyle name="Total 5 2 11 4 2" xfId="30254" xr:uid="{00000000-0005-0000-0000-0000459F0000}"/>
    <cellStyle name="Total 5 2 11 4 3" xfId="41099" xr:uid="{00000000-0005-0000-0000-0000469F0000}"/>
    <cellStyle name="Total 5 2 11 4 4" xfId="19304" xr:uid="{00000000-0005-0000-0000-0000479F0000}"/>
    <cellStyle name="Total 5 2 11 5" xfId="22078" xr:uid="{00000000-0005-0000-0000-0000489F0000}"/>
    <cellStyle name="Total 5 2 11 6" xfId="32923" xr:uid="{00000000-0005-0000-0000-0000499F0000}"/>
    <cellStyle name="Total 5 2 11 7" xfId="13450" xr:uid="{00000000-0005-0000-0000-00004A9F0000}"/>
    <cellStyle name="Total 5 2 12" xfId="3158" xr:uid="{00000000-0005-0000-0000-00004B9F0000}"/>
    <cellStyle name="Total 5 2 12 2" xfId="6009" xr:uid="{00000000-0005-0000-0000-00004C9F0000}"/>
    <cellStyle name="Total 5 2 12 2 2" xfId="24981" xr:uid="{00000000-0005-0000-0000-00004D9F0000}"/>
    <cellStyle name="Total 5 2 12 2 3" xfId="35826" xr:uid="{00000000-0005-0000-0000-00004E9F0000}"/>
    <cellStyle name="Total 5 2 12 2 4" xfId="15524" xr:uid="{00000000-0005-0000-0000-00004F9F0000}"/>
    <cellStyle name="Total 5 2 12 3" xfId="8680" xr:uid="{00000000-0005-0000-0000-0000509F0000}"/>
    <cellStyle name="Total 5 2 12 3 2" xfId="27652" xr:uid="{00000000-0005-0000-0000-0000519F0000}"/>
    <cellStyle name="Total 5 2 12 3 3" xfId="38497" xr:uid="{00000000-0005-0000-0000-0000529F0000}"/>
    <cellStyle name="Total 5 2 12 3 4" xfId="17437" xr:uid="{00000000-0005-0000-0000-0000539F0000}"/>
    <cellStyle name="Total 5 2 12 4" xfId="11339" xr:uid="{00000000-0005-0000-0000-0000549F0000}"/>
    <cellStyle name="Total 5 2 12 4 2" xfId="30311" xr:uid="{00000000-0005-0000-0000-0000559F0000}"/>
    <cellStyle name="Total 5 2 12 4 3" xfId="41156" xr:uid="{00000000-0005-0000-0000-0000569F0000}"/>
    <cellStyle name="Total 5 2 12 4 4" xfId="19341" xr:uid="{00000000-0005-0000-0000-0000579F0000}"/>
    <cellStyle name="Total 5 2 12 5" xfId="22135" xr:uid="{00000000-0005-0000-0000-0000589F0000}"/>
    <cellStyle name="Total 5 2 12 6" xfId="32980" xr:uid="{00000000-0005-0000-0000-0000599F0000}"/>
    <cellStyle name="Total 5 2 12 7" xfId="13487" xr:uid="{00000000-0005-0000-0000-00005A9F0000}"/>
    <cellStyle name="Total 5 2 13" xfId="3215" xr:uid="{00000000-0005-0000-0000-00005B9F0000}"/>
    <cellStyle name="Total 5 2 13 2" xfId="6066" xr:uid="{00000000-0005-0000-0000-00005C9F0000}"/>
    <cellStyle name="Total 5 2 13 2 2" xfId="25038" xr:uid="{00000000-0005-0000-0000-00005D9F0000}"/>
    <cellStyle name="Total 5 2 13 2 3" xfId="35883" xr:uid="{00000000-0005-0000-0000-00005E9F0000}"/>
    <cellStyle name="Total 5 2 13 2 4" xfId="15561" xr:uid="{00000000-0005-0000-0000-00005F9F0000}"/>
    <cellStyle name="Total 5 2 13 3" xfId="8737" xr:uid="{00000000-0005-0000-0000-0000609F0000}"/>
    <cellStyle name="Total 5 2 13 3 2" xfId="27709" xr:uid="{00000000-0005-0000-0000-0000619F0000}"/>
    <cellStyle name="Total 5 2 13 3 3" xfId="38554" xr:uid="{00000000-0005-0000-0000-0000629F0000}"/>
    <cellStyle name="Total 5 2 13 3 4" xfId="17474" xr:uid="{00000000-0005-0000-0000-0000639F0000}"/>
    <cellStyle name="Total 5 2 13 4" xfId="11396" xr:uid="{00000000-0005-0000-0000-0000649F0000}"/>
    <cellStyle name="Total 5 2 13 4 2" xfId="30368" xr:uid="{00000000-0005-0000-0000-0000659F0000}"/>
    <cellStyle name="Total 5 2 13 4 3" xfId="41213" xr:uid="{00000000-0005-0000-0000-0000669F0000}"/>
    <cellStyle name="Total 5 2 13 4 4" xfId="19378" xr:uid="{00000000-0005-0000-0000-0000679F0000}"/>
    <cellStyle name="Total 5 2 13 5" xfId="22192" xr:uid="{00000000-0005-0000-0000-0000689F0000}"/>
    <cellStyle name="Total 5 2 13 6" xfId="33037" xr:uid="{00000000-0005-0000-0000-0000699F0000}"/>
    <cellStyle name="Total 5 2 13 7" xfId="13524" xr:uid="{00000000-0005-0000-0000-00006A9F0000}"/>
    <cellStyle name="Total 5 2 14" xfId="3384" xr:uid="{00000000-0005-0000-0000-00006B9F0000}"/>
    <cellStyle name="Total 5 2 14 2" xfId="22358" xr:uid="{00000000-0005-0000-0000-00006C9F0000}"/>
    <cellStyle name="Total 5 2 14 3" xfId="33203" xr:uid="{00000000-0005-0000-0000-00006D9F0000}"/>
    <cellStyle name="Total 5 2 14 4" xfId="13641" xr:uid="{00000000-0005-0000-0000-00006E9F0000}"/>
    <cellStyle name="Total 5 2 15" xfId="3267" xr:uid="{00000000-0005-0000-0000-00006F9F0000}"/>
    <cellStyle name="Total 5 2 15 2" xfId="22241" xr:uid="{00000000-0005-0000-0000-0000709F0000}"/>
    <cellStyle name="Total 5 2 15 3" xfId="33086" xr:uid="{00000000-0005-0000-0000-0000719F0000}"/>
    <cellStyle name="Total 5 2 15 4" xfId="13566" xr:uid="{00000000-0005-0000-0000-0000729F0000}"/>
    <cellStyle name="Total 5 2 16" xfId="3226" xr:uid="{00000000-0005-0000-0000-0000739F0000}"/>
    <cellStyle name="Total 5 2 16 2" xfId="22203" xr:uid="{00000000-0005-0000-0000-0000749F0000}"/>
    <cellStyle name="Total 5 2 16 3" xfId="33048" xr:uid="{00000000-0005-0000-0000-0000759F0000}"/>
    <cellStyle name="Total 5 2 16 4" xfId="13534" xr:uid="{00000000-0005-0000-0000-0000769F0000}"/>
    <cellStyle name="Total 5 2 17" xfId="19512" xr:uid="{00000000-0005-0000-0000-0000779F0000}"/>
    <cellStyle name="Total 5 2 18" xfId="19514" xr:uid="{00000000-0005-0000-0000-0000789F0000}"/>
    <cellStyle name="Total 5 2 19" xfId="11554" xr:uid="{00000000-0005-0000-0000-0000799F0000}"/>
    <cellStyle name="Total 5 2 2" xfId="725" xr:uid="{00000000-0005-0000-0000-00007A9F0000}"/>
    <cellStyle name="Total 5 2 2 10" xfId="19710" xr:uid="{00000000-0005-0000-0000-00007B9F0000}"/>
    <cellStyle name="Total 5 2 2 11" xfId="30555" xr:uid="{00000000-0005-0000-0000-00007C9F0000}"/>
    <cellStyle name="Total 5 2 2 12" xfId="11757" xr:uid="{00000000-0005-0000-0000-00007D9F0000}"/>
    <cellStyle name="Total 5 2 2 2" xfId="1312" xr:uid="{00000000-0005-0000-0000-00007E9F0000}"/>
    <cellStyle name="Total 5 2 2 2 2" xfId="4165" xr:uid="{00000000-0005-0000-0000-00007F9F0000}"/>
    <cellStyle name="Total 5 2 2 2 2 2" xfId="23137" xr:uid="{00000000-0005-0000-0000-0000809F0000}"/>
    <cellStyle name="Total 5 2 2 2 2 3" xfId="33982" xr:uid="{00000000-0005-0000-0000-0000819F0000}"/>
    <cellStyle name="Total 5 2 2 2 2 4" xfId="14218" xr:uid="{00000000-0005-0000-0000-0000829F0000}"/>
    <cellStyle name="Total 5 2 2 2 3" xfId="6838" xr:uid="{00000000-0005-0000-0000-0000839F0000}"/>
    <cellStyle name="Total 5 2 2 2 3 2" xfId="25810" xr:uid="{00000000-0005-0000-0000-0000849F0000}"/>
    <cellStyle name="Total 5 2 2 2 3 3" xfId="36655" xr:uid="{00000000-0005-0000-0000-0000859F0000}"/>
    <cellStyle name="Total 5 2 2 2 3 4" xfId="16133" xr:uid="{00000000-0005-0000-0000-0000869F0000}"/>
    <cellStyle name="Total 5 2 2 2 4" xfId="9497" xr:uid="{00000000-0005-0000-0000-0000879F0000}"/>
    <cellStyle name="Total 5 2 2 2 4 2" xfId="28469" xr:uid="{00000000-0005-0000-0000-0000889F0000}"/>
    <cellStyle name="Total 5 2 2 2 4 3" xfId="39314" xr:uid="{00000000-0005-0000-0000-0000899F0000}"/>
    <cellStyle name="Total 5 2 2 2 4 4" xfId="18037" xr:uid="{00000000-0005-0000-0000-00008A9F0000}"/>
    <cellStyle name="Total 5 2 2 2 5" xfId="20293" xr:uid="{00000000-0005-0000-0000-00008B9F0000}"/>
    <cellStyle name="Total 5 2 2 2 6" xfId="31138" xr:uid="{00000000-0005-0000-0000-00008C9F0000}"/>
    <cellStyle name="Total 5 2 2 2 7" xfId="12183" xr:uid="{00000000-0005-0000-0000-00008D9F0000}"/>
    <cellStyle name="Total 5 2 2 3" xfId="1711" xr:uid="{00000000-0005-0000-0000-00008E9F0000}"/>
    <cellStyle name="Total 5 2 2 3 2" xfId="4564" xr:uid="{00000000-0005-0000-0000-00008F9F0000}"/>
    <cellStyle name="Total 5 2 2 3 2 2" xfId="23536" xr:uid="{00000000-0005-0000-0000-0000909F0000}"/>
    <cellStyle name="Total 5 2 2 3 2 3" xfId="34381" xr:uid="{00000000-0005-0000-0000-0000919F0000}"/>
    <cellStyle name="Total 5 2 2 3 2 4" xfId="14505" xr:uid="{00000000-0005-0000-0000-0000929F0000}"/>
    <cellStyle name="Total 5 2 2 3 3" xfId="7236" xr:uid="{00000000-0005-0000-0000-0000939F0000}"/>
    <cellStyle name="Total 5 2 2 3 3 2" xfId="26208" xr:uid="{00000000-0005-0000-0000-0000949F0000}"/>
    <cellStyle name="Total 5 2 2 3 3 3" xfId="37053" xr:uid="{00000000-0005-0000-0000-0000959F0000}"/>
    <cellStyle name="Total 5 2 2 3 3 4" xfId="16419" xr:uid="{00000000-0005-0000-0000-0000969F0000}"/>
    <cellStyle name="Total 5 2 2 3 4" xfId="9895" xr:uid="{00000000-0005-0000-0000-0000979F0000}"/>
    <cellStyle name="Total 5 2 2 3 4 2" xfId="28867" xr:uid="{00000000-0005-0000-0000-0000989F0000}"/>
    <cellStyle name="Total 5 2 2 3 4 3" xfId="39712" xr:uid="{00000000-0005-0000-0000-0000999F0000}"/>
    <cellStyle name="Total 5 2 2 3 4 4" xfId="18323" xr:uid="{00000000-0005-0000-0000-00009A9F0000}"/>
    <cellStyle name="Total 5 2 2 3 5" xfId="20691" xr:uid="{00000000-0005-0000-0000-00009B9F0000}"/>
    <cellStyle name="Total 5 2 2 3 6" xfId="31536" xr:uid="{00000000-0005-0000-0000-00009C9F0000}"/>
    <cellStyle name="Total 5 2 2 3 7" xfId="12469" xr:uid="{00000000-0005-0000-0000-00009D9F0000}"/>
    <cellStyle name="Total 5 2 2 4" xfId="2115" xr:uid="{00000000-0005-0000-0000-00009E9F0000}"/>
    <cellStyle name="Total 5 2 2 4 2" xfId="4968" xr:uid="{00000000-0005-0000-0000-00009F9F0000}"/>
    <cellStyle name="Total 5 2 2 4 2 2" xfId="23940" xr:uid="{00000000-0005-0000-0000-0000A09F0000}"/>
    <cellStyle name="Total 5 2 2 4 2 3" xfId="34785" xr:uid="{00000000-0005-0000-0000-0000A19F0000}"/>
    <cellStyle name="Total 5 2 2 4 2 4" xfId="14792" xr:uid="{00000000-0005-0000-0000-0000A29F0000}"/>
    <cellStyle name="Total 5 2 2 4 3" xfId="7639" xr:uid="{00000000-0005-0000-0000-0000A39F0000}"/>
    <cellStyle name="Total 5 2 2 4 3 2" xfId="26611" xr:uid="{00000000-0005-0000-0000-0000A49F0000}"/>
    <cellStyle name="Total 5 2 2 4 3 3" xfId="37456" xr:uid="{00000000-0005-0000-0000-0000A59F0000}"/>
    <cellStyle name="Total 5 2 2 4 3 4" xfId="16705" xr:uid="{00000000-0005-0000-0000-0000A69F0000}"/>
    <cellStyle name="Total 5 2 2 4 4" xfId="10298" xr:uid="{00000000-0005-0000-0000-0000A79F0000}"/>
    <cellStyle name="Total 5 2 2 4 4 2" xfId="29270" xr:uid="{00000000-0005-0000-0000-0000A89F0000}"/>
    <cellStyle name="Total 5 2 2 4 4 3" xfId="40115" xr:uid="{00000000-0005-0000-0000-0000A99F0000}"/>
    <cellStyle name="Total 5 2 2 4 4 4" xfId="18609" xr:uid="{00000000-0005-0000-0000-0000AA9F0000}"/>
    <cellStyle name="Total 5 2 2 4 5" xfId="21094" xr:uid="{00000000-0005-0000-0000-0000AB9F0000}"/>
    <cellStyle name="Total 5 2 2 4 6" xfId="31939" xr:uid="{00000000-0005-0000-0000-0000AC9F0000}"/>
    <cellStyle name="Total 5 2 2 4 7" xfId="12755" xr:uid="{00000000-0005-0000-0000-0000AD9F0000}"/>
    <cellStyle name="Total 5 2 2 5" xfId="2505" xr:uid="{00000000-0005-0000-0000-0000AE9F0000}"/>
    <cellStyle name="Total 5 2 2 5 2" xfId="5357" xr:uid="{00000000-0005-0000-0000-0000AF9F0000}"/>
    <cellStyle name="Total 5 2 2 5 2 2" xfId="24329" xr:uid="{00000000-0005-0000-0000-0000B09F0000}"/>
    <cellStyle name="Total 5 2 2 5 2 3" xfId="35174" xr:uid="{00000000-0005-0000-0000-0000B19F0000}"/>
    <cellStyle name="Total 5 2 2 5 2 4" xfId="15071" xr:uid="{00000000-0005-0000-0000-0000B29F0000}"/>
    <cellStyle name="Total 5 2 2 5 3" xfId="8028" xr:uid="{00000000-0005-0000-0000-0000B39F0000}"/>
    <cellStyle name="Total 5 2 2 5 3 2" xfId="27000" xr:uid="{00000000-0005-0000-0000-0000B49F0000}"/>
    <cellStyle name="Total 5 2 2 5 3 3" xfId="37845" xr:uid="{00000000-0005-0000-0000-0000B59F0000}"/>
    <cellStyle name="Total 5 2 2 5 3 4" xfId="16984" xr:uid="{00000000-0005-0000-0000-0000B69F0000}"/>
    <cellStyle name="Total 5 2 2 5 4" xfId="10687" xr:uid="{00000000-0005-0000-0000-0000B79F0000}"/>
    <cellStyle name="Total 5 2 2 5 4 2" xfId="29659" xr:uid="{00000000-0005-0000-0000-0000B89F0000}"/>
    <cellStyle name="Total 5 2 2 5 4 3" xfId="40504" xr:uid="{00000000-0005-0000-0000-0000B99F0000}"/>
    <cellStyle name="Total 5 2 2 5 4 4" xfId="18888" xr:uid="{00000000-0005-0000-0000-0000BA9F0000}"/>
    <cellStyle name="Total 5 2 2 5 5" xfId="21483" xr:uid="{00000000-0005-0000-0000-0000BB9F0000}"/>
    <cellStyle name="Total 5 2 2 5 6" xfId="32328" xr:uid="{00000000-0005-0000-0000-0000BC9F0000}"/>
    <cellStyle name="Total 5 2 2 5 7" xfId="13034" xr:uid="{00000000-0005-0000-0000-0000BD9F0000}"/>
    <cellStyle name="Total 5 2 2 6" xfId="2891" xr:uid="{00000000-0005-0000-0000-0000BE9F0000}"/>
    <cellStyle name="Total 5 2 2 6 2" xfId="5742" xr:uid="{00000000-0005-0000-0000-0000BF9F0000}"/>
    <cellStyle name="Total 5 2 2 6 2 2" xfId="24714" xr:uid="{00000000-0005-0000-0000-0000C09F0000}"/>
    <cellStyle name="Total 5 2 2 6 2 3" xfId="35559" xr:uid="{00000000-0005-0000-0000-0000C19F0000}"/>
    <cellStyle name="Total 5 2 2 6 2 4" xfId="15347" xr:uid="{00000000-0005-0000-0000-0000C29F0000}"/>
    <cellStyle name="Total 5 2 2 6 3" xfId="8413" xr:uid="{00000000-0005-0000-0000-0000C39F0000}"/>
    <cellStyle name="Total 5 2 2 6 3 2" xfId="27385" xr:uid="{00000000-0005-0000-0000-0000C49F0000}"/>
    <cellStyle name="Total 5 2 2 6 3 3" xfId="38230" xr:uid="{00000000-0005-0000-0000-0000C59F0000}"/>
    <cellStyle name="Total 5 2 2 6 3 4" xfId="17260" xr:uid="{00000000-0005-0000-0000-0000C69F0000}"/>
    <cellStyle name="Total 5 2 2 6 4" xfId="11072" xr:uid="{00000000-0005-0000-0000-0000C79F0000}"/>
    <cellStyle name="Total 5 2 2 6 4 2" xfId="30044" xr:uid="{00000000-0005-0000-0000-0000C89F0000}"/>
    <cellStyle name="Total 5 2 2 6 4 3" xfId="40889" xr:uid="{00000000-0005-0000-0000-0000C99F0000}"/>
    <cellStyle name="Total 5 2 2 6 4 4" xfId="19164" xr:uid="{00000000-0005-0000-0000-0000CA9F0000}"/>
    <cellStyle name="Total 5 2 2 6 5" xfId="21868" xr:uid="{00000000-0005-0000-0000-0000CB9F0000}"/>
    <cellStyle name="Total 5 2 2 6 6" xfId="32713" xr:uid="{00000000-0005-0000-0000-0000CC9F0000}"/>
    <cellStyle name="Total 5 2 2 6 7" xfId="13310" xr:uid="{00000000-0005-0000-0000-0000CD9F0000}"/>
    <cellStyle name="Total 5 2 2 7" xfId="3580" xr:uid="{00000000-0005-0000-0000-0000CE9F0000}"/>
    <cellStyle name="Total 5 2 2 7 2" xfId="22552" xr:uid="{00000000-0005-0000-0000-0000CF9F0000}"/>
    <cellStyle name="Total 5 2 2 7 3" xfId="33397" xr:uid="{00000000-0005-0000-0000-0000D09F0000}"/>
    <cellStyle name="Total 5 2 2 7 4" xfId="13791" xr:uid="{00000000-0005-0000-0000-0000D19F0000}"/>
    <cellStyle name="Total 5 2 2 8" xfId="6255" xr:uid="{00000000-0005-0000-0000-0000D29F0000}"/>
    <cellStyle name="Total 5 2 2 8 2" xfId="25227" xr:uid="{00000000-0005-0000-0000-0000D39F0000}"/>
    <cellStyle name="Total 5 2 2 8 3" xfId="36072" xr:uid="{00000000-0005-0000-0000-0000D49F0000}"/>
    <cellStyle name="Total 5 2 2 8 4" xfId="15707" xr:uid="{00000000-0005-0000-0000-0000D59F0000}"/>
    <cellStyle name="Total 5 2 2 9" xfId="8914" xr:uid="{00000000-0005-0000-0000-0000D69F0000}"/>
    <cellStyle name="Total 5 2 2 9 2" xfId="27886" xr:uid="{00000000-0005-0000-0000-0000D79F0000}"/>
    <cellStyle name="Total 5 2 2 9 3" xfId="38731" xr:uid="{00000000-0005-0000-0000-0000D89F0000}"/>
    <cellStyle name="Total 5 2 2 9 4" xfId="17611" xr:uid="{00000000-0005-0000-0000-0000D99F0000}"/>
    <cellStyle name="Total 5 2 3" xfId="784" xr:uid="{00000000-0005-0000-0000-0000DA9F0000}"/>
    <cellStyle name="Total 5 2 3 10" xfId="19769" xr:uid="{00000000-0005-0000-0000-0000DB9F0000}"/>
    <cellStyle name="Total 5 2 3 11" xfId="30614" xr:uid="{00000000-0005-0000-0000-0000DC9F0000}"/>
    <cellStyle name="Total 5 2 3 12" xfId="11796" xr:uid="{00000000-0005-0000-0000-0000DD9F0000}"/>
    <cellStyle name="Total 5 2 3 2" xfId="1371" xr:uid="{00000000-0005-0000-0000-0000DE9F0000}"/>
    <cellStyle name="Total 5 2 3 2 2" xfId="4224" xr:uid="{00000000-0005-0000-0000-0000DF9F0000}"/>
    <cellStyle name="Total 5 2 3 2 2 2" xfId="23196" xr:uid="{00000000-0005-0000-0000-0000E09F0000}"/>
    <cellStyle name="Total 5 2 3 2 2 3" xfId="34041" xr:uid="{00000000-0005-0000-0000-0000E19F0000}"/>
    <cellStyle name="Total 5 2 3 2 2 4" xfId="14257" xr:uid="{00000000-0005-0000-0000-0000E29F0000}"/>
    <cellStyle name="Total 5 2 3 2 3" xfId="6897" xr:uid="{00000000-0005-0000-0000-0000E39F0000}"/>
    <cellStyle name="Total 5 2 3 2 3 2" xfId="25869" xr:uid="{00000000-0005-0000-0000-0000E49F0000}"/>
    <cellStyle name="Total 5 2 3 2 3 3" xfId="36714" xr:uid="{00000000-0005-0000-0000-0000E59F0000}"/>
    <cellStyle name="Total 5 2 3 2 3 4" xfId="16172" xr:uid="{00000000-0005-0000-0000-0000E69F0000}"/>
    <cellStyle name="Total 5 2 3 2 4" xfId="9556" xr:uid="{00000000-0005-0000-0000-0000E79F0000}"/>
    <cellStyle name="Total 5 2 3 2 4 2" xfId="28528" xr:uid="{00000000-0005-0000-0000-0000E89F0000}"/>
    <cellStyle name="Total 5 2 3 2 4 3" xfId="39373" xr:uid="{00000000-0005-0000-0000-0000E99F0000}"/>
    <cellStyle name="Total 5 2 3 2 4 4" xfId="18076" xr:uid="{00000000-0005-0000-0000-0000EA9F0000}"/>
    <cellStyle name="Total 5 2 3 2 5" xfId="20352" xr:uid="{00000000-0005-0000-0000-0000EB9F0000}"/>
    <cellStyle name="Total 5 2 3 2 6" xfId="31197" xr:uid="{00000000-0005-0000-0000-0000EC9F0000}"/>
    <cellStyle name="Total 5 2 3 2 7" xfId="12222" xr:uid="{00000000-0005-0000-0000-0000ED9F0000}"/>
    <cellStyle name="Total 5 2 3 3" xfId="1770" xr:uid="{00000000-0005-0000-0000-0000EE9F0000}"/>
    <cellStyle name="Total 5 2 3 3 2" xfId="4623" xr:uid="{00000000-0005-0000-0000-0000EF9F0000}"/>
    <cellStyle name="Total 5 2 3 3 2 2" xfId="23595" xr:uid="{00000000-0005-0000-0000-0000F09F0000}"/>
    <cellStyle name="Total 5 2 3 3 2 3" xfId="34440" xr:uid="{00000000-0005-0000-0000-0000F19F0000}"/>
    <cellStyle name="Total 5 2 3 3 2 4" xfId="14544" xr:uid="{00000000-0005-0000-0000-0000F29F0000}"/>
    <cellStyle name="Total 5 2 3 3 3" xfId="7295" xr:uid="{00000000-0005-0000-0000-0000F39F0000}"/>
    <cellStyle name="Total 5 2 3 3 3 2" xfId="26267" xr:uid="{00000000-0005-0000-0000-0000F49F0000}"/>
    <cellStyle name="Total 5 2 3 3 3 3" xfId="37112" xr:uid="{00000000-0005-0000-0000-0000F59F0000}"/>
    <cellStyle name="Total 5 2 3 3 3 4" xfId="16458" xr:uid="{00000000-0005-0000-0000-0000F69F0000}"/>
    <cellStyle name="Total 5 2 3 3 4" xfId="9954" xr:uid="{00000000-0005-0000-0000-0000F79F0000}"/>
    <cellStyle name="Total 5 2 3 3 4 2" xfId="28926" xr:uid="{00000000-0005-0000-0000-0000F89F0000}"/>
    <cellStyle name="Total 5 2 3 3 4 3" xfId="39771" xr:uid="{00000000-0005-0000-0000-0000F99F0000}"/>
    <cellStyle name="Total 5 2 3 3 4 4" xfId="18362" xr:uid="{00000000-0005-0000-0000-0000FA9F0000}"/>
    <cellStyle name="Total 5 2 3 3 5" xfId="20750" xr:uid="{00000000-0005-0000-0000-0000FB9F0000}"/>
    <cellStyle name="Total 5 2 3 3 6" xfId="31595" xr:uid="{00000000-0005-0000-0000-0000FC9F0000}"/>
    <cellStyle name="Total 5 2 3 3 7" xfId="12508" xr:uid="{00000000-0005-0000-0000-0000FD9F0000}"/>
    <cellStyle name="Total 5 2 3 4" xfId="2174" xr:uid="{00000000-0005-0000-0000-0000FE9F0000}"/>
    <cellStyle name="Total 5 2 3 4 2" xfId="5027" xr:uid="{00000000-0005-0000-0000-0000FF9F0000}"/>
    <cellStyle name="Total 5 2 3 4 2 2" xfId="23999" xr:uid="{00000000-0005-0000-0000-000000A00000}"/>
    <cellStyle name="Total 5 2 3 4 2 3" xfId="34844" xr:uid="{00000000-0005-0000-0000-000001A00000}"/>
    <cellStyle name="Total 5 2 3 4 2 4" xfId="14831" xr:uid="{00000000-0005-0000-0000-000002A00000}"/>
    <cellStyle name="Total 5 2 3 4 3" xfId="7698" xr:uid="{00000000-0005-0000-0000-000003A00000}"/>
    <cellStyle name="Total 5 2 3 4 3 2" xfId="26670" xr:uid="{00000000-0005-0000-0000-000004A00000}"/>
    <cellStyle name="Total 5 2 3 4 3 3" xfId="37515" xr:uid="{00000000-0005-0000-0000-000005A00000}"/>
    <cellStyle name="Total 5 2 3 4 3 4" xfId="16744" xr:uid="{00000000-0005-0000-0000-000006A00000}"/>
    <cellStyle name="Total 5 2 3 4 4" xfId="10357" xr:uid="{00000000-0005-0000-0000-000007A00000}"/>
    <cellStyle name="Total 5 2 3 4 4 2" xfId="29329" xr:uid="{00000000-0005-0000-0000-000008A00000}"/>
    <cellStyle name="Total 5 2 3 4 4 3" xfId="40174" xr:uid="{00000000-0005-0000-0000-000009A00000}"/>
    <cellStyle name="Total 5 2 3 4 4 4" xfId="18648" xr:uid="{00000000-0005-0000-0000-00000AA00000}"/>
    <cellStyle name="Total 5 2 3 4 5" xfId="21153" xr:uid="{00000000-0005-0000-0000-00000BA00000}"/>
    <cellStyle name="Total 5 2 3 4 6" xfId="31998" xr:uid="{00000000-0005-0000-0000-00000CA00000}"/>
    <cellStyle name="Total 5 2 3 4 7" xfId="12794" xr:uid="{00000000-0005-0000-0000-00000DA00000}"/>
    <cellStyle name="Total 5 2 3 5" xfId="2564" xr:uid="{00000000-0005-0000-0000-00000EA00000}"/>
    <cellStyle name="Total 5 2 3 5 2" xfId="5416" xr:uid="{00000000-0005-0000-0000-00000FA00000}"/>
    <cellStyle name="Total 5 2 3 5 2 2" xfId="24388" xr:uid="{00000000-0005-0000-0000-000010A00000}"/>
    <cellStyle name="Total 5 2 3 5 2 3" xfId="35233" xr:uid="{00000000-0005-0000-0000-000011A00000}"/>
    <cellStyle name="Total 5 2 3 5 2 4" xfId="15110" xr:uid="{00000000-0005-0000-0000-000012A00000}"/>
    <cellStyle name="Total 5 2 3 5 3" xfId="8087" xr:uid="{00000000-0005-0000-0000-000013A00000}"/>
    <cellStyle name="Total 5 2 3 5 3 2" xfId="27059" xr:uid="{00000000-0005-0000-0000-000014A00000}"/>
    <cellStyle name="Total 5 2 3 5 3 3" xfId="37904" xr:uid="{00000000-0005-0000-0000-000015A00000}"/>
    <cellStyle name="Total 5 2 3 5 3 4" xfId="17023" xr:uid="{00000000-0005-0000-0000-000016A00000}"/>
    <cellStyle name="Total 5 2 3 5 4" xfId="10746" xr:uid="{00000000-0005-0000-0000-000017A00000}"/>
    <cellStyle name="Total 5 2 3 5 4 2" xfId="29718" xr:uid="{00000000-0005-0000-0000-000018A00000}"/>
    <cellStyle name="Total 5 2 3 5 4 3" xfId="40563" xr:uid="{00000000-0005-0000-0000-000019A00000}"/>
    <cellStyle name="Total 5 2 3 5 4 4" xfId="18927" xr:uid="{00000000-0005-0000-0000-00001AA00000}"/>
    <cellStyle name="Total 5 2 3 5 5" xfId="21542" xr:uid="{00000000-0005-0000-0000-00001BA00000}"/>
    <cellStyle name="Total 5 2 3 5 6" xfId="32387" xr:uid="{00000000-0005-0000-0000-00001CA00000}"/>
    <cellStyle name="Total 5 2 3 5 7" xfId="13073" xr:uid="{00000000-0005-0000-0000-00001DA00000}"/>
    <cellStyle name="Total 5 2 3 6" xfId="2950" xr:uid="{00000000-0005-0000-0000-00001EA00000}"/>
    <cellStyle name="Total 5 2 3 6 2" xfId="5801" xr:uid="{00000000-0005-0000-0000-00001FA00000}"/>
    <cellStyle name="Total 5 2 3 6 2 2" xfId="24773" xr:uid="{00000000-0005-0000-0000-000020A00000}"/>
    <cellStyle name="Total 5 2 3 6 2 3" xfId="35618" xr:uid="{00000000-0005-0000-0000-000021A00000}"/>
    <cellStyle name="Total 5 2 3 6 2 4" xfId="15386" xr:uid="{00000000-0005-0000-0000-000022A00000}"/>
    <cellStyle name="Total 5 2 3 6 3" xfId="8472" xr:uid="{00000000-0005-0000-0000-000023A00000}"/>
    <cellStyle name="Total 5 2 3 6 3 2" xfId="27444" xr:uid="{00000000-0005-0000-0000-000024A00000}"/>
    <cellStyle name="Total 5 2 3 6 3 3" xfId="38289" xr:uid="{00000000-0005-0000-0000-000025A00000}"/>
    <cellStyle name="Total 5 2 3 6 3 4" xfId="17299" xr:uid="{00000000-0005-0000-0000-000026A00000}"/>
    <cellStyle name="Total 5 2 3 6 4" xfId="11131" xr:uid="{00000000-0005-0000-0000-000027A00000}"/>
    <cellStyle name="Total 5 2 3 6 4 2" xfId="30103" xr:uid="{00000000-0005-0000-0000-000028A00000}"/>
    <cellStyle name="Total 5 2 3 6 4 3" xfId="40948" xr:uid="{00000000-0005-0000-0000-000029A00000}"/>
    <cellStyle name="Total 5 2 3 6 4 4" xfId="19203" xr:uid="{00000000-0005-0000-0000-00002AA00000}"/>
    <cellStyle name="Total 5 2 3 6 5" xfId="21927" xr:uid="{00000000-0005-0000-0000-00002BA00000}"/>
    <cellStyle name="Total 5 2 3 6 6" xfId="32772" xr:uid="{00000000-0005-0000-0000-00002CA00000}"/>
    <cellStyle name="Total 5 2 3 6 7" xfId="13349" xr:uid="{00000000-0005-0000-0000-00002DA00000}"/>
    <cellStyle name="Total 5 2 3 7" xfId="3639" xr:uid="{00000000-0005-0000-0000-00002EA00000}"/>
    <cellStyle name="Total 5 2 3 7 2" xfId="22611" xr:uid="{00000000-0005-0000-0000-00002FA00000}"/>
    <cellStyle name="Total 5 2 3 7 3" xfId="33456" xr:uid="{00000000-0005-0000-0000-000030A00000}"/>
    <cellStyle name="Total 5 2 3 7 4" xfId="13830" xr:uid="{00000000-0005-0000-0000-000031A00000}"/>
    <cellStyle name="Total 5 2 3 8" xfId="6314" xr:uid="{00000000-0005-0000-0000-000032A00000}"/>
    <cellStyle name="Total 5 2 3 8 2" xfId="25286" xr:uid="{00000000-0005-0000-0000-000033A00000}"/>
    <cellStyle name="Total 5 2 3 8 3" xfId="36131" xr:uid="{00000000-0005-0000-0000-000034A00000}"/>
    <cellStyle name="Total 5 2 3 8 4" xfId="15746" xr:uid="{00000000-0005-0000-0000-000035A00000}"/>
    <cellStyle name="Total 5 2 3 9" xfId="8973" xr:uid="{00000000-0005-0000-0000-000036A00000}"/>
    <cellStyle name="Total 5 2 3 9 2" xfId="27945" xr:uid="{00000000-0005-0000-0000-000037A00000}"/>
    <cellStyle name="Total 5 2 3 9 3" xfId="38790" xr:uid="{00000000-0005-0000-0000-000038A00000}"/>
    <cellStyle name="Total 5 2 3 9 4" xfId="17650" xr:uid="{00000000-0005-0000-0000-000039A00000}"/>
    <cellStyle name="Total 5 2 4" xfId="843" xr:uid="{00000000-0005-0000-0000-00003AA00000}"/>
    <cellStyle name="Total 5 2 4 10" xfId="19828" xr:uid="{00000000-0005-0000-0000-00003BA00000}"/>
    <cellStyle name="Total 5 2 4 11" xfId="30673" xr:uid="{00000000-0005-0000-0000-00003CA00000}"/>
    <cellStyle name="Total 5 2 4 12" xfId="11835" xr:uid="{00000000-0005-0000-0000-00003DA00000}"/>
    <cellStyle name="Total 5 2 4 2" xfId="1430" xr:uid="{00000000-0005-0000-0000-00003EA00000}"/>
    <cellStyle name="Total 5 2 4 2 2" xfId="4283" xr:uid="{00000000-0005-0000-0000-00003FA00000}"/>
    <cellStyle name="Total 5 2 4 2 2 2" xfId="23255" xr:uid="{00000000-0005-0000-0000-000040A00000}"/>
    <cellStyle name="Total 5 2 4 2 2 3" xfId="34100" xr:uid="{00000000-0005-0000-0000-000041A00000}"/>
    <cellStyle name="Total 5 2 4 2 2 4" xfId="14296" xr:uid="{00000000-0005-0000-0000-000042A00000}"/>
    <cellStyle name="Total 5 2 4 2 3" xfId="6956" xr:uid="{00000000-0005-0000-0000-000043A00000}"/>
    <cellStyle name="Total 5 2 4 2 3 2" xfId="25928" xr:uid="{00000000-0005-0000-0000-000044A00000}"/>
    <cellStyle name="Total 5 2 4 2 3 3" xfId="36773" xr:uid="{00000000-0005-0000-0000-000045A00000}"/>
    <cellStyle name="Total 5 2 4 2 3 4" xfId="16211" xr:uid="{00000000-0005-0000-0000-000046A00000}"/>
    <cellStyle name="Total 5 2 4 2 4" xfId="9615" xr:uid="{00000000-0005-0000-0000-000047A00000}"/>
    <cellStyle name="Total 5 2 4 2 4 2" xfId="28587" xr:uid="{00000000-0005-0000-0000-000048A00000}"/>
    <cellStyle name="Total 5 2 4 2 4 3" xfId="39432" xr:uid="{00000000-0005-0000-0000-000049A00000}"/>
    <cellStyle name="Total 5 2 4 2 4 4" xfId="18115" xr:uid="{00000000-0005-0000-0000-00004AA00000}"/>
    <cellStyle name="Total 5 2 4 2 5" xfId="20411" xr:uid="{00000000-0005-0000-0000-00004BA00000}"/>
    <cellStyle name="Total 5 2 4 2 6" xfId="31256" xr:uid="{00000000-0005-0000-0000-00004CA00000}"/>
    <cellStyle name="Total 5 2 4 2 7" xfId="12261" xr:uid="{00000000-0005-0000-0000-00004DA00000}"/>
    <cellStyle name="Total 5 2 4 3" xfId="1829" xr:uid="{00000000-0005-0000-0000-00004EA00000}"/>
    <cellStyle name="Total 5 2 4 3 2" xfId="4682" xr:uid="{00000000-0005-0000-0000-00004FA00000}"/>
    <cellStyle name="Total 5 2 4 3 2 2" xfId="23654" xr:uid="{00000000-0005-0000-0000-000050A00000}"/>
    <cellStyle name="Total 5 2 4 3 2 3" xfId="34499" xr:uid="{00000000-0005-0000-0000-000051A00000}"/>
    <cellStyle name="Total 5 2 4 3 2 4" xfId="14583" xr:uid="{00000000-0005-0000-0000-000052A00000}"/>
    <cellStyle name="Total 5 2 4 3 3" xfId="7354" xr:uid="{00000000-0005-0000-0000-000053A00000}"/>
    <cellStyle name="Total 5 2 4 3 3 2" xfId="26326" xr:uid="{00000000-0005-0000-0000-000054A00000}"/>
    <cellStyle name="Total 5 2 4 3 3 3" xfId="37171" xr:uid="{00000000-0005-0000-0000-000055A00000}"/>
    <cellStyle name="Total 5 2 4 3 3 4" xfId="16497" xr:uid="{00000000-0005-0000-0000-000056A00000}"/>
    <cellStyle name="Total 5 2 4 3 4" xfId="10013" xr:uid="{00000000-0005-0000-0000-000057A00000}"/>
    <cellStyle name="Total 5 2 4 3 4 2" xfId="28985" xr:uid="{00000000-0005-0000-0000-000058A00000}"/>
    <cellStyle name="Total 5 2 4 3 4 3" xfId="39830" xr:uid="{00000000-0005-0000-0000-000059A00000}"/>
    <cellStyle name="Total 5 2 4 3 4 4" xfId="18401" xr:uid="{00000000-0005-0000-0000-00005AA00000}"/>
    <cellStyle name="Total 5 2 4 3 5" xfId="20809" xr:uid="{00000000-0005-0000-0000-00005BA00000}"/>
    <cellStyle name="Total 5 2 4 3 6" xfId="31654" xr:uid="{00000000-0005-0000-0000-00005CA00000}"/>
    <cellStyle name="Total 5 2 4 3 7" xfId="12547" xr:uid="{00000000-0005-0000-0000-00005DA00000}"/>
    <cellStyle name="Total 5 2 4 4" xfId="2233" xr:uid="{00000000-0005-0000-0000-00005EA00000}"/>
    <cellStyle name="Total 5 2 4 4 2" xfId="5086" xr:uid="{00000000-0005-0000-0000-00005FA00000}"/>
    <cellStyle name="Total 5 2 4 4 2 2" xfId="24058" xr:uid="{00000000-0005-0000-0000-000060A00000}"/>
    <cellStyle name="Total 5 2 4 4 2 3" xfId="34903" xr:uid="{00000000-0005-0000-0000-000061A00000}"/>
    <cellStyle name="Total 5 2 4 4 2 4" xfId="14870" xr:uid="{00000000-0005-0000-0000-000062A00000}"/>
    <cellStyle name="Total 5 2 4 4 3" xfId="7757" xr:uid="{00000000-0005-0000-0000-000063A00000}"/>
    <cellStyle name="Total 5 2 4 4 3 2" xfId="26729" xr:uid="{00000000-0005-0000-0000-000064A00000}"/>
    <cellStyle name="Total 5 2 4 4 3 3" xfId="37574" xr:uid="{00000000-0005-0000-0000-000065A00000}"/>
    <cellStyle name="Total 5 2 4 4 3 4" xfId="16783" xr:uid="{00000000-0005-0000-0000-000066A00000}"/>
    <cellStyle name="Total 5 2 4 4 4" xfId="10416" xr:uid="{00000000-0005-0000-0000-000067A00000}"/>
    <cellStyle name="Total 5 2 4 4 4 2" xfId="29388" xr:uid="{00000000-0005-0000-0000-000068A00000}"/>
    <cellStyle name="Total 5 2 4 4 4 3" xfId="40233" xr:uid="{00000000-0005-0000-0000-000069A00000}"/>
    <cellStyle name="Total 5 2 4 4 4 4" xfId="18687" xr:uid="{00000000-0005-0000-0000-00006AA00000}"/>
    <cellStyle name="Total 5 2 4 4 5" xfId="21212" xr:uid="{00000000-0005-0000-0000-00006BA00000}"/>
    <cellStyle name="Total 5 2 4 4 6" xfId="32057" xr:uid="{00000000-0005-0000-0000-00006CA00000}"/>
    <cellStyle name="Total 5 2 4 4 7" xfId="12833" xr:uid="{00000000-0005-0000-0000-00006DA00000}"/>
    <cellStyle name="Total 5 2 4 5" xfId="2623" xr:uid="{00000000-0005-0000-0000-00006EA00000}"/>
    <cellStyle name="Total 5 2 4 5 2" xfId="5475" xr:uid="{00000000-0005-0000-0000-00006FA00000}"/>
    <cellStyle name="Total 5 2 4 5 2 2" xfId="24447" xr:uid="{00000000-0005-0000-0000-000070A00000}"/>
    <cellStyle name="Total 5 2 4 5 2 3" xfId="35292" xr:uid="{00000000-0005-0000-0000-000071A00000}"/>
    <cellStyle name="Total 5 2 4 5 2 4" xfId="15149" xr:uid="{00000000-0005-0000-0000-000072A00000}"/>
    <cellStyle name="Total 5 2 4 5 3" xfId="8146" xr:uid="{00000000-0005-0000-0000-000073A00000}"/>
    <cellStyle name="Total 5 2 4 5 3 2" xfId="27118" xr:uid="{00000000-0005-0000-0000-000074A00000}"/>
    <cellStyle name="Total 5 2 4 5 3 3" xfId="37963" xr:uid="{00000000-0005-0000-0000-000075A00000}"/>
    <cellStyle name="Total 5 2 4 5 3 4" xfId="17062" xr:uid="{00000000-0005-0000-0000-000076A00000}"/>
    <cellStyle name="Total 5 2 4 5 4" xfId="10805" xr:uid="{00000000-0005-0000-0000-000077A00000}"/>
    <cellStyle name="Total 5 2 4 5 4 2" xfId="29777" xr:uid="{00000000-0005-0000-0000-000078A00000}"/>
    <cellStyle name="Total 5 2 4 5 4 3" xfId="40622" xr:uid="{00000000-0005-0000-0000-000079A00000}"/>
    <cellStyle name="Total 5 2 4 5 4 4" xfId="18966" xr:uid="{00000000-0005-0000-0000-00007AA00000}"/>
    <cellStyle name="Total 5 2 4 5 5" xfId="21601" xr:uid="{00000000-0005-0000-0000-00007BA00000}"/>
    <cellStyle name="Total 5 2 4 5 6" xfId="32446" xr:uid="{00000000-0005-0000-0000-00007CA00000}"/>
    <cellStyle name="Total 5 2 4 5 7" xfId="13112" xr:uid="{00000000-0005-0000-0000-00007DA00000}"/>
    <cellStyle name="Total 5 2 4 6" xfId="3009" xr:uid="{00000000-0005-0000-0000-00007EA00000}"/>
    <cellStyle name="Total 5 2 4 6 2" xfId="5860" xr:uid="{00000000-0005-0000-0000-00007FA00000}"/>
    <cellStyle name="Total 5 2 4 6 2 2" xfId="24832" xr:uid="{00000000-0005-0000-0000-000080A00000}"/>
    <cellStyle name="Total 5 2 4 6 2 3" xfId="35677" xr:uid="{00000000-0005-0000-0000-000081A00000}"/>
    <cellStyle name="Total 5 2 4 6 2 4" xfId="15425" xr:uid="{00000000-0005-0000-0000-000082A00000}"/>
    <cellStyle name="Total 5 2 4 6 3" xfId="8531" xr:uid="{00000000-0005-0000-0000-000083A00000}"/>
    <cellStyle name="Total 5 2 4 6 3 2" xfId="27503" xr:uid="{00000000-0005-0000-0000-000084A00000}"/>
    <cellStyle name="Total 5 2 4 6 3 3" xfId="38348" xr:uid="{00000000-0005-0000-0000-000085A00000}"/>
    <cellStyle name="Total 5 2 4 6 3 4" xfId="17338" xr:uid="{00000000-0005-0000-0000-000086A00000}"/>
    <cellStyle name="Total 5 2 4 6 4" xfId="11190" xr:uid="{00000000-0005-0000-0000-000087A00000}"/>
    <cellStyle name="Total 5 2 4 6 4 2" xfId="30162" xr:uid="{00000000-0005-0000-0000-000088A00000}"/>
    <cellStyle name="Total 5 2 4 6 4 3" xfId="41007" xr:uid="{00000000-0005-0000-0000-000089A00000}"/>
    <cellStyle name="Total 5 2 4 6 4 4" xfId="19242" xr:uid="{00000000-0005-0000-0000-00008AA00000}"/>
    <cellStyle name="Total 5 2 4 6 5" xfId="21986" xr:uid="{00000000-0005-0000-0000-00008BA00000}"/>
    <cellStyle name="Total 5 2 4 6 6" xfId="32831" xr:uid="{00000000-0005-0000-0000-00008CA00000}"/>
    <cellStyle name="Total 5 2 4 6 7" xfId="13388" xr:uid="{00000000-0005-0000-0000-00008DA00000}"/>
    <cellStyle name="Total 5 2 4 7" xfId="3698" xr:uid="{00000000-0005-0000-0000-00008EA00000}"/>
    <cellStyle name="Total 5 2 4 7 2" xfId="22670" xr:uid="{00000000-0005-0000-0000-00008FA00000}"/>
    <cellStyle name="Total 5 2 4 7 3" xfId="33515" xr:uid="{00000000-0005-0000-0000-000090A00000}"/>
    <cellStyle name="Total 5 2 4 7 4" xfId="13869" xr:uid="{00000000-0005-0000-0000-000091A00000}"/>
    <cellStyle name="Total 5 2 4 8" xfId="6373" xr:uid="{00000000-0005-0000-0000-000092A00000}"/>
    <cellStyle name="Total 5 2 4 8 2" xfId="25345" xr:uid="{00000000-0005-0000-0000-000093A00000}"/>
    <cellStyle name="Total 5 2 4 8 3" xfId="36190" xr:uid="{00000000-0005-0000-0000-000094A00000}"/>
    <cellStyle name="Total 5 2 4 8 4" xfId="15785" xr:uid="{00000000-0005-0000-0000-000095A00000}"/>
    <cellStyle name="Total 5 2 4 9" xfId="9032" xr:uid="{00000000-0005-0000-0000-000096A00000}"/>
    <cellStyle name="Total 5 2 4 9 2" xfId="28004" xr:uid="{00000000-0005-0000-0000-000097A00000}"/>
    <cellStyle name="Total 5 2 4 9 3" xfId="38849" xr:uid="{00000000-0005-0000-0000-000098A00000}"/>
    <cellStyle name="Total 5 2 4 9 4" xfId="17689" xr:uid="{00000000-0005-0000-0000-000099A00000}"/>
    <cellStyle name="Total 5 2 5" xfId="902" xr:uid="{00000000-0005-0000-0000-00009AA00000}"/>
    <cellStyle name="Total 5 2 5 10" xfId="19887" xr:uid="{00000000-0005-0000-0000-00009BA00000}"/>
    <cellStyle name="Total 5 2 5 11" xfId="30732" xr:uid="{00000000-0005-0000-0000-00009CA00000}"/>
    <cellStyle name="Total 5 2 5 12" xfId="11874" xr:uid="{00000000-0005-0000-0000-00009DA00000}"/>
    <cellStyle name="Total 5 2 5 2" xfId="1489" xr:uid="{00000000-0005-0000-0000-00009EA00000}"/>
    <cellStyle name="Total 5 2 5 2 2" xfId="4342" xr:uid="{00000000-0005-0000-0000-00009FA00000}"/>
    <cellStyle name="Total 5 2 5 2 2 2" xfId="23314" xr:uid="{00000000-0005-0000-0000-0000A0A00000}"/>
    <cellStyle name="Total 5 2 5 2 2 3" xfId="34159" xr:uid="{00000000-0005-0000-0000-0000A1A00000}"/>
    <cellStyle name="Total 5 2 5 2 2 4" xfId="14335" xr:uid="{00000000-0005-0000-0000-0000A2A00000}"/>
    <cellStyle name="Total 5 2 5 2 3" xfId="7015" xr:uid="{00000000-0005-0000-0000-0000A3A00000}"/>
    <cellStyle name="Total 5 2 5 2 3 2" xfId="25987" xr:uid="{00000000-0005-0000-0000-0000A4A00000}"/>
    <cellStyle name="Total 5 2 5 2 3 3" xfId="36832" xr:uid="{00000000-0005-0000-0000-0000A5A00000}"/>
    <cellStyle name="Total 5 2 5 2 3 4" xfId="16250" xr:uid="{00000000-0005-0000-0000-0000A6A00000}"/>
    <cellStyle name="Total 5 2 5 2 4" xfId="9674" xr:uid="{00000000-0005-0000-0000-0000A7A00000}"/>
    <cellStyle name="Total 5 2 5 2 4 2" xfId="28646" xr:uid="{00000000-0005-0000-0000-0000A8A00000}"/>
    <cellStyle name="Total 5 2 5 2 4 3" xfId="39491" xr:uid="{00000000-0005-0000-0000-0000A9A00000}"/>
    <cellStyle name="Total 5 2 5 2 4 4" xfId="18154" xr:uid="{00000000-0005-0000-0000-0000AAA00000}"/>
    <cellStyle name="Total 5 2 5 2 5" xfId="20470" xr:uid="{00000000-0005-0000-0000-0000ABA00000}"/>
    <cellStyle name="Total 5 2 5 2 6" xfId="31315" xr:uid="{00000000-0005-0000-0000-0000ACA00000}"/>
    <cellStyle name="Total 5 2 5 2 7" xfId="12300" xr:uid="{00000000-0005-0000-0000-0000ADA00000}"/>
    <cellStyle name="Total 5 2 5 3" xfId="1888" xr:uid="{00000000-0005-0000-0000-0000AEA00000}"/>
    <cellStyle name="Total 5 2 5 3 2" xfId="4741" xr:uid="{00000000-0005-0000-0000-0000AFA00000}"/>
    <cellStyle name="Total 5 2 5 3 2 2" xfId="23713" xr:uid="{00000000-0005-0000-0000-0000B0A00000}"/>
    <cellStyle name="Total 5 2 5 3 2 3" xfId="34558" xr:uid="{00000000-0005-0000-0000-0000B1A00000}"/>
    <cellStyle name="Total 5 2 5 3 2 4" xfId="14622" xr:uid="{00000000-0005-0000-0000-0000B2A00000}"/>
    <cellStyle name="Total 5 2 5 3 3" xfId="7413" xr:uid="{00000000-0005-0000-0000-0000B3A00000}"/>
    <cellStyle name="Total 5 2 5 3 3 2" xfId="26385" xr:uid="{00000000-0005-0000-0000-0000B4A00000}"/>
    <cellStyle name="Total 5 2 5 3 3 3" xfId="37230" xr:uid="{00000000-0005-0000-0000-0000B5A00000}"/>
    <cellStyle name="Total 5 2 5 3 3 4" xfId="16536" xr:uid="{00000000-0005-0000-0000-0000B6A00000}"/>
    <cellStyle name="Total 5 2 5 3 4" xfId="10072" xr:uid="{00000000-0005-0000-0000-0000B7A00000}"/>
    <cellStyle name="Total 5 2 5 3 4 2" xfId="29044" xr:uid="{00000000-0005-0000-0000-0000B8A00000}"/>
    <cellStyle name="Total 5 2 5 3 4 3" xfId="39889" xr:uid="{00000000-0005-0000-0000-0000B9A00000}"/>
    <cellStyle name="Total 5 2 5 3 4 4" xfId="18440" xr:uid="{00000000-0005-0000-0000-0000BAA00000}"/>
    <cellStyle name="Total 5 2 5 3 5" xfId="20868" xr:uid="{00000000-0005-0000-0000-0000BBA00000}"/>
    <cellStyle name="Total 5 2 5 3 6" xfId="31713" xr:uid="{00000000-0005-0000-0000-0000BCA00000}"/>
    <cellStyle name="Total 5 2 5 3 7" xfId="12586" xr:uid="{00000000-0005-0000-0000-0000BDA00000}"/>
    <cellStyle name="Total 5 2 5 4" xfId="2292" xr:uid="{00000000-0005-0000-0000-0000BEA00000}"/>
    <cellStyle name="Total 5 2 5 4 2" xfId="5145" xr:uid="{00000000-0005-0000-0000-0000BFA00000}"/>
    <cellStyle name="Total 5 2 5 4 2 2" xfId="24117" xr:uid="{00000000-0005-0000-0000-0000C0A00000}"/>
    <cellStyle name="Total 5 2 5 4 2 3" xfId="34962" xr:uid="{00000000-0005-0000-0000-0000C1A00000}"/>
    <cellStyle name="Total 5 2 5 4 2 4" xfId="14909" xr:uid="{00000000-0005-0000-0000-0000C2A00000}"/>
    <cellStyle name="Total 5 2 5 4 3" xfId="7816" xr:uid="{00000000-0005-0000-0000-0000C3A00000}"/>
    <cellStyle name="Total 5 2 5 4 3 2" xfId="26788" xr:uid="{00000000-0005-0000-0000-0000C4A00000}"/>
    <cellStyle name="Total 5 2 5 4 3 3" xfId="37633" xr:uid="{00000000-0005-0000-0000-0000C5A00000}"/>
    <cellStyle name="Total 5 2 5 4 3 4" xfId="16822" xr:uid="{00000000-0005-0000-0000-0000C6A00000}"/>
    <cellStyle name="Total 5 2 5 4 4" xfId="10475" xr:uid="{00000000-0005-0000-0000-0000C7A00000}"/>
    <cellStyle name="Total 5 2 5 4 4 2" xfId="29447" xr:uid="{00000000-0005-0000-0000-0000C8A00000}"/>
    <cellStyle name="Total 5 2 5 4 4 3" xfId="40292" xr:uid="{00000000-0005-0000-0000-0000C9A00000}"/>
    <cellStyle name="Total 5 2 5 4 4 4" xfId="18726" xr:uid="{00000000-0005-0000-0000-0000CAA00000}"/>
    <cellStyle name="Total 5 2 5 4 5" xfId="21271" xr:uid="{00000000-0005-0000-0000-0000CBA00000}"/>
    <cellStyle name="Total 5 2 5 4 6" xfId="32116" xr:uid="{00000000-0005-0000-0000-0000CCA00000}"/>
    <cellStyle name="Total 5 2 5 4 7" xfId="12872" xr:uid="{00000000-0005-0000-0000-0000CDA00000}"/>
    <cellStyle name="Total 5 2 5 5" xfId="2682" xr:uid="{00000000-0005-0000-0000-0000CEA00000}"/>
    <cellStyle name="Total 5 2 5 5 2" xfId="5534" xr:uid="{00000000-0005-0000-0000-0000CFA00000}"/>
    <cellStyle name="Total 5 2 5 5 2 2" xfId="24506" xr:uid="{00000000-0005-0000-0000-0000D0A00000}"/>
    <cellStyle name="Total 5 2 5 5 2 3" xfId="35351" xr:uid="{00000000-0005-0000-0000-0000D1A00000}"/>
    <cellStyle name="Total 5 2 5 5 2 4" xfId="15188" xr:uid="{00000000-0005-0000-0000-0000D2A00000}"/>
    <cellStyle name="Total 5 2 5 5 3" xfId="8205" xr:uid="{00000000-0005-0000-0000-0000D3A00000}"/>
    <cellStyle name="Total 5 2 5 5 3 2" xfId="27177" xr:uid="{00000000-0005-0000-0000-0000D4A00000}"/>
    <cellStyle name="Total 5 2 5 5 3 3" xfId="38022" xr:uid="{00000000-0005-0000-0000-0000D5A00000}"/>
    <cellStyle name="Total 5 2 5 5 3 4" xfId="17101" xr:uid="{00000000-0005-0000-0000-0000D6A00000}"/>
    <cellStyle name="Total 5 2 5 5 4" xfId="10864" xr:uid="{00000000-0005-0000-0000-0000D7A00000}"/>
    <cellStyle name="Total 5 2 5 5 4 2" xfId="29836" xr:uid="{00000000-0005-0000-0000-0000D8A00000}"/>
    <cellStyle name="Total 5 2 5 5 4 3" xfId="40681" xr:uid="{00000000-0005-0000-0000-0000D9A00000}"/>
    <cellStyle name="Total 5 2 5 5 4 4" xfId="19005" xr:uid="{00000000-0005-0000-0000-0000DAA00000}"/>
    <cellStyle name="Total 5 2 5 5 5" xfId="21660" xr:uid="{00000000-0005-0000-0000-0000DBA00000}"/>
    <cellStyle name="Total 5 2 5 5 6" xfId="32505" xr:uid="{00000000-0005-0000-0000-0000DCA00000}"/>
    <cellStyle name="Total 5 2 5 5 7" xfId="13151" xr:uid="{00000000-0005-0000-0000-0000DDA00000}"/>
    <cellStyle name="Total 5 2 5 6" xfId="3068" xr:uid="{00000000-0005-0000-0000-0000DEA00000}"/>
    <cellStyle name="Total 5 2 5 6 2" xfId="5919" xr:uid="{00000000-0005-0000-0000-0000DFA00000}"/>
    <cellStyle name="Total 5 2 5 6 2 2" xfId="24891" xr:uid="{00000000-0005-0000-0000-0000E0A00000}"/>
    <cellStyle name="Total 5 2 5 6 2 3" xfId="35736" xr:uid="{00000000-0005-0000-0000-0000E1A00000}"/>
    <cellStyle name="Total 5 2 5 6 2 4" xfId="15464" xr:uid="{00000000-0005-0000-0000-0000E2A00000}"/>
    <cellStyle name="Total 5 2 5 6 3" xfId="8590" xr:uid="{00000000-0005-0000-0000-0000E3A00000}"/>
    <cellStyle name="Total 5 2 5 6 3 2" xfId="27562" xr:uid="{00000000-0005-0000-0000-0000E4A00000}"/>
    <cellStyle name="Total 5 2 5 6 3 3" xfId="38407" xr:uid="{00000000-0005-0000-0000-0000E5A00000}"/>
    <cellStyle name="Total 5 2 5 6 3 4" xfId="17377" xr:uid="{00000000-0005-0000-0000-0000E6A00000}"/>
    <cellStyle name="Total 5 2 5 6 4" xfId="11249" xr:uid="{00000000-0005-0000-0000-0000E7A00000}"/>
    <cellStyle name="Total 5 2 5 6 4 2" xfId="30221" xr:uid="{00000000-0005-0000-0000-0000E8A00000}"/>
    <cellStyle name="Total 5 2 5 6 4 3" xfId="41066" xr:uid="{00000000-0005-0000-0000-0000E9A00000}"/>
    <cellStyle name="Total 5 2 5 6 4 4" xfId="19281" xr:uid="{00000000-0005-0000-0000-0000EAA00000}"/>
    <cellStyle name="Total 5 2 5 6 5" xfId="22045" xr:uid="{00000000-0005-0000-0000-0000EBA00000}"/>
    <cellStyle name="Total 5 2 5 6 6" xfId="32890" xr:uid="{00000000-0005-0000-0000-0000ECA00000}"/>
    <cellStyle name="Total 5 2 5 6 7" xfId="13427" xr:uid="{00000000-0005-0000-0000-0000EDA00000}"/>
    <cellStyle name="Total 5 2 5 7" xfId="3757" xr:uid="{00000000-0005-0000-0000-0000EEA00000}"/>
    <cellStyle name="Total 5 2 5 7 2" xfId="22729" xr:uid="{00000000-0005-0000-0000-0000EFA00000}"/>
    <cellStyle name="Total 5 2 5 7 3" xfId="33574" xr:uid="{00000000-0005-0000-0000-0000F0A00000}"/>
    <cellStyle name="Total 5 2 5 7 4" xfId="13908" xr:uid="{00000000-0005-0000-0000-0000F1A00000}"/>
    <cellStyle name="Total 5 2 5 8" xfId="6432" xr:uid="{00000000-0005-0000-0000-0000F2A00000}"/>
    <cellStyle name="Total 5 2 5 8 2" xfId="25404" xr:uid="{00000000-0005-0000-0000-0000F3A00000}"/>
    <cellStyle name="Total 5 2 5 8 3" xfId="36249" xr:uid="{00000000-0005-0000-0000-0000F4A00000}"/>
    <cellStyle name="Total 5 2 5 8 4" xfId="15824" xr:uid="{00000000-0005-0000-0000-0000F5A00000}"/>
    <cellStyle name="Total 5 2 5 9" xfId="9091" xr:uid="{00000000-0005-0000-0000-0000F6A00000}"/>
    <cellStyle name="Total 5 2 5 9 2" xfId="28063" xr:uid="{00000000-0005-0000-0000-0000F7A00000}"/>
    <cellStyle name="Total 5 2 5 9 3" xfId="38908" xr:uid="{00000000-0005-0000-0000-0000F8A00000}"/>
    <cellStyle name="Total 5 2 5 9 4" xfId="17728" xr:uid="{00000000-0005-0000-0000-0000F9A00000}"/>
    <cellStyle name="Total 5 2 6" xfId="1132" xr:uid="{00000000-0005-0000-0000-0000FAA00000}"/>
    <cellStyle name="Total 5 2 6 2" xfId="3985" xr:uid="{00000000-0005-0000-0000-0000FBA00000}"/>
    <cellStyle name="Total 5 2 6 2 2" xfId="22957" xr:uid="{00000000-0005-0000-0000-0000FCA00000}"/>
    <cellStyle name="Total 5 2 6 2 3" xfId="33802" xr:uid="{00000000-0005-0000-0000-0000FDA00000}"/>
    <cellStyle name="Total 5 2 6 2 4" xfId="14077" xr:uid="{00000000-0005-0000-0000-0000FEA00000}"/>
    <cellStyle name="Total 5 2 6 3" xfId="6658" xr:uid="{00000000-0005-0000-0000-0000FFA00000}"/>
    <cellStyle name="Total 5 2 6 3 2" xfId="25630" xr:uid="{00000000-0005-0000-0000-000000A10000}"/>
    <cellStyle name="Total 5 2 6 3 3" xfId="36475" xr:uid="{00000000-0005-0000-0000-000001A10000}"/>
    <cellStyle name="Total 5 2 6 3 4" xfId="15992" xr:uid="{00000000-0005-0000-0000-000002A10000}"/>
    <cellStyle name="Total 5 2 6 4" xfId="9317" xr:uid="{00000000-0005-0000-0000-000003A10000}"/>
    <cellStyle name="Total 5 2 6 4 2" xfId="28289" xr:uid="{00000000-0005-0000-0000-000004A10000}"/>
    <cellStyle name="Total 5 2 6 4 3" xfId="39134" xr:uid="{00000000-0005-0000-0000-000005A10000}"/>
    <cellStyle name="Total 5 2 6 4 4" xfId="17896" xr:uid="{00000000-0005-0000-0000-000006A10000}"/>
    <cellStyle name="Total 5 2 6 5" xfId="20113" xr:uid="{00000000-0005-0000-0000-000007A10000}"/>
    <cellStyle name="Total 5 2 6 6" xfId="30958" xr:uid="{00000000-0005-0000-0000-000008A10000}"/>
    <cellStyle name="Total 5 2 6 7" xfId="12042" xr:uid="{00000000-0005-0000-0000-000009A10000}"/>
    <cellStyle name="Total 5 2 7" xfId="1528" xr:uid="{00000000-0005-0000-0000-00000AA10000}"/>
    <cellStyle name="Total 5 2 7 2" xfId="4381" xr:uid="{00000000-0005-0000-0000-00000BA10000}"/>
    <cellStyle name="Total 5 2 7 2 2" xfId="23353" xr:uid="{00000000-0005-0000-0000-00000CA10000}"/>
    <cellStyle name="Total 5 2 7 2 3" xfId="34198" xr:uid="{00000000-0005-0000-0000-00000DA10000}"/>
    <cellStyle name="Total 5 2 7 2 4" xfId="14363" xr:uid="{00000000-0005-0000-0000-00000EA10000}"/>
    <cellStyle name="Total 5 2 7 3" xfId="7054" xr:uid="{00000000-0005-0000-0000-00000FA10000}"/>
    <cellStyle name="Total 5 2 7 3 2" xfId="26026" xr:uid="{00000000-0005-0000-0000-000010A10000}"/>
    <cellStyle name="Total 5 2 7 3 3" xfId="36871" xr:uid="{00000000-0005-0000-0000-000011A10000}"/>
    <cellStyle name="Total 5 2 7 3 4" xfId="16278" xr:uid="{00000000-0005-0000-0000-000012A10000}"/>
    <cellStyle name="Total 5 2 7 4" xfId="9713" xr:uid="{00000000-0005-0000-0000-000013A10000}"/>
    <cellStyle name="Total 5 2 7 4 2" xfId="28685" xr:uid="{00000000-0005-0000-0000-000014A10000}"/>
    <cellStyle name="Total 5 2 7 4 3" xfId="39530" xr:uid="{00000000-0005-0000-0000-000015A10000}"/>
    <cellStyle name="Total 5 2 7 4 4" xfId="18182" xr:uid="{00000000-0005-0000-0000-000016A10000}"/>
    <cellStyle name="Total 5 2 7 5" xfId="20509" xr:uid="{00000000-0005-0000-0000-000017A10000}"/>
    <cellStyle name="Total 5 2 7 6" xfId="31354" xr:uid="{00000000-0005-0000-0000-000018A10000}"/>
    <cellStyle name="Total 5 2 7 7" xfId="12328" xr:uid="{00000000-0005-0000-0000-000019A10000}"/>
    <cellStyle name="Total 5 2 8" xfId="1934" xr:uid="{00000000-0005-0000-0000-00001AA10000}"/>
    <cellStyle name="Total 5 2 8 2" xfId="4787" xr:uid="{00000000-0005-0000-0000-00001BA10000}"/>
    <cellStyle name="Total 5 2 8 2 2" xfId="23759" xr:uid="{00000000-0005-0000-0000-00001CA10000}"/>
    <cellStyle name="Total 5 2 8 2 3" xfId="34604" xr:uid="{00000000-0005-0000-0000-00001DA10000}"/>
    <cellStyle name="Total 5 2 8 2 4" xfId="14652" xr:uid="{00000000-0005-0000-0000-00001EA10000}"/>
    <cellStyle name="Total 5 2 8 3" xfId="7459" xr:uid="{00000000-0005-0000-0000-00001FA10000}"/>
    <cellStyle name="Total 5 2 8 3 2" xfId="26431" xr:uid="{00000000-0005-0000-0000-000020A10000}"/>
    <cellStyle name="Total 5 2 8 3 3" xfId="37276" xr:uid="{00000000-0005-0000-0000-000021A10000}"/>
    <cellStyle name="Total 5 2 8 3 4" xfId="16566" xr:uid="{00000000-0005-0000-0000-000022A10000}"/>
    <cellStyle name="Total 5 2 8 4" xfId="10118" xr:uid="{00000000-0005-0000-0000-000023A10000}"/>
    <cellStyle name="Total 5 2 8 4 2" xfId="29090" xr:uid="{00000000-0005-0000-0000-000024A10000}"/>
    <cellStyle name="Total 5 2 8 4 3" xfId="39935" xr:uid="{00000000-0005-0000-0000-000025A10000}"/>
    <cellStyle name="Total 5 2 8 4 4" xfId="18470" xr:uid="{00000000-0005-0000-0000-000026A10000}"/>
    <cellStyle name="Total 5 2 8 5" xfId="20914" xr:uid="{00000000-0005-0000-0000-000027A10000}"/>
    <cellStyle name="Total 5 2 8 6" xfId="31759" xr:uid="{00000000-0005-0000-0000-000028A10000}"/>
    <cellStyle name="Total 5 2 8 7" xfId="12616" xr:uid="{00000000-0005-0000-0000-000029A10000}"/>
    <cellStyle name="Total 5 2 9" xfId="2327" xr:uid="{00000000-0005-0000-0000-00002AA10000}"/>
    <cellStyle name="Total 5 2 9 2" xfId="5180" xr:uid="{00000000-0005-0000-0000-00002BA10000}"/>
    <cellStyle name="Total 5 2 9 2 2" xfId="24152" xr:uid="{00000000-0005-0000-0000-00002CA10000}"/>
    <cellStyle name="Total 5 2 9 2 3" xfId="34997" xr:uid="{00000000-0005-0000-0000-00002DA10000}"/>
    <cellStyle name="Total 5 2 9 2 4" xfId="14934" xr:uid="{00000000-0005-0000-0000-00002EA10000}"/>
    <cellStyle name="Total 5 2 9 3" xfId="7851" xr:uid="{00000000-0005-0000-0000-00002FA10000}"/>
    <cellStyle name="Total 5 2 9 3 2" xfId="26823" xr:uid="{00000000-0005-0000-0000-000030A10000}"/>
    <cellStyle name="Total 5 2 9 3 3" xfId="37668" xr:uid="{00000000-0005-0000-0000-000031A10000}"/>
    <cellStyle name="Total 5 2 9 3 4" xfId="16847" xr:uid="{00000000-0005-0000-0000-000032A10000}"/>
    <cellStyle name="Total 5 2 9 4" xfId="10510" xr:uid="{00000000-0005-0000-0000-000033A10000}"/>
    <cellStyle name="Total 5 2 9 4 2" xfId="29482" xr:uid="{00000000-0005-0000-0000-000034A10000}"/>
    <cellStyle name="Total 5 2 9 4 3" xfId="40327" xr:uid="{00000000-0005-0000-0000-000035A10000}"/>
    <cellStyle name="Total 5 2 9 4 4" xfId="18751" xr:uid="{00000000-0005-0000-0000-000036A10000}"/>
    <cellStyle name="Total 5 2 9 5" xfId="21306" xr:uid="{00000000-0005-0000-0000-000037A10000}"/>
    <cellStyle name="Total 5 2 9 6" xfId="32151" xr:uid="{00000000-0005-0000-0000-000038A10000}"/>
    <cellStyle name="Total 5 2 9 7" xfId="12897" xr:uid="{00000000-0005-0000-0000-000039A10000}"/>
    <cellStyle name="Total 5 3" xfId="622" xr:uid="{00000000-0005-0000-0000-00003AA10000}"/>
    <cellStyle name="Total 5 3 10" xfId="19629" xr:uid="{00000000-0005-0000-0000-00003BA10000}"/>
    <cellStyle name="Total 5 3 11" xfId="30474" xr:uid="{00000000-0005-0000-0000-00003CA10000}"/>
    <cellStyle name="Total 5 3 12" xfId="11677" xr:uid="{00000000-0005-0000-0000-00003DA10000}"/>
    <cellStyle name="Total 5 3 2" xfId="1226" xr:uid="{00000000-0005-0000-0000-00003EA10000}"/>
    <cellStyle name="Total 5 3 2 2" xfId="4079" xr:uid="{00000000-0005-0000-0000-00003FA10000}"/>
    <cellStyle name="Total 5 3 2 2 2" xfId="23051" xr:uid="{00000000-0005-0000-0000-000040A10000}"/>
    <cellStyle name="Total 5 3 2 2 3" xfId="33896" xr:uid="{00000000-0005-0000-0000-000041A10000}"/>
    <cellStyle name="Total 5 3 2 2 4" xfId="14152" xr:uid="{00000000-0005-0000-0000-000042A10000}"/>
    <cellStyle name="Total 5 3 2 3" xfId="6752" xr:uid="{00000000-0005-0000-0000-000043A10000}"/>
    <cellStyle name="Total 5 3 2 3 2" xfId="25724" xr:uid="{00000000-0005-0000-0000-000044A10000}"/>
    <cellStyle name="Total 5 3 2 3 3" xfId="36569" xr:uid="{00000000-0005-0000-0000-000045A10000}"/>
    <cellStyle name="Total 5 3 2 3 4" xfId="16067" xr:uid="{00000000-0005-0000-0000-000046A10000}"/>
    <cellStyle name="Total 5 3 2 4" xfId="9411" xr:uid="{00000000-0005-0000-0000-000047A10000}"/>
    <cellStyle name="Total 5 3 2 4 2" xfId="28383" xr:uid="{00000000-0005-0000-0000-000048A10000}"/>
    <cellStyle name="Total 5 3 2 4 3" xfId="39228" xr:uid="{00000000-0005-0000-0000-000049A10000}"/>
    <cellStyle name="Total 5 3 2 4 4" xfId="17971" xr:uid="{00000000-0005-0000-0000-00004AA10000}"/>
    <cellStyle name="Total 5 3 2 5" xfId="20207" xr:uid="{00000000-0005-0000-0000-00004BA10000}"/>
    <cellStyle name="Total 5 3 2 6" xfId="31052" xr:uid="{00000000-0005-0000-0000-00004CA10000}"/>
    <cellStyle name="Total 5 3 2 7" xfId="12117" xr:uid="{00000000-0005-0000-0000-00004DA10000}"/>
    <cellStyle name="Total 5 3 3" xfId="1624" xr:uid="{00000000-0005-0000-0000-00004EA10000}"/>
    <cellStyle name="Total 5 3 3 2" xfId="4477" xr:uid="{00000000-0005-0000-0000-00004FA10000}"/>
    <cellStyle name="Total 5 3 3 2 2" xfId="23449" xr:uid="{00000000-0005-0000-0000-000050A10000}"/>
    <cellStyle name="Total 5 3 3 2 3" xfId="34294" xr:uid="{00000000-0005-0000-0000-000051A10000}"/>
    <cellStyle name="Total 5 3 3 2 4" xfId="14439" xr:uid="{00000000-0005-0000-0000-000052A10000}"/>
    <cellStyle name="Total 5 3 3 3" xfId="7149" xr:uid="{00000000-0005-0000-0000-000053A10000}"/>
    <cellStyle name="Total 5 3 3 3 2" xfId="26121" xr:uid="{00000000-0005-0000-0000-000054A10000}"/>
    <cellStyle name="Total 5 3 3 3 3" xfId="36966" xr:uid="{00000000-0005-0000-0000-000055A10000}"/>
    <cellStyle name="Total 5 3 3 3 4" xfId="16353" xr:uid="{00000000-0005-0000-0000-000056A10000}"/>
    <cellStyle name="Total 5 3 3 4" xfId="9808" xr:uid="{00000000-0005-0000-0000-000057A10000}"/>
    <cellStyle name="Total 5 3 3 4 2" xfId="28780" xr:uid="{00000000-0005-0000-0000-000058A10000}"/>
    <cellStyle name="Total 5 3 3 4 3" xfId="39625" xr:uid="{00000000-0005-0000-0000-000059A10000}"/>
    <cellStyle name="Total 5 3 3 4 4" xfId="18257" xr:uid="{00000000-0005-0000-0000-00005AA10000}"/>
    <cellStyle name="Total 5 3 3 5" xfId="20604" xr:uid="{00000000-0005-0000-0000-00005BA10000}"/>
    <cellStyle name="Total 5 3 3 6" xfId="31449" xr:uid="{00000000-0005-0000-0000-00005CA10000}"/>
    <cellStyle name="Total 5 3 3 7" xfId="12403" xr:uid="{00000000-0005-0000-0000-00005DA10000}"/>
    <cellStyle name="Total 5 3 4" xfId="2026" xr:uid="{00000000-0005-0000-0000-00005EA10000}"/>
    <cellStyle name="Total 5 3 4 2" xfId="4879" xr:uid="{00000000-0005-0000-0000-00005FA10000}"/>
    <cellStyle name="Total 5 3 4 2 2" xfId="23851" xr:uid="{00000000-0005-0000-0000-000060A10000}"/>
    <cellStyle name="Total 5 3 4 2 3" xfId="34696" xr:uid="{00000000-0005-0000-0000-000061A10000}"/>
    <cellStyle name="Total 5 3 4 2 4" xfId="14725" xr:uid="{00000000-0005-0000-0000-000062A10000}"/>
    <cellStyle name="Total 5 3 4 3" xfId="7551" xr:uid="{00000000-0005-0000-0000-000063A10000}"/>
    <cellStyle name="Total 5 3 4 3 2" xfId="26523" xr:uid="{00000000-0005-0000-0000-000064A10000}"/>
    <cellStyle name="Total 5 3 4 3 3" xfId="37368" xr:uid="{00000000-0005-0000-0000-000065A10000}"/>
    <cellStyle name="Total 5 3 4 3 4" xfId="16639" xr:uid="{00000000-0005-0000-0000-000066A10000}"/>
    <cellStyle name="Total 5 3 4 4" xfId="10210" xr:uid="{00000000-0005-0000-0000-000067A10000}"/>
    <cellStyle name="Total 5 3 4 4 2" xfId="29182" xr:uid="{00000000-0005-0000-0000-000068A10000}"/>
    <cellStyle name="Total 5 3 4 4 3" xfId="40027" xr:uid="{00000000-0005-0000-0000-000069A10000}"/>
    <cellStyle name="Total 5 3 4 4 4" xfId="18543" xr:uid="{00000000-0005-0000-0000-00006AA10000}"/>
    <cellStyle name="Total 5 3 4 5" xfId="21006" xr:uid="{00000000-0005-0000-0000-00006BA10000}"/>
    <cellStyle name="Total 5 3 4 6" xfId="31851" xr:uid="{00000000-0005-0000-0000-00006CA10000}"/>
    <cellStyle name="Total 5 3 4 7" xfId="12689" xr:uid="{00000000-0005-0000-0000-00006DA10000}"/>
    <cellStyle name="Total 5 3 5" xfId="2418" xr:uid="{00000000-0005-0000-0000-00006EA10000}"/>
    <cellStyle name="Total 5 3 5 2" xfId="5271" xr:uid="{00000000-0005-0000-0000-00006FA10000}"/>
    <cellStyle name="Total 5 3 5 2 2" xfId="24243" xr:uid="{00000000-0005-0000-0000-000070A10000}"/>
    <cellStyle name="Total 5 3 5 2 3" xfId="35088" xr:uid="{00000000-0005-0000-0000-000071A10000}"/>
    <cellStyle name="Total 5 3 5 2 4" xfId="15006" xr:uid="{00000000-0005-0000-0000-000072A10000}"/>
    <cellStyle name="Total 5 3 5 3" xfId="7942" xr:uid="{00000000-0005-0000-0000-000073A10000}"/>
    <cellStyle name="Total 5 3 5 3 2" xfId="26914" xr:uid="{00000000-0005-0000-0000-000074A10000}"/>
    <cellStyle name="Total 5 3 5 3 3" xfId="37759" xr:uid="{00000000-0005-0000-0000-000075A10000}"/>
    <cellStyle name="Total 5 3 5 3 4" xfId="16919" xr:uid="{00000000-0005-0000-0000-000076A10000}"/>
    <cellStyle name="Total 5 3 5 4" xfId="10601" xr:uid="{00000000-0005-0000-0000-000077A10000}"/>
    <cellStyle name="Total 5 3 5 4 2" xfId="29573" xr:uid="{00000000-0005-0000-0000-000078A10000}"/>
    <cellStyle name="Total 5 3 5 4 3" xfId="40418" xr:uid="{00000000-0005-0000-0000-000079A10000}"/>
    <cellStyle name="Total 5 3 5 4 4" xfId="18823" xr:uid="{00000000-0005-0000-0000-00007AA10000}"/>
    <cellStyle name="Total 5 3 5 5" xfId="21397" xr:uid="{00000000-0005-0000-0000-00007BA10000}"/>
    <cellStyle name="Total 5 3 5 6" xfId="32242" xr:uid="{00000000-0005-0000-0000-00007CA10000}"/>
    <cellStyle name="Total 5 3 5 7" xfId="12969" xr:uid="{00000000-0005-0000-0000-00007DA10000}"/>
    <cellStyle name="Total 5 3 6" xfId="2807" xr:uid="{00000000-0005-0000-0000-00007EA10000}"/>
    <cellStyle name="Total 5 3 6 2" xfId="5659" xr:uid="{00000000-0005-0000-0000-00007FA10000}"/>
    <cellStyle name="Total 5 3 6 2 2" xfId="24631" xr:uid="{00000000-0005-0000-0000-000080A10000}"/>
    <cellStyle name="Total 5 3 6 2 3" xfId="35476" xr:uid="{00000000-0005-0000-0000-000081A10000}"/>
    <cellStyle name="Total 5 3 6 2 4" xfId="15284" xr:uid="{00000000-0005-0000-0000-000082A10000}"/>
    <cellStyle name="Total 5 3 6 3" xfId="8330" xr:uid="{00000000-0005-0000-0000-000083A10000}"/>
    <cellStyle name="Total 5 3 6 3 2" xfId="27302" xr:uid="{00000000-0005-0000-0000-000084A10000}"/>
    <cellStyle name="Total 5 3 6 3 3" xfId="38147" xr:uid="{00000000-0005-0000-0000-000085A10000}"/>
    <cellStyle name="Total 5 3 6 3 4" xfId="17197" xr:uid="{00000000-0005-0000-0000-000086A10000}"/>
    <cellStyle name="Total 5 3 6 4" xfId="10989" xr:uid="{00000000-0005-0000-0000-000087A10000}"/>
    <cellStyle name="Total 5 3 6 4 2" xfId="29961" xr:uid="{00000000-0005-0000-0000-000088A10000}"/>
    <cellStyle name="Total 5 3 6 4 3" xfId="40806" xr:uid="{00000000-0005-0000-0000-000089A10000}"/>
    <cellStyle name="Total 5 3 6 4 4" xfId="19101" xr:uid="{00000000-0005-0000-0000-00008AA10000}"/>
    <cellStyle name="Total 5 3 6 5" xfId="21785" xr:uid="{00000000-0005-0000-0000-00008BA10000}"/>
    <cellStyle name="Total 5 3 6 6" xfId="32630" xr:uid="{00000000-0005-0000-0000-00008CA10000}"/>
    <cellStyle name="Total 5 3 6 7" xfId="13247" xr:uid="{00000000-0005-0000-0000-00008DA10000}"/>
    <cellStyle name="Total 5 3 7" xfId="3498" xr:uid="{00000000-0005-0000-0000-00008EA10000}"/>
    <cellStyle name="Total 5 3 7 2" xfId="22470" xr:uid="{00000000-0005-0000-0000-00008FA10000}"/>
    <cellStyle name="Total 5 3 7 3" xfId="33315" xr:uid="{00000000-0005-0000-0000-000090A10000}"/>
    <cellStyle name="Total 5 3 7 4" xfId="13729" xr:uid="{00000000-0005-0000-0000-000091A10000}"/>
    <cellStyle name="Total 5 3 8" xfId="6174" xr:uid="{00000000-0005-0000-0000-000092A10000}"/>
    <cellStyle name="Total 5 3 8 2" xfId="25146" xr:uid="{00000000-0005-0000-0000-000093A10000}"/>
    <cellStyle name="Total 5 3 8 3" xfId="35991" xr:uid="{00000000-0005-0000-0000-000094A10000}"/>
    <cellStyle name="Total 5 3 8 4" xfId="15646" xr:uid="{00000000-0005-0000-0000-000095A10000}"/>
    <cellStyle name="Total 5 3 9" xfId="8833" xr:uid="{00000000-0005-0000-0000-000096A10000}"/>
    <cellStyle name="Total 5 3 9 2" xfId="27805" xr:uid="{00000000-0005-0000-0000-000097A10000}"/>
    <cellStyle name="Total 5 3 9 3" xfId="38650" xr:uid="{00000000-0005-0000-0000-000098A10000}"/>
    <cellStyle name="Total 5 3 9 4" xfId="17550" xr:uid="{00000000-0005-0000-0000-000099A10000}"/>
    <cellStyle name="Total 5 4" xfId="11493" xr:uid="{00000000-0005-0000-0000-00009AA10000}"/>
    <cellStyle name="Total 6" xfId="328" xr:uid="{00000000-0005-0000-0000-00009BA10000}"/>
    <cellStyle name="Total 6 2" xfId="435" xr:uid="{00000000-0005-0000-0000-00009CA10000}"/>
    <cellStyle name="Total 6 2 10" xfId="2717" xr:uid="{00000000-0005-0000-0000-00009DA10000}"/>
    <cellStyle name="Total 6 2 10 2" xfId="5569" xr:uid="{00000000-0005-0000-0000-00009EA10000}"/>
    <cellStyle name="Total 6 2 10 2 2" xfId="24541" xr:uid="{00000000-0005-0000-0000-00009FA10000}"/>
    <cellStyle name="Total 6 2 10 2 3" xfId="35386" xr:uid="{00000000-0005-0000-0000-0000A0A10000}"/>
    <cellStyle name="Total 6 2 10 2 4" xfId="15213" xr:uid="{00000000-0005-0000-0000-0000A1A10000}"/>
    <cellStyle name="Total 6 2 10 3" xfId="8240" xr:uid="{00000000-0005-0000-0000-0000A2A10000}"/>
    <cellStyle name="Total 6 2 10 3 2" xfId="27212" xr:uid="{00000000-0005-0000-0000-0000A3A10000}"/>
    <cellStyle name="Total 6 2 10 3 3" xfId="38057" xr:uid="{00000000-0005-0000-0000-0000A4A10000}"/>
    <cellStyle name="Total 6 2 10 3 4" xfId="17126" xr:uid="{00000000-0005-0000-0000-0000A5A10000}"/>
    <cellStyle name="Total 6 2 10 4" xfId="10899" xr:uid="{00000000-0005-0000-0000-0000A6A10000}"/>
    <cellStyle name="Total 6 2 10 4 2" xfId="29871" xr:uid="{00000000-0005-0000-0000-0000A7A10000}"/>
    <cellStyle name="Total 6 2 10 4 3" xfId="40716" xr:uid="{00000000-0005-0000-0000-0000A8A10000}"/>
    <cellStyle name="Total 6 2 10 4 4" xfId="19030" xr:uid="{00000000-0005-0000-0000-0000A9A10000}"/>
    <cellStyle name="Total 6 2 10 5" xfId="21695" xr:uid="{00000000-0005-0000-0000-0000AAA10000}"/>
    <cellStyle name="Total 6 2 10 6" xfId="32540" xr:uid="{00000000-0005-0000-0000-0000ABA10000}"/>
    <cellStyle name="Total 6 2 10 7" xfId="13176" xr:uid="{00000000-0005-0000-0000-0000ACA10000}"/>
    <cellStyle name="Total 6 2 11" xfId="3102" xr:uid="{00000000-0005-0000-0000-0000ADA10000}"/>
    <cellStyle name="Total 6 2 11 2" xfId="5953" xr:uid="{00000000-0005-0000-0000-0000AEA10000}"/>
    <cellStyle name="Total 6 2 11 2 2" xfId="24925" xr:uid="{00000000-0005-0000-0000-0000AFA10000}"/>
    <cellStyle name="Total 6 2 11 2 3" xfId="35770" xr:uid="{00000000-0005-0000-0000-0000B0A10000}"/>
    <cellStyle name="Total 6 2 11 2 4" xfId="15488" xr:uid="{00000000-0005-0000-0000-0000B1A10000}"/>
    <cellStyle name="Total 6 2 11 3" xfId="8624" xr:uid="{00000000-0005-0000-0000-0000B2A10000}"/>
    <cellStyle name="Total 6 2 11 3 2" xfId="27596" xr:uid="{00000000-0005-0000-0000-0000B3A10000}"/>
    <cellStyle name="Total 6 2 11 3 3" xfId="38441" xr:uid="{00000000-0005-0000-0000-0000B4A10000}"/>
    <cellStyle name="Total 6 2 11 3 4" xfId="17401" xr:uid="{00000000-0005-0000-0000-0000B5A10000}"/>
    <cellStyle name="Total 6 2 11 4" xfId="11283" xr:uid="{00000000-0005-0000-0000-0000B6A10000}"/>
    <cellStyle name="Total 6 2 11 4 2" xfId="30255" xr:uid="{00000000-0005-0000-0000-0000B7A10000}"/>
    <cellStyle name="Total 6 2 11 4 3" xfId="41100" xr:uid="{00000000-0005-0000-0000-0000B8A10000}"/>
    <cellStyle name="Total 6 2 11 4 4" xfId="19305" xr:uid="{00000000-0005-0000-0000-0000B9A10000}"/>
    <cellStyle name="Total 6 2 11 5" xfId="22079" xr:uid="{00000000-0005-0000-0000-0000BAA10000}"/>
    <cellStyle name="Total 6 2 11 6" xfId="32924" xr:uid="{00000000-0005-0000-0000-0000BBA10000}"/>
    <cellStyle name="Total 6 2 11 7" xfId="13451" xr:uid="{00000000-0005-0000-0000-0000BCA10000}"/>
    <cellStyle name="Total 6 2 12" xfId="3159" xr:uid="{00000000-0005-0000-0000-0000BDA10000}"/>
    <cellStyle name="Total 6 2 12 2" xfId="6010" xr:uid="{00000000-0005-0000-0000-0000BEA10000}"/>
    <cellStyle name="Total 6 2 12 2 2" xfId="24982" xr:uid="{00000000-0005-0000-0000-0000BFA10000}"/>
    <cellStyle name="Total 6 2 12 2 3" xfId="35827" xr:uid="{00000000-0005-0000-0000-0000C0A10000}"/>
    <cellStyle name="Total 6 2 12 2 4" xfId="15525" xr:uid="{00000000-0005-0000-0000-0000C1A10000}"/>
    <cellStyle name="Total 6 2 12 3" xfId="8681" xr:uid="{00000000-0005-0000-0000-0000C2A10000}"/>
    <cellStyle name="Total 6 2 12 3 2" xfId="27653" xr:uid="{00000000-0005-0000-0000-0000C3A10000}"/>
    <cellStyle name="Total 6 2 12 3 3" xfId="38498" xr:uid="{00000000-0005-0000-0000-0000C4A10000}"/>
    <cellStyle name="Total 6 2 12 3 4" xfId="17438" xr:uid="{00000000-0005-0000-0000-0000C5A10000}"/>
    <cellStyle name="Total 6 2 12 4" xfId="11340" xr:uid="{00000000-0005-0000-0000-0000C6A10000}"/>
    <cellStyle name="Total 6 2 12 4 2" xfId="30312" xr:uid="{00000000-0005-0000-0000-0000C7A10000}"/>
    <cellStyle name="Total 6 2 12 4 3" xfId="41157" xr:uid="{00000000-0005-0000-0000-0000C8A10000}"/>
    <cellStyle name="Total 6 2 12 4 4" xfId="19342" xr:uid="{00000000-0005-0000-0000-0000C9A10000}"/>
    <cellStyle name="Total 6 2 12 5" xfId="22136" xr:uid="{00000000-0005-0000-0000-0000CAA10000}"/>
    <cellStyle name="Total 6 2 12 6" xfId="32981" xr:uid="{00000000-0005-0000-0000-0000CBA10000}"/>
    <cellStyle name="Total 6 2 12 7" xfId="13488" xr:uid="{00000000-0005-0000-0000-0000CCA10000}"/>
    <cellStyle name="Total 6 2 13" xfId="3216" xr:uid="{00000000-0005-0000-0000-0000CDA10000}"/>
    <cellStyle name="Total 6 2 13 2" xfId="6067" xr:uid="{00000000-0005-0000-0000-0000CEA10000}"/>
    <cellStyle name="Total 6 2 13 2 2" xfId="25039" xr:uid="{00000000-0005-0000-0000-0000CFA10000}"/>
    <cellStyle name="Total 6 2 13 2 3" xfId="35884" xr:uid="{00000000-0005-0000-0000-0000D0A10000}"/>
    <cellStyle name="Total 6 2 13 2 4" xfId="15562" xr:uid="{00000000-0005-0000-0000-0000D1A10000}"/>
    <cellStyle name="Total 6 2 13 3" xfId="8738" xr:uid="{00000000-0005-0000-0000-0000D2A10000}"/>
    <cellStyle name="Total 6 2 13 3 2" xfId="27710" xr:uid="{00000000-0005-0000-0000-0000D3A10000}"/>
    <cellStyle name="Total 6 2 13 3 3" xfId="38555" xr:uid="{00000000-0005-0000-0000-0000D4A10000}"/>
    <cellStyle name="Total 6 2 13 3 4" xfId="17475" xr:uid="{00000000-0005-0000-0000-0000D5A10000}"/>
    <cellStyle name="Total 6 2 13 4" xfId="11397" xr:uid="{00000000-0005-0000-0000-0000D6A10000}"/>
    <cellStyle name="Total 6 2 13 4 2" xfId="30369" xr:uid="{00000000-0005-0000-0000-0000D7A10000}"/>
    <cellStyle name="Total 6 2 13 4 3" xfId="41214" xr:uid="{00000000-0005-0000-0000-0000D8A10000}"/>
    <cellStyle name="Total 6 2 13 4 4" xfId="19379" xr:uid="{00000000-0005-0000-0000-0000D9A10000}"/>
    <cellStyle name="Total 6 2 13 5" xfId="22193" xr:uid="{00000000-0005-0000-0000-0000DAA10000}"/>
    <cellStyle name="Total 6 2 13 6" xfId="33038" xr:uid="{00000000-0005-0000-0000-0000DBA10000}"/>
    <cellStyle name="Total 6 2 13 7" xfId="13525" xr:uid="{00000000-0005-0000-0000-0000DCA10000}"/>
    <cellStyle name="Total 6 2 14" xfId="3385" xr:uid="{00000000-0005-0000-0000-0000DDA10000}"/>
    <cellStyle name="Total 6 2 14 2" xfId="22359" xr:uid="{00000000-0005-0000-0000-0000DEA10000}"/>
    <cellStyle name="Total 6 2 14 3" xfId="33204" xr:uid="{00000000-0005-0000-0000-0000DFA10000}"/>
    <cellStyle name="Total 6 2 14 4" xfId="13642" xr:uid="{00000000-0005-0000-0000-0000E0A10000}"/>
    <cellStyle name="Total 6 2 15" xfId="3271" xr:uid="{00000000-0005-0000-0000-0000E1A10000}"/>
    <cellStyle name="Total 6 2 15 2" xfId="22245" xr:uid="{00000000-0005-0000-0000-0000E2A10000}"/>
    <cellStyle name="Total 6 2 15 3" xfId="33090" xr:uid="{00000000-0005-0000-0000-0000E3A10000}"/>
    <cellStyle name="Total 6 2 15 4" xfId="13569" xr:uid="{00000000-0005-0000-0000-0000E4A10000}"/>
    <cellStyle name="Total 6 2 16" xfId="3322" xr:uid="{00000000-0005-0000-0000-0000E5A10000}"/>
    <cellStyle name="Total 6 2 16 2" xfId="22296" xr:uid="{00000000-0005-0000-0000-0000E6A10000}"/>
    <cellStyle name="Total 6 2 16 3" xfId="33141" xr:uid="{00000000-0005-0000-0000-0000E7A10000}"/>
    <cellStyle name="Total 6 2 16 4" xfId="13603" xr:uid="{00000000-0005-0000-0000-0000E8A10000}"/>
    <cellStyle name="Total 6 2 17" xfId="19513" xr:uid="{00000000-0005-0000-0000-0000E9A10000}"/>
    <cellStyle name="Total 6 2 18" xfId="19421" xr:uid="{00000000-0005-0000-0000-0000EAA10000}"/>
    <cellStyle name="Total 6 2 19" xfId="11555" xr:uid="{00000000-0005-0000-0000-0000EBA10000}"/>
    <cellStyle name="Total 6 2 2" xfId="726" xr:uid="{00000000-0005-0000-0000-0000ECA10000}"/>
    <cellStyle name="Total 6 2 2 10" xfId="19711" xr:uid="{00000000-0005-0000-0000-0000EDA10000}"/>
    <cellStyle name="Total 6 2 2 11" xfId="30556" xr:uid="{00000000-0005-0000-0000-0000EEA10000}"/>
    <cellStyle name="Total 6 2 2 12" xfId="11758" xr:uid="{00000000-0005-0000-0000-0000EFA10000}"/>
    <cellStyle name="Total 6 2 2 2" xfId="1313" xr:uid="{00000000-0005-0000-0000-0000F0A10000}"/>
    <cellStyle name="Total 6 2 2 2 2" xfId="4166" xr:uid="{00000000-0005-0000-0000-0000F1A10000}"/>
    <cellStyle name="Total 6 2 2 2 2 2" xfId="23138" xr:uid="{00000000-0005-0000-0000-0000F2A10000}"/>
    <cellStyle name="Total 6 2 2 2 2 3" xfId="33983" xr:uid="{00000000-0005-0000-0000-0000F3A10000}"/>
    <cellStyle name="Total 6 2 2 2 2 4" xfId="14219" xr:uid="{00000000-0005-0000-0000-0000F4A10000}"/>
    <cellStyle name="Total 6 2 2 2 3" xfId="6839" xr:uid="{00000000-0005-0000-0000-0000F5A10000}"/>
    <cellStyle name="Total 6 2 2 2 3 2" xfId="25811" xr:uid="{00000000-0005-0000-0000-0000F6A10000}"/>
    <cellStyle name="Total 6 2 2 2 3 3" xfId="36656" xr:uid="{00000000-0005-0000-0000-0000F7A10000}"/>
    <cellStyle name="Total 6 2 2 2 3 4" xfId="16134" xr:uid="{00000000-0005-0000-0000-0000F8A10000}"/>
    <cellStyle name="Total 6 2 2 2 4" xfId="9498" xr:uid="{00000000-0005-0000-0000-0000F9A10000}"/>
    <cellStyle name="Total 6 2 2 2 4 2" xfId="28470" xr:uid="{00000000-0005-0000-0000-0000FAA10000}"/>
    <cellStyle name="Total 6 2 2 2 4 3" xfId="39315" xr:uid="{00000000-0005-0000-0000-0000FBA10000}"/>
    <cellStyle name="Total 6 2 2 2 4 4" xfId="18038" xr:uid="{00000000-0005-0000-0000-0000FCA10000}"/>
    <cellStyle name="Total 6 2 2 2 5" xfId="20294" xr:uid="{00000000-0005-0000-0000-0000FDA10000}"/>
    <cellStyle name="Total 6 2 2 2 6" xfId="31139" xr:uid="{00000000-0005-0000-0000-0000FEA10000}"/>
    <cellStyle name="Total 6 2 2 2 7" xfId="12184" xr:uid="{00000000-0005-0000-0000-0000FFA10000}"/>
    <cellStyle name="Total 6 2 2 3" xfId="1712" xr:uid="{00000000-0005-0000-0000-000000A20000}"/>
    <cellStyle name="Total 6 2 2 3 2" xfId="4565" xr:uid="{00000000-0005-0000-0000-000001A20000}"/>
    <cellStyle name="Total 6 2 2 3 2 2" xfId="23537" xr:uid="{00000000-0005-0000-0000-000002A20000}"/>
    <cellStyle name="Total 6 2 2 3 2 3" xfId="34382" xr:uid="{00000000-0005-0000-0000-000003A20000}"/>
    <cellStyle name="Total 6 2 2 3 2 4" xfId="14506" xr:uid="{00000000-0005-0000-0000-000004A20000}"/>
    <cellStyle name="Total 6 2 2 3 3" xfId="7237" xr:uid="{00000000-0005-0000-0000-000005A20000}"/>
    <cellStyle name="Total 6 2 2 3 3 2" xfId="26209" xr:uid="{00000000-0005-0000-0000-000006A20000}"/>
    <cellStyle name="Total 6 2 2 3 3 3" xfId="37054" xr:uid="{00000000-0005-0000-0000-000007A20000}"/>
    <cellStyle name="Total 6 2 2 3 3 4" xfId="16420" xr:uid="{00000000-0005-0000-0000-000008A20000}"/>
    <cellStyle name="Total 6 2 2 3 4" xfId="9896" xr:uid="{00000000-0005-0000-0000-000009A20000}"/>
    <cellStyle name="Total 6 2 2 3 4 2" xfId="28868" xr:uid="{00000000-0005-0000-0000-00000AA20000}"/>
    <cellStyle name="Total 6 2 2 3 4 3" xfId="39713" xr:uid="{00000000-0005-0000-0000-00000BA20000}"/>
    <cellStyle name="Total 6 2 2 3 4 4" xfId="18324" xr:uid="{00000000-0005-0000-0000-00000CA20000}"/>
    <cellStyle name="Total 6 2 2 3 5" xfId="20692" xr:uid="{00000000-0005-0000-0000-00000DA20000}"/>
    <cellStyle name="Total 6 2 2 3 6" xfId="31537" xr:uid="{00000000-0005-0000-0000-00000EA20000}"/>
    <cellStyle name="Total 6 2 2 3 7" xfId="12470" xr:uid="{00000000-0005-0000-0000-00000FA20000}"/>
    <cellStyle name="Total 6 2 2 4" xfId="2116" xr:uid="{00000000-0005-0000-0000-000010A20000}"/>
    <cellStyle name="Total 6 2 2 4 2" xfId="4969" xr:uid="{00000000-0005-0000-0000-000011A20000}"/>
    <cellStyle name="Total 6 2 2 4 2 2" xfId="23941" xr:uid="{00000000-0005-0000-0000-000012A20000}"/>
    <cellStyle name="Total 6 2 2 4 2 3" xfId="34786" xr:uid="{00000000-0005-0000-0000-000013A20000}"/>
    <cellStyle name="Total 6 2 2 4 2 4" xfId="14793" xr:uid="{00000000-0005-0000-0000-000014A20000}"/>
    <cellStyle name="Total 6 2 2 4 3" xfId="7640" xr:uid="{00000000-0005-0000-0000-000015A20000}"/>
    <cellStyle name="Total 6 2 2 4 3 2" xfId="26612" xr:uid="{00000000-0005-0000-0000-000016A20000}"/>
    <cellStyle name="Total 6 2 2 4 3 3" xfId="37457" xr:uid="{00000000-0005-0000-0000-000017A20000}"/>
    <cellStyle name="Total 6 2 2 4 3 4" xfId="16706" xr:uid="{00000000-0005-0000-0000-000018A20000}"/>
    <cellStyle name="Total 6 2 2 4 4" xfId="10299" xr:uid="{00000000-0005-0000-0000-000019A20000}"/>
    <cellStyle name="Total 6 2 2 4 4 2" xfId="29271" xr:uid="{00000000-0005-0000-0000-00001AA20000}"/>
    <cellStyle name="Total 6 2 2 4 4 3" xfId="40116" xr:uid="{00000000-0005-0000-0000-00001BA20000}"/>
    <cellStyle name="Total 6 2 2 4 4 4" xfId="18610" xr:uid="{00000000-0005-0000-0000-00001CA20000}"/>
    <cellStyle name="Total 6 2 2 4 5" xfId="21095" xr:uid="{00000000-0005-0000-0000-00001DA20000}"/>
    <cellStyle name="Total 6 2 2 4 6" xfId="31940" xr:uid="{00000000-0005-0000-0000-00001EA20000}"/>
    <cellStyle name="Total 6 2 2 4 7" xfId="12756" xr:uid="{00000000-0005-0000-0000-00001FA20000}"/>
    <cellStyle name="Total 6 2 2 5" xfId="2506" xr:uid="{00000000-0005-0000-0000-000020A20000}"/>
    <cellStyle name="Total 6 2 2 5 2" xfId="5358" xr:uid="{00000000-0005-0000-0000-000021A20000}"/>
    <cellStyle name="Total 6 2 2 5 2 2" xfId="24330" xr:uid="{00000000-0005-0000-0000-000022A20000}"/>
    <cellStyle name="Total 6 2 2 5 2 3" xfId="35175" xr:uid="{00000000-0005-0000-0000-000023A20000}"/>
    <cellStyle name="Total 6 2 2 5 2 4" xfId="15072" xr:uid="{00000000-0005-0000-0000-000024A20000}"/>
    <cellStyle name="Total 6 2 2 5 3" xfId="8029" xr:uid="{00000000-0005-0000-0000-000025A20000}"/>
    <cellStyle name="Total 6 2 2 5 3 2" xfId="27001" xr:uid="{00000000-0005-0000-0000-000026A20000}"/>
    <cellStyle name="Total 6 2 2 5 3 3" xfId="37846" xr:uid="{00000000-0005-0000-0000-000027A20000}"/>
    <cellStyle name="Total 6 2 2 5 3 4" xfId="16985" xr:uid="{00000000-0005-0000-0000-000028A20000}"/>
    <cellStyle name="Total 6 2 2 5 4" xfId="10688" xr:uid="{00000000-0005-0000-0000-000029A20000}"/>
    <cellStyle name="Total 6 2 2 5 4 2" xfId="29660" xr:uid="{00000000-0005-0000-0000-00002AA20000}"/>
    <cellStyle name="Total 6 2 2 5 4 3" xfId="40505" xr:uid="{00000000-0005-0000-0000-00002BA20000}"/>
    <cellStyle name="Total 6 2 2 5 4 4" xfId="18889" xr:uid="{00000000-0005-0000-0000-00002CA20000}"/>
    <cellStyle name="Total 6 2 2 5 5" xfId="21484" xr:uid="{00000000-0005-0000-0000-00002DA20000}"/>
    <cellStyle name="Total 6 2 2 5 6" xfId="32329" xr:uid="{00000000-0005-0000-0000-00002EA20000}"/>
    <cellStyle name="Total 6 2 2 5 7" xfId="13035" xr:uid="{00000000-0005-0000-0000-00002FA20000}"/>
    <cellStyle name="Total 6 2 2 6" xfId="2892" xr:uid="{00000000-0005-0000-0000-000030A20000}"/>
    <cellStyle name="Total 6 2 2 6 2" xfId="5743" xr:uid="{00000000-0005-0000-0000-000031A20000}"/>
    <cellStyle name="Total 6 2 2 6 2 2" xfId="24715" xr:uid="{00000000-0005-0000-0000-000032A20000}"/>
    <cellStyle name="Total 6 2 2 6 2 3" xfId="35560" xr:uid="{00000000-0005-0000-0000-000033A20000}"/>
    <cellStyle name="Total 6 2 2 6 2 4" xfId="15348" xr:uid="{00000000-0005-0000-0000-000034A20000}"/>
    <cellStyle name="Total 6 2 2 6 3" xfId="8414" xr:uid="{00000000-0005-0000-0000-000035A20000}"/>
    <cellStyle name="Total 6 2 2 6 3 2" xfId="27386" xr:uid="{00000000-0005-0000-0000-000036A20000}"/>
    <cellStyle name="Total 6 2 2 6 3 3" xfId="38231" xr:uid="{00000000-0005-0000-0000-000037A20000}"/>
    <cellStyle name="Total 6 2 2 6 3 4" xfId="17261" xr:uid="{00000000-0005-0000-0000-000038A20000}"/>
    <cellStyle name="Total 6 2 2 6 4" xfId="11073" xr:uid="{00000000-0005-0000-0000-000039A20000}"/>
    <cellStyle name="Total 6 2 2 6 4 2" xfId="30045" xr:uid="{00000000-0005-0000-0000-00003AA20000}"/>
    <cellStyle name="Total 6 2 2 6 4 3" xfId="40890" xr:uid="{00000000-0005-0000-0000-00003BA20000}"/>
    <cellStyle name="Total 6 2 2 6 4 4" xfId="19165" xr:uid="{00000000-0005-0000-0000-00003CA20000}"/>
    <cellStyle name="Total 6 2 2 6 5" xfId="21869" xr:uid="{00000000-0005-0000-0000-00003DA20000}"/>
    <cellStyle name="Total 6 2 2 6 6" xfId="32714" xr:uid="{00000000-0005-0000-0000-00003EA20000}"/>
    <cellStyle name="Total 6 2 2 6 7" xfId="13311" xr:uid="{00000000-0005-0000-0000-00003FA20000}"/>
    <cellStyle name="Total 6 2 2 7" xfId="3581" xr:uid="{00000000-0005-0000-0000-000040A20000}"/>
    <cellStyle name="Total 6 2 2 7 2" xfId="22553" xr:uid="{00000000-0005-0000-0000-000041A20000}"/>
    <cellStyle name="Total 6 2 2 7 3" xfId="33398" xr:uid="{00000000-0005-0000-0000-000042A20000}"/>
    <cellStyle name="Total 6 2 2 7 4" xfId="13792" xr:uid="{00000000-0005-0000-0000-000043A20000}"/>
    <cellStyle name="Total 6 2 2 8" xfId="6256" xr:uid="{00000000-0005-0000-0000-000044A20000}"/>
    <cellStyle name="Total 6 2 2 8 2" xfId="25228" xr:uid="{00000000-0005-0000-0000-000045A20000}"/>
    <cellStyle name="Total 6 2 2 8 3" xfId="36073" xr:uid="{00000000-0005-0000-0000-000046A20000}"/>
    <cellStyle name="Total 6 2 2 8 4" xfId="15708" xr:uid="{00000000-0005-0000-0000-000047A20000}"/>
    <cellStyle name="Total 6 2 2 9" xfId="8915" xr:uid="{00000000-0005-0000-0000-000048A20000}"/>
    <cellStyle name="Total 6 2 2 9 2" xfId="27887" xr:uid="{00000000-0005-0000-0000-000049A20000}"/>
    <cellStyle name="Total 6 2 2 9 3" xfId="38732" xr:uid="{00000000-0005-0000-0000-00004AA20000}"/>
    <cellStyle name="Total 6 2 2 9 4" xfId="17612" xr:uid="{00000000-0005-0000-0000-00004BA20000}"/>
    <cellStyle name="Total 6 2 3" xfId="785" xr:uid="{00000000-0005-0000-0000-00004CA20000}"/>
    <cellStyle name="Total 6 2 3 10" xfId="19770" xr:uid="{00000000-0005-0000-0000-00004DA20000}"/>
    <cellStyle name="Total 6 2 3 11" xfId="30615" xr:uid="{00000000-0005-0000-0000-00004EA20000}"/>
    <cellStyle name="Total 6 2 3 12" xfId="11797" xr:uid="{00000000-0005-0000-0000-00004FA20000}"/>
    <cellStyle name="Total 6 2 3 2" xfId="1372" xr:uid="{00000000-0005-0000-0000-000050A20000}"/>
    <cellStyle name="Total 6 2 3 2 2" xfId="4225" xr:uid="{00000000-0005-0000-0000-000051A20000}"/>
    <cellStyle name="Total 6 2 3 2 2 2" xfId="23197" xr:uid="{00000000-0005-0000-0000-000052A20000}"/>
    <cellStyle name="Total 6 2 3 2 2 3" xfId="34042" xr:uid="{00000000-0005-0000-0000-000053A20000}"/>
    <cellStyle name="Total 6 2 3 2 2 4" xfId="14258" xr:uid="{00000000-0005-0000-0000-000054A20000}"/>
    <cellStyle name="Total 6 2 3 2 3" xfId="6898" xr:uid="{00000000-0005-0000-0000-000055A20000}"/>
    <cellStyle name="Total 6 2 3 2 3 2" xfId="25870" xr:uid="{00000000-0005-0000-0000-000056A20000}"/>
    <cellStyle name="Total 6 2 3 2 3 3" xfId="36715" xr:uid="{00000000-0005-0000-0000-000057A20000}"/>
    <cellStyle name="Total 6 2 3 2 3 4" xfId="16173" xr:uid="{00000000-0005-0000-0000-000058A20000}"/>
    <cellStyle name="Total 6 2 3 2 4" xfId="9557" xr:uid="{00000000-0005-0000-0000-000059A20000}"/>
    <cellStyle name="Total 6 2 3 2 4 2" xfId="28529" xr:uid="{00000000-0005-0000-0000-00005AA20000}"/>
    <cellStyle name="Total 6 2 3 2 4 3" xfId="39374" xr:uid="{00000000-0005-0000-0000-00005BA20000}"/>
    <cellStyle name="Total 6 2 3 2 4 4" xfId="18077" xr:uid="{00000000-0005-0000-0000-00005CA20000}"/>
    <cellStyle name="Total 6 2 3 2 5" xfId="20353" xr:uid="{00000000-0005-0000-0000-00005DA20000}"/>
    <cellStyle name="Total 6 2 3 2 6" xfId="31198" xr:uid="{00000000-0005-0000-0000-00005EA20000}"/>
    <cellStyle name="Total 6 2 3 2 7" xfId="12223" xr:uid="{00000000-0005-0000-0000-00005FA20000}"/>
    <cellStyle name="Total 6 2 3 3" xfId="1771" xr:uid="{00000000-0005-0000-0000-000060A20000}"/>
    <cellStyle name="Total 6 2 3 3 2" xfId="4624" xr:uid="{00000000-0005-0000-0000-000061A20000}"/>
    <cellStyle name="Total 6 2 3 3 2 2" xfId="23596" xr:uid="{00000000-0005-0000-0000-000062A20000}"/>
    <cellStyle name="Total 6 2 3 3 2 3" xfId="34441" xr:uid="{00000000-0005-0000-0000-000063A20000}"/>
    <cellStyle name="Total 6 2 3 3 2 4" xfId="14545" xr:uid="{00000000-0005-0000-0000-000064A20000}"/>
    <cellStyle name="Total 6 2 3 3 3" xfId="7296" xr:uid="{00000000-0005-0000-0000-000065A20000}"/>
    <cellStyle name="Total 6 2 3 3 3 2" xfId="26268" xr:uid="{00000000-0005-0000-0000-000066A20000}"/>
    <cellStyle name="Total 6 2 3 3 3 3" xfId="37113" xr:uid="{00000000-0005-0000-0000-000067A20000}"/>
    <cellStyle name="Total 6 2 3 3 3 4" xfId="16459" xr:uid="{00000000-0005-0000-0000-000068A20000}"/>
    <cellStyle name="Total 6 2 3 3 4" xfId="9955" xr:uid="{00000000-0005-0000-0000-000069A20000}"/>
    <cellStyle name="Total 6 2 3 3 4 2" xfId="28927" xr:uid="{00000000-0005-0000-0000-00006AA20000}"/>
    <cellStyle name="Total 6 2 3 3 4 3" xfId="39772" xr:uid="{00000000-0005-0000-0000-00006BA20000}"/>
    <cellStyle name="Total 6 2 3 3 4 4" xfId="18363" xr:uid="{00000000-0005-0000-0000-00006CA20000}"/>
    <cellStyle name="Total 6 2 3 3 5" xfId="20751" xr:uid="{00000000-0005-0000-0000-00006DA20000}"/>
    <cellStyle name="Total 6 2 3 3 6" xfId="31596" xr:uid="{00000000-0005-0000-0000-00006EA20000}"/>
    <cellStyle name="Total 6 2 3 3 7" xfId="12509" xr:uid="{00000000-0005-0000-0000-00006FA20000}"/>
    <cellStyle name="Total 6 2 3 4" xfId="2175" xr:uid="{00000000-0005-0000-0000-000070A20000}"/>
    <cellStyle name="Total 6 2 3 4 2" xfId="5028" xr:uid="{00000000-0005-0000-0000-000071A20000}"/>
    <cellStyle name="Total 6 2 3 4 2 2" xfId="24000" xr:uid="{00000000-0005-0000-0000-000072A20000}"/>
    <cellStyle name="Total 6 2 3 4 2 3" xfId="34845" xr:uid="{00000000-0005-0000-0000-000073A20000}"/>
    <cellStyle name="Total 6 2 3 4 2 4" xfId="14832" xr:uid="{00000000-0005-0000-0000-000074A20000}"/>
    <cellStyle name="Total 6 2 3 4 3" xfId="7699" xr:uid="{00000000-0005-0000-0000-000075A20000}"/>
    <cellStyle name="Total 6 2 3 4 3 2" xfId="26671" xr:uid="{00000000-0005-0000-0000-000076A20000}"/>
    <cellStyle name="Total 6 2 3 4 3 3" xfId="37516" xr:uid="{00000000-0005-0000-0000-000077A20000}"/>
    <cellStyle name="Total 6 2 3 4 3 4" xfId="16745" xr:uid="{00000000-0005-0000-0000-000078A20000}"/>
    <cellStyle name="Total 6 2 3 4 4" xfId="10358" xr:uid="{00000000-0005-0000-0000-000079A20000}"/>
    <cellStyle name="Total 6 2 3 4 4 2" xfId="29330" xr:uid="{00000000-0005-0000-0000-00007AA20000}"/>
    <cellStyle name="Total 6 2 3 4 4 3" xfId="40175" xr:uid="{00000000-0005-0000-0000-00007BA20000}"/>
    <cellStyle name="Total 6 2 3 4 4 4" xfId="18649" xr:uid="{00000000-0005-0000-0000-00007CA20000}"/>
    <cellStyle name="Total 6 2 3 4 5" xfId="21154" xr:uid="{00000000-0005-0000-0000-00007DA20000}"/>
    <cellStyle name="Total 6 2 3 4 6" xfId="31999" xr:uid="{00000000-0005-0000-0000-00007EA20000}"/>
    <cellStyle name="Total 6 2 3 4 7" xfId="12795" xr:uid="{00000000-0005-0000-0000-00007FA20000}"/>
    <cellStyle name="Total 6 2 3 5" xfId="2565" xr:uid="{00000000-0005-0000-0000-000080A20000}"/>
    <cellStyle name="Total 6 2 3 5 2" xfId="5417" xr:uid="{00000000-0005-0000-0000-000081A20000}"/>
    <cellStyle name="Total 6 2 3 5 2 2" xfId="24389" xr:uid="{00000000-0005-0000-0000-000082A20000}"/>
    <cellStyle name="Total 6 2 3 5 2 3" xfId="35234" xr:uid="{00000000-0005-0000-0000-000083A20000}"/>
    <cellStyle name="Total 6 2 3 5 2 4" xfId="15111" xr:uid="{00000000-0005-0000-0000-000084A20000}"/>
    <cellStyle name="Total 6 2 3 5 3" xfId="8088" xr:uid="{00000000-0005-0000-0000-000085A20000}"/>
    <cellStyle name="Total 6 2 3 5 3 2" xfId="27060" xr:uid="{00000000-0005-0000-0000-000086A20000}"/>
    <cellStyle name="Total 6 2 3 5 3 3" xfId="37905" xr:uid="{00000000-0005-0000-0000-000087A20000}"/>
    <cellStyle name="Total 6 2 3 5 3 4" xfId="17024" xr:uid="{00000000-0005-0000-0000-000088A20000}"/>
    <cellStyle name="Total 6 2 3 5 4" xfId="10747" xr:uid="{00000000-0005-0000-0000-000089A20000}"/>
    <cellStyle name="Total 6 2 3 5 4 2" xfId="29719" xr:uid="{00000000-0005-0000-0000-00008AA20000}"/>
    <cellStyle name="Total 6 2 3 5 4 3" xfId="40564" xr:uid="{00000000-0005-0000-0000-00008BA20000}"/>
    <cellStyle name="Total 6 2 3 5 4 4" xfId="18928" xr:uid="{00000000-0005-0000-0000-00008CA20000}"/>
    <cellStyle name="Total 6 2 3 5 5" xfId="21543" xr:uid="{00000000-0005-0000-0000-00008DA20000}"/>
    <cellStyle name="Total 6 2 3 5 6" xfId="32388" xr:uid="{00000000-0005-0000-0000-00008EA20000}"/>
    <cellStyle name="Total 6 2 3 5 7" xfId="13074" xr:uid="{00000000-0005-0000-0000-00008FA20000}"/>
    <cellStyle name="Total 6 2 3 6" xfId="2951" xr:uid="{00000000-0005-0000-0000-000090A20000}"/>
    <cellStyle name="Total 6 2 3 6 2" xfId="5802" xr:uid="{00000000-0005-0000-0000-000091A20000}"/>
    <cellStyle name="Total 6 2 3 6 2 2" xfId="24774" xr:uid="{00000000-0005-0000-0000-000092A20000}"/>
    <cellStyle name="Total 6 2 3 6 2 3" xfId="35619" xr:uid="{00000000-0005-0000-0000-000093A20000}"/>
    <cellStyle name="Total 6 2 3 6 2 4" xfId="15387" xr:uid="{00000000-0005-0000-0000-000094A20000}"/>
    <cellStyle name="Total 6 2 3 6 3" xfId="8473" xr:uid="{00000000-0005-0000-0000-000095A20000}"/>
    <cellStyle name="Total 6 2 3 6 3 2" xfId="27445" xr:uid="{00000000-0005-0000-0000-000096A20000}"/>
    <cellStyle name="Total 6 2 3 6 3 3" xfId="38290" xr:uid="{00000000-0005-0000-0000-000097A20000}"/>
    <cellStyle name="Total 6 2 3 6 3 4" xfId="17300" xr:uid="{00000000-0005-0000-0000-000098A20000}"/>
    <cellStyle name="Total 6 2 3 6 4" xfId="11132" xr:uid="{00000000-0005-0000-0000-000099A20000}"/>
    <cellStyle name="Total 6 2 3 6 4 2" xfId="30104" xr:uid="{00000000-0005-0000-0000-00009AA20000}"/>
    <cellStyle name="Total 6 2 3 6 4 3" xfId="40949" xr:uid="{00000000-0005-0000-0000-00009BA20000}"/>
    <cellStyle name="Total 6 2 3 6 4 4" xfId="19204" xr:uid="{00000000-0005-0000-0000-00009CA20000}"/>
    <cellStyle name="Total 6 2 3 6 5" xfId="21928" xr:uid="{00000000-0005-0000-0000-00009DA20000}"/>
    <cellStyle name="Total 6 2 3 6 6" xfId="32773" xr:uid="{00000000-0005-0000-0000-00009EA20000}"/>
    <cellStyle name="Total 6 2 3 6 7" xfId="13350" xr:uid="{00000000-0005-0000-0000-00009FA20000}"/>
    <cellStyle name="Total 6 2 3 7" xfId="3640" xr:uid="{00000000-0005-0000-0000-0000A0A20000}"/>
    <cellStyle name="Total 6 2 3 7 2" xfId="22612" xr:uid="{00000000-0005-0000-0000-0000A1A20000}"/>
    <cellStyle name="Total 6 2 3 7 3" xfId="33457" xr:uid="{00000000-0005-0000-0000-0000A2A20000}"/>
    <cellStyle name="Total 6 2 3 7 4" xfId="13831" xr:uid="{00000000-0005-0000-0000-0000A3A20000}"/>
    <cellStyle name="Total 6 2 3 8" xfId="6315" xr:uid="{00000000-0005-0000-0000-0000A4A20000}"/>
    <cellStyle name="Total 6 2 3 8 2" xfId="25287" xr:uid="{00000000-0005-0000-0000-0000A5A20000}"/>
    <cellStyle name="Total 6 2 3 8 3" xfId="36132" xr:uid="{00000000-0005-0000-0000-0000A6A20000}"/>
    <cellStyle name="Total 6 2 3 8 4" xfId="15747" xr:uid="{00000000-0005-0000-0000-0000A7A20000}"/>
    <cellStyle name="Total 6 2 3 9" xfId="8974" xr:uid="{00000000-0005-0000-0000-0000A8A20000}"/>
    <cellStyle name="Total 6 2 3 9 2" xfId="27946" xr:uid="{00000000-0005-0000-0000-0000A9A20000}"/>
    <cellStyle name="Total 6 2 3 9 3" xfId="38791" xr:uid="{00000000-0005-0000-0000-0000AAA20000}"/>
    <cellStyle name="Total 6 2 3 9 4" xfId="17651" xr:uid="{00000000-0005-0000-0000-0000ABA20000}"/>
    <cellStyle name="Total 6 2 4" xfId="844" xr:uid="{00000000-0005-0000-0000-0000ACA20000}"/>
    <cellStyle name="Total 6 2 4 10" xfId="19829" xr:uid="{00000000-0005-0000-0000-0000ADA20000}"/>
    <cellStyle name="Total 6 2 4 11" xfId="30674" xr:uid="{00000000-0005-0000-0000-0000AEA20000}"/>
    <cellStyle name="Total 6 2 4 12" xfId="11836" xr:uid="{00000000-0005-0000-0000-0000AFA20000}"/>
    <cellStyle name="Total 6 2 4 2" xfId="1431" xr:uid="{00000000-0005-0000-0000-0000B0A20000}"/>
    <cellStyle name="Total 6 2 4 2 2" xfId="4284" xr:uid="{00000000-0005-0000-0000-0000B1A20000}"/>
    <cellStyle name="Total 6 2 4 2 2 2" xfId="23256" xr:uid="{00000000-0005-0000-0000-0000B2A20000}"/>
    <cellStyle name="Total 6 2 4 2 2 3" xfId="34101" xr:uid="{00000000-0005-0000-0000-0000B3A20000}"/>
    <cellStyle name="Total 6 2 4 2 2 4" xfId="14297" xr:uid="{00000000-0005-0000-0000-0000B4A20000}"/>
    <cellStyle name="Total 6 2 4 2 3" xfId="6957" xr:uid="{00000000-0005-0000-0000-0000B5A20000}"/>
    <cellStyle name="Total 6 2 4 2 3 2" xfId="25929" xr:uid="{00000000-0005-0000-0000-0000B6A20000}"/>
    <cellStyle name="Total 6 2 4 2 3 3" xfId="36774" xr:uid="{00000000-0005-0000-0000-0000B7A20000}"/>
    <cellStyle name="Total 6 2 4 2 3 4" xfId="16212" xr:uid="{00000000-0005-0000-0000-0000B8A20000}"/>
    <cellStyle name="Total 6 2 4 2 4" xfId="9616" xr:uid="{00000000-0005-0000-0000-0000B9A20000}"/>
    <cellStyle name="Total 6 2 4 2 4 2" xfId="28588" xr:uid="{00000000-0005-0000-0000-0000BAA20000}"/>
    <cellStyle name="Total 6 2 4 2 4 3" xfId="39433" xr:uid="{00000000-0005-0000-0000-0000BBA20000}"/>
    <cellStyle name="Total 6 2 4 2 4 4" xfId="18116" xr:uid="{00000000-0005-0000-0000-0000BCA20000}"/>
    <cellStyle name="Total 6 2 4 2 5" xfId="20412" xr:uid="{00000000-0005-0000-0000-0000BDA20000}"/>
    <cellStyle name="Total 6 2 4 2 6" xfId="31257" xr:uid="{00000000-0005-0000-0000-0000BEA20000}"/>
    <cellStyle name="Total 6 2 4 2 7" xfId="12262" xr:uid="{00000000-0005-0000-0000-0000BFA20000}"/>
    <cellStyle name="Total 6 2 4 3" xfId="1830" xr:uid="{00000000-0005-0000-0000-0000C0A20000}"/>
    <cellStyle name="Total 6 2 4 3 2" xfId="4683" xr:uid="{00000000-0005-0000-0000-0000C1A20000}"/>
    <cellStyle name="Total 6 2 4 3 2 2" xfId="23655" xr:uid="{00000000-0005-0000-0000-0000C2A20000}"/>
    <cellStyle name="Total 6 2 4 3 2 3" xfId="34500" xr:uid="{00000000-0005-0000-0000-0000C3A20000}"/>
    <cellStyle name="Total 6 2 4 3 2 4" xfId="14584" xr:uid="{00000000-0005-0000-0000-0000C4A20000}"/>
    <cellStyle name="Total 6 2 4 3 3" xfId="7355" xr:uid="{00000000-0005-0000-0000-0000C5A20000}"/>
    <cellStyle name="Total 6 2 4 3 3 2" xfId="26327" xr:uid="{00000000-0005-0000-0000-0000C6A20000}"/>
    <cellStyle name="Total 6 2 4 3 3 3" xfId="37172" xr:uid="{00000000-0005-0000-0000-0000C7A20000}"/>
    <cellStyle name="Total 6 2 4 3 3 4" xfId="16498" xr:uid="{00000000-0005-0000-0000-0000C8A20000}"/>
    <cellStyle name="Total 6 2 4 3 4" xfId="10014" xr:uid="{00000000-0005-0000-0000-0000C9A20000}"/>
    <cellStyle name="Total 6 2 4 3 4 2" xfId="28986" xr:uid="{00000000-0005-0000-0000-0000CAA20000}"/>
    <cellStyle name="Total 6 2 4 3 4 3" xfId="39831" xr:uid="{00000000-0005-0000-0000-0000CBA20000}"/>
    <cellStyle name="Total 6 2 4 3 4 4" xfId="18402" xr:uid="{00000000-0005-0000-0000-0000CCA20000}"/>
    <cellStyle name="Total 6 2 4 3 5" xfId="20810" xr:uid="{00000000-0005-0000-0000-0000CDA20000}"/>
    <cellStyle name="Total 6 2 4 3 6" xfId="31655" xr:uid="{00000000-0005-0000-0000-0000CEA20000}"/>
    <cellStyle name="Total 6 2 4 3 7" xfId="12548" xr:uid="{00000000-0005-0000-0000-0000CFA20000}"/>
    <cellStyle name="Total 6 2 4 4" xfId="2234" xr:uid="{00000000-0005-0000-0000-0000D0A20000}"/>
    <cellStyle name="Total 6 2 4 4 2" xfId="5087" xr:uid="{00000000-0005-0000-0000-0000D1A20000}"/>
    <cellStyle name="Total 6 2 4 4 2 2" xfId="24059" xr:uid="{00000000-0005-0000-0000-0000D2A20000}"/>
    <cellStyle name="Total 6 2 4 4 2 3" xfId="34904" xr:uid="{00000000-0005-0000-0000-0000D3A20000}"/>
    <cellStyle name="Total 6 2 4 4 2 4" xfId="14871" xr:uid="{00000000-0005-0000-0000-0000D4A20000}"/>
    <cellStyle name="Total 6 2 4 4 3" xfId="7758" xr:uid="{00000000-0005-0000-0000-0000D5A20000}"/>
    <cellStyle name="Total 6 2 4 4 3 2" xfId="26730" xr:uid="{00000000-0005-0000-0000-0000D6A20000}"/>
    <cellStyle name="Total 6 2 4 4 3 3" xfId="37575" xr:uid="{00000000-0005-0000-0000-0000D7A20000}"/>
    <cellStyle name="Total 6 2 4 4 3 4" xfId="16784" xr:uid="{00000000-0005-0000-0000-0000D8A20000}"/>
    <cellStyle name="Total 6 2 4 4 4" xfId="10417" xr:uid="{00000000-0005-0000-0000-0000D9A20000}"/>
    <cellStyle name="Total 6 2 4 4 4 2" xfId="29389" xr:uid="{00000000-0005-0000-0000-0000DAA20000}"/>
    <cellStyle name="Total 6 2 4 4 4 3" xfId="40234" xr:uid="{00000000-0005-0000-0000-0000DBA20000}"/>
    <cellStyle name="Total 6 2 4 4 4 4" xfId="18688" xr:uid="{00000000-0005-0000-0000-0000DCA20000}"/>
    <cellStyle name="Total 6 2 4 4 5" xfId="21213" xr:uid="{00000000-0005-0000-0000-0000DDA20000}"/>
    <cellStyle name="Total 6 2 4 4 6" xfId="32058" xr:uid="{00000000-0005-0000-0000-0000DEA20000}"/>
    <cellStyle name="Total 6 2 4 4 7" xfId="12834" xr:uid="{00000000-0005-0000-0000-0000DFA20000}"/>
    <cellStyle name="Total 6 2 4 5" xfId="2624" xr:uid="{00000000-0005-0000-0000-0000E0A20000}"/>
    <cellStyle name="Total 6 2 4 5 2" xfId="5476" xr:uid="{00000000-0005-0000-0000-0000E1A20000}"/>
    <cellStyle name="Total 6 2 4 5 2 2" xfId="24448" xr:uid="{00000000-0005-0000-0000-0000E2A20000}"/>
    <cellStyle name="Total 6 2 4 5 2 3" xfId="35293" xr:uid="{00000000-0005-0000-0000-0000E3A20000}"/>
    <cellStyle name="Total 6 2 4 5 2 4" xfId="15150" xr:uid="{00000000-0005-0000-0000-0000E4A20000}"/>
    <cellStyle name="Total 6 2 4 5 3" xfId="8147" xr:uid="{00000000-0005-0000-0000-0000E5A20000}"/>
    <cellStyle name="Total 6 2 4 5 3 2" xfId="27119" xr:uid="{00000000-0005-0000-0000-0000E6A20000}"/>
    <cellStyle name="Total 6 2 4 5 3 3" xfId="37964" xr:uid="{00000000-0005-0000-0000-0000E7A20000}"/>
    <cellStyle name="Total 6 2 4 5 3 4" xfId="17063" xr:uid="{00000000-0005-0000-0000-0000E8A20000}"/>
    <cellStyle name="Total 6 2 4 5 4" xfId="10806" xr:uid="{00000000-0005-0000-0000-0000E9A20000}"/>
    <cellStyle name="Total 6 2 4 5 4 2" xfId="29778" xr:uid="{00000000-0005-0000-0000-0000EAA20000}"/>
    <cellStyle name="Total 6 2 4 5 4 3" xfId="40623" xr:uid="{00000000-0005-0000-0000-0000EBA20000}"/>
    <cellStyle name="Total 6 2 4 5 4 4" xfId="18967" xr:uid="{00000000-0005-0000-0000-0000ECA20000}"/>
    <cellStyle name="Total 6 2 4 5 5" xfId="21602" xr:uid="{00000000-0005-0000-0000-0000EDA20000}"/>
    <cellStyle name="Total 6 2 4 5 6" xfId="32447" xr:uid="{00000000-0005-0000-0000-0000EEA20000}"/>
    <cellStyle name="Total 6 2 4 5 7" xfId="13113" xr:uid="{00000000-0005-0000-0000-0000EFA20000}"/>
    <cellStyle name="Total 6 2 4 6" xfId="3010" xr:uid="{00000000-0005-0000-0000-0000F0A20000}"/>
    <cellStyle name="Total 6 2 4 6 2" xfId="5861" xr:uid="{00000000-0005-0000-0000-0000F1A20000}"/>
    <cellStyle name="Total 6 2 4 6 2 2" xfId="24833" xr:uid="{00000000-0005-0000-0000-0000F2A20000}"/>
    <cellStyle name="Total 6 2 4 6 2 3" xfId="35678" xr:uid="{00000000-0005-0000-0000-0000F3A20000}"/>
    <cellStyle name="Total 6 2 4 6 2 4" xfId="15426" xr:uid="{00000000-0005-0000-0000-0000F4A20000}"/>
    <cellStyle name="Total 6 2 4 6 3" xfId="8532" xr:uid="{00000000-0005-0000-0000-0000F5A20000}"/>
    <cellStyle name="Total 6 2 4 6 3 2" xfId="27504" xr:uid="{00000000-0005-0000-0000-0000F6A20000}"/>
    <cellStyle name="Total 6 2 4 6 3 3" xfId="38349" xr:uid="{00000000-0005-0000-0000-0000F7A20000}"/>
    <cellStyle name="Total 6 2 4 6 3 4" xfId="17339" xr:uid="{00000000-0005-0000-0000-0000F8A20000}"/>
    <cellStyle name="Total 6 2 4 6 4" xfId="11191" xr:uid="{00000000-0005-0000-0000-0000F9A20000}"/>
    <cellStyle name="Total 6 2 4 6 4 2" xfId="30163" xr:uid="{00000000-0005-0000-0000-0000FAA20000}"/>
    <cellStyle name="Total 6 2 4 6 4 3" xfId="41008" xr:uid="{00000000-0005-0000-0000-0000FBA20000}"/>
    <cellStyle name="Total 6 2 4 6 4 4" xfId="19243" xr:uid="{00000000-0005-0000-0000-0000FCA20000}"/>
    <cellStyle name="Total 6 2 4 6 5" xfId="21987" xr:uid="{00000000-0005-0000-0000-0000FDA20000}"/>
    <cellStyle name="Total 6 2 4 6 6" xfId="32832" xr:uid="{00000000-0005-0000-0000-0000FEA20000}"/>
    <cellStyle name="Total 6 2 4 6 7" xfId="13389" xr:uid="{00000000-0005-0000-0000-0000FFA20000}"/>
    <cellStyle name="Total 6 2 4 7" xfId="3699" xr:uid="{00000000-0005-0000-0000-000000A30000}"/>
    <cellStyle name="Total 6 2 4 7 2" xfId="22671" xr:uid="{00000000-0005-0000-0000-000001A30000}"/>
    <cellStyle name="Total 6 2 4 7 3" xfId="33516" xr:uid="{00000000-0005-0000-0000-000002A30000}"/>
    <cellStyle name="Total 6 2 4 7 4" xfId="13870" xr:uid="{00000000-0005-0000-0000-000003A30000}"/>
    <cellStyle name="Total 6 2 4 8" xfId="6374" xr:uid="{00000000-0005-0000-0000-000004A30000}"/>
    <cellStyle name="Total 6 2 4 8 2" xfId="25346" xr:uid="{00000000-0005-0000-0000-000005A30000}"/>
    <cellStyle name="Total 6 2 4 8 3" xfId="36191" xr:uid="{00000000-0005-0000-0000-000006A30000}"/>
    <cellStyle name="Total 6 2 4 8 4" xfId="15786" xr:uid="{00000000-0005-0000-0000-000007A30000}"/>
    <cellStyle name="Total 6 2 4 9" xfId="9033" xr:uid="{00000000-0005-0000-0000-000008A30000}"/>
    <cellStyle name="Total 6 2 4 9 2" xfId="28005" xr:uid="{00000000-0005-0000-0000-000009A30000}"/>
    <cellStyle name="Total 6 2 4 9 3" xfId="38850" xr:uid="{00000000-0005-0000-0000-00000AA30000}"/>
    <cellStyle name="Total 6 2 4 9 4" xfId="17690" xr:uid="{00000000-0005-0000-0000-00000BA30000}"/>
    <cellStyle name="Total 6 2 5" xfId="903" xr:uid="{00000000-0005-0000-0000-00000CA30000}"/>
    <cellStyle name="Total 6 2 5 10" xfId="19888" xr:uid="{00000000-0005-0000-0000-00000DA30000}"/>
    <cellStyle name="Total 6 2 5 11" xfId="30733" xr:uid="{00000000-0005-0000-0000-00000EA30000}"/>
    <cellStyle name="Total 6 2 5 12" xfId="11875" xr:uid="{00000000-0005-0000-0000-00000FA30000}"/>
    <cellStyle name="Total 6 2 5 2" xfId="1490" xr:uid="{00000000-0005-0000-0000-000010A30000}"/>
    <cellStyle name="Total 6 2 5 2 2" xfId="4343" xr:uid="{00000000-0005-0000-0000-000011A30000}"/>
    <cellStyle name="Total 6 2 5 2 2 2" xfId="23315" xr:uid="{00000000-0005-0000-0000-000012A30000}"/>
    <cellStyle name="Total 6 2 5 2 2 3" xfId="34160" xr:uid="{00000000-0005-0000-0000-000013A30000}"/>
    <cellStyle name="Total 6 2 5 2 2 4" xfId="14336" xr:uid="{00000000-0005-0000-0000-000014A30000}"/>
    <cellStyle name="Total 6 2 5 2 3" xfId="7016" xr:uid="{00000000-0005-0000-0000-000015A30000}"/>
    <cellStyle name="Total 6 2 5 2 3 2" xfId="25988" xr:uid="{00000000-0005-0000-0000-000016A30000}"/>
    <cellStyle name="Total 6 2 5 2 3 3" xfId="36833" xr:uid="{00000000-0005-0000-0000-000017A30000}"/>
    <cellStyle name="Total 6 2 5 2 3 4" xfId="16251" xr:uid="{00000000-0005-0000-0000-000018A30000}"/>
    <cellStyle name="Total 6 2 5 2 4" xfId="9675" xr:uid="{00000000-0005-0000-0000-000019A30000}"/>
    <cellStyle name="Total 6 2 5 2 4 2" xfId="28647" xr:uid="{00000000-0005-0000-0000-00001AA30000}"/>
    <cellStyle name="Total 6 2 5 2 4 3" xfId="39492" xr:uid="{00000000-0005-0000-0000-00001BA30000}"/>
    <cellStyle name="Total 6 2 5 2 4 4" xfId="18155" xr:uid="{00000000-0005-0000-0000-00001CA30000}"/>
    <cellStyle name="Total 6 2 5 2 5" xfId="20471" xr:uid="{00000000-0005-0000-0000-00001DA30000}"/>
    <cellStyle name="Total 6 2 5 2 6" xfId="31316" xr:uid="{00000000-0005-0000-0000-00001EA30000}"/>
    <cellStyle name="Total 6 2 5 2 7" xfId="12301" xr:uid="{00000000-0005-0000-0000-00001FA30000}"/>
    <cellStyle name="Total 6 2 5 3" xfId="1889" xr:uid="{00000000-0005-0000-0000-000020A30000}"/>
    <cellStyle name="Total 6 2 5 3 2" xfId="4742" xr:uid="{00000000-0005-0000-0000-000021A30000}"/>
    <cellStyle name="Total 6 2 5 3 2 2" xfId="23714" xr:uid="{00000000-0005-0000-0000-000022A30000}"/>
    <cellStyle name="Total 6 2 5 3 2 3" xfId="34559" xr:uid="{00000000-0005-0000-0000-000023A30000}"/>
    <cellStyle name="Total 6 2 5 3 2 4" xfId="14623" xr:uid="{00000000-0005-0000-0000-000024A30000}"/>
    <cellStyle name="Total 6 2 5 3 3" xfId="7414" xr:uid="{00000000-0005-0000-0000-000025A30000}"/>
    <cellStyle name="Total 6 2 5 3 3 2" xfId="26386" xr:uid="{00000000-0005-0000-0000-000026A30000}"/>
    <cellStyle name="Total 6 2 5 3 3 3" xfId="37231" xr:uid="{00000000-0005-0000-0000-000027A30000}"/>
    <cellStyle name="Total 6 2 5 3 3 4" xfId="16537" xr:uid="{00000000-0005-0000-0000-000028A30000}"/>
    <cellStyle name="Total 6 2 5 3 4" xfId="10073" xr:uid="{00000000-0005-0000-0000-000029A30000}"/>
    <cellStyle name="Total 6 2 5 3 4 2" xfId="29045" xr:uid="{00000000-0005-0000-0000-00002AA30000}"/>
    <cellStyle name="Total 6 2 5 3 4 3" xfId="39890" xr:uid="{00000000-0005-0000-0000-00002BA30000}"/>
    <cellStyle name="Total 6 2 5 3 4 4" xfId="18441" xr:uid="{00000000-0005-0000-0000-00002CA30000}"/>
    <cellStyle name="Total 6 2 5 3 5" xfId="20869" xr:uid="{00000000-0005-0000-0000-00002DA30000}"/>
    <cellStyle name="Total 6 2 5 3 6" xfId="31714" xr:uid="{00000000-0005-0000-0000-00002EA30000}"/>
    <cellStyle name="Total 6 2 5 3 7" xfId="12587" xr:uid="{00000000-0005-0000-0000-00002FA30000}"/>
    <cellStyle name="Total 6 2 5 4" xfId="2293" xr:uid="{00000000-0005-0000-0000-000030A30000}"/>
    <cellStyle name="Total 6 2 5 4 2" xfId="5146" xr:uid="{00000000-0005-0000-0000-000031A30000}"/>
    <cellStyle name="Total 6 2 5 4 2 2" xfId="24118" xr:uid="{00000000-0005-0000-0000-000032A30000}"/>
    <cellStyle name="Total 6 2 5 4 2 3" xfId="34963" xr:uid="{00000000-0005-0000-0000-000033A30000}"/>
    <cellStyle name="Total 6 2 5 4 2 4" xfId="14910" xr:uid="{00000000-0005-0000-0000-000034A30000}"/>
    <cellStyle name="Total 6 2 5 4 3" xfId="7817" xr:uid="{00000000-0005-0000-0000-000035A30000}"/>
    <cellStyle name="Total 6 2 5 4 3 2" xfId="26789" xr:uid="{00000000-0005-0000-0000-000036A30000}"/>
    <cellStyle name="Total 6 2 5 4 3 3" xfId="37634" xr:uid="{00000000-0005-0000-0000-000037A30000}"/>
    <cellStyle name="Total 6 2 5 4 3 4" xfId="16823" xr:uid="{00000000-0005-0000-0000-000038A30000}"/>
    <cellStyle name="Total 6 2 5 4 4" xfId="10476" xr:uid="{00000000-0005-0000-0000-000039A30000}"/>
    <cellStyle name="Total 6 2 5 4 4 2" xfId="29448" xr:uid="{00000000-0005-0000-0000-00003AA30000}"/>
    <cellStyle name="Total 6 2 5 4 4 3" xfId="40293" xr:uid="{00000000-0005-0000-0000-00003BA30000}"/>
    <cellStyle name="Total 6 2 5 4 4 4" xfId="18727" xr:uid="{00000000-0005-0000-0000-00003CA30000}"/>
    <cellStyle name="Total 6 2 5 4 5" xfId="21272" xr:uid="{00000000-0005-0000-0000-00003DA30000}"/>
    <cellStyle name="Total 6 2 5 4 6" xfId="32117" xr:uid="{00000000-0005-0000-0000-00003EA30000}"/>
    <cellStyle name="Total 6 2 5 4 7" xfId="12873" xr:uid="{00000000-0005-0000-0000-00003FA30000}"/>
    <cellStyle name="Total 6 2 5 5" xfId="2683" xr:uid="{00000000-0005-0000-0000-000040A30000}"/>
    <cellStyle name="Total 6 2 5 5 2" xfId="5535" xr:uid="{00000000-0005-0000-0000-000041A30000}"/>
    <cellStyle name="Total 6 2 5 5 2 2" xfId="24507" xr:uid="{00000000-0005-0000-0000-000042A30000}"/>
    <cellStyle name="Total 6 2 5 5 2 3" xfId="35352" xr:uid="{00000000-0005-0000-0000-000043A30000}"/>
    <cellStyle name="Total 6 2 5 5 2 4" xfId="15189" xr:uid="{00000000-0005-0000-0000-000044A30000}"/>
    <cellStyle name="Total 6 2 5 5 3" xfId="8206" xr:uid="{00000000-0005-0000-0000-000045A30000}"/>
    <cellStyle name="Total 6 2 5 5 3 2" xfId="27178" xr:uid="{00000000-0005-0000-0000-000046A30000}"/>
    <cellStyle name="Total 6 2 5 5 3 3" xfId="38023" xr:uid="{00000000-0005-0000-0000-000047A30000}"/>
    <cellStyle name="Total 6 2 5 5 3 4" xfId="17102" xr:uid="{00000000-0005-0000-0000-000048A30000}"/>
    <cellStyle name="Total 6 2 5 5 4" xfId="10865" xr:uid="{00000000-0005-0000-0000-000049A30000}"/>
    <cellStyle name="Total 6 2 5 5 4 2" xfId="29837" xr:uid="{00000000-0005-0000-0000-00004AA30000}"/>
    <cellStyle name="Total 6 2 5 5 4 3" xfId="40682" xr:uid="{00000000-0005-0000-0000-00004BA30000}"/>
    <cellStyle name="Total 6 2 5 5 4 4" xfId="19006" xr:uid="{00000000-0005-0000-0000-00004CA30000}"/>
    <cellStyle name="Total 6 2 5 5 5" xfId="21661" xr:uid="{00000000-0005-0000-0000-00004DA30000}"/>
    <cellStyle name="Total 6 2 5 5 6" xfId="32506" xr:uid="{00000000-0005-0000-0000-00004EA30000}"/>
    <cellStyle name="Total 6 2 5 5 7" xfId="13152" xr:uid="{00000000-0005-0000-0000-00004FA30000}"/>
    <cellStyle name="Total 6 2 5 6" xfId="3069" xr:uid="{00000000-0005-0000-0000-000050A30000}"/>
    <cellStyle name="Total 6 2 5 6 2" xfId="5920" xr:uid="{00000000-0005-0000-0000-000051A30000}"/>
    <cellStyle name="Total 6 2 5 6 2 2" xfId="24892" xr:uid="{00000000-0005-0000-0000-000052A30000}"/>
    <cellStyle name="Total 6 2 5 6 2 3" xfId="35737" xr:uid="{00000000-0005-0000-0000-000053A30000}"/>
    <cellStyle name="Total 6 2 5 6 2 4" xfId="15465" xr:uid="{00000000-0005-0000-0000-000054A30000}"/>
    <cellStyle name="Total 6 2 5 6 3" xfId="8591" xr:uid="{00000000-0005-0000-0000-000055A30000}"/>
    <cellStyle name="Total 6 2 5 6 3 2" xfId="27563" xr:uid="{00000000-0005-0000-0000-000056A30000}"/>
    <cellStyle name="Total 6 2 5 6 3 3" xfId="38408" xr:uid="{00000000-0005-0000-0000-000057A30000}"/>
    <cellStyle name="Total 6 2 5 6 3 4" xfId="17378" xr:uid="{00000000-0005-0000-0000-000058A30000}"/>
    <cellStyle name="Total 6 2 5 6 4" xfId="11250" xr:uid="{00000000-0005-0000-0000-000059A30000}"/>
    <cellStyle name="Total 6 2 5 6 4 2" xfId="30222" xr:uid="{00000000-0005-0000-0000-00005AA30000}"/>
    <cellStyle name="Total 6 2 5 6 4 3" xfId="41067" xr:uid="{00000000-0005-0000-0000-00005BA30000}"/>
    <cellStyle name="Total 6 2 5 6 4 4" xfId="19282" xr:uid="{00000000-0005-0000-0000-00005CA30000}"/>
    <cellStyle name="Total 6 2 5 6 5" xfId="22046" xr:uid="{00000000-0005-0000-0000-00005DA30000}"/>
    <cellStyle name="Total 6 2 5 6 6" xfId="32891" xr:uid="{00000000-0005-0000-0000-00005EA30000}"/>
    <cellStyle name="Total 6 2 5 6 7" xfId="13428" xr:uid="{00000000-0005-0000-0000-00005FA30000}"/>
    <cellStyle name="Total 6 2 5 7" xfId="3758" xr:uid="{00000000-0005-0000-0000-000060A30000}"/>
    <cellStyle name="Total 6 2 5 7 2" xfId="22730" xr:uid="{00000000-0005-0000-0000-000061A30000}"/>
    <cellStyle name="Total 6 2 5 7 3" xfId="33575" xr:uid="{00000000-0005-0000-0000-000062A30000}"/>
    <cellStyle name="Total 6 2 5 7 4" xfId="13909" xr:uid="{00000000-0005-0000-0000-000063A30000}"/>
    <cellStyle name="Total 6 2 5 8" xfId="6433" xr:uid="{00000000-0005-0000-0000-000064A30000}"/>
    <cellStyle name="Total 6 2 5 8 2" xfId="25405" xr:uid="{00000000-0005-0000-0000-000065A30000}"/>
    <cellStyle name="Total 6 2 5 8 3" xfId="36250" xr:uid="{00000000-0005-0000-0000-000066A30000}"/>
    <cellStyle name="Total 6 2 5 8 4" xfId="15825" xr:uid="{00000000-0005-0000-0000-000067A30000}"/>
    <cellStyle name="Total 6 2 5 9" xfId="9092" xr:uid="{00000000-0005-0000-0000-000068A30000}"/>
    <cellStyle name="Total 6 2 5 9 2" xfId="28064" xr:uid="{00000000-0005-0000-0000-000069A30000}"/>
    <cellStyle name="Total 6 2 5 9 3" xfId="38909" xr:uid="{00000000-0005-0000-0000-00006AA30000}"/>
    <cellStyle name="Total 6 2 5 9 4" xfId="17729" xr:uid="{00000000-0005-0000-0000-00006BA30000}"/>
    <cellStyle name="Total 6 2 6" xfId="1133" xr:uid="{00000000-0005-0000-0000-00006CA30000}"/>
    <cellStyle name="Total 6 2 6 2" xfId="3986" xr:uid="{00000000-0005-0000-0000-00006DA30000}"/>
    <cellStyle name="Total 6 2 6 2 2" xfId="22958" xr:uid="{00000000-0005-0000-0000-00006EA30000}"/>
    <cellStyle name="Total 6 2 6 2 3" xfId="33803" xr:uid="{00000000-0005-0000-0000-00006FA30000}"/>
    <cellStyle name="Total 6 2 6 2 4" xfId="14078" xr:uid="{00000000-0005-0000-0000-000070A30000}"/>
    <cellStyle name="Total 6 2 6 3" xfId="6659" xr:uid="{00000000-0005-0000-0000-000071A30000}"/>
    <cellStyle name="Total 6 2 6 3 2" xfId="25631" xr:uid="{00000000-0005-0000-0000-000072A30000}"/>
    <cellStyle name="Total 6 2 6 3 3" xfId="36476" xr:uid="{00000000-0005-0000-0000-000073A30000}"/>
    <cellStyle name="Total 6 2 6 3 4" xfId="15993" xr:uid="{00000000-0005-0000-0000-000074A30000}"/>
    <cellStyle name="Total 6 2 6 4" xfId="9318" xr:uid="{00000000-0005-0000-0000-000075A30000}"/>
    <cellStyle name="Total 6 2 6 4 2" xfId="28290" xr:uid="{00000000-0005-0000-0000-000076A30000}"/>
    <cellStyle name="Total 6 2 6 4 3" xfId="39135" xr:uid="{00000000-0005-0000-0000-000077A30000}"/>
    <cellStyle name="Total 6 2 6 4 4" xfId="17897" xr:uid="{00000000-0005-0000-0000-000078A30000}"/>
    <cellStyle name="Total 6 2 6 5" xfId="20114" xr:uid="{00000000-0005-0000-0000-000079A30000}"/>
    <cellStyle name="Total 6 2 6 6" xfId="30959" xr:uid="{00000000-0005-0000-0000-00007AA30000}"/>
    <cellStyle name="Total 6 2 6 7" xfId="12043" xr:uid="{00000000-0005-0000-0000-00007BA30000}"/>
    <cellStyle name="Total 6 2 7" xfId="1529" xr:uid="{00000000-0005-0000-0000-00007CA30000}"/>
    <cellStyle name="Total 6 2 7 2" xfId="4382" xr:uid="{00000000-0005-0000-0000-00007DA30000}"/>
    <cellStyle name="Total 6 2 7 2 2" xfId="23354" xr:uid="{00000000-0005-0000-0000-00007EA30000}"/>
    <cellStyle name="Total 6 2 7 2 3" xfId="34199" xr:uid="{00000000-0005-0000-0000-00007FA30000}"/>
    <cellStyle name="Total 6 2 7 2 4" xfId="14364" xr:uid="{00000000-0005-0000-0000-000080A30000}"/>
    <cellStyle name="Total 6 2 7 3" xfId="7055" xr:uid="{00000000-0005-0000-0000-000081A30000}"/>
    <cellStyle name="Total 6 2 7 3 2" xfId="26027" xr:uid="{00000000-0005-0000-0000-000082A30000}"/>
    <cellStyle name="Total 6 2 7 3 3" xfId="36872" xr:uid="{00000000-0005-0000-0000-000083A30000}"/>
    <cellStyle name="Total 6 2 7 3 4" xfId="16279" xr:uid="{00000000-0005-0000-0000-000084A30000}"/>
    <cellStyle name="Total 6 2 7 4" xfId="9714" xr:uid="{00000000-0005-0000-0000-000085A30000}"/>
    <cellStyle name="Total 6 2 7 4 2" xfId="28686" xr:uid="{00000000-0005-0000-0000-000086A30000}"/>
    <cellStyle name="Total 6 2 7 4 3" xfId="39531" xr:uid="{00000000-0005-0000-0000-000087A30000}"/>
    <cellStyle name="Total 6 2 7 4 4" xfId="18183" xr:uid="{00000000-0005-0000-0000-000088A30000}"/>
    <cellStyle name="Total 6 2 7 5" xfId="20510" xr:uid="{00000000-0005-0000-0000-000089A30000}"/>
    <cellStyle name="Total 6 2 7 6" xfId="31355" xr:uid="{00000000-0005-0000-0000-00008AA30000}"/>
    <cellStyle name="Total 6 2 7 7" xfId="12329" xr:uid="{00000000-0005-0000-0000-00008BA30000}"/>
    <cellStyle name="Total 6 2 8" xfId="1935" xr:uid="{00000000-0005-0000-0000-00008CA30000}"/>
    <cellStyle name="Total 6 2 8 2" xfId="4788" xr:uid="{00000000-0005-0000-0000-00008DA30000}"/>
    <cellStyle name="Total 6 2 8 2 2" xfId="23760" xr:uid="{00000000-0005-0000-0000-00008EA30000}"/>
    <cellStyle name="Total 6 2 8 2 3" xfId="34605" xr:uid="{00000000-0005-0000-0000-00008FA30000}"/>
    <cellStyle name="Total 6 2 8 2 4" xfId="14653" xr:uid="{00000000-0005-0000-0000-000090A30000}"/>
    <cellStyle name="Total 6 2 8 3" xfId="7460" xr:uid="{00000000-0005-0000-0000-000091A30000}"/>
    <cellStyle name="Total 6 2 8 3 2" xfId="26432" xr:uid="{00000000-0005-0000-0000-000092A30000}"/>
    <cellStyle name="Total 6 2 8 3 3" xfId="37277" xr:uid="{00000000-0005-0000-0000-000093A30000}"/>
    <cellStyle name="Total 6 2 8 3 4" xfId="16567" xr:uid="{00000000-0005-0000-0000-000094A30000}"/>
    <cellStyle name="Total 6 2 8 4" xfId="10119" xr:uid="{00000000-0005-0000-0000-000095A30000}"/>
    <cellStyle name="Total 6 2 8 4 2" xfId="29091" xr:uid="{00000000-0005-0000-0000-000096A30000}"/>
    <cellStyle name="Total 6 2 8 4 3" xfId="39936" xr:uid="{00000000-0005-0000-0000-000097A30000}"/>
    <cellStyle name="Total 6 2 8 4 4" xfId="18471" xr:uid="{00000000-0005-0000-0000-000098A30000}"/>
    <cellStyle name="Total 6 2 8 5" xfId="20915" xr:uid="{00000000-0005-0000-0000-000099A30000}"/>
    <cellStyle name="Total 6 2 8 6" xfId="31760" xr:uid="{00000000-0005-0000-0000-00009AA30000}"/>
    <cellStyle name="Total 6 2 8 7" xfId="12617" xr:uid="{00000000-0005-0000-0000-00009BA30000}"/>
    <cellStyle name="Total 6 2 9" xfId="2328" xr:uid="{00000000-0005-0000-0000-00009CA30000}"/>
    <cellStyle name="Total 6 2 9 2" xfId="5181" xr:uid="{00000000-0005-0000-0000-00009DA30000}"/>
    <cellStyle name="Total 6 2 9 2 2" xfId="24153" xr:uid="{00000000-0005-0000-0000-00009EA30000}"/>
    <cellStyle name="Total 6 2 9 2 3" xfId="34998" xr:uid="{00000000-0005-0000-0000-00009FA30000}"/>
    <cellStyle name="Total 6 2 9 2 4" xfId="14935" xr:uid="{00000000-0005-0000-0000-0000A0A30000}"/>
    <cellStyle name="Total 6 2 9 3" xfId="7852" xr:uid="{00000000-0005-0000-0000-0000A1A30000}"/>
    <cellStyle name="Total 6 2 9 3 2" xfId="26824" xr:uid="{00000000-0005-0000-0000-0000A2A30000}"/>
    <cellStyle name="Total 6 2 9 3 3" xfId="37669" xr:uid="{00000000-0005-0000-0000-0000A3A30000}"/>
    <cellStyle name="Total 6 2 9 3 4" xfId="16848" xr:uid="{00000000-0005-0000-0000-0000A4A30000}"/>
    <cellStyle name="Total 6 2 9 4" xfId="10511" xr:uid="{00000000-0005-0000-0000-0000A5A30000}"/>
    <cellStyle name="Total 6 2 9 4 2" xfId="29483" xr:uid="{00000000-0005-0000-0000-0000A6A30000}"/>
    <cellStyle name="Total 6 2 9 4 3" xfId="40328" xr:uid="{00000000-0005-0000-0000-0000A7A30000}"/>
    <cellStyle name="Total 6 2 9 4 4" xfId="18752" xr:uid="{00000000-0005-0000-0000-0000A8A30000}"/>
    <cellStyle name="Total 6 2 9 5" xfId="21307" xr:uid="{00000000-0005-0000-0000-0000A9A30000}"/>
    <cellStyle name="Total 6 2 9 6" xfId="32152" xr:uid="{00000000-0005-0000-0000-0000AAA30000}"/>
    <cellStyle name="Total 6 2 9 7" xfId="12898" xr:uid="{00000000-0005-0000-0000-0000ABA30000}"/>
    <cellStyle name="Total 6 3" xfId="623" xr:uid="{00000000-0005-0000-0000-0000ACA30000}"/>
    <cellStyle name="Total 6 3 10" xfId="19630" xr:uid="{00000000-0005-0000-0000-0000ADA30000}"/>
    <cellStyle name="Total 6 3 11" xfId="30475" xr:uid="{00000000-0005-0000-0000-0000AEA30000}"/>
    <cellStyle name="Total 6 3 12" xfId="11678" xr:uid="{00000000-0005-0000-0000-0000AFA30000}"/>
    <cellStyle name="Total 6 3 2" xfId="1227" xr:uid="{00000000-0005-0000-0000-0000B0A30000}"/>
    <cellStyle name="Total 6 3 2 2" xfId="4080" xr:uid="{00000000-0005-0000-0000-0000B1A30000}"/>
    <cellStyle name="Total 6 3 2 2 2" xfId="23052" xr:uid="{00000000-0005-0000-0000-0000B2A30000}"/>
    <cellStyle name="Total 6 3 2 2 3" xfId="33897" xr:uid="{00000000-0005-0000-0000-0000B3A30000}"/>
    <cellStyle name="Total 6 3 2 2 4" xfId="14153" xr:uid="{00000000-0005-0000-0000-0000B4A30000}"/>
    <cellStyle name="Total 6 3 2 3" xfId="6753" xr:uid="{00000000-0005-0000-0000-0000B5A30000}"/>
    <cellStyle name="Total 6 3 2 3 2" xfId="25725" xr:uid="{00000000-0005-0000-0000-0000B6A30000}"/>
    <cellStyle name="Total 6 3 2 3 3" xfId="36570" xr:uid="{00000000-0005-0000-0000-0000B7A30000}"/>
    <cellStyle name="Total 6 3 2 3 4" xfId="16068" xr:uid="{00000000-0005-0000-0000-0000B8A30000}"/>
    <cellStyle name="Total 6 3 2 4" xfId="9412" xr:uid="{00000000-0005-0000-0000-0000B9A30000}"/>
    <cellStyle name="Total 6 3 2 4 2" xfId="28384" xr:uid="{00000000-0005-0000-0000-0000BAA30000}"/>
    <cellStyle name="Total 6 3 2 4 3" xfId="39229" xr:uid="{00000000-0005-0000-0000-0000BBA30000}"/>
    <cellStyle name="Total 6 3 2 4 4" xfId="17972" xr:uid="{00000000-0005-0000-0000-0000BCA30000}"/>
    <cellStyle name="Total 6 3 2 5" xfId="20208" xr:uid="{00000000-0005-0000-0000-0000BDA30000}"/>
    <cellStyle name="Total 6 3 2 6" xfId="31053" xr:uid="{00000000-0005-0000-0000-0000BEA30000}"/>
    <cellStyle name="Total 6 3 2 7" xfId="12118" xr:uid="{00000000-0005-0000-0000-0000BFA30000}"/>
    <cellStyle name="Total 6 3 3" xfId="1625" xr:uid="{00000000-0005-0000-0000-0000C0A30000}"/>
    <cellStyle name="Total 6 3 3 2" xfId="4478" xr:uid="{00000000-0005-0000-0000-0000C1A30000}"/>
    <cellStyle name="Total 6 3 3 2 2" xfId="23450" xr:uid="{00000000-0005-0000-0000-0000C2A30000}"/>
    <cellStyle name="Total 6 3 3 2 3" xfId="34295" xr:uid="{00000000-0005-0000-0000-0000C3A30000}"/>
    <cellStyle name="Total 6 3 3 2 4" xfId="14440" xr:uid="{00000000-0005-0000-0000-0000C4A30000}"/>
    <cellStyle name="Total 6 3 3 3" xfId="7150" xr:uid="{00000000-0005-0000-0000-0000C5A30000}"/>
    <cellStyle name="Total 6 3 3 3 2" xfId="26122" xr:uid="{00000000-0005-0000-0000-0000C6A30000}"/>
    <cellStyle name="Total 6 3 3 3 3" xfId="36967" xr:uid="{00000000-0005-0000-0000-0000C7A30000}"/>
    <cellStyle name="Total 6 3 3 3 4" xfId="16354" xr:uid="{00000000-0005-0000-0000-0000C8A30000}"/>
    <cellStyle name="Total 6 3 3 4" xfId="9809" xr:uid="{00000000-0005-0000-0000-0000C9A30000}"/>
    <cellStyle name="Total 6 3 3 4 2" xfId="28781" xr:uid="{00000000-0005-0000-0000-0000CAA30000}"/>
    <cellStyle name="Total 6 3 3 4 3" xfId="39626" xr:uid="{00000000-0005-0000-0000-0000CBA30000}"/>
    <cellStyle name="Total 6 3 3 4 4" xfId="18258" xr:uid="{00000000-0005-0000-0000-0000CCA30000}"/>
    <cellStyle name="Total 6 3 3 5" xfId="20605" xr:uid="{00000000-0005-0000-0000-0000CDA30000}"/>
    <cellStyle name="Total 6 3 3 6" xfId="31450" xr:uid="{00000000-0005-0000-0000-0000CEA30000}"/>
    <cellStyle name="Total 6 3 3 7" xfId="12404" xr:uid="{00000000-0005-0000-0000-0000CFA30000}"/>
    <cellStyle name="Total 6 3 4" xfId="2027" xr:uid="{00000000-0005-0000-0000-0000D0A30000}"/>
    <cellStyle name="Total 6 3 4 2" xfId="4880" xr:uid="{00000000-0005-0000-0000-0000D1A30000}"/>
    <cellStyle name="Total 6 3 4 2 2" xfId="23852" xr:uid="{00000000-0005-0000-0000-0000D2A30000}"/>
    <cellStyle name="Total 6 3 4 2 3" xfId="34697" xr:uid="{00000000-0005-0000-0000-0000D3A30000}"/>
    <cellStyle name="Total 6 3 4 2 4" xfId="14726" xr:uid="{00000000-0005-0000-0000-0000D4A30000}"/>
    <cellStyle name="Total 6 3 4 3" xfId="7552" xr:uid="{00000000-0005-0000-0000-0000D5A30000}"/>
    <cellStyle name="Total 6 3 4 3 2" xfId="26524" xr:uid="{00000000-0005-0000-0000-0000D6A30000}"/>
    <cellStyle name="Total 6 3 4 3 3" xfId="37369" xr:uid="{00000000-0005-0000-0000-0000D7A30000}"/>
    <cellStyle name="Total 6 3 4 3 4" xfId="16640" xr:uid="{00000000-0005-0000-0000-0000D8A30000}"/>
    <cellStyle name="Total 6 3 4 4" xfId="10211" xr:uid="{00000000-0005-0000-0000-0000D9A30000}"/>
    <cellStyle name="Total 6 3 4 4 2" xfId="29183" xr:uid="{00000000-0005-0000-0000-0000DAA30000}"/>
    <cellStyle name="Total 6 3 4 4 3" xfId="40028" xr:uid="{00000000-0005-0000-0000-0000DBA30000}"/>
    <cellStyle name="Total 6 3 4 4 4" xfId="18544" xr:uid="{00000000-0005-0000-0000-0000DCA30000}"/>
    <cellStyle name="Total 6 3 4 5" xfId="21007" xr:uid="{00000000-0005-0000-0000-0000DDA30000}"/>
    <cellStyle name="Total 6 3 4 6" xfId="31852" xr:uid="{00000000-0005-0000-0000-0000DEA30000}"/>
    <cellStyle name="Total 6 3 4 7" xfId="12690" xr:uid="{00000000-0005-0000-0000-0000DFA30000}"/>
    <cellStyle name="Total 6 3 5" xfId="2419" xr:uid="{00000000-0005-0000-0000-0000E0A30000}"/>
    <cellStyle name="Total 6 3 5 2" xfId="5272" xr:uid="{00000000-0005-0000-0000-0000E1A30000}"/>
    <cellStyle name="Total 6 3 5 2 2" xfId="24244" xr:uid="{00000000-0005-0000-0000-0000E2A30000}"/>
    <cellStyle name="Total 6 3 5 2 3" xfId="35089" xr:uid="{00000000-0005-0000-0000-0000E3A30000}"/>
    <cellStyle name="Total 6 3 5 2 4" xfId="15007" xr:uid="{00000000-0005-0000-0000-0000E4A30000}"/>
    <cellStyle name="Total 6 3 5 3" xfId="7943" xr:uid="{00000000-0005-0000-0000-0000E5A30000}"/>
    <cellStyle name="Total 6 3 5 3 2" xfId="26915" xr:uid="{00000000-0005-0000-0000-0000E6A30000}"/>
    <cellStyle name="Total 6 3 5 3 3" xfId="37760" xr:uid="{00000000-0005-0000-0000-0000E7A30000}"/>
    <cellStyle name="Total 6 3 5 3 4" xfId="16920" xr:uid="{00000000-0005-0000-0000-0000E8A30000}"/>
    <cellStyle name="Total 6 3 5 4" xfId="10602" xr:uid="{00000000-0005-0000-0000-0000E9A30000}"/>
    <cellStyle name="Total 6 3 5 4 2" xfId="29574" xr:uid="{00000000-0005-0000-0000-0000EAA30000}"/>
    <cellStyle name="Total 6 3 5 4 3" xfId="40419" xr:uid="{00000000-0005-0000-0000-0000EBA30000}"/>
    <cellStyle name="Total 6 3 5 4 4" xfId="18824" xr:uid="{00000000-0005-0000-0000-0000ECA30000}"/>
    <cellStyle name="Total 6 3 5 5" xfId="21398" xr:uid="{00000000-0005-0000-0000-0000EDA30000}"/>
    <cellStyle name="Total 6 3 5 6" xfId="32243" xr:uid="{00000000-0005-0000-0000-0000EEA30000}"/>
    <cellStyle name="Total 6 3 5 7" xfId="12970" xr:uid="{00000000-0005-0000-0000-0000EFA30000}"/>
    <cellStyle name="Total 6 3 6" xfId="2808" xr:uid="{00000000-0005-0000-0000-0000F0A30000}"/>
    <cellStyle name="Total 6 3 6 2" xfId="5660" xr:uid="{00000000-0005-0000-0000-0000F1A30000}"/>
    <cellStyle name="Total 6 3 6 2 2" xfId="24632" xr:uid="{00000000-0005-0000-0000-0000F2A30000}"/>
    <cellStyle name="Total 6 3 6 2 3" xfId="35477" xr:uid="{00000000-0005-0000-0000-0000F3A30000}"/>
    <cellStyle name="Total 6 3 6 2 4" xfId="15285" xr:uid="{00000000-0005-0000-0000-0000F4A30000}"/>
    <cellStyle name="Total 6 3 6 3" xfId="8331" xr:uid="{00000000-0005-0000-0000-0000F5A30000}"/>
    <cellStyle name="Total 6 3 6 3 2" xfId="27303" xr:uid="{00000000-0005-0000-0000-0000F6A30000}"/>
    <cellStyle name="Total 6 3 6 3 3" xfId="38148" xr:uid="{00000000-0005-0000-0000-0000F7A30000}"/>
    <cellStyle name="Total 6 3 6 3 4" xfId="17198" xr:uid="{00000000-0005-0000-0000-0000F8A30000}"/>
    <cellStyle name="Total 6 3 6 4" xfId="10990" xr:uid="{00000000-0005-0000-0000-0000F9A30000}"/>
    <cellStyle name="Total 6 3 6 4 2" xfId="29962" xr:uid="{00000000-0005-0000-0000-0000FAA30000}"/>
    <cellStyle name="Total 6 3 6 4 3" xfId="40807" xr:uid="{00000000-0005-0000-0000-0000FBA30000}"/>
    <cellStyle name="Total 6 3 6 4 4" xfId="19102" xr:uid="{00000000-0005-0000-0000-0000FCA30000}"/>
    <cellStyle name="Total 6 3 6 5" xfId="21786" xr:uid="{00000000-0005-0000-0000-0000FDA30000}"/>
    <cellStyle name="Total 6 3 6 6" xfId="32631" xr:uid="{00000000-0005-0000-0000-0000FEA30000}"/>
    <cellStyle name="Total 6 3 6 7" xfId="13248" xr:uid="{00000000-0005-0000-0000-0000FFA30000}"/>
    <cellStyle name="Total 6 3 7" xfId="3499" xr:uid="{00000000-0005-0000-0000-000000A40000}"/>
    <cellStyle name="Total 6 3 7 2" xfId="22471" xr:uid="{00000000-0005-0000-0000-000001A40000}"/>
    <cellStyle name="Total 6 3 7 3" xfId="33316" xr:uid="{00000000-0005-0000-0000-000002A40000}"/>
    <cellStyle name="Total 6 3 7 4" xfId="13730" xr:uid="{00000000-0005-0000-0000-000003A40000}"/>
    <cellStyle name="Total 6 3 8" xfId="6175" xr:uid="{00000000-0005-0000-0000-000004A40000}"/>
    <cellStyle name="Total 6 3 8 2" xfId="25147" xr:uid="{00000000-0005-0000-0000-000005A40000}"/>
    <cellStyle name="Total 6 3 8 3" xfId="35992" xr:uid="{00000000-0005-0000-0000-000006A40000}"/>
    <cellStyle name="Total 6 3 8 4" xfId="15647" xr:uid="{00000000-0005-0000-0000-000007A40000}"/>
    <cellStyle name="Total 6 3 9" xfId="8834" xr:uid="{00000000-0005-0000-0000-000008A40000}"/>
    <cellStyle name="Total 6 3 9 2" xfId="27806" xr:uid="{00000000-0005-0000-0000-000009A40000}"/>
    <cellStyle name="Total 6 3 9 3" xfId="38651" xr:uid="{00000000-0005-0000-0000-00000AA40000}"/>
    <cellStyle name="Total 6 3 9 4" xfId="17551" xr:uid="{00000000-0005-0000-0000-00000BA40000}"/>
    <cellStyle name="Total 6 4" xfId="11494" xr:uid="{00000000-0005-0000-0000-00000CA40000}"/>
    <cellStyle name="Total 7" xfId="398" xr:uid="{00000000-0005-0000-0000-00000DA40000}"/>
    <cellStyle name="Total 7 10" xfId="2689" xr:uid="{00000000-0005-0000-0000-00000EA40000}"/>
    <cellStyle name="Total 7 10 2" xfId="5541" xr:uid="{00000000-0005-0000-0000-00000FA40000}"/>
    <cellStyle name="Total 7 10 2 2" xfId="24513" xr:uid="{00000000-0005-0000-0000-000010A40000}"/>
    <cellStyle name="Total 7 10 2 3" xfId="35358" xr:uid="{00000000-0005-0000-0000-000011A40000}"/>
    <cellStyle name="Total 7 10 2 4" xfId="15195" xr:uid="{00000000-0005-0000-0000-000012A40000}"/>
    <cellStyle name="Total 7 10 3" xfId="8212" xr:uid="{00000000-0005-0000-0000-000013A40000}"/>
    <cellStyle name="Total 7 10 3 2" xfId="27184" xr:uid="{00000000-0005-0000-0000-000014A40000}"/>
    <cellStyle name="Total 7 10 3 3" xfId="38029" xr:uid="{00000000-0005-0000-0000-000015A40000}"/>
    <cellStyle name="Total 7 10 3 4" xfId="17108" xr:uid="{00000000-0005-0000-0000-000016A40000}"/>
    <cellStyle name="Total 7 10 4" xfId="10871" xr:uid="{00000000-0005-0000-0000-000017A40000}"/>
    <cellStyle name="Total 7 10 4 2" xfId="29843" xr:uid="{00000000-0005-0000-0000-000018A40000}"/>
    <cellStyle name="Total 7 10 4 3" xfId="40688" xr:uid="{00000000-0005-0000-0000-000019A40000}"/>
    <cellStyle name="Total 7 10 4 4" xfId="19012" xr:uid="{00000000-0005-0000-0000-00001AA40000}"/>
    <cellStyle name="Total 7 10 5" xfId="21667" xr:uid="{00000000-0005-0000-0000-00001BA40000}"/>
    <cellStyle name="Total 7 10 6" xfId="32512" xr:uid="{00000000-0005-0000-0000-00001CA40000}"/>
    <cellStyle name="Total 7 10 7" xfId="13158" xr:uid="{00000000-0005-0000-0000-00001DA40000}"/>
    <cellStyle name="Total 7 11" xfId="3075" xr:uid="{00000000-0005-0000-0000-00001EA40000}"/>
    <cellStyle name="Total 7 11 2" xfId="5926" xr:uid="{00000000-0005-0000-0000-00001FA40000}"/>
    <cellStyle name="Total 7 11 2 2" xfId="24898" xr:uid="{00000000-0005-0000-0000-000020A40000}"/>
    <cellStyle name="Total 7 11 2 3" xfId="35743" xr:uid="{00000000-0005-0000-0000-000021A40000}"/>
    <cellStyle name="Total 7 11 2 4" xfId="15471" xr:uid="{00000000-0005-0000-0000-000022A40000}"/>
    <cellStyle name="Total 7 11 3" xfId="8597" xr:uid="{00000000-0005-0000-0000-000023A40000}"/>
    <cellStyle name="Total 7 11 3 2" xfId="27569" xr:uid="{00000000-0005-0000-0000-000024A40000}"/>
    <cellStyle name="Total 7 11 3 3" xfId="38414" xr:uid="{00000000-0005-0000-0000-000025A40000}"/>
    <cellStyle name="Total 7 11 3 4" xfId="17384" xr:uid="{00000000-0005-0000-0000-000026A40000}"/>
    <cellStyle name="Total 7 11 4" xfId="11256" xr:uid="{00000000-0005-0000-0000-000027A40000}"/>
    <cellStyle name="Total 7 11 4 2" xfId="30228" xr:uid="{00000000-0005-0000-0000-000028A40000}"/>
    <cellStyle name="Total 7 11 4 3" xfId="41073" xr:uid="{00000000-0005-0000-0000-000029A40000}"/>
    <cellStyle name="Total 7 11 4 4" xfId="19288" xr:uid="{00000000-0005-0000-0000-00002AA40000}"/>
    <cellStyle name="Total 7 11 5" xfId="22052" xr:uid="{00000000-0005-0000-0000-00002BA40000}"/>
    <cellStyle name="Total 7 11 6" xfId="32897" xr:uid="{00000000-0005-0000-0000-00002CA40000}"/>
    <cellStyle name="Total 7 11 7" xfId="13434" xr:uid="{00000000-0005-0000-0000-00002DA40000}"/>
    <cellStyle name="Total 7 12" xfId="3132" xr:uid="{00000000-0005-0000-0000-00002EA40000}"/>
    <cellStyle name="Total 7 12 2" xfId="5983" xr:uid="{00000000-0005-0000-0000-00002FA40000}"/>
    <cellStyle name="Total 7 12 2 2" xfId="24955" xr:uid="{00000000-0005-0000-0000-000030A40000}"/>
    <cellStyle name="Total 7 12 2 3" xfId="35800" xr:uid="{00000000-0005-0000-0000-000031A40000}"/>
    <cellStyle name="Total 7 12 2 4" xfId="15508" xr:uid="{00000000-0005-0000-0000-000032A40000}"/>
    <cellStyle name="Total 7 12 3" xfId="8654" xr:uid="{00000000-0005-0000-0000-000033A40000}"/>
    <cellStyle name="Total 7 12 3 2" xfId="27626" xr:uid="{00000000-0005-0000-0000-000034A40000}"/>
    <cellStyle name="Total 7 12 3 3" xfId="38471" xr:uid="{00000000-0005-0000-0000-000035A40000}"/>
    <cellStyle name="Total 7 12 3 4" xfId="17421" xr:uid="{00000000-0005-0000-0000-000036A40000}"/>
    <cellStyle name="Total 7 12 4" xfId="11313" xr:uid="{00000000-0005-0000-0000-000037A40000}"/>
    <cellStyle name="Total 7 12 4 2" xfId="30285" xr:uid="{00000000-0005-0000-0000-000038A40000}"/>
    <cellStyle name="Total 7 12 4 3" xfId="41130" xr:uid="{00000000-0005-0000-0000-000039A40000}"/>
    <cellStyle name="Total 7 12 4 4" xfId="19325" xr:uid="{00000000-0005-0000-0000-00003AA40000}"/>
    <cellStyle name="Total 7 12 5" xfId="22109" xr:uid="{00000000-0005-0000-0000-00003BA40000}"/>
    <cellStyle name="Total 7 12 6" xfId="32954" xr:uid="{00000000-0005-0000-0000-00003CA40000}"/>
    <cellStyle name="Total 7 12 7" xfId="13471" xr:uid="{00000000-0005-0000-0000-00003DA40000}"/>
    <cellStyle name="Total 7 13" xfId="3189" xr:uid="{00000000-0005-0000-0000-00003EA40000}"/>
    <cellStyle name="Total 7 13 2" xfId="6040" xr:uid="{00000000-0005-0000-0000-00003FA40000}"/>
    <cellStyle name="Total 7 13 2 2" xfId="25012" xr:uid="{00000000-0005-0000-0000-000040A40000}"/>
    <cellStyle name="Total 7 13 2 3" xfId="35857" xr:uid="{00000000-0005-0000-0000-000041A40000}"/>
    <cellStyle name="Total 7 13 2 4" xfId="15545" xr:uid="{00000000-0005-0000-0000-000042A40000}"/>
    <cellStyle name="Total 7 13 3" xfId="8711" xr:uid="{00000000-0005-0000-0000-000043A40000}"/>
    <cellStyle name="Total 7 13 3 2" xfId="27683" xr:uid="{00000000-0005-0000-0000-000044A40000}"/>
    <cellStyle name="Total 7 13 3 3" xfId="38528" xr:uid="{00000000-0005-0000-0000-000045A40000}"/>
    <cellStyle name="Total 7 13 3 4" xfId="17458" xr:uid="{00000000-0005-0000-0000-000046A40000}"/>
    <cellStyle name="Total 7 13 4" xfId="11370" xr:uid="{00000000-0005-0000-0000-000047A40000}"/>
    <cellStyle name="Total 7 13 4 2" xfId="30342" xr:uid="{00000000-0005-0000-0000-000048A40000}"/>
    <cellStyle name="Total 7 13 4 3" xfId="41187" xr:uid="{00000000-0005-0000-0000-000049A40000}"/>
    <cellStyle name="Total 7 13 4 4" xfId="19362" xr:uid="{00000000-0005-0000-0000-00004AA40000}"/>
    <cellStyle name="Total 7 13 5" xfId="22166" xr:uid="{00000000-0005-0000-0000-00004BA40000}"/>
    <cellStyle name="Total 7 13 6" xfId="33011" xr:uid="{00000000-0005-0000-0000-00004CA40000}"/>
    <cellStyle name="Total 7 13 7" xfId="13508" xr:uid="{00000000-0005-0000-0000-00004DA40000}"/>
    <cellStyle name="Total 7 14" xfId="3356" xr:uid="{00000000-0005-0000-0000-00004EA40000}"/>
    <cellStyle name="Total 7 14 2" xfId="22330" xr:uid="{00000000-0005-0000-0000-00004FA40000}"/>
    <cellStyle name="Total 7 14 3" xfId="33175" xr:uid="{00000000-0005-0000-0000-000050A40000}"/>
    <cellStyle name="Total 7 14 4" xfId="13625" xr:uid="{00000000-0005-0000-0000-000051A40000}"/>
    <cellStyle name="Total 7 15" xfId="3288" xr:uid="{00000000-0005-0000-0000-000052A40000}"/>
    <cellStyle name="Total 7 15 2" xfId="22262" xr:uid="{00000000-0005-0000-0000-000053A40000}"/>
    <cellStyle name="Total 7 15 3" xfId="33107" xr:uid="{00000000-0005-0000-0000-000054A40000}"/>
    <cellStyle name="Total 7 15 4" xfId="13579" xr:uid="{00000000-0005-0000-0000-000055A40000}"/>
    <cellStyle name="Total 7 16" xfId="3970" xr:uid="{00000000-0005-0000-0000-000056A40000}"/>
    <cellStyle name="Total 7 16 2" xfId="22942" xr:uid="{00000000-0005-0000-0000-000057A40000}"/>
    <cellStyle name="Total 7 16 3" xfId="33787" xr:uid="{00000000-0005-0000-0000-000058A40000}"/>
    <cellStyle name="Total 7 16 4" xfId="14069" xr:uid="{00000000-0005-0000-0000-000059A40000}"/>
    <cellStyle name="Total 7 17" xfId="19486" xr:uid="{00000000-0005-0000-0000-00005AA40000}"/>
    <cellStyle name="Total 7 18" xfId="19428" xr:uid="{00000000-0005-0000-0000-00005BA40000}"/>
    <cellStyle name="Total 7 19" xfId="11535" xr:uid="{00000000-0005-0000-0000-00005CA40000}"/>
    <cellStyle name="Total 7 2" xfId="697" xr:uid="{00000000-0005-0000-0000-00005DA40000}"/>
    <cellStyle name="Total 7 2 10" xfId="19682" xr:uid="{00000000-0005-0000-0000-00005EA40000}"/>
    <cellStyle name="Total 7 2 11" xfId="30527" xr:uid="{00000000-0005-0000-0000-00005FA40000}"/>
    <cellStyle name="Total 7 2 12" xfId="11739" xr:uid="{00000000-0005-0000-0000-000060A40000}"/>
    <cellStyle name="Total 7 2 2" xfId="1284" xr:uid="{00000000-0005-0000-0000-000061A40000}"/>
    <cellStyle name="Total 7 2 2 2" xfId="4137" xr:uid="{00000000-0005-0000-0000-000062A40000}"/>
    <cellStyle name="Total 7 2 2 2 2" xfId="23109" xr:uid="{00000000-0005-0000-0000-000063A40000}"/>
    <cellStyle name="Total 7 2 2 2 3" xfId="33954" xr:uid="{00000000-0005-0000-0000-000064A40000}"/>
    <cellStyle name="Total 7 2 2 2 4" xfId="14200" xr:uid="{00000000-0005-0000-0000-000065A40000}"/>
    <cellStyle name="Total 7 2 2 3" xfId="6810" xr:uid="{00000000-0005-0000-0000-000066A40000}"/>
    <cellStyle name="Total 7 2 2 3 2" xfId="25782" xr:uid="{00000000-0005-0000-0000-000067A40000}"/>
    <cellStyle name="Total 7 2 2 3 3" xfId="36627" xr:uid="{00000000-0005-0000-0000-000068A40000}"/>
    <cellStyle name="Total 7 2 2 3 4" xfId="16115" xr:uid="{00000000-0005-0000-0000-000069A40000}"/>
    <cellStyle name="Total 7 2 2 4" xfId="9469" xr:uid="{00000000-0005-0000-0000-00006AA40000}"/>
    <cellStyle name="Total 7 2 2 4 2" xfId="28441" xr:uid="{00000000-0005-0000-0000-00006BA40000}"/>
    <cellStyle name="Total 7 2 2 4 3" xfId="39286" xr:uid="{00000000-0005-0000-0000-00006CA40000}"/>
    <cellStyle name="Total 7 2 2 4 4" xfId="18019" xr:uid="{00000000-0005-0000-0000-00006DA40000}"/>
    <cellStyle name="Total 7 2 2 5" xfId="20265" xr:uid="{00000000-0005-0000-0000-00006EA40000}"/>
    <cellStyle name="Total 7 2 2 6" xfId="31110" xr:uid="{00000000-0005-0000-0000-00006FA40000}"/>
    <cellStyle name="Total 7 2 2 7" xfId="12165" xr:uid="{00000000-0005-0000-0000-000070A40000}"/>
    <cellStyle name="Total 7 2 3" xfId="1683" xr:uid="{00000000-0005-0000-0000-000071A40000}"/>
    <cellStyle name="Total 7 2 3 2" xfId="4536" xr:uid="{00000000-0005-0000-0000-000072A40000}"/>
    <cellStyle name="Total 7 2 3 2 2" xfId="23508" xr:uid="{00000000-0005-0000-0000-000073A40000}"/>
    <cellStyle name="Total 7 2 3 2 3" xfId="34353" xr:uid="{00000000-0005-0000-0000-000074A40000}"/>
    <cellStyle name="Total 7 2 3 2 4" xfId="14487" xr:uid="{00000000-0005-0000-0000-000075A40000}"/>
    <cellStyle name="Total 7 2 3 3" xfId="7208" xr:uid="{00000000-0005-0000-0000-000076A40000}"/>
    <cellStyle name="Total 7 2 3 3 2" xfId="26180" xr:uid="{00000000-0005-0000-0000-000077A40000}"/>
    <cellStyle name="Total 7 2 3 3 3" xfId="37025" xr:uid="{00000000-0005-0000-0000-000078A40000}"/>
    <cellStyle name="Total 7 2 3 3 4" xfId="16401" xr:uid="{00000000-0005-0000-0000-000079A40000}"/>
    <cellStyle name="Total 7 2 3 4" xfId="9867" xr:uid="{00000000-0005-0000-0000-00007AA40000}"/>
    <cellStyle name="Total 7 2 3 4 2" xfId="28839" xr:uid="{00000000-0005-0000-0000-00007BA40000}"/>
    <cellStyle name="Total 7 2 3 4 3" xfId="39684" xr:uid="{00000000-0005-0000-0000-00007CA40000}"/>
    <cellStyle name="Total 7 2 3 4 4" xfId="18305" xr:uid="{00000000-0005-0000-0000-00007DA40000}"/>
    <cellStyle name="Total 7 2 3 5" xfId="20663" xr:uid="{00000000-0005-0000-0000-00007EA40000}"/>
    <cellStyle name="Total 7 2 3 6" xfId="31508" xr:uid="{00000000-0005-0000-0000-00007FA40000}"/>
    <cellStyle name="Total 7 2 3 7" xfId="12451" xr:uid="{00000000-0005-0000-0000-000080A40000}"/>
    <cellStyle name="Total 7 2 4" xfId="2087" xr:uid="{00000000-0005-0000-0000-000081A40000}"/>
    <cellStyle name="Total 7 2 4 2" xfId="4940" xr:uid="{00000000-0005-0000-0000-000082A40000}"/>
    <cellStyle name="Total 7 2 4 2 2" xfId="23912" xr:uid="{00000000-0005-0000-0000-000083A40000}"/>
    <cellStyle name="Total 7 2 4 2 3" xfId="34757" xr:uid="{00000000-0005-0000-0000-000084A40000}"/>
    <cellStyle name="Total 7 2 4 2 4" xfId="14774" xr:uid="{00000000-0005-0000-0000-000085A40000}"/>
    <cellStyle name="Total 7 2 4 3" xfId="7611" xr:uid="{00000000-0005-0000-0000-000086A40000}"/>
    <cellStyle name="Total 7 2 4 3 2" xfId="26583" xr:uid="{00000000-0005-0000-0000-000087A40000}"/>
    <cellStyle name="Total 7 2 4 3 3" xfId="37428" xr:uid="{00000000-0005-0000-0000-000088A40000}"/>
    <cellStyle name="Total 7 2 4 3 4" xfId="16687" xr:uid="{00000000-0005-0000-0000-000089A40000}"/>
    <cellStyle name="Total 7 2 4 4" xfId="10270" xr:uid="{00000000-0005-0000-0000-00008AA40000}"/>
    <cellStyle name="Total 7 2 4 4 2" xfId="29242" xr:uid="{00000000-0005-0000-0000-00008BA40000}"/>
    <cellStyle name="Total 7 2 4 4 3" xfId="40087" xr:uid="{00000000-0005-0000-0000-00008CA40000}"/>
    <cellStyle name="Total 7 2 4 4 4" xfId="18591" xr:uid="{00000000-0005-0000-0000-00008DA40000}"/>
    <cellStyle name="Total 7 2 4 5" xfId="21066" xr:uid="{00000000-0005-0000-0000-00008EA40000}"/>
    <cellStyle name="Total 7 2 4 6" xfId="31911" xr:uid="{00000000-0005-0000-0000-00008FA40000}"/>
    <cellStyle name="Total 7 2 4 7" xfId="12737" xr:uid="{00000000-0005-0000-0000-000090A40000}"/>
    <cellStyle name="Total 7 2 5" xfId="2477" xr:uid="{00000000-0005-0000-0000-000091A40000}"/>
    <cellStyle name="Total 7 2 5 2" xfId="5329" xr:uid="{00000000-0005-0000-0000-000092A40000}"/>
    <cellStyle name="Total 7 2 5 2 2" xfId="24301" xr:uid="{00000000-0005-0000-0000-000093A40000}"/>
    <cellStyle name="Total 7 2 5 2 3" xfId="35146" xr:uid="{00000000-0005-0000-0000-000094A40000}"/>
    <cellStyle name="Total 7 2 5 2 4" xfId="15053" xr:uid="{00000000-0005-0000-0000-000095A40000}"/>
    <cellStyle name="Total 7 2 5 3" xfId="8000" xr:uid="{00000000-0005-0000-0000-000096A40000}"/>
    <cellStyle name="Total 7 2 5 3 2" xfId="26972" xr:uid="{00000000-0005-0000-0000-000097A40000}"/>
    <cellStyle name="Total 7 2 5 3 3" xfId="37817" xr:uid="{00000000-0005-0000-0000-000098A40000}"/>
    <cellStyle name="Total 7 2 5 3 4" xfId="16966" xr:uid="{00000000-0005-0000-0000-000099A40000}"/>
    <cellStyle name="Total 7 2 5 4" xfId="10659" xr:uid="{00000000-0005-0000-0000-00009AA40000}"/>
    <cellStyle name="Total 7 2 5 4 2" xfId="29631" xr:uid="{00000000-0005-0000-0000-00009BA40000}"/>
    <cellStyle name="Total 7 2 5 4 3" xfId="40476" xr:uid="{00000000-0005-0000-0000-00009CA40000}"/>
    <cellStyle name="Total 7 2 5 4 4" xfId="18870" xr:uid="{00000000-0005-0000-0000-00009DA40000}"/>
    <cellStyle name="Total 7 2 5 5" xfId="21455" xr:uid="{00000000-0005-0000-0000-00009EA40000}"/>
    <cellStyle name="Total 7 2 5 6" xfId="32300" xr:uid="{00000000-0005-0000-0000-00009FA40000}"/>
    <cellStyle name="Total 7 2 5 7" xfId="13016" xr:uid="{00000000-0005-0000-0000-0000A0A40000}"/>
    <cellStyle name="Total 7 2 6" xfId="2863" xr:uid="{00000000-0005-0000-0000-0000A1A40000}"/>
    <cellStyle name="Total 7 2 6 2" xfId="5714" xr:uid="{00000000-0005-0000-0000-0000A2A40000}"/>
    <cellStyle name="Total 7 2 6 2 2" xfId="24686" xr:uid="{00000000-0005-0000-0000-0000A3A40000}"/>
    <cellStyle name="Total 7 2 6 2 3" xfId="35531" xr:uid="{00000000-0005-0000-0000-0000A4A40000}"/>
    <cellStyle name="Total 7 2 6 2 4" xfId="15329" xr:uid="{00000000-0005-0000-0000-0000A5A40000}"/>
    <cellStyle name="Total 7 2 6 3" xfId="8385" xr:uid="{00000000-0005-0000-0000-0000A6A40000}"/>
    <cellStyle name="Total 7 2 6 3 2" xfId="27357" xr:uid="{00000000-0005-0000-0000-0000A7A40000}"/>
    <cellStyle name="Total 7 2 6 3 3" xfId="38202" xr:uid="{00000000-0005-0000-0000-0000A8A40000}"/>
    <cellStyle name="Total 7 2 6 3 4" xfId="17242" xr:uid="{00000000-0005-0000-0000-0000A9A40000}"/>
    <cellStyle name="Total 7 2 6 4" xfId="11044" xr:uid="{00000000-0005-0000-0000-0000AAA40000}"/>
    <cellStyle name="Total 7 2 6 4 2" xfId="30016" xr:uid="{00000000-0005-0000-0000-0000ABA40000}"/>
    <cellStyle name="Total 7 2 6 4 3" xfId="40861" xr:uid="{00000000-0005-0000-0000-0000ACA40000}"/>
    <cellStyle name="Total 7 2 6 4 4" xfId="19146" xr:uid="{00000000-0005-0000-0000-0000ADA40000}"/>
    <cellStyle name="Total 7 2 6 5" xfId="21840" xr:uid="{00000000-0005-0000-0000-0000AEA40000}"/>
    <cellStyle name="Total 7 2 6 6" xfId="32685" xr:uid="{00000000-0005-0000-0000-0000AFA40000}"/>
    <cellStyle name="Total 7 2 6 7" xfId="13292" xr:uid="{00000000-0005-0000-0000-0000B0A40000}"/>
    <cellStyle name="Total 7 2 7" xfId="3552" xr:uid="{00000000-0005-0000-0000-0000B1A40000}"/>
    <cellStyle name="Total 7 2 7 2" xfId="22524" xr:uid="{00000000-0005-0000-0000-0000B2A40000}"/>
    <cellStyle name="Total 7 2 7 3" xfId="33369" xr:uid="{00000000-0005-0000-0000-0000B3A40000}"/>
    <cellStyle name="Total 7 2 7 4" xfId="13773" xr:uid="{00000000-0005-0000-0000-0000B4A40000}"/>
    <cellStyle name="Total 7 2 8" xfId="6227" xr:uid="{00000000-0005-0000-0000-0000B5A40000}"/>
    <cellStyle name="Total 7 2 8 2" xfId="25199" xr:uid="{00000000-0005-0000-0000-0000B6A40000}"/>
    <cellStyle name="Total 7 2 8 3" xfId="36044" xr:uid="{00000000-0005-0000-0000-0000B7A40000}"/>
    <cellStyle name="Total 7 2 8 4" xfId="15689" xr:uid="{00000000-0005-0000-0000-0000B8A40000}"/>
    <cellStyle name="Total 7 2 9" xfId="8886" xr:uid="{00000000-0005-0000-0000-0000B9A40000}"/>
    <cellStyle name="Total 7 2 9 2" xfId="27858" xr:uid="{00000000-0005-0000-0000-0000BAA40000}"/>
    <cellStyle name="Total 7 2 9 3" xfId="38703" xr:uid="{00000000-0005-0000-0000-0000BBA40000}"/>
    <cellStyle name="Total 7 2 9 4" xfId="17593" xr:uid="{00000000-0005-0000-0000-0000BCA40000}"/>
    <cellStyle name="Total 7 3" xfId="757" xr:uid="{00000000-0005-0000-0000-0000BDA40000}"/>
    <cellStyle name="Total 7 3 10" xfId="19742" xr:uid="{00000000-0005-0000-0000-0000BEA40000}"/>
    <cellStyle name="Total 7 3 11" xfId="30587" xr:uid="{00000000-0005-0000-0000-0000BFA40000}"/>
    <cellStyle name="Total 7 3 12" xfId="11779" xr:uid="{00000000-0005-0000-0000-0000C0A40000}"/>
    <cellStyle name="Total 7 3 2" xfId="1344" xr:uid="{00000000-0005-0000-0000-0000C1A40000}"/>
    <cellStyle name="Total 7 3 2 2" xfId="4197" xr:uid="{00000000-0005-0000-0000-0000C2A40000}"/>
    <cellStyle name="Total 7 3 2 2 2" xfId="23169" xr:uid="{00000000-0005-0000-0000-0000C3A40000}"/>
    <cellStyle name="Total 7 3 2 2 3" xfId="34014" xr:uid="{00000000-0005-0000-0000-0000C4A40000}"/>
    <cellStyle name="Total 7 3 2 2 4" xfId="14240" xr:uid="{00000000-0005-0000-0000-0000C5A40000}"/>
    <cellStyle name="Total 7 3 2 3" xfId="6870" xr:uid="{00000000-0005-0000-0000-0000C6A40000}"/>
    <cellStyle name="Total 7 3 2 3 2" xfId="25842" xr:uid="{00000000-0005-0000-0000-0000C7A40000}"/>
    <cellStyle name="Total 7 3 2 3 3" xfId="36687" xr:uid="{00000000-0005-0000-0000-0000C8A40000}"/>
    <cellStyle name="Total 7 3 2 3 4" xfId="16155" xr:uid="{00000000-0005-0000-0000-0000C9A40000}"/>
    <cellStyle name="Total 7 3 2 4" xfId="9529" xr:uid="{00000000-0005-0000-0000-0000CAA40000}"/>
    <cellStyle name="Total 7 3 2 4 2" xfId="28501" xr:uid="{00000000-0005-0000-0000-0000CBA40000}"/>
    <cellStyle name="Total 7 3 2 4 3" xfId="39346" xr:uid="{00000000-0005-0000-0000-0000CCA40000}"/>
    <cellStyle name="Total 7 3 2 4 4" xfId="18059" xr:uid="{00000000-0005-0000-0000-0000CDA40000}"/>
    <cellStyle name="Total 7 3 2 5" xfId="20325" xr:uid="{00000000-0005-0000-0000-0000CEA40000}"/>
    <cellStyle name="Total 7 3 2 6" xfId="31170" xr:uid="{00000000-0005-0000-0000-0000CFA40000}"/>
    <cellStyle name="Total 7 3 2 7" xfId="12205" xr:uid="{00000000-0005-0000-0000-0000D0A40000}"/>
    <cellStyle name="Total 7 3 3" xfId="1743" xr:uid="{00000000-0005-0000-0000-0000D1A40000}"/>
    <cellStyle name="Total 7 3 3 2" xfId="4596" xr:uid="{00000000-0005-0000-0000-0000D2A40000}"/>
    <cellStyle name="Total 7 3 3 2 2" xfId="23568" xr:uid="{00000000-0005-0000-0000-0000D3A40000}"/>
    <cellStyle name="Total 7 3 3 2 3" xfId="34413" xr:uid="{00000000-0005-0000-0000-0000D4A40000}"/>
    <cellStyle name="Total 7 3 3 2 4" xfId="14527" xr:uid="{00000000-0005-0000-0000-0000D5A40000}"/>
    <cellStyle name="Total 7 3 3 3" xfId="7268" xr:uid="{00000000-0005-0000-0000-0000D6A40000}"/>
    <cellStyle name="Total 7 3 3 3 2" xfId="26240" xr:uid="{00000000-0005-0000-0000-0000D7A40000}"/>
    <cellStyle name="Total 7 3 3 3 3" xfId="37085" xr:uid="{00000000-0005-0000-0000-0000D8A40000}"/>
    <cellStyle name="Total 7 3 3 3 4" xfId="16441" xr:uid="{00000000-0005-0000-0000-0000D9A40000}"/>
    <cellStyle name="Total 7 3 3 4" xfId="9927" xr:uid="{00000000-0005-0000-0000-0000DAA40000}"/>
    <cellStyle name="Total 7 3 3 4 2" xfId="28899" xr:uid="{00000000-0005-0000-0000-0000DBA40000}"/>
    <cellStyle name="Total 7 3 3 4 3" xfId="39744" xr:uid="{00000000-0005-0000-0000-0000DCA40000}"/>
    <cellStyle name="Total 7 3 3 4 4" xfId="18345" xr:uid="{00000000-0005-0000-0000-0000DDA40000}"/>
    <cellStyle name="Total 7 3 3 5" xfId="20723" xr:uid="{00000000-0005-0000-0000-0000DEA40000}"/>
    <cellStyle name="Total 7 3 3 6" xfId="31568" xr:uid="{00000000-0005-0000-0000-0000DFA40000}"/>
    <cellStyle name="Total 7 3 3 7" xfId="12491" xr:uid="{00000000-0005-0000-0000-0000E0A40000}"/>
    <cellStyle name="Total 7 3 4" xfId="2147" xr:uid="{00000000-0005-0000-0000-0000E1A40000}"/>
    <cellStyle name="Total 7 3 4 2" xfId="5000" xr:uid="{00000000-0005-0000-0000-0000E2A40000}"/>
    <cellStyle name="Total 7 3 4 2 2" xfId="23972" xr:uid="{00000000-0005-0000-0000-0000E3A40000}"/>
    <cellStyle name="Total 7 3 4 2 3" xfId="34817" xr:uid="{00000000-0005-0000-0000-0000E4A40000}"/>
    <cellStyle name="Total 7 3 4 2 4" xfId="14814" xr:uid="{00000000-0005-0000-0000-0000E5A40000}"/>
    <cellStyle name="Total 7 3 4 3" xfId="7671" xr:uid="{00000000-0005-0000-0000-0000E6A40000}"/>
    <cellStyle name="Total 7 3 4 3 2" xfId="26643" xr:uid="{00000000-0005-0000-0000-0000E7A40000}"/>
    <cellStyle name="Total 7 3 4 3 3" xfId="37488" xr:uid="{00000000-0005-0000-0000-0000E8A40000}"/>
    <cellStyle name="Total 7 3 4 3 4" xfId="16727" xr:uid="{00000000-0005-0000-0000-0000E9A40000}"/>
    <cellStyle name="Total 7 3 4 4" xfId="10330" xr:uid="{00000000-0005-0000-0000-0000EAA40000}"/>
    <cellStyle name="Total 7 3 4 4 2" xfId="29302" xr:uid="{00000000-0005-0000-0000-0000EBA40000}"/>
    <cellStyle name="Total 7 3 4 4 3" xfId="40147" xr:uid="{00000000-0005-0000-0000-0000ECA40000}"/>
    <cellStyle name="Total 7 3 4 4 4" xfId="18631" xr:uid="{00000000-0005-0000-0000-0000EDA40000}"/>
    <cellStyle name="Total 7 3 4 5" xfId="21126" xr:uid="{00000000-0005-0000-0000-0000EEA40000}"/>
    <cellStyle name="Total 7 3 4 6" xfId="31971" xr:uid="{00000000-0005-0000-0000-0000EFA40000}"/>
    <cellStyle name="Total 7 3 4 7" xfId="12777" xr:uid="{00000000-0005-0000-0000-0000F0A40000}"/>
    <cellStyle name="Total 7 3 5" xfId="2537" xr:uid="{00000000-0005-0000-0000-0000F1A40000}"/>
    <cellStyle name="Total 7 3 5 2" xfId="5389" xr:uid="{00000000-0005-0000-0000-0000F2A40000}"/>
    <cellStyle name="Total 7 3 5 2 2" xfId="24361" xr:uid="{00000000-0005-0000-0000-0000F3A40000}"/>
    <cellStyle name="Total 7 3 5 2 3" xfId="35206" xr:uid="{00000000-0005-0000-0000-0000F4A40000}"/>
    <cellStyle name="Total 7 3 5 2 4" xfId="15093" xr:uid="{00000000-0005-0000-0000-0000F5A40000}"/>
    <cellStyle name="Total 7 3 5 3" xfId="8060" xr:uid="{00000000-0005-0000-0000-0000F6A40000}"/>
    <cellStyle name="Total 7 3 5 3 2" xfId="27032" xr:uid="{00000000-0005-0000-0000-0000F7A40000}"/>
    <cellStyle name="Total 7 3 5 3 3" xfId="37877" xr:uid="{00000000-0005-0000-0000-0000F8A40000}"/>
    <cellStyle name="Total 7 3 5 3 4" xfId="17006" xr:uid="{00000000-0005-0000-0000-0000F9A40000}"/>
    <cellStyle name="Total 7 3 5 4" xfId="10719" xr:uid="{00000000-0005-0000-0000-0000FAA40000}"/>
    <cellStyle name="Total 7 3 5 4 2" xfId="29691" xr:uid="{00000000-0005-0000-0000-0000FBA40000}"/>
    <cellStyle name="Total 7 3 5 4 3" xfId="40536" xr:uid="{00000000-0005-0000-0000-0000FCA40000}"/>
    <cellStyle name="Total 7 3 5 4 4" xfId="18910" xr:uid="{00000000-0005-0000-0000-0000FDA40000}"/>
    <cellStyle name="Total 7 3 5 5" xfId="21515" xr:uid="{00000000-0005-0000-0000-0000FEA40000}"/>
    <cellStyle name="Total 7 3 5 6" xfId="32360" xr:uid="{00000000-0005-0000-0000-0000FFA40000}"/>
    <cellStyle name="Total 7 3 5 7" xfId="13056" xr:uid="{00000000-0005-0000-0000-000000A50000}"/>
    <cellStyle name="Total 7 3 6" xfId="2923" xr:uid="{00000000-0005-0000-0000-000001A50000}"/>
    <cellStyle name="Total 7 3 6 2" xfId="5774" xr:uid="{00000000-0005-0000-0000-000002A50000}"/>
    <cellStyle name="Total 7 3 6 2 2" xfId="24746" xr:uid="{00000000-0005-0000-0000-000003A50000}"/>
    <cellStyle name="Total 7 3 6 2 3" xfId="35591" xr:uid="{00000000-0005-0000-0000-000004A50000}"/>
    <cellStyle name="Total 7 3 6 2 4" xfId="15369" xr:uid="{00000000-0005-0000-0000-000005A50000}"/>
    <cellStyle name="Total 7 3 6 3" xfId="8445" xr:uid="{00000000-0005-0000-0000-000006A50000}"/>
    <cellStyle name="Total 7 3 6 3 2" xfId="27417" xr:uid="{00000000-0005-0000-0000-000007A50000}"/>
    <cellStyle name="Total 7 3 6 3 3" xfId="38262" xr:uid="{00000000-0005-0000-0000-000008A50000}"/>
    <cellStyle name="Total 7 3 6 3 4" xfId="17282" xr:uid="{00000000-0005-0000-0000-000009A50000}"/>
    <cellStyle name="Total 7 3 6 4" xfId="11104" xr:uid="{00000000-0005-0000-0000-00000AA50000}"/>
    <cellStyle name="Total 7 3 6 4 2" xfId="30076" xr:uid="{00000000-0005-0000-0000-00000BA50000}"/>
    <cellStyle name="Total 7 3 6 4 3" xfId="40921" xr:uid="{00000000-0005-0000-0000-00000CA50000}"/>
    <cellStyle name="Total 7 3 6 4 4" xfId="19186" xr:uid="{00000000-0005-0000-0000-00000DA50000}"/>
    <cellStyle name="Total 7 3 6 5" xfId="21900" xr:uid="{00000000-0005-0000-0000-00000EA50000}"/>
    <cellStyle name="Total 7 3 6 6" xfId="32745" xr:uid="{00000000-0005-0000-0000-00000FA50000}"/>
    <cellStyle name="Total 7 3 6 7" xfId="13332" xr:uid="{00000000-0005-0000-0000-000010A50000}"/>
    <cellStyle name="Total 7 3 7" xfId="3612" xr:uid="{00000000-0005-0000-0000-000011A50000}"/>
    <cellStyle name="Total 7 3 7 2" xfId="22584" xr:uid="{00000000-0005-0000-0000-000012A50000}"/>
    <cellStyle name="Total 7 3 7 3" xfId="33429" xr:uid="{00000000-0005-0000-0000-000013A50000}"/>
    <cellStyle name="Total 7 3 7 4" xfId="13813" xr:uid="{00000000-0005-0000-0000-000014A50000}"/>
    <cellStyle name="Total 7 3 8" xfId="6287" xr:uid="{00000000-0005-0000-0000-000015A50000}"/>
    <cellStyle name="Total 7 3 8 2" xfId="25259" xr:uid="{00000000-0005-0000-0000-000016A50000}"/>
    <cellStyle name="Total 7 3 8 3" xfId="36104" xr:uid="{00000000-0005-0000-0000-000017A50000}"/>
    <cellStyle name="Total 7 3 8 4" xfId="15729" xr:uid="{00000000-0005-0000-0000-000018A50000}"/>
    <cellStyle name="Total 7 3 9" xfId="8946" xr:uid="{00000000-0005-0000-0000-000019A50000}"/>
    <cellStyle name="Total 7 3 9 2" xfId="27918" xr:uid="{00000000-0005-0000-0000-00001AA50000}"/>
    <cellStyle name="Total 7 3 9 3" xfId="38763" xr:uid="{00000000-0005-0000-0000-00001BA50000}"/>
    <cellStyle name="Total 7 3 9 4" xfId="17633" xr:uid="{00000000-0005-0000-0000-00001CA50000}"/>
    <cellStyle name="Total 7 4" xfId="817" xr:uid="{00000000-0005-0000-0000-00001DA50000}"/>
    <cellStyle name="Total 7 4 10" xfId="19802" xr:uid="{00000000-0005-0000-0000-00001EA50000}"/>
    <cellStyle name="Total 7 4 11" xfId="30647" xr:uid="{00000000-0005-0000-0000-00001FA50000}"/>
    <cellStyle name="Total 7 4 12" xfId="11819" xr:uid="{00000000-0005-0000-0000-000020A50000}"/>
    <cellStyle name="Total 7 4 2" xfId="1404" xr:uid="{00000000-0005-0000-0000-000021A50000}"/>
    <cellStyle name="Total 7 4 2 2" xfId="4257" xr:uid="{00000000-0005-0000-0000-000022A50000}"/>
    <cellStyle name="Total 7 4 2 2 2" xfId="23229" xr:uid="{00000000-0005-0000-0000-000023A50000}"/>
    <cellStyle name="Total 7 4 2 2 3" xfId="34074" xr:uid="{00000000-0005-0000-0000-000024A50000}"/>
    <cellStyle name="Total 7 4 2 2 4" xfId="14280" xr:uid="{00000000-0005-0000-0000-000025A50000}"/>
    <cellStyle name="Total 7 4 2 3" xfId="6930" xr:uid="{00000000-0005-0000-0000-000026A50000}"/>
    <cellStyle name="Total 7 4 2 3 2" xfId="25902" xr:uid="{00000000-0005-0000-0000-000027A50000}"/>
    <cellStyle name="Total 7 4 2 3 3" xfId="36747" xr:uid="{00000000-0005-0000-0000-000028A50000}"/>
    <cellStyle name="Total 7 4 2 3 4" xfId="16195" xr:uid="{00000000-0005-0000-0000-000029A50000}"/>
    <cellStyle name="Total 7 4 2 4" xfId="9589" xr:uid="{00000000-0005-0000-0000-00002AA50000}"/>
    <cellStyle name="Total 7 4 2 4 2" xfId="28561" xr:uid="{00000000-0005-0000-0000-00002BA50000}"/>
    <cellStyle name="Total 7 4 2 4 3" xfId="39406" xr:uid="{00000000-0005-0000-0000-00002CA50000}"/>
    <cellStyle name="Total 7 4 2 4 4" xfId="18099" xr:uid="{00000000-0005-0000-0000-00002DA50000}"/>
    <cellStyle name="Total 7 4 2 5" xfId="20385" xr:uid="{00000000-0005-0000-0000-00002EA50000}"/>
    <cellStyle name="Total 7 4 2 6" xfId="31230" xr:uid="{00000000-0005-0000-0000-00002FA50000}"/>
    <cellStyle name="Total 7 4 2 7" xfId="12245" xr:uid="{00000000-0005-0000-0000-000030A50000}"/>
    <cellStyle name="Total 7 4 3" xfId="1803" xr:uid="{00000000-0005-0000-0000-000031A50000}"/>
    <cellStyle name="Total 7 4 3 2" xfId="4656" xr:uid="{00000000-0005-0000-0000-000032A50000}"/>
    <cellStyle name="Total 7 4 3 2 2" xfId="23628" xr:uid="{00000000-0005-0000-0000-000033A50000}"/>
    <cellStyle name="Total 7 4 3 2 3" xfId="34473" xr:uid="{00000000-0005-0000-0000-000034A50000}"/>
    <cellStyle name="Total 7 4 3 2 4" xfId="14567" xr:uid="{00000000-0005-0000-0000-000035A50000}"/>
    <cellStyle name="Total 7 4 3 3" xfId="7328" xr:uid="{00000000-0005-0000-0000-000036A50000}"/>
    <cellStyle name="Total 7 4 3 3 2" xfId="26300" xr:uid="{00000000-0005-0000-0000-000037A50000}"/>
    <cellStyle name="Total 7 4 3 3 3" xfId="37145" xr:uid="{00000000-0005-0000-0000-000038A50000}"/>
    <cellStyle name="Total 7 4 3 3 4" xfId="16481" xr:uid="{00000000-0005-0000-0000-000039A50000}"/>
    <cellStyle name="Total 7 4 3 4" xfId="9987" xr:uid="{00000000-0005-0000-0000-00003AA50000}"/>
    <cellStyle name="Total 7 4 3 4 2" xfId="28959" xr:uid="{00000000-0005-0000-0000-00003BA50000}"/>
    <cellStyle name="Total 7 4 3 4 3" xfId="39804" xr:uid="{00000000-0005-0000-0000-00003CA50000}"/>
    <cellStyle name="Total 7 4 3 4 4" xfId="18385" xr:uid="{00000000-0005-0000-0000-00003DA50000}"/>
    <cellStyle name="Total 7 4 3 5" xfId="20783" xr:uid="{00000000-0005-0000-0000-00003EA50000}"/>
    <cellStyle name="Total 7 4 3 6" xfId="31628" xr:uid="{00000000-0005-0000-0000-00003FA50000}"/>
    <cellStyle name="Total 7 4 3 7" xfId="12531" xr:uid="{00000000-0005-0000-0000-000040A50000}"/>
    <cellStyle name="Total 7 4 4" xfId="2207" xr:uid="{00000000-0005-0000-0000-000041A50000}"/>
    <cellStyle name="Total 7 4 4 2" xfId="5060" xr:uid="{00000000-0005-0000-0000-000042A50000}"/>
    <cellStyle name="Total 7 4 4 2 2" xfId="24032" xr:uid="{00000000-0005-0000-0000-000043A50000}"/>
    <cellStyle name="Total 7 4 4 2 3" xfId="34877" xr:uid="{00000000-0005-0000-0000-000044A50000}"/>
    <cellStyle name="Total 7 4 4 2 4" xfId="14854" xr:uid="{00000000-0005-0000-0000-000045A50000}"/>
    <cellStyle name="Total 7 4 4 3" xfId="7731" xr:uid="{00000000-0005-0000-0000-000046A50000}"/>
    <cellStyle name="Total 7 4 4 3 2" xfId="26703" xr:uid="{00000000-0005-0000-0000-000047A50000}"/>
    <cellStyle name="Total 7 4 4 3 3" xfId="37548" xr:uid="{00000000-0005-0000-0000-000048A50000}"/>
    <cellStyle name="Total 7 4 4 3 4" xfId="16767" xr:uid="{00000000-0005-0000-0000-000049A50000}"/>
    <cellStyle name="Total 7 4 4 4" xfId="10390" xr:uid="{00000000-0005-0000-0000-00004AA50000}"/>
    <cellStyle name="Total 7 4 4 4 2" xfId="29362" xr:uid="{00000000-0005-0000-0000-00004BA50000}"/>
    <cellStyle name="Total 7 4 4 4 3" xfId="40207" xr:uid="{00000000-0005-0000-0000-00004CA50000}"/>
    <cellStyle name="Total 7 4 4 4 4" xfId="18671" xr:uid="{00000000-0005-0000-0000-00004DA50000}"/>
    <cellStyle name="Total 7 4 4 5" xfId="21186" xr:uid="{00000000-0005-0000-0000-00004EA50000}"/>
    <cellStyle name="Total 7 4 4 6" xfId="32031" xr:uid="{00000000-0005-0000-0000-00004FA50000}"/>
    <cellStyle name="Total 7 4 4 7" xfId="12817" xr:uid="{00000000-0005-0000-0000-000050A50000}"/>
    <cellStyle name="Total 7 4 5" xfId="2597" xr:uid="{00000000-0005-0000-0000-000051A50000}"/>
    <cellStyle name="Total 7 4 5 2" xfId="5449" xr:uid="{00000000-0005-0000-0000-000052A50000}"/>
    <cellStyle name="Total 7 4 5 2 2" xfId="24421" xr:uid="{00000000-0005-0000-0000-000053A50000}"/>
    <cellStyle name="Total 7 4 5 2 3" xfId="35266" xr:uid="{00000000-0005-0000-0000-000054A50000}"/>
    <cellStyle name="Total 7 4 5 2 4" xfId="15133" xr:uid="{00000000-0005-0000-0000-000055A50000}"/>
    <cellStyle name="Total 7 4 5 3" xfId="8120" xr:uid="{00000000-0005-0000-0000-000056A50000}"/>
    <cellStyle name="Total 7 4 5 3 2" xfId="27092" xr:uid="{00000000-0005-0000-0000-000057A50000}"/>
    <cellStyle name="Total 7 4 5 3 3" xfId="37937" xr:uid="{00000000-0005-0000-0000-000058A50000}"/>
    <cellStyle name="Total 7 4 5 3 4" xfId="17046" xr:uid="{00000000-0005-0000-0000-000059A50000}"/>
    <cellStyle name="Total 7 4 5 4" xfId="10779" xr:uid="{00000000-0005-0000-0000-00005AA50000}"/>
    <cellStyle name="Total 7 4 5 4 2" xfId="29751" xr:uid="{00000000-0005-0000-0000-00005BA50000}"/>
    <cellStyle name="Total 7 4 5 4 3" xfId="40596" xr:uid="{00000000-0005-0000-0000-00005CA50000}"/>
    <cellStyle name="Total 7 4 5 4 4" xfId="18950" xr:uid="{00000000-0005-0000-0000-00005DA50000}"/>
    <cellStyle name="Total 7 4 5 5" xfId="21575" xr:uid="{00000000-0005-0000-0000-00005EA50000}"/>
    <cellStyle name="Total 7 4 5 6" xfId="32420" xr:uid="{00000000-0005-0000-0000-00005FA50000}"/>
    <cellStyle name="Total 7 4 5 7" xfId="13096" xr:uid="{00000000-0005-0000-0000-000060A50000}"/>
    <cellStyle name="Total 7 4 6" xfId="2983" xr:uid="{00000000-0005-0000-0000-000061A50000}"/>
    <cellStyle name="Total 7 4 6 2" xfId="5834" xr:uid="{00000000-0005-0000-0000-000062A50000}"/>
    <cellStyle name="Total 7 4 6 2 2" xfId="24806" xr:uid="{00000000-0005-0000-0000-000063A50000}"/>
    <cellStyle name="Total 7 4 6 2 3" xfId="35651" xr:uid="{00000000-0005-0000-0000-000064A50000}"/>
    <cellStyle name="Total 7 4 6 2 4" xfId="15409" xr:uid="{00000000-0005-0000-0000-000065A50000}"/>
    <cellStyle name="Total 7 4 6 3" xfId="8505" xr:uid="{00000000-0005-0000-0000-000066A50000}"/>
    <cellStyle name="Total 7 4 6 3 2" xfId="27477" xr:uid="{00000000-0005-0000-0000-000067A50000}"/>
    <cellStyle name="Total 7 4 6 3 3" xfId="38322" xr:uid="{00000000-0005-0000-0000-000068A50000}"/>
    <cellStyle name="Total 7 4 6 3 4" xfId="17322" xr:uid="{00000000-0005-0000-0000-000069A50000}"/>
    <cellStyle name="Total 7 4 6 4" xfId="11164" xr:uid="{00000000-0005-0000-0000-00006AA50000}"/>
    <cellStyle name="Total 7 4 6 4 2" xfId="30136" xr:uid="{00000000-0005-0000-0000-00006BA50000}"/>
    <cellStyle name="Total 7 4 6 4 3" xfId="40981" xr:uid="{00000000-0005-0000-0000-00006CA50000}"/>
    <cellStyle name="Total 7 4 6 4 4" xfId="19226" xr:uid="{00000000-0005-0000-0000-00006DA50000}"/>
    <cellStyle name="Total 7 4 6 5" xfId="21960" xr:uid="{00000000-0005-0000-0000-00006EA50000}"/>
    <cellStyle name="Total 7 4 6 6" xfId="32805" xr:uid="{00000000-0005-0000-0000-00006FA50000}"/>
    <cellStyle name="Total 7 4 6 7" xfId="13372" xr:uid="{00000000-0005-0000-0000-000070A50000}"/>
    <cellStyle name="Total 7 4 7" xfId="3672" xr:uid="{00000000-0005-0000-0000-000071A50000}"/>
    <cellStyle name="Total 7 4 7 2" xfId="22644" xr:uid="{00000000-0005-0000-0000-000072A50000}"/>
    <cellStyle name="Total 7 4 7 3" xfId="33489" xr:uid="{00000000-0005-0000-0000-000073A50000}"/>
    <cellStyle name="Total 7 4 7 4" xfId="13853" xr:uid="{00000000-0005-0000-0000-000074A50000}"/>
    <cellStyle name="Total 7 4 8" xfId="6347" xr:uid="{00000000-0005-0000-0000-000075A50000}"/>
    <cellStyle name="Total 7 4 8 2" xfId="25319" xr:uid="{00000000-0005-0000-0000-000076A50000}"/>
    <cellStyle name="Total 7 4 8 3" xfId="36164" xr:uid="{00000000-0005-0000-0000-000077A50000}"/>
    <cellStyle name="Total 7 4 8 4" xfId="15769" xr:uid="{00000000-0005-0000-0000-000078A50000}"/>
    <cellStyle name="Total 7 4 9" xfId="9006" xr:uid="{00000000-0005-0000-0000-000079A50000}"/>
    <cellStyle name="Total 7 4 9 2" xfId="27978" xr:uid="{00000000-0005-0000-0000-00007AA50000}"/>
    <cellStyle name="Total 7 4 9 3" xfId="38823" xr:uid="{00000000-0005-0000-0000-00007BA50000}"/>
    <cellStyle name="Total 7 4 9 4" xfId="17673" xr:uid="{00000000-0005-0000-0000-00007CA50000}"/>
    <cellStyle name="Total 7 5" xfId="876" xr:uid="{00000000-0005-0000-0000-00007DA50000}"/>
    <cellStyle name="Total 7 5 10" xfId="19861" xr:uid="{00000000-0005-0000-0000-00007EA50000}"/>
    <cellStyle name="Total 7 5 11" xfId="30706" xr:uid="{00000000-0005-0000-0000-00007FA50000}"/>
    <cellStyle name="Total 7 5 12" xfId="11858" xr:uid="{00000000-0005-0000-0000-000080A50000}"/>
    <cellStyle name="Total 7 5 2" xfId="1463" xr:uid="{00000000-0005-0000-0000-000081A50000}"/>
    <cellStyle name="Total 7 5 2 2" xfId="4316" xr:uid="{00000000-0005-0000-0000-000082A50000}"/>
    <cellStyle name="Total 7 5 2 2 2" xfId="23288" xr:uid="{00000000-0005-0000-0000-000083A50000}"/>
    <cellStyle name="Total 7 5 2 2 3" xfId="34133" xr:uid="{00000000-0005-0000-0000-000084A50000}"/>
    <cellStyle name="Total 7 5 2 2 4" xfId="14319" xr:uid="{00000000-0005-0000-0000-000085A50000}"/>
    <cellStyle name="Total 7 5 2 3" xfId="6989" xr:uid="{00000000-0005-0000-0000-000086A50000}"/>
    <cellStyle name="Total 7 5 2 3 2" xfId="25961" xr:uid="{00000000-0005-0000-0000-000087A50000}"/>
    <cellStyle name="Total 7 5 2 3 3" xfId="36806" xr:uid="{00000000-0005-0000-0000-000088A50000}"/>
    <cellStyle name="Total 7 5 2 3 4" xfId="16234" xr:uid="{00000000-0005-0000-0000-000089A50000}"/>
    <cellStyle name="Total 7 5 2 4" xfId="9648" xr:uid="{00000000-0005-0000-0000-00008AA50000}"/>
    <cellStyle name="Total 7 5 2 4 2" xfId="28620" xr:uid="{00000000-0005-0000-0000-00008BA50000}"/>
    <cellStyle name="Total 7 5 2 4 3" xfId="39465" xr:uid="{00000000-0005-0000-0000-00008CA50000}"/>
    <cellStyle name="Total 7 5 2 4 4" xfId="18138" xr:uid="{00000000-0005-0000-0000-00008DA50000}"/>
    <cellStyle name="Total 7 5 2 5" xfId="20444" xr:uid="{00000000-0005-0000-0000-00008EA50000}"/>
    <cellStyle name="Total 7 5 2 6" xfId="31289" xr:uid="{00000000-0005-0000-0000-00008FA50000}"/>
    <cellStyle name="Total 7 5 2 7" xfId="12284" xr:uid="{00000000-0005-0000-0000-000090A50000}"/>
    <cellStyle name="Total 7 5 3" xfId="1862" xr:uid="{00000000-0005-0000-0000-000091A50000}"/>
    <cellStyle name="Total 7 5 3 2" xfId="4715" xr:uid="{00000000-0005-0000-0000-000092A50000}"/>
    <cellStyle name="Total 7 5 3 2 2" xfId="23687" xr:uid="{00000000-0005-0000-0000-000093A50000}"/>
    <cellStyle name="Total 7 5 3 2 3" xfId="34532" xr:uid="{00000000-0005-0000-0000-000094A50000}"/>
    <cellStyle name="Total 7 5 3 2 4" xfId="14606" xr:uid="{00000000-0005-0000-0000-000095A50000}"/>
    <cellStyle name="Total 7 5 3 3" xfId="7387" xr:uid="{00000000-0005-0000-0000-000096A50000}"/>
    <cellStyle name="Total 7 5 3 3 2" xfId="26359" xr:uid="{00000000-0005-0000-0000-000097A50000}"/>
    <cellStyle name="Total 7 5 3 3 3" xfId="37204" xr:uid="{00000000-0005-0000-0000-000098A50000}"/>
    <cellStyle name="Total 7 5 3 3 4" xfId="16520" xr:uid="{00000000-0005-0000-0000-000099A50000}"/>
    <cellStyle name="Total 7 5 3 4" xfId="10046" xr:uid="{00000000-0005-0000-0000-00009AA50000}"/>
    <cellStyle name="Total 7 5 3 4 2" xfId="29018" xr:uid="{00000000-0005-0000-0000-00009BA50000}"/>
    <cellStyle name="Total 7 5 3 4 3" xfId="39863" xr:uid="{00000000-0005-0000-0000-00009CA50000}"/>
    <cellStyle name="Total 7 5 3 4 4" xfId="18424" xr:uid="{00000000-0005-0000-0000-00009DA50000}"/>
    <cellStyle name="Total 7 5 3 5" xfId="20842" xr:uid="{00000000-0005-0000-0000-00009EA50000}"/>
    <cellStyle name="Total 7 5 3 6" xfId="31687" xr:uid="{00000000-0005-0000-0000-00009FA50000}"/>
    <cellStyle name="Total 7 5 3 7" xfId="12570" xr:uid="{00000000-0005-0000-0000-0000A0A50000}"/>
    <cellStyle name="Total 7 5 4" xfId="2266" xr:uid="{00000000-0005-0000-0000-0000A1A50000}"/>
    <cellStyle name="Total 7 5 4 2" xfId="5119" xr:uid="{00000000-0005-0000-0000-0000A2A50000}"/>
    <cellStyle name="Total 7 5 4 2 2" xfId="24091" xr:uid="{00000000-0005-0000-0000-0000A3A50000}"/>
    <cellStyle name="Total 7 5 4 2 3" xfId="34936" xr:uid="{00000000-0005-0000-0000-0000A4A50000}"/>
    <cellStyle name="Total 7 5 4 2 4" xfId="14893" xr:uid="{00000000-0005-0000-0000-0000A5A50000}"/>
    <cellStyle name="Total 7 5 4 3" xfId="7790" xr:uid="{00000000-0005-0000-0000-0000A6A50000}"/>
    <cellStyle name="Total 7 5 4 3 2" xfId="26762" xr:uid="{00000000-0005-0000-0000-0000A7A50000}"/>
    <cellStyle name="Total 7 5 4 3 3" xfId="37607" xr:uid="{00000000-0005-0000-0000-0000A8A50000}"/>
    <cellStyle name="Total 7 5 4 3 4" xfId="16806" xr:uid="{00000000-0005-0000-0000-0000A9A50000}"/>
    <cellStyle name="Total 7 5 4 4" xfId="10449" xr:uid="{00000000-0005-0000-0000-0000AAA50000}"/>
    <cellStyle name="Total 7 5 4 4 2" xfId="29421" xr:uid="{00000000-0005-0000-0000-0000ABA50000}"/>
    <cellStyle name="Total 7 5 4 4 3" xfId="40266" xr:uid="{00000000-0005-0000-0000-0000ACA50000}"/>
    <cellStyle name="Total 7 5 4 4 4" xfId="18710" xr:uid="{00000000-0005-0000-0000-0000ADA50000}"/>
    <cellStyle name="Total 7 5 4 5" xfId="21245" xr:uid="{00000000-0005-0000-0000-0000AEA50000}"/>
    <cellStyle name="Total 7 5 4 6" xfId="32090" xr:uid="{00000000-0005-0000-0000-0000AFA50000}"/>
    <cellStyle name="Total 7 5 4 7" xfId="12856" xr:uid="{00000000-0005-0000-0000-0000B0A50000}"/>
    <cellStyle name="Total 7 5 5" xfId="2656" xr:uid="{00000000-0005-0000-0000-0000B1A50000}"/>
    <cellStyle name="Total 7 5 5 2" xfId="5508" xr:uid="{00000000-0005-0000-0000-0000B2A50000}"/>
    <cellStyle name="Total 7 5 5 2 2" xfId="24480" xr:uid="{00000000-0005-0000-0000-0000B3A50000}"/>
    <cellStyle name="Total 7 5 5 2 3" xfId="35325" xr:uid="{00000000-0005-0000-0000-0000B4A50000}"/>
    <cellStyle name="Total 7 5 5 2 4" xfId="15172" xr:uid="{00000000-0005-0000-0000-0000B5A50000}"/>
    <cellStyle name="Total 7 5 5 3" xfId="8179" xr:uid="{00000000-0005-0000-0000-0000B6A50000}"/>
    <cellStyle name="Total 7 5 5 3 2" xfId="27151" xr:uid="{00000000-0005-0000-0000-0000B7A50000}"/>
    <cellStyle name="Total 7 5 5 3 3" xfId="37996" xr:uid="{00000000-0005-0000-0000-0000B8A50000}"/>
    <cellStyle name="Total 7 5 5 3 4" xfId="17085" xr:uid="{00000000-0005-0000-0000-0000B9A50000}"/>
    <cellStyle name="Total 7 5 5 4" xfId="10838" xr:uid="{00000000-0005-0000-0000-0000BAA50000}"/>
    <cellStyle name="Total 7 5 5 4 2" xfId="29810" xr:uid="{00000000-0005-0000-0000-0000BBA50000}"/>
    <cellStyle name="Total 7 5 5 4 3" xfId="40655" xr:uid="{00000000-0005-0000-0000-0000BCA50000}"/>
    <cellStyle name="Total 7 5 5 4 4" xfId="18989" xr:uid="{00000000-0005-0000-0000-0000BDA50000}"/>
    <cellStyle name="Total 7 5 5 5" xfId="21634" xr:uid="{00000000-0005-0000-0000-0000BEA50000}"/>
    <cellStyle name="Total 7 5 5 6" xfId="32479" xr:uid="{00000000-0005-0000-0000-0000BFA50000}"/>
    <cellStyle name="Total 7 5 5 7" xfId="13135" xr:uid="{00000000-0005-0000-0000-0000C0A50000}"/>
    <cellStyle name="Total 7 5 6" xfId="3042" xr:uid="{00000000-0005-0000-0000-0000C1A50000}"/>
    <cellStyle name="Total 7 5 6 2" xfId="5893" xr:uid="{00000000-0005-0000-0000-0000C2A50000}"/>
    <cellStyle name="Total 7 5 6 2 2" xfId="24865" xr:uid="{00000000-0005-0000-0000-0000C3A50000}"/>
    <cellStyle name="Total 7 5 6 2 3" xfId="35710" xr:uid="{00000000-0005-0000-0000-0000C4A50000}"/>
    <cellStyle name="Total 7 5 6 2 4" xfId="15448" xr:uid="{00000000-0005-0000-0000-0000C5A50000}"/>
    <cellStyle name="Total 7 5 6 3" xfId="8564" xr:uid="{00000000-0005-0000-0000-0000C6A50000}"/>
    <cellStyle name="Total 7 5 6 3 2" xfId="27536" xr:uid="{00000000-0005-0000-0000-0000C7A50000}"/>
    <cellStyle name="Total 7 5 6 3 3" xfId="38381" xr:uid="{00000000-0005-0000-0000-0000C8A50000}"/>
    <cellStyle name="Total 7 5 6 3 4" xfId="17361" xr:uid="{00000000-0005-0000-0000-0000C9A50000}"/>
    <cellStyle name="Total 7 5 6 4" xfId="11223" xr:uid="{00000000-0005-0000-0000-0000CAA50000}"/>
    <cellStyle name="Total 7 5 6 4 2" xfId="30195" xr:uid="{00000000-0005-0000-0000-0000CBA50000}"/>
    <cellStyle name="Total 7 5 6 4 3" xfId="41040" xr:uid="{00000000-0005-0000-0000-0000CCA50000}"/>
    <cellStyle name="Total 7 5 6 4 4" xfId="19265" xr:uid="{00000000-0005-0000-0000-0000CDA50000}"/>
    <cellStyle name="Total 7 5 6 5" xfId="22019" xr:uid="{00000000-0005-0000-0000-0000CEA50000}"/>
    <cellStyle name="Total 7 5 6 6" xfId="32864" xr:uid="{00000000-0005-0000-0000-0000CFA50000}"/>
    <cellStyle name="Total 7 5 6 7" xfId="13411" xr:uid="{00000000-0005-0000-0000-0000D0A50000}"/>
    <cellStyle name="Total 7 5 7" xfId="3731" xr:uid="{00000000-0005-0000-0000-0000D1A50000}"/>
    <cellStyle name="Total 7 5 7 2" xfId="22703" xr:uid="{00000000-0005-0000-0000-0000D2A50000}"/>
    <cellStyle name="Total 7 5 7 3" xfId="33548" xr:uid="{00000000-0005-0000-0000-0000D3A50000}"/>
    <cellStyle name="Total 7 5 7 4" xfId="13892" xr:uid="{00000000-0005-0000-0000-0000D4A50000}"/>
    <cellStyle name="Total 7 5 8" xfId="6406" xr:uid="{00000000-0005-0000-0000-0000D5A50000}"/>
    <cellStyle name="Total 7 5 8 2" xfId="25378" xr:uid="{00000000-0005-0000-0000-0000D6A50000}"/>
    <cellStyle name="Total 7 5 8 3" xfId="36223" xr:uid="{00000000-0005-0000-0000-0000D7A50000}"/>
    <cellStyle name="Total 7 5 8 4" xfId="15808" xr:uid="{00000000-0005-0000-0000-0000D8A50000}"/>
    <cellStyle name="Total 7 5 9" xfId="9065" xr:uid="{00000000-0005-0000-0000-0000D9A50000}"/>
    <cellStyle name="Total 7 5 9 2" xfId="28037" xr:uid="{00000000-0005-0000-0000-0000DAA50000}"/>
    <cellStyle name="Total 7 5 9 3" xfId="38882" xr:uid="{00000000-0005-0000-0000-0000DBA50000}"/>
    <cellStyle name="Total 7 5 9 4" xfId="17712" xr:uid="{00000000-0005-0000-0000-0000DCA50000}"/>
    <cellStyle name="Total 7 6" xfId="1098" xr:uid="{00000000-0005-0000-0000-0000DDA50000}"/>
    <cellStyle name="Total 7 6 2" xfId="3951" xr:uid="{00000000-0005-0000-0000-0000DEA50000}"/>
    <cellStyle name="Total 7 6 2 2" xfId="22923" xr:uid="{00000000-0005-0000-0000-0000DFA50000}"/>
    <cellStyle name="Total 7 6 2 3" xfId="33768" xr:uid="{00000000-0005-0000-0000-0000E0A50000}"/>
    <cellStyle name="Total 7 6 2 4" xfId="14054" xr:uid="{00000000-0005-0000-0000-0000E1A50000}"/>
    <cellStyle name="Total 7 6 3" xfId="6625" xr:uid="{00000000-0005-0000-0000-0000E2A50000}"/>
    <cellStyle name="Total 7 6 3 2" xfId="25597" xr:uid="{00000000-0005-0000-0000-0000E3A50000}"/>
    <cellStyle name="Total 7 6 3 3" xfId="36442" xr:uid="{00000000-0005-0000-0000-0000E4A50000}"/>
    <cellStyle name="Total 7 6 3 4" xfId="15970" xr:uid="{00000000-0005-0000-0000-0000E5A50000}"/>
    <cellStyle name="Total 7 6 4" xfId="9284" xr:uid="{00000000-0005-0000-0000-0000E6A50000}"/>
    <cellStyle name="Total 7 6 4 2" xfId="28256" xr:uid="{00000000-0005-0000-0000-0000E7A50000}"/>
    <cellStyle name="Total 7 6 4 3" xfId="39101" xr:uid="{00000000-0005-0000-0000-0000E8A50000}"/>
    <cellStyle name="Total 7 6 4 4" xfId="17874" xr:uid="{00000000-0005-0000-0000-0000E9A50000}"/>
    <cellStyle name="Total 7 6 5" xfId="20080" xr:uid="{00000000-0005-0000-0000-0000EAA50000}"/>
    <cellStyle name="Total 7 6 6" xfId="30925" xr:uid="{00000000-0005-0000-0000-0000EBA50000}"/>
    <cellStyle name="Total 7 6 7" xfId="12020" xr:uid="{00000000-0005-0000-0000-0000ECA50000}"/>
    <cellStyle name="Total 7 7" xfId="1498" xr:uid="{00000000-0005-0000-0000-0000EDA50000}"/>
    <cellStyle name="Total 7 7 2" xfId="4351" xr:uid="{00000000-0005-0000-0000-0000EEA50000}"/>
    <cellStyle name="Total 7 7 2 2" xfId="23323" xr:uid="{00000000-0005-0000-0000-0000EFA50000}"/>
    <cellStyle name="Total 7 7 2 3" xfId="34168" xr:uid="{00000000-0005-0000-0000-0000F0A50000}"/>
    <cellStyle name="Total 7 7 2 4" xfId="14344" xr:uid="{00000000-0005-0000-0000-0000F1A50000}"/>
    <cellStyle name="Total 7 7 3" xfId="7024" xr:uid="{00000000-0005-0000-0000-0000F2A50000}"/>
    <cellStyle name="Total 7 7 3 2" xfId="25996" xr:uid="{00000000-0005-0000-0000-0000F3A50000}"/>
    <cellStyle name="Total 7 7 3 3" xfId="36841" xr:uid="{00000000-0005-0000-0000-0000F4A50000}"/>
    <cellStyle name="Total 7 7 3 4" xfId="16259" xr:uid="{00000000-0005-0000-0000-0000F5A50000}"/>
    <cellStyle name="Total 7 7 4" xfId="9683" xr:uid="{00000000-0005-0000-0000-0000F6A50000}"/>
    <cellStyle name="Total 7 7 4 2" xfId="28655" xr:uid="{00000000-0005-0000-0000-0000F7A50000}"/>
    <cellStyle name="Total 7 7 4 3" xfId="39500" xr:uid="{00000000-0005-0000-0000-0000F8A50000}"/>
    <cellStyle name="Total 7 7 4 4" xfId="18163" xr:uid="{00000000-0005-0000-0000-0000F9A50000}"/>
    <cellStyle name="Total 7 7 5" xfId="20479" xr:uid="{00000000-0005-0000-0000-0000FAA50000}"/>
    <cellStyle name="Total 7 7 6" xfId="31324" xr:uid="{00000000-0005-0000-0000-0000FBA50000}"/>
    <cellStyle name="Total 7 7 7" xfId="12309" xr:uid="{00000000-0005-0000-0000-0000FCA50000}"/>
    <cellStyle name="Total 7 8" xfId="1906" xr:uid="{00000000-0005-0000-0000-0000FDA50000}"/>
    <cellStyle name="Total 7 8 2" xfId="4759" xr:uid="{00000000-0005-0000-0000-0000FEA50000}"/>
    <cellStyle name="Total 7 8 2 2" xfId="23731" xr:uid="{00000000-0005-0000-0000-0000FFA50000}"/>
    <cellStyle name="Total 7 8 2 3" xfId="34576" xr:uid="{00000000-0005-0000-0000-000000A60000}"/>
    <cellStyle name="Total 7 8 2 4" xfId="14635" xr:uid="{00000000-0005-0000-0000-000001A60000}"/>
    <cellStyle name="Total 7 8 3" xfId="7431" xr:uid="{00000000-0005-0000-0000-000002A60000}"/>
    <cellStyle name="Total 7 8 3 2" xfId="26403" xr:uid="{00000000-0005-0000-0000-000003A60000}"/>
    <cellStyle name="Total 7 8 3 3" xfId="37248" xr:uid="{00000000-0005-0000-0000-000004A60000}"/>
    <cellStyle name="Total 7 8 3 4" xfId="16549" xr:uid="{00000000-0005-0000-0000-000005A60000}"/>
    <cellStyle name="Total 7 8 4" xfId="10090" xr:uid="{00000000-0005-0000-0000-000006A60000}"/>
    <cellStyle name="Total 7 8 4 2" xfId="29062" xr:uid="{00000000-0005-0000-0000-000007A60000}"/>
    <cellStyle name="Total 7 8 4 3" xfId="39907" xr:uid="{00000000-0005-0000-0000-000008A60000}"/>
    <cellStyle name="Total 7 8 4 4" xfId="18453" xr:uid="{00000000-0005-0000-0000-000009A60000}"/>
    <cellStyle name="Total 7 8 5" xfId="20886" xr:uid="{00000000-0005-0000-0000-00000AA60000}"/>
    <cellStyle name="Total 7 8 6" xfId="31731" xr:uid="{00000000-0005-0000-0000-00000BA60000}"/>
    <cellStyle name="Total 7 8 7" xfId="12599" xr:uid="{00000000-0005-0000-0000-00000CA60000}"/>
    <cellStyle name="Total 7 9" xfId="2300" xr:uid="{00000000-0005-0000-0000-00000DA60000}"/>
    <cellStyle name="Total 7 9 2" xfId="5153" xr:uid="{00000000-0005-0000-0000-00000EA60000}"/>
    <cellStyle name="Total 7 9 2 2" xfId="24125" xr:uid="{00000000-0005-0000-0000-00000FA60000}"/>
    <cellStyle name="Total 7 9 2 3" xfId="34970" xr:uid="{00000000-0005-0000-0000-000010A60000}"/>
    <cellStyle name="Total 7 9 2 4" xfId="14917" xr:uid="{00000000-0005-0000-0000-000011A60000}"/>
    <cellStyle name="Total 7 9 3" xfId="7824" xr:uid="{00000000-0005-0000-0000-000012A60000}"/>
    <cellStyle name="Total 7 9 3 2" xfId="26796" xr:uid="{00000000-0005-0000-0000-000013A60000}"/>
    <cellStyle name="Total 7 9 3 3" xfId="37641" xr:uid="{00000000-0005-0000-0000-000014A60000}"/>
    <cellStyle name="Total 7 9 3 4" xfId="16830" xr:uid="{00000000-0005-0000-0000-000015A60000}"/>
    <cellStyle name="Total 7 9 4" xfId="10483" xr:uid="{00000000-0005-0000-0000-000016A60000}"/>
    <cellStyle name="Total 7 9 4 2" xfId="29455" xr:uid="{00000000-0005-0000-0000-000017A60000}"/>
    <cellStyle name="Total 7 9 4 3" xfId="40300" xr:uid="{00000000-0005-0000-0000-000018A60000}"/>
    <cellStyle name="Total 7 9 4 4" xfId="18734" xr:uid="{00000000-0005-0000-0000-000019A60000}"/>
    <cellStyle name="Total 7 9 5" xfId="21279" xr:uid="{00000000-0005-0000-0000-00001AA60000}"/>
    <cellStyle name="Total 7 9 6" xfId="32124" xr:uid="{00000000-0005-0000-0000-00001BA60000}"/>
    <cellStyle name="Total 7 9 7" xfId="12880" xr:uid="{00000000-0005-0000-0000-00001CA60000}"/>
    <cellStyle name="Total 8" xfId="580" xr:uid="{00000000-0005-0000-0000-00001DA60000}"/>
    <cellStyle name="Total 8 10" xfId="19590" xr:uid="{00000000-0005-0000-0000-00001EA60000}"/>
    <cellStyle name="Total 8 11" xfId="30435" xr:uid="{00000000-0005-0000-0000-00001FA60000}"/>
    <cellStyle name="Total 8 12" xfId="11644" xr:uid="{00000000-0005-0000-0000-000020A60000}"/>
    <cellStyle name="Total 8 2" xfId="1186" xr:uid="{00000000-0005-0000-0000-000021A60000}"/>
    <cellStyle name="Total 8 2 2" xfId="4039" xr:uid="{00000000-0005-0000-0000-000022A60000}"/>
    <cellStyle name="Total 8 2 2 2" xfId="23011" xr:uid="{00000000-0005-0000-0000-000023A60000}"/>
    <cellStyle name="Total 8 2 2 3" xfId="33856" xr:uid="{00000000-0005-0000-0000-000024A60000}"/>
    <cellStyle name="Total 8 2 2 4" xfId="14121" xr:uid="{00000000-0005-0000-0000-000025A60000}"/>
    <cellStyle name="Total 8 2 3" xfId="6712" xr:uid="{00000000-0005-0000-0000-000026A60000}"/>
    <cellStyle name="Total 8 2 3 2" xfId="25684" xr:uid="{00000000-0005-0000-0000-000027A60000}"/>
    <cellStyle name="Total 8 2 3 3" xfId="36529" xr:uid="{00000000-0005-0000-0000-000028A60000}"/>
    <cellStyle name="Total 8 2 3 4" xfId="16036" xr:uid="{00000000-0005-0000-0000-000029A60000}"/>
    <cellStyle name="Total 8 2 4" xfId="9371" xr:uid="{00000000-0005-0000-0000-00002AA60000}"/>
    <cellStyle name="Total 8 2 4 2" xfId="28343" xr:uid="{00000000-0005-0000-0000-00002BA60000}"/>
    <cellStyle name="Total 8 2 4 3" xfId="39188" xr:uid="{00000000-0005-0000-0000-00002CA60000}"/>
    <cellStyle name="Total 8 2 4 4" xfId="17940" xr:uid="{00000000-0005-0000-0000-00002DA60000}"/>
    <cellStyle name="Total 8 2 5" xfId="20167" xr:uid="{00000000-0005-0000-0000-00002EA60000}"/>
    <cellStyle name="Total 8 2 6" xfId="31012" xr:uid="{00000000-0005-0000-0000-00002FA60000}"/>
    <cellStyle name="Total 8 2 7" xfId="12086" xr:uid="{00000000-0005-0000-0000-000030A60000}"/>
    <cellStyle name="Total 8 3" xfId="1583" xr:uid="{00000000-0005-0000-0000-000031A60000}"/>
    <cellStyle name="Total 8 3 2" xfId="4436" xr:uid="{00000000-0005-0000-0000-000032A60000}"/>
    <cellStyle name="Total 8 3 2 2" xfId="23408" xr:uid="{00000000-0005-0000-0000-000033A60000}"/>
    <cellStyle name="Total 8 3 2 3" xfId="34253" xr:uid="{00000000-0005-0000-0000-000034A60000}"/>
    <cellStyle name="Total 8 3 2 4" xfId="14407" xr:uid="{00000000-0005-0000-0000-000035A60000}"/>
    <cellStyle name="Total 8 3 3" xfId="7108" xr:uid="{00000000-0005-0000-0000-000036A60000}"/>
    <cellStyle name="Total 8 3 3 2" xfId="26080" xr:uid="{00000000-0005-0000-0000-000037A60000}"/>
    <cellStyle name="Total 8 3 3 3" xfId="36925" xr:uid="{00000000-0005-0000-0000-000038A60000}"/>
    <cellStyle name="Total 8 3 3 4" xfId="16321" xr:uid="{00000000-0005-0000-0000-000039A60000}"/>
    <cellStyle name="Total 8 3 4" xfId="9767" xr:uid="{00000000-0005-0000-0000-00003AA60000}"/>
    <cellStyle name="Total 8 3 4 2" xfId="28739" xr:uid="{00000000-0005-0000-0000-00003BA60000}"/>
    <cellStyle name="Total 8 3 4 3" xfId="39584" xr:uid="{00000000-0005-0000-0000-00003CA60000}"/>
    <cellStyle name="Total 8 3 4 4" xfId="18225" xr:uid="{00000000-0005-0000-0000-00003DA60000}"/>
    <cellStyle name="Total 8 3 5" xfId="20563" xr:uid="{00000000-0005-0000-0000-00003EA60000}"/>
    <cellStyle name="Total 8 3 6" xfId="31408" xr:uid="{00000000-0005-0000-0000-00003FA60000}"/>
    <cellStyle name="Total 8 3 7" xfId="12371" xr:uid="{00000000-0005-0000-0000-000040A60000}"/>
    <cellStyle name="Total 8 4" xfId="1987" xr:uid="{00000000-0005-0000-0000-000041A60000}"/>
    <cellStyle name="Total 8 4 2" xfId="4840" xr:uid="{00000000-0005-0000-0000-000042A60000}"/>
    <cellStyle name="Total 8 4 2 2" xfId="23812" xr:uid="{00000000-0005-0000-0000-000043A60000}"/>
    <cellStyle name="Total 8 4 2 3" xfId="34657" xr:uid="{00000000-0005-0000-0000-000044A60000}"/>
    <cellStyle name="Total 8 4 2 4" xfId="14695" xr:uid="{00000000-0005-0000-0000-000045A60000}"/>
    <cellStyle name="Total 8 4 3" xfId="7512" xr:uid="{00000000-0005-0000-0000-000046A60000}"/>
    <cellStyle name="Total 8 4 3 2" xfId="26484" xr:uid="{00000000-0005-0000-0000-000047A60000}"/>
    <cellStyle name="Total 8 4 3 3" xfId="37329" xr:uid="{00000000-0005-0000-0000-000048A60000}"/>
    <cellStyle name="Total 8 4 3 4" xfId="16609" xr:uid="{00000000-0005-0000-0000-000049A60000}"/>
    <cellStyle name="Total 8 4 4" xfId="10171" xr:uid="{00000000-0005-0000-0000-00004AA60000}"/>
    <cellStyle name="Total 8 4 4 2" xfId="29143" xr:uid="{00000000-0005-0000-0000-00004BA60000}"/>
    <cellStyle name="Total 8 4 4 3" xfId="39988" xr:uid="{00000000-0005-0000-0000-00004CA60000}"/>
    <cellStyle name="Total 8 4 4 4" xfId="18513" xr:uid="{00000000-0005-0000-0000-00004DA60000}"/>
    <cellStyle name="Total 8 4 5" xfId="20967" xr:uid="{00000000-0005-0000-0000-00004EA60000}"/>
    <cellStyle name="Total 8 4 6" xfId="31812" xr:uid="{00000000-0005-0000-0000-00004FA60000}"/>
    <cellStyle name="Total 8 4 7" xfId="12659" xr:uid="{00000000-0005-0000-0000-000050A60000}"/>
    <cellStyle name="Total 8 5" xfId="2379" xr:uid="{00000000-0005-0000-0000-000051A60000}"/>
    <cellStyle name="Total 8 5 2" xfId="5232" xr:uid="{00000000-0005-0000-0000-000052A60000}"/>
    <cellStyle name="Total 8 5 2 2" xfId="24204" xr:uid="{00000000-0005-0000-0000-000053A60000}"/>
    <cellStyle name="Total 8 5 2 3" xfId="35049" xr:uid="{00000000-0005-0000-0000-000054A60000}"/>
    <cellStyle name="Total 8 5 2 4" xfId="14976" xr:uid="{00000000-0005-0000-0000-000055A60000}"/>
    <cellStyle name="Total 8 5 3" xfId="7903" xr:uid="{00000000-0005-0000-0000-000056A60000}"/>
    <cellStyle name="Total 8 5 3 2" xfId="26875" xr:uid="{00000000-0005-0000-0000-000057A60000}"/>
    <cellStyle name="Total 8 5 3 3" xfId="37720" xr:uid="{00000000-0005-0000-0000-000058A60000}"/>
    <cellStyle name="Total 8 5 3 4" xfId="16889" xr:uid="{00000000-0005-0000-0000-000059A60000}"/>
    <cellStyle name="Total 8 5 4" xfId="10562" xr:uid="{00000000-0005-0000-0000-00005AA60000}"/>
    <cellStyle name="Total 8 5 4 2" xfId="29534" xr:uid="{00000000-0005-0000-0000-00005BA60000}"/>
    <cellStyle name="Total 8 5 4 3" xfId="40379" xr:uid="{00000000-0005-0000-0000-00005CA60000}"/>
    <cellStyle name="Total 8 5 4 4" xfId="18793" xr:uid="{00000000-0005-0000-0000-00005DA60000}"/>
    <cellStyle name="Total 8 5 5" xfId="21358" xr:uid="{00000000-0005-0000-0000-00005EA60000}"/>
    <cellStyle name="Total 8 5 6" xfId="32203" xr:uid="{00000000-0005-0000-0000-00005FA60000}"/>
    <cellStyle name="Total 8 5 7" xfId="12939" xr:uid="{00000000-0005-0000-0000-000060A60000}"/>
    <cellStyle name="Total 8 6" xfId="2768" xr:uid="{00000000-0005-0000-0000-000061A60000}"/>
    <cellStyle name="Total 8 6 2" xfId="5620" xr:uid="{00000000-0005-0000-0000-000062A60000}"/>
    <cellStyle name="Total 8 6 2 2" xfId="24592" xr:uid="{00000000-0005-0000-0000-000063A60000}"/>
    <cellStyle name="Total 8 6 2 3" xfId="35437" xr:uid="{00000000-0005-0000-0000-000064A60000}"/>
    <cellStyle name="Total 8 6 2 4" xfId="15254" xr:uid="{00000000-0005-0000-0000-000065A60000}"/>
    <cellStyle name="Total 8 6 3" xfId="8291" xr:uid="{00000000-0005-0000-0000-000066A60000}"/>
    <cellStyle name="Total 8 6 3 2" xfId="27263" xr:uid="{00000000-0005-0000-0000-000067A60000}"/>
    <cellStyle name="Total 8 6 3 3" xfId="38108" xr:uid="{00000000-0005-0000-0000-000068A60000}"/>
    <cellStyle name="Total 8 6 3 4" xfId="17167" xr:uid="{00000000-0005-0000-0000-000069A60000}"/>
    <cellStyle name="Total 8 6 4" xfId="10950" xr:uid="{00000000-0005-0000-0000-00006AA60000}"/>
    <cellStyle name="Total 8 6 4 2" xfId="29922" xr:uid="{00000000-0005-0000-0000-00006BA60000}"/>
    <cellStyle name="Total 8 6 4 3" xfId="40767" xr:uid="{00000000-0005-0000-0000-00006CA60000}"/>
    <cellStyle name="Total 8 6 4 4" xfId="19071" xr:uid="{00000000-0005-0000-0000-00006DA60000}"/>
    <cellStyle name="Total 8 6 5" xfId="21746" xr:uid="{00000000-0005-0000-0000-00006EA60000}"/>
    <cellStyle name="Total 8 6 6" xfId="32591" xr:uid="{00000000-0005-0000-0000-00006FA60000}"/>
    <cellStyle name="Total 8 6 7" xfId="13217" xr:uid="{00000000-0005-0000-0000-000070A60000}"/>
    <cellStyle name="Total 8 7" xfId="3459" xr:uid="{00000000-0005-0000-0000-000071A60000}"/>
    <cellStyle name="Total 8 7 2" xfId="22431" xr:uid="{00000000-0005-0000-0000-000072A60000}"/>
    <cellStyle name="Total 8 7 3" xfId="33276" xr:uid="{00000000-0005-0000-0000-000073A60000}"/>
    <cellStyle name="Total 8 7 4" xfId="13699" xr:uid="{00000000-0005-0000-0000-000074A60000}"/>
    <cellStyle name="Total 8 8" xfId="6135" xr:uid="{00000000-0005-0000-0000-000075A60000}"/>
    <cellStyle name="Total 8 8 2" xfId="25107" xr:uid="{00000000-0005-0000-0000-000076A60000}"/>
    <cellStyle name="Total 8 8 3" xfId="35952" xr:uid="{00000000-0005-0000-0000-000077A60000}"/>
    <cellStyle name="Total 8 8 4" xfId="15616" xr:uid="{00000000-0005-0000-0000-000078A60000}"/>
    <cellStyle name="Total 8 9" xfId="8794" xr:uid="{00000000-0005-0000-0000-000079A60000}"/>
    <cellStyle name="Total 8 9 2" xfId="27766" xr:uid="{00000000-0005-0000-0000-00007AA60000}"/>
    <cellStyle name="Total 8 9 3" xfId="38611" xr:uid="{00000000-0005-0000-0000-00007BA60000}"/>
    <cellStyle name="Total 8 9 4" xfId="17520" xr:uid="{00000000-0005-0000-0000-00007CA60000}"/>
    <cellStyle name="Total 9" xfId="492" xr:uid="{00000000-0005-0000-0000-00007DA60000}"/>
    <cellStyle name="Total 9 2" xfId="3408" xr:uid="{00000000-0005-0000-0000-00007EA60000}"/>
    <cellStyle name="Total 9 2 2" xfId="22380" xr:uid="{00000000-0005-0000-0000-00007FA60000}"/>
    <cellStyle name="Total 9 2 3" xfId="33225" xr:uid="{00000000-0005-0000-0000-000080A60000}"/>
    <cellStyle name="Total 9 2 4" xfId="13658" xr:uid="{00000000-0005-0000-0000-000081A60000}"/>
    <cellStyle name="Total 9 3" xfId="6084" xr:uid="{00000000-0005-0000-0000-000082A60000}"/>
    <cellStyle name="Total 9 3 2" xfId="25056" xr:uid="{00000000-0005-0000-0000-000083A60000}"/>
    <cellStyle name="Total 9 3 3" xfId="35901" xr:uid="{00000000-0005-0000-0000-000084A60000}"/>
    <cellStyle name="Total 9 3 4" xfId="15575" xr:uid="{00000000-0005-0000-0000-000085A60000}"/>
    <cellStyle name="Total 9 4" xfId="8743" xr:uid="{00000000-0005-0000-0000-000086A60000}"/>
    <cellStyle name="Total 9 4 2" xfId="27715" xr:uid="{00000000-0005-0000-0000-000087A60000}"/>
    <cellStyle name="Total 9 4 3" xfId="38560" xr:uid="{00000000-0005-0000-0000-000088A60000}"/>
    <cellStyle name="Total 9 4 4" xfId="17479" xr:uid="{00000000-0005-0000-0000-000089A60000}"/>
    <cellStyle name="Total 9 5" xfId="19529" xr:uid="{00000000-0005-0000-0000-00008AA60000}"/>
    <cellStyle name="Total 9 6" xfId="30374" xr:uid="{00000000-0005-0000-0000-00008BA60000}"/>
    <cellStyle name="Total 9 7" xfId="11572" xr:uid="{00000000-0005-0000-0000-00008CA60000}"/>
    <cellStyle name="Warning Text" xfId="165" builtinId="11" customBuiltin="1"/>
    <cellStyle name="Warning Text 2" xfId="166" xr:uid="{00000000-0005-0000-0000-00008EA60000}"/>
    <cellStyle name="Warning Text 3" xfId="329" xr:uid="{00000000-0005-0000-0000-00008FA60000}"/>
    <cellStyle name="Warning Text 4" xfId="493" xr:uid="{00000000-0005-0000-0000-000090A60000}"/>
    <cellStyle name="Warning Text 5" xfId="11483" xr:uid="{00000000-0005-0000-0000-000091A60000}"/>
    <cellStyle name="Year" xfId="167" xr:uid="{00000000-0005-0000-0000-000092A60000}"/>
  </cellStyles>
  <dxfs count="12">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
      <fill>
        <patternFill patternType="solid">
          <bgColor indexed="14"/>
        </patternFill>
      </fill>
    </dxf>
    <dxf>
      <fill>
        <patternFill patternType="none">
          <bgColor indexed="65"/>
        </patternFill>
      </fill>
    </dxf>
  </dxfs>
  <tableStyles count="0" defaultTableStyle="TableStyleMedium2" defaultPivotStyle="PivotStyleLight16"/>
  <colors>
    <mruColors>
      <color rgb="FF00FF00"/>
      <color rgb="FF66FF33"/>
      <color rgb="FFFFD9D9"/>
      <color rgb="FFCCFFCC"/>
      <color rgb="FFFFCDCD"/>
      <color rgb="FF99FF66"/>
      <color rgb="FF276B7B"/>
      <color rgb="FF6800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23812</xdr:colOff>
      <xdr:row>0</xdr:row>
      <xdr:rowOff>23813</xdr:rowOff>
    </xdr:from>
    <xdr:to>
      <xdr:col>3</xdr:col>
      <xdr:colOff>1103156</xdr:colOff>
      <xdr:row>2</xdr:row>
      <xdr:rowOff>61166</xdr:rowOff>
    </xdr:to>
    <xdr:sp macro="" textlink="Lookups!$B$2">
      <xdr:nvSpPr>
        <xdr:cNvPr id="2" name="TextBox 1">
          <a:extLst>
            <a:ext uri="{FF2B5EF4-FFF2-40B4-BE49-F238E27FC236}">
              <a16:creationId xmlns:a16="http://schemas.microsoft.com/office/drawing/2014/main" id="{5E5FE91F-8AEA-4F45-A485-D74DD5627B0F}"/>
            </a:ext>
          </a:extLst>
        </xdr:cNvPr>
        <xdr:cNvSpPr txBox="1"/>
      </xdr:nvSpPr>
      <xdr:spPr>
        <a:xfrm>
          <a:off x="23812" y="23813"/>
          <a:ext cx="4679794" cy="41835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907676</xdr:colOff>
      <xdr:row>3</xdr:row>
      <xdr:rowOff>74519</xdr:rowOff>
    </xdr:to>
    <xdr:sp macro="" textlink="Lookups!$B$2">
      <xdr:nvSpPr>
        <xdr:cNvPr id="3" name="TextBox 2">
          <a:extLst>
            <a:ext uri="{FF2B5EF4-FFF2-40B4-BE49-F238E27FC236}">
              <a16:creationId xmlns:a16="http://schemas.microsoft.com/office/drawing/2014/main" id="{B639866E-95B1-4B65-A4D6-9079FF7D2B29}"/>
            </a:ext>
          </a:extLst>
        </xdr:cNvPr>
        <xdr:cNvSpPr txBox="1"/>
      </xdr:nvSpPr>
      <xdr:spPr>
        <a:xfrm>
          <a:off x="0" y="0"/>
          <a:ext cx="3193676" cy="560294"/>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22411</xdr:colOff>
      <xdr:row>0</xdr:row>
      <xdr:rowOff>22411</xdr:rowOff>
    </xdr:from>
    <xdr:to>
      <xdr:col>3</xdr:col>
      <xdr:colOff>1210235</xdr:colOff>
      <xdr:row>2</xdr:row>
      <xdr:rowOff>123264</xdr:rowOff>
    </xdr:to>
    <xdr:sp macro="" textlink="Lookups!$B$2">
      <xdr:nvSpPr>
        <xdr:cNvPr id="2" name="TextBox 1">
          <a:extLst>
            <a:ext uri="{FF2B5EF4-FFF2-40B4-BE49-F238E27FC236}">
              <a16:creationId xmlns:a16="http://schemas.microsoft.com/office/drawing/2014/main" id="{D8F13155-03AA-4DBA-9AB9-3A78343C9945}"/>
            </a:ext>
          </a:extLst>
        </xdr:cNvPr>
        <xdr:cNvSpPr txBox="1"/>
      </xdr:nvSpPr>
      <xdr:spPr>
        <a:xfrm>
          <a:off x="22411" y="22411"/>
          <a:ext cx="4092949" cy="42470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22411</xdr:colOff>
      <xdr:row>0</xdr:row>
      <xdr:rowOff>22411</xdr:rowOff>
    </xdr:from>
    <xdr:to>
      <xdr:col>3</xdr:col>
      <xdr:colOff>1210235</xdr:colOff>
      <xdr:row>2</xdr:row>
      <xdr:rowOff>123264</xdr:rowOff>
    </xdr:to>
    <xdr:sp macro="" textlink="Lookups!$B$2">
      <xdr:nvSpPr>
        <xdr:cNvPr id="2" name="TextBox 1">
          <a:extLst>
            <a:ext uri="{FF2B5EF4-FFF2-40B4-BE49-F238E27FC236}">
              <a16:creationId xmlns:a16="http://schemas.microsoft.com/office/drawing/2014/main" id="{9F9332C3-91EE-49D0-8CBB-69BD24218908}"/>
            </a:ext>
          </a:extLst>
        </xdr:cNvPr>
        <xdr:cNvSpPr txBox="1"/>
      </xdr:nvSpPr>
      <xdr:spPr>
        <a:xfrm>
          <a:off x="22411" y="22411"/>
          <a:ext cx="4092949" cy="424703"/>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28760</xdr:colOff>
      <xdr:row>0</xdr:row>
      <xdr:rowOff>28761</xdr:rowOff>
    </xdr:from>
    <xdr:to>
      <xdr:col>3</xdr:col>
      <xdr:colOff>1535905</xdr:colOff>
      <xdr:row>2</xdr:row>
      <xdr:rowOff>123264</xdr:rowOff>
    </xdr:to>
    <xdr:sp macro="" textlink="Lookups!$B$2">
      <xdr:nvSpPr>
        <xdr:cNvPr id="3" name="TextBox 2">
          <a:extLst>
            <a:ext uri="{FF2B5EF4-FFF2-40B4-BE49-F238E27FC236}">
              <a16:creationId xmlns:a16="http://schemas.microsoft.com/office/drawing/2014/main" id="{CC2A8701-5B4D-402A-9A15-4FA31A16BBE4}"/>
            </a:ext>
          </a:extLst>
        </xdr:cNvPr>
        <xdr:cNvSpPr txBox="1"/>
      </xdr:nvSpPr>
      <xdr:spPr>
        <a:xfrm>
          <a:off x="28760" y="28761"/>
          <a:ext cx="4555145" cy="427878"/>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51</xdr:row>
      <xdr:rowOff>6302</xdr:rowOff>
    </xdr:from>
    <xdr:to>
      <xdr:col>3</xdr:col>
      <xdr:colOff>1064558</xdr:colOff>
      <xdr:row>57</xdr:row>
      <xdr:rowOff>28715</xdr:rowOff>
    </xdr:to>
    <xdr:sp macro="" textlink="">
      <xdr:nvSpPr>
        <xdr:cNvPr id="2" name="TextBox 1">
          <a:extLst>
            <a:ext uri="{FF2B5EF4-FFF2-40B4-BE49-F238E27FC236}">
              <a16:creationId xmlns:a16="http://schemas.microsoft.com/office/drawing/2014/main" id="{55EEAE76-50ED-447D-95B6-F967AFA7961C}"/>
            </a:ext>
          </a:extLst>
        </xdr:cNvPr>
        <xdr:cNvSpPr txBox="1"/>
      </xdr:nvSpPr>
      <xdr:spPr>
        <a:xfrm>
          <a:off x="0" y="8988377"/>
          <a:ext cx="4426883" cy="9939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rgbClr val="FF0000"/>
              </a:solidFill>
            </a:rPr>
            <a:t>Note: Remember to drag down</a:t>
          </a:r>
          <a:r>
            <a:rPr lang="en-US" sz="1800" baseline="0">
              <a:solidFill>
                <a:srgbClr val="FF0000"/>
              </a:solidFill>
            </a:rPr>
            <a:t> formulas if entering more than 50 rows of measures on Inputs tabs.</a:t>
          </a:r>
        </a:p>
      </xdr:txBody>
    </xdr:sp>
    <xdr:clientData/>
  </xdr:twoCellAnchor>
  <xdr:twoCellAnchor>
    <xdr:from>
      <xdr:col>2</xdr:col>
      <xdr:colOff>11205</xdr:colOff>
      <xdr:row>0</xdr:row>
      <xdr:rowOff>11207</xdr:rowOff>
    </xdr:from>
    <xdr:to>
      <xdr:col>12</xdr:col>
      <xdr:colOff>11205</xdr:colOff>
      <xdr:row>1</xdr:row>
      <xdr:rowOff>44825</xdr:rowOff>
    </xdr:to>
    <xdr:sp macro="" textlink="Lookups!$B$2">
      <xdr:nvSpPr>
        <xdr:cNvPr id="3" name="TextBox 2">
          <a:extLst>
            <a:ext uri="{FF2B5EF4-FFF2-40B4-BE49-F238E27FC236}">
              <a16:creationId xmlns:a16="http://schemas.microsoft.com/office/drawing/2014/main" id="{2B672A38-71F3-435B-8438-35D50E434138}"/>
            </a:ext>
          </a:extLst>
        </xdr:cNvPr>
        <xdr:cNvSpPr txBox="1"/>
      </xdr:nvSpPr>
      <xdr:spPr>
        <a:xfrm>
          <a:off x="1906680" y="11207"/>
          <a:ext cx="12696825" cy="224118"/>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51</xdr:row>
      <xdr:rowOff>6302</xdr:rowOff>
    </xdr:from>
    <xdr:to>
      <xdr:col>3</xdr:col>
      <xdr:colOff>1064558</xdr:colOff>
      <xdr:row>57</xdr:row>
      <xdr:rowOff>28715</xdr:rowOff>
    </xdr:to>
    <xdr:sp macro="" textlink="">
      <xdr:nvSpPr>
        <xdr:cNvPr id="2" name="TextBox 1">
          <a:extLst>
            <a:ext uri="{FF2B5EF4-FFF2-40B4-BE49-F238E27FC236}">
              <a16:creationId xmlns:a16="http://schemas.microsoft.com/office/drawing/2014/main" id="{4EA91718-F652-43EC-B6E2-D11F0C087CF4}"/>
            </a:ext>
          </a:extLst>
        </xdr:cNvPr>
        <xdr:cNvSpPr txBox="1"/>
      </xdr:nvSpPr>
      <xdr:spPr>
        <a:xfrm>
          <a:off x="0" y="8988377"/>
          <a:ext cx="4426883" cy="9939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rgbClr val="FF0000"/>
              </a:solidFill>
            </a:rPr>
            <a:t>Note: Remember to drag down</a:t>
          </a:r>
          <a:r>
            <a:rPr lang="en-US" sz="1800" baseline="0">
              <a:solidFill>
                <a:srgbClr val="FF0000"/>
              </a:solidFill>
            </a:rPr>
            <a:t> formulas if entering more than 50 rows of measures on Inputs tabs.</a:t>
          </a:r>
        </a:p>
      </xdr:txBody>
    </xdr:sp>
    <xdr:clientData/>
  </xdr:twoCellAnchor>
  <xdr:twoCellAnchor>
    <xdr:from>
      <xdr:col>2</xdr:col>
      <xdr:colOff>11205</xdr:colOff>
      <xdr:row>0</xdr:row>
      <xdr:rowOff>11207</xdr:rowOff>
    </xdr:from>
    <xdr:to>
      <xdr:col>12</xdr:col>
      <xdr:colOff>11205</xdr:colOff>
      <xdr:row>1</xdr:row>
      <xdr:rowOff>44825</xdr:rowOff>
    </xdr:to>
    <xdr:sp macro="" textlink="Lookups!$B$2">
      <xdr:nvSpPr>
        <xdr:cNvPr id="3" name="TextBox 2">
          <a:extLst>
            <a:ext uri="{FF2B5EF4-FFF2-40B4-BE49-F238E27FC236}">
              <a16:creationId xmlns:a16="http://schemas.microsoft.com/office/drawing/2014/main" id="{FB52D7C9-406C-4BCD-A827-B5C0CB95ABEE}"/>
            </a:ext>
          </a:extLst>
        </xdr:cNvPr>
        <xdr:cNvSpPr txBox="1"/>
      </xdr:nvSpPr>
      <xdr:spPr>
        <a:xfrm>
          <a:off x="1906680" y="11207"/>
          <a:ext cx="12696825" cy="224118"/>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51</xdr:row>
      <xdr:rowOff>6302</xdr:rowOff>
    </xdr:from>
    <xdr:to>
      <xdr:col>3</xdr:col>
      <xdr:colOff>1064558</xdr:colOff>
      <xdr:row>57</xdr:row>
      <xdr:rowOff>28715</xdr:rowOff>
    </xdr:to>
    <xdr:sp macro="" textlink="">
      <xdr:nvSpPr>
        <xdr:cNvPr id="5" name="TextBox 4">
          <a:extLst>
            <a:ext uri="{FF2B5EF4-FFF2-40B4-BE49-F238E27FC236}">
              <a16:creationId xmlns:a16="http://schemas.microsoft.com/office/drawing/2014/main" id="{DA82EFCE-C731-4DA4-AC79-02C4C3F2E259}"/>
            </a:ext>
          </a:extLst>
        </xdr:cNvPr>
        <xdr:cNvSpPr txBox="1"/>
      </xdr:nvSpPr>
      <xdr:spPr>
        <a:xfrm>
          <a:off x="0" y="8888365"/>
          <a:ext cx="4422121" cy="10225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rgbClr val="FF0000"/>
              </a:solidFill>
            </a:rPr>
            <a:t>Note: Remember to drag down</a:t>
          </a:r>
          <a:r>
            <a:rPr lang="en-US" sz="1800" baseline="0">
              <a:solidFill>
                <a:srgbClr val="FF0000"/>
              </a:solidFill>
            </a:rPr>
            <a:t> formulas if entering more than 50 rows of measures on Inputs tabs.</a:t>
          </a:r>
        </a:p>
      </xdr:txBody>
    </xdr:sp>
    <xdr:clientData/>
  </xdr:twoCellAnchor>
  <xdr:twoCellAnchor>
    <xdr:from>
      <xdr:col>2</xdr:col>
      <xdr:colOff>11205</xdr:colOff>
      <xdr:row>0</xdr:row>
      <xdr:rowOff>11207</xdr:rowOff>
    </xdr:from>
    <xdr:to>
      <xdr:col>12</xdr:col>
      <xdr:colOff>11205</xdr:colOff>
      <xdr:row>1</xdr:row>
      <xdr:rowOff>44825</xdr:rowOff>
    </xdr:to>
    <xdr:sp macro="" textlink="Lookups!$B$2">
      <xdr:nvSpPr>
        <xdr:cNvPr id="6" name="TextBox 5">
          <a:extLst>
            <a:ext uri="{FF2B5EF4-FFF2-40B4-BE49-F238E27FC236}">
              <a16:creationId xmlns:a16="http://schemas.microsoft.com/office/drawing/2014/main" id="{C9345747-DC19-4996-861C-36897EBA9014}"/>
            </a:ext>
          </a:extLst>
        </xdr:cNvPr>
        <xdr:cNvSpPr txBox="1"/>
      </xdr:nvSpPr>
      <xdr:spPr>
        <a:xfrm>
          <a:off x="1906680" y="11207"/>
          <a:ext cx="10220325" cy="224118"/>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22411</xdr:colOff>
      <xdr:row>0</xdr:row>
      <xdr:rowOff>22411</xdr:rowOff>
    </xdr:from>
    <xdr:to>
      <xdr:col>12</xdr:col>
      <xdr:colOff>1095375</xdr:colOff>
      <xdr:row>0</xdr:row>
      <xdr:rowOff>440531</xdr:rowOff>
    </xdr:to>
    <xdr:sp macro="" textlink="Lookups!$B$2">
      <xdr:nvSpPr>
        <xdr:cNvPr id="3" name="TextBox 2">
          <a:extLst>
            <a:ext uri="{FF2B5EF4-FFF2-40B4-BE49-F238E27FC236}">
              <a16:creationId xmlns:a16="http://schemas.microsoft.com/office/drawing/2014/main" id="{A27570B8-FFCD-4F84-85A6-C804A943E673}"/>
            </a:ext>
          </a:extLst>
        </xdr:cNvPr>
        <xdr:cNvSpPr txBox="1"/>
      </xdr:nvSpPr>
      <xdr:spPr>
        <a:xfrm>
          <a:off x="8540482" y="22411"/>
          <a:ext cx="6992072" cy="41812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CDCCEFA9-BADF-4C49-9854-82B7219C6F76}" type="TxLink">
            <a:rPr lang="en-US" sz="1000" b="0" i="1" u="none" strike="noStrike">
              <a:solidFill>
                <a:srgbClr val="000000"/>
              </a:solidFill>
              <a:latin typeface="Arial"/>
              <a:cs typeface="Arial"/>
            </a:rPr>
            <a:pPr/>
            <a:t> </a:t>
          </a:fld>
          <a:endParaRPr lang="en-US" sz="1050" i="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1</xdr:row>
      <xdr:rowOff>0</xdr:rowOff>
    </xdr:from>
    <xdr:to>
      <xdr:col>17</xdr:col>
      <xdr:colOff>495300</xdr:colOff>
      <xdr:row>4</xdr:row>
      <xdr:rowOff>66675</xdr:rowOff>
    </xdr:to>
    <xdr:sp macro="" textlink="Lookups!$B$2">
      <xdr:nvSpPr>
        <xdr:cNvPr id="2" name="TextBox 1">
          <a:extLst>
            <a:ext uri="{FF2B5EF4-FFF2-40B4-BE49-F238E27FC236}">
              <a16:creationId xmlns:a16="http://schemas.microsoft.com/office/drawing/2014/main" id="{D0AE3404-67EE-4E8D-9CE4-0C5E5405DD53}"/>
            </a:ext>
          </a:extLst>
        </xdr:cNvPr>
        <xdr:cNvSpPr txBox="1"/>
      </xdr:nvSpPr>
      <xdr:spPr>
        <a:xfrm>
          <a:off x="9496425" y="161925"/>
          <a:ext cx="4152900" cy="5524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fld id="{FBEC6F50-DCDA-483A-9045-2021D1E27924}" type="TxLink">
            <a:rPr lang="en-US" sz="1000" b="0" i="1" u="none" strike="noStrike">
              <a:solidFill>
                <a:srgbClr val="000000"/>
              </a:solidFill>
              <a:latin typeface="Arial"/>
              <a:cs typeface="Arial"/>
            </a:rPr>
            <a:pPr/>
            <a:t> </a:t>
          </a:fld>
          <a:endParaRPr lang="en-US" sz="1050" i="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020%20Core%20Programs\Core%20Filing\BC%20Models\Unitil%20NH%20ADR%202019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osts"/>
      <sheetName val="ADRYr1"/>
      <sheetName val="ADRYr2"/>
      <sheetName val="ADRYr3"/>
      <sheetName val="CalcsYr1"/>
      <sheetName val="CalcsYr2"/>
      <sheetName val="CalcsYr3"/>
      <sheetName val="AESC"/>
      <sheetName val="DemandLookups"/>
      <sheetName val="AvoidedEnergy"/>
      <sheetName val="AvoidedDemand"/>
      <sheetName val="Master Data"/>
      <sheetName val="1. Att E1 Cost Eff"/>
      <sheetName val="2. Att E1 Ben"/>
      <sheetName val="3. Att E1 PI"/>
      <sheetName val="2020 Plan"/>
    </sheetNames>
    <sheetDataSet>
      <sheetData sheetId="0" refreshError="1">
        <row r="28">
          <cell r="G28">
            <v>0.85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B1:P247"/>
  <sheetViews>
    <sheetView showGridLines="0" zoomScale="90" zoomScaleNormal="90" workbookViewId="0">
      <selection activeCell="F9" sqref="F9"/>
    </sheetView>
  </sheetViews>
  <sheetFormatPr defaultColWidth="10" defaultRowHeight="12.75"/>
  <cols>
    <col min="1" max="4" width="2.7109375" style="242" customWidth="1"/>
    <col min="5" max="5" width="43.5703125" style="250" customWidth="1"/>
    <col min="6" max="6" width="20" style="242" customWidth="1"/>
    <col min="7" max="7" width="22.42578125" style="242" customWidth="1"/>
    <col min="8" max="8" width="20.28515625" style="242" customWidth="1"/>
    <col min="9" max="9" width="18" style="242" customWidth="1"/>
    <col min="10" max="11" width="21" style="242" customWidth="1"/>
    <col min="12" max="12" width="32.28515625" style="242" customWidth="1"/>
    <col min="13" max="14" width="2.7109375" style="242" customWidth="1"/>
    <col min="15" max="16" width="17.42578125" style="242" bestFit="1" customWidth="1"/>
    <col min="17" max="17" width="15" style="242" bestFit="1" customWidth="1"/>
    <col min="18" max="18" width="15.42578125" style="242" bestFit="1" customWidth="1"/>
    <col min="19" max="19" width="15.28515625" style="242" bestFit="1" customWidth="1"/>
    <col min="20" max="22" width="17.42578125" style="242" bestFit="1" customWidth="1"/>
    <col min="23" max="16384" width="10" style="242"/>
  </cols>
  <sheetData>
    <row r="1" spans="2:15">
      <c r="E1" s="242"/>
    </row>
    <row r="2" spans="2:15" ht="12.95" customHeight="1">
      <c r="E2" s="242"/>
    </row>
    <row r="3" spans="2:15" ht="12.95" customHeight="1">
      <c r="E3" s="242"/>
    </row>
    <row r="4" spans="2:15">
      <c r="E4" s="242"/>
    </row>
    <row r="5" spans="2:15" ht="26.25">
      <c r="B5" s="264" t="s">
        <v>528</v>
      </c>
    </row>
    <row r="7" spans="2:15" ht="21.75" thickBot="1">
      <c r="B7" s="276" t="s">
        <v>533</v>
      </c>
      <c r="C7" s="277"/>
      <c r="D7" s="277"/>
      <c r="E7" s="278"/>
      <c r="F7" s="278"/>
      <c r="G7" s="278"/>
      <c r="H7" s="278"/>
      <c r="I7" s="278"/>
      <c r="J7" s="278"/>
      <c r="K7" s="278"/>
      <c r="L7" s="278"/>
      <c r="M7" s="278"/>
      <c r="N7" s="278"/>
    </row>
    <row r="8" spans="2:15">
      <c r="C8" s="260"/>
      <c r="D8" s="260"/>
      <c r="E8" s="293" t="s">
        <v>211</v>
      </c>
      <c r="F8" s="294" t="s">
        <v>210</v>
      </c>
    </row>
    <row r="9" spans="2:15">
      <c r="E9" s="293" t="s">
        <v>81</v>
      </c>
      <c r="F9" s="294" t="s">
        <v>368</v>
      </c>
    </row>
    <row r="10" spans="2:15">
      <c r="E10" s="293" t="s">
        <v>216</v>
      </c>
      <c r="F10" s="294" t="s">
        <v>214</v>
      </c>
    </row>
    <row r="11" spans="2:15">
      <c r="E11" s="293" t="s">
        <v>529</v>
      </c>
      <c r="F11" s="295">
        <v>2024</v>
      </c>
    </row>
    <row r="12" spans="2:15">
      <c r="E12" s="293" t="s">
        <v>530</v>
      </c>
      <c r="F12" s="295">
        <v>2025</v>
      </c>
    </row>
    <row r="13" spans="2:15">
      <c r="E13" s="292" t="s">
        <v>531</v>
      </c>
      <c r="F13" s="296">
        <v>2026</v>
      </c>
    </row>
    <row r="16" spans="2:15" ht="21.75" thickBot="1">
      <c r="B16" s="276" t="s">
        <v>536</v>
      </c>
      <c r="C16" s="277"/>
      <c r="D16" s="277"/>
      <c r="E16" s="278"/>
      <c r="F16" s="278"/>
      <c r="G16" s="278"/>
      <c r="H16" s="278"/>
      <c r="I16" s="278"/>
      <c r="J16" s="278"/>
      <c r="K16" s="278"/>
      <c r="L16" s="278"/>
      <c r="M16" s="278"/>
      <c r="N16" s="278"/>
      <c r="O16" s="278"/>
    </row>
    <row r="17" spans="3:14" ht="18.75">
      <c r="C17" s="271" t="s">
        <v>552</v>
      </c>
      <c r="D17" s="271"/>
      <c r="E17" s="272"/>
      <c r="F17" s="272"/>
      <c r="G17" s="273"/>
      <c r="H17" s="274"/>
      <c r="I17" s="274"/>
      <c r="J17" s="274"/>
      <c r="K17" s="274"/>
      <c r="L17" s="274"/>
      <c r="M17" s="274"/>
      <c r="N17" s="274"/>
    </row>
    <row r="18" spans="3:14">
      <c r="E18" s="318" t="s">
        <v>545</v>
      </c>
      <c r="F18" s="319" t="s">
        <v>546</v>
      </c>
      <c r="G18" s="319" t="str">
        <f>Year1&amp;"-"&amp;Year3</f>
        <v>2024-2026</v>
      </c>
      <c r="H18" s="319" t="s">
        <v>557</v>
      </c>
      <c r="I18" s="612"/>
      <c r="J18" s="612"/>
      <c r="K18" s="612"/>
      <c r="L18" s="612"/>
      <c r="M18" s="612"/>
      <c r="N18" s="612"/>
    </row>
    <row r="19" spans="3:14" s="1336" customFormat="1" ht="39.950000000000003" customHeight="1">
      <c r="E19" s="1337" t="s">
        <v>563</v>
      </c>
      <c r="F19" s="1337" t="s">
        <v>74</v>
      </c>
      <c r="G19" s="666">
        <v>2021</v>
      </c>
      <c r="H19" s="1493" t="s">
        <v>958</v>
      </c>
      <c r="I19" s="1493"/>
      <c r="J19" s="1493"/>
      <c r="K19" s="1493"/>
      <c r="L19" s="1493"/>
      <c r="M19" s="1493"/>
      <c r="N19" s="1493"/>
    </row>
    <row r="20" spans="3:14">
      <c r="E20" s="265" t="s">
        <v>556</v>
      </c>
      <c r="F20" s="265" t="s">
        <v>547</v>
      </c>
      <c r="G20" s="677">
        <v>0.5</v>
      </c>
      <c r="H20" s="1231" t="s">
        <v>669</v>
      </c>
      <c r="I20" s="1336"/>
      <c r="J20" s="1336"/>
      <c r="K20" s="1336"/>
      <c r="L20" s="1336"/>
      <c r="M20" s="1336"/>
      <c r="N20" s="1336"/>
    </row>
    <row r="21" spans="3:14">
      <c r="E21" s="243" t="s">
        <v>250</v>
      </c>
      <c r="F21" s="265" t="s">
        <v>547</v>
      </c>
      <c r="G21" s="677">
        <v>0.08</v>
      </c>
      <c r="H21" s="1231" t="s">
        <v>959</v>
      </c>
      <c r="I21" s="1336"/>
      <c r="J21" s="1336"/>
      <c r="K21" s="1336"/>
      <c r="L21" s="1336"/>
      <c r="M21" s="1336"/>
      <c r="N21" s="1336"/>
    </row>
    <row r="22" spans="3:14">
      <c r="E22" s="243" t="s">
        <v>88</v>
      </c>
      <c r="F22" s="265" t="s">
        <v>547</v>
      </c>
      <c r="G22" s="677">
        <v>0</v>
      </c>
      <c r="H22" s="1231" t="s">
        <v>960</v>
      </c>
      <c r="I22" s="1336"/>
      <c r="J22" s="1336"/>
      <c r="K22" s="1336"/>
      <c r="L22" s="1336"/>
      <c r="M22" s="1336"/>
      <c r="N22" s="1336"/>
    </row>
    <row r="23" spans="3:14">
      <c r="E23" s="243" t="s">
        <v>89</v>
      </c>
      <c r="F23" s="265" t="s">
        <v>547</v>
      </c>
      <c r="G23" s="1335">
        <v>0</v>
      </c>
      <c r="H23" s="243" t="s">
        <v>961</v>
      </c>
      <c r="I23" s="243"/>
      <c r="J23" s="243"/>
      <c r="K23" s="266"/>
      <c r="L23" s="266"/>
    </row>
    <row r="24" spans="3:14">
      <c r="E24" s="243" t="s">
        <v>616</v>
      </c>
      <c r="F24" s="265" t="s">
        <v>547</v>
      </c>
      <c r="G24" s="677">
        <v>0</v>
      </c>
      <c r="H24" s="1231" t="s">
        <v>960</v>
      </c>
      <c r="I24" s="243"/>
      <c r="J24" s="243"/>
    </row>
    <row r="25" spans="3:14">
      <c r="E25" s="1231" t="s">
        <v>922</v>
      </c>
      <c r="F25" s="265" t="s">
        <v>547</v>
      </c>
      <c r="G25" s="677">
        <v>0.09</v>
      </c>
      <c r="H25" s="1231" t="s">
        <v>959</v>
      </c>
      <c r="I25" s="243"/>
      <c r="J25" s="243"/>
    </row>
    <row r="26" spans="3:14">
      <c r="E26" s="1231" t="s">
        <v>923</v>
      </c>
      <c r="F26" s="265" t="s">
        <v>547</v>
      </c>
      <c r="G26" s="677">
        <v>0.16</v>
      </c>
      <c r="H26" s="1231" t="s">
        <v>959</v>
      </c>
      <c r="I26" s="243"/>
      <c r="J26" s="243"/>
    </row>
    <row r="27" spans="3:14">
      <c r="E27" s="265" t="s">
        <v>678</v>
      </c>
      <c r="F27" s="265" t="s">
        <v>683</v>
      </c>
      <c r="G27" s="674">
        <v>2000</v>
      </c>
      <c r="H27" s="1231" t="s">
        <v>669</v>
      </c>
      <c r="I27" s="243"/>
      <c r="J27" s="243"/>
    </row>
    <row r="28" spans="3:14">
      <c r="E28" s="265" t="s">
        <v>679</v>
      </c>
      <c r="F28" s="265" t="s">
        <v>681</v>
      </c>
      <c r="G28" s="676">
        <f>0.0034121415</f>
        <v>3.4121415000000002E-3</v>
      </c>
      <c r="H28" s="1231" t="s">
        <v>669</v>
      </c>
      <c r="I28" s="243"/>
      <c r="J28" s="243"/>
    </row>
    <row r="29" spans="3:14">
      <c r="E29" s="265" t="s">
        <v>680</v>
      </c>
      <c r="F29" s="265" t="s">
        <v>682</v>
      </c>
      <c r="G29" s="675">
        <f>1/G28</f>
        <v>293.07108160666843</v>
      </c>
      <c r="H29" s="1231" t="s">
        <v>669</v>
      </c>
      <c r="I29" s="243"/>
      <c r="J29" s="243"/>
    </row>
    <row r="30" spans="3:14">
      <c r="E30" s="244"/>
      <c r="F30" s="244"/>
      <c r="G30" s="244"/>
      <c r="H30" s="243"/>
      <c r="I30" s="243"/>
      <c r="J30" s="243"/>
    </row>
    <row r="31" spans="3:14" ht="18.75">
      <c r="C31" s="271" t="s">
        <v>553</v>
      </c>
      <c r="D31" s="271"/>
      <c r="E31" s="272"/>
      <c r="F31" s="272"/>
      <c r="G31" s="273"/>
      <c r="H31" s="274"/>
      <c r="I31" s="274"/>
      <c r="J31" s="274"/>
      <c r="K31" s="274"/>
      <c r="L31" s="274"/>
      <c r="M31" s="274"/>
      <c r="N31" s="274"/>
    </row>
    <row r="32" spans="3:14">
      <c r="E32" s="318" t="s">
        <v>545</v>
      </c>
      <c r="F32" s="319" t="s">
        <v>546</v>
      </c>
      <c r="G32" s="319">
        <f>Year1</f>
        <v>2024</v>
      </c>
      <c r="H32" s="319">
        <f>Year2</f>
        <v>2025</v>
      </c>
      <c r="I32" s="319">
        <f>Year3</f>
        <v>2026</v>
      </c>
      <c r="J32" s="319" t="s">
        <v>557</v>
      </c>
      <c r="K32" s="612"/>
      <c r="L32" s="612"/>
      <c r="M32" s="612"/>
      <c r="N32" s="612"/>
    </row>
    <row r="33" spans="3:16" ht="42" customHeight="1">
      <c r="E33" s="668" t="s">
        <v>51</v>
      </c>
      <c r="F33" s="669" t="s">
        <v>547</v>
      </c>
      <c r="G33" s="670">
        <v>7.7499999999999999E-2</v>
      </c>
      <c r="H33" s="670">
        <f>nomdiscrt1</f>
        <v>7.7499999999999999E-2</v>
      </c>
      <c r="I33" s="670">
        <f>nomdiscrt2</f>
        <v>7.7499999999999999E-2</v>
      </c>
      <c r="J33" s="1499" t="s">
        <v>962</v>
      </c>
      <c r="K33" s="1499"/>
      <c r="L33" s="1499"/>
      <c r="M33" s="1499"/>
      <c r="N33" s="1499"/>
      <c r="O33" s="1494" t="s">
        <v>994</v>
      </c>
      <c r="P33" s="1494"/>
    </row>
    <row r="34" spans="3:16" ht="25.5" customHeight="1">
      <c r="E34" s="668" t="s">
        <v>57</v>
      </c>
      <c r="F34" s="669" t="s">
        <v>547</v>
      </c>
      <c r="G34" s="670">
        <v>6.3E-2</v>
      </c>
      <c r="H34" s="670">
        <f>Inflation1</f>
        <v>6.3E-2</v>
      </c>
      <c r="I34" s="670">
        <f>Inflation2</f>
        <v>6.3E-2</v>
      </c>
      <c r="J34" s="1498" t="s">
        <v>963</v>
      </c>
      <c r="K34" s="1498"/>
      <c r="L34" s="1498"/>
      <c r="M34" s="1498"/>
      <c r="N34" s="1498"/>
      <c r="O34" s="1494" t="s">
        <v>965</v>
      </c>
      <c r="P34" s="1494"/>
    </row>
    <row r="35" spans="3:16" ht="12.6" customHeight="1">
      <c r="E35" s="668" t="s">
        <v>59</v>
      </c>
      <c r="F35" s="669" t="s">
        <v>547</v>
      </c>
      <c r="G35" s="670">
        <f>(1+nomdiscrt1)/(1+Inflation1)-1</f>
        <v>1.3640639698965229E-2</v>
      </c>
      <c r="H35" s="670">
        <f>(1+nomdiscrt2)/(1+Inflation2)-1</f>
        <v>1.3640639698965229E-2</v>
      </c>
      <c r="I35" s="670">
        <f>(1+nomdiscrt3)/(1+Inflation3)-1</f>
        <v>1.3640639698965229E-2</v>
      </c>
      <c r="J35" s="1498" t="s">
        <v>539</v>
      </c>
      <c r="K35" s="1498"/>
      <c r="L35" s="1498"/>
      <c r="M35" s="1498"/>
      <c r="N35" s="1498"/>
      <c r="O35" s="1231" t="s">
        <v>85</v>
      </c>
      <c r="P35" s="1336"/>
    </row>
    <row r="36" spans="3:16" ht="12.75" customHeight="1">
      <c r="E36" s="669" t="s">
        <v>631</v>
      </c>
      <c r="F36" s="669" t="s">
        <v>548</v>
      </c>
      <c r="G36" s="671">
        <v>84</v>
      </c>
      <c r="H36" s="671">
        <v>84</v>
      </c>
      <c r="I36" s="671">
        <v>84</v>
      </c>
      <c r="J36" s="1498" t="s">
        <v>964</v>
      </c>
      <c r="K36" s="1500"/>
      <c r="L36" s="1500"/>
      <c r="M36" s="1500"/>
      <c r="N36" s="1500"/>
      <c r="O36" s="1231" t="s">
        <v>85</v>
      </c>
      <c r="P36" s="1336"/>
    </row>
    <row r="37" spans="3:16" ht="12.6" customHeight="1">
      <c r="E37" s="669" t="s">
        <v>630</v>
      </c>
      <c r="F37" s="669" t="s">
        <v>555</v>
      </c>
      <c r="G37" s="672">
        <v>2021</v>
      </c>
      <c r="H37" s="668"/>
      <c r="I37" s="668"/>
      <c r="J37" s="1498" t="s">
        <v>964</v>
      </c>
      <c r="K37" s="1500"/>
      <c r="L37" s="1500"/>
      <c r="M37" s="1500"/>
      <c r="N37" s="1500"/>
      <c r="O37" s="1231" t="s">
        <v>85</v>
      </c>
      <c r="P37" s="1336"/>
    </row>
    <row r="38" spans="3:16" ht="26.25" customHeight="1">
      <c r="E38" s="669" t="s">
        <v>711</v>
      </c>
      <c r="F38" s="669" t="s">
        <v>548</v>
      </c>
      <c r="G38" s="671"/>
      <c r="H38" s="671"/>
      <c r="I38" s="671"/>
      <c r="J38" s="1497" t="s">
        <v>674</v>
      </c>
      <c r="K38" s="1497"/>
      <c r="L38" s="1497"/>
      <c r="M38" s="1497"/>
      <c r="N38" s="1497"/>
      <c r="O38" s="1231" t="s">
        <v>85</v>
      </c>
      <c r="P38" s="1336"/>
    </row>
    <row r="39" spans="3:16">
      <c r="E39" s="669" t="s">
        <v>629</v>
      </c>
      <c r="F39" s="669" t="s">
        <v>548</v>
      </c>
      <c r="G39" s="671">
        <v>79.983439534534796</v>
      </c>
      <c r="H39" s="671">
        <f>distributionyear1</f>
        <v>79.983439534534796</v>
      </c>
      <c r="I39" s="671">
        <f>distributionyear1</f>
        <v>79.983439534534796</v>
      </c>
      <c r="J39" s="1497"/>
      <c r="K39" s="1497"/>
      <c r="L39" s="1497"/>
      <c r="M39" s="1497"/>
      <c r="N39" s="1497"/>
      <c r="O39" s="1231" t="s">
        <v>85</v>
      </c>
      <c r="P39" s="1336"/>
    </row>
    <row r="40" spans="3:16">
      <c r="E40" s="669" t="s">
        <v>549</v>
      </c>
      <c r="F40" s="669" t="s">
        <v>555</v>
      </c>
      <c r="G40" s="672">
        <v>2017</v>
      </c>
      <c r="H40" s="668"/>
      <c r="I40" s="668"/>
      <c r="J40" s="1497"/>
      <c r="K40" s="1497"/>
      <c r="L40" s="1497"/>
      <c r="M40" s="1497"/>
      <c r="N40" s="1497"/>
      <c r="O40" s="1231" t="s">
        <v>85</v>
      </c>
      <c r="P40" s="1336"/>
    </row>
    <row r="41" spans="3:16">
      <c r="E41" s="669" t="s">
        <v>239</v>
      </c>
      <c r="F41" s="668" t="s">
        <v>554</v>
      </c>
      <c r="G41" s="673">
        <v>7.9050802139037438E-3</v>
      </c>
      <c r="H41" s="673">
        <f>G41</f>
        <v>7.9050802139037438E-3</v>
      </c>
      <c r="I41" s="673">
        <f>H41</f>
        <v>7.9050802139037438E-3</v>
      </c>
      <c r="J41" s="1498" t="s">
        <v>924</v>
      </c>
      <c r="K41" s="1498"/>
      <c r="L41" s="1498"/>
      <c r="M41" s="1498"/>
      <c r="N41" s="1498"/>
      <c r="O41" s="1231" t="s">
        <v>85</v>
      </c>
      <c r="P41" s="1336"/>
    </row>
    <row r="42" spans="3:16">
      <c r="E42" s="669" t="s">
        <v>240</v>
      </c>
      <c r="F42" s="668" t="s">
        <v>554</v>
      </c>
      <c r="G42" s="673">
        <v>7.9050802139037438E-3</v>
      </c>
      <c r="H42" s="673">
        <f>G42</f>
        <v>7.9050802139037438E-3</v>
      </c>
      <c r="I42" s="673">
        <f>H42</f>
        <v>7.9050802139037438E-3</v>
      </c>
      <c r="J42" s="1498" t="s">
        <v>924</v>
      </c>
      <c r="K42" s="1498"/>
      <c r="L42" s="1498"/>
      <c r="M42" s="1498"/>
      <c r="N42" s="1498"/>
      <c r="O42" s="1231" t="s">
        <v>85</v>
      </c>
      <c r="P42" s="1336"/>
    </row>
    <row r="43" spans="3:16">
      <c r="E43" s="665" t="s">
        <v>549</v>
      </c>
      <c r="F43" s="665" t="s">
        <v>555</v>
      </c>
      <c r="G43" s="666">
        <v>2016</v>
      </c>
      <c r="H43" s="667"/>
      <c r="I43" s="667"/>
      <c r="J43" s="1497"/>
      <c r="K43" s="1497"/>
      <c r="L43" s="1497"/>
      <c r="M43" s="1497"/>
      <c r="N43" s="1497"/>
    </row>
    <row r="44" spans="3:16">
      <c r="E44" s="261"/>
      <c r="F44" s="261"/>
      <c r="J44" s="243"/>
    </row>
    <row r="45" spans="3:16" ht="18.75">
      <c r="C45" s="271" t="s">
        <v>544</v>
      </c>
      <c r="D45" s="271"/>
      <c r="E45" s="272"/>
      <c r="F45" s="272"/>
      <c r="G45" s="273"/>
      <c r="H45" s="274"/>
      <c r="I45" s="274"/>
      <c r="J45" s="274"/>
      <c r="K45" s="274"/>
      <c r="L45" s="274"/>
      <c r="M45" s="274"/>
      <c r="N45" s="274"/>
    </row>
    <row r="46" spans="3:16">
      <c r="E46" s="318" t="s">
        <v>545</v>
      </c>
      <c r="F46" s="319" t="s">
        <v>546</v>
      </c>
      <c r="G46" s="319" t="s">
        <v>550</v>
      </c>
      <c r="H46" s="319" t="s">
        <v>551</v>
      </c>
      <c r="I46" s="319" t="s">
        <v>557</v>
      </c>
      <c r="J46" s="612"/>
      <c r="K46" s="612"/>
      <c r="L46" s="612"/>
      <c r="M46" s="612"/>
      <c r="N46" s="612"/>
    </row>
    <row r="47" spans="3:16" ht="12.6" customHeight="1">
      <c r="E47" s="243" t="s">
        <v>55</v>
      </c>
      <c r="F47" s="265" t="s">
        <v>547</v>
      </c>
      <c r="G47" s="279">
        <f>EnergyLosses</f>
        <v>0.09</v>
      </c>
      <c r="H47" s="279">
        <v>0.25</v>
      </c>
      <c r="I47" s="1495" t="s">
        <v>966</v>
      </c>
      <c r="J47" s="243"/>
    </row>
    <row r="48" spans="3:16" ht="12.6" customHeight="1">
      <c r="E48" s="243" t="s">
        <v>56</v>
      </c>
      <c r="F48" s="265" t="s">
        <v>547</v>
      </c>
      <c r="G48" s="279">
        <f>EnergyLosses</f>
        <v>0.09</v>
      </c>
      <c r="H48" s="279">
        <v>0.25</v>
      </c>
      <c r="I48" s="1496"/>
      <c r="J48" s="243"/>
    </row>
    <row r="49" spans="3:14" ht="12.6" customHeight="1">
      <c r="E49" s="243" t="s">
        <v>53</v>
      </c>
      <c r="F49" s="265" t="s">
        <v>547</v>
      </c>
      <c r="G49" s="279">
        <f>EnergyLosses</f>
        <v>0.09</v>
      </c>
      <c r="H49" s="279">
        <v>0.25</v>
      </c>
      <c r="I49" s="1496"/>
      <c r="J49" s="243"/>
    </row>
    <row r="50" spans="3:14" ht="12.6" customHeight="1">
      <c r="E50" s="243" t="s">
        <v>54</v>
      </c>
      <c r="F50" s="265" t="s">
        <v>547</v>
      </c>
      <c r="G50" s="279">
        <f>EnergyLosses</f>
        <v>0.09</v>
      </c>
      <c r="H50" s="279">
        <v>0.25</v>
      </c>
      <c r="I50" s="1496"/>
      <c r="J50" s="243"/>
    </row>
    <row r="51" spans="3:14">
      <c r="E51" s="243" t="s">
        <v>508</v>
      </c>
      <c r="F51" s="265" t="s">
        <v>547</v>
      </c>
      <c r="G51" s="320">
        <f>SUMPRODUCT(G47:G50,H47:H50)</f>
        <v>0.09</v>
      </c>
      <c r="I51" s="266"/>
      <c r="J51" s="265"/>
    </row>
    <row r="52" spans="3:14">
      <c r="E52" s="261"/>
      <c r="F52" s="261"/>
      <c r="J52" s="243"/>
    </row>
    <row r="53" spans="3:14" ht="18.75">
      <c r="C53" s="271" t="s">
        <v>558</v>
      </c>
      <c r="D53" s="271"/>
      <c r="E53" s="272"/>
      <c r="F53" s="272"/>
      <c r="G53" s="273"/>
      <c r="H53" s="274"/>
      <c r="I53" s="274"/>
      <c r="J53" s="274"/>
      <c r="K53" s="274"/>
      <c r="L53" s="274"/>
      <c r="M53" s="274"/>
      <c r="N53" s="274"/>
    </row>
    <row r="54" spans="3:14">
      <c r="E54" s="318" t="s">
        <v>545</v>
      </c>
      <c r="F54" s="319" t="s">
        <v>546</v>
      </c>
      <c r="G54" s="319" t="s">
        <v>560</v>
      </c>
      <c r="H54" s="319" t="s">
        <v>557</v>
      </c>
      <c r="I54" s="612"/>
      <c r="J54" s="612"/>
      <c r="K54" s="612"/>
      <c r="L54" s="612"/>
      <c r="M54" s="612"/>
      <c r="N54" s="612"/>
    </row>
    <row r="55" spans="3:14">
      <c r="E55" s="243" t="s">
        <v>61</v>
      </c>
      <c r="F55" s="243" t="s">
        <v>559</v>
      </c>
      <c r="G55" s="279" t="s">
        <v>388</v>
      </c>
      <c r="J55" s="243"/>
    </row>
    <row r="56" spans="3:14">
      <c r="E56" s="243" t="s">
        <v>116</v>
      </c>
      <c r="F56" s="243" t="s">
        <v>559</v>
      </c>
      <c r="G56" s="279" t="s">
        <v>388</v>
      </c>
      <c r="J56" s="243"/>
    </row>
    <row r="57" spans="3:14">
      <c r="E57" s="243" t="s">
        <v>60</v>
      </c>
      <c r="F57" s="243" t="s">
        <v>559</v>
      </c>
      <c r="G57" s="279" t="s">
        <v>388</v>
      </c>
      <c r="J57" s="243"/>
    </row>
    <row r="58" spans="3:14">
      <c r="E58" s="265" t="s">
        <v>592</v>
      </c>
      <c r="F58" s="243" t="s">
        <v>559</v>
      </c>
      <c r="G58" s="279" t="s">
        <v>273</v>
      </c>
      <c r="J58" s="243"/>
    </row>
    <row r="59" spans="3:14">
      <c r="E59" s="243" t="s">
        <v>86</v>
      </c>
      <c r="F59" s="243" t="s">
        <v>559</v>
      </c>
      <c r="G59" s="279" t="s">
        <v>388</v>
      </c>
      <c r="J59" s="243"/>
    </row>
    <row r="60" spans="3:14">
      <c r="E60" s="243" t="s">
        <v>112</v>
      </c>
      <c r="F60" s="243" t="s">
        <v>559</v>
      </c>
      <c r="G60" s="279" t="s">
        <v>388</v>
      </c>
      <c r="J60" s="243"/>
    </row>
    <row r="61" spans="3:14">
      <c r="E61" s="265" t="s">
        <v>603</v>
      </c>
      <c r="F61" s="243" t="s">
        <v>559</v>
      </c>
      <c r="G61" s="279" t="s">
        <v>388</v>
      </c>
      <c r="J61" s="243"/>
    </row>
    <row r="62" spans="3:14">
      <c r="E62" s="243" t="s">
        <v>516</v>
      </c>
      <c r="F62" s="243" t="s">
        <v>559</v>
      </c>
      <c r="G62" s="279" t="s">
        <v>273</v>
      </c>
      <c r="J62" s="243"/>
    </row>
    <row r="63" spans="3:14">
      <c r="E63" s="243" t="s">
        <v>526</v>
      </c>
      <c r="F63" s="243" t="s">
        <v>559</v>
      </c>
      <c r="G63" s="279" t="s">
        <v>388</v>
      </c>
      <c r="J63" s="243"/>
    </row>
    <row r="64" spans="3:14">
      <c r="E64" s="265" t="s">
        <v>62</v>
      </c>
      <c r="F64" s="243" t="s">
        <v>559</v>
      </c>
      <c r="G64" s="279" t="s">
        <v>388</v>
      </c>
      <c r="J64" s="243"/>
    </row>
    <row r="65" spans="2:15">
      <c r="E65" s="243" t="s">
        <v>427</v>
      </c>
      <c r="F65" s="243" t="s">
        <v>559</v>
      </c>
      <c r="G65" s="279" t="s">
        <v>273</v>
      </c>
      <c r="J65" s="243"/>
    </row>
    <row r="66" spans="2:15">
      <c r="E66" s="261"/>
      <c r="F66" s="261"/>
      <c r="J66" s="243"/>
    </row>
    <row r="67" spans="2:15">
      <c r="E67" s="261"/>
      <c r="F67" s="261"/>
      <c r="J67" s="243"/>
    </row>
    <row r="68" spans="2:15" ht="21.75" thickBot="1">
      <c r="B68" s="276" t="s">
        <v>537</v>
      </c>
      <c r="C68" s="277"/>
      <c r="D68" s="277"/>
      <c r="E68" s="278"/>
      <c r="F68" s="278"/>
      <c r="G68" s="278"/>
      <c r="H68" s="278"/>
      <c r="I68" s="278"/>
      <c r="J68" s="278"/>
      <c r="K68" s="278"/>
      <c r="L68" s="278"/>
      <c r="M68" s="278"/>
      <c r="N68" s="278"/>
      <c r="O68" s="278"/>
    </row>
    <row r="69" spans="2:15">
      <c r="E69" s="318" t="s">
        <v>538</v>
      </c>
      <c r="F69" s="319" t="s">
        <v>546</v>
      </c>
      <c r="G69" s="319" t="s">
        <v>561</v>
      </c>
      <c r="H69" s="319" t="s">
        <v>557</v>
      </c>
      <c r="I69" s="612"/>
      <c r="J69" s="612"/>
      <c r="K69" s="612"/>
      <c r="L69" s="612"/>
      <c r="M69" s="612"/>
      <c r="N69" s="612"/>
      <c r="O69" s="612"/>
    </row>
    <row r="70" spans="2:15">
      <c r="E70" s="268" t="str">
        <f>E139</f>
        <v>A - Residential</v>
      </c>
      <c r="F70" s="265" t="s">
        <v>547</v>
      </c>
      <c r="G70" s="267">
        <v>0.25</v>
      </c>
      <c r="H70" s="1231" t="s">
        <v>967</v>
      </c>
      <c r="J70" s="243"/>
    </row>
    <row r="71" spans="2:15">
      <c r="E71" s="268" t="str">
        <f>E141</f>
        <v>C - Commercial &amp; Industrial</v>
      </c>
      <c r="F71" s="265" t="s">
        <v>547</v>
      </c>
      <c r="G71" s="267">
        <v>0.1</v>
      </c>
      <c r="H71" s="1231" t="s">
        <v>967</v>
      </c>
    </row>
    <row r="72" spans="2:15">
      <c r="E72" s="268" t="str">
        <f>E140</f>
        <v>B - Low-Income</v>
      </c>
      <c r="F72" s="1336" t="s">
        <v>971</v>
      </c>
      <c r="G72" s="1338">
        <v>405.71</v>
      </c>
      <c r="H72" s="1231" t="s">
        <v>968</v>
      </c>
      <c r="J72" s="243"/>
    </row>
    <row r="73" spans="2:15">
      <c r="E73" s="268" t="s">
        <v>970</v>
      </c>
      <c r="F73" s="1336" t="s">
        <v>555</v>
      </c>
      <c r="G73" s="666">
        <v>2017</v>
      </c>
      <c r="H73" s="1231" t="s">
        <v>969</v>
      </c>
      <c r="J73" s="243"/>
    </row>
    <row r="74" spans="2:15">
      <c r="E74" s="252"/>
      <c r="F74" s="252"/>
    </row>
    <row r="75" spans="2:15" ht="21.75" thickBot="1">
      <c r="B75" s="276" t="s">
        <v>643</v>
      </c>
      <c r="C75" s="277"/>
      <c r="D75" s="277"/>
      <c r="E75" s="278"/>
      <c r="F75" s="278"/>
      <c r="G75" s="278"/>
      <c r="H75" s="278"/>
      <c r="I75" s="278"/>
      <c r="J75" s="278"/>
      <c r="K75" s="278"/>
      <c r="L75" s="278"/>
      <c r="M75" s="278"/>
      <c r="N75" s="278"/>
      <c r="O75" s="278"/>
    </row>
    <row r="76" spans="2:15" ht="18.75">
      <c r="C76" s="271" t="s">
        <v>644</v>
      </c>
      <c r="D76" s="271"/>
      <c r="E76" s="272"/>
      <c r="F76" s="272"/>
      <c r="G76" s="273"/>
      <c r="H76" s="274"/>
      <c r="I76" s="274"/>
      <c r="J76" s="274"/>
      <c r="K76" s="274"/>
      <c r="L76" s="274"/>
      <c r="M76" s="274"/>
      <c r="N76" s="274"/>
    </row>
    <row r="77" spans="2:15">
      <c r="E77" s="243" t="s">
        <v>562</v>
      </c>
      <c r="F77" s="243" t="s">
        <v>547</v>
      </c>
      <c r="G77" s="279">
        <v>0.1</v>
      </c>
      <c r="J77" s="243"/>
    </row>
    <row r="78" spans="2:15">
      <c r="E78" s="252"/>
      <c r="F78" s="252"/>
    </row>
    <row r="79" spans="2:15" ht="19.5" thickBot="1">
      <c r="C79" s="271" t="s">
        <v>510</v>
      </c>
      <c r="D79" s="271"/>
      <c r="E79" s="272"/>
      <c r="F79" s="272"/>
      <c r="G79" s="273"/>
      <c r="H79" s="274"/>
      <c r="I79" s="274"/>
      <c r="J79" s="274"/>
      <c r="K79" s="274"/>
      <c r="L79" s="274"/>
      <c r="M79" s="274"/>
      <c r="N79" s="274"/>
    </row>
    <row r="80" spans="2:15" ht="13.5" thickBot="1">
      <c r="E80" s="253"/>
      <c r="F80" s="611" t="s">
        <v>509</v>
      </c>
      <c r="G80" s="611" t="s">
        <v>645</v>
      </c>
      <c r="H80" s="611" t="s">
        <v>646</v>
      </c>
      <c r="I80" s="611" t="s">
        <v>647</v>
      </c>
      <c r="J80" s="611" t="s">
        <v>675</v>
      </c>
      <c r="K80" s="611" t="s">
        <v>676</v>
      </c>
      <c r="L80" s="254" t="s">
        <v>677</v>
      </c>
    </row>
    <row r="81" spans="2:15" ht="13.5" thickTop="1">
      <c r="E81" s="251" t="s">
        <v>511</v>
      </c>
      <c r="F81" s="1339">
        <v>116.65</v>
      </c>
      <c r="G81" s="269">
        <v>9.1350000000000001E-2</v>
      </c>
      <c r="H81" s="269">
        <v>100</v>
      </c>
      <c r="I81" s="269">
        <v>11954.587007460295</v>
      </c>
      <c r="J81" s="255">
        <v>5.83</v>
      </c>
      <c r="K81" s="255">
        <v>0.546025761565749</v>
      </c>
      <c r="L81" s="256">
        <f>J81+K81</f>
        <v>6.3760257615657494</v>
      </c>
    </row>
    <row r="82" spans="2:15">
      <c r="E82" s="251" t="s">
        <v>512</v>
      </c>
      <c r="F82" s="1339">
        <v>163.44999999999999</v>
      </c>
      <c r="G82" s="269">
        <v>0.12978999999999999</v>
      </c>
      <c r="H82" s="269">
        <v>100</v>
      </c>
      <c r="I82" s="269">
        <f>I81</f>
        <v>11954.587007460295</v>
      </c>
      <c r="J82" s="255">
        <v>8.0649999999999995</v>
      </c>
      <c r="K82" s="255">
        <v>0.77579292384913578</v>
      </c>
      <c r="L82" s="256">
        <f>J82+K82</f>
        <v>8.8407929238491345</v>
      </c>
    </row>
    <row r="83" spans="2:15">
      <c r="E83" s="251" t="s">
        <v>513</v>
      </c>
      <c r="F83" s="1339">
        <v>138.63</v>
      </c>
      <c r="G83" s="269">
        <v>0.14233999999999999</v>
      </c>
      <c r="H83" s="269">
        <v>100</v>
      </c>
      <c r="I83" s="269">
        <f>I82</f>
        <v>11954.587007460295</v>
      </c>
      <c r="J83" s="255">
        <v>6.8449999999999998</v>
      </c>
      <c r="K83" s="255">
        <v>0.85080795732094916</v>
      </c>
      <c r="L83" s="256">
        <f>J83+K83</f>
        <v>7.695807957320949</v>
      </c>
    </row>
    <row r="84" spans="2:15" ht="13.5" thickBot="1">
      <c r="E84" s="257" t="s">
        <v>514</v>
      </c>
      <c r="F84" s="1340">
        <v>161.35</v>
      </c>
      <c r="G84" s="270">
        <f>G82</f>
        <v>0.12978999999999999</v>
      </c>
      <c r="H84" s="270">
        <v>100</v>
      </c>
      <c r="I84" s="270">
        <f>I83</f>
        <v>11954.587007460295</v>
      </c>
      <c r="J84" s="258">
        <v>7.9700000000000006</v>
      </c>
      <c r="K84" s="258">
        <v>0.77579292384913578</v>
      </c>
      <c r="L84" s="259">
        <f>J84+K84</f>
        <v>8.7457929238491356</v>
      </c>
    </row>
    <row r="85" spans="2:15">
      <c r="C85" s="280"/>
      <c r="D85" s="282" t="s">
        <v>557</v>
      </c>
      <c r="E85" s="283"/>
      <c r="F85" s="283"/>
      <c r="G85" s="284"/>
      <c r="H85" s="284"/>
      <c r="I85" s="284"/>
      <c r="J85" s="284"/>
      <c r="K85" s="284"/>
      <c r="L85" s="284"/>
      <c r="M85" s="284"/>
    </row>
    <row r="86" spans="2:15">
      <c r="E86" s="1231" t="s">
        <v>972</v>
      </c>
    </row>
    <row r="87" spans="2:15">
      <c r="E87" s="266" t="s">
        <v>649</v>
      </c>
    </row>
    <row r="88" spans="2:15">
      <c r="E88" s="266" t="s">
        <v>650</v>
      </c>
    </row>
    <row r="89" spans="2:15">
      <c r="E89" s="266" t="s">
        <v>651</v>
      </c>
    </row>
    <row r="92" spans="2:15" ht="21.75" thickBot="1">
      <c r="B92" s="276" t="s">
        <v>535</v>
      </c>
      <c r="C92" s="277"/>
      <c r="D92" s="277"/>
      <c r="E92" s="278"/>
      <c r="F92" s="278"/>
      <c r="G92" s="278"/>
      <c r="H92" s="278"/>
      <c r="I92" s="278"/>
      <c r="J92" s="278"/>
      <c r="K92" s="278"/>
      <c r="L92" s="278"/>
      <c r="M92" s="278"/>
      <c r="N92" s="278"/>
      <c r="O92" s="278"/>
    </row>
    <row r="93" spans="2:15">
      <c r="C93" s="280"/>
      <c r="D93" s="1341" t="s">
        <v>973</v>
      </c>
      <c r="E93" s="283"/>
      <c r="F93" s="283"/>
      <c r="G93" s="284"/>
      <c r="H93" s="284"/>
      <c r="I93" s="284"/>
      <c r="J93" s="284"/>
      <c r="K93" s="284"/>
      <c r="L93" s="284"/>
      <c r="M93" s="284"/>
    </row>
    <row r="94" spans="2:15">
      <c r="E94" s="289" t="s">
        <v>365</v>
      </c>
      <c r="F94" s="317"/>
      <c r="G94" s="1168"/>
    </row>
    <row r="95" spans="2:15">
      <c r="E95" s="290" t="s">
        <v>368</v>
      </c>
      <c r="F95" s="243"/>
      <c r="G95" s="1169"/>
    </row>
    <row r="96" spans="2:15">
      <c r="E96" s="290" t="s">
        <v>369</v>
      </c>
      <c r="F96" s="243"/>
      <c r="G96" s="1169"/>
    </row>
    <row r="97" spans="2:14">
      <c r="E97" s="290" t="s">
        <v>370</v>
      </c>
      <c r="F97" s="243"/>
      <c r="G97" s="1169"/>
    </row>
    <row r="98" spans="2:14">
      <c r="E98" s="291" t="s">
        <v>534</v>
      </c>
      <c r="F98" s="265"/>
      <c r="G98" s="1170">
        <f>SUM(G94:G97)</f>
        <v>0</v>
      </c>
    </row>
    <row r="99" spans="2:14">
      <c r="E99" s="292" t="s">
        <v>364</v>
      </c>
      <c r="F99" s="316"/>
      <c r="G99" s="1171">
        <f>IF(PA="Eversource Energy",G94,IF(PA="Unitil Energy Systems Inc",G95,IF(PA="Liberty",G96,IF(PA="New Hampshire Electric Cooperative Inc",G97,0))))</f>
        <v>0</v>
      </c>
      <c r="H99" s="1231" t="s">
        <v>974</v>
      </c>
    </row>
    <row r="102" spans="2:14" ht="21.75" thickBot="1">
      <c r="B102" s="276" t="s">
        <v>532</v>
      </c>
      <c r="C102" s="277"/>
      <c r="D102" s="277"/>
      <c r="E102" s="278"/>
      <c r="F102" s="278"/>
      <c r="G102" s="278"/>
      <c r="H102" s="278"/>
      <c r="I102" s="278"/>
      <c r="J102" s="278"/>
      <c r="K102" s="278"/>
      <c r="L102" s="278"/>
      <c r="M102" s="278"/>
      <c r="N102" s="278"/>
    </row>
    <row r="103" spans="2:14" ht="18.75">
      <c r="C103" s="271" t="s">
        <v>160</v>
      </c>
      <c r="D103" s="271"/>
      <c r="E103" s="272"/>
      <c r="F103" s="273"/>
      <c r="G103" s="274"/>
      <c r="H103" s="274"/>
      <c r="I103" s="274"/>
      <c r="J103" s="274"/>
      <c r="K103" s="274"/>
      <c r="L103" s="274"/>
      <c r="M103" s="274"/>
    </row>
    <row r="104" spans="2:14">
      <c r="C104" s="280"/>
      <c r="D104" s="282" t="s">
        <v>161</v>
      </c>
      <c r="E104" s="283"/>
      <c r="F104" s="284"/>
      <c r="G104" s="284"/>
      <c r="H104" s="284"/>
      <c r="I104" s="284"/>
      <c r="J104" s="284"/>
      <c r="K104" s="284"/>
      <c r="L104" s="284"/>
    </row>
    <row r="105" spans="2:14">
      <c r="E105" s="286" t="s">
        <v>113</v>
      </c>
      <c r="J105" s="243"/>
      <c r="K105" s="243"/>
    </row>
    <row r="106" spans="2:14">
      <c r="E106" s="221" t="s">
        <v>30</v>
      </c>
      <c r="J106" s="243"/>
      <c r="K106" s="243"/>
    </row>
    <row r="107" spans="2:14">
      <c r="E107" s="221" t="s">
        <v>371</v>
      </c>
      <c r="J107" s="243"/>
      <c r="K107" s="243"/>
    </row>
    <row r="108" spans="2:14">
      <c r="E108" s="221" t="s">
        <v>372</v>
      </c>
      <c r="J108" s="243"/>
      <c r="K108" s="243"/>
    </row>
    <row r="109" spans="2:14">
      <c r="E109" s="221" t="s">
        <v>373</v>
      </c>
      <c r="J109" s="243"/>
      <c r="K109" s="243"/>
    </row>
    <row r="110" spans="2:14">
      <c r="E110" s="221" t="s">
        <v>32</v>
      </c>
      <c r="J110" s="243"/>
      <c r="K110" s="243"/>
    </row>
    <row r="111" spans="2:14">
      <c r="E111" s="221" t="s">
        <v>46</v>
      </c>
      <c r="J111" s="243"/>
      <c r="K111" s="243"/>
    </row>
    <row r="112" spans="2:14">
      <c r="E112" s="221" t="s">
        <v>27</v>
      </c>
      <c r="J112" s="243"/>
      <c r="K112" s="243"/>
    </row>
    <row r="113" spans="3:13">
      <c r="E113" s="221" t="s">
        <v>374</v>
      </c>
      <c r="J113" s="243"/>
      <c r="K113" s="243"/>
    </row>
    <row r="114" spans="3:13">
      <c r="E114" s="607" t="s">
        <v>641</v>
      </c>
      <c r="J114" s="243"/>
      <c r="K114" s="243"/>
    </row>
    <row r="115" spans="3:13">
      <c r="E115" s="221" t="s">
        <v>63</v>
      </c>
      <c r="J115" s="243"/>
      <c r="K115" s="243"/>
    </row>
    <row r="116" spans="3:13">
      <c r="E116" s="221" t="s">
        <v>28</v>
      </c>
      <c r="J116" s="243"/>
      <c r="K116" s="243"/>
    </row>
    <row r="117" spans="3:13">
      <c r="E117" s="221" t="s">
        <v>111</v>
      </c>
      <c r="J117" s="243"/>
      <c r="K117" s="243"/>
    </row>
    <row r="118" spans="3:13">
      <c r="E118" s="221" t="s">
        <v>375</v>
      </c>
      <c r="J118" s="243"/>
      <c r="K118" s="243"/>
    </row>
    <row r="119" spans="3:13">
      <c r="E119" s="221" t="s">
        <v>47</v>
      </c>
      <c r="J119" s="243"/>
      <c r="K119" s="243"/>
    </row>
    <row r="120" spans="3:13">
      <c r="E120" s="287" t="s">
        <v>48</v>
      </c>
      <c r="J120" s="243"/>
      <c r="K120" s="243"/>
    </row>
    <row r="121" spans="3:13">
      <c r="K121" s="243"/>
      <c r="L121" s="243"/>
    </row>
    <row r="122" spans="3:13" ht="18.75">
      <c r="C122" s="271" t="s">
        <v>8</v>
      </c>
      <c r="D122" s="271"/>
      <c r="E122" s="272"/>
      <c r="F122" s="273"/>
      <c r="G122" s="274"/>
      <c r="H122" s="274"/>
      <c r="I122" s="274"/>
      <c r="J122" s="274"/>
      <c r="K122" s="273"/>
      <c r="L122" s="273"/>
      <c r="M122" s="273"/>
    </row>
    <row r="123" spans="3:13">
      <c r="E123" s="286" t="s">
        <v>227</v>
      </c>
      <c r="J123" s="243"/>
      <c r="K123" s="243"/>
    </row>
    <row r="124" spans="3:13">
      <c r="E124" s="221" t="s">
        <v>230</v>
      </c>
    </row>
    <row r="125" spans="3:13">
      <c r="E125" s="221" t="s">
        <v>231</v>
      </c>
    </row>
    <row r="126" spans="3:13">
      <c r="E126" s="221" t="s">
        <v>139</v>
      </c>
    </row>
    <row r="127" spans="3:13">
      <c r="E127" s="221" t="s">
        <v>229</v>
      </c>
    </row>
    <row r="128" spans="3:13">
      <c r="E128" s="221" t="s">
        <v>34</v>
      </c>
    </row>
    <row r="129" spans="3:13">
      <c r="E129" s="221" t="s">
        <v>138</v>
      </c>
      <c r="F129" s="243"/>
      <c r="G129" s="243"/>
    </row>
    <row r="130" spans="3:13">
      <c r="E130" s="221" t="s">
        <v>137</v>
      </c>
      <c r="F130" s="243"/>
      <c r="G130" s="243"/>
    </row>
    <row r="131" spans="3:13">
      <c r="E131" s="221" t="s">
        <v>31</v>
      </c>
      <c r="F131" s="261"/>
      <c r="G131" s="243"/>
    </row>
    <row r="132" spans="3:13">
      <c r="E132" s="221" t="s">
        <v>33</v>
      </c>
      <c r="F132" s="261"/>
      <c r="G132" s="243"/>
    </row>
    <row r="133" spans="3:13">
      <c r="E133" s="221" t="s">
        <v>166</v>
      </c>
      <c r="F133" s="243"/>
      <c r="G133" s="243"/>
    </row>
    <row r="134" spans="3:13">
      <c r="E134" s="221" t="s">
        <v>140</v>
      </c>
      <c r="F134" s="243"/>
      <c r="G134" s="243"/>
    </row>
    <row r="135" spans="3:13">
      <c r="E135" s="221" t="s">
        <v>228</v>
      </c>
    </row>
    <row r="136" spans="3:13">
      <c r="E136" s="287" t="s">
        <v>366</v>
      </c>
    </row>
    <row r="138" spans="3:13" ht="18.75">
      <c r="C138" s="271" t="s">
        <v>52</v>
      </c>
      <c r="D138" s="271"/>
      <c r="E138" s="272"/>
      <c r="F138" s="273"/>
      <c r="G138" s="274"/>
      <c r="H138" s="274"/>
      <c r="I138" s="274"/>
      <c r="J138" s="274"/>
      <c r="K138" s="274"/>
      <c r="L138" s="274"/>
      <c r="M138" s="274"/>
    </row>
    <row r="139" spans="3:13">
      <c r="E139" s="1190" t="s">
        <v>899</v>
      </c>
    </row>
    <row r="140" spans="3:13">
      <c r="E140" s="607" t="s">
        <v>900</v>
      </c>
    </row>
    <row r="141" spans="3:13">
      <c r="E141" s="1191" t="s">
        <v>901</v>
      </c>
    </row>
    <row r="143" spans="3:13" ht="18.75">
      <c r="C143" s="271" t="s">
        <v>279</v>
      </c>
      <c r="D143" s="271"/>
      <c r="E143" s="272"/>
      <c r="F143" s="275"/>
      <c r="G143" s="274"/>
      <c r="H143" s="274"/>
      <c r="I143" s="274"/>
      <c r="J143" s="274"/>
      <c r="K143" s="274"/>
      <c r="L143" s="274"/>
      <c r="M143" s="274"/>
    </row>
    <row r="144" spans="3:13">
      <c r="C144" s="280"/>
      <c r="D144" s="282" t="s">
        <v>278</v>
      </c>
      <c r="E144" s="283"/>
      <c r="F144" s="284"/>
      <c r="G144" s="284"/>
      <c r="H144" s="284"/>
      <c r="I144" s="284"/>
      <c r="J144" s="284"/>
      <c r="K144" s="284"/>
      <c r="L144" s="284"/>
    </row>
    <row r="145" spans="3:12">
      <c r="D145" s="243"/>
      <c r="E145" s="286" t="s">
        <v>268</v>
      </c>
      <c r="F145" s="243"/>
    </row>
    <row r="146" spans="3:12">
      <c r="D146" s="243"/>
      <c r="E146" s="221"/>
      <c r="F146" s="243"/>
    </row>
    <row r="147" spans="3:12">
      <c r="C147" s="280"/>
      <c r="D147" s="282" t="s">
        <v>64</v>
      </c>
      <c r="E147" s="283"/>
      <c r="F147" s="283"/>
      <c r="G147" s="284"/>
      <c r="H147" s="284"/>
      <c r="I147" s="284"/>
      <c r="J147" s="284"/>
      <c r="K147" s="284"/>
      <c r="L147" s="284"/>
    </row>
    <row r="148" spans="3:12">
      <c r="D148" s="243"/>
      <c r="E148" s="221" t="s">
        <v>231</v>
      </c>
      <c r="F148" s="243"/>
    </row>
    <row r="149" spans="3:12">
      <c r="D149" s="243"/>
      <c r="E149" s="221" t="s">
        <v>405</v>
      </c>
      <c r="F149" s="243"/>
    </row>
    <row r="150" spans="3:12">
      <c r="D150" s="243"/>
      <c r="E150" s="288" t="s">
        <v>406</v>
      </c>
      <c r="F150" s="243"/>
    </row>
    <row r="151" spans="3:12">
      <c r="D151" s="243"/>
      <c r="E151" s="288" t="s">
        <v>359</v>
      </c>
      <c r="F151" s="243"/>
    </row>
    <row r="152" spans="3:12">
      <c r="D152" s="243"/>
      <c r="E152" s="221" t="s">
        <v>387</v>
      </c>
      <c r="F152" s="243"/>
    </row>
    <row r="153" spans="3:12">
      <c r="D153" s="243"/>
      <c r="E153" s="221" t="s">
        <v>435</v>
      </c>
      <c r="F153" s="243"/>
    </row>
    <row r="154" spans="3:12">
      <c r="D154" s="243"/>
      <c r="E154" s="221" t="s">
        <v>407</v>
      </c>
      <c r="F154" s="243"/>
    </row>
    <row r="155" spans="3:12">
      <c r="D155" s="243"/>
      <c r="E155" s="221" t="s">
        <v>341</v>
      </c>
      <c r="F155" s="243"/>
    </row>
    <row r="156" spans="3:12">
      <c r="D156" s="243"/>
      <c r="E156" s="607" t="s">
        <v>902</v>
      </c>
      <c r="F156" s="243"/>
    </row>
    <row r="157" spans="3:12">
      <c r="D157" s="243"/>
      <c r="E157" s="221" t="s">
        <v>408</v>
      </c>
      <c r="F157" s="243"/>
    </row>
    <row r="158" spans="3:12">
      <c r="D158" s="243"/>
      <c r="E158" s="221" t="s">
        <v>409</v>
      </c>
      <c r="F158" s="243"/>
    </row>
    <row r="159" spans="3:12">
      <c r="D159" s="243"/>
      <c r="E159" s="221" t="s">
        <v>410</v>
      </c>
      <c r="F159" s="243"/>
    </row>
    <row r="160" spans="3:12">
      <c r="D160" s="243"/>
      <c r="E160" s="221"/>
      <c r="F160" s="243"/>
    </row>
    <row r="161" spans="3:13">
      <c r="C161" s="280"/>
      <c r="D161" s="282" t="s">
        <v>269</v>
      </c>
      <c r="E161" s="283"/>
      <c r="F161" s="283"/>
      <c r="G161" s="284"/>
      <c r="H161" s="284"/>
      <c r="I161" s="284"/>
      <c r="J161" s="284"/>
      <c r="K161" s="284"/>
      <c r="L161" s="284"/>
    </row>
    <row r="162" spans="3:13">
      <c r="D162" s="243"/>
      <c r="E162" s="221" t="s">
        <v>270</v>
      </c>
      <c r="F162" s="243"/>
    </row>
    <row r="163" spans="3:13">
      <c r="D163" s="243"/>
      <c r="E163" s="221" t="s">
        <v>271</v>
      </c>
      <c r="F163" s="243"/>
    </row>
    <row r="164" spans="3:13">
      <c r="D164" s="243"/>
      <c r="E164" s="221" t="s">
        <v>399</v>
      </c>
      <c r="F164" s="243"/>
    </row>
    <row r="165" spans="3:13">
      <c r="D165" s="243"/>
      <c r="E165" s="221" t="s">
        <v>396</v>
      </c>
      <c r="F165" s="243"/>
    </row>
    <row r="166" spans="3:13">
      <c r="D166" s="243"/>
      <c r="E166" s="221" t="s">
        <v>397</v>
      </c>
      <c r="F166" s="243"/>
    </row>
    <row r="167" spans="3:13">
      <c r="D167" s="243"/>
      <c r="E167" s="221" t="s">
        <v>400</v>
      </c>
      <c r="F167" s="243"/>
    </row>
    <row r="168" spans="3:13">
      <c r="D168" s="243"/>
      <c r="E168" s="221" t="s">
        <v>434</v>
      </c>
      <c r="F168" s="243"/>
    </row>
    <row r="169" spans="3:13">
      <c r="D169" s="243"/>
      <c r="E169" s="221" t="s">
        <v>359</v>
      </c>
      <c r="F169" s="243"/>
    </row>
    <row r="170" spans="3:13">
      <c r="D170" s="243"/>
      <c r="E170" s="221" t="s">
        <v>412</v>
      </c>
      <c r="F170" s="243"/>
    </row>
    <row r="171" spans="3:13">
      <c r="D171" s="243"/>
      <c r="E171" s="607" t="s">
        <v>903</v>
      </c>
      <c r="F171" s="243"/>
    </row>
    <row r="172" spans="3:13">
      <c r="D172" s="243"/>
      <c r="E172" s="221" t="s">
        <v>413</v>
      </c>
      <c r="F172" s="243"/>
    </row>
    <row r="173" spans="3:13">
      <c r="D173" s="243"/>
      <c r="E173" s="221" t="s">
        <v>414</v>
      </c>
      <c r="F173" s="243"/>
    </row>
    <row r="174" spans="3:13">
      <c r="D174" s="243"/>
      <c r="E174" s="287" t="s">
        <v>415</v>
      </c>
      <c r="F174" s="243"/>
    </row>
    <row r="175" spans="3:13">
      <c r="E175" s="241"/>
      <c r="F175" s="243"/>
    </row>
    <row r="176" spans="3:13" ht="18.75">
      <c r="C176" s="271" t="s">
        <v>280</v>
      </c>
      <c r="D176" s="271"/>
      <c r="E176" s="272"/>
      <c r="F176" s="275"/>
      <c r="G176" s="274"/>
      <c r="H176" s="274"/>
      <c r="I176" s="274"/>
      <c r="J176" s="274"/>
      <c r="K176" s="274"/>
      <c r="L176" s="274"/>
      <c r="M176" s="274"/>
    </row>
    <row r="177" spans="3:12">
      <c r="C177" s="280"/>
      <c r="D177" s="282" t="s">
        <v>278</v>
      </c>
      <c r="E177" s="283"/>
      <c r="F177" s="284"/>
      <c r="G177" s="284"/>
      <c r="H177" s="284"/>
      <c r="I177" s="284"/>
      <c r="J177" s="284"/>
      <c r="K177" s="284"/>
      <c r="L177" s="284"/>
    </row>
    <row r="178" spans="3:12">
      <c r="C178" s="280"/>
      <c r="D178" s="280"/>
      <c r="E178" s="286" t="s">
        <v>268</v>
      </c>
      <c r="F178" s="243"/>
    </row>
    <row r="179" spans="3:12">
      <c r="C179" s="280"/>
      <c r="D179" s="280"/>
      <c r="E179" s="221"/>
      <c r="F179" s="243"/>
    </row>
    <row r="180" spans="3:12">
      <c r="C180" s="280"/>
      <c r="D180" s="282" t="s">
        <v>64</v>
      </c>
      <c r="E180" s="283"/>
      <c r="F180" s="283"/>
      <c r="G180" s="284"/>
      <c r="H180" s="284"/>
      <c r="I180" s="284"/>
      <c r="J180" s="284"/>
      <c r="K180" s="284"/>
      <c r="L180" s="284"/>
    </row>
    <row r="181" spans="3:12">
      <c r="C181" s="280"/>
      <c r="D181" s="280"/>
      <c r="E181" s="221" t="s">
        <v>231</v>
      </c>
      <c r="F181" s="243"/>
    </row>
    <row r="182" spans="3:12">
      <c r="C182" s="280"/>
      <c r="D182" s="280"/>
      <c r="E182" s="221" t="s">
        <v>405</v>
      </c>
      <c r="F182" s="243"/>
    </row>
    <row r="183" spans="3:12">
      <c r="C183" s="280"/>
      <c r="D183" s="280"/>
      <c r="E183" s="288" t="s">
        <v>406</v>
      </c>
      <c r="F183" s="243"/>
    </row>
    <row r="184" spans="3:12">
      <c r="C184" s="280"/>
      <c r="D184" s="280"/>
      <c r="E184" s="221" t="s">
        <v>416</v>
      </c>
      <c r="F184" s="243"/>
    </row>
    <row r="185" spans="3:12">
      <c r="C185" s="280"/>
      <c r="D185" s="280"/>
      <c r="E185" s="221" t="s">
        <v>417</v>
      </c>
      <c r="F185" s="243"/>
    </row>
    <row r="186" spans="3:12">
      <c r="C186" s="280"/>
      <c r="D186" s="280"/>
      <c r="E186" s="221" t="s">
        <v>387</v>
      </c>
      <c r="F186" s="243"/>
    </row>
    <row r="187" spans="3:12">
      <c r="C187" s="280"/>
      <c r="D187" s="280"/>
      <c r="E187" s="221"/>
      <c r="F187" s="243"/>
    </row>
    <row r="188" spans="3:12">
      <c r="C188" s="280"/>
      <c r="D188" s="282" t="s">
        <v>269</v>
      </c>
      <c r="E188" s="283"/>
      <c r="F188" s="283"/>
      <c r="G188" s="284"/>
      <c r="H188" s="284"/>
      <c r="I188" s="284"/>
      <c r="J188" s="284"/>
      <c r="K188" s="284"/>
      <c r="L188" s="284"/>
    </row>
    <row r="189" spans="3:12">
      <c r="E189" s="221" t="s">
        <v>270</v>
      </c>
      <c r="F189" s="243"/>
    </row>
    <row r="190" spans="3:12">
      <c r="E190" s="221" t="s">
        <v>271</v>
      </c>
      <c r="F190" s="243"/>
    </row>
    <row r="191" spans="3:12">
      <c r="E191" s="221" t="s">
        <v>411</v>
      </c>
      <c r="F191" s="243"/>
    </row>
    <row r="192" spans="3:12">
      <c r="E192" s="221" t="s">
        <v>418</v>
      </c>
      <c r="F192" s="243"/>
    </row>
    <row r="193" spans="3:13">
      <c r="E193" s="287" t="s">
        <v>341</v>
      </c>
      <c r="F193" s="243"/>
    </row>
    <row r="194" spans="3:13">
      <c r="E194" s="244"/>
      <c r="F194" s="243"/>
    </row>
    <row r="195" spans="3:13" ht="18.75">
      <c r="C195" s="271" t="s">
        <v>272</v>
      </c>
      <c r="D195" s="271"/>
      <c r="E195" s="285"/>
      <c r="F195" s="273"/>
      <c r="G195" s="274"/>
      <c r="H195" s="274"/>
      <c r="I195" s="274"/>
      <c r="J195" s="274"/>
      <c r="K195" s="274"/>
      <c r="L195" s="274"/>
      <c r="M195" s="274"/>
    </row>
    <row r="196" spans="3:13">
      <c r="C196" s="280"/>
      <c r="D196" s="282" t="s">
        <v>278</v>
      </c>
      <c r="E196" s="283"/>
      <c r="F196" s="284"/>
      <c r="G196" s="284"/>
      <c r="H196" s="284"/>
      <c r="I196" s="284"/>
      <c r="J196" s="284"/>
      <c r="K196" s="284"/>
      <c r="L196" s="284"/>
    </row>
    <row r="197" spans="3:13">
      <c r="C197" s="280"/>
      <c r="D197" s="281"/>
      <c r="E197" s="286" t="s">
        <v>376</v>
      </c>
    </row>
    <row r="198" spans="3:13">
      <c r="C198" s="280"/>
      <c r="D198" s="281"/>
      <c r="E198" s="221" t="s">
        <v>333</v>
      </c>
    </row>
    <row r="199" spans="3:13">
      <c r="C199" s="280"/>
      <c r="D199" s="281"/>
      <c r="E199" s="221"/>
    </row>
    <row r="200" spans="3:13">
      <c r="C200" s="280"/>
      <c r="D200" s="282" t="s">
        <v>64</v>
      </c>
      <c r="E200" s="283"/>
      <c r="F200" s="283"/>
      <c r="G200" s="284"/>
      <c r="H200" s="284"/>
      <c r="I200" s="284"/>
      <c r="J200" s="284"/>
      <c r="K200" s="284"/>
      <c r="L200" s="284"/>
    </row>
    <row r="201" spans="3:13">
      <c r="C201" s="280"/>
      <c r="D201" s="281"/>
      <c r="E201" s="221" t="s">
        <v>367</v>
      </c>
    </row>
    <row r="202" spans="3:13">
      <c r="C202" s="280"/>
      <c r="D202" s="281"/>
      <c r="E202" s="288" t="s">
        <v>334</v>
      </c>
    </row>
    <row r="203" spans="3:13">
      <c r="C203" s="280"/>
      <c r="D203" s="281"/>
      <c r="E203" s="288" t="s">
        <v>335</v>
      </c>
    </row>
    <row r="204" spans="3:13">
      <c r="C204" s="280"/>
      <c r="D204" s="281"/>
      <c r="E204" s="288" t="s">
        <v>336</v>
      </c>
    </row>
    <row r="205" spans="3:13">
      <c r="C205" s="280"/>
      <c r="D205" s="281"/>
      <c r="E205" s="288" t="s">
        <v>377</v>
      </c>
    </row>
    <row r="206" spans="3:13">
      <c r="C206" s="280"/>
      <c r="D206" s="281"/>
      <c r="E206" s="697" t="s">
        <v>715</v>
      </c>
    </row>
    <row r="207" spans="3:13">
      <c r="C207" s="280"/>
      <c r="D207" s="281"/>
      <c r="E207" s="697" t="s">
        <v>714</v>
      </c>
    </row>
    <row r="208" spans="3:13">
      <c r="C208" s="280"/>
      <c r="D208" s="281"/>
      <c r="E208" s="288" t="s">
        <v>337</v>
      </c>
    </row>
    <row r="209" spans="3:12">
      <c r="C209" s="280"/>
      <c r="D209" s="281"/>
      <c r="E209" s="288" t="s">
        <v>338</v>
      </c>
    </row>
    <row r="210" spans="3:12">
      <c r="C210" s="280"/>
      <c r="D210" s="281"/>
      <c r="E210" s="288" t="s">
        <v>378</v>
      </c>
    </row>
    <row r="211" spans="3:12">
      <c r="C211" s="280"/>
      <c r="D211" s="281"/>
      <c r="E211" s="288" t="s">
        <v>379</v>
      </c>
    </row>
    <row r="212" spans="3:12">
      <c r="C212" s="280"/>
      <c r="D212" s="281"/>
      <c r="E212" s="697" t="s">
        <v>712</v>
      </c>
    </row>
    <row r="213" spans="3:12">
      <c r="C213" s="280"/>
      <c r="D213" s="281"/>
      <c r="E213" s="697" t="s">
        <v>713</v>
      </c>
    </row>
    <row r="214" spans="3:12">
      <c r="C214" s="280"/>
      <c r="D214" s="281"/>
      <c r="E214" s="288" t="s">
        <v>339</v>
      </c>
    </row>
    <row r="215" spans="3:12">
      <c r="C215" s="280"/>
      <c r="D215" s="281"/>
      <c r="E215" s="288" t="s">
        <v>385</v>
      </c>
    </row>
    <row r="216" spans="3:12">
      <c r="C216" s="280"/>
      <c r="D216" s="281"/>
      <c r="E216" s="288" t="s">
        <v>340</v>
      </c>
    </row>
    <row r="217" spans="3:12">
      <c r="C217" s="280"/>
      <c r="D217" s="281"/>
      <c r="E217" s="288" t="s">
        <v>341</v>
      </c>
    </row>
    <row r="218" spans="3:12">
      <c r="C218" s="280"/>
      <c r="D218" s="281"/>
      <c r="E218" s="607" t="s">
        <v>904</v>
      </c>
    </row>
    <row r="219" spans="3:12">
      <c r="C219" s="280"/>
      <c r="D219" s="281"/>
      <c r="E219" s="288" t="s">
        <v>342</v>
      </c>
    </row>
    <row r="220" spans="3:12">
      <c r="C220" s="280"/>
      <c r="D220" s="281"/>
      <c r="E220" s="288" t="s">
        <v>343</v>
      </c>
    </row>
    <row r="221" spans="3:12">
      <c r="C221" s="280"/>
      <c r="D221" s="281"/>
      <c r="E221" s="288" t="s">
        <v>344</v>
      </c>
    </row>
    <row r="222" spans="3:12">
      <c r="C222" s="280"/>
      <c r="D222" s="281"/>
      <c r="E222" s="288"/>
    </row>
    <row r="223" spans="3:12">
      <c r="C223" s="280"/>
      <c r="D223" s="282" t="s">
        <v>269</v>
      </c>
      <c r="E223" s="283"/>
      <c r="F223" s="283"/>
      <c r="G223" s="284"/>
      <c r="H223" s="284"/>
      <c r="I223" s="284"/>
      <c r="J223" s="284"/>
      <c r="K223" s="284"/>
      <c r="L223" s="284"/>
    </row>
    <row r="224" spans="3:12">
      <c r="D224" s="243"/>
      <c r="E224" s="221" t="s">
        <v>345</v>
      </c>
    </row>
    <row r="225" spans="4:5">
      <c r="D225" s="243"/>
      <c r="E225" s="221" t="s">
        <v>346</v>
      </c>
    </row>
    <row r="226" spans="4:5">
      <c r="D226" s="243"/>
      <c r="E226" s="221" t="s">
        <v>382</v>
      </c>
    </row>
    <row r="227" spans="4:5">
      <c r="D227" s="243"/>
      <c r="E227" s="221" t="s">
        <v>384</v>
      </c>
    </row>
    <row r="228" spans="4:5">
      <c r="D228" s="243"/>
      <c r="E228" s="288" t="s">
        <v>348</v>
      </c>
    </row>
    <row r="229" spans="4:5">
      <c r="D229" s="243"/>
      <c r="E229" s="288" t="s">
        <v>380</v>
      </c>
    </row>
    <row r="230" spans="4:5">
      <c r="D230" s="243"/>
      <c r="E230" s="221" t="s">
        <v>349</v>
      </c>
    </row>
    <row r="231" spans="4:5">
      <c r="D231" s="243"/>
      <c r="E231" s="288" t="s">
        <v>347</v>
      </c>
    </row>
    <row r="232" spans="4:5">
      <c r="D232" s="243"/>
      <c r="E232" s="221" t="s">
        <v>350</v>
      </c>
    </row>
    <row r="233" spans="4:5">
      <c r="D233" s="243"/>
      <c r="E233" s="221" t="s">
        <v>351</v>
      </c>
    </row>
    <row r="234" spans="4:5">
      <c r="D234" s="243"/>
      <c r="E234" s="221" t="s">
        <v>352</v>
      </c>
    </row>
    <row r="235" spans="4:5">
      <c r="D235" s="243"/>
      <c r="E235" s="221" t="s">
        <v>353</v>
      </c>
    </row>
    <row r="236" spans="4:5">
      <c r="D236" s="243"/>
      <c r="E236" s="221" t="s">
        <v>354</v>
      </c>
    </row>
    <row r="237" spans="4:5">
      <c r="D237" s="243"/>
      <c r="E237" s="221" t="s">
        <v>355</v>
      </c>
    </row>
    <row r="238" spans="4:5">
      <c r="D238" s="243"/>
      <c r="E238" s="221" t="s">
        <v>356</v>
      </c>
    </row>
    <row r="239" spans="4:5">
      <c r="D239" s="243"/>
      <c r="E239" s="221" t="s">
        <v>357</v>
      </c>
    </row>
    <row r="240" spans="4:5">
      <c r="D240" s="243"/>
      <c r="E240" s="221" t="s">
        <v>358</v>
      </c>
    </row>
    <row r="241" spans="4:5">
      <c r="D241" s="243"/>
      <c r="E241" s="221" t="s">
        <v>386</v>
      </c>
    </row>
    <row r="242" spans="4:5">
      <c r="D242" s="243"/>
      <c r="E242" s="221" t="s">
        <v>359</v>
      </c>
    </row>
    <row r="243" spans="4:5">
      <c r="D243" s="243"/>
      <c r="E243" s="221" t="s">
        <v>363</v>
      </c>
    </row>
    <row r="244" spans="4:5">
      <c r="D244" s="243"/>
      <c r="E244" s="607" t="s">
        <v>905</v>
      </c>
    </row>
    <row r="245" spans="4:5">
      <c r="D245" s="243"/>
      <c r="E245" s="221" t="s">
        <v>360</v>
      </c>
    </row>
    <row r="246" spans="4:5">
      <c r="D246" s="243"/>
      <c r="E246" s="221" t="s">
        <v>361</v>
      </c>
    </row>
    <row r="247" spans="4:5">
      <c r="D247" s="243"/>
      <c r="E247" s="287" t="s">
        <v>362</v>
      </c>
    </row>
  </sheetData>
  <mergeCells count="15">
    <mergeCell ref="H19:N19"/>
    <mergeCell ref="O33:P33"/>
    <mergeCell ref="O34:P34"/>
    <mergeCell ref="I47:I50"/>
    <mergeCell ref="J38:N38"/>
    <mergeCell ref="J35:N35"/>
    <mergeCell ref="J34:N34"/>
    <mergeCell ref="J33:N33"/>
    <mergeCell ref="J36:N36"/>
    <mergeCell ref="J37:N37"/>
    <mergeCell ref="J39:N39"/>
    <mergeCell ref="J40:N40"/>
    <mergeCell ref="J41:N41"/>
    <mergeCell ref="J42:N42"/>
    <mergeCell ref="J43:N43"/>
  </mergeCells>
  <dataValidations count="4">
    <dataValidation type="list" allowBlank="1" showInputMessage="1" showErrorMessage="1" sqref="F8" xr:uid="{00000000-0002-0000-1500-000003000000}">
      <formula1>"Electric, Gas"</formula1>
    </dataValidation>
    <dataValidation type="list" allowBlank="1" showInputMessage="1" showErrorMessage="1" sqref="F9" xr:uid="{00000000-0002-0000-1500-000002000000}">
      <formula1>$E$94:$E$97</formula1>
    </dataValidation>
    <dataValidation type="list" allowBlank="1" showInputMessage="1" showErrorMessage="1" sqref="J106:J115 J117:J119" xr:uid="{00000000-0002-0000-1500-000001000000}">
      <formula1>$E$8:$E$32</formula1>
    </dataValidation>
    <dataValidation type="list" allowBlank="1" showInputMessage="1" showErrorMessage="1" sqref="G55:G65" xr:uid="{00000000-0002-0000-0200-000003000000}">
      <formula1>"Yes, No"</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1" tint="0.34998626667073579"/>
    <pageSetUpPr fitToPage="1"/>
  </sheetPr>
  <dimension ref="A1:CR323"/>
  <sheetViews>
    <sheetView showGridLines="0" zoomScale="80" zoomScaleNormal="80" zoomScaleSheetLayoutView="80" zoomScalePageLayoutView="55" workbookViewId="0">
      <pane xSplit="2" ySplit="10" topLeftCell="C11" activePane="bottomRight" state="frozen"/>
      <selection activeCell="E5" sqref="E5"/>
      <selection pane="topRight" activeCell="E5" sqref="E5"/>
      <selection pane="bottomLeft" activeCell="E5" sqref="E5"/>
      <selection pane="bottomRight" activeCell="G13" sqref="G13"/>
    </sheetView>
  </sheetViews>
  <sheetFormatPr defaultColWidth="10" defaultRowHeight="12.75"/>
  <cols>
    <col min="1" max="1" width="4.7109375" style="330" customWidth="1"/>
    <col min="2" max="2" width="16" style="330"/>
    <col min="3" max="3" width="15.7109375" style="325" customWidth="1"/>
    <col min="4" max="4" width="22.7109375" style="325" customWidth="1"/>
    <col min="5" max="6" width="18.7109375" style="325" customWidth="1"/>
    <col min="7" max="7" width="19" style="325" customWidth="1"/>
    <col min="8" max="8" width="19.28515625" style="325" customWidth="1"/>
    <col min="9" max="12" width="17.85546875" style="325" customWidth="1"/>
    <col min="13" max="13" width="12.7109375" style="325" customWidth="1"/>
    <col min="14" max="14" width="13" style="325" bestFit="1" customWidth="1"/>
    <col min="15" max="17" width="16.28515625" style="325" customWidth="1"/>
    <col min="18" max="18" width="15.28515625" style="325" customWidth="1"/>
    <col min="19" max="21" width="13.7109375" style="325" customWidth="1"/>
    <col min="22" max="22" width="10" style="325" customWidth="1"/>
    <col min="23" max="23" width="18.42578125" style="325" customWidth="1"/>
    <col min="24" max="24" width="10" style="325" customWidth="1"/>
    <col min="25" max="25" width="13.42578125" style="325" customWidth="1"/>
    <col min="26" max="28" width="10" style="325" customWidth="1"/>
    <col min="29" max="29" width="16.28515625" style="325" customWidth="1"/>
    <col min="30" max="30" width="13" style="325" bestFit="1" customWidth="1"/>
    <col min="31" max="32" width="10" style="325" customWidth="1"/>
    <col min="33" max="33" width="10.85546875" style="325" customWidth="1"/>
    <col min="34" max="34" width="12" style="325" customWidth="1"/>
    <col min="35" max="35" width="13" style="325" customWidth="1"/>
    <col min="36" max="42" width="16" style="325"/>
    <col min="43" max="43" width="13.42578125" style="325" bestFit="1" customWidth="1"/>
    <col min="44" max="44" width="15.7109375" style="325" bestFit="1" customWidth="1"/>
    <col min="45" max="46" width="16" style="325"/>
    <col min="47" max="47" width="18.28515625" style="325" bestFit="1" customWidth="1"/>
    <col min="48" max="50" width="16" style="325"/>
    <col min="51" max="51" width="13.42578125" style="325" bestFit="1" customWidth="1"/>
    <col min="52" max="52" width="16" style="325"/>
    <col min="53" max="53" width="17.28515625" style="325" customWidth="1"/>
    <col min="54" max="54" width="20.7109375" style="325" bestFit="1" customWidth="1"/>
    <col min="55" max="55" width="15.28515625" style="325" customWidth="1"/>
    <col min="56" max="56" width="20.7109375" style="325" bestFit="1" customWidth="1"/>
    <col min="57" max="57" width="15.28515625" style="325" customWidth="1"/>
    <col min="58" max="58" width="20.7109375" style="325" bestFit="1" customWidth="1"/>
    <col min="59" max="59" width="15.28515625" style="325" customWidth="1"/>
    <col min="60" max="60" width="20.7109375" style="325" bestFit="1" customWidth="1"/>
    <col min="61" max="61" width="20.42578125" style="325" customWidth="1"/>
    <col min="62" max="62" width="17" style="325" bestFit="1" customWidth="1"/>
    <col min="63" max="63" width="20.42578125" style="325" customWidth="1"/>
    <col min="64" max="64" width="18.7109375" style="325" customWidth="1"/>
    <col min="65" max="65" width="20.42578125" style="325" customWidth="1"/>
    <col min="66" max="66" width="4.28515625" style="325" bestFit="1" customWidth="1"/>
    <col min="67" max="67" width="20.42578125" style="325" customWidth="1"/>
    <col min="68" max="68" width="4.28515625" style="325" bestFit="1" customWidth="1"/>
    <col min="69" max="69" width="20.42578125" style="325" customWidth="1"/>
    <col min="70" max="70" width="11.42578125" style="325" bestFit="1" customWidth="1"/>
    <col min="71" max="77" width="10" style="325"/>
    <col min="78" max="78" width="3.85546875" style="325" bestFit="1" customWidth="1"/>
    <col min="79" max="79" width="8.28515625" style="325" bestFit="1" customWidth="1"/>
    <col min="80" max="80" width="11.140625" style="325" bestFit="1" customWidth="1"/>
    <col min="81" max="81" width="10.140625" style="325" bestFit="1" customWidth="1"/>
    <col min="82" max="82" width="11.140625" style="325" bestFit="1" customWidth="1"/>
    <col min="83" max="86" width="14.28515625" style="325" customWidth="1"/>
    <col min="87" max="87" width="11.140625" style="325" customWidth="1"/>
    <col min="88" max="88" width="14.140625" style="325" customWidth="1"/>
    <col min="89" max="89" width="3.7109375" style="325" bestFit="1" customWidth="1"/>
    <col min="90" max="95" width="11.140625" style="325" customWidth="1"/>
    <col min="96" max="96" width="3.85546875" style="325" customWidth="1"/>
    <col min="97" max="101" width="10" style="325"/>
    <col min="102" max="102" width="11.5703125" style="325" customWidth="1"/>
    <col min="103" max="16384" width="10" style="325"/>
  </cols>
  <sheetData>
    <row r="1" spans="1:57" ht="23.25">
      <c r="A1" s="463" t="s">
        <v>605</v>
      </c>
      <c r="B1" s="464"/>
      <c r="C1" s="465"/>
      <c r="D1" s="466"/>
      <c r="E1" s="466"/>
      <c r="F1" s="466"/>
      <c r="G1" s="466"/>
      <c r="H1" s="466"/>
      <c r="I1" s="466"/>
      <c r="J1" s="466"/>
      <c r="K1" s="466"/>
      <c r="L1" s="466"/>
      <c r="M1" s="466"/>
      <c r="N1" s="466"/>
      <c r="O1" s="466"/>
      <c r="P1" s="466"/>
      <c r="Q1" s="466"/>
    </row>
    <row r="3" spans="1:57" s="330" customFormat="1">
      <c r="A3" s="321">
        <v>1</v>
      </c>
      <c r="B3" s="321">
        <f t="shared" ref="B3:K4" si="0">A3+1</f>
        <v>2</v>
      </c>
      <c r="C3" s="321">
        <f t="shared" si="0"/>
        <v>3</v>
      </c>
      <c r="D3" s="321">
        <f t="shared" si="0"/>
        <v>4</v>
      </c>
      <c r="E3" s="321">
        <f t="shared" si="0"/>
        <v>5</v>
      </c>
      <c r="F3" s="321">
        <f t="shared" si="0"/>
        <v>6</v>
      </c>
      <c r="G3" s="321">
        <f t="shared" si="0"/>
        <v>7</v>
      </c>
      <c r="H3" s="321">
        <f t="shared" si="0"/>
        <v>8</v>
      </c>
      <c r="I3" s="321">
        <f t="shared" si="0"/>
        <v>9</v>
      </c>
      <c r="J3" s="321">
        <f t="shared" si="0"/>
        <v>10</v>
      </c>
      <c r="K3" s="321">
        <f t="shared" si="0"/>
        <v>11</v>
      </c>
      <c r="L3" s="321">
        <f t="shared" ref="L3:U3" si="1">K3+1</f>
        <v>12</v>
      </c>
      <c r="M3" s="321">
        <f t="shared" si="1"/>
        <v>13</v>
      </c>
      <c r="N3" s="321">
        <f t="shared" si="1"/>
        <v>14</v>
      </c>
      <c r="O3" s="321">
        <f t="shared" si="1"/>
        <v>15</v>
      </c>
      <c r="P3" s="321">
        <f t="shared" si="1"/>
        <v>16</v>
      </c>
      <c r="Q3" s="321">
        <f t="shared" si="1"/>
        <v>17</v>
      </c>
      <c r="R3" s="321">
        <f t="shared" si="1"/>
        <v>18</v>
      </c>
      <c r="S3" s="321">
        <f t="shared" si="1"/>
        <v>19</v>
      </c>
      <c r="T3" s="321">
        <f t="shared" si="1"/>
        <v>20</v>
      </c>
      <c r="U3" s="321">
        <f t="shared" si="1"/>
        <v>21</v>
      </c>
      <c r="V3" s="321">
        <f t="shared" ref="V3:BC3" si="2">U3+1</f>
        <v>22</v>
      </c>
      <c r="W3" s="321">
        <f t="shared" si="2"/>
        <v>23</v>
      </c>
      <c r="X3" s="321">
        <f t="shared" si="2"/>
        <v>24</v>
      </c>
      <c r="Y3" s="321">
        <f t="shared" si="2"/>
        <v>25</v>
      </c>
      <c r="Z3" s="321">
        <f t="shared" si="2"/>
        <v>26</v>
      </c>
      <c r="AA3" s="321">
        <f t="shared" si="2"/>
        <v>27</v>
      </c>
      <c r="AB3" s="321">
        <f t="shared" si="2"/>
        <v>28</v>
      </c>
      <c r="AC3" s="321">
        <f t="shared" si="2"/>
        <v>29</v>
      </c>
      <c r="AD3" s="321">
        <f t="shared" si="2"/>
        <v>30</v>
      </c>
      <c r="AE3" s="321">
        <f t="shared" si="2"/>
        <v>31</v>
      </c>
      <c r="AF3" s="321">
        <f t="shared" si="2"/>
        <v>32</v>
      </c>
      <c r="AG3" s="321">
        <f t="shared" si="2"/>
        <v>33</v>
      </c>
      <c r="AH3" s="321">
        <f t="shared" si="2"/>
        <v>34</v>
      </c>
      <c r="AI3" s="321">
        <f t="shared" si="2"/>
        <v>35</v>
      </c>
      <c r="AJ3" s="321">
        <f t="shared" si="2"/>
        <v>36</v>
      </c>
      <c r="AK3" s="321">
        <f t="shared" si="2"/>
        <v>37</v>
      </c>
      <c r="AL3" s="321">
        <f t="shared" si="2"/>
        <v>38</v>
      </c>
      <c r="AM3" s="321">
        <f t="shared" si="2"/>
        <v>39</v>
      </c>
      <c r="AN3" s="321">
        <f t="shared" si="2"/>
        <v>40</v>
      </c>
      <c r="AO3" s="321">
        <f t="shared" si="2"/>
        <v>41</v>
      </c>
      <c r="AP3" s="321">
        <f t="shared" si="2"/>
        <v>42</v>
      </c>
      <c r="AQ3" s="321">
        <f t="shared" si="2"/>
        <v>43</v>
      </c>
      <c r="AR3" s="321">
        <f t="shared" si="2"/>
        <v>44</v>
      </c>
      <c r="AS3" s="321">
        <f t="shared" si="2"/>
        <v>45</v>
      </c>
      <c r="AT3" s="321">
        <f t="shared" si="2"/>
        <v>46</v>
      </c>
      <c r="AU3" s="321">
        <f t="shared" si="2"/>
        <v>47</v>
      </c>
      <c r="AV3" s="321">
        <f t="shared" si="2"/>
        <v>48</v>
      </c>
      <c r="AW3" s="321">
        <f t="shared" si="2"/>
        <v>49</v>
      </c>
      <c r="AX3" s="321">
        <f t="shared" si="2"/>
        <v>50</v>
      </c>
      <c r="AY3" s="321">
        <f t="shared" si="2"/>
        <v>51</v>
      </c>
      <c r="AZ3" s="321">
        <f t="shared" si="2"/>
        <v>52</v>
      </c>
      <c r="BA3" s="321">
        <f t="shared" si="2"/>
        <v>53</v>
      </c>
      <c r="BB3" s="321">
        <f t="shared" si="2"/>
        <v>54</v>
      </c>
      <c r="BC3" s="321">
        <f t="shared" si="2"/>
        <v>55</v>
      </c>
    </row>
    <row r="4" spans="1:57" s="330" customFormat="1">
      <c r="B4" s="467" t="str">
        <f>Year1&amp;" column -&gt;"</f>
        <v>2024 column -&gt;</v>
      </c>
      <c r="C4" s="415">
        <f>I174</f>
        <v>8</v>
      </c>
      <c r="D4" s="415">
        <f>J174</f>
        <v>9</v>
      </c>
      <c r="E4" s="415">
        <f>K174</f>
        <v>10</v>
      </c>
      <c r="F4" s="415">
        <f>L174</f>
        <v>11</v>
      </c>
      <c r="G4" s="415">
        <v>82</v>
      </c>
      <c r="H4" s="415">
        <f t="shared" si="0"/>
        <v>83</v>
      </c>
      <c r="I4" s="415">
        <f t="shared" si="0"/>
        <v>84</v>
      </c>
      <c r="J4" s="415">
        <f t="shared" si="0"/>
        <v>85</v>
      </c>
      <c r="K4" s="415">
        <v>87</v>
      </c>
      <c r="L4" s="415">
        <f>O174</f>
        <v>14</v>
      </c>
      <c r="M4" s="415">
        <f>P174</f>
        <v>15</v>
      </c>
      <c r="N4" s="415">
        <f>Q174</f>
        <v>16</v>
      </c>
      <c r="O4" s="331" t="s">
        <v>619</v>
      </c>
      <c r="P4" s="415">
        <f>P5</f>
        <v>39</v>
      </c>
      <c r="Q4" s="415">
        <f>Q5</f>
        <v>40</v>
      </c>
      <c r="R4" s="415">
        <f>R5</f>
        <v>41</v>
      </c>
      <c r="S4" s="321">
        <f>CL174</f>
        <v>0</v>
      </c>
      <c r="T4" s="321">
        <f>CM174</f>
        <v>0</v>
      </c>
      <c r="U4" s="415">
        <v>76</v>
      </c>
      <c r="V4" s="331" t="s">
        <v>620</v>
      </c>
      <c r="W4" s="331" t="s">
        <v>620</v>
      </c>
      <c r="X4" s="331" t="s">
        <v>620</v>
      </c>
      <c r="Y4" s="438">
        <f>D226</f>
        <v>3</v>
      </c>
      <c r="Z4" s="438">
        <f>E226</f>
        <v>4</v>
      </c>
      <c r="AA4" s="438">
        <f>F226</f>
        <v>5</v>
      </c>
      <c r="AB4" s="438">
        <f>G226</f>
        <v>6</v>
      </c>
      <c r="AC4" s="438">
        <f>I226</f>
        <v>8</v>
      </c>
      <c r="AD4" s="438">
        <f>J226</f>
        <v>9</v>
      </c>
      <c r="AE4" s="438">
        <f>K226</f>
        <v>10</v>
      </c>
      <c r="AF4" s="438">
        <v>17</v>
      </c>
      <c r="AG4" s="438">
        <v>19</v>
      </c>
      <c r="AH4" s="438">
        <v>20</v>
      </c>
      <c r="AI4" s="438">
        <v>21</v>
      </c>
      <c r="AJ4" s="438">
        <v>22</v>
      </c>
      <c r="AK4" s="438">
        <v>24</v>
      </c>
      <c r="AL4" s="438">
        <v>25</v>
      </c>
      <c r="AM4" s="438">
        <v>26</v>
      </c>
      <c r="AN4" s="462">
        <f>C275</f>
        <v>2</v>
      </c>
      <c r="AO4" s="462">
        <f>F226</f>
        <v>5</v>
      </c>
      <c r="AP4" s="462">
        <v>8</v>
      </c>
      <c r="AQ4" s="462">
        <f>U275</f>
        <v>20</v>
      </c>
      <c r="AR4" s="462">
        <v>11</v>
      </c>
      <c r="AS4" s="462">
        <f>M275</f>
        <v>12</v>
      </c>
      <c r="AT4" s="462">
        <f>J275</f>
        <v>9</v>
      </c>
      <c r="AU4" s="462">
        <f>K275</f>
        <v>10</v>
      </c>
      <c r="AV4" s="331" t="s">
        <v>620</v>
      </c>
      <c r="AW4" s="331" t="s">
        <v>620</v>
      </c>
      <c r="AX4" s="1476" t="s">
        <v>620</v>
      </c>
      <c r="AY4" s="1406">
        <v>32</v>
      </c>
      <c r="AZ4" s="415">
        <f>R174</f>
        <v>17</v>
      </c>
      <c r="BA4" s="415">
        <f>S174</f>
        <v>18</v>
      </c>
      <c r="BB4" s="415">
        <f>T174</f>
        <v>19</v>
      </c>
      <c r="BC4" s="415">
        <f>U174</f>
        <v>20</v>
      </c>
    </row>
    <row r="5" spans="1:57">
      <c r="B5" s="467" t="str">
        <f>Year2&amp;" column -&gt;"</f>
        <v>2025 column -&gt;</v>
      </c>
      <c r="C5" s="415">
        <f>C4</f>
        <v>8</v>
      </c>
      <c r="D5" s="415">
        <f t="shared" ref="D5:F6" si="3">D4</f>
        <v>9</v>
      </c>
      <c r="E5" s="415">
        <f t="shared" si="3"/>
        <v>10</v>
      </c>
      <c r="F5" s="415">
        <f t="shared" si="3"/>
        <v>11</v>
      </c>
      <c r="G5" s="415">
        <v>82</v>
      </c>
      <c r="H5" s="415">
        <f>G5+1</f>
        <v>83</v>
      </c>
      <c r="I5" s="415">
        <f>H5+1</f>
        <v>84</v>
      </c>
      <c r="J5" s="415">
        <f>I5+1</f>
        <v>85</v>
      </c>
      <c r="K5" s="415">
        <v>87</v>
      </c>
      <c r="L5" s="415">
        <f t="shared" ref="L5:O6" si="4">L4</f>
        <v>14</v>
      </c>
      <c r="M5" s="415">
        <f t="shared" si="4"/>
        <v>15</v>
      </c>
      <c r="N5" s="415">
        <f t="shared" si="4"/>
        <v>16</v>
      </c>
      <c r="O5" s="331" t="str">
        <f t="shared" si="4"/>
        <v>n/a</v>
      </c>
      <c r="P5" s="415">
        <f>AN174</f>
        <v>39</v>
      </c>
      <c r="Q5" s="415">
        <f>AO174</f>
        <v>40</v>
      </c>
      <c r="R5" s="415">
        <f>AP174</f>
        <v>41</v>
      </c>
      <c r="S5" s="321">
        <f>CO174</f>
        <v>0</v>
      </c>
      <c r="T5" s="321">
        <f>CP174</f>
        <v>0</v>
      </c>
      <c r="U5" s="415">
        <v>76</v>
      </c>
      <c r="V5" s="331" t="str">
        <f t="shared" ref="V5:AE6" si="5">V4</f>
        <v>Lookups</v>
      </c>
      <c r="W5" s="331" t="str">
        <f t="shared" si="5"/>
        <v>Lookups</v>
      </c>
      <c r="X5" s="331" t="str">
        <f t="shared" si="5"/>
        <v>Lookups</v>
      </c>
      <c r="Y5" s="438">
        <f t="shared" si="5"/>
        <v>3</v>
      </c>
      <c r="Z5" s="438">
        <f t="shared" si="5"/>
        <v>4</v>
      </c>
      <c r="AA5" s="438">
        <f t="shared" si="5"/>
        <v>5</v>
      </c>
      <c r="AB5" s="438">
        <f t="shared" si="5"/>
        <v>6</v>
      </c>
      <c r="AC5" s="438">
        <f t="shared" si="5"/>
        <v>8</v>
      </c>
      <c r="AD5" s="438">
        <f t="shared" si="5"/>
        <v>9</v>
      </c>
      <c r="AE5" s="438">
        <f t="shared" si="5"/>
        <v>10</v>
      </c>
      <c r="AF5" s="438">
        <f t="shared" ref="AF5:AO6" si="6">AF4</f>
        <v>17</v>
      </c>
      <c r="AG5" s="438">
        <f t="shared" si="6"/>
        <v>19</v>
      </c>
      <c r="AH5" s="438">
        <f t="shared" si="6"/>
        <v>20</v>
      </c>
      <c r="AI5" s="438">
        <f t="shared" si="6"/>
        <v>21</v>
      </c>
      <c r="AJ5" s="438">
        <f t="shared" si="6"/>
        <v>22</v>
      </c>
      <c r="AK5" s="438">
        <f t="shared" si="6"/>
        <v>24</v>
      </c>
      <c r="AL5" s="438">
        <f t="shared" si="6"/>
        <v>25</v>
      </c>
      <c r="AM5" s="438">
        <f t="shared" si="6"/>
        <v>26</v>
      </c>
      <c r="AN5" s="462">
        <f t="shared" si="6"/>
        <v>2</v>
      </c>
      <c r="AO5" s="462">
        <f t="shared" si="6"/>
        <v>5</v>
      </c>
      <c r="AP5" s="462">
        <f t="shared" ref="AP5:AW6" si="7">AP4</f>
        <v>8</v>
      </c>
      <c r="AQ5" s="462">
        <f t="shared" si="7"/>
        <v>20</v>
      </c>
      <c r="AR5" s="462">
        <f>AR4</f>
        <v>11</v>
      </c>
      <c r="AS5" s="462">
        <f t="shared" si="7"/>
        <v>12</v>
      </c>
      <c r="AT5" s="462">
        <f t="shared" si="7"/>
        <v>9</v>
      </c>
      <c r="AU5" s="462">
        <f t="shared" si="7"/>
        <v>10</v>
      </c>
      <c r="AV5" s="331" t="str">
        <f t="shared" si="7"/>
        <v>Lookups</v>
      </c>
      <c r="AW5" s="331" t="str">
        <f t="shared" si="7"/>
        <v>Lookups</v>
      </c>
      <c r="AX5" s="1476" t="str">
        <f>AX4</f>
        <v>Lookups</v>
      </c>
      <c r="AY5" s="1406">
        <f>AY4</f>
        <v>32</v>
      </c>
      <c r="AZ5" s="415">
        <f t="shared" ref="AZ5:BC6" si="8">AZ4</f>
        <v>17</v>
      </c>
      <c r="BA5" s="415">
        <f t="shared" si="8"/>
        <v>18</v>
      </c>
      <c r="BB5" s="415">
        <f t="shared" si="8"/>
        <v>19</v>
      </c>
      <c r="BC5" s="415">
        <f t="shared" si="8"/>
        <v>20</v>
      </c>
    </row>
    <row r="6" spans="1:57">
      <c r="B6" s="467" t="str">
        <f>Year3&amp;" column -&gt;"</f>
        <v>2026 column -&gt;</v>
      </c>
      <c r="C6" s="415">
        <f>C5</f>
        <v>8</v>
      </c>
      <c r="D6" s="415">
        <f t="shared" si="3"/>
        <v>9</v>
      </c>
      <c r="E6" s="415">
        <f t="shared" si="3"/>
        <v>10</v>
      </c>
      <c r="F6" s="415">
        <f t="shared" si="3"/>
        <v>11</v>
      </c>
      <c r="G6" s="415">
        <f>G5</f>
        <v>82</v>
      </c>
      <c r="H6" s="415">
        <f>H5</f>
        <v>83</v>
      </c>
      <c r="I6" s="415">
        <f>I5</f>
        <v>84</v>
      </c>
      <c r="J6" s="415">
        <f>J5</f>
        <v>85</v>
      </c>
      <c r="K6" s="415">
        <f>K5</f>
        <v>87</v>
      </c>
      <c r="L6" s="415">
        <f t="shared" si="4"/>
        <v>14</v>
      </c>
      <c r="M6" s="415">
        <f t="shared" si="4"/>
        <v>15</v>
      </c>
      <c r="N6" s="415">
        <f t="shared" si="4"/>
        <v>16</v>
      </c>
      <c r="O6" s="331" t="str">
        <f t="shared" si="4"/>
        <v>n/a</v>
      </c>
      <c r="P6" s="415">
        <f t="shared" ref="P6:T6" si="9">P5</f>
        <v>39</v>
      </c>
      <c r="Q6" s="415">
        <f t="shared" si="9"/>
        <v>40</v>
      </c>
      <c r="R6" s="415">
        <f t="shared" si="9"/>
        <v>41</v>
      </c>
      <c r="S6" s="321">
        <f t="shared" si="9"/>
        <v>0</v>
      </c>
      <c r="T6" s="321">
        <f t="shared" si="9"/>
        <v>0</v>
      </c>
      <c r="U6" s="415">
        <v>76</v>
      </c>
      <c r="V6" s="331" t="str">
        <f t="shared" si="5"/>
        <v>Lookups</v>
      </c>
      <c r="W6" s="331" t="str">
        <f t="shared" si="5"/>
        <v>Lookups</v>
      </c>
      <c r="X6" s="331" t="str">
        <f t="shared" si="5"/>
        <v>Lookups</v>
      </c>
      <c r="Y6" s="438">
        <f t="shared" si="5"/>
        <v>3</v>
      </c>
      <c r="Z6" s="438">
        <f t="shared" si="5"/>
        <v>4</v>
      </c>
      <c r="AA6" s="438">
        <f t="shared" si="5"/>
        <v>5</v>
      </c>
      <c r="AB6" s="438">
        <f t="shared" si="5"/>
        <v>6</v>
      </c>
      <c r="AC6" s="438">
        <f t="shared" si="5"/>
        <v>8</v>
      </c>
      <c r="AD6" s="438">
        <f t="shared" si="5"/>
        <v>9</v>
      </c>
      <c r="AE6" s="438">
        <f t="shared" si="5"/>
        <v>10</v>
      </c>
      <c r="AF6" s="438">
        <f t="shared" si="6"/>
        <v>17</v>
      </c>
      <c r="AG6" s="438">
        <f t="shared" si="6"/>
        <v>19</v>
      </c>
      <c r="AH6" s="438">
        <f t="shared" si="6"/>
        <v>20</v>
      </c>
      <c r="AI6" s="438">
        <f t="shared" si="6"/>
        <v>21</v>
      </c>
      <c r="AJ6" s="438">
        <f t="shared" si="6"/>
        <v>22</v>
      </c>
      <c r="AK6" s="438">
        <f t="shared" si="6"/>
        <v>24</v>
      </c>
      <c r="AL6" s="438">
        <f t="shared" si="6"/>
        <v>25</v>
      </c>
      <c r="AM6" s="438">
        <f t="shared" si="6"/>
        <v>26</v>
      </c>
      <c r="AN6" s="462">
        <f t="shared" si="6"/>
        <v>2</v>
      </c>
      <c r="AO6" s="462">
        <f t="shared" si="6"/>
        <v>5</v>
      </c>
      <c r="AP6" s="462">
        <f t="shared" si="7"/>
        <v>8</v>
      </c>
      <c r="AQ6" s="462">
        <f t="shared" si="7"/>
        <v>20</v>
      </c>
      <c r="AR6" s="462">
        <f>AR5</f>
        <v>11</v>
      </c>
      <c r="AS6" s="462">
        <f t="shared" si="7"/>
        <v>12</v>
      </c>
      <c r="AT6" s="462">
        <f t="shared" si="7"/>
        <v>9</v>
      </c>
      <c r="AU6" s="462">
        <f t="shared" si="7"/>
        <v>10</v>
      </c>
      <c r="AV6" s="331" t="str">
        <f t="shared" si="7"/>
        <v>Lookups</v>
      </c>
      <c r="AW6" s="331" t="str">
        <f t="shared" si="7"/>
        <v>Lookups</v>
      </c>
      <c r="AX6" s="1476" t="str">
        <f>AX5</f>
        <v>Lookups</v>
      </c>
      <c r="AY6" s="1406">
        <f>AY5</f>
        <v>32</v>
      </c>
      <c r="AZ6" s="415">
        <f t="shared" si="8"/>
        <v>17</v>
      </c>
      <c r="BA6" s="415">
        <f t="shared" si="8"/>
        <v>18</v>
      </c>
      <c r="BB6" s="415">
        <f t="shared" si="8"/>
        <v>19</v>
      </c>
      <c r="BC6" s="415">
        <f t="shared" si="8"/>
        <v>20</v>
      </c>
    </row>
    <row r="7" spans="1:57">
      <c r="B7" s="467" t="s">
        <v>559</v>
      </c>
      <c r="G7" s="594" t="s">
        <v>621</v>
      </c>
      <c r="H7" s="594" t="s">
        <v>621</v>
      </c>
      <c r="I7" s="594" t="s">
        <v>621</v>
      </c>
      <c r="J7" s="594" t="s">
        <v>621</v>
      </c>
      <c r="K7" s="594" t="s">
        <v>622</v>
      </c>
      <c r="L7" s="594"/>
      <c r="M7" s="594"/>
      <c r="P7" s="594" t="s">
        <v>623</v>
      </c>
      <c r="Q7" s="594" t="s">
        <v>623</v>
      </c>
      <c r="R7" s="594" t="s">
        <v>623</v>
      </c>
      <c r="S7" s="594" t="s">
        <v>592</v>
      </c>
      <c r="T7" s="594" t="s">
        <v>592</v>
      </c>
      <c r="U7" s="594" t="s">
        <v>592</v>
      </c>
      <c r="AF7" s="594" t="s">
        <v>624</v>
      </c>
      <c r="AG7" s="594" t="s">
        <v>625</v>
      </c>
      <c r="AH7" s="594" t="s">
        <v>625</v>
      </c>
      <c r="AI7" s="594" t="s">
        <v>625</v>
      </c>
      <c r="AJ7" s="594" t="s">
        <v>625</v>
      </c>
      <c r="AK7" s="594" t="s">
        <v>625</v>
      </c>
      <c r="AL7" s="594" t="s">
        <v>625</v>
      </c>
      <c r="AM7" s="594" t="s">
        <v>625</v>
      </c>
      <c r="AQ7" s="594" t="s">
        <v>626</v>
      </c>
      <c r="AY7" s="594" t="s">
        <v>628</v>
      </c>
      <c r="AZ7" s="594" t="s">
        <v>627</v>
      </c>
      <c r="BA7" s="594" t="s">
        <v>627</v>
      </c>
      <c r="BB7" s="594" t="s">
        <v>627</v>
      </c>
      <c r="BC7" s="594" t="s">
        <v>627</v>
      </c>
    </row>
    <row r="8" spans="1:57" ht="20.25">
      <c r="A8" s="468"/>
      <c r="B8" s="468"/>
      <c r="C8" s="1342" t="s">
        <v>975</v>
      </c>
      <c r="D8" s="469"/>
      <c r="E8" s="469"/>
      <c r="F8" s="469"/>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c r="AG8" s="469"/>
      <c r="AH8" s="469"/>
      <c r="AI8" s="469"/>
      <c r="AJ8" s="469"/>
      <c r="AK8" s="469"/>
      <c r="AL8" s="469"/>
      <c r="AM8" s="469"/>
      <c r="AN8" s="469"/>
      <c r="AO8" s="469"/>
      <c r="AP8" s="469"/>
      <c r="AQ8" s="469"/>
      <c r="AR8" s="469"/>
      <c r="AS8" s="469"/>
      <c r="AT8" s="469"/>
      <c r="AU8" s="469"/>
      <c r="AV8" s="469"/>
      <c r="AW8" s="469"/>
      <c r="AX8" s="469"/>
      <c r="AY8" s="469"/>
      <c r="AZ8" s="469"/>
      <c r="BA8" s="469"/>
      <c r="BB8" s="469"/>
      <c r="BC8" s="469"/>
    </row>
    <row r="9" spans="1:57" ht="15" customHeight="1">
      <c r="A9" s="1594" t="s">
        <v>564</v>
      </c>
      <c r="B9" s="1595"/>
      <c r="C9" s="1598" t="s">
        <v>565</v>
      </c>
      <c r="D9" s="1599"/>
      <c r="E9" s="1599"/>
      <c r="F9" s="1600"/>
      <c r="G9" s="1598" t="s">
        <v>566</v>
      </c>
      <c r="H9" s="1599"/>
      <c r="I9" s="1599"/>
      <c r="J9" s="1599"/>
      <c r="K9" s="1627" t="s">
        <v>567</v>
      </c>
      <c r="L9" s="1603" t="s">
        <v>572</v>
      </c>
      <c r="M9" s="1601"/>
      <c r="N9" s="1601"/>
      <c r="O9" s="1602"/>
      <c r="P9" s="1601" t="s">
        <v>877</v>
      </c>
      <c r="Q9" s="1601"/>
      <c r="R9" s="1602"/>
      <c r="S9" s="1603" t="s">
        <v>878</v>
      </c>
      <c r="T9" s="1601"/>
      <c r="U9" s="1602"/>
      <c r="V9" s="1639" t="s">
        <v>573</v>
      </c>
      <c r="W9" s="1640"/>
      <c r="X9" s="1641"/>
      <c r="Y9" s="1629" t="s">
        <v>575</v>
      </c>
      <c r="Z9" s="1630"/>
      <c r="AA9" s="1630"/>
      <c r="AB9" s="1630"/>
      <c r="AC9" s="1630"/>
      <c r="AD9" s="1630"/>
      <c r="AE9" s="1631"/>
      <c r="AF9" s="470" t="s">
        <v>576</v>
      </c>
      <c r="AG9" s="1629" t="s">
        <v>594</v>
      </c>
      <c r="AH9" s="1630"/>
      <c r="AI9" s="1630"/>
      <c r="AJ9" s="1630"/>
      <c r="AK9" s="1630"/>
      <c r="AL9" s="1630"/>
      <c r="AM9" s="1630"/>
      <c r="AN9" s="1634" t="s">
        <v>585</v>
      </c>
      <c r="AO9" s="1635"/>
      <c r="AP9" s="1635"/>
      <c r="AQ9" s="1636"/>
      <c r="AR9" s="1637" t="s">
        <v>642</v>
      </c>
      <c r="AS9" s="1638"/>
      <c r="AT9" s="1632" t="s">
        <v>589</v>
      </c>
      <c r="AU9" s="1633"/>
      <c r="AV9" s="1644" t="s">
        <v>590</v>
      </c>
      <c r="AW9" s="1645"/>
      <c r="AX9" s="471" t="s">
        <v>591</v>
      </c>
      <c r="AY9" s="1642" t="s">
        <v>525</v>
      </c>
      <c r="AZ9" s="1646" t="s">
        <v>602</v>
      </c>
      <c r="BA9" s="1647"/>
      <c r="BB9" s="1647"/>
      <c r="BC9" s="1648"/>
    </row>
    <row r="10" spans="1:57" ht="28.5">
      <c r="A10" s="1596"/>
      <c r="B10" s="1597"/>
      <c r="C10" s="472" t="s">
        <v>53</v>
      </c>
      <c r="D10" s="473" t="s">
        <v>54</v>
      </c>
      <c r="E10" s="473" t="s">
        <v>55</v>
      </c>
      <c r="F10" s="474" t="s">
        <v>56</v>
      </c>
      <c r="G10" s="472" t="s">
        <v>53</v>
      </c>
      <c r="H10" s="473" t="s">
        <v>54</v>
      </c>
      <c r="I10" s="473" t="s">
        <v>55</v>
      </c>
      <c r="J10" s="473" t="s">
        <v>56</v>
      </c>
      <c r="K10" s="1628"/>
      <c r="L10" s="1125" t="s">
        <v>460</v>
      </c>
      <c r="M10" s="1128" t="s">
        <v>462</v>
      </c>
      <c r="N10" s="1126" t="s">
        <v>110</v>
      </c>
      <c r="O10" s="1127" t="s">
        <v>574</v>
      </c>
      <c r="P10" s="1125" t="s">
        <v>460</v>
      </c>
      <c r="Q10" s="1126" t="s">
        <v>462</v>
      </c>
      <c r="R10" s="1127" t="s">
        <v>110</v>
      </c>
      <c r="S10" s="1125" t="s">
        <v>460</v>
      </c>
      <c r="T10" s="1126" t="s">
        <v>462</v>
      </c>
      <c r="U10" s="1127" t="s">
        <v>110</v>
      </c>
      <c r="V10" s="475" t="s">
        <v>593</v>
      </c>
      <c r="W10" s="476" t="s">
        <v>632</v>
      </c>
      <c r="X10" s="477" t="s">
        <v>45</v>
      </c>
      <c r="Y10" s="478" t="s">
        <v>577</v>
      </c>
      <c r="Z10" s="479" t="s">
        <v>578</v>
      </c>
      <c r="AA10" s="479" t="s">
        <v>579</v>
      </c>
      <c r="AB10" s="479" t="s">
        <v>580</v>
      </c>
      <c r="AC10" s="479" t="s">
        <v>581</v>
      </c>
      <c r="AD10" s="479" t="s">
        <v>582</v>
      </c>
      <c r="AE10" s="480" t="s">
        <v>583</v>
      </c>
      <c r="AF10" s="481" t="s">
        <v>584</v>
      </c>
      <c r="AG10" s="478" t="s">
        <v>595</v>
      </c>
      <c r="AH10" s="479" t="s">
        <v>596</v>
      </c>
      <c r="AI10" s="479" t="s">
        <v>597</v>
      </c>
      <c r="AJ10" s="479" t="s">
        <v>598</v>
      </c>
      <c r="AK10" s="479" t="s">
        <v>599</v>
      </c>
      <c r="AL10" s="479" t="s">
        <v>600</v>
      </c>
      <c r="AM10" s="479" t="s">
        <v>601</v>
      </c>
      <c r="AN10" s="482" t="s">
        <v>586</v>
      </c>
      <c r="AO10" s="483" t="s">
        <v>587</v>
      </c>
      <c r="AP10" s="483" t="s">
        <v>588</v>
      </c>
      <c r="AQ10" s="484" t="s">
        <v>603</v>
      </c>
      <c r="AR10" s="608" t="s">
        <v>63</v>
      </c>
      <c r="AS10" s="609" t="s">
        <v>28</v>
      </c>
      <c r="AT10" s="485" t="s">
        <v>111</v>
      </c>
      <c r="AU10" s="486" t="s">
        <v>404</v>
      </c>
      <c r="AV10" s="487" t="s">
        <v>47</v>
      </c>
      <c r="AW10" s="488" t="s">
        <v>48</v>
      </c>
      <c r="AX10" s="489" t="s">
        <v>49</v>
      </c>
      <c r="AY10" s="1643"/>
      <c r="AZ10" s="490" t="s">
        <v>568</v>
      </c>
      <c r="BA10" s="491" t="s">
        <v>569</v>
      </c>
      <c r="BB10" s="491" t="s">
        <v>91</v>
      </c>
      <c r="BC10" s="492" t="s">
        <v>570</v>
      </c>
    </row>
    <row r="11" spans="1:57" ht="20.25">
      <c r="A11" s="493" t="s">
        <v>571</v>
      </c>
      <c r="B11" s="494"/>
      <c r="C11" s="494"/>
      <c r="D11" s="494"/>
      <c r="E11" s="494"/>
      <c r="F11" s="494"/>
      <c r="G11" s="494"/>
      <c r="H11" s="494"/>
      <c r="I11" s="494"/>
      <c r="J11" s="494"/>
      <c r="K11" s="494"/>
      <c r="L11" s="973"/>
      <c r="M11" s="973"/>
      <c r="N11" s="973"/>
      <c r="O11" s="494"/>
      <c r="P11" s="973"/>
      <c r="Q11" s="973"/>
      <c r="R11" s="494"/>
      <c r="S11" s="973"/>
      <c r="T11" s="973"/>
      <c r="U11" s="494"/>
      <c r="V11" s="494"/>
      <c r="W11" s="494"/>
      <c r="X11" s="494"/>
      <c r="Y11" s="494"/>
      <c r="Z11" s="494"/>
      <c r="AA11" s="494"/>
      <c r="AB11" s="494"/>
      <c r="AC11" s="494"/>
      <c r="AD11" s="494"/>
      <c r="AE11" s="494"/>
      <c r="AF11" s="494"/>
      <c r="AG11" s="494"/>
      <c r="AH11" s="494"/>
      <c r="AI11" s="494"/>
      <c r="AJ11" s="494"/>
      <c r="AK11" s="494"/>
      <c r="AL11" s="494"/>
      <c r="AM11" s="494"/>
      <c r="AN11" s="494"/>
      <c r="AO11" s="494"/>
      <c r="AP11" s="494"/>
      <c r="AQ11" s="494"/>
      <c r="AR11" s="494"/>
      <c r="AS11" s="494"/>
      <c r="AT11" s="494"/>
      <c r="AU11" s="494"/>
      <c r="AV11" s="494"/>
      <c r="AW11" s="494"/>
      <c r="AX11" s="494"/>
      <c r="AY11" s="494"/>
      <c r="AZ11" s="494"/>
      <c r="BA11" s="494"/>
      <c r="BB11" s="494"/>
      <c r="BC11" s="495"/>
    </row>
    <row r="12" spans="1:57" ht="20.25">
      <c r="A12" s="1589" t="str">
        <f>Year1&amp;", "&amp;Year1&amp;"$"</f>
        <v>2024, 2024$</v>
      </c>
      <c r="B12" s="1590"/>
      <c r="C12" s="496"/>
      <c r="D12" s="496"/>
      <c r="E12" s="496"/>
      <c r="F12" s="496"/>
      <c r="G12" s="1172" t="s">
        <v>684</v>
      </c>
      <c r="H12" s="1123"/>
      <c r="I12" s="1123"/>
      <c r="J12" s="1123"/>
      <c r="K12" s="1172" t="s">
        <v>684</v>
      </c>
      <c r="L12" s="1123"/>
      <c r="M12" s="1123"/>
      <c r="N12" s="1123"/>
      <c r="O12" s="496"/>
      <c r="P12" s="682" t="s">
        <v>684</v>
      </c>
      <c r="Q12" s="682" t="s">
        <v>684</v>
      </c>
      <c r="R12" s="682" t="s">
        <v>684</v>
      </c>
      <c r="S12" s="1123"/>
      <c r="T12" s="1123"/>
      <c r="U12" s="496"/>
      <c r="V12" s="496"/>
      <c r="W12" s="496"/>
      <c r="X12" s="496"/>
      <c r="Y12" s="496"/>
      <c r="Z12" s="496"/>
      <c r="AA12" s="496"/>
      <c r="AB12" s="496"/>
      <c r="AC12" s="496"/>
      <c r="AD12" s="496"/>
      <c r="AE12" s="496"/>
      <c r="AF12" s="1173" t="s">
        <v>684</v>
      </c>
      <c r="AG12" s="1173" t="s">
        <v>684</v>
      </c>
      <c r="AH12" s="1123"/>
      <c r="AI12" s="1123"/>
      <c r="AJ12" s="1123"/>
      <c r="AK12" s="1123"/>
      <c r="AL12" s="1123"/>
      <c r="AM12" s="1123"/>
      <c r="AN12" s="496"/>
      <c r="AO12" s="496"/>
      <c r="AP12" s="496"/>
      <c r="AQ12" s="496"/>
      <c r="AR12" s="496"/>
      <c r="AS12" s="496"/>
      <c r="AT12" s="496"/>
      <c r="AU12" s="496"/>
      <c r="AV12" s="496"/>
      <c r="AW12" s="496"/>
      <c r="AX12" s="496"/>
      <c r="AY12" s="496"/>
      <c r="AZ12" s="496"/>
      <c r="BA12" s="496"/>
      <c r="BB12" s="496"/>
      <c r="BC12" s="497"/>
    </row>
    <row r="13" spans="1:57" s="201" customFormat="1" ht="14.25">
      <c r="A13" s="498">
        <v>1</v>
      </c>
      <c r="B13" s="498">
        <f>Year1</f>
        <v>2024</v>
      </c>
      <c r="C13" s="499">
        <f t="shared" ref="C13:F37" si="10">VLOOKUP($B13,$B$184:$CR$216,C$4,FALSE)*(1+Inflation1)^(Year1-Real_Year)</f>
        <v>7.6200985307011179E-2</v>
      </c>
      <c r="D13" s="500">
        <f t="shared" si="10"/>
        <v>7.4781755884490236E-2</v>
      </c>
      <c r="E13" s="500">
        <f t="shared" si="10"/>
        <v>5.3901131297941093E-2</v>
      </c>
      <c r="F13" s="501">
        <f t="shared" si="10"/>
        <v>5.1828003754620947E-2</v>
      </c>
      <c r="G13" s="1343">
        <f t="shared" ref="G13:J37" si="11">IF(ED="Yes",VLOOKUP($B13-3,$B$184:$CK$216,G$4,FALSE)*(1+Inflation1)^(Year1-Real_Year),"")</f>
        <v>3.8413262309744565E-3</v>
      </c>
      <c r="H13" s="1344">
        <f t="shared" si="11"/>
        <v>2.9807952678366904E-3</v>
      </c>
      <c r="I13" s="1344">
        <f t="shared" si="11"/>
        <v>2.593397582305619E-3</v>
      </c>
      <c r="J13" s="1344">
        <f t="shared" si="11"/>
        <v>1.4781095378695443E-3</v>
      </c>
      <c r="K13" s="1343">
        <f t="shared" ref="K13:K37" si="12">IF(ECD="Yes",VLOOKUP($B13-3,$B$184:$CK$216,K$4,FALSE)*(1+Inflation1)^(Year1-Real_Year),"")</f>
        <v>1.4836842782492425E-3</v>
      </c>
      <c r="L13" s="1230">
        <f>VLOOKUP($B13,$B$184:$CR$216,L$4,FALSE)*(1+Inflation1)^(Year1-Real_Year)</f>
        <v>45.897908645530642</v>
      </c>
      <c r="M13" s="505">
        <f>VLOOKUP($B13,$B$184:$CR$216,M$4,FALSE)*(1+Inflation1)^(Year1-Real_Year)</f>
        <v>0</v>
      </c>
      <c r="N13" s="505">
        <f>VLOOKUP($B13,$B$184:$CR$216,N$4,FALSE)*(1+Inflation1)^(Year1-Real_Year)</f>
        <v>0</v>
      </c>
      <c r="O13" s="1130">
        <f>0*((1+Inflation1)^(Year1-Real_Year))</f>
        <v>0</v>
      </c>
      <c r="P13" s="683">
        <f t="shared" ref="P13:R37" si="13">IF(CD="Yes",VLOOKUP($B13-3,$B$184:$CR$216,P$4,FALSE)*(1+Inflation1)^(Year1-Real_Year),"")</f>
        <v>16.053748430670467</v>
      </c>
      <c r="Q13" s="683">
        <f t="shared" si="13"/>
        <v>0</v>
      </c>
      <c r="R13" s="1366">
        <f t="shared" si="13"/>
        <v>0</v>
      </c>
      <c r="S13" s="505" t="str">
        <f t="shared" ref="S13:T37" si="14">IF(Reliability="Yes",VLOOKUP($B13,$B$184:$CR$216,S$4,FALSE)*(1+Inflation1)^(Year1-Real_Year),"")</f>
        <v/>
      </c>
      <c r="T13" s="505" t="str">
        <f t="shared" si="14"/>
        <v/>
      </c>
      <c r="U13" s="684" t="str">
        <f t="shared" ref="U13:U37" si="15">IF(Reliability="Yes",VLOOKUP($B13-3,$B$184:$CR$216,U$4,FALSE)*(1+Inflation1)^(Year1-Real_Year),"")</f>
        <v/>
      </c>
      <c r="V13" s="504">
        <f t="shared" ref="V13:V37" si="16">PTFyear1*(1+Inflation1)^(Year1-PTF_Year)</f>
        <v>100.89719194799997</v>
      </c>
      <c r="W13" s="505">
        <f t="shared" ref="W13:W37" si="17">transmissionyear1*(1+Inflation1)^(Year1-TD_Year)</f>
        <v>0</v>
      </c>
      <c r="X13" s="506">
        <f>distributionyear1*(1+Inflation1)^(Year1-TD_Year)</f>
        <v>122.66846416906023</v>
      </c>
      <c r="Y13" s="504">
        <f t="shared" ref="Y13:AE22" si="18">VLOOKUP($B13,$B$233:$AG$265,Y$4,FALSE)*(1+Inflation1)^(Year1-Real_Year)</f>
        <v>6.1765285408867427</v>
      </c>
      <c r="Z13" s="505">
        <f t="shared" si="18"/>
        <v>7.258757676560796</v>
      </c>
      <c r="AA13" s="505">
        <f t="shared" si="18"/>
        <v>10.211717797731447</v>
      </c>
      <c r="AB13" s="505">
        <f t="shared" si="18"/>
        <v>9.1788216386031447</v>
      </c>
      <c r="AC13" s="505">
        <f t="shared" si="18"/>
        <v>7.1500104585175785</v>
      </c>
      <c r="AD13" s="505">
        <f t="shared" si="18"/>
        <v>9.5127409015512363</v>
      </c>
      <c r="AE13" s="506">
        <f t="shared" si="18"/>
        <v>8.8741651061367346</v>
      </c>
      <c r="AF13" s="1348">
        <f t="shared" ref="AF13:AF37" si="19">IF(GD="Yes",VLOOKUP($B13-3,$B$233:$AG$265,AF$4,FALSE)*(1+Inflation1)^(Year1-Real_Year),"")</f>
        <v>1.2127578567423243E-3</v>
      </c>
      <c r="AG13" s="1343">
        <f t="shared" ref="AG13:AM22" si="20">IF(GECD="Yes",VLOOKUP($B13-3,$B$233:$AG$265,AG$4,FALSE)*(1+Inflation1)^(Year1-Real_Year),"")</f>
        <v>0.19487379175739236</v>
      </c>
      <c r="AH13" s="1344">
        <f t="shared" si="20"/>
        <v>0.19487379175739236</v>
      </c>
      <c r="AI13" s="1344">
        <f t="shared" si="20"/>
        <v>0.36012977176296485</v>
      </c>
      <c r="AJ13" s="1344">
        <f t="shared" si="20"/>
        <v>0.30606454373645042</v>
      </c>
      <c r="AK13" s="1344">
        <f t="shared" si="20"/>
        <v>0.19487379175739236</v>
      </c>
      <c r="AL13" s="1344">
        <f t="shared" si="20"/>
        <v>0.36012977176296485</v>
      </c>
      <c r="AM13" s="1344">
        <f t="shared" si="20"/>
        <v>0.31546599338308035</v>
      </c>
      <c r="AN13" s="504">
        <f t="shared" ref="AN13:AP37" si="21">VLOOKUP($B13,$B$285:$W$317,AN$4,FALSE)*(1+Inflation1)^(Year1-Real_Year)</f>
        <v>27.033592270634781</v>
      </c>
      <c r="AO13" s="505">
        <f t="shared" si="21"/>
        <v>25.480994427757295</v>
      </c>
      <c r="AP13" s="505">
        <f t="shared" si="21"/>
        <v>24.309952548341489</v>
      </c>
      <c r="AQ13" s="501">
        <f t="shared" ref="AQ13:AQ37" si="22">IF(OilDRIPE="Yes",VLOOKUP($B13,$B$285:$W$317,AQ$4,FALSE)*(1+Inflation1)^(Year1-Real_Year),"")</f>
        <v>1.411725481662241E-2</v>
      </c>
      <c r="AR13" s="505">
        <f t="shared" ref="AR13:AR37" si="23">VLOOKUP($B13,$B$285:$W$317,AR$4,FALSE)*(1+Inflation1)^(Year1-Real_Year)</f>
        <v>33.27915021760235</v>
      </c>
      <c r="AS13" s="506">
        <f t="shared" ref="AS13:AU37" si="24">VLOOKUP($B13,$B$285:$N$317,AS$4,FALSE)*(1+Inflation1)^(Year1-Real_Year)</f>
        <v>44.749317723955237</v>
      </c>
      <c r="AT13" s="504">
        <f t="shared" si="24"/>
        <v>23.430907044183922</v>
      </c>
      <c r="AU13" s="505">
        <f t="shared" si="24"/>
        <v>25.26617383704135</v>
      </c>
      <c r="AV13" s="503">
        <f t="shared" ref="AV13:AV37" si="25">reswater1*(1+Inflation1)^(Year1-Wt_Year)</f>
        <v>1.2887610361054973E-2</v>
      </c>
      <c r="AW13" s="508">
        <f t="shared" ref="AW13:AW37" si="26">ciwater1*(1+Inflation1)^(Year1-Wt_Year)</f>
        <v>1.2887610361054973E-2</v>
      </c>
      <c r="AX13" s="1355">
        <f>1*(1+Inflation1)^(Year1-HEA_NEI_Yr)</f>
        <v>1.5336732814058982</v>
      </c>
      <c r="AY13" s="507">
        <f t="shared" ref="AY13:AY37" si="27">IF(RGGI="Yes",VLOOKUP($B13,B$233:AG$265,AY$4,FALSE)*(1+Inflation1)^(Year1-Real_Year),0)</f>
        <v>8.3192967782470504</v>
      </c>
      <c r="AZ13" s="503">
        <f t="shared" ref="AZ13:BC37" si="28">IF(EE="YES",VLOOKUP($B13,$B$184:$CR$216,AZ$4,FALSE)*(1+Inflation1)^(Year1-Real_Year),"")</f>
        <v>5.7250244178971101E-2</v>
      </c>
      <c r="BA13" s="502">
        <f t="shared" si="28"/>
        <v>6.2903860472278E-2</v>
      </c>
      <c r="BB13" s="502">
        <f t="shared" si="28"/>
        <v>5.5510790793546157E-2</v>
      </c>
      <c r="BC13" s="508">
        <f t="shared" si="28"/>
        <v>6.9980052160592096E-2</v>
      </c>
      <c r="BE13" s="681"/>
    </row>
    <row r="14" spans="1:57" s="324" customFormat="1" ht="14.25">
      <c r="A14" s="509">
        <v>2</v>
      </c>
      <c r="B14" s="509">
        <f t="shared" ref="B14:B37" si="29">B13+1</f>
        <v>2025</v>
      </c>
      <c r="C14" s="499">
        <f t="shared" si="10"/>
        <v>7.4085364808210472E-2</v>
      </c>
      <c r="D14" s="500">
        <f t="shared" si="10"/>
        <v>7.2716291209235742E-2</v>
      </c>
      <c r="E14" s="500">
        <f t="shared" si="10"/>
        <v>5.2396106660418815E-2</v>
      </c>
      <c r="F14" s="501">
        <f t="shared" si="10"/>
        <v>4.9885767636805148E-2</v>
      </c>
      <c r="G14" s="1343">
        <f t="shared" si="11"/>
        <v>6.5580461286269412E-3</v>
      </c>
      <c r="H14" s="1344">
        <f t="shared" si="11"/>
        <v>5.533577540203837E-3</v>
      </c>
      <c r="I14" s="1344">
        <f t="shared" si="11"/>
        <v>3.6845028599055193E-3</v>
      </c>
      <c r="J14" s="1344">
        <f t="shared" si="11"/>
        <v>2.2319433543216286E-3</v>
      </c>
      <c r="K14" s="1343">
        <f t="shared" si="12"/>
        <v>2.2839740627582776E-3</v>
      </c>
      <c r="L14" s="1136">
        <f t="shared" ref="L14:N37" si="30">VLOOKUP($B14,$B$184:$U$215,L$4,FALSE)*(1+Inflation1)^(Year1-Real_Year)</f>
        <v>45.446071615682463</v>
      </c>
      <c r="M14" s="505">
        <f t="shared" si="30"/>
        <v>0</v>
      </c>
      <c r="N14" s="510">
        <f t="shared" si="30"/>
        <v>0</v>
      </c>
      <c r="O14" s="1131">
        <f t="shared" ref="O14:O37" si="31">0*((1+Inflation1)^(Year1-Real_Year))</f>
        <v>0</v>
      </c>
      <c r="P14" s="683">
        <f t="shared" si="13"/>
        <v>11.854747988023897</v>
      </c>
      <c r="Q14" s="683">
        <f t="shared" si="13"/>
        <v>0</v>
      </c>
      <c r="R14" s="1367">
        <f t="shared" si="13"/>
        <v>0</v>
      </c>
      <c r="S14" s="505" t="str">
        <f t="shared" si="14"/>
        <v/>
      </c>
      <c r="T14" s="505" t="str">
        <f t="shared" si="14"/>
        <v/>
      </c>
      <c r="U14" s="684" t="str">
        <f t="shared" si="15"/>
        <v/>
      </c>
      <c r="V14" s="504">
        <f t="shared" si="16"/>
        <v>100.89719194799997</v>
      </c>
      <c r="W14" s="505">
        <f t="shared" si="17"/>
        <v>0</v>
      </c>
      <c r="X14" s="506">
        <f t="shared" ref="X14:X37" si="32">distributionyear1*(1+Inflation1)^(Year1-TD_Year)</f>
        <v>122.66846416906023</v>
      </c>
      <c r="Y14" s="504">
        <f t="shared" si="18"/>
        <v>6.2592771081859482</v>
      </c>
      <c r="Z14" s="505">
        <f t="shared" si="18"/>
        <v>7.3350933942681875</v>
      </c>
      <c r="AA14" s="505">
        <f t="shared" si="18"/>
        <v>10.273851999636038</v>
      </c>
      <c r="AB14" s="505">
        <f t="shared" si="18"/>
        <v>9.2459978703439489</v>
      </c>
      <c r="AC14" s="505">
        <f t="shared" si="18"/>
        <v>7.22631016965319</v>
      </c>
      <c r="AD14" s="505">
        <f t="shared" si="18"/>
        <v>9.5786220149127388</v>
      </c>
      <c r="AE14" s="506">
        <f t="shared" si="18"/>
        <v>8.9428620567344819</v>
      </c>
      <c r="AF14" s="1348">
        <f t="shared" si="19"/>
        <v>2.1487575589885549E-3</v>
      </c>
      <c r="AG14" s="1343">
        <f t="shared" si="20"/>
        <v>0.29970561937282164</v>
      </c>
      <c r="AH14" s="1344">
        <f t="shared" si="20"/>
        <v>0.29970561937282164</v>
      </c>
      <c r="AI14" s="1344">
        <f t="shared" si="20"/>
        <v>0.55366444862412589</v>
      </c>
      <c r="AJ14" s="1344">
        <f t="shared" si="20"/>
        <v>0.47057915263450167</v>
      </c>
      <c r="AK14" s="1344">
        <f t="shared" si="20"/>
        <v>0.29970561937282164</v>
      </c>
      <c r="AL14" s="1344">
        <f t="shared" si="20"/>
        <v>0.55366444862412589</v>
      </c>
      <c r="AM14" s="1344">
        <f t="shared" si="20"/>
        <v>0.48502692720485446</v>
      </c>
      <c r="AN14" s="504">
        <f t="shared" si="21"/>
        <v>28.129458365278271</v>
      </c>
      <c r="AO14" s="505">
        <f t="shared" si="21"/>
        <v>25.568145703000937</v>
      </c>
      <c r="AP14" s="505">
        <f t="shared" si="21"/>
        <v>24.408255139354718</v>
      </c>
      <c r="AQ14" s="501">
        <f t="shared" si="22"/>
        <v>1.4719903619926717E-2</v>
      </c>
      <c r="AR14" s="505">
        <f t="shared" si="23"/>
        <v>34.628193734162039</v>
      </c>
      <c r="AS14" s="506">
        <f t="shared" si="24"/>
        <v>45.845183818598734</v>
      </c>
      <c r="AT14" s="504">
        <f t="shared" si="24"/>
        <v>24.380730372856238</v>
      </c>
      <c r="AU14" s="505">
        <f t="shared" si="24"/>
        <v>26.290393739901187</v>
      </c>
      <c r="AV14" s="503">
        <f t="shared" si="25"/>
        <v>1.2887610361054973E-2</v>
      </c>
      <c r="AW14" s="508">
        <f t="shared" si="26"/>
        <v>1.2887610361054973E-2</v>
      </c>
      <c r="AX14" s="1355">
        <f t="shared" ref="AX14:AX37" si="33">1*(1+Inflation1)^(Year1-HEA_NEI_Yr)</f>
        <v>1.5336732814058982</v>
      </c>
      <c r="AY14" s="507">
        <f t="shared" si="27"/>
        <v>8.7221118683502485</v>
      </c>
      <c r="AZ14" s="503">
        <f t="shared" si="28"/>
        <v>5.7724279574202016E-2</v>
      </c>
      <c r="BA14" s="502">
        <f t="shared" si="28"/>
        <v>6.3899259146648263E-2</v>
      </c>
      <c r="BB14" s="502">
        <f t="shared" si="28"/>
        <v>5.8888891309539254E-2</v>
      </c>
      <c r="BC14" s="508">
        <f t="shared" si="28"/>
        <v>7.0016622182808366E-2</v>
      </c>
      <c r="BE14" s="681"/>
    </row>
    <row r="15" spans="1:57" s="324" customFormat="1" ht="14.25">
      <c r="A15" s="509">
        <f t="shared" ref="A15:A37" si="34">A14+1</f>
        <v>3</v>
      </c>
      <c r="B15" s="509">
        <f t="shared" si="29"/>
        <v>2026</v>
      </c>
      <c r="C15" s="499">
        <f t="shared" si="10"/>
        <v>7.4870752419033848E-2</v>
      </c>
      <c r="D15" s="500">
        <f t="shared" si="10"/>
        <v>7.157783960060865E-2</v>
      </c>
      <c r="E15" s="500">
        <f t="shared" si="10"/>
        <v>5.3540033347922324E-2</v>
      </c>
      <c r="F15" s="501">
        <f t="shared" si="10"/>
        <v>4.8656981244529676E-2</v>
      </c>
      <c r="G15" s="1343">
        <f t="shared" si="11"/>
        <v>7.7117473267769646E-3</v>
      </c>
      <c r="H15" s="1344">
        <f t="shared" si="11"/>
        <v>6.8210262284407368E-3</v>
      </c>
      <c r="I15" s="1344">
        <f t="shared" si="11"/>
        <v>4.0800388902395984E-3</v>
      </c>
      <c r="J15" s="1344">
        <f t="shared" si="11"/>
        <v>2.6992989015617239E-3</v>
      </c>
      <c r="K15" s="1343">
        <f t="shared" si="12"/>
        <v>2.7601407308721765E-3</v>
      </c>
      <c r="L15" s="1136">
        <f t="shared" si="30"/>
        <v>48.100847169471997</v>
      </c>
      <c r="M15" s="505">
        <f t="shared" si="30"/>
        <v>17.558086691547583</v>
      </c>
      <c r="N15" s="510">
        <f t="shared" si="30"/>
        <v>17.558086691547583</v>
      </c>
      <c r="O15" s="1131">
        <f t="shared" si="31"/>
        <v>0</v>
      </c>
      <c r="P15" s="683">
        <f t="shared" si="13"/>
        <v>14.955389618108946</v>
      </c>
      <c r="Q15" s="683">
        <f t="shared" si="13"/>
        <v>0</v>
      </c>
      <c r="R15" s="1367">
        <f t="shared" si="13"/>
        <v>0</v>
      </c>
      <c r="S15" s="505" t="str">
        <f t="shared" si="14"/>
        <v/>
      </c>
      <c r="T15" s="505" t="str">
        <f t="shared" si="14"/>
        <v/>
      </c>
      <c r="U15" s="684" t="str">
        <f t="shared" si="15"/>
        <v/>
      </c>
      <c r="V15" s="504">
        <f t="shared" si="16"/>
        <v>100.89719194799997</v>
      </c>
      <c r="W15" s="505">
        <f t="shared" si="17"/>
        <v>0</v>
      </c>
      <c r="X15" s="506">
        <f t="shared" si="32"/>
        <v>122.66846416906023</v>
      </c>
      <c r="Y15" s="504">
        <f t="shared" si="18"/>
        <v>6.3839830752710451</v>
      </c>
      <c r="Z15" s="505">
        <f t="shared" si="18"/>
        <v>7.4548878677456081</v>
      </c>
      <c r="AA15" s="505">
        <f t="shared" si="18"/>
        <v>10.382803937226528</v>
      </c>
      <c r="AB15" s="505">
        <f t="shared" si="18"/>
        <v>9.358800235947303</v>
      </c>
      <c r="AC15" s="505">
        <f t="shared" si="18"/>
        <v>7.3461364047486946</v>
      </c>
      <c r="AD15" s="505">
        <f t="shared" si="18"/>
        <v>9.6901913756335851</v>
      </c>
      <c r="AE15" s="506">
        <f t="shared" si="18"/>
        <v>9.0566630051241557</v>
      </c>
      <c r="AF15" s="1348">
        <f t="shared" si="19"/>
        <v>2.7241227730777392E-3</v>
      </c>
      <c r="AG15" s="1343">
        <f t="shared" si="20"/>
        <v>0.36206135099686182</v>
      </c>
      <c r="AH15" s="1344">
        <f t="shared" si="20"/>
        <v>0.36206135099686182</v>
      </c>
      <c r="AI15" s="1344">
        <f t="shared" si="20"/>
        <v>0.6686275255729478</v>
      </c>
      <c r="AJ15" s="1344">
        <f t="shared" si="20"/>
        <v>0.56833118450793207</v>
      </c>
      <c r="AK15" s="1344">
        <f t="shared" si="20"/>
        <v>0.36206135099686182</v>
      </c>
      <c r="AL15" s="1344">
        <f t="shared" si="20"/>
        <v>0.6686275255729478</v>
      </c>
      <c r="AM15" s="1344">
        <f t="shared" si="20"/>
        <v>0.58577180271454621</v>
      </c>
      <c r="AN15" s="504">
        <f t="shared" si="21"/>
        <v>29.156510989485934</v>
      </c>
      <c r="AO15" s="505">
        <f t="shared" si="21"/>
        <v>25.565643353541759</v>
      </c>
      <c r="AP15" s="505">
        <f t="shared" si="21"/>
        <v>24.425498602585051</v>
      </c>
      <c r="AQ15" s="501">
        <f t="shared" si="22"/>
        <v>1.5059480145462502E-2</v>
      </c>
      <c r="AR15" s="505">
        <f t="shared" si="23"/>
        <v>35.892525836984973</v>
      </c>
      <c r="AS15" s="506">
        <f t="shared" si="24"/>
        <v>46.87223644280639</v>
      </c>
      <c r="AT15" s="504">
        <f t="shared" si="24"/>
        <v>25.270910794547191</v>
      </c>
      <c r="AU15" s="505">
        <f t="shared" si="24"/>
        <v>27.250299100729176</v>
      </c>
      <c r="AV15" s="503">
        <f t="shared" si="25"/>
        <v>1.2887610361054973E-2</v>
      </c>
      <c r="AW15" s="508">
        <f t="shared" si="26"/>
        <v>1.2887610361054973E-2</v>
      </c>
      <c r="AX15" s="1355">
        <f t="shared" si="33"/>
        <v>1.5336732814058982</v>
      </c>
      <c r="AY15" s="507">
        <f t="shared" si="27"/>
        <v>9.1494487867117691</v>
      </c>
      <c r="AZ15" s="503">
        <f t="shared" si="28"/>
        <v>5.2957862816418046E-2</v>
      </c>
      <c r="BA15" s="502">
        <f t="shared" si="28"/>
        <v>6.1471295460255655E-2</v>
      </c>
      <c r="BB15" s="502">
        <f t="shared" si="28"/>
        <v>5.404559120789524E-2</v>
      </c>
      <c r="BC15" s="508">
        <f t="shared" si="28"/>
        <v>6.572712467241261E-2</v>
      </c>
      <c r="BE15" s="681"/>
    </row>
    <row r="16" spans="1:57" s="324" customFormat="1" ht="14.25">
      <c r="A16" s="509">
        <f t="shared" si="34"/>
        <v>4</v>
      </c>
      <c r="B16" s="509">
        <f t="shared" si="29"/>
        <v>2027</v>
      </c>
      <c r="C16" s="499">
        <f t="shared" si="10"/>
        <v>7.5348849168056259E-2</v>
      </c>
      <c r="D16" s="500">
        <f t="shared" si="10"/>
        <v>6.9711818390698954E-2</v>
      </c>
      <c r="E16" s="500">
        <f t="shared" si="10"/>
        <v>5.4974950330383687E-2</v>
      </c>
      <c r="F16" s="501">
        <f t="shared" si="10"/>
        <v>4.7816683350820934E-2</v>
      </c>
      <c r="G16" s="1343">
        <f t="shared" si="11"/>
        <v>7.9409624399344961E-3</v>
      </c>
      <c r="H16" s="1344">
        <f t="shared" si="11"/>
        <v>7.0378502344515441E-3</v>
      </c>
      <c r="I16" s="1344">
        <f t="shared" si="11"/>
        <v>4.5278229818328485E-3</v>
      </c>
      <c r="J16" s="1344">
        <f t="shared" si="11"/>
        <v>2.9532498040088437E-3</v>
      </c>
      <c r="K16" s="1343">
        <f t="shared" si="12"/>
        <v>2.4738607962183795E-3</v>
      </c>
      <c r="L16" s="1136">
        <f t="shared" si="30"/>
        <v>51.962685541797107</v>
      </c>
      <c r="M16" s="505">
        <f t="shared" si="30"/>
        <v>31.858554274539078</v>
      </c>
      <c r="N16" s="510">
        <f t="shared" si="30"/>
        <v>31.858554274539078</v>
      </c>
      <c r="O16" s="1131">
        <f t="shared" si="31"/>
        <v>0</v>
      </c>
      <c r="P16" s="683">
        <f t="shared" si="13"/>
        <v>12.804060058768412</v>
      </c>
      <c r="Q16" s="683">
        <f t="shared" si="13"/>
        <v>0</v>
      </c>
      <c r="R16" s="1367">
        <f t="shared" si="13"/>
        <v>0</v>
      </c>
      <c r="S16" s="505" t="str">
        <f t="shared" si="14"/>
        <v/>
      </c>
      <c r="T16" s="505" t="str">
        <f t="shared" si="14"/>
        <v/>
      </c>
      <c r="U16" s="684" t="str">
        <f t="shared" si="15"/>
        <v/>
      </c>
      <c r="V16" s="504">
        <f t="shared" si="16"/>
        <v>100.89719194799997</v>
      </c>
      <c r="W16" s="505">
        <f t="shared" si="17"/>
        <v>0</v>
      </c>
      <c r="X16" s="506">
        <f t="shared" si="32"/>
        <v>122.66846416906023</v>
      </c>
      <c r="Y16" s="504">
        <f t="shared" si="18"/>
        <v>6.4586616689854024</v>
      </c>
      <c r="Z16" s="505">
        <f t="shared" si="18"/>
        <v>7.523459890560912</v>
      </c>
      <c r="AA16" s="505">
        <f t="shared" si="18"/>
        <v>10.437847583873454</v>
      </c>
      <c r="AB16" s="505">
        <f t="shared" si="18"/>
        <v>9.4186467816430834</v>
      </c>
      <c r="AC16" s="505">
        <f t="shared" si="18"/>
        <v>7.4146721916234082</v>
      </c>
      <c r="AD16" s="505">
        <f t="shared" si="18"/>
        <v>9.748810568044993</v>
      </c>
      <c r="AE16" s="506">
        <f t="shared" si="18"/>
        <v>9.1179623582013214</v>
      </c>
      <c r="AF16" s="1348">
        <f t="shared" si="19"/>
        <v>2.7475897064045446E-3</v>
      </c>
      <c r="AG16" s="1343">
        <f t="shared" si="20"/>
        <v>0.32420258080328668</v>
      </c>
      <c r="AH16" s="1344">
        <f t="shared" si="20"/>
        <v>0.32420258080328668</v>
      </c>
      <c r="AI16" s="1344">
        <f t="shared" si="20"/>
        <v>0.59783504213056193</v>
      </c>
      <c r="AJ16" s="1344">
        <f t="shared" si="20"/>
        <v>0.50831331095558918</v>
      </c>
      <c r="AK16" s="1344">
        <f t="shared" si="20"/>
        <v>0.32420258080328668</v>
      </c>
      <c r="AL16" s="1344">
        <f t="shared" si="20"/>
        <v>0.59783504213056193</v>
      </c>
      <c r="AM16" s="1344">
        <f t="shared" si="20"/>
        <v>0.52388032285291997</v>
      </c>
      <c r="AN16" s="504">
        <f t="shared" si="21"/>
        <v>29.503838546145232</v>
      </c>
      <c r="AO16" s="505">
        <f t="shared" si="21"/>
        <v>25.933434908135304</v>
      </c>
      <c r="AP16" s="505">
        <f t="shared" si="21"/>
        <v>24.78173935513243</v>
      </c>
      <c r="AQ16" s="501">
        <f t="shared" si="22"/>
        <v>1.5464178521798289E-2</v>
      </c>
      <c r="AR16" s="505">
        <f t="shared" si="23"/>
        <v>36.320096313637215</v>
      </c>
      <c r="AS16" s="506">
        <f t="shared" si="24"/>
        <v>47.219563999465691</v>
      </c>
      <c r="AT16" s="504">
        <f t="shared" si="24"/>
        <v>25.571951056325783</v>
      </c>
      <c r="AU16" s="505">
        <f t="shared" si="24"/>
        <v>27.574918867761813</v>
      </c>
      <c r="AV16" s="503">
        <f t="shared" si="25"/>
        <v>1.2887610361054973E-2</v>
      </c>
      <c r="AW16" s="508">
        <f t="shared" si="26"/>
        <v>1.2887610361054973E-2</v>
      </c>
      <c r="AX16" s="1355">
        <f t="shared" si="33"/>
        <v>1.5336732814058982</v>
      </c>
      <c r="AY16" s="507">
        <f t="shared" si="27"/>
        <v>9.5993377492254695</v>
      </c>
      <c r="AZ16" s="503">
        <f t="shared" si="28"/>
        <v>4.7711278889676391E-2</v>
      </c>
      <c r="BA16" s="502">
        <f t="shared" si="28"/>
        <v>5.7664529250088012E-2</v>
      </c>
      <c r="BB16" s="502">
        <f t="shared" si="28"/>
        <v>5.3158569455399235E-2</v>
      </c>
      <c r="BC16" s="508">
        <f t="shared" si="28"/>
        <v>6.5019432915207287E-2</v>
      </c>
      <c r="BE16" s="681"/>
    </row>
    <row r="17" spans="1:57" s="324" customFormat="1" ht="14.25">
      <c r="A17" s="509">
        <f t="shared" si="34"/>
        <v>5</v>
      </c>
      <c r="B17" s="509">
        <f t="shared" si="29"/>
        <v>2028</v>
      </c>
      <c r="C17" s="499">
        <f t="shared" si="10"/>
        <v>7.2385240147980895E-2</v>
      </c>
      <c r="D17" s="500">
        <f t="shared" si="10"/>
        <v>7.2051081067307066E-2</v>
      </c>
      <c r="E17" s="500">
        <f t="shared" si="10"/>
        <v>5.2515577680718462E-2</v>
      </c>
      <c r="F17" s="501">
        <f t="shared" si="10"/>
        <v>5.096855687376018E-2</v>
      </c>
      <c r="G17" s="1343">
        <f t="shared" si="11"/>
        <v>7.8569476253097237E-3</v>
      </c>
      <c r="H17" s="1344">
        <f t="shared" si="11"/>
        <v>6.9762572987815442E-3</v>
      </c>
      <c r="I17" s="1344">
        <f t="shared" si="11"/>
        <v>4.5582080809384922E-3</v>
      </c>
      <c r="J17" s="1344">
        <f t="shared" si="11"/>
        <v>2.9484839832621787E-3</v>
      </c>
      <c r="K17" s="1343">
        <f t="shared" si="12"/>
        <v>2.2106825695158588E-3</v>
      </c>
      <c r="L17" s="1136">
        <f t="shared" si="30"/>
        <v>55.148108889031022</v>
      </c>
      <c r="M17" s="505">
        <f t="shared" si="30"/>
        <v>47.528846164922498</v>
      </c>
      <c r="N17" s="510">
        <f t="shared" si="30"/>
        <v>47.528846164922498</v>
      </c>
      <c r="O17" s="1131">
        <f t="shared" si="31"/>
        <v>0</v>
      </c>
      <c r="P17" s="683">
        <f t="shared" si="13"/>
        <v>8.7202524028246469</v>
      </c>
      <c r="Q17" s="683">
        <f t="shared" si="13"/>
        <v>0</v>
      </c>
      <c r="R17" s="1367">
        <f t="shared" si="13"/>
        <v>0</v>
      </c>
      <c r="S17" s="505" t="str">
        <f t="shared" si="14"/>
        <v/>
      </c>
      <c r="T17" s="505" t="str">
        <f t="shared" si="14"/>
        <v/>
      </c>
      <c r="U17" s="684" t="str">
        <f t="shared" si="15"/>
        <v/>
      </c>
      <c r="V17" s="504">
        <f t="shared" si="16"/>
        <v>100.89719194799997</v>
      </c>
      <c r="W17" s="505">
        <f t="shared" si="17"/>
        <v>0</v>
      </c>
      <c r="X17" s="506">
        <f t="shared" si="32"/>
        <v>122.66846416906023</v>
      </c>
      <c r="Y17" s="504">
        <f t="shared" si="18"/>
        <v>6.6332412909967804</v>
      </c>
      <c r="Z17" s="505">
        <f t="shared" si="18"/>
        <v>7.6945155744685403</v>
      </c>
      <c r="AA17" s="505">
        <f t="shared" si="18"/>
        <v>10.601178422653543</v>
      </c>
      <c r="AB17" s="505">
        <f t="shared" si="18"/>
        <v>9.5847224116132779</v>
      </c>
      <c r="AC17" s="505">
        <f t="shared" si="18"/>
        <v>7.5858278794912923</v>
      </c>
      <c r="AD17" s="505">
        <f t="shared" si="18"/>
        <v>9.9136928609045007</v>
      </c>
      <c r="AE17" s="506">
        <f t="shared" si="18"/>
        <v>9.2845401632252553</v>
      </c>
      <c r="AF17" s="1348">
        <f t="shared" si="19"/>
        <v>2.762012354064417E-3</v>
      </c>
      <c r="AG17" s="1343">
        <f t="shared" si="20"/>
        <v>0.28940602076682942</v>
      </c>
      <c r="AH17" s="1344">
        <f t="shared" si="20"/>
        <v>0.28940602076682942</v>
      </c>
      <c r="AI17" s="1344">
        <f t="shared" si="20"/>
        <v>0.53264464045216975</v>
      </c>
      <c r="AJ17" s="1344">
        <f t="shared" si="20"/>
        <v>0.45306657351807689</v>
      </c>
      <c r="AK17" s="1344">
        <f t="shared" si="20"/>
        <v>0.28940602076682942</v>
      </c>
      <c r="AL17" s="1344">
        <f t="shared" si="20"/>
        <v>0.53264464045216975</v>
      </c>
      <c r="AM17" s="1344">
        <f t="shared" si="20"/>
        <v>0.46690447296964527</v>
      </c>
      <c r="AN17" s="504">
        <f t="shared" si="21"/>
        <v>30.054327931929116</v>
      </c>
      <c r="AO17" s="505">
        <f t="shared" si="21"/>
        <v>26.487123635778001</v>
      </c>
      <c r="AP17" s="505">
        <f t="shared" si="21"/>
        <v>25.325187494459126</v>
      </c>
      <c r="AQ17" s="501">
        <f t="shared" si="22"/>
        <v>1.5877823166065064E-2</v>
      </c>
      <c r="AR17" s="505">
        <f t="shared" si="23"/>
        <v>36.997765000036601</v>
      </c>
      <c r="AS17" s="506">
        <f t="shared" si="24"/>
        <v>47.770053385249575</v>
      </c>
      <c r="AT17" s="504">
        <f t="shared" si="24"/>
        <v>26.049078383614919</v>
      </c>
      <c r="AU17" s="505">
        <f t="shared" si="24"/>
        <v>28.089418027822393</v>
      </c>
      <c r="AV17" s="503">
        <f t="shared" si="25"/>
        <v>1.2887610361054973E-2</v>
      </c>
      <c r="AW17" s="508">
        <f t="shared" si="26"/>
        <v>1.2887610361054973E-2</v>
      </c>
      <c r="AX17" s="1355">
        <f t="shared" si="33"/>
        <v>1.5336732814058982</v>
      </c>
      <c r="AY17" s="507">
        <f t="shared" si="27"/>
        <v>10.069893521246325</v>
      </c>
      <c r="AZ17" s="503">
        <f t="shared" si="28"/>
        <v>4.8082859971811734E-2</v>
      </c>
      <c r="BA17" s="502">
        <f t="shared" si="28"/>
        <v>5.1463571542689608E-2</v>
      </c>
      <c r="BB17" s="502">
        <f t="shared" si="28"/>
        <v>5.3553141984667124E-2</v>
      </c>
      <c r="BC17" s="508">
        <f t="shared" si="28"/>
        <v>5.760780381038734E-2</v>
      </c>
      <c r="BE17" s="681"/>
    </row>
    <row r="18" spans="1:57" s="324" customFormat="1" ht="14.25">
      <c r="A18" s="509">
        <f t="shared" si="34"/>
        <v>6</v>
      </c>
      <c r="B18" s="509">
        <f t="shared" si="29"/>
        <v>2029</v>
      </c>
      <c r="C18" s="499">
        <f t="shared" si="10"/>
        <v>7.3660056220151648E-2</v>
      </c>
      <c r="D18" s="500">
        <f t="shared" si="10"/>
        <v>7.4151208032951568E-2</v>
      </c>
      <c r="E18" s="500">
        <f t="shared" si="10"/>
        <v>5.3733480227607162E-2</v>
      </c>
      <c r="F18" s="501">
        <f t="shared" si="10"/>
        <v>5.1988679944915295E-2</v>
      </c>
      <c r="G18" s="1343">
        <f t="shared" si="11"/>
        <v>7.8095716847189174E-3</v>
      </c>
      <c r="H18" s="1344">
        <f t="shared" si="11"/>
        <v>6.734744444144145E-3</v>
      </c>
      <c r="I18" s="1344">
        <f t="shared" si="11"/>
        <v>4.6217486295771562E-3</v>
      </c>
      <c r="J18" s="1344">
        <f t="shared" si="11"/>
        <v>2.8290875377309102E-3</v>
      </c>
      <c r="K18" s="1343">
        <f t="shared" si="12"/>
        <v>1.5786848936886874E-3</v>
      </c>
      <c r="L18" s="1136">
        <f t="shared" si="30"/>
        <v>60.069701265093833</v>
      </c>
      <c r="M18" s="505">
        <f t="shared" si="30"/>
        <v>66.562034577825173</v>
      </c>
      <c r="N18" s="510">
        <f t="shared" si="30"/>
        <v>66.562034577825173</v>
      </c>
      <c r="O18" s="1131">
        <f t="shared" si="31"/>
        <v>0</v>
      </c>
      <c r="P18" s="683">
        <f t="shared" si="13"/>
        <v>4.4277489803671255</v>
      </c>
      <c r="Q18" s="683">
        <f t="shared" si="13"/>
        <v>9.5073292419532116</v>
      </c>
      <c r="R18" s="1367">
        <f t="shared" si="13"/>
        <v>9.5073292419532116</v>
      </c>
      <c r="S18" s="505" t="str">
        <f t="shared" si="14"/>
        <v/>
      </c>
      <c r="T18" s="505" t="str">
        <f t="shared" si="14"/>
        <v/>
      </c>
      <c r="U18" s="684" t="str">
        <f t="shared" si="15"/>
        <v/>
      </c>
      <c r="V18" s="504">
        <f t="shared" si="16"/>
        <v>100.89719194799997</v>
      </c>
      <c r="W18" s="505">
        <f t="shared" si="17"/>
        <v>0</v>
      </c>
      <c r="X18" s="506">
        <f t="shared" si="32"/>
        <v>122.66846416906023</v>
      </c>
      <c r="Y18" s="504">
        <f t="shared" si="18"/>
        <v>6.7880182551415924</v>
      </c>
      <c r="Z18" s="505">
        <f t="shared" si="18"/>
        <v>7.8452070251788228</v>
      </c>
      <c r="AA18" s="505">
        <f t="shared" si="18"/>
        <v>10.742887717419498</v>
      </c>
      <c r="AB18" s="505">
        <f t="shared" si="18"/>
        <v>9.7296225051409309</v>
      </c>
      <c r="AC18" s="505">
        <f t="shared" si="18"/>
        <v>7.7365890126275429</v>
      </c>
      <c r="AD18" s="505">
        <f t="shared" si="18"/>
        <v>10.057397575388567</v>
      </c>
      <c r="AE18" s="506">
        <f t="shared" si="18"/>
        <v>9.4301520178855878</v>
      </c>
      <c r="AF18" s="1348">
        <f t="shared" si="19"/>
        <v>2.7633632218292178E-3</v>
      </c>
      <c r="AG18" s="1343">
        <f t="shared" si="20"/>
        <v>0.20587864928008484</v>
      </c>
      <c r="AH18" s="1344">
        <f t="shared" si="20"/>
        <v>0.20587864928008484</v>
      </c>
      <c r="AI18" s="1344">
        <f t="shared" si="20"/>
        <v>0.37640476781689075</v>
      </c>
      <c r="AJ18" s="1344">
        <f t="shared" si="20"/>
        <v>0.32061535866596041</v>
      </c>
      <c r="AK18" s="1344">
        <f t="shared" si="20"/>
        <v>0.20587864928008484</v>
      </c>
      <c r="AL18" s="1344">
        <f t="shared" si="20"/>
        <v>0.37640476781689075</v>
      </c>
      <c r="AM18" s="1344">
        <f t="shared" si="20"/>
        <v>0.33031662767180803</v>
      </c>
      <c r="AN18" s="504">
        <f t="shared" si="21"/>
        <v>30.315442009123451</v>
      </c>
      <c r="AO18" s="505">
        <f t="shared" si="21"/>
        <v>26.745899441021351</v>
      </c>
      <c r="AP18" s="505">
        <f t="shared" si="21"/>
        <v>25.581284900125443</v>
      </c>
      <c r="AQ18" s="501">
        <f t="shared" si="22"/>
        <v>1.6088723591141808E-2</v>
      </c>
      <c r="AR18" s="505">
        <f t="shared" si="23"/>
        <v>37.319204138124071</v>
      </c>
      <c r="AS18" s="506">
        <f t="shared" si="24"/>
        <v>48.031167462443911</v>
      </c>
      <c r="AT18" s="504">
        <f t="shared" si="24"/>
        <v>26.275394576055024</v>
      </c>
      <c r="AU18" s="505">
        <f t="shared" si="24"/>
        <v>28.333460832035914</v>
      </c>
      <c r="AV18" s="503">
        <f t="shared" si="25"/>
        <v>1.2887610361054973E-2</v>
      </c>
      <c r="AW18" s="508">
        <f t="shared" si="26"/>
        <v>1.2887610361054973E-2</v>
      </c>
      <c r="AX18" s="1355">
        <f t="shared" si="33"/>
        <v>1.5336732814058982</v>
      </c>
      <c r="AY18" s="507">
        <f t="shared" si="27"/>
        <v>10.559312531186972</v>
      </c>
      <c r="AZ18" s="503">
        <f t="shared" si="28"/>
        <v>4.5793798316132402E-2</v>
      </c>
      <c r="BA18" s="502">
        <f t="shared" si="28"/>
        <v>4.686494257929455E-2</v>
      </c>
      <c r="BB18" s="502">
        <f t="shared" si="28"/>
        <v>4.912352096490951E-2</v>
      </c>
      <c r="BC18" s="508">
        <f t="shared" si="28"/>
        <v>5.1821369201745571E-2</v>
      </c>
      <c r="BE18" s="681"/>
    </row>
    <row r="19" spans="1:57" s="324" customFormat="1" ht="14.25">
      <c r="A19" s="509">
        <f t="shared" si="34"/>
        <v>7</v>
      </c>
      <c r="B19" s="509">
        <f t="shared" si="29"/>
        <v>2030</v>
      </c>
      <c r="C19" s="499">
        <f t="shared" si="10"/>
        <v>7.7595572092513332E-2</v>
      </c>
      <c r="D19" s="500">
        <f t="shared" si="10"/>
        <v>7.7855220251768303E-2</v>
      </c>
      <c r="E19" s="500">
        <f t="shared" si="10"/>
        <v>5.8640566767324077E-2</v>
      </c>
      <c r="F19" s="501">
        <f t="shared" si="10"/>
        <v>5.6667521359326699E-2</v>
      </c>
      <c r="G19" s="1343">
        <f t="shared" si="11"/>
        <v>7.6566618873926753E-3</v>
      </c>
      <c r="H19" s="1344">
        <f t="shared" si="11"/>
        <v>6.3553558248548719E-3</v>
      </c>
      <c r="I19" s="1344">
        <f t="shared" si="11"/>
        <v>4.6369042029558083E-3</v>
      </c>
      <c r="J19" s="1344">
        <f t="shared" si="11"/>
        <v>2.6954143286530546E-3</v>
      </c>
      <c r="K19" s="1343">
        <f t="shared" si="12"/>
        <v>9.8175573536872984E-4</v>
      </c>
      <c r="L19" s="1136">
        <f t="shared" si="30"/>
        <v>57.164514843752848</v>
      </c>
      <c r="M19" s="505">
        <f t="shared" si="30"/>
        <v>70.380950675628497</v>
      </c>
      <c r="N19" s="510">
        <f t="shared" si="30"/>
        <v>70.380950675628497</v>
      </c>
      <c r="O19" s="1131">
        <f t="shared" si="31"/>
        <v>0</v>
      </c>
      <c r="P19" s="683">
        <f t="shared" si="13"/>
        <v>0</v>
      </c>
      <c r="Q19" s="683">
        <f t="shared" si="13"/>
        <v>21.014657327267173</v>
      </c>
      <c r="R19" s="1367">
        <f t="shared" si="13"/>
        <v>21.014657327267173</v>
      </c>
      <c r="S19" s="505" t="str">
        <f t="shared" si="14"/>
        <v/>
      </c>
      <c r="T19" s="505" t="str">
        <f t="shared" si="14"/>
        <v/>
      </c>
      <c r="U19" s="684" t="str">
        <f t="shared" si="15"/>
        <v/>
      </c>
      <c r="V19" s="504">
        <f t="shared" si="16"/>
        <v>100.89719194799997</v>
      </c>
      <c r="W19" s="505">
        <f t="shared" si="17"/>
        <v>0</v>
      </c>
      <c r="X19" s="506">
        <f t="shared" si="32"/>
        <v>122.66846416906023</v>
      </c>
      <c r="Y19" s="504">
        <f t="shared" si="18"/>
        <v>6.8637672724790724</v>
      </c>
      <c r="Z19" s="505">
        <f t="shared" si="18"/>
        <v>7.9153159361204528</v>
      </c>
      <c r="AA19" s="505">
        <f t="shared" si="18"/>
        <v>10.800506116276692</v>
      </c>
      <c r="AB19" s="505">
        <f t="shared" si="18"/>
        <v>9.7916754608156165</v>
      </c>
      <c r="AC19" s="505">
        <f t="shared" si="18"/>
        <v>7.8066705121838256</v>
      </c>
      <c r="AD19" s="505">
        <f t="shared" si="18"/>
        <v>10.118292815647701</v>
      </c>
      <c r="AE19" s="506">
        <f t="shared" si="18"/>
        <v>9.4935300309277331</v>
      </c>
      <c r="AF19" s="1348">
        <f t="shared" si="19"/>
        <v>2.7644881079976753E-3</v>
      </c>
      <c r="AG19" s="1343">
        <f t="shared" si="20"/>
        <v>0.1269862260665191</v>
      </c>
      <c r="AH19" s="1344">
        <f t="shared" si="20"/>
        <v>0.1269862260665191</v>
      </c>
      <c r="AI19" s="1344">
        <f t="shared" si="20"/>
        <v>0.22896985233262082</v>
      </c>
      <c r="AJ19" s="1344">
        <f t="shared" si="20"/>
        <v>0.19560483880111842</v>
      </c>
      <c r="AK19" s="1344">
        <f t="shared" si="20"/>
        <v>0.1269862260665191</v>
      </c>
      <c r="AL19" s="1344">
        <f t="shared" si="20"/>
        <v>0.22896985233262082</v>
      </c>
      <c r="AM19" s="1344">
        <f t="shared" si="20"/>
        <v>0.20140671009853928</v>
      </c>
      <c r="AN19" s="504">
        <f t="shared" si="21"/>
        <v>30.82187881606977</v>
      </c>
      <c r="AO19" s="505">
        <f t="shared" si="21"/>
        <v>27.238869813655008</v>
      </c>
      <c r="AP19" s="505">
        <f t="shared" si="21"/>
        <v>26.070336727469815</v>
      </c>
      <c r="AQ19" s="501">
        <f t="shared" si="22"/>
        <v>1.6436344380691546E-2</v>
      </c>
      <c r="AR19" s="505">
        <f t="shared" si="23"/>
        <v>37.942642799378014</v>
      </c>
      <c r="AS19" s="506">
        <f t="shared" si="24"/>
        <v>48.537604269390222</v>
      </c>
      <c r="AT19" s="504">
        <f t="shared" si="24"/>
        <v>26.714340078691844</v>
      </c>
      <c r="AU19" s="505">
        <f t="shared" si="24"/>
        <v>28.806787509218999</v>
      </c>
      <c r="AV19" s="503">
        <f t="shared" si="25"/>
        <v>1.2887610361054973E-2</v>
      </c>
      <c r="AW19" s="508">
        <f t="shared" si="26"/>
        <v>1.2887610361054973E-2</v>
      </c>
      <c r="AX19" s="1355">
        <f t="shared" si="33"/>
        <v>1.5336732814058982</v>
      </c>
      <c r="AY19" s="507">
        <f t="shared" si="27"/>
        <v>11.075920816074666</v>
      </c>
      <c r="AZ19" s="503">
        <f t="shared" si="28"/>
        <v>4.2356041457462204E-2</v>
      </c>
      <c r="BA19" s="502">
        <f t="shared" si="28"/>
        <v>4.4549383729842899E-2</v>
      </c>
      <c r="BB19" s="502">
        <f t="shared" si="28"/>
        <v>4.8738922181443899E-2</v>
      </c>
      <c r="BC19" s="508">
        <f t="shared" si="28"/>
        <v>5.0598671234777889E-2</v>
      </c>
      <c r="BE19" s="681"/>
    </row>
    <row r="20" spans="1:57" s="324" customFormat="1" ht="14.25">
      <c r="A20" s="509">
        <f t="shared" si="34"/>
        <v>8</v>
      </c>
      <c r="B20" s="509">
        <f t="shared" si="29"/>
        <v>2031</v>
      </c>
      <c r="C20" s="499">
        <f t="shared" si="10"/>
        <v>7.856258182573915E-2</v>
      </c>
      <c r="D20" s="500">
        <f t="shared" si="10"/>
        <v>7.8746187929175177E-2</v>
      </c>
      <c r="E20" s="500">
        <f t="shared" si="10"/>
        <v>5.975587020469976E-2</v>
      </c>
      <c r="F20" s="501">
        <f t="shared" si="10"/>
        <v>5.7008198513503104E-2</v>
      </c>
      <c r="G20" s="1343">
        <f t="shared" si="11"/>
        <v>6.9537284822068076E-3</v>
      </c>
      <c r="H20" s="1344">
        <f t="shared" si="11"/>
        <v>6.2148763660688942E-3</v>
      </c>
      <c r="I20" s="1344">
        <f t="shared" si="11"/>
        <v>4.1968317736693636E-3</v>
      </c>
      <c r="J20" s="1344">
        <f t="shared" si="11"/>
        <v>2.7748153057647862E-3</v>
      </c>
      <c r="K20" s="1343">
        <f t="shared" si="12"/>
        <v>6.967703237419216E-4</v>
      </c>
      <c r="L20" s="1136">
        <f t="shared" si="30"/>
        <v>61.404667100169661</v>
      </c>
      <c r="M20" s="505">
        <f t="shared" si="30"/>
        <v>52.920998293610232</v>
      </c>
      <c r="N20" s="510">
        <f t="shared" si="30"/>
        <v>52.920998293610232</v>
      </c>
      <c r="O20" s="1131">
        <f t="shared" si="31"/>
        <v>0</v>
      </c>
      <c r="P20" s="683">
        <f t="shared" si="13"/>
        <v>0</v>
      </c>
      <c r="Q20" s="683">
        <f t="shared" si="13"/>
        <v>27.115638183553042</v>
      </c>
      <c r="R20" s="1367">
        <f t="shared" si="13"/>
        <v>27.115638183553042</v>
      </c>
      <c r="S20" s="505" t="str">
        <f t="shared" si="14"/>
        <v/>
      </c>
      <c r="T20" s="505" t="str">
        <f t="shared" si="14"/>
        <v/>
      </c>
      <c r="U20" s="684" t="str">
        <f t="shared" si="15"/>
        <v/>
      </c>
      <c r="V20" s="504">
        <f t="shared" si="16"/>
        <v>100.89719194799997</v>
      </c>
      <c r="W20" s="505">
        <f t="shared" si="17"/>
        <v>0</v>
      </c>
      <c r="X20" s="506">
        <f t="shared" si="32"/>
        <v>122.66846416906023</v>
      </c>
      <c r="Y20" s="504">
        <f t="shared" si="18"/>
        <v>6.8869407224298618</v>
      </c>
      <c r="Z20" s="505">
        <f t="shared" si="18"/>
        <v>7.9319311548409761</v>
      </c>
      <c r="AA20" s="505">
        <f t="shared" si="18"/>
        <v>10.802553890302429</v>
      </c>
      <c r="AB20" s="505">
        <f t="shared" si="18"/>
        <v>9.7988939563297848</v>
      </c>
      <c r="AC20" s="505">
        <f t="shared" si="18"/>
        <v>7.8231964509913023</v>
      </c>
      <c r="AD20" s="505">
        <f t="shared" si="18"/>
        <v>10.124393059312649</v>
      </c>
      <c r="AE20" s="506">
        <f t="shared" si="18"/>
        <v>9.502448030036609</v>
      </c>
      <c r="AF20" s="1348">
        <f t="shared" si="19"/>
        <v>2.7704540221411048E-3</v>
      </c>
      <c r="AG20" s="1343">
        <f t="shared" si="20"/>
        <v>8.9316043529277356E-2</v>
      </c>
      <c r="AH20" s="1344">
        <f t="shared" si="20"/>
        <v>8.9316043529277356E-2</v>
      </c>
      <c r="AI20" s="1344">
        <f t="shared" si="20"/>
        <v>0.15884654522535399</v>
      </c>
      <c r="AJ20" s="1344">
        <f t="shared" si="20"/>
        <v>0.13609891195441534</v>
      </c>
      <c r="AK20" s="1344">
        <f t="shared" si="20"/>
        <v>8.9316043529277356E-2</v>
      </c>
      <c r="AL20" s="1344">
        <f t="shared" si="20"/>
        <v>0.15884654522535399</v>
      </c>
      <c r="AM20" s="1344">
        <f t="shared" si="20"/>
        <v>0.14005451773992789</v>
      </c>
      <c r="AN20" s="504">
        <f t="shared" si="21"/>
        <v>31.089241312222597</v>
      </c>
      <c r="AO20" s="505">
        <f t="shared" si="21"/>
        <v>27.510985191000852</v>
      </c>
      <c r="AP20" s="505">
        <f t="shared" si="21"/>
        <v>26.33687985381226</v>
      </c>
      <c r="AQ20" s="501">
        <f t="shared" si="22"/>
        <v>1.6583122937935339E-2</v>
      </c>
      <c r="AR20" s="505">
        <f t="shared" si="23"/>
        <v>38.271773925680016</v>
      </c>
      <c r="AS20" s="506">
        <f t="shared" si="24"/>
        <v>48.80496676554305</v>
      </c>
      <c r="AT20" s="504">
        <f t="shared" si="24"/>
        <v>26.94607198216006</v>
      </c>
      <c r="AU20" s="505">
        <f t="shared" si="24"/>
        <v>29.056670219503143</v>
      </c>
      <c r="AV20" s="503">
        <f t="shared" si="25"/>
        <v>1.2887610361054973E-2</v>
      </c>
      <c r="AW20" s="508">
        <f t="shared" si="26"/>
        <v>1.2887610361054973E-2</v>
      </c>
      <c r="AX20" s="1355">
        <f t="shared" si="33"/>
        <v>1.5336732814058982</v>
      </c>
      <c r="AY20" s="507">
        <f t="shared" si="27"/>
        <v>11.618319483030298</v>
      </c>
      <c r="AZ20" s="503">
        <f t="shared" si="28"/>
        <v>3.8707544180192122E-2</v>
      </c>
      <c r="BA20" s="502">
        <f t="shared" si="28"/>
        <v>4.1363314228219469E-2</v>
      </c>
      <c r="BB20" s="502">
        <f t="shared" si="28"/>
        <v>4.3200807047872693E-2</v>
      </c>
      <c r="BC20" s="508">
        <f t="shared" si="28"/>
        <v>4.5876004205860493E-2</v>
      </c>
      <c r="BE20" s="681"/>
    </row>
    <row r="21" spans="1:57" s="324" customFormat="1" ht="14.25">
      <c r="A21" s="509">
        <f t="shared" si="34"/>
        <v>9</v>
      </c>
      <c r="B21" s="509">
        <f t="shared" si="29"/>
        <v>2032</v>
      </c>
      <c r="C21" s="499">
        <f t="shared" si="10"/>
        <v>8.1652556549365651E-2</v>
      </c>
      <c r="D21" s="500">
        <f t="shared" si="10"/>
        <v>7.744778609035867E-2</v>
      </c>
      <c r="E21" s="500">
        <f t="shared" si="10"/>
        <v>6.317876226120607E-2</v>
      </c>
      <c r="F21" s="501">
        <f t="shared" si="10"/>
        <v>5.5257292939734304E-2</v>
      </c>
      <c r="G21" s="1343">
        <f t="shared" si="11"/>
        <v>6.3856539376249124E-3</v>
      </c>
      <c r="H21" s="1344">
        <f t="shared" si="11"/>
        <v>5.7984629975009697E-3</v>
      </c>
      <c r="I21" s="1344">
        <f t="shared" si="11"/>
        <v>3.916533300493465E-3</v>
      </c>
      <c r="J21" s="1344">
        <f t="shared" si="11"/>
        <v>2.5784099241068685E-3</v>
      </c>
      <c r="K21" s="1343">
        <f t="shared" si="12"/>
        <v>4.3594204443966271E-4</v>
      </c>
      <c r="L21" s="1136">
        <f t="shared" si="30"/>
        <v>65.240443061686264</v>
      </c>
      <c r="M21" s="505">
        <f t="shared" si="30"/>
        <v>40.162016748774079</v>
      </c>
      <c r="N21" s="510">
        <f t="shared" si="30"/>
        <v>40.162016748774079</v>
      </c>
      <c r="O21" s="1131">
        <f t="shared" si="31"/>
        <v>0</v>
      </c>
      <c r="P21" s="683">
        <f t="shared" si="13"/>
        <v>0</v>
      </c>
      <c r="Q21" s="683">
        <f t="shared" si="13"/>
        <v>31.683866664217749</v>
      </c>
      <c r="R21" s="1367">
        <f t="shared" si="13"/>
        <v>31.683866664217749</v>
      </c>
      <c r="S21" s="505" t="str">
        <f t="shared" si="14"/>
        <v/>
      </c>
      <c r="T21" s="505" t="str">
        <f t="shared" si="14"/>
        <v/>
      </c>
      <c r="U21" s="684" t="str">
        <f t="shared" si="15"/>
        <v/>
      </c>
      <c r="V21" s="504">
        <f t="shared" si="16"/>
        <v>100.89719194799997</v>
      </c>
      <c r="W21" s="505">
        <f t="shared" si="17"/>
        <v>0</v>
      </c>
      <c r="X21" s="506">
        <f t="shared" si="32"/>
        <v>122.66846416906023</v>
      </c>
      <c r="Y21" s="504">
        <f t="shared" si="18"/>
        <v>6.9709286137806332</v>
      </c>
      <c r="Z21" s="505">
        <f t="shared" si="18"/>
        <v>8.0112112690251518</v>
      </c>
      <c r="AA21" s="505">
        <f t="shared" si="18"/>
        <v>10.871414690734422</v>
      </c>
      <c r="AB21" s="505">
        <f t="shared" si="18"/>
        <v>9.8714541481230853</v>
      </c>
      <c r="AC21" s="505">
        <f t="shared" si="18"/>
        <v>7.9024774292507036</v>
      </c>
      <c r="AD21" s="505">
        <f t="shared" si="18"/>
        <v>10.195886824567667</v>
      </c>
      <c r="AE21" s="506">
        <f t="shared" si="18"/>
        <v>9.5760464474549742</v>
      </c>
      <c r="AF21" s="1348">
        <f t="shared" si="19"/>
        <v>2.7772836881638854E-3</v>
      </c>
      <c r="AG21" s="1343">
        <f t="shared" si="20"/>
        <v>5.4837650013752119E-2</v>
      </c>
      <c r="AH21" s="1344">
        <f t="shared" si="20"/>
        <v>5.4837650013752119E-2</v>
      </c>
      <c r="AI21" s="1344">
        <f t="shared" si="20"/>
        <v>9.4974014138331606E-2</v>
      </c>
      <c r="AJ21" s="1344">
        <f t="shared" si="20"/>
        <v>8.1842981430907458E-2</v>
      </c>
      <c r="AK21" s="1344">
        <f t="shared" si="20"/>
        <v>5.4837650013752119E-2</v>
      </c>
      <c r="AL21" s="1344">
        <f t="shared" si="20"/>
        <v>9.4974014138331606E-2</v>
      </c>
      <c r="AM21" s="1344">
        <f t="shared" si="20"/>
        <v>8.412634815871553E-2</v>
      </c>
      <c r="AN21" s="504">
        <f t="shared" si="21"/>
        <v>31.416386475645965</v>
      </c>
      <c r="AO21" s="505">
        <f t="shared" si="21"/>
        <v>27.84018053274125</v>
      </c>
      <c r="AP21" s="505">
        <f t="shared" si="21"/>
        <v>26.660050475078968</v>
      </c>
      <c r="AQ21" s="501">
        <f t="shared" si="22"/>
        <v>1.6788887988634246E-2</v>
      </c>
      <c r="AR21" s="505">
        <f t="shared" si="23"/>
        <v>38.67449928039931</v>
      </c>
      <c r="AS21" s="506">
        <f t="shared" si="24"/>
        <v>49.132111928966424</v>
      </c>
      <c r="AT21" s="504">
        <f t="shared" si="24"/>
        <v>27.229619497317852</v>
      </c>
      <c r="AU21" s="505">
        <f t="shared" si="24"/>
        <v>29.362427089927674</v>
      </c>
      <c r="AV21" s="503">
        <f t="shared" si="25"/>
        <v>1.2887610361054973E-2</v>
      </c>
      <c r="AW21" s="508">
        <f t="shared" si="26"/>
        <v>1.2887610361054973E-2</v>
      </c>
      <c r="AX21" s="1355">
        <f t="shared" si="33"/>
        <v>1.5336732814058982</v>
      </c>
      <c r="AY21" s="507">
        <f t="shared" si="27"/>
        <v>12.187279942797625</v>
      </c>
      <c r="AZ21" s="503">
        <f t="shared" si="28"/>
        <v>3.4980617461020755E-2</v>
      </c>
      <c r="BA21" s="502">
        <f t="shared" si="28"/>
        <v>3.9085287689920728E-2</v>
      </c>
      <c r="BB21" s="502">
        <f t="shared" si="28"/>
        <v>3.7267562282080197E-2</v>
      </c>
      <c r="BC21" s="508">
        <f t="shared" si="28"/>
        <v>4.2057764469005152E-2</v>
      </c>
      <c r="BE21" s="681"/>
    </row>
    <row r="22" spans="1:57" s="324" customFormat="1" ht="14.25">
      <c r="A22" s="509">
        <f t="shared" si="34"/>
        <v>10</v>
      </c>
      <c r="B22" s="509">
        <f t="shared" si="29"/>
        <v>2033</v>
      </c>
      <c r="C22" s="499">
        <f t="shared" si="10"/>
        <v>7.6439661547826387E-2</v>
      </c>
      <c r="D22" s="500">
        <f t="shared" si="10"/>
        <v>7.4095301367188421E-2</v>
      </c>
      <c r="E22" s="500">
        <f t="shared" si="10"/>
        <v>5.8485411930251335E-2</v>
      </c>
      <c r="F22" s="501">
        <f t="shared" si="10"/>
        <v>5.322639263271995E-2</v>
      </c>
      <c r="G22" s="1343">
        <f t="shared" si="11"/>
        <v>5.3183294720757016E-3</v>
      </c>
      <c r="H22" s="1344">
        <f t="shared" si="11"/>
        <v>4.8116144664064843E-3</v>
      </c>
      <c r="I22" s="1344">
        <f t="shared" si="11"/>
        <v>3.3095319898586648E-3</v>
      </c>
      <c r="J22" s="1344">
        <f t="shared" si="11"/>
        <v>2.1708457052128133E-3</v>
      </c>
      <c r="K22" s="1343">
        <f t="shared" si="12"/>
        <v>2.0844094482535506E-4</v>
      </c>
      <c r="L22" s="1136">
        <f t="shared" si="30"/>
        <v>64.572556347048163</v>
      </c>
      <c r="M22" s="505">
        <f t="shared" si="30"/>
        <v>23.850519412345722</v>
      </c>
      <c r="N22" s="510">
        <f t="shared" si="30"/>
        <v>23.850519412345722</v>
      </c>
      <c r="O22" s="1131">
        <f t="shared" si="31"/>
        <v>0</v>
      </c>
      <c r="P22" s="683">
        <f t="shared" si="13"/>
        <v>0</v>
      </c>
      <c r="Q22" s="683">
        <f t="shared" si="13"/>
        <v>29.660073706677618</v>
      </c>
      <c r="R22" s="1367">
        <f t="shared" si="13"/>
        <v>29.660073706677618</v>
      </c>
      <c r="S22" s="505" t="str">
        <f t="shared" si="14"/>
        <v/>
      </c>
      <c r="T22" s="505" t="str">
        <f t="shared" si="14"/>
        <v/>
      </c>
      <c r="U22" s="684" t="str">
        <f t="shared" si="15"/>
        <v/>
      </c>
      <c r="V22" s="504">
        <f t="shared" si="16"/>
        <v>100.89719194799997</v>
      </c>
      <c r="W22" s="505">
        <f t="shared" si="17"/>
        <v>0</v>
      </c>
      <c r="X22" s="506">
        <f t="shared" si="32"/>
        <v>122.66846416906023</v>
      </c>
      <c r="Y22" s="504">
        <f t="shared" si="18"/>
        <v>7.0527261699819785</v>
      </c>
      <c r="Z22" s="505">
        <f t="shared" si="18"/>
        <v>8.0879727533666141</v>
      </c>
      <c r="AA22" s="505">
        <f t="shared" si="18"/>
        <v>10.937031818626698</v>
      </c>
      <c r="AB22" s="505">
        <f t="shared" si="18"/>
        <v>9.9410281378079901</v>
      </c>
      <c r="AC22" s="505">
        <f t="shared" si="18"/>
        <v>7.9792277229222952</v>
      </c>
      <c r="AD22" s="505">
        <f t="shared" si="18"/>
        <v>10.264373518623946</v>
      </c>
      <c r="AE22" s="506">
        <f t="shared" si="18"/>
        <v>9.6467665468126889</v>
      </c>
      <c r="AF22" s="1348">
        <f t="shared" si="19"/>
        <v>2.7870410713126095E-3</v>
      </c>
      <c r="AG22" s="1343">
        <f t="shared" si="20"/>
        <v>2.4760912538699276E-2</v>
      </c>
      <c r="AH22" s="1344">
        <f t="shared" si="20"/>
        <v>2.4760912538699276E-2</v>
      </c>
      <c r="AI22" s="1344">
        <f t="shared" si="20"/>
        <v>3.9833707642504337E-2</v>
      </c>
      <c r="AJ22" s="1344">
        <f t="shared" si="20"/>
        <v>3.4902484552987868E-2</v>
      </c>
      <c r="AK22" s="1344">
        <f t="shared" si="20"/>
        <v>2.4760912538699276E-2</v>
      </c>
      <c r="AL22" s="1344">
        <f t="shared" si="20"/>
        <v>3.9833707642504337E-2</v>
      </c>
      <c r="AM22" s="1344">
        <f t="shared" si="20"/>
        <v>3.5759979236070535E-2</v>
      </c>
      <c r="AN22" s="504">
        <f t="shared" si="21"/>
        <v>31.565879286637838</v>
      </c>
      <c r="AO22" s="505">
        <f t="shared" si="21"/>
        <v>28.025604973573689</v>
      </c>
      <c r="AP22" s="505">
        <f t="shared" si="21"/>
        <v>26.831329395337708</v>
      </c>
      <c r="AQ22" s="501">
        <f t="shared" si="22"/>
        <v>1.6840279715351732E-2</v>
      </c>
      <c r="AR22" s="505">
        <f t="shared" si="23"/>
        <v>38.858529344315542</v>
      </c>
      <c r="AS22" s="506">
        <f t="shared" si="24"/>
        <v>49.281604739958297</v>
      </c>
      <c r="AT22" s="504">
        <f t="shared" si="24"/>
        <v>27.359189852713392</v>
      </c>
      <c r="AU22" s="505">
        <f t="shared" si="24"/>
        <v>29.502146270127472</v>
      </c>
      <c r="AV22" s="503">
        <f t="shared" si="25"/>
        <v>1.2887610361054973E-2</v>
      </c>
      <c r="AW22" s="508">
        <f t="shared" si="26"/>
        <v>1.2887610361054973E-2</v>
      </c>
      <c r="AX22" s="1355">
        <f t="shared" si="33"/>
        <v>1.5336732814058982</v>
      </c>
      <c r="AY22" s="507">
        <f t="shared" si="27"/>
        <v>12.784102952329697</v>
      </c>
      <c r="AZ22" s="503">
        <f t="shared" si="28"/>
        <v>3.2439483895055389E-2</v>
      </c>
      <c r="BA22" s="502">
        <f t="shared" si="28"/>
        <v>3.4909437548097652E-2</v>
      </c>
      <c r="BB22" s="502">
        <f t="shared" si="28"/>
        <v>3.6677045416554428E-2</v>
      </c>
      <c r="BC22" s="508">
        <f t="shared" si="28"/>
        <v>3.920684661083787E-2</v>
      </c>
      <c r="BE22" s="681"/>
    </row>
    <row r="23" spans="1:57" s="324" customFormat="1" ht="14.25">
      <c r="A23" s="509">
        <f t="shared" si="34"/>
        <v>11</v>
      </c>
      <c r="B23" s="509">
        <f t="shared" si="29"/>
        <v>2034</v>
      </c>
      <c r="C23" s="499">
        <f t="shared" si="10"/>
        <v>7.6502681459130917E-2</v>
      </c>
      <c r="D23" s="500">
        <f t="shared" si="10"/>
        <v>7.6559311344056871E-2</v>
      </c>
      <c r="E23" s="500">
        <f t="shared" si="10"/>
        <v>5.8104309402847602E-2</v>
      </c>
      <c r="F23" s="501">
        <f t="shared" si="10"/>
        <v>5.556686851958436E-2</v>
      </c>
      <c r="G23" s="1343">
        <f t="shared" si="11"/>
        <v>3.7122283147649764E-3</v>
      </c>
      <c r="H23" s="1344">
        <f t="shared" si="11"/>
        <v>3.3606752696910599E-3</v>
      </c>
      <c r="I23" s="1344">
        <f t="shared" si="11"/>
        <v>2.3483674946294473E-3</v>
      </c>
      <c r="J23" s="1344">
        <f t="shared" si="11"/>
        <v>1.518581602627799E-3</v>
      </c>
      <c r="K23" s="1343">
        <f t="shared" si="12"/>
        <v>4.5292587021256534E-5</v>
      </c>
      <c r="L23" s="1136">
        <f t="shared" si="30"/>
        <v>78.100249898420273</v>
      </c>
      <c r="M23" s="505">
        <f t="shared" si="30"/>
        <v>9.6157027674935076</v>
      </c>
      <c r="N23" s="510">
        <f t="shared" si="30"/>
        <v>9.6157027674935076</v>
      </c>
      <c r="O23" s="1131">
        <f t="shared" si="31"/>
        <v>0</v>
      </c>
      <c r="P23" s="683">
        <f t="shared" si="13"/>
        <v>0</v>
      </c>
      <c r="Q23" s="683">
        <f t="shared" si="13"/>
        <v>6.741090338602052</v>
      </c>
      <c r="R23" s="1367">
        <f t="shared" si="13"/>
        <v>6.741090338602052</v>
      </c>
      <c r="S23" s="505" t="str">
        <f t="shared" si="14"/>
        <v/>
      </c>
      <c r="T23" s="505" t="str">
        <f t="shared" si="14"/>
        <v/>
      </c>
      <c r="U23" s="684" t="str">
        <f t="shared" si="15"/>
        <v/>
      </c>
      <c r="V23" s="504">
        <f t="shared" si="16"/>
        <v>100.89719194799997</v>
      </c>
      <c r="W23" s="505">
        <f t="shared" si="17"/>
        <v>0</v>
      </c>
      <c r="X23" s="506">
        <f t="shared" si="32"/>
        <v>122.66846416906023</v>
      </c>
      <c r="Y23" s="504">
        <f t="shared" ref="Y23:AE37" si="35">VLOOKUP($B23,$B$233:$AG$265,Y$4,FALSE)*(1+Inflation1)^(Year1-Real_Year)</f>
        <v>7.0869682354536412</v>
      </c>
      <c r="Z23" s="505">
        <f t="shared" si="35"/>
        <v>8.116228189667094</v>
      </c>
      <c r="AA23" s="505">
        <f t="shared" si="35"/>
        <v>10.951999150214386</v>
      </c>
      <c r="AB23" s="505">
        <f t="shared" si="35"/>
        <v>9.9607123573061074</v>
      </c>
      <c r="AC23" s="505">
        <f t="shared" si="35"/>
        <v>8.0074126144327007</v>
      </c>
      <c r="AD23" s="505">
        <f t="shared" si="35"/>
        <v>10.282994133193009</v>
      </c>
      <c r="AE23" s="506">
        <f t="shared" si="35"/>
        <v>9.6679721010956268</v>
      </c>
      <c r="AF23" s="1348">
        <f t="shared" si="19"/>
        <v>2.7944382022328709E-3</v>
      </c>
      <c r="AG23" s="1343">
        <f t="shared" ref="AG23:AM37" si="36">IF(GECD="Yes",VLOOKUP($B23-3,$B$233:$AG$265,AG$4,FALSE)*(1+Inflation1)^(Year1-Real_Year),"")</f>
        <v>3.1915166550741604E-3</v>
      </c>
      <c r="AH23" s="1344">
        <f t="shared" si="36"/>
        <v>3.1915166550741604E-3</v>
      </c>
      <c r="AI23" s="1344">
        <f t="shared" si="36"/>
        <v>1.3602826864948785E-3</v>
      </c>
      <c r="AJ23" s="1344">
        <f t="shared" si="36"/>
        <v>1.9593900959683475E-3</v>
      </c>
      <c r="AK23" s="1344">
        <f t="shared" si="36"/>
        <v>3.1915166550741604E-3</v>
      </c>
      <c r="AL23" s="1344">
        <f t="shared" si="36"/>
        <v>1.3602826864948785E-3</v>
      </c>
      <c r="AM23" s="1344">
        <f t="shared" si="36"/>
        <v>1.8552107861109007E-3</v>
      </c>
      <c r="AN23" s="504">
        <f t="shared" si="21"/>
        <v>31.70011002802854</v>
      </c>
      <c r="AO23" s="505">
        <f t="shared" si="21"/>
        <v>28.171637490820054</v>
      </c>
      <c r="AP23" s="505">
        <f t="shared" si="21"/>
        <v>26.971086718692554</v>
      </c>
      <c r="AQ23" s="501">
        <f t="shared" si="22"/>
        <v>1.6900182833127202E-2</v>
      </c>
      <c r="AR23" s="505">
        <f t="shared" si="23"/>
        <v>39.023771349959517</v>
      </c>
      <c r="AS23" s="506">
        <f t="shared" si="24"/>
        <v>49.415835481348999</v>
      </c>
      <c r="AT23" s="504">
        <f t="shared" si="24"/>
        <v>27.475532068446732</v>
      </c>
      <c r="AU23" s="505">
        <f t="shared" si="24"/>
        <v>29.627601193479865</v>
      </c>
      <c r="AV23" s="503">
        <f t="shared" si="25"/>
        <v>1.2887610361054973E-2</v>
      </c>
      <c r="AW23" s="508">
        <f t="shared" si="26"/>
        <v>1.2887610361054973E-2</v>
      </c>
      <c r="AX23" s="1355">
        <f t="shared" si="33"/>
        <v>1.5336732814058982</v>
      </c>
      <c r="AY23" s="507">
        <f t="shared" si="27"/>
        <v>13.410152967918803</v>
      </c>
      <c r="AZ23" s="503">
        <f t="shared" si="28"/>
        <v>3.065947499757073E-2</v>
      </c>
      <c r="BA23" s="502">
        <f t="shared" si="28"/>
        <v>3.1335164601867568E-2</v>
      </c>
      <c r="BB23" s="502">
        <f t="shared" si="28"/>
        <v>3.3984746089811516E-2</v>
      </c>
      <c r="BC23" s="508">
        <f t="shared" si="28"/>
        <v>3.4799275092102587E-2</v>
      </c>
      <c r="BE23" s="681"/>
    </row>
    <row r="24" spans="1:57" s="324" customFormat="1" ht="14.25">
      <c r="A24" s="509">
        <f t="shared" si="34"/>
        <v>12</v>
      </c>
      <c r="B24" s="509">
        <f t="shared" si="29"/>
        <v>2035</v>
      </c>
      <c r="C24" s="499">
        <f t="shared" si="10"/>
        <v>7.7955176447045707E-2</v>
      </c>
      <c r="D24" s="500">
        <f t="shared" si="10"/>
        <v>7.8020625723319276E-2</v>
      </c>
      <c r="E24" s="500">
        <f t="shared" si="10"/>
        <v>5.96842694883358E-2</v>
      </c>
      <c r="F24" s="501">
        <f t="shared" si="10"/>
        <v>5.6750556928136534E-2</v>
      </c>
      <c r="G24" s="1343">
        <f t="shared" si="11"/>
        <v>0</v>
      </c>
      <c r="H24" s="1344">
        <f t="shared" si="11"/>
        <v>0</v>
      </c>
      <c r="I24" s="1344">
        <f t="shared" si="11"/>
        <v>0</v>
      </c>
      <c r="J24" s="1344">
        <f t="shared" si="11"/>
        <v>0</v>
      </c>
      <c r="K24" s="1343">
        <f t="shared" si="12"/>
        <v>2.1203745076807245E-5</v>
      </c>
      <c r="L24" s="1136">
        <f t="shared" si="30"/>
        <v>61.187474177840642</v>
      </c>
      <c r="M24" s="505">
        <f t="shared" si="30"/>
        <v>0</v>
      </c>
      <c r="N24" s="510">
        <f t="shared" si="30"/>
        <v>0</v>
      </c>
      <c r="O24" s="1131">
        <f t="shared" si="31"/>
        <v>0</v>
      </c>
      <c r="P24" s="683">
        <f t="shared" si="13"/>
        <v>0</v>
      </c>
      <c r="Q24" s="683">
        <f t="shared" si="13"/>
        <v>0</v>
      </c>
      <c r="R24" s="1367">
        <f t="shared" si="13"/>
        <v>0</v>
      </c>
      <c r="S24" s="505" t="str">
        <f t="shared" si="14"/>
        <v/>
      </c>
      <c r="T24" s="505" t="str">
        <f t="shared" si="14"/>
        <v/>
      </c>
      <c r="U24" s="684" t="str">
        <f t="shared" si="15"/>
        <v/>
      </c>
      <c r="V24" s="504">
        <f t="shared" si="16"/>
        <v>100.89719194799997</v>
      </c>
      <c r="W24" s="505">
        <f t="shared" si="17"/>
        <v>0</v>
      </c>
      <c r="X24" s="506">
        <f t="shared" si="32"/>
        <v>122.66846416906023</v>
      </c>
      <c r="Y24" s="504">
        <f t="shared" si="35"/>
        <v>7.1013676755902528</v>
      </c>
      <c r="Z24" s="505">
        <f t="shared" si="35"/>
        <v>8.1243203783519427</v>
      </c>
      <c r="AA24" s="505">
        <f t="shared" si="35"/>
        <v>10.946077723368122</v>
      </c>
      <c r="AB24" s="505">
        <f t="shared" si="35"/>
        <v>9.9597649683466738</v>
      </c>
      <c r="AC24" s="505">
        <f t="shared" si="35"/>
        <v>8.0154107807475636</v>
      </c>
      <c r="AD24" s="505">
        <f t="shared" si="35"/>
        <v>10.28100495969424</v>
      </c>
      <c r="AE24" s="506">
        <f t="shared" si="35"/>
        <v>9.6686822086275708</v>
      </c>
      <c r="AF24" s="1348">
        <f t="shared" si="19"/>
        <v>2.8023274708518322E-3</v>
      </c>
      <c r="AG24" s="1343">
        <f t="shared" si="36"/>
        <v>0</v>
      </c>
      <c r="AH24" s="1344">
        <f t="shared" si="36"/>
        <v>0</v>
      </c>
      <c r="AI24" s="1344">
        <f t="shared" si="36"/>
        <v>0</v>
      </c>
      <c r="AJ24" s="1344">
        <f t="shared" si="36"/>
        <v>0</v>
      </c>
      <c r="AK24" s="1344">
        <f t="shared" si="36"/>
        <v>0</v>
      </c>
      <c r="AL24" s="1344">
        <f t="shared" si="36"/>
        <v>0</v>
      </c>
      <c r="AM24" s="1344">
        <f t="shared" si="36"/>
        <v>0</v>
      </c>
      <c r="AN24" s="504">
        <f t="shared" si="21"/>
        <v>31.839016057016426</v>
      </c>
      <c r="AO24" s="505">
        <f t="shared" si="21"/>
        <v>28.315949269745115</v>
      </c>
      <c r="AP24" s="505">
        <f t="shared" si="21"/>
        <v>27.111699149197456</v>
      </c>
      <c r="AQ24" s="501">
        <f t="shared" si="22"/>
        <v>1.6926214024298846E-2</v>
      </c>
      <c r="AR24" s="505">
        <f t="shared" si="23"/>
        <v>39.194768772667551</v>
      </c>
      <c r="AS24" s="506">
        <f t="shared" si="24"/>
        <v>49.554741510336875</v>
      </c>
      <c r="AT24" s="504">
        <f t="shared" si="24"/>
        <v>27.595926510314051</v>
      </c>
      <c r="AU24" s="505">
        <f t="shared" si="24"/>
        <v>29.75742574066863</v>
      </c>
      <c r="AV24" s="503">
        <f t="shared" si="25"/>
        <v>1.2887610361054973E-2</v>
      </c>
      <c r="AW24" s="508">
        <f t="shared" si="26"/>
        <v>1.2887610361054973E-2</v>
      </c>
      <c r="AX24" s="1355">
        <f t="shared" si="33"/>
        <v>1.5336732814058982</v>
      </c>
      <c r="AY24" s="507">
        <f t="shared" si="27"/>
        <v>14.06686126461536</v>
      </c>
      <c r="AZ24" s="503">
        <f t="shared" si="28"/>
        <v>2.8021026311973792E-2</v>
      </c>
      <c r="BA24" s="502">
        <f t="shared" si="28"/>
        <v>2.7991376049375297E-2</v>
      </c>
      <c r="BB24" s="502">
        <f t="shared" si="28"/>
        <v>3.0848478972508406E-2</v>
      </c>
      <c r="BC24" s="508">
        <f t="shared" si="28"/>
        <v>3.215110495708845E-2</v>
      </c>
      <c r="BE24" s="681"/>
    </row>
    <row r="25" spans="1:57" s="324" customFormat="1" ht="14.25">
      <c r="A25" s="509">
        <f t="shared" si="34"/>
        <v>13</v>
      </c>
      <c r="B25" s="509">
        <f t="shared" si="29"/>
        <v>2036</v>
      </c>
      <c r="C25" s="499">
        <f t="shared" si="10"/>
        <v>7.8011878329370357E-2</v>
      </c>
      <c r="D25" s="500">
        <f t="shared" si="10"/>
        <v>7.8107434503347423E-2</v>
      </c>
      <c r="E25" s="500">
        <f t="shared" si="10"/>
        <v>5.9913438484043298E-2</v>
      </c>
      <c r="F25" s="501">
        <f t="shared" si="10"/>
        <v>5.6959372696403526E-2</v>
      </c>
      <c r="G25" s="1343">
        <f t="shared" si="11"/>
        <v>0</v>
      </c>
      <c r="H25" s="1344">
        <f t="shared" si="11"/>
        <v>0</v>
      </c>
      <c r="I25" s="1344">
        <f t="shared" si="11"/>
        <v>0</v>
      </c>
      <c r="J25" s="1344">
        <f t="shared" si="11"/>
        <v>0</v>
      </c>
      <c r="K25" s="1343">
        <f t="shared" si="12"/>
        <v>2.1245504254773002E-5</v>
      </c>
      <c r="L25" s="1136">
        <f t="shared" si="30"/>
        <v>63.101922026350124</v>
      </c>
      <c r="M25" s="505">
        <f t="shared" si="30"/>
        <v>0</v>
      </c>
      <c r="N25" s="510">
        <f t="shared" si="30"/>
        <v>0</v>
      </c>
      <c r="O25" s="1131">
        <f t="shared" si="31"/>
        <v>0</v>
      </c>
      <c r="P25" s="683">
        <f t="shared" si="13"/>
        <v>0</v>
      </c>
      <c r="Q25" s="683">
        <f t="shared" si="13"/>
        <v>0</v>
      </c>
      <c r="R25" s="1367">
        <f t="shared" si="13"/>
        <v>0</v>
      </c>
      <c r="S25" s="505" t="str">
        <f t="shared" si="14"/>
        <v/>
      </c>
      <c r="T25" s="505" t="str">
        <f t="shared" si="14"/>
        <v/>
      </c>
      <c r="U25" s="684" t="str">
        <f t="shared" si="15"/>
        <v/>
      </c>
      <c r="V25" s="504">
        <f t="shared" si="16"/>
        <v>100.89719194799997</v>
      </c>
      <c r="W25" s="505">
        <f t="shared" si="17"/>
        <v>0</v>
      </c>
      <c r="X25" s="506">
        <f t="shared" si="32"/>
        <v>122.66846416906023</v>
      </c>
      <c r="Y25" s="504">
        <f t="shared" si="35"/>
        <v>7.1558290833190012</v>
      </c>
      <c r="Z25" s="505">
        <f t="shared" si="35"/>
        <v>8.1731424352671205</v>
      </c>
      <c r="AA25" s="505">
        <f t="shared" si="35"/>
        <v>10.982255646495881</v>
      </c>
      <c r="AB25" s="505">
        <f t="shared" si="35"/>
        <v>10.000393705570675</v>
      </c>
      <c r="AC25" s="505">
        <f t="shared" si="35"/>
        <v>8.0641977953012152</v>
      </c>
      <c r="AD25" s="505">
        <f t="shared" si="35"/>
        <v>10.320535010975359</v>
      </c>
      <c r="AE25" s="506">
        <f t="shared" si="35"/>
        <v>9.7106931673364176</v>
      </c>
      <c r="AF25" s="1348">
        <f t="shared" si="19"/>
        <v>2.8078464436158295E-3</v>
      </c>
      <c r="AG25" s="1343">
        <f t="shared" si="36"/>
        <v>0</v>
      </c>
      <c r="AH25" s="1344">
        <f t="shared" si="36"/>
        <v>0</v>
      </c>
      <c r="AI25" s="1344">
        <f t="shared" si="36"/>
        <v>0</v>
      </c>
      <c r="AJ25" s="1344">
        <f t="shared" si="36"/>
        <v>0</v>
      </c>
      <c r="AK25" s="1344">
        <f t="shared" si="36"/>
        <v>0</v>
      </c>
      <c r="AL25" s="1344">
        <f t="shared" si="36"/>
        <v>0</v>
      </c>
      <c r="AM25" s="1344">
        <f t="shared" si="36"/>
        <v>0</v>
      </c>
      <c r="AN25" s="504">
        <f t="shared" si="21"/>
        <v>32.044418158661728</v>
      </c>
      <c r="AO25" s="505">
        <f t="shared" si="21"/>
        <v>28.536228926700041</v>
      </c>
      <c r="AP25" s="505">
        <f t="shared" si="21"/>
        <v>27.324069964632905</v>
      </c>
      <c r="AQ25" s="501">
        <f t="shared" si="22"/>
        <v>1.7026204025788298E-2</v>
      </c>
      <c r="AR25" s="505">
        <f t="shared" si="23"/>
        <v>39.4476248240289</v>
      </c>
      <c r="AS25" s="506">
        <f t="shared" si="24"/>
        <v>49.758887266883335</v>
      </c>
      <c r="AT25" s="504">
        <f t="shared" si="24"/>
        <v>27.773955293989943</v>
      </c>
      <c r="AU25" s="505">
        <f t="shared" si="24"/>
        <v>29.949398940334781</v>
      </c>
      <c r="AV25" s="503">
        <f t="shared" si="25"/>
        <v>1.2887610361054973E-2</v>
      </c>
      <c r="AW25" s="508">
        <f t="shared" si="26"/>
        <v>1.2887610361054973E-2</v>
      </c>
      <c r="AX25" s="1355">
        <f t="shared" si="33"/>
        <v>1.5336732814058982</v>
      </c>
      <c r="AY25" s="507">
        <f t="shared" si="27"/>
        <v>14.06686126461536</v>
      </c>
      <c r="AZ25" s="503">
        <f t="shared" si="28"/>
        <v>2.5800908062470981E-2</v>
      </c>
      <c r="BA25" s="502">
        <f t="shared" si="28"/>
        <v>2.5501065053889761E-2</v>
      </c>
      <c r="BB25" s="502">
        <f t="shared" si="28"/>
        <v>2.8224935371559266E-2</v>
      </c>
      <c r="BC25" s="508">
        <f t="shared" si="28"/>
        <v>2.934099906840518E-2</v>
      </c>
      <c r="BE25" s="681"/>
    </row>
    <row r="26" spans="1:57" s="324" customFormat="1" ht="14.25">
      <c r="A26" s="509">
        <f t="shared" si="34"/>
        <v>14</v>
      </c>
      <c r="B26" s="509">
        <f t="shared" si="29"/>
        <v>2037</v>
      </c>
      <c r="C26" s="499">
        <f t="shared" si="10"/>
        <v>7.8194888271169632E-2</v>
      </c>
      <c r="D26" s="500">
        <f t="shared" si="10"/>
        <v>7.8321348149966372E-2</v>
      </c>
      <c r="E26" s="500">
        <f t="shared" si="10"/>
        <v>6.0279917082434263E-2</v>
      </c>
      <c r="F26" s="501">
        <f t="shared" si="10"/>
        <v>5.7305976481235261E-2</v>
      </c>
      <c r="G26" s="1343">
        <f t="shared" si="11"/>
        <v>0</v>
      </c>
      <c r="H26" s="1344">
        <f t="shared" si="11"/>
        <v>0</v>
      </c>
      <c r="I26" s="1344">
        <f t="shared" si="11"/>
        <v>0</v>
      </c>
      <c r="J26" s="1344">
        <f t="shared" si="11"/>
        <v>0</v>
      </c>
      <c r="K26" s="1343">
        <f t="shared" si="12"/>
        <v>2.1298206693206586E-5</v>
      </c>
      <c r="L26" s="1136">
        <f t="shared" si="30"/>
        <v>65.076269562073506</v>
      </c>
      <c r="M26" s="505">
        <f t="shared" si="30"/>
        <v>0</v>
      </c>
      <c r="N26" s="510">
        <f t="shared" si="30"/>
        <v>0</v>
      </c>
      <c r="O26" s="1131">
        <f t="shared" si="31"/>
        <v>0</v>
      </c>
      <c r="P26" s="683">
        <f t="shared" si="13"/>
        <v>0</v>
      </c>
      <c r="Q26" s="683">
        <f t="shared" si="13"/>
        <v>0</v>
      </c>
      <c r="R26" s="1367">
        <f t="shared" si="13"/>
        <v>0</v>
      </c>
      <c r="S26" s="505" t="str">
        <f t="shared" si="14"/>
        <v/>
      </c>
      <c r="T26" s="505" t="str">
        <f t="shared" si="14"/>
        <v/>
      </c>
      <c r="U26" s="684" t="str">
        <f t="shared" si="15"/>
        <v/>
      </c>
      <c r="V26" s="504">
        <f t="shared" si="16"/>
        <v>100.89719194799997</v>
      </c>
      <c r="W26" s="505">
        <f t="shared" si="17"/>
        <v>0</v>
      </c>
      <c r="X26" s="506">
        <f t="shared" si="32"/>
        <v>122.66846416906023</v>
      </c>
      <c r="Y26" s="504">
        <f t="shared" si="35"/>
        <v>7.2107081633986674</v>
      </c>
      <c r="Z26" s="505">
        <f t="shared" si="35"/>
        <v>8.2222578820451346</v>
      </c>
      <c r="AA26" s="505">
        <f t="shared" si="35"/>
        <v>11.01855314141501</v>
      </c>
      <c r="AB26" s="505">
        <f t="shared" si="35"/>
        <v>10.041188179063917</v>
      </c>
      <c r="AC26" s="505">
        <f t="shared" si="35"/>
        <v>8.1132817594254103</v>
      </c>
      <c r="AD26" s="505">
        <f t="shared" si="35"/>
        <v>10.360217053716495</v>
      </c>
      <c r="AE26" s="506">
        <f t="shared" si="35"/>
        <v>9.752886665983338</v>
      </c>
      <c r="AF26" s="1348">
        <f t="shared" si="19"/>
        <v>2.8148116985964159E-3</v>
      </c>
      <c r="AG26" s="1343">
        <f t="shared" si="36"/>
        <v>0</v>
      </c>
      <c r="AH26" s="1344">
        <f t="shared" si="36"/>
        <v>0</v>
      </c>
      <c r="AI26" s="1344">
        <f t="shared" si="36"/>
        <v>0</v>
      </c>
      <c r="AJ26" s="1344">
        <f t="shared" si="36"/>
        <v>0</v>
      </c>
      <c r="AK26" s="1344">
        <f t="shared" si="36"/>
        <v>0</v>
      </c>
      <c r="AL26" s="1344">
        <f t="shared" si="36"/>
        <v>0</v>
      </c>
      <c r="AM26" s="1344">
        <f t="shared" si="36"/>
        <v>0</v>
      </c>
      <c r="AN26" s="504">
        <f t="shared" si="21"/>
        <v>32.251145364804124</v>
      </c>
      <c r="AO26" s="505">
        <f t="shared" si="21"/>
        <v>28.758222216025398</v>
      </c>
      <c r="AP26" s="505">
        <f t="shared" si="21"/>
        <v>27.538104318860245</v>
      </c>
      <c r="AQ26" s="501">
        <f t="shared" si="22"/>
        <v>1.7126784708713278E-2</v>
      </c>
      <c r="AR26" s="505">
        <f t="shared" si="23"/>
        <v>39.7021121181482</v>
      </c>
      <c r="AS26" s="506">
        <f t="shared" si="24"/>
        <v>49.963874022467337</v>
      </c>
      <c r="AT26" s="504">
        <f t="shared" si="24"/>
        <v>27.953132589487147</v>
      </c>
      <c r="AU26" s="505">
        <f t="shared" si="24"/>
        <v>30.14261061102027</v>
      </c>
      <c r="AV26" s="503">
        <f t="shared" si="25"/>
        <v>1.2887610361054973E-2</v>
      </c>
      <c r="AW26" s="508">
        <f t="shared" si="26"/>
        <v>1.2887610361054973E-2</v>
      </c>
      <c r="AX26" s="1355">
        <f t="shared" si="33"/>
        <v>1.5336732814058982</v>
      </c>
      <c r="AY26" s="507">
        <f t="shared" si="27"/>
        <v>14.06686126461536</v>
      </c>
      <c r="AZ26" s="503">
        <f t="shared" si="28"/>
        <v>2.3756690759168319E-2</v>
      </c>
      <c r="BA26" s="502">
        <f t="shared" si="28"/>
        <v>2.3232309756248331E-2</v>
      </c>
      <c r="BB26" s="502">
        <f t="shared" si="28"/>
        <v>2.5824513987825926E-2</v>
      </c>
      <c r="BC26" s="508">
        <f t="shared" si="28"/>
        <v>2.6776505114868527E-2</v>
      </c>
      <c r="BE26" s="681"/>
    </row>
    <row r="27" spans="1:57" s="324" customFormat="1" ht="14.25">
      <c r="A27" s="509">
        <f t="shared" si="34"/>
        <v>15</v>
      </c>
      <c r="B27" s="509">
        <f t="shared" si="29"/>
        <v>2038</v>
      </c>
      <c r="C27" s="499">
        <f t="shared" si="10"/>
        <v>7.8489693088755572E-2</v>
      </c>
      <c r="D27" s="500">
        <f t="shared" si="10"/>
        <v>7.8647869451935637E-2</v>
      </c>
      <c r="E27" s="500">
        <f t="shared" si="10"/>
        <v>6.0769521253193903E-2</v>
      </c>
      <c r="F27" s="501">
        <f t="shared" si="10"/>
        <v>5.7776214185974083E-2</v>
      </c>
      <c r="G27" s="1343">
        <f t="shared" si="11"/>
        <v>0</v>
      </c>
      <c r="H27" s="1344">
        <f t="shared" si="11"/>
        <v>0</v>
      </c>
      <c r="I27" s="1344">
        <f t="shared" si="11"/>
        <v>0</v>
      </c>
      <c r="J27" s="1344">
        <f t="shared" si="11"/>
        <v>0</v>
      </c>
      <c r="K27" s="1343">
        <f t="shared" si="12"/>
        <v>2.1363106307369932E-5</v>
      </c>
      <c r="L27" s="1136">
        <f t="shared" si="30"/>
        <v>67.112390940282879</v>
      </c>
      <c r="M27" s="505">
        <f t="shared" si="30"/>
        <v>0</v>
      </c>
      <c r="N27" s="510">
        <f t="shared" si="30"/>
        <v>0</v>
      </c>
      <c r="O27" s="1131">
        <f t="shared" si="31"/>
        <v>0</v>
      </c>
      <c r="P27" s="683">
        <f t="shared" si="13"/>
        <v>0</v>
      </c>
      <c r="Q27" s="683">
        <f t="shared" si="13"/>
        <v>0</v>
      </c>
      <c r="R27" s="1367">
        <f t="shared" si="13"/>
        <v>0</v>
      </c>
      <c r="S27" s="505" t="str">
        <f t="shared" si="14"/>
        <v/>
      </c>
      <c r="T27" s="505" t="str">
        <f t="shared" si="14"/>
        <v/>
      </c>
      <c r="U27" s="684" t="str">
        <f t="shared" si="15"/>
        <v/>
      </c>
      <c r="V27" s="504">
        <f t="shared" si="16"/>
        <v>100.89719194799997</v>
      </c>
      <c r="W27" s="505">
        <f t="shared" si="17"/>
        <v>0</v>
      </c>
      <c r="X27" s="506">
        <f t="shared" si="32"/>
        <v>122.66846416906023</v>
      </c>
      <c r="Y27" s="504">
        <f t="shared" si="35"/>
        <v>7.2660081190184451</v>
      </c>
      <c r="Z27" s="505">
        <f t="shared" si="35"/>
        <v>8.2716684817745758</v>
      </c>
      <c r="AA27" s="505">
        <f t="shared" si="35"/>
        <v>11.054970603322689</v>
      </c>
      <c r="AB27" s="505">
        <f t="shared" si="35"/>
        <v>10.082149064912175</v>
      </c>
      <c r="AC27" s="505">
        <f t="shared" si="35"/>
        <v>8.162664480548786</v>
      </c>
      <c r="AD27" s="505">
        <f t="shared" si="35"/>
        <v>10.40005167231871</v>
      </c>
      <c r="AE27" s="506">
        <f t="shared" si="35"/>
        <v>9.7952634977144584</v>
      </c>
      <c r="AF27" s="1348">
        <f t="shared" si="19"/>
        <v>2.8233889556309086E-3</v>
      </c>
      <c r="AG27" s="1343">
        <f t="shared" si="36"/>
        <v>0</v>
      </c>
      <c r="AH27" s="1344">
        <f t="shared" si="36"/>
        <v>0</v>
      </c>
      <c r="AI27" s="1344">
        <f t="shared" si="36"/>
        <v>0</v>
      </c>
      <c r="AJ27" s="1344">
        <f t="shared" si="36"/>
        <v>0</v>
      </c>
      <c r="AK27" s="1344">
        <f t="shared" si="36"/>
        <v>0</v>
      </c>
      <c r="AL27" s="1344">
        <f t="shared" si="36"/>
        <v>0</v>
      </c>
      <c r="AM27" s="1344">
        <f t="shared" si="36"/>
        <v>0</v>
      </c>
      <c r="AN27" s="504">
        <f t="shared" si="21"/>
        <v>32.459206224051037</v>
      </c>
      <c r="AO27" s="505">
        <f t="shared" si="21"/>
        <v>28.981942468665778</v>
      </c>
      <c r="AP27" s="505">
        <f t="shared" si="21"/>
        <v>27.753815242678019</v>
      </c>
      <c r="AQ27" s="501">
        <f t="shared" si="22"/>
        <v>1.722795956246825E-2</v>
      </c>
      <c r="AR27" s="505">
        <f t="shared" si="23"/>
        <v>39.958241178613555</v>
      </c>
      <c r="AS27" s="506">
        <f t="shared" si="24"/>
        <v>50.169705241669256</v>
      </c>
      <c r="AT27" s="504">
        <f t="shared" si="24"/>
        <v>28.133465806165969</v>
      </c>
      <c r="AU27" s="505">
        <f t="shared" si="24"/>
        <v>30.337068742436525</v>
      </c>
      <c r="AV27" s="503">
        <f t="shared" si="25"/>
        <v>1.2887610361054973E-2</v>
      </c>
      <c r="AW27" s="508">
        <f t="shared" si="26"/>
        <v>1.2887610361054973E-2</v>
      </c>
      <c r="AX27" s="1355">
        <f t="shared" si="33"/>
        <v>1.5336732814058982</v>
      </c>
      <c r="AY27" s="507">
        <f t="shared" si="27"/>
        <v>14.06686126461536</v>
      </c>
      <c r="AZ27" s="503">
        <f t="shared" si="28"/>
        <v>2.187443769266709E-2</v>
      </c>
      <c r="BA27" s="502">
        <f t="shared" si="28"/>
        <v>2.1165398992931201E-2</v>
      </c>
      <c r="BB27" s="502">
        <f t="shared" si="28"/>
        <v>2.3628239141316915E-2</v>
      </c>
      <c r="BC27" s="508">
        <f t="shared" si="28"/>
        <v>2.4436155854646285E-2</v>
      </c>
      <c r="BE27" s="681"/>
    </row>
    <row r="28" spans="1:57" s="324" customFormat="1" ht="14.25">
      <c r="A28" s="509">
        <f t="shared" si="34"/>
        <v>16</v>
      </c>
      <c r="B28" s="509">
        <f t="shared" si="29"/>
        <v>2039</v>
      </c>
      <c r="C28" s="499">
        <f t="shared" si="10"/>
        <v>7.8883673591550824E-2</v>
      </c>
      <c r="D28" s="500">
        <f t="shared" si="10"/>
        <v>7.907439547645162E-2</v>
      </c>
      <c r="E28" s="500">
        <f t="shared" si="10"/>
        <v>6.136996918011102E-2</v>
      </c>
      <c r="F28" s="501">
        <f t="shared" si="10"/>
        <v>5.8357834993227928E-2</v>
      </c>
      <c r="G28" s="1343">
        <f t="shared" si="11"/>
        <v>0</v>
      </c>
      <c r="H28" s="1344">
        <f t="shared" si="11"/>
        <v>0</v>
      </c>
      <c r="I28" s="1344">
        <f t="shared" si="11"/>
        <v>0</v>
      </c>
      <c r="J28" s="1344">
        <f t="shared" si="11"/>
        <v>0</v>
      </c>
      <c r="K28" s="1343">
        <f t="shared" si="12"/>
        <v>2.1417223745217366E-5</v>
      </c>
      <c r="L28" s="1136">
        <f t="shared" si="30"/>
        <v>69.212218955253988</v>
      </c>
      <c r="M28" s="505">
        <f t="shared" si="30"/>
        <v>0</v>
      </c>
      <c r="N28" s="510">
        <f t="shared" si="30"/>
        <v>0</v>
      </c>
      <c r="O28" s="1131">
        <f t="shared" si="31"/>
        <v>0</v>
      </c>
      <c r="P28" s="683">
        <f t="shared" si="13"/>
        <v>0</v>
      </c>
      <c r="Q28" s="683">
        <f t="shared" si="13"/>
        <v>0</v>
      </c>
      <c r="R28" s="1367">
        <f t="shared" si="13"/>
        <v>0</v>
      </c>
      <c r="S28" s="505" t="str">
        <f t="shared" si="14"/>
        <v/>
      </c>
      <c r="T28" s="505" t="str">
        <f t="shared" si="14"/>
        <v/>
      </c>
      <c r="U28" s="684" t="str">
        <f t="shared" si="15"/>
        <v/>
      </c>
      <c r="V28" s="504">
        <f t="shared" si="16"/>
        <v>100.89719194799997</v>
      </c>
      <c r="W28" s="505">
        <f t="shared" si="17"/>
        <v>0</v>
      </c>
      <c r="X28" s="506">
        <f t="shared" si="32"/>
        <v>122.66846416906023</v>
      </c>
      <c r="Y28" s="504">
        <f t="shared" si="35"/>
        <v>7.3217321779332467</v>
      </c>
      <c r="Z28" s="505">
        <f t="shared" si="35"/>
        <v>8.3213760081390902</v>
      </c>
      <c r="AA28" s="505">
        <f t="shared" si="35"/>
        <v>11.091508428722269</v>
      </c>
      <c r="AB28" s="505">
        <f t="shared" si="35"/>
        <v>10.123277041959156</v>
      </c>
      <c r="AC28" s="505">
        <f t="shared" si="35"/>
        <v>8.2123477771011775</v>
      </c>
      <c r="AD28" s="505">
        <f t="shared" si="35"/>
        <v>10.440039453430069</v>
      </c>
      <c r="AE28" s="506">
        <f t="shared" si="35"/>
        <v>9.837824459122162</v>
      </c>
      <c r="AF28" s="1348">
        <f t="shared" si="19"/>
        <v>2.8299405106795919E-3</v>
      </c>
      <c r="AG28" s="1343">
        <f t="shared" si="36"/>
        <v>0</v>
      </c>
      <c r="AH28" s="1344">
        <f t="shared" si="36"/>
        <v>0</v>
      </c>
      <c r="AI28" s="1344">
        <f t="shared" si="36"/>
        <v>0</v>
      </c>
      <c r="AJ28" s="1344">
        <f t="shared" si="36"/>
        <v>0</v>
      </c>
      <c r="AK28" s="1344">
        <f t="shared" si="36"/>
        <v>0</v>
      </c>
      <c r="AL28" s="1344">
        <f t="shared" si="36"/>
        <v>0</v>
      </c>
      <c r="AM28" s="1344">
        <f t="shared" si="36"/>
        <v>0</v>
      </c>
      <c r="AN28" s="504">
        <f t="shared" si="21"/>
        <v>32.668609340159243</v>
      </c>
      <c r="AO28" s="505">
        <f t="shared" si="21"/>
        <v>29.207403119271842</v>
      </c>
      <c r="AP28" s="505">
        <f t="shared" si="21"/>
        <v>27.971215868957348</v>
      </c>
      <c r="AQ28" s="501">
        <f t="shared" si="22"/>
        <v>1.732973209706095E-2</v>
      </c>
      <c r="AR28" s="505">
        <f t="shared" si="23"/>
        <v>40.216022596903599</v>
      </c>
      <c r="AS28" s="506">
        <f t="shared" si="24"/>
        <v>50.376384403342144</v>
      </c>
      <c r="AT28" s="504">
        <f t="shared" si="24"/>
        <v>28.314962401186509</v>
      </c>
      <c r="AU28" s="505">
        <f t="shared" si="24"/>
        <v>30.532781375838752</v>
      </c>
      <c r="AV28" s="503">
        <f t="shared" si="25"/>
        <v>1.2887610361054973E-2</v>
      </c>
      <c r="AW28" s="508">
        <f t="shared" si="26"/>
        <v>1.2887610361054973E-2</v>
      </c>
      <c r="AX28" s="1355">
        <f t="shared" si="33"/>
        <v>1.5336732814058982</v>
      </c>
      <c r="AY28" s="507">
        <f t="shared" si="27"/>
        <v>14.06686126461536</v>
      </c>
      <c r="AZ28" s="503">
        <f t="shared" si="28"/>
        <v>2.0141316365189149E-2</v>
      </c>
      <c r="BA28" s="502">
        <f t="shared" si="28"/>
        <v>1.928237524508257E-2</v>
      </c>
      <c r="BB28" s="502">
        <f t="shared" si="28"/>
        <v>2.1618748960094622E-2</v>
      </c>
      <c r="BC28" s="508">
        <f t="shared" si="28"/>
        <v>2.2300360349155141E-2</v>
      </c>
      <c r="BE28" s="681"/>
    </row>
    <row r="29" spans="1:57" s="324" customFormat="1" ht="14.25">
      <c r="A29" s="509">
        <f t="shared" si="34"/>
        <v>17</v>
      </c>
      <c r="B29" s="509">
        <f t="shared" si="29"/>
        <v>2040</v>
      </c>
      <c r="C29" s="499">
        <f t="shared" si="10"/>
        <v>7.936586077106432E-2</v>
      </c>
      <c r="D29" s="500">
        <f t="shared" si="10"/>
        <v>7.9589973762906968E-2</v>
      </c>
      <c r="E29" s="500">
        <f t="shared" si="10"/>
        <v>6.2070637640238423E-2</v>
      </c>
      <c r="F29" s="501">
        <f t="shared" si="10"/>
        <v>5.9040247775981249E-2</v>
      </c>
      <c r="G29" s="1343">
        <f t="shared" si="11"/>
        <v>0</v>
      </c>
      <c r="H29" s="1344">
        <f t="shared" si="11"/>
        <v>0</v>
      </c>
      <c r="I29" s="1344">
        <f t="shared" si="11"/>
        <v>0</v>
      </c>
      <c r="J29" s="1344">
        <f t="shared" si="11"/>
        <v>0</v>
      </c>
      <c r="K29" s="1343">
        <f t="shared" si="12"/>
        <v>2.1471478274414578E-5</v>
      </c>
      <c r="L29" s="1136">
        <f t="shared" si="30"/>
        <v>71.37774687497712</v>
      </c>
      <c r="M29" s="505">
        <f t="shared" si="30"/>
        <v>0</v>
      </c>
      <c r="N29" s="510">
        <f t="shared" si="30"/>
        <v>0</v>
      </c>
      <c r="O29" s="1131">
        <f t="shared" si="31"/>
        <v>0</v>
      </c>
      <c r="P29" s="683">
        <f t="shared" si="13"/>
        <v>0</v>
      </c>
      <c r="Q29" s="683">
        <f t="shared" si="13"/>
        <v>0</v>
      </c>
      <c r="R29" s="1367">
        <f t="shared" si="13"/>
        <v>0</v>
      </c>
      <c r="S29" s="505" t="str">
        <f t="shared" si="14"/>
        <v/>
      </c>
      <c r="T29" s="505" t="str">
        <f t="shared" si="14"/>
        <v/>
      </c>
      <c r="U29" s="684" t="str">
        <f t="shared" si="15"/>
        <v/>
      </c>
      <c r="V29" s="504">
        <f t="shared" si="16"/>
        <v>100.89719194799997</v>
      </c>
      <c r="W29" s="505">
        <f t="shared" si="17"/>
        <v>0</v>
      </c>
      <c r="X29" s="506">
        <f t="shared" si="32"/>
        <v>122.66846416906023</v>
      </c>
      <c r="Y29" s="504">
        <f t="shared" si="35"/>
        <v>7.3778835926520987</v>
      </c>
      <c r="Z29" s="505">
        <f t="shared" si="35"/>
        <v>8.3713822454810476</v>
      </c>
      <c r="AA29" s="505">
        <f t="shared" si="35"/>
        <v>11.128167015427584</v>
      </c>
      <c r="AB29" s="505">
        <f t="shared" si="35"/>
        <v>10.164572791817777</v>
      </c>
      <c r="AC29" s="505">
        <f t="shared" si="35"/>
        <v>8.2623334785805636</v>
      </c>
      <c r="AD29" s="505">
        <f t="shared" si="35"/>
        <v>10.480180985954265</v>
      </c>
      <c r="AE29" s="506">
        <f t="shared" si="35"/>
        <v>9.8805703502600721</v>
      </c>
      <c r="AF29" s="1348">
        <f t="shared" si="19"/>
        <v>2.836507268335578E-3</v>
      </c>
      <c r="AG29" s="1343">
        <f t="shared" si="36"/>
        <v>0</v>
      </c>
      <c r="AH29" s="1344">
        <f t="shared" si="36"/>
        <v>0</v>
      </c>
      <c r="AI29" s="1344">
        <f t="shared" si="36"/>
        <v>0</v>
      </c>
      <c r="AJ29" s="1344">
        <f t="shared" si="36"/>
        <v>0</v>
      </c>
      <c r="AK29" s="1344">
        <f t="shared" si="36"/>
        <v>0</v>
      </c>
      <c r="AL29" s="1344">
        <f t="shared" si="36"/>
        <v>0</v>
      </c>
      <c r="AM29" s="1344">
        <f t="shared" si="36"/>
        <v>0</v>
      </c>
      <c r="AN29" s="504">
        <f t="shared" si="21"/>
        <v>32.879363372390692</v>
      </c>
      <c r="AO29" s="505">
        <f t="shared" si="21"/>
        <v>29.434617707007092</v>
      </c>
      <c r="AP29" s="505">
        <f t="shared" si="21"/>
        <v>28.190319433441513</v>
      </c>
      <c r="AQ29" s="501">
        <f t="shared" si="22"/>
        <v>1.7432105843234159E-2</v>
      </c>
      <c r="AR29" s="505">
        <f t="shared" si="23"/>
        <v>40.475467032825435</v>
      </c>
      <c r="AS29" s="506">
        <f t="shared" si="24"/>
        <v>50.583915000670565</v>
      </c>
      <c r="AT29" s="504">
        <f t="shared" si="24"/>
        <v>28.497629879817016</v>
      </c>
      <c r="AU29" s="505">
        <f t="shared" si="24"/>
        <v>30.729756604358471</v>
      </c>
      <c r="AV29" s="503">
        <f t="shared" si="25"/>
        <v>1.2887610361054973E-2</v>
      </c>
      <c r="AW29" s="508">
        <f t="shared" si="26"/>
        <v>1.2887610361054973E-2</v>
      </c>
      <c r="AX29" s="1355">
        <f t="shared" si="33"/>
        <v>1.5336732814058982</v>
      </c>
      <c r="AY29" s="507">
        <f t="shared" si="27"/>
        <v>14.06686126461536</v>
      </c>
      <c r="AZ29" s="503">
        <f t="shared" si="28"/>
        <v>1.8545511003404156E-2</v>
      </c>
      <c r="BA29" s="502">
        <f t="shared" si="28"/>
        <v>1.7566878621865328E-2</v>
      </c>
      <c r="BB29" s="502">
        <f t="shared" si="28"/>
        <v>1.9780158132153707E-2</v>
      </c>
      <c r="BC29" s="508">
        <f t="shared" si="28"/>
        <v>2.0351239968360781E-2</v>
      </c>
      <c r="BE29" s="681"/>
    </row>
    <row r="30" spans="1:57" s="324" customFormat="1" ht="14.25">
      <c r="A30" s="509">
        <f t="shared" si="34"/>
        <v>18</v>
      </c>
      <c r="B30" s="509">
        <f t="shared" si="29"/>
        <v>2041</v>
      </c>
      <c r="C30" s="499">
        <f t="shared" si="10"/>
        <v>7.9926723419168719E-2</v>
      </c>
      <c r="D30" s="500">
        <f t="shared" si="10"/>
        <v>8.0185089946028382E-2</v>
      </c>
      <c r="E30" s="500">
        <f t="shared" si="10"/>
        <v>6.2862349816585825E-2</v>
      </c>
      <c r="F30" s="501">
        <f t="shared" si="10"/>
        <v>5.9814308943119829E-2</v>
      </c>
      <c r="G30" s="1343">
        <f t="shared" si="11"/>
        <v>0</v>
      </c>
      <c r="H30" s="1344">
        <f t="shared" si="11"/>
        <v>0</v>
      </c>
      <c r="I30" s="1344">
        <f t="shared" si="11"/>
        <v>0</v>
      </c>
      <c r="J30" s="1344">
        <f t="shared" si="11"/>
        <v>0</v>
      </c>
      <c r="K30" s="1343">
        <f t="shared" si="12"/>
        <v>2.1525870242244048E-5</v>
      </c>
      <c r="L30" s="1136">
        <f t="shared" si="30"/>
        <v>73.611030333272595</v>
      </c>
      <c r="M30" s="505">
        <f t="shared" si="30"/>
        <v>0</v>
      </c>
      <c r="N30" s="510">
        <f t="shared" si="30"/>
        <v>0</v>
      </c>
      <c r="O30" s="1131">
        <f t="shared" si="31"/>
        <v>0</v>
      </c>
      <c r="P30" s="683">
        <f t="shared" si="13"/>
        <v>0</v>
      </c>
      <c r="Q30" s="683">
        <f t="shared" si="13"/>
        <v>0</v>
      </c>
      <c r="R30" s="1367">
        <f t="shared" si="13"/>
        <v>0</v>
      </c>
      <c r="S30" s="505" t="str">
        <f t="shared" si="14"/>
        <v/>
      </c>
      <c r="T30" s="505" t="str">
        <f t="shared" si="14"/>
        <v/>
      </c>
      <c r="U30" s="684" t="str">
        <f t="shared" si="15"/>
        <v/>
      </c>
      <c r="V30" s="504">
        <f t="shared" si="16"/>
        <v>100.89719194799997</v>
      </c>
      <c r="W30" s="505">
        <f t="shared" si="17"/>
        <v>0</v>
      </c>
      <c r="X30" s="506">
        <f t="shared" si="32"/>
        <v>122.66846416906023</v>
      </c>
      <c r="Y30" s="504">
        <f t="shared" si="35"/>
        <v>7.4344656406279865</v>
      </c>
      <c r="Z30" s="505">
        <f t="shared" si="35"/>
        <v>8.4216889888655952</v>
      </c>
      <c r="AA30" s="505">
        <f t="shared" si="35"/>
        <v>11.164946762567286</v>
      </c>
      <c r="AB30" s="505">
        <f t="shared" si="35"/>
        <v>10.206036998881444</v>
      </c>
      <c r="AC30" s="505">
        <f t="shared" si="35"/>
        <v>8.312623425620437</v>
      </c>
      <c r="AD30" s="505">
        <f t="shared" si="35"/>
        <v>10.520476861059308</v>
      </c>
      <c r="AE30" s="506">
        <f t="shared" si="35"/>
        <v>9.923501974658091</v>
      </c>
      <c r="AF30" s="1348">
        <f t="shared" si="19"/>
        <v>2.843089263875876E-3</v>
      </c>
      <c r="AG30" s="1343">
        <f t="shared" si="36"/>
        <v>0</v>
      </c>
      <c r="AH30" s="1344">
        <f t="shared" si="36"/>
        <v>0</v>
      </c>
      <c r="AI30" s="1344">
        <f t="shared" si="36"/>
        <v>0</v>
      </c>
      <c r="AJ30" s="1344">
        <f t="shared" si="36"/>
        <v>0</v>
      </c>
      <c r="AK30" s="1344">
        <f t="shared" si="36"/>
        <v>0</v>
      </c>
      <c r="AL30" s="1344">
        <f t="shared" si="36"/>
        <v>0</v>
      </c>
      <c r="AM30" s="1344">
        <f t="shared" si="36"/>
        <v>0</v>
      </c>
      <c r="AN30" s="504">
        <f t="shared" si="21"/>
        <v>33.091477035870575</v>
      </c>
      <c r="AO30" s="505">
        <f t="shared" si="21"/>
        <v>29.663599876360909</v>
      </c>
      <c r="AP30" s="505">
        <f t="shared" si="21"/>
        <v>28.411139275551744</v>
      </c>
      <c r="AQ30" s="501">
        <f t="shared" si="22"/>
        <v>1.7535084352588173E-2</v>
      </c>
      <c r="AR30" s="505">
        <f t="shared" si="23"/>
        <v>40.736585214955483</v>
      </c>
      <c r="AS30" s="506">
        <f t="shared" si="24"/>
        <v>50.792300541229579</v>
      </c>
      <c r="AT30" s="504">
        <f t="shared" si="24"/>
        <v>28.681475795744262</v>
      </c>
      <c r="AU30" s="505">
        <f t="shared" si="24"/>
        <v>30.928002573338183</v>
      </c>
      <c r="AV30" s="503">
        <f t="shared" si="25"/>
        <v>1.2887610361054973E-2</v>
      </c>
      <c r="AW30" s="508">
        <f t="shared" si="26"/>
        <v>1.2887610361054973E-2</v>
      </c>
      <c r="AX30" s="1355">
        <f t="shared" si="33"/>
        <v>1.5336732814058982</v>
      </c>
      <c r="AY30" s="507">
        <f t="shared" si="27"/>
        <v>14.06686126461536</v>
      </c>
      <c r="AZ30" s="503">
        <f t="shared" si="28"/>
        <v>1.7076142002904027E-2</v>
      </c>
      <c r="BA30" s="502">
        <f t="shared" si="28"/>
        <v>1.6004004724161133E-2</v>
      </c>
      <c r="BB30" s="502">
        <f t="shared" si="28"/>
        <v>1.8097932329720432E-2</v>
      </c>
      <c r="BC30" s="508">
        <f t="shared" si="28"/>
        <v>1.8572478729721353E-2</v>
      </c>
      <c r="BE30" s="681"/>
    </row>
    <row r="31" spans="1:57" s="324" customFormat="1" ht="14.25">
      <c r="A31" s="509">
        <f t="shared" si="34"/>
        <v>19</v>
      </c>
      <c r="B31" s="509">
        <f t="shared" si="29"/>
        <v>2042</v>
      </c>
      <c r="C31" s="499">
        <f t="shared" si="10"/>
        <v>8.0557983124757218E-2</v>
      </c>
      <c r="D31" s="500">
        <f t="shared" si="10"/>
        <v>8.085148275747224E-2</v>
      </c>
      <c r="E31" s="500">
        <f t="shared" si="10"/>
        <v>6.3737190493515436E-2</v>
      </c>
      <c r="F31" s="501">
        <f t="shared" si="10"/>
        <v>6.0672137668562345E-2</v>
      </c>
      <c r="G31" s="1343">
        <f t="shared" si="11"/>
        <v>0</v>
      </c>
      <c r="H31" s="1344">
        <f t="shared" si="11"/>
        <v>0</v>
      </c>
      <c r="I31" s="1344">
        <f t="shared" si="11"/>
        <v>0</v>
      </c>
      <c r="J31" s="1344">
        <f t="shared" si="11"/>
        <v>0</v>
      </c>
      <c r="K31" s="1343">
        <f t="shared" si="12"/>
        <v>2.1580399996868009E-5</v>
      </c>
      <c r="L31" s="1136">
        <f t="shared" si="30"/>
        <v>75.914189281107326</v>
      </c>
      <c r="M31" s="505">
        <f t="shared" si="30"/>
        <v>0</v>
      </c>
      <c r="N31" s="510">
        <f t="shared" si="30"/>
        <v>0</v>
      </c>
      <c r="O31" s="1131">
        <f t="shared" si="31"/>
        <v>0</v>
      </c>
      <c r="P31" s="683">
        <f t="shared" si="13"/>
        <v>0</v>
      </c>
      <c r="Q31" s="683">
        <f t="shared" si="13"/>
        <v>0</v>
      </c>
      <c r="R31" s="1367">
        <f t="shared" si="13"/>
        <v>0</v>
      </c>
      <c r="S31" s="505" t="str">
        <f t="shared" si="14"/>
        <v/>
      </c>
      <c r="T31" s="505" t="str">
        <f t="shared" si="14"/>
        <v/>
      </c>
      <c r="U31" s="684" t="str">
        <f t="shared" si="15"/>
        <v/>
      </c>
      <c r="V31" s="504">
        <f t="shared" si="16"/>
        <v>100.89719194799997</v>
      </c>
      <c r="W31" s="505">
        <f t="shared" si="17"/>
        <v>0</v>
      </c>
      <c r="X31" s="506">
        <f t="shared" si="32"/>
        <v>122.66846416906023</v>
      </c>
      <c r="Y31" s="504">
        <f t="shared" si="35"/>
        <v>7.4914816244491531</v>
      </c>
      <c r="Z31" s="505">
        <f t="shared" si="35"/>
        <v>8.4722980441450879</v>
      </c>
      <c r="AA31" s="505">
        <f t="shared" si="35"/>
        <v>11.201848070589188</v>
      </c>
      <c r="AB31" s="505">
        <f t="shared" si="35"/>
        <v>10.247670350335399</v>
      </c>
      <c r="AC31" s="505">
        <f t="shared" si="35"/>
        <v>8.3632194700575955</v>
      </c>
      <c r="AD31" s="505">
        <f t="shared" si="35"/>
        <v>10.560927672186224</v>
      </c>
      <c r="AE31" s="506">
        <f t="shared" si="35"/>
        <v>9.966620139337504</v>
      </c>
      <c r="AF31" s="1348">
        <f t="shared" si="19"/>
        <v>2.8496865326593547E-3</v>
      </c>
      <c r="AG31" s="1343">
        <f t="shared" si="36"/>
        <v>0</v>
      </c>
      <c r="AH31" s="1344">
        <f t="shared" si="36"/>
        <v>0</v>
      </c>
      <c r="AI31" s="1344">
        <f t="shared" si="36"/>
        <v>0</v>
      </c>
      <c r="AJ31" s="1344">
        <f t="shared" si="36"/>
        <v>0</v>
      </c>
      <c r="AK31" s="1344">
        <f t="shared" si="36"/>
        <v>0</v>
      </c>
      <c r="AL31" s="1344">
        <f t="shared" si="36"/>
        <v>0</v>
      </c>
      <c r="AM31" s="1344">
        <f t="shared" si="36"/>
        <v>0</v>
      </c>
      <c r="AN31" s="504">
        <f t="shared" si="21"/>
        <v>33.304959101947716</v>
      </c>
      <c r="AO31" s="505">
        <f t="shared" si="21"/>
        <v>29.89436337796792</v>
      </c>
      <c r="AP31" s="505">
        <f t="shared" si="21"/>
        <v>28.633688839199351</v>
      </c>
      <c r="AQ31" s="501">
        <f t="shared" si="22"/>
        <v>1.7638671197704035E-2</v>
      </c>
      <c r="AR31" s="505">
        <f t="shared" si="23"/>
        <v>40.9993879410831</v>
      </c>
      <c r="AS31" s="506">
        <f t="shared" si="24"/>
        <v>51.00154454704407</v>
      </c>
      <c r="AT31" s="504">
        <f t="shared" si="24"/>
        <v>28.866507751385882</v>
      </c>
      <c r="AU31" s="505">
        <f t="shared" si="24"/>
        <v>31.127527480668196</v>
      </c>
      <c r="AV31" s="503">
        <f t="shared" si="25"/>
        <v>1.2887610361054973E-2</v>
      </c>
      <c r="AW31" s="508">
        <f t="shared" si="26"/>
        <v>1.2887610361054973E-2</v>
      </c>
      <c r="AX31" s="1355">
        <f t="shared" si="33"/>
        <v>1.5336732814058982</v>
      </c>
      <c r="AY31" s="507">
        <f t="shared" si="27"/>
        <v>14.06686126461536</v>
      </c>
      <c r="AZ31" s="503">
        <f t="shared" si="28"/>
        <v>1.5723191755127101E-2</v>
      </c>
      <c r="BA31" s="502">
        <f t="shared" si="28"/>
        <v>1.4580175153722046E-2</v>
      </c>
      <c r="BB31" s="502">
        <f t="shared" si="28"/>
        <v>1.6558773313278728E-2</v>
      </c>
      <c r="BC31" s="508">
        <f t="shared" si="28"/>
        <v>1.6949186717969574E-2</v>
      </c>
      <c r="BE31" s="681"/>
    </row>
    <row r="32" spans="1:57" s="324" customFormat="1" ht="14.25">
      <c r="A32" s="509">
        <f t="shared" si="34"/>
        <v>20</v>
      </c>
      <c r="B32" s="509">
        <f t="shared" si="29"/>
        <v>2043</v>
      </c>
      <c r="C32" s="499">
        <f t="shared" si="10"/>
        <v>8.1252453119989132E-2</v>
      </c>
      <c r="D32" s="500">
        <f t="shared" si="10"/>
        <v>8.158198287708858E-2</v>
      </c>
      <c r="E32" s="500">
        <f t="shared" si="10"/>
        <v>6.4688345106143075E-2</v>
      </c>
      <c r="F32" s="501">
        <f t="shared" si="10"/>
        <v>6.1606954975325888E-2</v>
      </c>
      <c r="G32" s="1343">
        <f t="shared" si="11"/>
        <v>0</v>
      </c>
      <c r="H32" s="1344">
        <f t="shared" si="11"/>
        <v>0</v>
      </c>
      <c r="I32" s="1344">
        <f t="shared" si="11"/>
        <v>0</v>
      </c>
      <c r="J32" s="1344">
        <f t="shared" si="11"/>
        <v>0</v>
      </c>
      <c r="K32" s="1343">
        <f t="shared" si="12"/>
        <v>2.1635067887330654E-5</v>
      </c>
      <c r="L32" s="1136">
        <f t="shared" si="30"/>
        <v>78.289409998964473</v>
      </c>
      <c r="M32" s="505">
        <f t="shared" si="30"/>
        <v>0</v>
      </c>
      <c r="N32" s="510">
        <f t="shared" si="30"/>
        <v>0</v>
      </c>
      <c r="O32" s="1131">
        <f t="shared" si="31"/>
        <v>0</v>
      </c>
      <c r="P32" s="683">
        <f t="shared" si="13"/>
        <v>0</v>
      </c>
      <c r="Q32" s="683">
        <f t="shared" si="13"/>
        <v>0</v>
      </c>
      <c r="R32" s="1367">
        <f t="shared" si="13"/>
        <v>0</v>
      </c>
      <c r="S32" s="505" t="str">
        <f t="shared" si="14"/>
        <v/>
      </c>
      <c r="T32" s="505" t="str">
        <f t="shared" si="14"/>
        <v/>
      </c>
      <c r="U32" s="684" t="str">
        <f t="shared" si="15"/>
        <v/>
      </c>
      <c r="V32" s="504">
        <f t="shared" si="16"/>
        <v>100.89719194799997</v>
      </c>
      <c r="W32" s="505">
        <f t="shared" si="17"/>
        <v>0</v>
      </c>
      <c r="X32" s="506">
        <f t="shared" si="32"/>
        <v>122.66846416906023</v>
      </c>
      <c r="Y32" s="504">
        <f t="shared" si="35"/>
        <v>7.5489348720318645</v>
      </c>
      <c r="Z32" s="505">
        <f t="shared" si="35"/>
        <v>8.5232112280239232</v>
      </c>
      <c r="AA32" s="505">
        <f t="shared" si="35"/>
        <v>11.238871341264622</v>
      </c>
      <c r="AB32" s="505">
        <f t="shared" si="35"/>
        <v>10.289473536168112</v>
      </c>
      <c r="AC32" s="505">
        <f t="shared" si="35"/>
        <v>8.4141234750003129</v>
      </c>
      <c r="AD32" s="505">
        <f t="shared" si="35"/>
        <v>10.601534015057799</v>
      </c>
      <c r="AE32" s="506">
        <f t="shared" si="35"/>
        <v>10.009925654826143</v>
      </c>
      <c r="AF32" s="1348">
        <f t="shared" si="19"/>
        <v>2.8562991101269315E-3</v>
      </c>
      <c r="AG32" s="1343">
        <f t="shared" si="36"/>
        <v>0</v>
      </c>
      <c r="AH32" s="1344">
        <f t="shared" si="36"/>
        <v>0</v>
      </c>
      <c r="AI32" s="1344">
        <f t="shared" si="36"/>
        <v>0</v>
      </c>
      <c r="AJ32" s="1344">
        <f t="shared" si="36"/>
        <v>0</v>
      </c>
      <c r="AK32" s="1344">
        <f t="shared" si="36"/>
        <v>0</v>
      </c>
      <c r="AL32" s="1344">
        <f t="shared" si="36"/>
        <v>0</v>
      </c>
      <c r="AM32" s="1344">
        <f t="shared" si="36"/>
        <v>0</v>
      </c>
      <c r="AN32" s="504">
        <f t="shared" si="21"/>
        <v>33.51981839855727</v>
      </c>
      <c r="AO32" s="505">
        <f t="shared" si="21"/>
        <v>30.126922069433746</v>
      </c>
      <c r="AP32" s="505">
        <f t="shared" si="21"/>
        <v>28.857981673604225</v>
      </c>
      <c r="AQ32" s="501">
        <f t="shared" si="22"/>
        <v>1.7742869972267473E-2</v>
      </c>
      <c r="AR32" s="505">
        <f t="shared" si="23"/>
        <v>41.263886078657102</v>
      </c>
      <c r="AS32" s="506">
        <f t="shared" si="24"/>
        <v>51.211650554648259</v>
      </c>
      <c r="AT32" s="504">
        <f t="shared" si="24"/>
        <v>29.052733398204779</v>
      </c>
      <c r="AU32" s="505">
        <f t="shared" si="24"/>
        <v>31.328339577125625</v>
      </c>
      <c r="AV32" s="503">
        <f t="shared" si="25"/>
        <v>1.2887610361054973E-2</v>
      </c>
      <c r="AW32" s="508">
        <f t="shared" si="26"/>
        <v>1.2887610361054973E-2</v>
      </c>
      <c r="AX32" s="1355">
        <f t="shared" si="33"/>
        <v>1.5336732814058982</v>
      </c>
      <c r="AY32" s="507">
        <f t="shared" si="27"/>
        <v>14.06686126461536</v>
      </c>
      <c r="AZ32" s="503">
        <f t="shared" si="28"/>
        <v>1.4477436351047793E-2</v>
      </c>
      <c r="BA32" s="502">
        <f t="shared" si="28"/>
        <v>1.328301954274488E-2</v>
      </c>
      <c r="BB32" s="502">
        <f t="shared" si="28"/>
        <v>1.5150513807053637E-2</v>
      </c>
      <c r="BC32" s="508">
        <f t="shared" si="28"/>
        <v>1.546777544242778E-2</v>
      </c>
      <c r="BE32" s="681"/>
    </row>
    <row r="33" spans="1:57" s="324" customFormat="1" ht="14.25">
      <c r="A33" s="509">
        <f t="shared" si="34"/>
        <v>21</v>
      </c>
      <c r="B33" s="509">
        <f t="shared" si="29"/>
        <v>2044</v>
      </c>
      <c r="C33" s="499">
        <f t="shared" si="10"/>
        <v>8.2003897902165751E-2</v>
      </c>
      <c r="D33" s="500">
        <f t="shared" si="10"/>
        <v>8.2370372559895738E-2</v>
      </c>
      <c r="E33" s="500">
        <f t="shared" si="10"/>
        <v>6.5709959569882723E-2</v>
      </c>
      <c r="F33" s="501">
        <f t="shared" si="10"/>
        <v>6.2612943600687102E-2</v>
      </c>
      <c r="G33" s="1343">
        <f t="shared" si="11"/>
        <v>0</v>
      </c>
      <c r="H33" s="1344">
        <f t="shared" si="11"/>
        <v>0</v>
      </c>
      <c r="I33" s="1344">
        <f t="shared" si="11"/>
        <v>0</v>
      </c>
      <c r="J33" s="1344">
        <f t="shared" si="11"/>
        <v>0</v>
      </c>
      <c r="K33" s="1343">
        <f t="shared" si="12"/>
        <v>2.1689874263560393E-5</v>
      </c>
      <c r="L33" s="1136">
        <f t="shared" si="30"/>
        <v>80.73894717217685</v>
      </c>
      <c r="M33" s="505">
        <f t="shared" si="30"/>
        <v>0</v>
      </c>
      <c r="N33" s="510">
        <f t="shared" si="30"/>
        <v>0</v>
      </c>
      <c r="O33" s="1131">
        <f t="shared" si="31"/>
        <v>0</v>
      </c>
      <c r="P33" s="683">
        <f t="shared" si="13"/>
        <v>0</v>
      </c>
      <c r="Q33" s="683">
        <f t="shared" si="13"/>
        <v>0</v>
      </c>
      <c r="R33" s="1367">
        <f t="shared" si="13"/>
        <v>0</v>
      </c>
      <c r="S33" s="505" t="str">
        <f t="shared" si="14"/>
        <v/>
      </c>
      <c r="T33" s="505" t="str">
        <f t="shared" si="14"/>
        <v/>
      </c>
      <c r="U33" s="684" t="str">
        <f t="shared" si="15"/>
        <v/>
      </c>
      <c r="V33" s="504">
        <f t="shared" si="16"/>
        <v>100.89719194799997</v>
      </c>
      <c r="W33" s="505">
        <f t="shared" si="17"/>
        <v>0</v>
      </c>
      <c r="X33" s="506">
        <f t="shared" si="32"/>
        <v>122.66846416906023</v>
      </c>
      <c r="Y33" s="504">
        <f t="shared" si="35"/>
        <v>7.6068287368146548</v>
      </c>
      <c r="Z33" s="505">
        <f t="shared" si="35"/>
        <v>8.5744303681237497</v>
      </c>
      <c r="AA33" s="505">
        <f t="shared" si="35"/>
        <v>11.276016977692823</v>
      </c>
      <c r="AB33" s="505">
        <f t="shared" si="35"/>
        <v>10.331447249182714</v>
      </c>
      <c r="AC33" s="505">
        <f t="shared" si="35"/>
        <v>8.46533731489696</v>
      </c>
      <c r="AD33" s="505">
        <f t="shared" si="35"/>
        <v>10.642296487687343</v>
      </c>
      <c r="AE33" s="506">
        <f t="shared" si="35"/>
        <v>10.053419335173633</v>
      </c>
      <c r="AF33" s="1348">
        <f t="shared" si="19"/>
        <v>2.8629270318017612E-3</v>
      </c>
      <c r="AG33" s="1343">
        <f t="shared" si="36"/>
        <v>0</v>
      </c>
      <c r="AH33" s="1344">
        <f t="shared" si="36"/>
        <v>0</v>
      </c>
      <c r="AI33" s="1344">
        <f t="shared" si="36"/>
        <v>0</v>
      </c>
      <c r="AJ33" s="1344">
        <f t="shared" si="36"/>
        <v>0</v>
      </c>
      <c r="AK33" s="1344">
        <f t="shared" si="36"/>
        <v>0</v>
      </c>
      <c r="AL33" s="1344">
        <f t="shared" si="36"/>
        <v>0</v>
      </c>
      <c r="AM33" s="1344">
        <f t="shared" si="36"/>
        <v>0</v>
      </c>
      <c r="AN33" s="504">
        <f t="shared" si="21"/>
        <v>33.736063810585804</v>
      </c>
      <c r="AO33" s="505">
        <f t="shared" si="21"/>
        <v>30.361289916167156</v>
      </c>
      <c r="AP33" s="505">
        <f t="shared" si="21"/>
        <v>29.084031434119737</v>
      </c>
      <c r="AQ33" s="501">
        <f t="shared" si="22"/>
        <v>1.7847684291193565E-2</v>
      </c>
      <c r="AR33" s="505">
        <f t="shared" si="23"/>
        <v>41.530090565235156</v>
      </c>
      <c r="AS33" s="506">
        <f t="shared" si="24"/>
        <v>51.422622115145458</v>
      </c>
      <c r="AT33" s="504">
        <f t="shared" si="24"/>
        <v>29.240160437025498</v>
      </c>
      <c r="AU33" s="505">
        <f t="shared" si="24"/>
        <v>31.530447166715575</v>
      </c>
      <c r="AV33" s="503">
        <f t="shared" si="25"/>
        <v>1.2887610361054973E-2</v>
      </c>
      <c r="AW33" s="508">
        <f t="shared" si="26"/>
        <v>1.2887610361054973E-2</v>
      </c>
      <c r="AX33" s="1355">
        <f t="shared" si="33"/>
        <v>1.5336732814058982</v>
      </c>
      <c r="AY33" s="507">
        <f t="shared" si="27"/>
        <v>14.06686126461536</v>
      </c>
      <c r="AZ33" s="503">
        <f t="shared" si="28"/>
        <v>1.3330382696012966E-2</v>
      </c>
      <c r="BA33" s="502">
        <f t="shared" si="28"/>
        <v>1.2101268078929828E-2</v>
      </c>
      <c r="BB33" s="502">
        <f t="shared" si="28"/>
        <v>1.3862021314927529E-2</v>
      </c>
      <c r="BC33" s="508">
        <f t="shared" si="28"/>
        <v>1.4115844088478664E-2</v>
      </c>
      <c r="BE33" s="681"/>
    </row>
    <row r="34" spans="1:57" s="324" customFormat="1" ht="14.25">
      <c r="A34" s="509">
        <f t="shared" si="34"/>
        <v>22</v>
      </c>
      <c r="B34" s="509">
        <f t="shared" si="29"/>
        <v>2045</v>
      </c>
      <c r="C34" s="499">
        <f t="shared" si="10"/>
        <v>8.2806910953486357E-2</v>
      </c>
      <c r="D34" s="500">
        <f t="shared" si="10"/>
        <v>8.321126336101739E-2</v>
      </c>
      <c r="E34" s="500">
        <f t="shared" si="10"/>
        <v>6.6797018212482587E-2</v>
      </c>
      <c r="F34" s="501">
        <f t="shared" si="10"/>
        <v>6.3685125964812211E-2</v>
      </c>
      <c r="G34" s="1343">
        <f t="shared" si="11"/>
        <v>0</v>
      </c>
      <c r="H34" s="1344">
        <f t="shared" si="11"/>
        <v>0</v>
      </c>
      <c r="I34" s="1344">
        <f t="shared" si="11"/>
        <v>0</v>
      </c>
      <c r="J34" s="1344">
        <f t="shared" si="11"/>
        <v>0</v>
      </c>
      <c r="K34" s="1343">
        <f t="shared" si="12"/>
        <v>2.1744819476372059E-5</v>
      </c>
      <c r="L34" s="1136">
        <f t="shared" si="30"/>
        <v>83.265126031193603</v>
      </c>
      <c r="M34" s="505">
        <f t="shared" si="30"/>
        <v>0</v>
      </c>
      <c r="N34" s="510">
        <f t="shared" si="30"/>
        <v>0</v>
      </c>
      <c r="O34" s="1131">
        <f t="shared" si="31"/>
        <v>0</v>
      </c>
      <c r="P34" s="683">
        <f t="shared" si="13"/>
        <v>0</v>
      </c>
      <c r="Q34" s="683">
        <f t="shared" si="13"/>
        <v>0</v>
      </c>
      <c r="R34" s="1367">
        <f t="shared" si="13"/>
        <v>0</v>
      </c>
      <c r="S34" s="505" t="str">
        <f t="shared" si="14"/>
        <v/>
      </c>
      <c r="T34" s="505" t="str">
        <f t="shared" si="14"/>
        <v/>
      </c>
      <c r="U34" s="684" t="str">
        <f t="shared" si="15"/>
        <v/>
      </c>
      <c r="V34" s="504">
        <f t="shared" si="16"/>
        <v>100.89719194799997</v>
      </c>
      <c r="W34" s="505">
        <f t="shared" si="17"/>
        <v>0</v>
      </c>
      <c r="X34" s="506">
        <f t="shared" si="32"/>
        <v>122.66846416906023</v>
      </c>
      <c r="Y34" s="504">
        <f t="shared" si="35"/>
        <v>7.6651665979540562</v>
      </c>
      <c r="Z34" s="505">
        <f t="shared" si="35"/>
        <v>8.6259573030490664</v>
      </c>
      <c r="AA34" s="505">
        <f t="shared" si="35"/>
        <v>11.313285384305301</v>
      </c>
      <c r="AB34" s="505">
        <f t="shared" si="35"/>
        <v>10.373592185008476</v>
      </c>
      <c r="AC34" s="505">
        <f t="shared" si="35"/>
        <v>8.5168628756050211</v>
      </c>
      <c r="AD34" s="505">
        <f t="shared" si="35"/>
        <v>10.68321569038751</v>
      </c>
      <c r="AE34" s="506">
        <f t="shared" si="35"/>
        <v>10.097101997966689</v>
      </c>
      <c r="AF34" s="1348">
        <f t="shared" si="19"/>
        <v>2.8695703332894309E-3</v>
      </c>
      <c r="AG34" s="1343">
        <f t="shared" si="36"/>
        <v>0</v>
      </c>
      <c r="AH34" s="1344">
        <f t="shared" si="36"/>
        <v>0</v>
      </c>
      <c r="AI34" s="1344">
        <f t="shared" si="36"/>
        <v>0</v>
      </c>
      <c r="AJ34" s="1344">
        <f t="shared" si="36"/>
        <v>0</v>
      </c>
      <c r="AK34" s="1344">
        <f t="shared" si="36"/>
        <v>0</v>
      </c>
      <c r="AL34" s="1344">
        <f t="shared" si="36"/>
        <v>0</v>
      </c>
      <c r="AM34" s="1344">
        <f t="shared" si="36"/>
        <v>0</v>
      </c>
      <c r="AN34" s="504">
        <f t="shared" si="21"/>
        <v>33.953704280238682</v>
      </c>
      <c r="AO34" s="505">
        <f t="shared" si="21"/>
        <v>30.59748099221871</v>
      </c>
      <c r="AP34" s="505">
        <f t="shared" si="21"/>
        <v>29.311851883064087</v>
      </c>
      <c r="AQ34" s="501">
        <f t="shared" si="22"/>
        <v>1.795311779075217E-2</v>
      </c>
      <c r="AR34" s="505">
        <f t="shared" si="23"/>
        <v>41.798012408936081</v>
      </c>
      <c r="AS34" s="506">
        <f t="shared" si="24"/>
        <v>51.634462794268153</v>
      </c>
      <c r="AT34" s="504">
        <f t="shared" si="24"/>
        <v>29.428796618352695</v>
      </c>
      <c r="AU34" s="505">
        <f t="shared" si="24"/>
        <v>31.73385860701454</v>
      </c>
      <c r="AV34" s="503">
        <f t="shared" si="25"/>
        <v>1.2887610361054973E-2</v>
      </c>
      <c r="AW34" s="508">
        <f t="shared" si="26"/>
        <v>1.2887610361054973E-2</v>
      </c>
      <c r="AX34" s="1355">
        <f t="shared" si="33"/>
        <v>1.5336732814058982</v>
      </c>
      <c r="AY34" s="507">
        <f t="shared" si="27"/>
        <v>14.06686126461536</v>
      </c>
      <c r="AZ34" s="503">
        <f t="shared" si="28"/>
        <v>1.2274210606997493E-2</v>
      </c>
      <c r="BA34" s="502">
        <f t="shared" si="28"/>
        <v>1.1024653592270832E-2</v>
      </c>
      <c r="BB34" s="502">
        <f t="shared" si="28"/>
        <v>1.2683110116439952E-2</v>
      </c>
      <c r="BC34" s="508">
        <f t="shared" si="28"/>
        <v>1.2882075711008849E-2</v>
      </c>
      <c r="BE34" s="681"/>
    </row>
    <row r="35" spans="1:57" s="324" customFormat="1" ht="14.25">
      <c r="A35" s="509">
        <f t="shared" si="34"/>
        <v>23</v>
      </c>
      <c r="B35" s="509">
        <f t="shared" si="29"/>
        <v>2046</v>
      </c>
      <c r="C35" s="499">
        <f t="shared" si="10"/>
        <v>8.365680822607488E-2</v>
      </c>
      <c r="D35" s="500">
        <f t="shared" si="10"/>
        <v>8.4099989625973426E-2</v>
      </c>
      <c r="E35" s="500">
        <f t="shared" si="10"/>
        <v>6.794523747604321E-2</v>
      </c>
      <c r="F35" s="501">
        <f t="shared" si="10"/>
        <v>6.4819257910372075E-2</v>
      </c>
      <c r="G35" s="1343">
        <f t="shared" si="11"/>
        <v>0</v>
      </c>
      <c r="H35" s="1344">
        <f t="shared" si="11"/>
        <v>0</v>
      </c>
      <c r="I35" s="1344">
        <f t="shared" si="11"/>
        <v>0</v>
      </c>
      <c r="J35" s="1344">
        <f t="shared" si="11"/>
        <v>0</v>
      </c>
      <c r="K35" s="1343">
        <f t="shared" si="12"/>
        <v>2.1799903877469205E-5</v>
      </c>
      <c r="L35" s="1136">
        <f t="shared" si="30"/>
        <v>85.870344558812093</v>
      </c>
      <c r="M35" s="505">
        <f t="shared" si="30"/>
        <v>0</v>
      </c>
      <c r="N35" s="510">
        <f t="shared" si="30"/>
        <v>0</v>
      </c>
      <c r="O35" s="1131">
        <f t="shared" si="31"/>
        <v>0</v>
      </c>
      <c r="P35" s="683">
        <f t="shared" si="13"/>
        <v>0</v>
      </c>
      <c r="Q35" s="683">
        <f t="shared" si="13"/>
        <v>0</v>
      </c>
      <c r="R35" s="1367">
        <f t="shared" si="13"/>
        <v>0</v>
      </c>
      <c r="S35" s="505" t="str">
        <f t="shared" si="14"/>
        <v/>
      </c>
      <c r="T35" s="505" t="str">
        <f t="shared" si="14"/>
        <v/>
      </c>
      <c r="U35" s="684" t="str">
        <f t="shared" si="15"/>
        <v/>
      </c>
      <c r="V35" s="504">
        <f t="shared" si="16"/>
        <v>100.89719194799997</v>
      </c>
      <c r="W35" s="505">
        <f t="shared" si="17"/>
        <v>0</v>
      </c>
      <c r="X35" s="506">
        <f t="shared" si="32"/>
        <v>122.66846416906023</v>
      </c>
      <c r="Y35" s="504">
        <f t="shared" si="35"/>
        <v>7.7239518605218427</v>
      </c>
      <c r="Z35" s="505">
        <f t="shared" si="35"/>
        <v>8.677793882453237</v>
      </c>
      <c r="AA35" s="505">
        <f t="shared" si="35"/>
        <v>11.350676966870264</v>
      </c>
      <c r="AB35" s="505">
        <f t="shared" si="35"/>
        <v>10.415909042112343</v>
      </c>
      <c r="AC35" s="505">
        <f t="shared" si="35"/>
        <v>8.5687020544605375</v>
      </c>
      <c r="AD35" s="505">
        <f t="shared" si="35"/>
        <v>10.724292225779125</v>
      </c>
      <c r="AE35" s="506">
        <f t="shared" si="35"/>
        <v>10.140974464344483</v>
      </c>
      <c r="AF35" s="1348">
        <f t="shared" si="19"/>
        <v>2.8762290502781472E-3</v>
      </c>
      <c r="AG35" s="1343">
        <f t="shared" si="36"/>
        <v>0</v>
      </c>
      <c r="AH35" s="1344">
        <f t="shared" si="36"/>
        <v>0</v>
      </c>
      <c r="AI35" s="1344">
        <f t="shared" si="36"/>
        <v>0</v>
      </c>
      <c r="AJ35" s="1344">
        <f t="shared" si="36"/>
        <v>0</v>
      </c>
      <c r="AK35" s="1344">
        <f t="shared" si="36"/>
        <v>0</v>
      </c>
      <c r="AL35" s="1344">
        <f t="shared" si="36"/>
        <v>0</v>
      </c>
      <c r="AM35" s="1344">
        <f t="shared" si="36"/>
        <v>0</v>
      </c>
      <c r="AN35" s="504">
        <f t="shared" si="21"/>
        <v>34.172748807409839</v>
      </c>
      <c r="AO35" s="505">
        <f t="shared" si="21"/>
        <v>30.835509481125925</v>
      </c>
      <c r="AP35" s="505">
        <f t="shared" si="21"/>
        <v>29.541456890558191</v>
      </c>
      <c r="AQ35" s="501">
        <f t="shared" si="22"/>
        <v>1.8059174128694049E-2</v>
      </c>
      <c r="AR35" s="505">
        <f t="shared" si="23"/>
        <v>42.067662688895027</v>
      </c>
      <c r="AS35" s="506">
        <f t="shared" si="24"/>
        <v>51.847176172438175</v>
      </c>
      <c r="AT35" s="504">
        <f t="shared" si="24"/>
        <v>29.618649742691623</v>
      </c>
      <c r="AU35" s="505">
        <f t="shared" si="24"/>
        <v>31.938582309515994</v>
      </c>
      <c r="AV35" s="503">
        <f t="shared" si="25"/>
        <v>1.2887610361054973E-2</v>
      </c>
      <c r="AW35" s="508">
        <f t="shared" si="26"/>
        <v>1.2887610361054973E-2</v>
      </c>
      <c r="AX35" s="1355">
        <f t="shared" si="33"/>
        <v>1.5336732814058982</v>
      </c>
      <c r="AY35" s="507">
        <f t="shared" si="27"/>
        <v>14.06686126461536</v>
      </c>
      <c r="AZ35" s="503">
        <f t="shared" si="28"/>
        <v>1.130171949751976E-2</v>
      </c>
      <c r="BA35" s="502">
        <f t="shared" si="28"/>
        <v>1.0043822352898307E-2</v>
      </c>
      <c r="BB35" s="502">
        <f t="shared" si="28"/>
        <v>1.1604460747186669E-2</v>
      </c>
      <c r="BC35" s="508">
        <f t="shared" si="28"/>
        <v>1.1756142500866143E-2</v>
      </c>
      <c r="BE35" s="681"/>
    </row>
    <row r="36" spans="1:57" s="324" customFormat="1" ht="14.25">
      <c r="A36" s="509">
        <f t="shared" si="34"/>
        <v>24</v>
      </c>
      <c r="B36" s="509">
        <f t="shared" si="29"/>
        <v>2047</v>
      </c>
      <c r="C36" s="499">
        <f t="shared" si="10"/>
        <v>8.454953536032267E-2</v>
      </c>
      <c r="D36" s="500">
        <f t="shared" si="10"/>
        <v>8.5032515714371412E-2</v>
      </c>
      <c r="E36" s="500">
        <f t="shared" si="10"/>
        <v>6.9150973357165732E-2</v>
      </c>
      <c r="F36" s="501">
        <f t="shared" si="10"/>
        <v>6.6011736181316324E-2</v>
      </c>
      <c r="G36" s="1343">
        <f t="shared" si="11"/>
        <v>0</v>
      </c>
      <c r="H36" s="1344">
        <f t="shared" si="11"/>
        <v>0</v>
      </c>
      <c r="I36" s="1344">
        <f t="shared" si="11"/>
        <v>0</v>
      </c>
      <c r="J36" s="1344">
        <f t="shared" si="11"/>
        <v>0</v>
      </c>
      <c r="K36" s="1343">
        <f t="shared" si="12"/>
        <v>2.1855127819446311E-5</v>
      </c>
      <c r="L36" s="1136">
        <f t="shared" si="30"/>
        <v>88.557075766470291</v>
      </c>
      <c r="M36" s="505">
        <f t="shared" si="30"/>
        <v>0</v>
      </c>
      <c r="N36" s="510">
        <f t="shared" si="30"/>
        <v>0</v>
      </c>
      <c r="O36" s="1131">
        <f t="shared" si="31"/>
        <v>0</v>
      </c>
      <c r="P36" s="683">
        <f t="shared" si="13"/>
        <v>0</v>
      </c>
      <c r="Q36" s="683">
        <f t="shared" si="13"/>
        <v>0</v>
      </c>
      <c r="R36" s="1367">
        <f t="shared" si="13"/>
        <v>0</v>
      </c>
      <c r="S36" s="505" t="str">
        <f t="shared" si="14"/>
        <v/>
      </c>
      <c r="T36" s="505" t="str">
        <f t="shared" si="14"/>
        <v/>
      </c>
      <c r="U36" s="684" t="str">
        <f t="shared" si="15"/>
        <v/>
      </c>
      <c r="V36" s="504">
        <f t="shared" si="16"/>
        <v>100.89719194799997</v>
      </c>
      <c r="W36" s="505">
        <f t="shared" si="17"/>
        <v>0</v>
      </c>
      <c r="X36" s="506">
        <f t="shared" si="32"/>
        <v>122.66846416906023</v>
      </c>
      <c r="Y36" s="504">
        <f t="shared" si="35"/>
        <v>7.7831879557037666</v>
      </c>
      <c r="Z36" s="505">
        <f t="shared" si="35"/>
        <v>8.7299419671048764</v>
      </c>
      <c r="AA36" s="505">
        <f t="shared" si="35"/>
        <v>11.388192132497016</v>
      </c>
      <c r="AB36" s="505">
        <f t="shared" si="35"/>
        <v>10.458398521810508</v>
      </c>
      <c r="AC36" s="505">
        <f t="shared" si="35"/>
        <v>8.6208567603479729</v>
      </c>
      <c r="AD36" s="505">
        <f t="shared" si="35"/>
        <v>10.765526698800073</v>
      </c>
      <c r="AE36" s="506">
        <f t="shared" si="35"/>
        <v>10.185037559014081</v>
      </c>
      <c r="AF36" s="1348">
        <f t="shared" si="19"/>
        <v>2.8829032185389309E-3</v>
      </c>
      <c r="AG36" s="1343">
        <f t="shared" si="36"/>
        <v>0</v>
      </c>
      <c r="AH36" s="1344">
        <f t="shared" si="36"/>
        <v>0</v>
      </c>
      <c r="AI36" s="1344">
        <f t="shared" si="36"/>
        <v>0</v>
      </c>
      <c r="AJ36" s="1344">
        <f t="shared" si="36"/>
        <v>0</v>
      </c>
      <c r="AK36" s="1344">
        <f t="shared" si="36"/>
        <v>0</v>
      </c>
      <c r="AL36" s="1344">
        <f t="shared" si="36"/>
        <v>0</v>
      </c>
      <c r="AM36" s="1344">
        <f t="shared" si="36"/>
        <v>0</v>
      </c>
      <c r="AN36" s="504">
        <f t="shared" si="21"/>
        <v>34.393206450053981</v>
      </c>
      <c r="AO36" s="505">
        <f t="shared" si="21"/>
        <v>31.075389676765003</v>
      </c>
      <c r="AP36" s="505">
        <f t="shared" si="21"/>
        <v>29.772860435370127</v>
      </c>
      <c r="AQ36" s="501">
        <f t="shared" si="22"/>
        <v>1.8165856984377792E-2</v>
      </c>
      <c r="AR36" s="505">
        <f t="shared" si="23"/>
        <v>42.339052555721658</v>
      </c>
      <c r="AS36" s="506">
        <f t="shared" si="24"/>
        <v>52.060765844827287</v>
      </c>
      <c r="AT36" s="504">
        <f t="shared" si="24"/>
        <v>29.809727660870706</v>
      </c>
      <c r="AU36" s="505">
        <f t="shared" si="24"/>
        <v>32.144626739978236</v>
      </c>
      <c r="AV36" s="503">
        <f t="shared" si="25"/>
        <v>1.2887610361054973E-2</v>
      </c>
      <c r="AW36" s="508">
        <f t="shared" si="26"/>
        <v>1.2887610361054973E-2</v>
      </c>
      <c r="AX36" s="1355">
        <f t="shared" si="33"/>
        <v>1.5336732814058982</v>
      </c>
      <c r="AY36" s="507">
        <f t="shared" si="27"/>
        <v>14.06686126461536</v>
      </c>
      <c r="AZ36" s="503">
        <f t="shared" si="28"/>
        <v>1.0406279286734779E-2</v>
      </c>
      <c r="BA36" s="502">
        <f t="shared" si="28"/>
        <v>9.1502528049773393E-3</v>
      </c>
      <c r="BB36" s="502">
        <f t="shared" si="28"/>
        <v>1.0617546327098763E-2</v>
      </c>
      <c r="BC36" s="508">
        <f t="shared" si="28"/>
        <v>1.0728619331321078E-2</v>
      </c>
      <c r="BE36" s="681"/>
    </row>
    <row r="37" spans="1:57" s="324" customFormat="1" ht="14.25">
      <c r="A37" s="509">
        <f t="shared" si="34"/>
        <v>25</v>
      </c>
      <c r="B37" s="509">
        <f t="shared" si="29"/>
        <v>2048</v>
      </c>
      <c r="C37" s="499">
        <f t="shared" si="10"/>
        <v>8.5481586866495207E-2</v>
      </c>
      <c r="D37" s="500">
        <f t="shared" si="10"/>
        <v>8.6005355186947852E-2</v>
      </c>
      <c r="E37" s="500">
        <f t="shared" si="10"/>
        <v>7.0411140815282505E-2</v>
      </c>
      <c r="F37" s="501">
        <f t="shared" si="10"/>
        <v>6.7259517870885938E-2</v>
      </c>
      <c r="G37" s="1343">
        <f t="shared" si="11"/>
        <v>0</v>
      </c>
      <c r="H37" s="1344">
        <f t="shared" si="11"/>
        <v>0</v>
      </c>
      <c r="I37" s="1344">
        <f t="shared" si="11"/>
        <v>0</v>
      </c>
      <c r="J37" s="1344">
        <f t="shared" si="11"/>
        <v>0</v>
      </c>
      <c r="K37" s="1343">
        <f t="shared" si="12"/>
        <v>2.191049165579105E-5</v>
      </c>
      <c r="L37" s="1136">
        <f t="shared" si="30"/>
        <v>91.327870041760178</v>
      </c>
      <c r="M37" s="505">
        <f t="shared" si="30"/>
        <v>0</v>
      </c>
      <c r="N37" s="510">
        <f t="shared" si="30"/>
        <v>0</v>
      </c>
      <c r="O37" s="1132">
        <f t="shared" si="31"/>
        <v>0</v>
      </c>
      <c r="P37" s="683">
        <f t="shared" si="13"/>
        <v>0</v>
      </c>
      <c r="Q37" s="683">
        <f t="shared" si="13"/>
        <v>0</v>
      </c>
      <c r="R37" s="1368">
        <f t="shared" si="13"/>
        <v>0</v>
      </c>
      <c r="S37" s="505" t="str">
        <f t="shared" si="14"/>
        <v/>
      </c>
      <c r="T37" s="505" t="str">
        <f t="shared" si="14"/>
        <v/>
      </c>
      <c r="U37" s="684" t="str">
        <f t="shared" si="15"/>
        <v/>
      </c>
      <c r="V37" s="504">
        <f t="shared" si="16"/>
        <v>100.89719194799997</v>
      </c>
      <c r="W37" s="505">
        <f t="shared" si="17"/>
        <v>0</v>
      </c>
      <c r="X37" s="506">
        <f t="shared" si="32"/>
        <v>122.66846416906023</v>
      </c>
      <c r="Y37" s="504">
        <f t="shared" si="35"/>
        <v>7.8428783409998406</v>
      </c>
      <c r="Z37" s="505">
        <f t="shared" si="35"/>
        <v>8.7824034289546429</v>
      </c>
      <c r="AA37" s="505">
        <f t="shared" si="35"/>
        <v>11.425831289640408</v>
      </c>
      <c r="AB37" s="505">
        <f t="shared" si="35"/>
        <v>10.501061328280031</v>
      </c>
      <c r="AC37" s="505">
        <f t="shared" si="35"/>
        <v>8.6733289137705114</v>
      </c>
      <c r="AD37" s="505">
        <f t="shared" si="35"/>
        <v>10.806919716714196</v>
      </c>
      <c r="AE37" s="506">
        <f t="shared" si="35"/>
        <v>10.229292110265956</v>
      </c>
      <c r="AF37" s="1348">
        <f t="shared" si="19"/>
        <v>2.8895928739258074E-3</v>
      </c>
      <c r="AG37" s="1343">
        <f t="shared" si="36"/>
        <v>0</v>
      </c>
      <c r="AH37" s="1344">
        <f t="shared" si="36"/>
        <v>0</v>
      </c>
      <c r="AI37" s="1344">
        <f t="shared" si="36"/>
        <v>0</v>
      </c>
      <c r="AJ37" s="1344">
        <f t="shared" si="36"/>
        <v>0</v>
      </c>
      <c r="AK37" s="1344">
        <f t="shared" si="36"/>
        <v>0</v>
      </c>
      <c r="AL37" s="1344">
        <f t="shared" si="36"/>
        <v>0</v>
      </c>
      <c r="AM37" s="1344">
        <f t="shared" si="36"/>
        <v>0</v>
      </c>
      <c r="AN37" s="504">
        <f t="shared" si="21"/>
        <v>34.615086324561133</v>
      </c>
      <c r="AO37" s="505">
        <f t="shared" si="21"/>
        <v>31.317135984209209</v>
      </c>
      <c r="AP37" s="505">
        <f t="shared" si="21"/>
        <v>30.006076605766168</v>
      </c>
      <c r="AQ37" s="501">
        <f t="shared" si="22"/>
        <v>1.8273170058897444E-2</v>
      </c>
      <c r="AR37" s="505">
        <f t="shared" si="23"/>
        <v>42.612193231961236</v>
      </c>
      <c r="AS37" s="506">
        <f t="shared" si="24"/>
        <v>52.275235421417918</v>
      </c>
      <c r="AT37" s="504">
        <f t="shared" si="24"/>
        <v>30.002038274366175</v>
      </c>
      <c r="AU37" s="505">
        <f t="shared" si="24"/>
        <v>32.352000418774452</v>
      </c>
      <c r="AV37" s="503">
        <f t="shared" si="25"/>
        <v>1.2887610361054973E-2</v>
      </c>
      <c r="AW37" s="508">
        <f t="shared" si="26"/>
        <v>1.2887610361054973E-2</v>
      </c>
      <c r="AX37" s="1355">
        <f t="shared" si="33"/>
        <v>1.5336732814058982</v>
      </c>
      <c r="AY37" s="507">
        <f t="shared" si="27"/>
        <v>14.06686126461536</v>
      </c>
      <c r="AZ37" s="503">
        <f t="shared" si="28"/>
        <v>9.5817851980214523E-3</v>
      </c>
      <c r="BA37" s="502">
        <f t="shared" si="28"/>
        <v>8.3361815306136778E-3</v>
      </c>
      <c r="BB37" s="502">
        <f t="shared" si="28"/>
        <v>9.7145651542161256E-3</v>
      </c>
      <c r="BC37" s="508">
        <f t="shared" si="28"/>
        <v>9.790904860834752E-3</v>
      </c>
      <c r="BE37" s="681"/>
    </row>
    <row r="38" spans="1:57" ht="20.25">
      <c r="A38" s="1589" t="str">
        <f>Year2&amp;", "&amp;Year2&amp;"$"</f>
        <v>2025, 2025$</v>
      </c>
      <c r="B38" s="1590"/>
      <c r="C38" s="496"/>
      <c r="D38" s="496"/>
      <c r="E38" s="496"/>
      <c r="F38" s="496"/>
      <c r="G38" s="1172" t="s">
        <v>684</v>
      </c>
      <c r="H38" s="1123"/>
      <c r="I38" s="1123"/>
      <c r="J38" s="1123"/>
      <c r="K38" s="1172" t="s">
        <v>684</v>
      </c>
      <c r="L38" s="1123"/>
      <c r="M38" s="1123"/>
      <c r="N38" s="1123"/>
      <c r="O38" s="496"/>
      <c r="P38" s="682" t="s">
        <v>684</v>
      </c>
      <c r="Q38" s="682" t="s">
        <v>684</v>
      </c>
      <c r="R38" s="682" t="s">
        <v>684</v>
      </c>
      <c r="S38" s="1123"/>
      <c r="T38" s="1123"/>
      <c r="U38" s="496"/>
      <c r="V38" s="1466"/>
      <c r="W38" s="496"/>
      <c r="X38" s="496"/>
      <c r="Y38" s="496"/>
      <c r="Z38" s="496"/>
      <c r="AA38" s="496"/>
      <c r="AB38" s="496"/>
      <c r="AC38" s="496"/>
      <c r="AD38" s="496"/>
      <c r="AE38" s="496"/>
      <c r="AF38" s="1173" t="s">
        <v>684</v>
      </c>
      <c r="AG38" s="1173" t="s">
        <v>684</v>
      </c>
      <c r="AH38" s="1123"/>
      <c r="AI38" s="1123"/>
      <c r="AJ38" s="1123"/>
      <c r="AK38" s="1123"/>
      <c r="AL38" s="1123"/>
      <c r="AM38" s="1123"/>
      <c r="AN38" s="496"/>
      <c r="AO38" s="496"/>
      <c r="AP38" s="496"/>
      <c r="AQ38" s="496"/>
      <c r="AR38" s="496"/>
      <c r="AS38" s="496"/>
      <c r="AT38" s="496"/>
      <c r="AU38" s="496"/>
      <c r="AV38" s="496"/>
      <c r="AW38" s="496"/>
      <c r="AX38" s="1123"/>
      <c r="AY38" s="496"/>
      <c r="AZ38" s="496"/>
      <c r="BA38" s="496"/>
      <c r="BB38" s="496"/>
      <c r="BC38" s="497"/>
      <c r="BE38" s="681"/>
    </row>
    <row r="39" spans="1:57" s="201" customFormat="1" ht="14.25">
      <c r="A39" s="498">
        <v>1</v>
      </c>
      <c r="B39" s="498">
        <f>Year2</f>
        <v>2025</v>
      </c>
      <c r="C39" s="499">
        <f t="shared" ref="C39:F63" si="37">VLOOKUP($B39,$B$184:$CR$216,C$5,FALSE)*(1+Inflation2)^(Year2-Real_Year)</f>
        <v>7.8752742791127719E-2</v>
      </c>
      <c r="D39" s="500">
        <f t="shared" si="37"/>
        <v>7.729741755541758E-2</v>
      </c>
      <c r="E39" s="500">
        <f t="shared" si="37"/>
        <v>5.5697061380025191E-2</v>
      </c>
      <c r="F39" s="501">
        <f t="shared" si="37"/>
        <v>5.3028570997923866E-2</v>
      </c>
      <c r="G39" s="1343">
        <f>IF(ED="Yes",VLOOKUP($B39-4,$B$184:$CK$216,G$5,FALSE)*(1+Inflation2)^(Year2-Real_Year),"")</f>
        <v>4.0833297835258468E-3</v>
      </c>
      <c r="H39" s="1344">
        <f t="shared" ref="G39:J63" si="38">IF(ED="Yes",VLOOKUP($B39-4,$B$184:$CK$216,H$5,FALSE)*(1+Inflation2)^(Year2-Real_Year),"")</f>
        <v>3.1685853697104014E-3</v>
      </c>
      <c r="I39" s="1344">
        <f t="shared" si="38"/>
        <v>2.7567816299908731E-3</v>
      </c>
      <c r="J39" s="1344">
        <f t="shared" si="38"/>
        <v>1.5712304387553255E-3</v>
      </c>
      <c r="K39" s="1343">
        <f t="shared" ref="K39:K63" si="39">IF(ECD="Yes",VLOOKUP($B39-4,$B$184:$CK$216,K$5,FALSE)*(1+Inflation2)^(Year2-Real_Year),"")</f>
        <v>1.5771563877789447E-3</v>
      </c>
      <c r="L39" s="1136">
        <f t="shared" ref="L39:N63" si="40">VLOOKUP($B39,$B$184:$CR$216,L$5,FALSE)*(1+Inflation2)^(Year2-Real_Year)</f>
        <v>48.309174127470456</v>
      </c>
      <c r="M39" s="505">
        <f t="shared" si="40"/>
        <v>0</v>
      </c>
      <c r="N39" s="505">
        <f t="shared" si="40"/>
        <v>0</v>
      </c>
      <c r="O39" s="1130">
        <f t="shared" ref="O39:O63" si="41">0*((1+Inflation2)^(Year2-Real_Year))</f>
        <v>0</v>
      </c>
      <c r="P39" s="683">
        <f t="shared" ref="P39:R63" si="42">IF(CD="Yes",VLOOKUP($B39-4,$B$184:$CR$216,P$5,FALSE)*(1+Inflation2)^(Year2-Real_Year),"")</f>
        <v>17.065134581802702</v>
      </c>
      <c r="Q39" s="683">
        <f t="shared" si="42"/>
        <v>0</v>
      </c>
      <c r="R39" s="1366">
        <f t="shared" si="42"/>
        <v>0</v>
      </c>
      <c r="S39" s="505" t="str">
        <f t="shared" ref="S39:T63" si="43">IF(Reliability="Yes",VLOOKUP($B39,$B$184:$CR$216,S$5,FALSE)*(1+Inflation2)^(Year2-Real_Year),"")</f>
        <v/>
      </c>
      <c r="T39" s="505" t="str">
        <f t="shared" si="43"/>
        <v/>
      </c>
      <c r="U39" s="684" t="str">
        <f t="shared" ref="U39:U63" si="44">IF(Reliability="Yes",VLOOKUP($B39-4,$B$184:$CR$216,U$5,FALSE)*(1+Inflation2)^(Year2-Real_Year),"")</f>
        <v/>
      </c>
      <c r="V39" s="504">
        <f t="shared" ref="V39:V63" si="45">PTFyear2*(1+Inflation2)^(Year2-PTF_Year)</f>
        <v>107.25371504072396</v>
      </c>
      <c r="W39" s="505">
        <f t="shared" ref="W39:W63" si="46">transmissionyear2*(1+Inflation2)^(Year2-TD_Year)</f>
        <v>0</v>
      </c>
      <c r="X39" s="506">
        <f t="shared" ref="X39:X63" si="47">distributionyear2*(1+Inflation2)^(Year2-TD_Year)</f>
        <v>130.39657741171101</v>
      </c>
      <c r="Y39" s="504">
        <f t="shared" ref="Y39:AE48" si="48">VLOOKUP($B39,$B$233:$AG$265,Y$5,FALSE)*(1+Inflation2)^(Year2-Real_Year)</f>
        <v>6.653611566001663</v>
      </c>
      <c r="Z39" s="505">
        <f t="shared" si="48"/>
        <v>7.7972042781070821</v>
      </c>
      <c r="AA39" s="505">
        <f t="shared" si="48"/>
        <v>10.921104675613108</v>
      </c>
      <c r="AB39" s="505">
        <f t="shared" si="48"/>
        <v>9.8284957361756167</v>
      </c>
      <c r="AC39" s="505">
        <f t="shared" si="48"/>
        <v>7.6815677103413398</v>
      </c>
      <c r="AD39" s="505">
        <f t="shared" si="48"/>
        <v>10.182075201852241</v>
      </c>
      <c r="AE39" s="506">
        <f t="shared" si="48"/>
        <v>9.5062623663087535</v>
      </c>
      <c r="AF39" s="1349">
        <f t="shared" ref="AF39:AF63" si="49">IF(GD="Yes",VLOOKUP($B39-4,$B$233:$AG$265,AF$5,FALSE)*(1+Inflation2)^(Year2-Real_Year),"")</f>
        <v>1.2891616017170905E-3</v>
      </c>
      <c r="AG39" s="1345">
        <f t="shared" ref="AG39:AM48" si="50">IF(GECD="Yes",VLOOKUP($B39-4,$B$233:$AG$265,AG$5,FALSE)*(1+Inflation2)^(Year2-Real_Year),"")</f>
        <v>0.20715084063810807</v>
      </c>
      <c r="AH39" s="1350">
        <f t="shared" si="50"/>
        <v>0.20715084063810807</v>
      </c>
      <c r="AI39" s="1350">
        <f t="shared" si="50"/>
        <v>0.38281794738403158</v>
      </c>
      <c r="AJ39" s="1350">
        <f t="shared" si="50"/>
        <v>0.32534660999184672</v>
      </c>
      <c r="AK39" s="1350">
        <f t="shared" si="50"/>
        <v>0.20715084063810807</v>
      </c>
      <c r="AL39" s="1350">
        <f t="shared" si="50"/>
        <v>0.38281794738403158</v>
      </c>
      <c r="AM39" s="1351">
        <f t="shared" si="50"/>
        <v>0.3353403509662144</v>
      </c>
      <c r="AN39" s="504">
        <f t="shared" ref="AN39:AP63" si="51">VLOOKUP($B39,$B$285:$W$317,AN$5,FALSE)*(1+Inflation2)^(Year2-Real_Year)</f>
        <v>29.901614242290801</v>
      </c>
      <c r="AO39" s="505">
        <f t="shared" si="51"/>
        <v>27.178938882289991</v>
      </c>
      <c r="AP39" s="505">
        <f t="shared" si="51"/>
        <v>25.945975213134066</v>
      </c>
      <c r="AQ39" s="501">
        <f t="shared" ref="AQ39:AQ63" si="52">IF(OilDRIPE="Yes",VLOOKUP($B39,$B$285:$W$317,AQ$5,FALSE)*(1+Inflation2)^(Year2-Real_Year),"")</f>
        <v>1.5647257547982098E-2</v>
      </c>
      <c r="AR39" s="505">
        <f t="shared" ref="AR39:AR63" si="53">VLOOKUP($B39,$B$285:$W$317,AR$5,FALSE)*(1+Inflation2)^(Year2-Real_Year)</f>
        <v>36.809769939414245</v>
      </c>
      <c r="AS39" s="506">
        <f t="shared" ref="AS39:AU63" si="54">VLOOKUP($B39,$B$285:$N$317,AS$5,FALSE)*(1+Inflation2)^(Year2-Real_Year)</f>
        <v>48.733430399170452</v>
      </c>
      <c r="AT39" s="504">
        <f t="shared" si="54"/>
        <v>25.916716386346177</v>
      </c>
      <c r="AU39" s="505">
        <f t="shared" si="54"/>
        <v>27.946688545514959</v>
      </c>
      <c r="AV39" s="503">
        <f t="shared" ref="AV39:AV63" si="55">reswater2*(1+Inflation2)^(Year2-Wt_Year)</f>
        <v>1.3699529813801436E-2</v>
      </c>
      <c r="AW39" s="508">
        <f t="shared" ref="AW39:AW63" si="56">ciwater2*(1+Inflation2)^(Year2-Wt_Year)</f>
        <v>1.3699529813801436E-2</v>
      </c>
      <c r="AX39" s="1355">
        <f t="shared" ref="AX39:AX63" si="57">1*(1+Inflation2)^(Year2-HEA_NEI_Yr)</f>
        <v>1.6302946981344697</v>
      </c>
      <c r="AY39" s="507">
        <f t="shared" ref="AY39:AY63" si="58">IF(RGGI="Yes",VLOOKUP($B39,B$233:AG$265,AY$5,FALSE)*(1+Inflation2)^(Year2-Real_Year),0)</f>
        <v>9.2716049160563134</v>
      </c>
      <c r="AZ39" s="503">
        <f t="shared" ref="AZ39:BC63" si="59">IF(EE="YES",VLOOKUP($B39,$B$184:$CR$216,AZ$5,FALSE)*(1+Inflation2)^(Year2-Real_Year),"")</f>
        <v>6.1360909187376737E-2</v>
      </c>
      <c r="BA39" s="502">
        <f t="shared" si="59"/>
        <v>6.7924912472887095E-2</v>
      </c>
      <c r="BB39" s="502">
        <f t="shared" si="59"/>
        <v>6.2598891462040215E-2</v>
      </c>
      <c r="BC39" s="508">
        <f t="shared" si="59"/>
        <v>7.4427669380325273E-2</v>
      </c>
      <c r="BE39" s="681"/>
    </row>
    <row r="40" spans="1:57" s="324" customFormat="1" ht="14.25">
      <c r="A40" s="509">
        <v>2</v>
      </c>
      <c r="B40" s="509">
        <f t="shared" ref="B40:B63" si="60">B39+1</f>
        <v>2026</v>
      </c>
      <c r="C40" s="499">
        <f t="shared" si="37"/>
        <v>7.9587609821432981E-2</v>
      </c>
      <c r="D40" s="500">
        <f t="shared" si="37"/>
        <v>7.6087243495446988E-2</v>
      </c>
      <c r="E40" s="500">
        <f t="shared" si="37"/>
        <v>5.6913055448841426E-2</v>
      </c>
      <c r="F40" s="501">
        <f t="shared" si="37"/>
        <v>5.1722371062935042E-2</v>
      </c>
      <c r="G40" s="1343">
        <f t="shared" si="38"/>
        <v>6.9712030347304377E-3</v>
      </c>
      <c r="H40" s="1344">
        <f t="shared" si="38"/>
        <v>5.8821929252366786E-3</v>
      </c>
      <c r="I40" s="1344">
        <f t="shared" si="38"/>
        <v>3.9166265400795664E-3</v>
      </c>
      <c r="J40" s="1344">
        <f t="shared" si="38"/>
        <v>2.3725557856438912E-3</v>
      </c>
      <c r="K40" s="1343">
        <f t="shared" si="39"/>
        <v>2.427864428712049E-3</v>
      </c>
      <c r="L40" s="1136">
        <f t="shared" si="40"/>
        <v>51.131200541148729</v>
      </c>
      <c r="M40" s="505">
        <f t="shared" si="40"/>
        <v>18.66424615311508</v>
      </c>
      <c r="N40" s="505">
        <f t="shared" si="40"/>
        <v>18.66424615311508</v>
      </c>
      <c r="O40" s="506">
        <f t="shared" si="41"/>
        <v>0</v>
      </c>
      <c r="P40" s="683">
        <f t="shared" si="42"/>
        <v>12.601597111269403</v>
      </c>
      <c r="Q40" s="683">
        <f t="shared" si="42"/>
        <v>0</v>
      </c>
      <c r="R40" s="1367">
        <f t="shared" si="42"/>
        <v>0</v>
      </c>
      <c r="S40" s="505" t="str">
        <f t="shared" si="43"/>
        <v/>
      </c>
      <c r="T40" s="505" t="str">
        <f t="shared" si="43"/>
        <v/>
      </c>
      <c r="U40" s="684" t="str">
        <f t="shared" si="44"/>
        <v/>
      </c>
      <c r="V40" s="504">
        <f t="shared" si="45"/>
        <v>107.25371504072396</v>
      </c>
      <c r="W40" s="505">
        <f t="shared" si="46"/>
        <v>0</v>
      </c>
      <c r="X40" s="506">
        <f t="shared" si="47"/>
        <v>130.39657741171101</v>
      </c>
      <c r="Y40" s="504">
        <f t="shared" si="48"/>
        <v>6.78617400901312</v>
      </c>
      <c r="Z40" s="505">
        <f t="shared" si="48"/>
        <v>7.9245458034135812</v>
      </c>
      <c r="AA40" s="505">
        <f t="shared" si="48"/>
        <v>11.036920585271798</v>
      </c>
      <c r="AB40" s="505">
        <f t="shared" si="48"/>
        <v>9.9484046508119821</v>
      </c>
      <c r="AC40" s="505">
        <f t="shared" si="48"/>
        <v>7.8089429982478613</v>
      </c>
      <c r="AD40" s="505">
        <f t="shared" si="48"/>
        <v>10.300673432298501</v>
      </c>
      <c r="AE40" s="506">
        <f t="shared" si="48"/>
        <v>9.627232774446977</v>
      </c>
      <c r="AF40" s="1348">
        <f t="shared" si="49"/>
        <v>2.2841292852048335E-3</v>
      </c>
      <c r="AG40" s="1343">
        <f t="shared" si="50"/>
        <v>0.31858707339330938</v>
      </c>
      <c r="AH40" s="1344">
        <f t="shared" si="50"/>
        <v>0.31858707339330938</v>
      </c>
      <c r="AI40" s="1344">
        <f t="shared" si="50"/>
        <v>0.58854530888744572</v>
      </c>
      <c r="AJ40" s="1344">
        <f t="shared" si="50"/>
        <v>0.50022563925047525</v>
      </c>
      <c r="AK40" s="1344">
        <f t="shared" si="50"/>
        <v>0.31858707339330938</v>
      </c>
      <c r="AL40" s="1344">
        <f t="shared" si="50"/>
        <v>0.58854530888744572</v>
      </c>
      <c r="AM40" s="1352">
        <f t="shared" si="50"/>
        <v>0.5155836236187602</v>
      </c>
      <c r="AN40" s="504">
        <f t="shared" si="51"/>
        <v>30.993371181823544</v>
      </c>
      <c r="AO40" s="505">
        <f t="shared" si="51"/>
        <v>27.176278884814888</v>
      </c>
      <c r="AP40" s="505">
        <f t="shared" si="51"/>
        <v>25.964305014547907</v>
      </c>
      <c r="AQ40" s="501">
        <f t="shared" si="52"/>
        <v>1.6008227394626637E-2</v>
      </c>
      <c r="AR40" s="505">
        <f t="shared" si="53"/>
        <v>38.15375496471502</v>
      </c>
      <c r="AS40" s="506">
        <f t="shared" si="54"/>
        <v>49.825187338703188</v>
      </c>
      <c r="AT40" s="504">
        <f t="shared" si="54"/>
        <v>26.862978174603665</v>
      </c>
      <c r="AU40" s="505">
        <f t="shared" si="54"/>
        <v>28.967067944075108</v>
      </c>
      <c r="AV40" s="503">
        <f t="shared" si="55"/>
        <v>1.3699529813801436E-2</v>
      </c>
      <c r="AW40" s="508">
        <f t="shared" si="56"/>
        <v>1.3699529813801436E-2</v>
      </c>
      <c r="AX40" s="1355">
        <f t="shared" si="57"/>
        <v>1.6302946981344697</v>
      </c>
      <c r="AY40" s="507">
        <f t="shared" si="58"/>
        <v>9.725864060274608</v>
      </c>
      <c r="AZ40" s="503">
        <f t="shared" si="59"/>
        <v>5.6294208173852375E-2</v>
      </c>
      <c r="BA40" s="502">
        <f t="shared" si="59"/>
        <v>6.5343987074251764E-2</v>
      </c>
      <c r="BB40" s="502">
        <f t="shared" si="59"/>
        <v>5.7450463453992628E-2</v>
      </c>
      <c r="BC40" s="508">
        <f t="shared" si="59"/>
        <v>6.9867933526774589E-2</v>
      </c>
      <c r="BE40" s="681"/>
    </row>
    <row r="41" spans="1:57" s="324" customFormat="1" ht="14.25">
      <c r="A41" s="509">
        <f t="shared" ref="A41:A63" si="61">A40+1</f>
        <v>3</v>
      </c>
      <c r="B41" s="509">
        <f t="shared" si="60"/>
        <v>2027</v>
      </c>
      <c r="C41" s="499">
        <f t="shared" si="37"/>
        <v>8.0095826665643799E-2</v>
      </c>
      <c r="D41" s="500">
        <f t="shared" si="37"/>
        <v>7.4103662949312976E-2</v>
      </c>
      <c r="E41" s="500">
        <f t="shared" si="37"/>
        <v>5.8438372201197852E-2</v>
      </c>
      <c r="F41" s="501">
        <f t="shared" si="37"/>
        <v>5.0829134401922646E-2</v>
      </c>
      <c r="G41" s="1343">
        <f t="shared" si="38"/>
        <v>8.1975874083639131E-3</v>
      </c>
      <c r="H41" s="1344">
        <f t="shared" si="38"/>
        <v>7.2507508808325027E-3</v>
      </c>
      <c r="I41" s="1344">
        <f t="shared" si="38"/>
        <v>4.3370813403246925E-3</v>
      </c>
      <c r="J41" s="1344">
        <f t="shared" si="38"/>
        <v>2.869354732360112E-3</v>
      </c>
      <c r="K41" s="1343">
        <f t="shared" si="39"/>
        <v>2.9340295969171233E-3</v>
      </c>
      <c r="L41" s="1136">
        <f t="shared" si="40"/>
        <v>55.236334730930324</v>
      </c>
      <c r="M41" s="505">
        <f t="shared" si="40"/>
        <v>33.865643193835034</v>
      </c>
      <c r="N41" s="505">
        <f t="shared" si="40"/>
        <v>33.865643193835034</v>
      </c>
      <c r="O41" s="506">
        <f t="shared" si="41"/>
        <v>0</v>
      </c>
      <c r="P41" s="683">
        <f t="shared" si="42"/>
        <v>15.897579164049809</v>
      </c>
      <c r="Q41" s="683">
        <f t="shared" si="42"/>
        <v>0</v>
      </c>
      <c r="R41" s="1367">
        <f t="shared" si="42"/>
        <v>0</v>
      </c>
      <c r="S41" s="505" t="str">
        <f t="shared" si="43"/>
        <v/>
      </c>
      <c r="T41" s="505" t="str">
        <f t="shared" si="43"/>
        <v/>
      </c>
      <c r="U41" s="684" t="str">
        <f t="shared" si="44"/>
        <v/>
      </c>
      <c r="V41" s="504">
        <f t="shared" si="45"/>
        <v>107.25371504072396</v>
      </c>
      <c r="W41" s="505">
        <f t="shared" si="46"/>
        <v>0</v>
      </c>
      <c r="X41" s="506">
        <f t="shared" si="47"/>
        <v>130.39657741171101</v>
      </c>
      <c r="Y41" s="504">
        <f t="shared" si="48"/>
        <v>6.8655573541314823</v>
      </c>
      <c r="Z41" s="505">
        <f t="shared" si="48"/>
        <v>7.9974378636662484</v>
      </c>
      <c r="AA41" s="505">
        <f t="shared" si="48"/>
        <v>11.09543198165748</v>
      </c>
      <c r="AB41" s="505">
        <f t="shared" si="48"/>
        <v>10.012021528886597</v>
      </c>
      <c r="AC41" s="505">
        <f t="shared" si="48"/>
        <v>7.8817965396956824</v>
      </c>
      <c r="AD41" s="505">
        <f t="shared" si="48"/>
        <v>10.362985633831828</v>
      </c>
      <c r="AE41" s="506">
        <f t="shared" si="48"/>
        <v>9.6923939867680051</v>
      </c>
      <c r="AF41" s="1348">
        <f t="shared" si="49"/>
        <v>2.8957425077816364E-3</v>
      </c>
      <c r="AG41" s="1343">
        <f t="shared" si="50"/>
        <v>0.38487121610966407</v>
      </c>
      <c r="AH41" s="1344">
        <f t="shared" si="50"/>
        <v>0.38487121610966407</v>
      </c>
      <c r="AI41" s="1344">
        <f t="shared" si="50"/>
        <v>0.71075105968404351</v>
      </c>
      <c r="AJ41" s="1344">
        <f t="shared" si="50"/>
        <v>0.60413604913193175</v>
      </c>
      <c r="AK41" s="1344">
        <f t="shared" si="50"/>
        <v>0.38487121610966407</v>
      </c>
      <c r="AL41" s="1344">
        <f t="shared" si="50"/>
        <v>0.71075105968404351</v>
      </c>
      <c r="AM41" s="1352">
        <f t="shared" si="50"/>
        <v>0.62267542628556261</v>
      </c>
      <c r="AN41" s="504">
        <f t="shared" si="51"/>
        <v>31.362580374552376</v>
      </c>
      <c r="AO41" s="505">
        <f t="shared" si="51"/>
        <v>27.567241307347825</v>
      </c>
      <c r="AP41" s="505">
        <f t="shared" si="51"/>
        <v>26.342988934505772</v>
      </c>
      <c r="AQ41" s="501">
        <f t="shared" si="52"/>
        <v>1.6438421768671579E-2</v>
      </c>
      <c r="AR41" s="505">
        <f t="shared" si="53"/>
        <v>38.608262381396358</v>
      </c>
      <c r="AS41" s="506">
        <f t="shared" si="54"/>
        <v>50.19439653143202</v>
      </c>
      <c r="AT41" s="504">
        <f t="shared" si="54"/>
        <v>27.182983972874307</v>
      </c>
      <c r="AU41" s="505">
        <f t="shared" si="54"/>
        <v>29.312138756430802</v>
      </c>
      <c r="AV41" s="503">
        <f t="shared" si="55"/>
        <v>1.3699529813801436E-2</v>
      </c>
      <c r="AW41" s="508">
        <f t="shared" si="56"/>
        <v>1.3699529813801436E-2</v>
      </c>
      <c r="AX41" s="1355">
        <f t="shared" si="57"/>
        <v>1.6302946981344697</v>
      </c>
      <c r="AY41" s="507">
        <f t="shared" si="58"/>
        <v>10.204096027426674</v>
      </c>
      <c r="AZ41" s="503">
        <f t="shared" si="59"/>
        <v>5.0717089459726E-2</v>
      </c>
      <c r="BA41" s="502">
        <f t="shared" si="59"/>
        <v>6.129739459284355E-2</v>
      </c>
      <c r="BB41" s="502">
        <f t="shared" si="59"/>
        <v>5.6507559331089377E-2</v>
      </c>
      <c r="BC41" s="508">
        <f t="shared" si="59"/>
        <v>6.9115657188865337E-2</v>
      </c>
      <c r="BE41" s="681"/>
    </row>
    <row r="42" spans="1:57" s="324" customFormat="1" ht="14.25">
      <c r="A42" s="509">
        <f t="shared" si="61"/>
        <v>4</v>
      </c>
      <c r="B42" s="509">
        <f t="shared" si="60"/>
        <v>2028</v>
      </c>
      <c r="C42" s="499">
        <f t="shared" si="37"/>
        <v>7.6945510277303675E-2</v>
      </c>
      <c r="D42" s="500">
        <f t="shared" si="37"/>
        <v>7.6590299174547391E-2</v>
      </c>
      <c r="E42" s="500">
        <f t="shared" si="37"/>
        <v>5.5824059074603721E-2</v>
      </c>
      <c r="F42" s="501">
        <f t="shared" si="37"/>
        <v>5.4179575956807072E-2</v>
      </c>
      <c r="G42" s="1343">
        <f t="shared" si="38"/>
        <v>8.4412430736503681E-3</v>
      </c>
      <c r="H42" s="1344">
        <f t="shared" si="38"/>
        <v>7.4812347992219905E-3</v>
      </c>
      <c r="I42" s="1344">
        <f t="shared" si="38"/>
        <v>4.8130758296883172E-3</v>
      </c>
      <c r="J42" s="1344">
        <f t="shared" si="38"/>
        <v>3.1393045416614005E-3</v>
      </c>
      <c r="K42" s="1343">
        <f t="shared" si="39"/>
        <v>2.6297140263801368E-3</v>
      </c>
      <c r="L42" s="1136">
        <f t="shared" si="40"/>
        <v>58.622439749039977</v>
      </c>
      <c r="M42" s="505">
        <f t="shared" si="40"/>
        <v>50.523163473312607</v>
      </c>
      <c r="N42" s="505">
        <f t="shared" si="40"/>
        <v>50.523163473312607</v>
      </c>
      <c r="O42" s="506">
        <f t="shared" si="41"/>
        <v>0</v>
      </c>
      <c r="P42" s="683">
        <f t="shared" si="42"/>
        <v>13.610715842470821</v>
      </c>
      <c r="Q42" s="683">
        <f t="shared" si="42"/>
        <v>0</v>
      </c>
      <c r="R42" s="1367">
        <f t="shared" si="42"/>
        <v>0</v>
      </c>
      <c r="S42" s="505" t="str">
        <f t="shared" si="43"/>
        <v/>
      </c>
      <c r="T42" s="505" t="str">
        <f t="shared" si="43"/>
        <v/>
      </c>
      <c r="U42" s="684" t="str">
        <f t="shared" si="44"/>
        <v/>
      </c>
      <c r="V42" s="504">
        <f t="shared" si="45"/>
        <v>107.25371504072396</v>
      </c>
      <c r="W42" s="505">
        <f t="shared" si="46"/>
        <v>0</v>
      </c>
      <c r="X42" s="506">
        <f t="shared" si="47"/>
        <v>130.39657741171101</v>
      </c>
      <c r="Y42" s="504">
        <f t="shared" si="48"/>
        <v>7.0511354923295766</v>
      </c>
      <c r="Z42" s="505">
        <f t="shared" si="48"/>
        <v>8.1792700556600568</v>
      </c>
      <c r="AA42" s="505">
        <f t="shared" si="48"/>
        <v>11.269052663280714</v>
      </c>
      <c r="AB42" s="505">
        <f t="shared" si="48"/>
        <v>10.188559923544915</v>
      </c>
      <c r="AC42" s="505">
        <f t="shared" si="48"/>
        <v>8.0637350358992421</v>
      </c>
      <c r="AD42" s="505">
        <f t="shared" si="48"/>
        <v>10.538255511141484</v>
      </c>
      <c r="AE42" s="506">
        <f t="shared" si="48"/>
        <v>9.8694661935084458</v>
      </c>
      <c r="AF42" s="1348">
        <f t="shared" si="49"/>
        <v>2.920687857908031E-3</v>
      </c>
      <c r="AG42" s="1343">
        <f t="shared" si="50"/>
        <v>0.34462734339389367</v>
      </c>
      <c r="AH42" s="1344">
        <f t="shared" si="50"/>
        <v>0.34462734339389367</v>
      </c>
      <c r="AI42" s="1344">
        <f t="shared" si="50"/>
        <v>0.63549864978478732</v>
      </c>
      <c r="AJ42" s="1344">
        <f t="shared" si="50"/>
        <v>0.5403370495457912</v>
      </c>
      <c r="AK42" s="1344">
        <f t="shared" si="50"/>
        <v>0.34462734339389367</v>
      </c>
      <c r="AL42" s="1344">
        <f t="shared" si="50"/>
        <v>0.63549864978478732</v>
      </c>
      <c r="AM42" s="1352">
        <f t="shared" si="50"/>
        <v>0.55688478319265389</v>
      </c>
      <c r="AN42" s="504">
        <f t="shared" si="51"/>
        <v>31.947750591640649</v>
      </c>
      <c r="AO42" s="505">
        <f t="shared" si="51"/>
        <v>28.155812424832011</v>
      </c>
      <c r="AP42" s="505">
        <f t="shared" si="51"/>
        <v>26.920674306610049</v>
      </c>
      <c r="AQ42" s="501">
        <f t="shared" si="52"/>
        <v>1.687812602552716E-2</v>
      </c>
      <c r="AR42" s="505">
        <f t="shared" si="53"/>
        <v>39.328624195038905</v>
      </c>
      <c r="AS42" s="506">
        <f t="shared" si="54"/>
        <v>50.779566748520296</v>
      </c>
      <c r="AT42" s="504">
        <f t="shared" si="54"/>
        <v>27.690170321782656</v>
      </c>
      <c r="AU42" s="505">
        <f t="shared" si="54"/>
        <v>29.859051363575201</v>
      </c>
      <c r="AV42" s="503">
        <f t="shared" si="55"/>
        <v>1.3699529813801436E-2</v>
      </c>
      <c r="AW42" s="508">
        <f t="shared" si="56"/>
        <v>1.3699529813801436E-2</v>
      </c>
      <c r="AX42" s="1355">
        <f t="shared" si="57"/>
        <v>1.6302946981344697</v>
      </c>
      <c r="AY42" s="507">
        <f t="shared" si="58"/>
        <v>10.704296813084843</v>
      </c>
      <c r="AZ42" s="503">
        <f t="shared" si="59"/>
        <v>5.111208015003587E-2</v>
      </c>
      <c r="BA42" s="502">
        <f t="shared" si="59"/>
        <v>5.470577654987905E-2</v>
      </c>
      <c r="BB42" s="502">
        <f t="shared" si="59"/>
        <v>5.6926989929701147E-2</v>
      </c>
      <c r="BC42" s="508">
        <f t="shared" si="59"/>
        <v>6.1237095450441731E-2</v>
      </c>
      <c r="BE42" s="681"/>
    </row>
    <row r="43" spans="1:57" s="324" customFormat="1" ht="14.25">
      <c r="A43" s="509">
        <f t="shared" si="61"/>
        <v>5</v>
      </c>
      <c r="B43" s="509">
        <f t="shared" si="60"/>
        <v>2029</v>
      </c>
      <c r="C43" s="499">
        <f t="shared" si="37"/>
        <v>7.8300639762021187E-2</v>
      </c>
      <c r="D43" s="500">
        <f t="shared" si="37"/>
        <v>7.8822734139027503E-2</v>
      </c>
      <c r="E43" s="500">
        <f t="shared" si="37"/>
        <v>5.7118689481946407E-2</v>
      </c>
      <c r="F43" s="501">
        <f t="shared" si="37"/>
        <v>5.5263966781444955E-2</v>
      </c>
      <c r="G43" s="1343">
        <f t="shared" si="38"/>
        <v>8.351935325704234E-3</v>
      </c>
      <c r="H43" s="1344">
        <f t="shared" si="38"/>
        <v>7.4157615086047814E-3</v>
      </c>
      <c r="I43" s="1344">
        <f t="shared" si="38"/>
        <v>4.8453751900376166E-3</v>
      </c>
      <c r="J43" s="1344">
        <f t="shared" si="38"/>
        <v>3.1342384742076954E-3</v>
      </c>
      <c r="K43" s="1343">
        <f t="shared" si="39"/>
        <v>2.3499555713953576E-3</v>
      </c>
      <c r="L43" s="1136">
        <f t="shared" si="40"/>
        <v>63.854092444794738</v>
      </c>
      <c r="M43" s="505">
        <f t="shared" si="40"/>
        <v>70.755442756228163</v>
      </c>
      <c r="N43" s="505">
        <f t="shared" si="40"/>
        <v>70.755442756228163</v>
      </c>
      <c r="O43" s="506">
        <f t="shared" si="41"/>
        <v>0</v>
      </c>
      <c r="P43" s="683">
        <f t="shared" si="42"/>
        <v>9.2696283042026</v>
      </c>
      <c r="Q43" s="683">
        <f t="shared" si="42"/>
        <v>0</v>
      </c>
      <c r="R43" s="1367">
        <f t="shared" si="42"/>
        <v>0</v>
      </c>
      <c r="S43" s="505" t="str">
        <f t="shared" si="43"/>
        <v/>
      </c>
      <c r="T43" s="505" t="str">
        <f t="shared" si="43"/>
        <v/>
      </c>
      <c r="U43" s="684" t="str">
        <f t="shared" si="44"/>
        <v/>
      </c>
      <c r="V43" s="504">
        <f t="shared" si="45"/>
        <v>107.25371504072396</v>
      </c>
      <c r="W43" s="505">
        <f t="shared" si="46"/>
        <v>0</v>
      </c>
      <c r="X43" s="506">
        <f t="shared" si="47"/>
        <v>130.39657741171101</v>
      </c>
      <c r="Y43" s="504">
        <f t="shared" si="48"/>
        <v>7.2156634052155129</v>
      </c>
      <c r="Z43" s="505">
        <f t="shared" si="48"/>
        <v>8.3394550677650887</v>
      </c>
      <c r="AA43" s="505">
        <f t="shared" si="48"/>
        <v>11.419689643616925</v>
      </c>
      <c r="AB43" s="505">
        <f t="shared" si="48"/>
        <v>10.342588722964807</v>
      </c>
      <c r="AC43" s="505">
        <f t="shared" si="48"/>
        <v>8.2239941204230771</v>
      </c>
      <c r="AD43" s="505">
        <f t="shared" si="48"/>
        <v>10.691013622638046</v>
      </c>
      <c r="AE43" s="506">
        <f t="shared" si="48"/>
        <v>10.024251595012379</v>
      </c>
      <c r="AF43" s="1348">
        <f t="shared" si="49"/>
        <v>2.936019132370475E-3</v>
      </c>
      <c r="AG43" s="1343">
        <f t="shared" si="50"/>
        <v>0.3076386000751396</v>
      </c>
      <c r="AH43" s="1344">
        <f t="shared" si="50"/>
        <v>0.3076386000751396</v>
      </c>
      <c r="AI43" s="1344">
        <f t="shared" si="50"/>
        <v>0.56620125280065636</v>
      </c>
      <c r="AJ43" s="1344">
        <f t="shared" si="50"/>
        <v>0.48160976764971569</v>
      </c>
      <c r="AK43" s="1344">
        <f t="shared" si="50"/>
        <v>0.3076386000751396</v>
      </c>
      <c r="AL43" s="1344">
        <f t="shared" si="50"/>
        <v>0.56620125280065636</v>
      </c>
      <c r="AM43" s="1352">
        <f t="shared" si="50"/>
        <v>0.49631945476673289</v>
      </c>
      <c r="AN43" s="504">
        <f t="shared" si="51"/>
        <v>32.225314855698223</v>
      </c>
      <c r="AO43" s="505">
        <f t="shared" si="51"/>
        <v>28.430891105805692</v>
      </c>
      <c r="AP43" s="505">
        <f t="shared" si="51"/>
        <v>27.192905848833341</v>
      </c>
      <c r="AQ43" s="501">
        <f t="shared" si="52"/>
        <v>1.7102313177383741E-2</v>
      </c>
      <c r="AR43" s="505">
        <f t="shared" si="53"/>
        <v>39.670313998825883</v>
      </c>
      <c r="AS43" s="506">
        <f t="shared" si="54"/>
        <v>51.057131012577869</v>
      </c>
      <c r="AT43" s="504">
        <f t="shared" si="54"/>
        <v>27.93074443434649</v>
      </c>
      <c r="AU43" s="505">
        <f t="shared" si="54"/>
        <v>30.118468864454172</v>
      </c>
      <c r="AV43" s="503">
        <f t="shared" si="55"/>
        <v>1.3699529813801436E-2</v>
      </c>
      <c r="AW43" s="508">
        <f t="shared" si="56"/>
        <v>1.3699529813801436E-2</v>
      </c>
      <c r="AX43" s="1355">
        <f t="shared" si="57"/>
        <v>1.6302946981344697</v>
      </c>
      <c r="AY43" s="507">
        <f t="shared" si="58"/>
        <v>11.224549220651749</v>
      </c>
      <c r="AZ43" s="503">
        <f t="shared" si="59"/>
        <v>4.8678807610048738E-2</v>
      </c>
      <c r="BA43" s="502">
        <f t="shared" si="59"/>
        <v>4.98174339617901E-2</v>
      </c>
      <c r="BB43" s="502">
        <f t="shared" si="59"/>
        <v>5.2218302785698806E-2</v>
      </c>
      <c r="BC43" s="508">
        <f t="shared" si="59"/>
        <v>5.5086115461455532E-2</v>
      </c>
      <c r="BE43" s="681"/>
    </row>
    <row r="44" spans="1:57" s="324" customFormat="1" ht="14.25">
      <c r="A44" s="509">
        <f t="shared" si="61"/>
        <v>6</v>
      </c>
      <c r="B44" s="509">
        <f t="shared" si="60"/>
        <v>2030</v>
      </c>
      <c r="C44" s="499">
        <f t="shared" si="37"/>
        <v>8.2484093134341657E-2</v>
      </c>
      <c r="D44" s="500">
        <f t="shared" si="37"/>
        <v>8.2760099127629702E-2</v>
      </c>
      <c r="E44" s="500">
        <f t="shared" si="37"/>
        <v>6.233492247366549E-2</v>
      </c>
      <c r="F44" s="501">
        <f t="shared" si="37"/>
        <v>6.0237575204964276E-2</v>
      </c>
      <c r="G44" s="1343">
        <f t="shared" si="38"/>
        <v>8.3015747008562089E-3</v>
      </c>
      <c r="H44" s="1344">
        <f t="shared" si="38"/>
        <v>7.1590333441252253E-3</v>
      </c>
      <c r="I44" s="1344">
        <f t="shared" si="38"/>
        <v>4.9129187932405172E-3</v>
      </c>
      <c r="J44" s="1344">
        <f t="shared" si="38"/>
        <v>3.007320052607957E-3</v>
      </c>
      <c r="K44" s="1343">
        <f t="shared" si="39"/>
        <v>1.6781420419910746E-3</v>
      </c>
      <c r="L44" s="1136">
        <f t="shared" si="40"/>
        <v>60.765879278909267</v>
      </c>
      <c r="M44" s="505">
        <f t="shared" si="40"/>
        <v>74.814950568193083</v>
      </c>
      <c r="N44" s="505">
        <f t="shared" si="40"/>
        <v>74.814950568193083</v>
      </c>
      <c r="O44" s="506">
        <f t="shared" si="41"/>
        <v>0</v>
      </c>
      <c r="P44" s="683">
        <f t="shared" si="42"/>
        <v>4.7066971661302537</v>
      </c>
      <c r="Q44" s="683">
        <f t="shared" si="42"/>
        <v>10.106290984196262</v>
      </c>
      <c r="R44" s="1367">
        <f t="shared" si="42"/>
        <v>10.106290984196262</v>
      </c>
      <c r="S44" s="505" t="str">
        <f t="shared" si="43"/>
        <v/>
      </c>
      <c r="T44" s="505" t="str">
        <f t="shared" si="43"/>
        <v/>
      </c>
      <c r="U44" s="684" t="str">
        <f t="shared" si="44"/>
        <v/>
      </c>
      <c r="V44" s="504">
        <f t="shared" si="45"/>
        <v>107.25371504072396</v>
      </c>
      <c r="W44" s="505">
        <f t="shared" si="46"/>
        <v>0</v>
      </c>
      <c r="X44" s="506">
        <f t="shared" si="47"/>
        <v>130.39657741171101</v>
      </c>
      <c r="Y44" s="504">
        <f t="shared" si="48"/>
        <v>7.2961846106452537</v>
      </c>
      <c r="Z44" s="505">
        <f t="shared" si="48"/>
        <v>8.4139808400960412</v>
      </c>
      <c r="AA44" s="505">
        <f t="shared" si="48"/>
        <v>11.480938001602123</v>
      </c>
      <c r="AB44" s="505">
        <f t="shared" si="48"/>
        <v>10.408551014846999</v>
      </c>
      <c r="AC44" s="505">
        <f t="shared" si="48"/>
        <v>8.2984907544514055</v>
      </c>
      <c r="AD44" s="505">
        <f t="shared" si="48"/>
        <v>10.755745263033504</v>
      </c>
      <c r="AE44" s="506">
        <f t="shared" si="48"/>
        <v>10.091622422876179</v>
      </c>
      <c r="AF44" s="1348">
        <f t="shared" si="49"/>
        <v>2.9374551048044584E-3</v>
      </c>
      <c r="AG44" s="1343">
        <f t="shared" si="50"/>
        <v>0.21884900418473016</v>
      </c>
      <c r="AH44" s="1344">
        <f t="shared" si="50"/>
        <v>0.21884900418473016</v>
      </c>
      <c r="AI44" s="1344">
        <f t="shared" si="50"/>
        <v>0.40011826818935481</v>
      </c>
      <c r="AJ44" s="1344">
        <f t="shared" si="50"/>
        <v>0.34081412626191587</v>
      </c>
      <c r="AK44" s="1344">
        <f t="shared" si="50"/>
        <v>0.21884900418473016</v>
      </c>
      <c r="AL44" s="1344">
        <f t="shared" si="50"/>
        <v>0.40011826818935481</v>
      </c>
      <c r="AM44" s="1352">
        <f t="shared" si="50"/>
        <v>0.35112657521513191</v>
      </c>
      <c r="AN44" s="504">
        <f t="shared" si="51"/>
        <v>32.763657181482159</v>
      </c>
      <c r="AO44" s="505">
        <f t="shared" si="51"/>
        <v>28.954918611915271</v>
      </c>
      <c r="AP44" s="505">
        <f t="shared" si="51"/>
        <v>27.712767941300413</v>
      </c>
      <c r="AQ44" s="501">
        <f t="shared" si="52"/>
        <v>1.7471834076675113E-2</v>
      </c>
      <c r="AR44" s="505">
        <f t="shared" si="53"/>
        <v>40.333029295738825</v>
      </c>
      <c r="AS44" s="506">
        <f t="shared" si="54"/>
        <v>51.595473338361799</v>
      </c>
      <c r="AT44" s="504">
        <f t="shared" si="54"/>
        <v>28.397343503649427</v>
      </c>
      <c r="AU44" s="505">
        <f t="shared" si="54"/>
        <v>30.621615122299794</v>
      </c>
      <c r="AV44" s="503">
        <f t="shared" si="55"/>
        <v>1.3699529813801436E-2</v>
      </c>
      <c r="AW44" s="508">
        <f t="shared" si="56"/>
        <v>1.3699529813801436E-2</v>
      </c>
      <c r="AX44" s="1355">
        <f t="shared" si="57"/>
        <v>1.6302946981344697</v>
      </c>
      <c r="AY44" s="507">
        <f t="shared" si="58"/>
        <v>11.773703827487367</v>
      </c>
      <c r="AZ44" s="503">
        <f t="shared" si="59"/>
        <v>4.5024472069282319E-2</v>
      </c>
      <c r="BA44" s="502">
        <f t="shared" si="59"/>
        <v>4.7355994904823E-2</v>
      </c>
      <c r="BB44" s="502">
        <f t="shared" si="59"/>
        <v>5.1809474278874862E-2</v>
      </c>
      <c r="BC44" s="508">
        <f t="shared" si="59"/>
        <v>5.3786387522568896E-2</v>
      </c>
      <c r="BE44" s="681"/>
    </row>
    <row r="45" spans="1:57" s="324" customFormat="1" ht="14.25">
      <c r="A45" s="509">
        <f t="shared" si="61"/>
        <v>7</v>
      </c>
      <c r="B45" s="509">
        <f t="shared" si="60"/>
        <v>2031</v>
      </c>
      <c r="C45" s="499">
        <f t="shared" si="37"/>
        <v>8.3512024480760699E-2</v>
      </c>
      <c r="D45" s="500">
        <f t="shared" si="37"/>
        <v>8.3707197768713215E-2</v>
      </c>
      <c r="E45" s="500">
        <f t="shared" si="37"/>
        <v>6.3520490027595841E-2</v>
      </c>
      <c r="F45" s="501">
        <f t="shared" si="37"/>
        <v>6.0599715019853791E-2</v>
      </c>
      <c r="G45" s="1343">
        <f t="shared" si="38"/>
        <v>8.1390315862984123E-3</v>
      </c>
      <c r="H45" s="1344">
        <f t="shared" si="38"/>
        <v>6.7557432418207282E-3</v>
      </c>
      <c r="I45" s="1344">
        <f t="shared" si="38"/>
        <v>4.9290291677420231E-3</v>
      </c>
      <c r="J45" s="1344">
        <f t="shared" si="38"/>
        <v>2.8652254313581969E-3</v>
      </c>
      <c r="K45" s="1343">
        <f t="shared" si="39"/>
        <v>1.0436063466969599E-3</v>
      </c>
      <c r="L45" s="1136">
        <f t="shared" si="40"/>
        <v>65.27316112748035</v>
      </c>
      <c r="M45" s="505">
        <f t="shared" si="40"/>
        <v>56.255021186107669</v>
      </c>
      <c r="N45" s="505">
        <f t="shared" si="40"/>
        <v>56.255021186107669</v>
      </c>
      <c r="O45" s="506">
        <f t="shared" si="41"/>
        <v>0</v>
      </c>
      <c r="P45" s="683">
        <f t="shared" si="42"/>
        <v>0</v>
      </c>
      <c r="Q45" s="683">
        <f t="shared" si="42"/>
        <v>22.338580738885003</v>
      </c>
      <c r="R45" s="1367">
        <f t="shared" si="42"/>
        <v>22.338580738885003</v>
      </c>
      <c r="S45" s="505" t="str">
        <f t="shared" si="43"/>
        <v/>
      </c>
      <c r="T45" s="505" t="str">
        <f t="shared" si="43"/>
        <v/>
      </c>
      <c r="U45" s="684" t="str">
        <f t="shared" si="44"/>
        <v/>
      </c>
      <c r="V45" s="504">
        <f t="shared" si="45"/>
        <v>107.25371504072396</v>
      </c>
      <c r="W45" s="505">
        <f t="shared" si="46"/>
        <v>0</v>
      </c>
      <c r="X45" s="506">
        <f t="shared" si="47"/>
        <v>130.39657741171101</v>
      </c>
      <c r="Y45" s="504">
        <f t="shared" si="48"/>
        <v>7.3208179879429416</v>
      </c>
      <c r="Z45" s="505">
        <f t="shared" si="48"/>
        <v>8.4316428175959572</v>
      </c>
      <c r="AA45" s="505">
        <f t="shared" si="48"/>
        <v>11.48311478539148</v>
      </c>
      <c r="AB45" s="505">
        <f t="shared" si="48"/>
        <v>10.416224275578561</v>
      </c>
      <c r="AC45" s="505">
        <f t="shared" si="48"/>
        <v>8.3160578274037533</v>
      </c>
      <c r="AD45" s="505">
        <f t="shared" si="48"/>
        <v>10.762229822049344</v>
      </c>
      <c r="AE45" s="506">
        <f t="shared" si="48"/>
        <v>10.101102255928915</v>
      </c>
      <c r="AF45" s="1348">
        <f t="shared" si="49"/>
        <v>2.9386508588015287E-3</v>
      </c>
      <c r="AG45" s="1343">
        <f t="shared" si="50"/>
        <v>0.13498635830870981</v>
      </c>
      <c r="AH45" s="1344">
        <f t="shared" si="50"/>
        <v>0.13498635830870981</v>
      </c>
      <c r="AI45" s="1344">
        <f t="shared" si="50"/>
        <v>0.24339495302957592</v>
      </c>
      <c r="AJ45" s="1344">
        <f t="shared" si="50"/>
        <v>0.20792794364558886</v>
      </c>
      <c r="AK45" s="1344">
        <f t="shared" si="50"/>
        <v>0.13498635830870981</v>
      </c>
      <c r="AL45" s="1344">
        <f t="shared" si="50"/>
        <v>0.24339495302957592</v>
      </c>
      <c r="AM45" s="1352">
        <f t="shared" si="50"/>
        <v>0.21409533283474724</v>
      </c>
      <c r="AN45" s="504">
        <f t="shared" si="51"/>
        <v>33.047863514892619</v>
      </c>
      <c r="AO45" s="505">
        <f t="shared" si="51"/>
        <v>29.244177258033901</v>
      </c>
      <c r="AP45" s="505">
        <f t="shared" si="51"/>
        <v>27.99610328460243</v>
      </c>
      <c r="AQ45" s="501">
        <f t="shared" si="52"/>
        <v>1.7627859683025264E-2</v>
      </c>
      <c r="AR45" s="505">
        <f t="shared" si="53"/>
        <v>40.682895682997852</v>
      </c>
      <c r="AS45" s="506">
        <f t="shared" si="54"/>
        <v>51.879679671772259</v>
      </c>
      <c r="AT45" s="504">
        <f t="shared" si="54"/>
        <v>28.643674517036143</v>
      </c>
      <c r="AU45" s="505">
        <f t="shared" si="54"/>
        <v>30.887240443331841</v>
      </c>
      <c r="AV45" s="503">
        <f t="shared" si="55"/>
        <v>1.3699529813801436E-2</v>
      </c>
      <c r="AW45" s="508">
        <f t="shared" si="56"/>
        <v>1.3699529813801436E-2</v>
      </c>
      <c r="AX45" s="1355">
        <f t="shared" si="57"/>
        <v>1.6302946981344697</v>
      </c>
      <c r="AY45" s="507">
        <f t="shared" si="58"/>
        <v>12.350273610461207</v>
      </c>
      <c r="AZ45" s="503">
        <f t="shared" si="59"/>
        <v>4.1146119463544226E-2</v>
      </c>
      <c r="BA45" s="502">
        <f t="shared" si="59"/>
        <v>4.3969203024597288E-2</v>
      </c>
      <c r="BB45" s="502">
        <f t="shared" si="59"/>
        <v>4.5922457891888667E-2</v>
      </c>
      <c r="BC45" s="508">
        <f t="shared" si="59"/>
        <v>4.8766192470829701E-2</v>
      </c>
      <c r="BE45" s="681"/>
    </row>
    <row r="46" spans="1:57" s="324" customFormat="1" ht="14.25">
      <c r="A46" s="509">
        <f t="shared" si="61"/>
        <v>8</v>
      </c>
      <c r="B46" s="509">
        <f t="shared" si="60"/>
        <v>2032</v>
      </c>
      <c r="C46" s="499">
        <f t="shared" si="37"/>
        <v>8.6796667611975672E-2</v>
      </c>
      <c r="D46" s="500">
        <f t="shared" si="37"/>
        <v>8.2326996614051254E-2</v>
      </c>
      <c r="E46" s="500">
        <f t="shared" si="37"/>
        <v>6.7159024283662036E-2</v>
      </c>
      <c r="F46" s="501">
        <f t="shared" si="37"/>
        <v>5.873850239493756E-2</v>
      </c>
      <c r="G46" s="1343">
        <f t="shared" si="38"/>
        <v>7.3918133765858351E-3</v>
      </c>
      <c r="H46" s="1344">
        <f t="shared" si="38"/>
        <v>6.6064135771312336E-3</v>
      </c>
      <c r="I46" s="1344">
        <f t="shared" si="38"/>
        <v>4.4612321754105323E-3</v>
      </c>
      <c r="J46" s="1344">
        <f t="shared" si="38"/>
        <v>2.9496286700279677E-3</v>
      </c>
      <c r="K46" s="1343">
        <f t="shared" si="39"/>
        <v>7.4066685413766258E-4</v>
      </c>
      <c r="L46" s="1136">
        <f t="shared" si="40"/>
        <v>69.350590974572498</v>
      </c>
      <c r="M46" s="505">
        <f t="shared" si="40"/>
        <v>42.692223803946845</v>
      </c>
      <c r="N46" s="505">
        <f t="shared" si="40"/>
        <v>42.692223803946845</v>
      </c>
      <c r="O46" s="506">
        <f t="shared" si="41"/>
        <v>0</v>
      </c>
      <c r="P46" s="683">
        <f t="shared" si="42"/>
        <v>0</v>
      </c>
      <c r="Q46" s="683">
        <f t="shared" si="42"/>
        <v>28.823923389116878</v>
      </c>
      <c r="R46" s="1367">
        <f t="shared" si="42"/>
        <v>28.823923389116878</v>
      </c>
      <c r="S46" s="505" t="str">
        <f t="shared" si="43"/>
        <v/>
      </c>
      <c r="T46" s="505" t="str">
        <f t="shared" si="43"/>
        <v/>
      </c>
      <c r="U46" s="684" t="str">
        <f t="shared" si="44"/>
        <v/>
      </c>
      <c r="V46" s="504">
        <f t="shared" si="45"/>
        <v>107.25371504072396</v>
      </c>
      <c r="W46" s="505">
        <f t="shared" si="46"/>
        <v>0</v>
      </c>
      <c r="X46" s="506">
        <f t="shared" si="47"/>
        <v>130.39657741171101</v>
      </c>
      <c r="Y46" s="504">
        <f t="shared" si="48"/>
        <v>7.4100971164488127</v>
      </c>
      <c r="Z46" s="505">
        <f t="shared" si="48"/>
        <v>8.5159175789737347</v>
      </c>
      <c r="AA46" s="505">
        <f t="shared" si="48"/>
        <v>11.55631381625069</v>
      </c>
      <c r="AB46" s="505">
        <f t="shared" si="48"/>
        <v>10.493355759454838</v>
      </c>
      <c r="AC46" s="505">
        <f t="shared" si="48"/>
        <v>8.4003335072934977</v>
      </c>
      <c r="AD46" s="505">
        <f t="shared" si="48"/>
        <v>10.83822769451543</v>
      </c>
      <c r="AE46" s="506">
        <f t="shared" si="48"/>
        <v>10.179337373644637</v>
      </c>
      <c r="AF46" s="1348">
        <f t="shared" si="49"/>
        <v>2.9449926255359941E-3</v>
      </c>
      <c r="AG46" s="1343">
        <f t="shared" si="50"/>
        <v>9.4942954271621818E-2</v>
      </c>
      <c r="AH46" s="1344">
        <f t="shared" si="50"/>
        <v>9.4942954271621818E-2</v>
      </c>
      <c r="AI46" s="1344">
        <f t="shared" si="50"/>
        <v>0.16885387757455128</v>
      </c>
      <c r="AJ46" s="1344">
        <f t="shared" si="50"/>
        <v>0.14467314340754348</v>
      </c>
      <c r="AK46" s="1344">
        <f t="shared" si="50"/>
        <v>9.4942954271621818E-2</v>
      </c>
      <c r="AL46" s="1344">
        <f t="shared" si="50"/>
        <v>0.16885387757455128</v>
      </c>
      <c r="AM46" s="1352">
        <f t="shared" si="50"/>
        <v>0.14887795235754334</v>
      </c>
      <c r="AN46" s="504">
        <f t="shared" si="51"/>
        <v>33.395618823611656</v>
      </c>
      <c r="AO46" s="505">
        <f t="shared" si="51"/>
        <v>29.594111906303947</v>
      </c>
      <c r="AP46" s="505">
        <f t="shared" si="51"/>
        <v>28.339633655008942</v>
      </c>
      <c r="AQ46" s="501">
        <f t="shared" si="52"/>
        <v>1.7846587931918199E-2</v>
      </c>
      <c r="AR46" s="505">
        <f t="shared" si="53"/>
        <v>41.110992735064464</v>
      </c>
      <c r="AS46" s="506">
        <f t="shared" si="54"/>
        <v>52.227434980491303</v>
      </c>
      <c r="AT46" s="504">
        <f t="shared" si="54"/>
        <v>28.945085525648874</v>
      </c>
      <c r="AU46" s="505">
        <f t="shared" si="54"/>
        <v>31.212259996593115</v>
      </c>
      <c r="AV46" s="503">
        <f t="shared" si="55"/>
        <v>1.3699529813801436E-2</v>
      </c>
      <c r="AW46" s="508">
        <f t="shared" si="56"/>
        <v>1.3699529813801436E-2</v>
      </c>
      <c r="AX46" s="1355">
        <f t="shared" si="57"/>
        <v>1.6302946981344697</v>
      </c>
      <c r="AY46" s="507">
        <f t="shared" si="58"/>
        <v>12.955078579193874</v>
      </c>
      <c r="AZ46" s="503">
        <f t="shared" si="59"/>
        <v>3.7184396361065061E-2</v>
      </c>
      <c r="BA46" s="502">
        <f t="shared" si="59"/>
        <v>4.1547660814385726E-2</v>
      </c>
      <c r="BB46" s="502">
        <f t="shared" si="59"/>
        <v>3.9615418705851245E-2</v>
      </c>
      <c r="BC46" s="508">
        <f t="shared" si="59"/>
        <v>4.4707403630552471E-2</v>
      </c>
      <c r="BE46" s="681"/>
    </row>
    <row r="47" spans="1:57" s="324" customFormat="1" ht="14.25">
      <c r="A47" s="509">
        <f t="shared" si="61"/>
        <v>9</v>
      </c>
      <c r="B47" s="509">
        <f t="shared" si="60"/>
        <v>2033</v>
      </c>
      <c r="C47" s="499">
        <f t="shared" si="37"/>
        <v>8.125536022533944E-2</v>
      </c>
      <c r="D47" s="500">
        <f t="shared" si="37"/>
        <v>7.8763305353321295E-2</v>
      </c>
      <c r="E47" s="500">
        <f t="shared" si="37"/>
        <v>6.2169992881857164E-2</v>
      </c>
      <c r="F47" s="501">
        <f t="shared" si="37"/>
        <v>5.6579655368581297E-2</v>
      </c>
      <c r="G47" s="1343">
        <f t="shared" si="38"/>
        <v>6.7879501356952815E-3</v>
      </c>
      <c r="H47" s="1344">
        <f t="shared" si="38"/>
        <v>6.1637661663435303E-3</v>
      </c>
      <c r="I47" s="1344">
        <f t="shared" si="38"/>
        <v>4.1632748984245533E-3</v>
      </c>
      <c r="J47" s="1344">
        <f t="shared" si="38"/>
        <v>2.7408497493256012E-3</v>
      </c>
      <c r="K47" s="1343">
        <f t="shared" si="39"/>
        <v>4.634063932393614E-4</v>
      </c>
      <c r="L47" s="1136">
        <f t="shared" si="40"/>
        <v>68.640627396912194</v>
      </c>
      <c r="M47" s="505">
        <f t="shared" si="40"/>
        <v>25.3531021353235</v>
      </c>
      <c r="N47" s="505">
        <f t="shared" si="40"/>
        <v>25.3531021353235</v>
      </c>
      <c r="O47" s="506">
        <f t="shared" si="41"/>
        <v>0</v>
      </c>
      <c r="P47" s="683">
        <f t="shared" si="42"/>
        <v>0</v>
      </c>
      <c r="Q47" s="683">
        <f t="shared" si="42"/>
        <v>33.679950264063464</v>
      </c>
      <c r="R47" s="1367">
        <f t="shared" si="42"/>
        <v>33.679950264063464</v>
      </c>
      <c r="S47" s="505" t="str">
        <f t="shared" si="43"/>
        <v/>
      </c>
      <c r="T47" s="505" t="str">
        <f t="shared" si="43"/>
        <v/>
      </c>
      <c r="U47" s="684" t="str">
        <f t="shared" si="44"/>
        <v/>
      </c>
      <c r="V47" s="504">
        <f t="shared" si="45"/>
        <v>107.25371504072396</v>
      </c>
      <c r="W47" s="505">
        <f t="shared" si="46"/>
        <v>0</v>
      </c>
      <c r="X47" s="506">
        <f t="shared" si="47"/>
        <v>130.39657741171101</v>
      </c>
      <c r="Y47" s="504">
        <f t="shared" si="48"/>
        <v>7.4970479186908427</v>
      </c>
      <c r="Z47" s="505">
        <f t="shared" si="48"/>
        <v>8.5975150368287103</v>
      </c>
      <c r="AA47" s="505">
        <f t="shared" si="48"/>
        <v>11.62606482320018</v>
      </c>
      <c r="AB47" s="505">
        <f t="shared" si="48"/>
        <v>10.567312910489893</v>
      </c>
      <c r="AC47" s="505">
        <f t="shared" si="48"/>
        <v>8.4819190694663984</v>
      </c>
      <c r="AD47" s="505">
        <f t="shared" si="48"/>
        <v>10.911029050297254</v>
      </c>
      <c r="AE47" s="506">
        <f t="shared" si="48"/>
        <v>10.254512839261889</v>
      </c>
      <c r="AF47" s="1348">
        <f t="shared" si="49"/>
        <v>2.9522525605182098E-3</v>
      </c>
      <c r="AG47" s="1343">
        <f t="shared" si="50"/>
        <v>5.82924219646185E-2</v>
      </c>
      <c r="AH47" s="1344">
        <f t="shared" si="50"/>
        <v>5.82924219646185E-2</v>
      </c>
      <c r="AI47" s="1344">
        <f t="shared" si="50"/>
        <v>0.10095737702904649</v>
      </c>
      <c r="AJ47" s="1344">
        <f t="shared" si="50"/>
        <v>8.6999089261054624E-2</v>
      </c>
      <c r="AK47" s="1344">
        <f t="shared" si="50"/>
        <v>5.82924219646185E-2</v>
      </c>
      <c r="AL47" s="1344">
        <f t="shared" si="50"/>
        <v>0.10095737702904649</v>
      </c>
      <c r="AM47" s="1352">
        <f t="shared" si="50"/>
        <v>8.9426308092714596E-2</v>
      </c>
      <c r="AN47" s="504">
        <f t="shared" si="51"/>
        <v>33.554529681696017</v>
      </c>
      <c r="AO47" s="505">
        <f t="shared" si="51"/>
        <v>29.791218086908831</v>
      </c>
      <c r="AP47" s="505">
        <f t="shared" si="51"/>
        <v>28.521703147243979</v>
      </c>
      <c r="AQ47" s="501">
        <f t="shared" si="52"/>
        <v>1.7901217337418892E-2</v>
      </c>
      <c r="AR47" s="505">
        <f t="shared" si="53"/>
        <v>41.30661669300742</v>
      </c>
      <c r="AS47" s="506">
        <f t="shared" si="54"/>
        <v>52.386345838575664</v>
      </c>
      <c r="AT47" s="504">
        <f t="shared" si="54"/>
        <v>29.082818813434333</v>
      </c>
      <c r="AU47" s="505">
        <f t="shared" si="54"/>
        <v>31.360781485145498</v>
      </c>
      <c r="AV47" s="503">
        <f t="shared" si="55"/>
        <v>1.3699529813801436E-2</v>
      </c>
      <c r="AW47" s="508">
        <f t="shared" si="56"/>
        <v>1.3699529813801436E-2</v>
      </c>
      <c r="AX47" s="1355">
        <f t="shared" si="57"/>
        <v>1.6302946981344697</v>
      </c>
      <c r="AY47" s="507">
        <f t="shared" si="58"/>
        <v>13.589501438326465</v>
      </c>
      <c r="AZ47" s="503">
        <f t="shared" si="59"/>
        <v>3.4483171380443878E-2</v>
      </c>
      <c r="BA47" s="502">
        <f t="shared" si="59"/>
        <v>3.71087321136278E-2</v>
      </c>
      <c r="BB47" s="502">
        <f t="shared" si="59"/>
        <v>3.8987699277797348E-2</v>
      </c>
      <c r="BC47" s="508">
        <f t="shared" si="59"/>
        <v>4.1676877947320654E-2</v>
      </c>
      <c r="BE47" s="681"/>
    </row>
    <row r="48" spans="1:57" s="324" customFormat="1" ht="14.25">
      <c r="A48" s="509">
        <f t="shared" si="61"/>
        <v>10</v>
      </c>
      <c r="B48" s="509">
        <f t="shared" si="60"/>
        <v>2034</v>
      </c>
      <c r="C48" s="499">
        <f t="shared" si="37"/>
        <v>8.1322350391056161E-2</v>
      </c>
      <c r="D48" s="500">
        <f t="shared" si="37"/>
        <v>8.138254795873244E-2</v>
      </c>
      <c r="E48" s="500">
        <f t="shared" si="37"/>
        <v>6.1764880895226991E-2</v>
      </c>
      <c r="F48" s="501">
        <f t="shared" si="37"/>
        <v>5.9067581236318167E-2</v>
      </c>
      <c r="G48" s="1343">
        <f t="shared" si="38"/>
        <v>5.6533842288164701E-3</v>
      </c>
      <c r="H48" s="1344">
        <f t="shared" si="38"/>
        <v>5.1147461777900924E-3</v>
      </c>
      <c r="I48" s="1344">
        <f t="shared" si="38"/>
        <v>3.5180325052197601E-3</v>
      </c>
      <c r="J48" s="1344">
        <f t="shared" si="38"/>
        <v>2.3076089846412202E-3</v>
      </c>
      <c r="K48" s="1343">
        <f t="shared" si="39"/>
        <v>2.215727243493524E-4</v>
      </c>
      <c r="L48" s="1136">
        <f t="shared" si="40"/>
        <v>83.020565642020742</v>
      </c>
      <c r="M48" s="505">
        <f t="shared" si="40"/>
        <v>10.221492041845597</v>
      </c>
      <c r="N48" s="505">
        <f t="shared" si="40"/>
        <v>10.221492041845597</v>
      </c>
      <c r="O48" s="506">
        <f t="shared" si="41"/>
        <v>0</v>
      </c>
      <c r="P48" s="683">
        <f t="shared" si="42"/>
        <v>0</v>
      </c>
      <c r="Q48" s="683">
        <f t="shared" si="42"/>
        <v>31.528658350198306</v>
      </c>
      <c r="R48" s="1367">
        <f t="shared" si="42"/>
        <v>31.528658350198306</v>
      </c>
      <c r="S48" s="505" t="str">
        <f t="shared" si="43"/>
        <v/>
      </c>
      <c r="T48" s="505" t="str">
        <f t="shared" si="43"/>
        <v/>
      </c>
      <c r="U48" s="684" t="str">
        <f t="shared" si="44"/>
        <v/>
      </c>
      <c r="V48" s="504">
        <f t="shared" si="45"/>
        <v>107.25371504072396</v>
      </c>
      <c r="W48" s="505">
        <f t="shared" si="46"/>
        <v>0</v>
      </c>
      <c r="X48" s="506">
        <f t="shared" si="47"/>
        <v>130.39657741171101</v>
      </c>
      <c r="Y48" s="504">
        <f t="shared" si="48"/>
        <v>7.5334472342872196</v>
      </c>
      <c r="Z48" s="505">
        <f t="shared" si="48"/>
        <v>8.6275505656161204</v>
      </c>
      <c r="AA48" s="505">
        <f t="shared" si="48"/>
        <v>11.641975096677891</v>
      </c>
      <c r="AB48" s="505">
        <f t="shared" si="48"/>
        <v>10.588237235816392</v>
      </c>
      <c r="AC48" s="505">
        <f t="shared" si="48"/>
        <v>8.5118796091419604</v>
      </c>
      <c r="AD48" s="505">
        <f t="shared" si="48"/>
        <v>10.930822763584167</v>
      </c>
      <c r="AE48" s="506">
        <f t="shared" si="48"/>
        <v>10.27705434346465</v>
      </c>
      <c r="AF48" s="1348">
        <f t="shared" si="49"/>
        <v>2.9626246588053034E-3</v>
      </c>
      <c r="AG48" s="1343">
        <f t="shared" si="50"/>
        <v>2.6320850028637325E-2</v>
      </c>
      <c r="AH48" s="1344">
        <f t="shared" si="50"/>
        <v>2.6320850028637325E-2</v>
      </c>
      <c r="AI48" s="1344">
        <f t="shared" si="50"/>
        <v>4.2343231223982113E-2</v>
      </c>
      <c r="AJ48" s="1344">
        <f t="shared" si="50"/>
        <v>3.71013410798261E-2</v>
      </c>
      <c r="AK48" s="1344">
        <f t="shared" si="50"/>
        <v>2.6320850028637325E-2</v>
      </c>
      <c r="AL48" s="1344">
        <f t="shared" si="50"/>
        <v>4.2343231223982113E-2</v>
      </c>
      <c r="AM48" s="1352">
        <f t="shared" si="50"/>
        <v>3.8012857927942977E-2</v>
      </c>
      <c r="AN48" s="504">
        <f t="shared" si="51"/>
        <v>33.697216959794339</v>
      </c>
      <c r="AO48" s="505">
        <f t="shared" si="51"/>
        <v>29.946450652741714</v>
      </c>
      <c r="AP48" s="505">
        <f t="shared" si="51"/>
        <v>28.67026518197018</v>
      </c>
      <c r="AQ48" s="501">
        <f t="shared" si="52"/>
        <v>1.7964894351614212E-2</v>
      </c>
      <c r="AR48" s="505">
        <f t="shared" si="53"/>
        <v>41.482268945006965</v>
      </c>
      <c r="AS48" s="506">
        <f t="shared" si="54"/>
        <v>52.529033116673986</v>
      </c>
      <c r="AT48" s="504">
        <f t="shared" si="54"/>
        <v>29.206490588758871</v>
      </c>
      <c r="AU48" s="505">
        <f t="shared" si="54"/>
        <v>31.494140068669093</v>
      </c>
      <c r="AV48" s="503">
        <f t="shared" si="55"/>
        <v>1.3699529813801436E-2</v>
      </c>
      <c r="AW48" s="508">
        <f t="shared" si="56"/>
        <v>1.3699529813801436E-2</v>
      </c>
      <c r="AX48" s="1355">
        <f t="shared" si="57"/>
        <v>1.6302946981344697</v>
      </c>
      <c r="AY48" s="507">
        <f t="shared" si="58"/>
        <v>14.254992604897687</v>
      </c>
      <c r="AZ48" s="503">
        <f t="shared" si="59"/>
        <v>3.2591021922417682E-2</v>
      </c>
      <c r="BA48" s="502">
        <f t="shared" si="59"/>
        <v>3.3309279971785219E-2</v>
      </c>
      <c r="BB48" s="502">
        <f t="shared" si="59"/>
        <v>3.6125785093469635E-2</v>
      </c>
      <c r="BC48" s="508">
        <f t="shared" si="59"/>
        <v>3.6991629422905049E-2</v>
      </c>
      <c r="BE48" s="681"/>
    </row>
    <row r="49" spans="1:57" s="324" customFormat="1" ht="14.25">
      <c r="A49" s="509">
        <f t="shared" si="61"/>
        <v>11</v>
      </c>
      <c r="B49" s="509">
        <f t="shared" si="60"/>
        <v>2035</v>
      </c>
      <c r="C49" s="499">
        <f t="shared" si="37"/>
        <v>8.286635256320958E-2</v>
      </c>
      <c r="D49" s="500">
        <f t="shared" si="37"/>
        <v>8.2935925143888381E-2</v>
      </c>
      <c r="E49" s="500">
        <f t="shared" si="37"/>
        <v>6.3444378466100945E-2</v>
      </c>
      <c r="F49" s="501">
        <f t="shared" si="37"/>
        <v>6.0325842014609124E-2</v>
      </c>
      <c r="G49" s="1343">
        <f t="shared" si="38"/>
        <v>3.946098698595169E-3</v>
      </c>
      <c r="H49" s="1344">
        <f t="shared" si="38"/>
        <v>3.5723978116815962E-3</v>
      </c>
      <c r="I49" s="1344">
        <f t="shared" si="38"/>
        <v>2.4963146467911024E-3</v>
      </c>
      <c r="J49" s="1344">
        <f t="shared" si="38"/>
        <v>1.6142522435933502E-3</v>
      </c>
      <c r="K49" s="1343">
        <f t="shared" si="39"/>
        <v>4.8146020003595693E-5</v>
      </c>
      <c r="L49" s="1136">
        <f t="shared" si="40"/>
        <v>65.042285051044601</v>
      </c>
      <c r="M49" s="505">
        <f t="shared" si="40"/>
        <v>0</v>
      </c>
      <c r="N49" s="505">
        <f t="shared" si="40"/>
        <v>0</v>
      </c>
      <c r="O49" s="506">
        <f t="shared" si="41"/>
        <v>0</v>
      </c>
      <c r="P49" s="683">
        <f t="shared" si="42"/>
        <v>0</v>
      </c>
      <c r="Q49" s="683">
        <f t="shared" si="42"/>
        <v>7.1657790299339812</v>
      </c>
      <c r="R49" s="1367">
        <f t="shared" si="42"/>
        <v>7.1657790299339812</v>
      </c>
      <c r="S49" s="505" t="str">
        <f t="shared" si="43"/>
        <v/>
      </c>
      <c r="T49" s="505" t="str">
        <f t="shared" si="43"/>
        <v/>
      </c>
      <c r="U49" s="684" t="str">
        <f t="shared" si="44"/>
        <v/>
      </c>
      <c r="V49" s="504">
        <f t="shared" si="45"/>
        <v>107.25371504072396</v>
      </c>
      <c r="W49" s="505">
        <f t="shared" si="46"/>
        <v>0</v>
      </c>
      <c r="X49" s="506">
        <f t="shared" si="47"/>
        <v>130.39657741171101</v>
      </c>
      <c r="Y49" s="504">
        <f t="shared" ref="Y49:AE63" si="62">VLOOKUP($B49,$B$233:$AG$265,Y$5,FALSE)*(1+Inflation2)^(Year2-Real_Year)</f>
        <v>7.5487538391524378</v>
      </c>
      <c r="Z49" s="505">
        <f t="shared" si="62"/>
        <v>8.6361525621881139</v>
      </c>
      <c r="AA49" s="505">
        <f t="shared" si="62"/>
        <v>11.635680619940311</v>
      </c>
      <c r="AB49" s="505">
        <f t="shared" si="62"/>
        <v>10.587230161352513</v>
      </c>
      <c r="AC49" s="505">
        <f t="shared" si="62"/>
        <v>8.5203816599346585</v>
      </c>
      <c r="AD49" s="505">
        <f t="shared" si="62"/>
        <v>10.928708272154976</v>
      </c>
      <c r="AE49" s="506">
        <f t="shared" si="62"/>
        <v>10.277809187771107</v>
      </c>
      <c r="AF49" s="1348">
        <f t="shared" si="49"/>
        <v>2.9704878089735413E-3</v>
      </c>
      <c r="AG49" s="1343">
        <f t="shared" ref="AG49:AM63" si="63">IF(GECD="Yes",VLOOKUP($B49-4,$B$233:$AG$265,AG$5,FALSE)*(1+Inflation2)^(Year2-Real_Year),"")</f>
        <v>3.3925822043438321E-3</v>
      </c>
      <c r="AH49" s="1344">
        <f t="shared" si="63"/>
        <v>3.3925822043438321E-3</v>
      </c>
      <c r="AI49" s="1344">
        <f t="shared" si="63"/>
        <v>1.4459804957440558E-3</v>
      </c>
      <c r="AJ49" s="1344">
        <f t="shared" si="63"/>
        <v>2.0828316720143533E-3</v>
      </c>
      <c r="AK49" s="1344">
        <f t="shared" si="63"/>
        <v>3.3925822043438321E-3</v>
      </c>
      <c r="AL49" s="1344">
        <f t="shared" si="63"/>
        <v>1.4459804957440558E-3</v>
      </c>
      <c r="AM49" s="1352">
        <f t="shared" si="63"/>
        <v>1.9720890656358871E-3</v>
      </c>
      <c r="AN49" s="504">
        <f t="shared" si="51"/>
        <v>33.844874068608455</v>
      </c>
      <c r="AO49" s="505">
        <f t="shared" si="51"/>
        <v>30.099854073739056</v>
      </c>
      <c r="AP49" s="505">
        <f t="shared" si="51"/>
        <v>28.819736195596892</v>
      </c>
      <c r="AQ49" s="501">
        <f t="shared" si="52"/>
        <v>1.7992565507829673E-2</v>
      </c>
      <c r="AR49" s="505">
        <f t="shared" si="53"/>
        <v>41.66403920534561</v>
      </c>
      <c r="AS49" s="506">
        <f t="shared" si="54"/>
        <v>52.676690225488095</v>
      </c>
      <c r="AT49" s="504">
        <f t="shared" si="54"/>
        <v>29.334469880463832</v>
      </c>
      <c r="AU49" s="505">
        <f t="shared" si="54"/>
        <v>31.63214356233075</v>
      </c>
      <c r="AV49" s="503">
        <f t="shared" si="55"/>
        <v>1.3699529813801436E-2</v>
      </c>
      <c r="AW49" s="508">
        <f t="shared" si="56"/>
        <v>1.3699529813801436E-2</v>
      </c>
      <c r="AX49" s="1355">
        <f t="shared" si="57"/>
        <v>1.6302946981344697</v>
      </c>
      <c r="AY49" s="507">
        <f t="shared" si="58"/>
        <v>14.953073524286125</v>
      </c>
      <c r="AZ49" s="503">
        <f t="shared" si="59"/>
        <v>2.9786350969628138E-2</v>
      </c>
      <c r="BA49" s="502">
        <f t="shared" si="59"/>
        <v>2.9754832740485938E-2</v>
      </c>
      <c r="BB49" s="502">
        <f t="shared" si="59"/>
        <v>3.2791933147776432E-2</v>
      </c>
      <c r="BC49" s="508">
        <f t="shared" si="59"/>
        <v>3.4176624569385014E-2</v>
      </c>
      <c r="BE49" s="681"/>
    </row>
    <row r="50" spans="1:57" s="324" customFormat="1" ht="14.25">
      <c r="A50" s="509">
        <f t="shared" si="61"/>
        <v>12</v>
      </c>
      <c r="B50" s="509">
        <f t="shared" si="60"/>
        <v>2036</v>
      </c>
      <c r="C50" s="499">
        <f t="shared" si="37"/>
        <v>8.2926626664120678E-2</v>
      </c>
      <c r="D50" s="500">
        <f t="shared" si="37"/>
        <v>8.3028202877058296E-2</v>
      </c>
      <c r="E50" s="500">
        <f t="shared" si="37"/>
        <v>6.3687985108538014E-2</v>
      </c>
      <c r="F50" s="501">
        <f t="shared" si="37"/>
        <v>6.0547813176276936E-2</v>
      </c>
      <c r="G50" s="1343">
        <f t="shared" si="38"/>
        <v>0</v>
      </c>
      <c r="H50" s="1344">
        <f t="shared" si="38"/>
        <v>0</v>
      </c>
      <c r="I50" s="1344">
        <f t="shared" si="38"/>
        <v>0</v>
      </c>
      <c r="J50" s="1344">
        <f t="shared" si="38"/>
        <v>0</v>
      </c>
      <c r="K50" s="1343">
        <f t="shared" si="39"/>
        <v>2.25395810166461E-5</v>
      </c>
      <c r="L50" s="1136">
        <f t="shared" si="40"/>
        <v>67.077343114010176</v>
      </c>
      <c r="M50" s="505">
        <f t="shared" si="40"/>
        <v>0</v>
      </c>
      <c r="N50" s="505">
        <f t="shared" si="40"/>
        <v>0</v>
      </c>
      <c r="O50" s="506">
        <f t="shared" si="41"/>
        <v>0</v>
      </c>
      <c r="P50" s="683">
        <f t="shared" si="42"/>
        <v>0</v>
      </c>
      <c r="Q50" s="683">
        <f t="shared" si="42"/>
        <v>0</v>
      </c>
      <c r="R50" s="1367">
        <f t="shared" si="42"/>
        <v>0</v>
      </c>
      <c r="S50" s="505" t="str">
        <f t="shared" si="43"/>
        <v/>
      </c>
      <c r="T50" s="505" t="str">
        <f t="shared" si="43"/>
        <v/>
      </c>
      <c r="U50" s="684" t="str">
        <f t="shared" si="44"/>
        <v/>
      </c>
      <c r="V50" s="504">
        <f t="shared" si="45"/>
        <v>107.25371504072396</v>
      </c>
      <c r="W50" s="505">
        <f t="shared" si="46"/>
        <v>0</v>
      </c>
      <c r="X50" s="506">
        <f t="shared" si="47"/>
        <v>130.39657741171101</v>
      </c>
      <c r="Y50" s="504">
        <f t="shared" si="62"/>
        <v>7.6066463155680974</v>
      </c>
      <c r="Z50" s="505">
        <f t="shared" si="62"/>
        <v>8.6880504086889498</v>
      </c>
      <c r="AA50" s="505">
        <f t="shared" si="62"/>
        <v>11.674137752225121</v>
      </c>
      <c r="AB50" s="505">
        <f t="shared" si="62"/>
        <v>10.630418509021625</v>
      </c>
      <c r="AC50" s="505">
        <f t="shared" si="62"/>
        <v>8.5722422564051914</v>
      </c>
      <c r="AD50" s="505">
        <f t="shared" si="62"/>
        <v>10.970728716666805</v>
      </c>
      <c r="AE50" s="506">
        <f t="shared" si="62"/>
        <v>10.322466836878611</v>
      </c>
      <c r="AF50" s="1348">
        <f t="shared" si="49"/>
        <v>2.9788741015154972E-3</v>
      </c>
      <c r="AG50" s="1343">
        <f t="shared" si="63"/>
        <v>0</v>
      </c>
      <c r="AH50" s="1344">
        <f t="shared" si="63"/>
        <v>0</v>
      </c>
      <c r="AI50" s="1344">
        <f t="shared" si="63"/>
        <v>0</v>
      </c>
      <c r="AJ50" s="1344">
        <f t="shared" si="63"/>
        <v>0</v>
      </c>
      <c r="AK50" s="1344">
        <f t="shared" si="63"/>
        <v>0</v>
      </c>
      <c r="AL50" s="1344">
        <f t="shared" si="63"/>
        <v>0</v>
      </c>
      <c r="AM50" s="1352">
        <f t="shared" si="63"/>
        <v>0</v>
      </c>
      <c r="AN50" s="504">
        <f t="shared" si="51"/>
        <v>34.063216502657411</v>
      </c>
      <c r="AO50" s="505">
        <f t="shared" si="51"/>
        <v>30.334011349082143</v>
      </c>
      <c r="AP50" s="505">
        <f t="shared" si="51"/>
        <v>29.045486372404774</v>
      </c>
      <c r="AQ50" s="501">
        <f t="shared" si="52"/>
        <v>1.809885487941296E-2</v>
      </c>
      <c r="AR50" s="505">
        <f t="shared" si="53"/>
        <v>41.932825187942719</v>
      </c>
      <c r="AS50" s="506">
        <f t="shared" si="54"/>
        <v>52.893697164696981</v>
      </c>
      <c r="AT50" s="504">
        <f t="shared" si="54"/>
        <v>29.523714477511305</v>
      </c>
      <c r="AU50" s="505">
        <f t="shared" si="54"/>
        <v>31.836211073575868</v>
      </c>
      <c r="AV50" s="503">
        <f t="shared" si="55"/>
        <v>1.3699529813801436E-2</v>
      </c>
      <c r="AW50" s="508">
        <f t="shared" si="56"/>
        <v>1.3699529813801436E-2</v>
      </c>
      <c r="AX50" s="1355">
        <f t="shared" si="57"/>
        <v>1.6302946981344697</v>
      </c>
      <c r="AY50" s="507">
        <f t="shared" si="58"/>
        <v>14.953073524286125</v>
      </c>
      <c r="AZ50" s="503">
        <f t="shared" si="59"/>
        <v>2.742636527040665E-2</v>
      </c>
      <c r="BA50" s="502">
        <f t="shared" si="59"/>
        <v>2.7107632152284813E-2</v>
      </c>
      <c r="BB50" s="502">
        <f t="shared" si="59"/>
        <v>3.0003106299967493E-2</v>
      </c>
      <c r="BC50" s="508">
        <f t="shared" si="59"/>
        <v>3.1189482009714702E-2</v>
      </c>
      <c r="BE50" s="688"/>
    </row>
    <row r="51" spans="1:57" s="324" customFormat="1" ht="14.25">
      <c r="A51" s="509">
        <f t="shared" si="61"/>
        <v>13</v>
      </c>
      <c r="B51" s="509">
        <f t="shared" si="60"/>
        <v>2037</v>
      </c>
      <c r="C51" s="499">
        <f t="shared" si="37"/>
        <v>8.312116623225331E-2</v>
      </c>
      <c r="D51" s="500">
        <f t="shared" si="37"/>
        <v>8.325559308341425E-2</v>
      </c>
      <c r="E51" s="500">
        <f t="shared" si="37"/>
        <v>6.407755185862761E-2</v>
      </c>
      <c r="F51" s="501">
        <f t="shared" si="37"/>
        <v>6.0916252999553076E-2</v>
      </c>
      <c r="G51" s="1343">
        <f t="shared" si="38"/>
        <v>0</v>
      </c>
      <c r="H51" s="1344">
        <f t="shared" si="38"/>
        <v>0</v>
      </c>
      <c r="I51" s="1344">
        <f t="shared" si="38"/>
        <v>0</v>
      </c>
      <c r="J51" s="1344">
        <f t="shared" si="38"/>
        <v>0</v>
      </c>
      <c r="K51" s="1343">
        <f t="shared" si="39"/>
        <v>2.2583971022823699E-5</v>
      </c>
      <c r="L51" s="1136">
        <f t="shared" si="40"/>
        <v>69.176074544484138</v>
      </c>
      <c r="M51" s="505">
        <f t="shared" si="40"/>
        <v>0</v>
      </c>
      <c r="N51" s="505">
        <f t="shared" si="40"/>
        <v>0</v>
      </c>
      <c r="O51" s="506">
        <f t="shared" si="41"/>
        <v>0</v>
      </c>
      <c r="P51" s="683">
        <f t="shared" si="42"/>
        <v>0</v>
      </c>
      <c r="Q51" s="683">
        <f t="shared" si="42"/>
        <v>0</v>
      </c>
      <c r="R51" s="1367">
        <f t="shared" si="42"/>
        <v>0</v>
      </c>
      <c r="S51" s="505" t="str">
        <f t="shared" si="43"/>
        <v/>
      </c>
      <c r="T51" s="505" t="str">
        <f t="shared" si="43"/>
        <v/>
      </c>
      <c r="U51" s="684" t="str">
        <f t="shared" si="44"/>
        <v/>
      </c>
      <c r="V51" s="504">
        <f t="shared" si="45"/>
        <v>107.25371504072396</v>
      </c>
      <c r="W51" s="505">
        <f t="shared" si="46"/>
        <v>0</v>
      </c>
      <c r="X51" s="506">
        <f t="shared" si="47"/>
        <v>130.39657741171101</v>
      </c>
      <c r="Y51" s="504">
        <f t="shared" si="62"/>
        <v>7.6649827776927824</v>
      </c>
      <c r="Z51" s="505">
        <f t="shared" si="62"/>
        <v>8.7402601286139774</v>
      </c>
      <c r="AA51" s="505">
        <f t="shared" si="62"/>
        <v>11.712721989324153</v>
      </c>
      <c r="AB51" s="505">
        <f t="shared" si="62"/>
        <v>10.673783034344943</v>
      </c>
      <c r="AC51" s="505">
        <f t="shared" si="62"/>
        <v>8.6244185102692104</v>
      </c>
      <c r="AD51" s="505">
        <f t="shared" si="62"/>
        <v>11.012910728100632</v>
      </c>
      <c r="AE51" s="506">
        <f t="shared" si="62"/>
        <v>10.367318525940288</v>
      </c>
      <c r="AF51" s="1348">
        <f t="shared" si="49"/>
        <v>2.9847407695636264E-3</v>
      </c>
      <c r="AG51" s="1343">
        <f t="shared" si="63"/>
        <v>0</v>
      </c>
      <c r="AH51" s="1344">
        <f t="shared" si="63"/>
        <v>0</v>
      </c>
      <c r="AI51" s="1344">
        <f t="shared" si="63"/>
        <v>0</v>
      </c>
      <c r="AJ51" s="1344">
        <f t="shared" si="63"/>
        <v>0</v>
      </c>
      <c r="AK51" s="1344">
        <f t="shared" si="63"/>
        <v>0</v>
      </c>
      <c r="AL51" s="1344">
        <f t="shared" si="63"/>
        <v>0</v>
      </c>
      <c r="AM51" s="1352">
        <f t="shared" si="63"/>
        <v>0</v>
      </c>
      <c r="AN51" s="504">
        <f t="shared" si="51"/>
        <v>34.282967522786784</v>
      </c>
      <c r="AO51" s="505">
        <f t="shared" si="51"/>
        <v>30.569990215634995</v>
      </c>
      <c r="AP51" s="505">
        <f t="shared" si="51"/>
        <v>29.273004890948439</v>
      </c>
      <c r="AQ51" s="501">
        <f t="shared" si="52"/>
        <v>1.820577214536221E-2</v>
      </c>
      <c r="AR51" s="505">
        <f t="shared" si="53"/>
        <v>42.20334518159153</v>
      </c>
      <c r="AS51" s="506">
        <f t="shared" si="54"/>
        <v>53.111598085882775</v>
      </c>
      <c r="AT51" s="504">
        <f t="shared" si="54"/>
        <v>29.714179942624831</v>
      </c>
      <c r="AU51" s="505">
        <f t="shared" si="54"/>
        <v>32.041595079514543</v>
      </c>
      <c r="AV51" s="503">
        <f t="shared" si="55"/>
        <v>1.3699529813801436E-2</v>
      </c>
      <c r="AW51" s="508">
        <f t="shared" si="56"/>
        <v>1.3699529813801436E-2</v>
      </c>
      <c r="AX51" s="1355">
        <f t="shared" si="57"/>
        <v>1.6302946981344697</v>
      </c>
      <c r="AY51" s="507">
        <f t="shared" si="58"/>
        <v>14.953073524286125</v>
      </c>
      <c r="AZ51" s="503">
        <f t="shared" si="59"/>
        <v>2.5253362276995921E-2</v>
      </c>
      <c r="BA51" s="502">
        <f t="shared" si="59"/>
        <v>2.4695945270891972E-2</v>
      </c>
      <c r="BB51" s="502">
        <f t="shared" si="59"/>
        <v>2.7451458369058959E-2</v>
      </c>
      <c r="BC51" s="508">
        <f t="shared" si="59"/>
        <v>2.8463424937105242E-2</v>
      </c>
      <c r="BE51" s="688"/>
    </row>
    <row r="52" spans="1:57" s="324" customFormat="1" ht="14.25">
      <c r="A52" s="509">
        <f t="shared" si="61"/>
        <v>14</v>
      </c>
      <c r="B52" s="509">
        <f t="shared" si="60"/>
        <v>2038</v>
      </c>
      <c r="C52" s="499">
        <f t="shared" si="37"/>
        <v>8.3434543753347162E-2</v>
      </c>
      <c r="D52" s="500">
        <f t="shared" si="37"/>
        <v>8.3602685227407575E-2</v>
      </c>
      <c r="E52" s="500">
        <f t="shared" si="37"/>
        <v>6.4598001092145113E-2</v>
      </c>
      <c r="F52" s="501">
        <f t="shared" si="37"/>
        <v>6.1416115679690443E-2</v>
      </c>
      <c r="G52" s="1343">
        <f t="shared" si="38"/>
        <v>0</v>
      </c>
      <c r="H52" s="1344">
        <f t="shared" si="38"/>
        <v>0</v>
      </c>
      <c r="I52" s="1344">
        <f t="shared" si="38"/>
        <v>0</v>
      </c>
      <c r="J52" s="1344">
        <f t="shared" si="38"/>
        <v>0</v>
      </c>
      <c r="K52" s="1343">
        <f t="shared" si="39"/>
        <v>2.26399937148786E-5</v>
      </c>
      <c r="L52" s="1136">
        <f t="shared" si="40"/>
        <v>71.340471569520687</v>
      </c>
      <c r="M52" s="505">
        <f t="shared" si="40"/>
        <v>0</v>
      </c>
      <c r="N52" s="505">
        <f t="shared" si="40"/>
        <v>0</v>
      </c>
      <c r="O52" s="506">
        <f t="shared" si="41"/>
        <v>0</v>
      </c>
      <c r="P52" s="683">
        <f t="shared" si="42"/>
        <v>0</v>
      </c>
      <c r="Q52" s="683">
        <f t="shared" si="42"/>
        <v>0</v>
      </c>
      <c r="R52" s="1367">
        <f t="shared" si="42"/>
        <v>0</v>
      </c>
      <c r="S52" s="505" t="str">
        <f t="shared" si="43"/>
        <v/>
      </c>
      <c r="T52" s="505" t="str">
        <f t="shared" si="43"/>
        <v/>
      </c>
      <c r="U52" s="684" t="str">
        <f t="shared" si="44"/>
        <v/>
      </c>
      <c r="V52" s="504">
        <f t="shared" si="45"/>
        <v>107.25371504072396</v>
      </c>
      <c r="W52" s="505">
        <f t="shared" si="46"/>
        <v>0</v>
      </c>
      <c r="X52" s="506">
        <f t="shared" si="47"/>
        <v>130.39657741171101</v>
      </c>
      <c r="Y52" s="504">
        <f t="shared" si="62"/>
        <v>7.7237666305166064</v>
      </c>
      <c r="Z52" s="505">
        <f t="shared" si="62"/>
        <v>8.7927835961263732</v>
      </c>
      <c r="AA52" s="505">
        <f t="shared" si="62"/>
        <v>11.751433751332016</v>
      </c>
      <c r="AB52" s="505">
        <f t="shared" si="62"/>
        <v>10.717324456001641</v>
      </c>
      <c r="AC52" s="505">
        <f t="shared" si="62"/>
        <v>8.6769123428233588</v>
      </c>
      <c r="AD52" s="505">
        <f t="shared" si="62"/>
        <v>11.055254927674788</v>
      </c>
      <c r="AE52" s="506">
        <f t="shared" si="62"/>
        <v>10.412365098070469</v>
      </c>
      <c r="AF52" s="1348">
        <f t="shared" si="49"/>
        <v>2.9921448356079899E-3</v>
      </c>
      <c r="AG52" s="1343">
        <f t="shared" si="63"/>
        <v>0</v>
      </c>
      <c r="AH52" s="1344">
        <f t="shared" si="63"/>
        <v>0</v>
      </c>
      <c r="AI52" s="1344">
        <f t="shared" si="63"/>
        <v>0</v>
      </c>
      <c r="AJ52" s="1344">
        <f t="shared" si="63"/>
        <v>0</v>
      </c>
      <c r="AK52" s="1344">
        <f t="shared" si="63"/>
        <v>0</v>
      </c>
      <c r="AL52" s="1344">
        <f t="shared" si="63"/>
        <v>0</v>
      </c>
      <c r="AM52" s="1352">
        <f t="shared" si="63"/>
        <v>0</v>
      </c>
      <c r="AN52" s="504">
        <f t="shared" si="51"/>
        <v>34.504136216166252</v>
      </c>
      <c r="AO52" s="505">
        <f t="shared" si="51"/>
        <v>30.807804844191718</v>
      </c>
      <c r="AP52" s="505">
        <f t="shared" si="51"/>
        <v>29.502305602966729</v>
      </c>
      <c r="AQ52" s="501">
        <f t="shared" si="52"/>
        <v>1.8313321014903745E-2</v>
      </c>
      <c r="AR52" s="505">
        <f t="shared" si="53"/>
        <v>42.475610372866207</v>
      </c>
      <c r="AS52" s="506">
        <f t="shared" si="54"/>
        <v>53.330396671894412</v>
      </c>
      <c r="AT52" s="504">
        <f t="shared" si="54"/>
        <v>29.905874151954421</v>
      </c>
      <c r="AU52" s="505">
        <f t="shared" si="54"/>
        <v>32.248304073210022</v>
      </c>
      <c r="AV52" s="503">
        <f t="shared" si="55"/>
        <v>1.3699529813801436E-2</v>
      </c>
      <c r="AW52" s="508">
        <f t="shared" si="56"/>
        <v>1.3699529813801436E-2</v>
      </c>
      <c r="AX52" s="1355">
        <f t="shared" si="57"/>
        <v>1.6302946981344697</v>
      </c>
      <c r="AY52" s="507">
        <f t="shared" si="58"/>
        <v>14.953073524286125</v>
      </c>
      <c r="AZ52" s="503">
        <f t="shared" si="59"/>
        <v>2.3252527267305114E-2</v>
      </c>
      <c r="BA52" s="502">
        <f t="shared" si="59"/>
        <v>2.2498819129485863E-2</v>
      </c>
      <c r="BB52" s="502">
        <f t="shared" si="59"/>
        <v>2.5116818207219879E-2</v>
      </c>
      <c r="BC52" s="508">
        <f t="shared" si="59"/>
        <v>2.5975633673488999E-2</v>
      </c>
      <c r="BE52" s="688"/>
    </row>
    <row r="53" spans="1:57" s="324" customFormat="1" ht="14.25">
      <c r="A53" s="509">
        <f t="shared" si="61"/>
        <v>15</v>
      </c>
      <c r="B53" s="509">
        <f t="shared" si="60"/>
        <v>2039</v>
      </c>
      <c r="C53" s="499">
        <f t="shared" si="37"/>
        <v>8.3853345027818507E-2</v>
      </c>
      <c r="D53" s="500">
        <f t="shared" si="37"/>
        <v>8.4056082391468057E-2</v>
      </c>
      <c r="E53" s="500">
        <f t="shared" si="37"/>
        <v>6.5236277238458013E-2</v>
      </c>
      <c r="F53" s="501">
        <f t="shared" si="37"/>
        <v>6.2034378597801275E-2</v>
      </c>
      <c r="G53" s="1343">
        <f t="shared" si="38"/>
        <v>0</v>
      </c>
      <c r="H53" s="1344">
        <f t="shared" si="38"/>
        <v>0</v>
      </c>
      <c r="I53" s="1344">
        <f t="shared" si="38"/>
        <v>0</v>
      </c>
      <c r="J53" s="1344">
        <f t="shared" si="38"/>
        <v>0</v>
      </c>
      <c r="K53" s="1343">
        <f t="shared" si="39"/>
        <v>2.2708982004734236E-5</v>
      </c>
      <c r="L53" s="1136">
        <f t="shared" si="40"/>
        <v>73.572588749434971</v>
      </c>
      <c r="M53" s="505">
        <f t="shared" si="40"/>
        <v>0</v>
      </c>
      <c r="N53" s="505">
        <f t="shared" si="40"/>
        <v>0</v>
      </c>
      <c r="O53" s="506">
        <f t="shared" si="41"/>
        <v>0</v>
      </c>
      <c r="P53" s="683">
        <f t="shared" si="42"/>
        <v>0</v>
      </c>
      <c r="Q53" s="683">
        <f t="shared" si="42"/>
        <v>0</v>
      </c>
      <c r="R53" s="1367">
        <f t="shared" si="42"/>
        <v>0</v>
      </c>
      <c r="S53" s="505" t="str">
        <f t="shared" si="43"/>
        <v/>
      </c>
      <c r="T53" s="505" t="str">
        <f t="shared" si="43"/>
        <v/>
      </c>
      <c r="U53" s="684" t="str">
        <f t="shared" si="44"/>
        <v/>
      </c>
      <c r="V53" s="504">
        <f t="shared" si="45"/>
        <v>107.25371504072396</v>
      </c>
      <c r="W53" s="505">
        <f t="shared" si="46"/>
        <v>0</v>
      </c>
      <c r="X53" s="506">
        <f t="shared" si="47"/>
        <v>130.39657741171101</v>
      </c>
      <c r="Y53" s="504">
        <f t="shared" si="62"/>
        <v>7.7830013051430402</v>
      </c>
      <c r="Z53" s="505">
        <f t="shared" si="62"/>
        <v>8.8456226966518514</v>
      </c>
      <c r="AA53" s="505">
        <f t="shared" si="62"/>
        <v>11.79027345973177</v>
      </c>
      <c r="AB53" s="505">
        <f t="shared" si="62"/>
        <v>10.761043495602582</v>
      </c>
      <c r="AC53" s="505">
        <f t="shared" si="62"/>
        <v>8.7297256870585507</v>
      </c>
      <c r="AD53" s="505">
        <f t="shared" si="62"/>
        <v>11.097761938996163</v>
      </c>
      <c r="AE53" s="506">
        <f t="shared" si="62"/>
        <v>10.457607400046857</v>
      </c>
      <c r="AF53" s="1348">
        <f t="shared" si="49"/>
        <v>3.0012624598356554E-3</v>
      </c>
      <c r="AG53" s="1343">
        <f t="shared" si="63"/>
        <v>0</v>
      </c>
      <c r="AH53" s="1344">
        <f t="shared" si="63"/>
        <v>0</v>
      </c>
      <c r="AI53" s="1344">
        <f t="shared" si="63"/>
        <v>0</v>
      </c>
      <c r="AJ53" s="1344">
        <f t="shared" si="63"/>
        <v>0</v>
      </c>
      <c r="AK53" s="1344">
        <f t="shared" si="63"/>
        <v>0</v>
      </c>
      <c r="AL53" s="1344">
        <f t="shared" si="63"/>
        <v>0</v>
      </c>
      <c r="AM53" s="1352">
        <f t="shared" si="63"/>
        <v>0</v>
      </c>
      <c r="AN53" s="504">
        <f t="shared" si="51"/>
        <v>34.726731728589272</v>
      </c>
      <c r="AO53" s="505">
        <f t="shared" si="51"/>
        <v>31.047469515785966</v>
      </c>
      <c r="AP53" s="505">
        <f t="shared" si="51"/>
        <v>29.733402468701659</v>
      </c>
      <c r="AQ53" s="501">
        <f t="shared" si="52"/>
        <v>1.842150521917579E-2</v>
      </c>
      <c r="AR53" s="505">
        <f t="shared" si="53"/>
        <v>42.749632020508521</v>
      </c>
      <c r="AS53" s="506">
        <f t="shared" si="54"/>
        <v>53.550096620752697</v>
      </c>
      <c r="AT53" s="504">
        <f t="shared" si="54"/>
        <v>30.098805032461257</v>
      </c>
      <c r="AU53" s="505">
        <f t="shared" si="54"/>
        <v>32.456346602516589</v>
      </c>
      <c r="AV53" s="503">
        <f t="shared" si="55"/>
        <v>1.3699529813801436E-2</v>
      </c>
      <c r="AW53" s="508">
        <f t="shared" si="56"/>
        <v>1.3699529813801436E-2</v>
      </c>
      <c r="AX53" s="1355">
        <f t="shared" si="57"/>
        <v>1.6302946981344697</v>
      </c>
      <c r="AY53" s="507">
        <f t="shared" si="58"/>
        <v>14.953073524286125</v>
      </c>
      <c r="AZ53" s="503">
        <f t="shared" si="59"/>
        <v>2.1410219296196062E-2</v>
      </c>
      <c r="BA53" s="502">
        <f t="shared" si="59"/>
        <v>2.0497164885522768E-2</v>
      </c>
      <c r="BB53" s="502">
        <f t="shared" si="59"/>
        <v>2.2980730144580581E-2</v>
      </c>
      <c r="BC53" s="508">
        <f t="shared" si="59"/>
        <v>2.370528305115191E-2</v>
      </c>
      <c r="BE53" s="688"/>
    </row>
    <row r="54" spans="1:57" s="324" customFormat="1" ht="14.25">
      <c r="A54" s="509">
        <f t="shared" si="61"/>
        <v>16</v>
      </c>
      <c r="B54" s="509">
        <f t="shared" si="60"/>
        <v>2040</v>
      </c>
      <c r="C54" s="499">
        <f t="shared" si="37"/>
        <v>8.4365909999641359E-2</v>
      </c>
      <c r="D54" s="500">
        <f t="shared" si="37"/>
        <v>8.4604142109970096E-2</v>
      </c>
      <c r="E54" s="500">
        <f t="shared" si="37"/>
        <v>6.5981087811573441E-2</v>
      </c>
      <c r="F54" s="501">
        <f t="shared" si="37"/>
        <v>6.2759783385868059E-2</v>
      </c>
      <c r="G54" s="1343">
        <f t="shared" si="38"/>
        <v>0</v>
      </c>
      <c r="H54" s="1344">
        <f t="shared" si="38"/>
        <v>0</v>
      </c>
      <c r="I54" s="1344">
        <f t="shared" si="38"/>
        <v>0</v>
      </c>
      <c r="J54" s="1344">
        <f t="shared" si="38"/>
        <v>0</v>
      </c>
      <c r="K54" s="1343">
        <f t="shared" si="39"/>
        <v>2.276650884116606E-5</v>
      </c>
      <c r="L54" s="1136">
        <f t="shared" si="40"/>
        <v>75.874544928100661</v>
      </c>
      <c r="M54" s="505">
        <f t="shared" si="40"/>
        <v>0</v>
      </c>
      <c r="N54" s="505">
        <f t="shared" si="40"/>
        <v>0</v>
      </c>
      <c r="O54" s="506">
        <f t="shared" si="41"/>
        <v>0</v>
      </c>
      <c r="P54" s="683">
        <f t="shared" si="42"/>
        <v>0</v>
      </c>
      <c r="Q54" s="683">
        <f t="shared" si="42"/>
        <v>0</v>
      </c>
      <c r="R54" s="1367">
        <f t="shared" si="42"/>
        <v>0</v>
      </c>
      <c r="S54" s="505" t="str">
        <f t="shared" si="43"/>
        <v/>
      </c>
      <c r="T54" s="505" t="str">
        <f t="shared" si="43"/>
        <v/>
      </c>
      <c r="U54" s="684" t="str">
        <f t="shared" si="44"/>
        <v/>
      </c>
      <c r="V54" s="504">
        <f t="shared" si="45"/>
        <v>107.25371504072396</v>
      </c>
      <c r="W54" s="505">
        <f t="shared" si="46"/>
        <v>0</v>
      </c>
      <c r="X54" s="506">
        <f t="shared" si="47"/>
        <v>130.39657741171101</v>
      </c>
      <c r="Y54" s="504">
        <f t="shared" si="62"/>
        <v>7.8426902589891805</v>
      </c>
      <c r="Z54" s="505">
        <f t="shared" si="62"/>
        <v>8.898779326946352</v>
      </c>
      <c r="AA54" s="505">
        <f t="shared" si="62"/>
        <v>11.82924153739952</v>
      </c>
      <c r="AB54" s="505">
        <f t="shared" si="62"/>
        <v>10.804940877702297</v>
      </c>
      <c r="AC54" s="505">
        <f t="shared" si="62"/>
        <v>8.7828604877311367</v>
      </c>
      <c r="AD54" s="505">
        <f t="shared" si="62"/>
        <v>11.140432388069382</v>
      </c>
      <c r="AE54" s="506">
        <f t="shared" si="62"/>
        <v>10.503046282326455</v>
      </c>
      <c r="AF54" s="1348">
        <f t="shared" si="49"/>
        <v>3.0082267628524055E-3</v>
      </c>
      <c r="AG54" s="1343">
        <f t="shared" si="63"/>
        <v>0</v>
      </c>
      <c r="AH54" s="1344">
        <f t="shared" si="63"/>
        <v>0</v>
      </c>
      <c r="AI54" s="1344">
        <f t="shared" si="63"/>
        <v>0</v>
      </c>
      <c r="AJ54" s="1344">
        <f t="shared" si="63"/>
        <v>0</v>
      </c>
      <c r="AK54" s="1344">
        <f t="shared" si="63"/>
        <v>0</v>
      </c>
      <c r="AL54" s="1344">
        <f t="shared" si="63"/>
        <v>0</v>
      </c>
      <c r="AM54" s="1352">
        <f t="shared" si="63"/>
        <v>0</v>
      </c>
      <c r="AN54" s="504">
        <f t="shared" si="51"/>
        <v>34.950763264851304</v>
      </c>
      <c r="AO54" s="505">
        <f t="shared" si="51"/>
        <v>31.288998622548537</v>
      </c>
      <c r="AP54" s="505">
        <f t="shared" si="51"/>
        <v>29.966309557748325</v>
      </c>
      <c r="AQ54" s="501">
        <f t="shared" si="52"/>
        <v>1.853032851135791E-2</v>
      </c>
      <c r="AR54" s="505">
        <f t="shared" si="53"/>
        <v>43.025421455893436</v>
      </c>
      <c r="AS54" s="506">
        <f t="shared" si="54"/>
        <v>53.770701645712805</v>
      </c>
      <c r="AT54" s="504">
        <f t="shared" si="54"/>
        <v>30.292980562245486</v>
      </c>
      <c r="AU54" s="505">
        <f t="shared" si="54"/>
        <v>32.665731270433049</v>
      </c>
      <c r="AV54" s="503">
        <f t="shared" si="55"/>
        <v>1.3699529813801436E-2</v>
      </c>
      <c r="AW54" s="508">
        <f t="shared" si="56"/>
        <v>1.3699529813801436E-2</v>
      </c>
      <c r="AX54" s="1355">
        <f t="shared" si="57"/>
        <v>1.6302946981344697</v>
      </c>
      <c r="AY54" s="507">
        <f t="shared" si="58"/>
        <v>14.953073524286125</v>
      </c>
      <c r="AZ54" s="503">
        <f t="shared" si="59"/>
        <v>1.9713878196618618E-2</v>
      </c>
      <c r="BA54" s="502">
        <f t="shared" si="59"/>
        <v>1.8673591975042841E-2</v>
      </c>
      <c r="BB54" s="502">
        <f t="shared" si="59"/>
        <v>2.102630809447939E-2</v>
      </c>
      <c r="BC54" s="508">
        <f t="shared" si="59"/>
        <v>2.1633368086367507E-2</v>
      </c>
      <c r="BE54" s="688"/>
    </row>
    <row r="55" spans="1:57" s="324" customFormat="1" ht="14.25">
      <c r="A55" s="509">
        <f t="shared" si="61"/>
        <v>17</v>
      </c>
      <c r="B55" s="509">
        <f t="shared" si="60"/>
        <v>2041</v>
      </c>
      <c r="C55" s="499">
        <f t="shared" si="37"/>
        <v>8.4962106994576347E-2</v>
      </c>
      <c r="D55" s="500">
        <f t="shared" si="37"/>
        <v>8.5236750612628157E-2</v>
      </c>
      <c r="E55" s="500">
        <f t="shared" si="37"/>
        <v>6.6822677855030724E-2</v>
      </c>
      <c r="F55" s="501">
        <f t="shared" si="37"/>
        <v>6.3582610406536372E-2</v>
      </c>
      <c r="G55" s="1343">
        <f t="shared" si="38"/>
        <v>0</v>
      </c>
      <c r="H55" s="1344">
        <f t="shared" si="38"/>
        <v>0</v>
      </c>
      <c r="I55" s="1344">
        <f t="shared" si="38"/>
        <v>0</v>
      </c>
      <c r="J55" s="1344">
        <f t="shared" si="38"/>
        <v>0</v>
      </c>
      <c r="K55" s="1343">
        <f t="shared" si="39"/>
        <v>2.2824181405702692E-5</v>
      </c>
      <c r="L55" s="1136">
        <f t="shared" si="40"/>
        <v>78.248525244268762</v>
      </c>
      <c r="M55" s="505">
        <f t="shared" si="40"/>
        <v>0</v>
      </c>
      <c r="N55" s="505">
        <f t="shared" si="40"/>
        <v>0</v>
      </c>
      <c r="O55" s="506">
        <f t="shared" si="41"/>
        <v>0</v>
      </c>
      <c r="P55" s="683">
        <f t="shared" si="42"/>
        <v>0</v>
      </c>
      <c r="Q55" s="683">
        <f t="shared" si="42"/>
        <v>0</v>
      </c>
      <c r="R55" s="1367">
        <f t="shared" si="42"/>
        <v>0</v>
      </c>
      <c r="S55" s="505" t="str">
        <f t="shared" si="43"/>
        <v/>
      </c>
      <c r="T55" s="505" t="str">
        <f t="shared" si="43"/>
        <v/>
      </c>
      <c r="U55" s="684" t="str">
        <f t="shared" si="44"/>
        <v/>
      </c>
      <c r="V55" s="504">
        <f t="shared" si="45"/>
        <v>107.25371504072396</v>
      </c>
      <c r="W55" s="505">
        <f t="shared" si="46"/>
        <v>0</v>
      </c>
      <c r="X55" s="506">
        <f t="shared" si="47"/>
        <v>130.39657741171101</v>
      </c>
      <c r="Y55" s="504">
        <f t="shared" si="62"/>
        <v>7.9028369759875492</v>
      </c>
      <c r="Z55" s="505">
        <f t="shared" si="62"/>
        <v>8.9522553951641264</v>
      </c>
      <c r="AA55" s="505">
        <f t="shared" si="62"/>
        <v>11.868338408609024</v>
      </c>
      <c r="AB55" s="505">
        <f t="shared" si="62"/>
        <v>10.849017329810973</v>
      </c>
      <c r="AC55" s="505">
        <f t="shared" si="62"/>
        <v>8.836318701434525</v>
      </c>
      <c r="AD55" s="505">
        <f t="shared" si="62"/>
        <v>11.183266903306043</v>
      </c>
      <c r="AE55" s="506">
        <f t="shared" si="62"/>
        <v>10.54868259906155</v>
      </c>
      <c r="AF55" s="1348">
        <f t="shared" si="49"/>
        <v>3.0152072262407191E-3</v>
      </c>
      <c r="AG55" s="1343">
        <f t="shared" si="63"/>
        <v>0</v>
      </c>
      <c r="AH55" s="1344">
        <f t="shared" si="63"/>
        <v>0</v>
      </c>
      <c r="AI55" s="1344">
        <f t="shared" si="63"/>
        <v>0</v>
      </c>
      <c r="AJ55" s="1344">
        <f t="shared" si="63"/>
        <v>0</v>
      </c>
      <c r="AK55" s="1344">
        <f t="shared" si="63"/>
        <v>0</v>
      </c>
      <c r="AL55" s="1344">
        <f t="shared" si="63"/>
        <v>0</v>
      </c>
      <c r="AM55" s="1352">
        <f t="shared" si="63"/>
        <v>0</v>
      </c>
      <c r="AN55" s="504">
        <f t="shared" si="51"/>
        <v>35.176240089130417</v>
      </c>
      <c r="AO55" s="505">
        <f t="shared" si="51"/>
        <v>31.532406668571642</v>
      </c>
      <c r="AP55" s="505">
        <f t="shared" si="51"/>
        <v>30.201041049911499</v>
      </c>
      <c r="AQ55" s="501">
        <f t="shared" si="52"/>
        <v>1.8639794666801227E-2</v>
      </c>
      <c r="AR55" s="505">
        <f t="shared" si="53"/>
        <v>43.302990083497676</v>
      </c>
      <c r="AS55" s="506">
        <f t="shared" si="54"/>
        <v>53.992215475327043</v>
      </c>
      <c r="AT55" s="504">
        <f t="shared" si="54"/>
        <v>30.488408770876145</v>
      </c>
      <c r="AU55" s="505">
        <f t="shared" si="54"/>
        <v>32.876466735458486</v>
      </c>
      <c r="AV55" s="503">
        <f t="shared" si="55"/>
        <v>1.3699529813801436E-2</v>
      </c>
      <c r="AW55" s="508">
        <f t="shared" si="56"/>
        <v>1.3699529813801436E-2</v>
      </c>
      <c r="AX55" s="1355">
        <f t="shared" si="57"/>
        <v>1.6302946981344697</v>
      </c>
      <c r="AY55" s="507">
        <f t="shared" si="58"/>
        <v>14.953073524286125</v>
      </c>
      <c r="AZ55" s="503">
        <f t="shared" si="59"/>
        <v>1.8151938949086979E-2</v>
      </c>
      <c r="BA55" s="502">
        <f t="shared" si="59"/>
        <v>1.7012257021783283E-2</v>
      </c>
      <c r="BB55" s="502">
        <f t="shared" si="59"/>
        <v>1.9238102066492818E-2</v>
      </c>
      <c r="BC55" s="508">
        <f t="shared" si="59"/>
        <v>1.9742544889693795E-2</v>
      </c>
      <c r="BE55" s="688"/>
    </row>
    <row r="56" spans="1:57" s="324" customFormat="1" ht="14.25">
      <c r="A56" s="509">
        <f t="shared" si="61"/>
        <v>18</v>
      </c>
      <c r="B56" s="509">
        <f t="shared" si="60"/>
        <v>2042</v>
      </c>
      <c r="C56" s="499">
        <f t="shared" si="37"/>
        <v>8.5633136061616918E-2</v>
      </c>
      <c r="D56" s="500">
        <f t="shared" si="37"/>
        <v>8.5945126171192987E-2</v>
      </c>
      <c r="E56" s="500">
        <f t="shared" si="37"/>
        <v>6.7752633494606904E-2</v>
      </c>
      <c r="F56" s="501">
        <f t="shared" si="37"/>
        <v>6.4494482341681772E-2</v>
      </c>
      <c r="G56" s="1343">
        <f t="shared" si="38"/>
        <v>0</v>
      </c>
      <c r="H56" s="1344">
        <f t="shared" si="38"/>
        <v>0</v>
      </c>
      <c r="I56" s="1344">
        <f t="shared" si="38"/>
        <v>0</v>
      </c>
      <c r="J56" s="1344">
        <f t="shared" si="38"/>
        <v>0</v>
      </c>
      <c r="K56" s="1343">
        <f t="shared" si="39"/>
        <v>2.2882000067505421E-5</v>
      </c>
      <c r="L56" s="1136">
        <f t="shared" si="40"/>
        <v>80.69678320581707</v>
      </c>
      <c r="M56" s="505">
        <f t="shared" si="40"/>
        <v>0</v>
      </c>
      <c r="N56" s="505">
        <f t="shared" si="40"/>
        <v>0</v>
      </c>
      <c r="O56" s="506">
        <f t="shared" si="41"/>
        <v>0</v>
      </c>
      <c r="P56" s="683">
        <f t="shared" si="42"/>
        <v>0</v>
      </c>
      <c r="Q56" s="683">
        <f t="shared" si="42"/>
        <v>0</v>
      </c>
      <c r="R56" s="1367">
        <f t="shared" si="42"/>
        <v>0</v>
      </c>
      <c r="S56" s="505" t="str">
        <f t="shared" si="43"/>
        <v/>
      </c>
      <c r="T56" s="505" t="str">
        <f t="shared" si="43"/>
        <v/>
      </c>
      <c r="U56" s="684" t="str">
        <f t="shared" si="44"/>
        <v/>
      </c>
      <c r="V56" s="504">
        <f t="shared" si="45"/>
        <v>107.25371504072396</v>
      </c>
      <c r="W56" s="505">
        <f t="shared" si="46"/>
        <v>0</v>
      </c>
      <c r="X56" s="506">
        <f t="shared" si="47"/>
        <v>130.39657741171101</v>
      </c>
      <c r="Y56" s="504">
        <f t="shared" si="62"/>
        <v>7.9634449667894494</v>
      </c>
      <c r="Z56" s="505">
        <f t="shared" si="62"/>
        <v>9.0060528209262269</v>
      </c>
      <c r="AA56" s="505">
        <f t="shared" si="62"/>
        <v>11.907564499036305</v>
      </c>
      <c r="AB56" s="505">
        <f t="shared" si="62"/>
        <v>10.893273582406529</v>
      </c>
      <c r="AC56" s="505">
        <f t="shared" si="62"/>
        <v>8.8901022966712233</v>
      </c>
      <c r="AD56" s="505">
        <f t="shared" si="62"/>
        <v>11.226266115533956</v>
      </c>
      <c r="AE56" s="506">
        <f t="shared" si="62"/>
        <v>10.594517208115766</v>
      </c>
      <c r="AF56" s="1348">
        <f t="shared" si="49"/>
        <v>3.0222038875000559E-3</v>
      </c>
      <c r="AG56" s="1343">
        <f t="shared" si="63"/>
        <v>0</v>
      </c>
      <c r="AH56" s="1344">
        <f t="shared" si="63"/>
        <v>0</v>
      </c>
      <c r="AI56" s="1344">
        <f t="shared" si="63"/>
        <v>0</v>
      </c>
      <c r="AJ56" s="1344">
        <f t="shared" si="63"/>
        <v>0</v>
      </c>
      <c r="AK56" s="1344">
        <f t="shared" si="63"/>
        <v>0</v>
      </c>
      <c r="AL56" s="1344">
        <f t="shared" si="63"/>
        <v>0</v>
      </c>
      <c r="AM56" s="1352">
        <f t="shared" si="63"/>
        <v>0</v>
      </c>
      <c r="AN56" s="504">
        <f t="shared" si="51"/>
        <v>35.403171525370418</v>
      </c>
      <c r="AO56" s="505">
        <f t="shared" si="51"/>
        <v>31.777708270779897</v>
      </c>
      <c r="AP56" s="505">
        <f t="shared" si="51"/>
        <v>30.437611236068907</v>
      </c>
      <c r="AQ56" s="501">
        <f t="shared" si="52"/>
        <v>1.8749907483159387E-2</v>
      </c>
      <c r="AR56" s="505">
        <f t="shared" si="53"/>
        <v>43.58234938137133</v>
      </c>
      <c r="AS56" s="506">
        <f t="shared" si="54"/>
        <v>54.214641853507842</v>
      </c>
      <c r="AT56" s="504">
        <f t="shared" si="54"/>
        <v>30.68509773972319</v>
      </c>
      <c r="AU56" s="505">
        <f t="shared" si="54"/>
        <v>33.088561711950291</v>
      </c>
      <c r="AV56" s="503">
        <f t="shared" si="55"/>
        <v>1.3699529813801436E-2</v>
      </c>
      <c r="AW56" s="508">
        <f t="shared" si="56"/>
        <v>1.3699529813801436E-2</v>
      </c>
      <c r="AX56" s="1355">
        <f t="shared" si="57"/>
        <v>1.6302946981344697</v>
      </c>
      <c r="AY56" s="507">
        <f t="shared" si="58"/>
        <v>14.953073524286125</v>
      </c>
      <c r="AZ56" s="503">
        <f t="shared" si="59"/>
        <v>1.6713752835700105E-2</v>
      </c>
      <c r="BA56" s="502">
        <f t="shared" si="59"/>
        <v>1.5498726188406533E-2</v>
      </c>
      <c r="BB56" s="502">
        <f t="shared" si="59"/>
        <v>1.7601976032015288E-2</v>
      </c>
      <c r="BC56" s="508">
        <f t="shared" si="59"/>
        <v>1.8016985481201658E-2</v>
      </c>
      <c r="BE56" s="688"/>
    </row>
    <row r="57" spans="1:57" s="324" customFormat="1" ht="14.25">
      <c r="A57" s="509">
        <f t="shared" si="61"/>
        <v>19</v>
      </c>
      <c r="B57" s="509">
        <f t="shared" si="60"/>
        <v>2043</v>
      </c>
      <c r="C57" s="499">
        <f t="shared" si="37"/>
        <v>8.6371357666548437E-2</v>
      </c>
      <c r="D57" s="500">
        <f t="shared" si="37"/>
        <v>8.6721647798345153E-2</v>
      </c>
      <c r="E57" s="500">
        <f t="shared" si="37"/>
        <v>6.8763710847830076E-2</v>
      </c>
      <c r="F57" s="501">
        <f t="shared" si="37"/>
        <v>6.5488193138771411E-2</v>
      </c>
      <c r="G57" s="1343">
        <f t="shared" si="38"/>
        <v>0</v>
      </c>
      <c r="H57" s="1344">
        <f t="shared" si="38"/>
        <v>0</v>
      </c>
      <c r="I57" s="1344">
        <f t="shared" si="38"/>
        <v>0</v>
      </c>
      <c r="J57" s="1344">
        <f t="shared" si="38"/>
        <v>0</v>
      </c>
      <c r="K57" s="1343">
        <f t="shared" si="39"/>
        <v>2.2939965196670691E-5</v>
      </c>
      <c r="L57" s="1136">
        <f t="shared" si="40"/>
        <v>83.22164282889922</v>
      </c>
      <c r="M57" s="505">
        <f t="shared" si="40"/>
        <v>0</v>
      </c>
      <c r="N57" s="505">
        <f t="shared" si="40"/>
        <v>0</v>
      </c>
      <c r="O57" s="506">
        <f t="shared" si="41"/>
        <v>0</v>
      </c>
      <c r="P57" s="683">
        <f t="shared" si="42"/>
        <v>0</v>
      </c>
      <c r="Q57" s="683">
        <f t="shared" si="42"/>
        <v>0</v>
      </c>
      <c r="R57" s="1367">
        <f t="shared" si="42"/>
        <v>0</v>
      </c>
      <c r="S57" s="505" t="str">
        <f t="shared" si="43"/>
        <v/>
      </c>
      <c r="T57" s="505" t="str">
        <f t="shared" si="43"/>
        <v/>
      </c>
      <c r="U57" s="684" t="str">
        <f t="shared" si="44"/>
        <v/>
      </c>
      <c r="V57" s="504">
        <f t="shared" si="45"/>
        <v>107.25371504072396</v>
      </c>
      <c r="W57" s="505">
        <f t="shared" si="46"/>
        <v>0</v>
      </c>
      <c r="X57" s="506">
        <f t="shared" si="47"/>
        <v>130.39657741171101</v>
      </c>
      <c r="Y57" s="504">
        <f t="shared" si="62"/>
        <v>8.0245177689698721</v>
      </c>
      <c r="Z57" s="505">
        <f t="shared" si="62"/>
        <v>9.0601735353894295</v>
      </c>
      <c r="AA57" s="505">
        <f t="shared" si="62"/>
        <v>11.946920235764292</v>
      </c>
      <c r="AB57" s="505">
        <f t="shared" si="62"/>
        <v>10.937710368946702</v>
      </c>
      <c r="AC57" s="505">
        <f t="shared" si="62"/>
        <v>8.9442132539253318</v>
      </c>
      <c r="AD57" s="505">
        <f t="shared" si="62"/>
        <v>11.269430658006439</v>
      </c>
      <c r="AE57" s="506">
        <f t="shared" si="62"/>
        <v>10.640550971080188</v>
      </c>
      <c r="AF57" s="1348">
        <f t="shared" si="49"/>
        <v>3.0292167842168941E-3</v>
      </c>
      <c r="AG57" s="1343">
        <f t="shared" si="63"/>
        <v>0</v>
      </c>
      <c r="AH57" s="1344">
        <f t="shared" si="63"/>
        <v>0</v>
      </c>
      <c r="AI57" s="1344">
        <f t="shared" si="63"/>
        <v>0</v>
      </c>
      <c r="AJ57" s="1344">
        <f t="shared" si="63"/>
        <v>0</v>
      </c>
      <c r="AK57" s="1344">
        <f t="shared" si="63"/>
        <v>0</v>
      </c>
      <c r="AL57" s="1344">
        <f t="shared" si="63"/>
        <v>0</v>
      </c>
      <c r="AM57" s="1352">
        <f t="shared" si="63"/>
        <v>0</v>
      </c>
      <c r="AN57" s="504">
        <f t="shared" si="51"/>
        <v>35.631566957666379</v>
      </c>
      <c r="AO57" s="505">
        <f t="shared" si="51"/>
        <v>32.024918159808067</v>
      </c>
      <c r="AP57" s="505">
        <f t="shared" si="51"/>
        <v>30.676034519041291</v>
      </c>
      <c r="AQ57" s="501">
        <f t="shared" si="52"/>
        <v>1.8860670780520322E-2</v>
      </c>
      <c r="AR57" s="505">
        <f t="shared" si="53"/>
        <v>43.8635109016125</v>
      </c>
      <c r="AS57" s="506">
        <f t="shared" si="54"/>
        <v>54.437984539591092</v>
      </c>
      <c r="AT57" s="504">
        <f t="shared" si="54"/>
        <v>30.883055602291677</v>
      </c>
      <c r="AU57" s="505">
        <f t="shared" si="54"/>
        <v>33.302024970484538</v>
      </c>
      <c r="AV57" s="503">
        <f t="shared" si="55"/>
        <v>1.3699529813801436E-2</v>
      </c>
      <c r="AW57" s="508">
        <f t="shared" si="56"/>
        <v>1.3699529813801436E-2</v>
      </c>
      <c r="AX57" s="1355">
        <f t="shared" si="57"/>
        <v>1.6302946981344697</v>
      </c>
      <c r="AY57" s="507">
        <f t="shared" si="58"/>
        <v>14.953073524286125</v>
      </c>
      <c r="AZ57" s="503">
        <f t="shared" si="59"/>
        <v>1.5389514841163804E-2</v>
      </c>
      <c r="BA57" s="502">
        <f t="shared" si="59"/>
        <v>1.4119849773937806E-2</v>
      </c>
      <c r="BB57" s="502">
        <f t="shared" si="59"/>
        <v>1.6104996176898013E-2</v>
      </c>
      <c r="BC57" s="508">
        <f t="shared" si="59"/>
        <v>1.6442245295300729E-2</v>
      </c>
      <c r="BE57" s="688"/>
    </row>
    <row r="58" spans="1:57" s="324" customFormat="1" ht="14.25">
      <c r="A58" s="509">
        <f t="shared" si="61"/>
        <v>20</v>
      </c>
      <c r="B58" s="509">
        <f t="shared" si="60"/>
        <v>2044</v>
      </c>
      <c r="C58" s="499">
        <f t="shared" si="37"/>
        <v>8.7170143470002182E-2</v>
      </c>
      <c r="D58" s="500">
        <f t="shared" si="37"/>
        <v>8.7559706031169152E-2</v>
      </c>
      <c r="E58" s="500">
        <f t="shared" si="37"/>
        <v>6.9849687022785337E-2</v>
      </c>
      <c r="F58" s="501">
        <f t="shared" si="37"/>
        <v>6.6557559047530371E-2</v>
      </c>
      <c r="G58" s="1343">
        <f t="shared" si="38"/>
        <v>0</v>
      </c>
      <c r="H58" s="1344">
        <f t="shared" si="38"/>
        <v>0</v>
      </c>
      <c r="I58" s="1344">
        <f t="shared" si="38"/>
        <v>0</v>
      </c>
      <c r="J58" s="1344">
        <f t="shared" si="38"/>
        <v>0</v>
      </c>
      <c r="K58" s="1343">
        <f t="shared" si="39"/>
        <v>2.2998077164232482E-5</v>
      </c>
      <c r="L58" s="1136">
        <f t="shared" si="40"/>
        <v>85.825500844023992</v>
      </c>
      <c r="M58" s="505">
        <f t="shared" si="40"/>
        <v>0</v>
      </c>
      <c r="N58" s="505">
        <f t="shared" si="40"/>
        <v>0</v>
      </c>
      <c r="O58" s="506">
        <f t="shared" si="41"/>
        <v>0</v>
      </c>
      <c r="P58" s="683">
        <f t="shared" si="42"/>
        <v>0</v>
      </c>
      <c r="Q58" s="683">
        <f t="shared" si="42"/>
        <v>0</v>
      </c>
      <c r="R58" s="1367">
        <f t="shared" si="42"/>
        <v>0</v>
      </c>
      <c r="S58" s="505" t="str">
        <f t="shared" si="43"/>
        <v/>
      </c>
      <c r="T58" s="505" t="str">
        <f t="shared" si="43"/>
        <v/>
      </c>
      <c r="U58" s="684" t="str">
        <f t="shared" si="44"/>
        <v/>
      </c>
      <c r="V58" s="504">
        <f t="shared" si="45"/>
        <v>107.25371504072396</v>
      </c>
      <c r="W58" s="505">
        <f t="shared" si="46"/>
        <v>0</v>
      </c>
      <c r="X58" s="506">
        <f t="shared" si="47"/>
        <v>130.39657741171101</v>
      </c>
      <c r="Y58" s="504">
        <f t="shared" si="62"/>
        <v>8.0860589472339761</v>
      </c>
      <c r="Z58" s="505">
        <f t="shared" si="62"/>
        <v>9.114619481315545</v>
      </c>
      <c r="AA58" s="505">
        <f t="shared" si="62"/>
        <v>11.986406047287469</v>
      </c>
      <c r="AB58" s="505">
        <f t="shared" si="62"/>
        <v>10.982328425881224</v>
      </c>
      <c r="AC58" s="505">
        <f t="shared" si="62"/>
        <v>8.9986535657354683</v>
      </c>
      <c r="AD58" s="505">
        <f t="shared" si="62"/>
        <v>11.312761166411644</v>
      </c>
      <c r="AE58" s="506">
        <f t="shared" si="62"/>
        <v>10.686784753289571</v>
      </c>
      <c r="AF58" s="1348">
        <f t="shared" si="49"/>
        <v>3.0362459540649277E-3</v>
      </c>
      <c r="AG58" s="1343">
        <f t="shared" si="63"/>
        <v>0</v>
      </c>
      <c r="AH58" s="1344">
        <f t="shared" si="63"/>
        <v>0</v>
      </c>
      <c r="AI58" s="1344">
        <f t="shared" si="63"/>
        <v>0</v>
      </c>
      <c r="AJ58" s="1344">
        <f t="shared" si="63"/>
        <v>0</v>
      </c>
      <c r="AK58" s="1344">
        <f t="shared" si="63"/>
        <v>0</v>
      </c>
      <c r="AL58" s="1344">
        <f t="shared" si="63"/>
        <v>0</v>
      </c>
      <c r="AM58" s="1352">
        <f t="shared" si="63"/>
        <v>0</v>
      </c>
      <c r="AN58" s="504">
        <f t="shared" si="51"/>
        <v>35.861435830652709</v>
      </c>
      <c r="AO58" s="505">
        <f t="shared" si="51"/>
        <v>32.274051180885685</v>
      </c>
      <c r="AP58" s="505">
        <f t="shared" si="51"/>
        <v>30.916325414469277</v>
      </c>
      <c r="AQ58" s="501">
        <f t="shared" si="52"/>
        <v>1.8972088401538759E-2</v>
      </c>
      <c r="AR58" s="505">
        <f t="shared" si="53"/>
        <v>44.146486270844967</v>
      </c>
      <c r="AS58" s="506">
        <f t="shared" si="54"/>
        <v>54.662247308399621</v>
      </c>
      <c r="AT58" s="504">
        <f t="shared" si="54"/>
        <v>31.082290544558102</v>
      </c>
      <c r="AU58" s="505">
        <f t="shared" si="54"/>
        <v>33.516865338218651</v>
      </c>
      <c r="AV58" s="503">
        <f t="shared" si="55"/>
        <v>1.3699529813801436E-2</v>
      </c>
      <c r="AW58" s="508">
        <f t="shared" si="56"/>
        <v>1.3699529813801436E-2</v>
      </c>
      <c r="AX58" s="1355">
        <f t="shared" si="57"/>
        <v>1.6302946981344697</v>
      </c>
      <c r="AY58" s="507">
        <f t="shared" si="58"/>
        <v>14.953073524286125</v>
      </c>
      <c r="AZ58" s="503">
        <f t="shared" si="59"/>
        <v>1.4170196805861781E-2</v>
      </c>
      <c r="BA58" s="502">
        <f t="shared" si="59"/>
        <v>1.2863647967902406E-2</v>
      </c>
      <c r="BB58" s="502">
        <f t="shared" si="59"/>
        <v>1.4735328657767962E-2</v>
      </c>
      <c r="BC58" s="508">
        <f t="shared" si="59"/>
        <v>1.5005142266052818E-2</v>
      </c>
      <c r="BE58" s="688"/>
    </row>
    <row r="59" spans="1:57" s="324" customFormat="1" ht="14.25">
      <c r="A59" s="509">
        <f t="shared" si="61"/>
        <v>21</v>
      </c>
      <c r="B59" s="509">
        <f t="shared" si="60"/>
        <v>2045</v>
      </c>
      <c r="C59" s="499">
        <f t="shared" si="37"/>
        <v>8.8023746343555989E-2</v>
      </c>
      <c r="D59" s="500">
        <f t="shared" si="37"/>
        <v>8.8453572952761475E-2</v>
      </c>
      <c r="E59" s="500">
        <f t="shared" si="37"/>
        <v>7.1005230359868984E-2</v>
      </c>
      <c r="F59" s="501">
        <f t="shared" si="37"/>
        <v>6.769728890059537E-2</v>
      </c>
      <c r="G59" s="1343">
        <f t="shared" si="38"/>
        <v>0</v>
      </c>
      <c r="H59" s="1344">
        <f t="shared" si="38"/>
        <v>0</v>
      </c>
      <c r="I59" s="1344">
        <f t="shared" si="38"/>
        <v>0</v>
      </c>
      <c r="J59" s="1344">
        <f t="shared" si="38"/>
        <v>0</v>
      </c>
      <c r="K59" s="1343">
        <f t="shared" si="39"/>
        <v>2.3056336342164695E-5</v>
      </c>
      <c r="L59" s="1136">
        <f t="shared" si="40"/>
        <v>88.510828971158801</v>
      </c>
      <c r="M59" s="505">
        <f t="shared" si="40"/>
        <v>0</v>
      </c>
      <c r="N59" s="505">
        <f t="shared" si="40"/>
        <v>0</v>
      </c>
      <c r="O59" s="506">
        <f t="shared" si="41"/>
        <v>0</v>
      </c>
      <c r="P59" s="683">
        <f t="shared" si="42"/>
        <v>0</v>
      </c>
      <c r="Q59" s="683">
        <f t="shared" si="42"/>
        <v>0</v>
      </c>
      <c r="R59" s="1367">
        <f t="shared" si="42"/>
        <v>0</v>
      </c>
      <c r="S59" s="505" t="str">
        <f t="shared" si="43"/>
        <v/>
      </c>
      <c r="T59" s="505" t="str">
        <f t="shared" si="43"/>
        <v/>
      </c>
      <c r="U59" s="684" t="str">
        <f t="shared" si="44"/>
        <v/>
      </c>
      <c r="V59" s="504">
        <f t="shared" si="45"/>
        <v>107.25371504072396</v>
      </c>
      <c r="W59" s="505">
        <f t="shared" si="46"/>
        <v>0</v>
      </c>
      <c r="X59" s="506">
        <f t="shared" si="47"/>
        <v>130.39657741171101</v>
      </c>
      <c r="Y59" s="504">
        <f t="shared" si="62"/>
        <v>8.1480720936251618</v>
      </c>
      <c r="Z59" s="505">
        <f t="shared" si="62"/>
        <v>9.1693926131411576</v>
      </c>
      <c r="AA59" s="505">
        <f t="shared" si="62"/>
        <v>12.026022363516534</v>
      </c>
      <c r="AB59" s="505">
        <f t="shared" si="62"/>
        <v>11.027128492664009</v>
      </c>
      <c r="AC59" s="505">
        <f t="shared" si="62"/>
        <v>9.0534252367681365</v>
      </c>
      <c r="AD59" s="505">
        <f t="shared" si="62"/>
        <v>11.356258278881921</v>
      </c>
      <c r="AE59" s="506">
        <f t="shared" si="62"/>
        <v>10.733219423838589</v>
      </c>
      <c r="AF59" s="1348">
        <f t="shared" si="49"/>
        <v>3.0432914348052717E-3</v>
      </c>
      <c r="AG59" s="1343">
        <f t="shared" si="63"/>
        <v>0</v>
      </c>
      <c r="AH59" s="1344">
        <f t="shared" si="63"/>
        <v>0</v>
      </c>
      <c r="AI59" s="1344">
        <f t="shared" si="63"/>
        <v>0</v>
      </c>
      <c r="AJ59" s="1344">
        <f t="shared" si="63"/>
        <v>0</v>
      </c>
      <c r="AK59" s="1344">
        <f t="shared" si="63"/>
        <v>0</v>
      </c>
      <c r="AL59" s="1344">
        <f t="shared" si="63"/>
        <v>0</v>
      </c>
      <c r="AM59" s="1352">
        <f t="shared" si="63"/>
        <v>0</v>
      </c>
      <c r="AN59" s="504">
        <f t="shared" si="51"/>
        <v>36.092787649893715</v>
      </c>
      <c r="AO59" s="505">
        <f t="shared" si="51"/>
        <v>32.525122294728483</v>
      </c>
      <c r="AP59" s="505">
        <f t="shared" si="51"/>
        <v>31.158498551697122</v>
      </c>
      <c r="AQ59" s="501">
        <f t="shared" si="52"/>
        <v>1.9084164211569554E-2</v>
      </c>
      <c r="AR59" s="505">
        <f t="shared" si="53"/>
        <v>44.431287190699052</v>
      </c>
      <c r="AS59" s="506">
        <f t="shared" si="54"/>
        <v>54.887433950307042</v>
      </c>
      <c r="AT59" s="504">
        <f t="shared" si="54"/>
        <v>31.282810805308912</v>
      </c>
      <c r="AU59" s="505">
        <f t="shared" si="54"/>
        <v>33.733091699256455</v>
      </c>
      <c r="AV59" s="503">
        <f t="shared" si="55"/>
        <v>1.3699529813801436E-2</v>
      </c>
      <c r="AW59" s="508">
        <f t="shared" si="56"/>
        <v>1.3699529813801436E-2</v>
      </c>
      <c r="AX59" s="1355">
        <f t="shared" si="57"/>
        <v>1.6302946981344697</v>
      </c>
      <c r="AY59" s="507">
        <f t="shared" si="58"/>
        <v>14.953073524286125</v>
      </c>
      <c r="AZ59" s="503">
        <f t="shared" si="59"/>
        <v>1.3047485875238334E-2</v>
      </c>
      <c r="BA59" s="502">
        <f t="shared" si="59"/>
        <v>1.1719206768583894E-2</v>
      </c>
      <c r="BB59" s="502">
        <f t="shared" si="59"/>
        <v>1.3482146053775668E-2</v>
      </c>
      <c r="BC59" s="508">
        <f t="shared" si="59"/>
        <v>1.3693646480802403E-2</v>
      </c>
      <c r="BE59" s="688"/>
    </row>
    <row r="60" spans="1:57" s="324" customFormat="1" ht="14.25">
      <c r="A60" s="509">
        <f t="shared" si="61"/>
        <v>22</v>
      </c>
      <c r="B60" s="509">
        <f t="shared" si="60"/>
        <v>2046</v>
      </c>
      <c r="C60" s="499">
        <f t="shared" si="37"/>
        <v>8.892718714431759E-2</v>
      </c>
      <c r="D60" s="500">
        <f t="shared" si="37"/>
        <v>8.9398288972409742E-2</v>
      </c>
      <c r="E60" s="500">
        <f t="shared" si="37"/>
        <v>7.2225787437033936E-2</v>
      </c>
      <c r="F60" s="501">
        <f t="shared" si="37"/>
        <v>6.8902871158725509E-2</v>
      </c>
      <c r="G60" s="1343">
        <f t="shared" si="38"/>
        <v>0</v>
      </c>
      <c r="H60" s="1344">
        <f t="shared" si="38"/>
        <v>0</v>
      </c>
      <c r="I60" s="1344">
        <f t="shared" si="38"/>
        <v>0</v>
      </c>
      <c r="J60" s="1344">
        <f t="shared" si="38"/>
        <v>0</v>
      </c>
      <c r="K60" s="1343">
        <f t="shared" si="39"/>
        <v>2.3114743103383497E-5</v>
      </c>
      <c r="L60" s="1136">
        <f t="shared" si="40"/>
        <v>91.28017626601725</v>
      </c>
      <c r="M60" s="505">
        <f t="shared" si="40"/>
        <v>0</v>
      </c>
      <c r="N60" s="505">
        <f t="shared" si="40"/>
        <v>0</v>
      </c>
      <c r="O60" s="506">
        <f t="shared" si="41"/>
        <v>0</v>
      </c>
      <c r="P60" s="683">
        <f t="shared" si="42"/>
        <v>0</v>
      </c>
      <c r="Q60" s="683">
        <f t="shared" si="42"/>
        <v>0</v>
      </c>
      <c r="R60" s="1367">
        <f t="shared" si="42"/>
        <v>0</v>
      </c>
      <c r="S60" s="505" t="str">
        <f t="shared" si="43"/>
        <v/>
      </c>
      <c r="T60" s="505" t="str">
        <f t="shared" si="43"/>
        <v/>
      </c>
      <c r="U60" s="684" t="str">
        <f t="shared" si="44"/>
        <v/>
      </c>
      <c r="V60" s="504">
        <f t="shared" si="45"/>
        <v>107.25371504072396</v>
      </c>
      <c r="W60" s="505">
        <f t="shared" si="46"/>
        <v>0</v>
      </c>
      <c r="X60" s="506">
        <f t="shared" si="47"/>
        <v>130.39657741171101</v>
      </c>
      <c r="Y60" s="504">
        <f t="shared" si="62"/>
        <v>8.2105608277347173</v>
      </c>
      <c r="Z60" s="505">
        <f t="shared" si="62"/>
        <v>9.2244948970477907</v>
      </c>
      <c r="AA60" s="505">
        <f t="shared" si="62"/>
        <v>12.06576961578309</v>
      </c>
      <c r="AB60" s="505">
        <f t="shared" si="62"/>
        <v>11.072111311765418</v>
      </c>
      <c r="AC60" s="505">
        <f t="shared" si="62"/>
        <v>9.1085302838915503</v>
      </c>
      <c r="AD60" s="505">
        <f t="shared" si="62"/>
        <v>11.399922636003209</v>
      </c>
      <c r="AE60" s="506">
        <f t="shared" si="62"/>
        <v>10.779855855598184</v>
      </c>
      <c r="AF60" s="1348">
        <f t="shared" si="49"/>
        <v>3.0503532642866646E-3</v>
      </c>
      <c r="AG60" s="1343">
        <f t="shared" si="63"/>
        <v>0</v>
      </c>
      <c r="AH60" s="1344">
        <f t="shared" si="63"/>
        <v>0</v>
      </c>
      <c r="AI60" s="1344">
        <f t="shared" si="63"/>
        <v>0</v>
      </c>
      <c r="AJ60" s="1344">
        <f t="shared" si="63"/>
        <v>0</v>
      </c>
      <c r="AK60" s="1344">
        <f t="shared" si="63"/>
        <v>0</v>
      </c>
      <c r="AL60" s="1344">
        <f t="shared" si="63"/>
        <v>0</v>
      </c>
      <c r="AM60" s="1352">
        <f t="shared" si="63"/>
        <v>0</v>
      </c>
      <c r="AN60" s="504">
        <f t="shared" si="51"/>
        <v>36.325631982276654</v>
      </c>
      <c r="AO60" s="505">
        <f t="shared" si="51"/>
        <v>32.778146578436854</v>
      </c>
      <c r="AP60" s="505">
        <f t="shared" si="51"/>
        <v>31.402568674663353</v>
      </c>
      <c r="AQ60" s="501">
        <f t="shared" si="52"/>
        <v>1.9196902098801774E-2</v>
      </c>
      <c r="AR60" s="505">
        <f t="shared" si="53"/>
        <v>44.71792543829541</v>
      </c>
      <c r="AS60" s="506">
        <f t="shared" si="54"/>
        <v>55.113548271301774</v>
      </c>
      <c r="AT60" s="504">
        <f t="shared" si="54"/>
        <v>31.484624676481193</v>
      </c>
      <c r="AU60" s="505">
        <f t="shared" si="54"/>
        <v>33.9507129950155</v>
      </c>
      <c r="AV60" s="503">
        <f t="shared" si="55"/>
        <v>1.3699529813801436E-2</v>
      </c>
      <c r="AW60" s="508">
        <f t="shared" si="56"/>
        <v>1.3699529813801436E-2</v>
      </c>
      <c r="AX60" s="1355">
        <f t="shared" si="57"/>
        <v>1.6302946981344697</v>
      </c>
      <c r="AY60" s="507">
        <f t="shared" si="58"/>
        <v>14.953073524286125</v>
      </c>
      <c r="AZ60" s="503">
        <f t="shared" si="59"/>
        <v>1.2013727825863504E-2</v>
      </c>
      <c r="BA60" s="502">
        <f t="shared" si="59"/>
        <v>1.0676583161130898E-2</v>
      </c>
      <c r="BB60" s="502">
        <f t="shared" si="59"/>
        <v>1.2335541774259429E-2</v>
      </c>
      <c r="BC60" s="508">
        <f t="shared" si="59"/>
        <v>1.2496779478420709E-2</v>
      </c>
      <c r="BE60" s="688"/>
    </row>
    <row r="61" spans="1:57" s="324" customFormat="1" ht="14.25">
      <c r="A61" s="509">
        <f t="shared" si="61"/>
        <v>23</v>
      </c>
      <c r="B61" s="509">
        <f t="shared" si="60"/>
        <v>2047</v>
      </c>
      <c r="C61" s="499">
        <f t="shared" si="37"/>
        <v>8.987615608802299E-2</v>
      </c>
      <c r="D61" s="500">
        <f t="shared" si="37"/>
        <v>9.0389564204376799E-2</v>
      </c>
      <c r="E61" s="500">
        <f t="shared" si="37"/>
        <v>7.3507484678667162E-2</v>
      </c>
      <c r="F61" s="501">
        <f t="shared" si="37"/>
        <v>7.0170475560739243E-2</v>
      </c>
      <c r="G61" s="1343">
        <f t="shared" si="38"/>
        <v>0</v>
      </c>
      <c r="H61" s="1344">
        <f t="shared" si="38"/>
        <v>0</v>
      </c>
      <c r="I61" s="1344">
        <f t="shared" si="38"/>
        <v>0</v>
      </c>
      <c r="J61" s="1344">
        <f t="shared" si="38"/>
        <v>0</v>
      </c>
      <c r="K61" s="1343">
        <f t="shared" si="39"/>
        <v>2.3173297821749762E-5</v>
      </c>
      <c r="L61" s="1136">
        <f t="shared" si="40"/>
        <v>94.13617153975791</v>
      </c>
      <c r="M61" s="505">
        <f t="shared" si="40"/>
        <v>0</v>
      </c>
      <c r="N61" s="505">
        <f t="shared" si="40"/>
        <v>0</v>
      </c>
      <c r="O61" s="506">
        <f t="shared" si="41"/>
        <v>0</v>
      </c>
      <c r="P61" s="683">
        <f t="shared" si="42"/>
        <v>0</v>
      </c>
      <c r="Q61" s="683">
        <f t="shared" si="42"/>
        <v>0</v>
      </c>
      <c r="R61" s="1367">
        <f t="shared" si="42"/>
        <v>0</v>
      </c>
      <c r="S61" s="505" t="str">
        <f t="shared" si="43"/>
        <v/>
      </c>
      <c r="T61" s="505" t="str">
        <f t="shared" si="43"/>
        <v/>
      </c>
      <c r="U61" s="684" t="str">
        <f t="shared" si="44"/>
        <v/>
      </c>
      <c r="V61" s="504">
        <f t="shared" si="45"/>
        <v>107.25371504072396</v>
      </c>
      <c r="W61" s="505">
        <f t="shared" si="46"/>
        <v>0</v>
      </c>
      <c r="X61" s="506">
        <f t="shared" si="47"/>
        <v>130.39657741171101</v>
      </c>
      <c r="Y61" s="504">
        <f t="shared" si="62"/>
        <v>8.2735287969131033</v>
      </c>
      <c r="Z61" s="505">
        <f t="shared" si="62"/>
        <v>9.2799283110324815</v>
      </c>
      <c r="AA61" s="505">
        <f t="shared" si="62"/>
        <v>12.105648236844326</v>
      </c>
      <c r="AB61" s="505">
        <f t="shared" si="62"/>
        <v>11.117277628684569</v>
      </c>
      <c r="AC61" s="505">
        <f t="shared" si="62"/>
        <v>9.1639707362498957</v>
      </c>
      <c r="AD61" s="505">
        <f t="shared" si="62"/>
        <v>11.443754880824478</v>
      </c>
      <c r="AE61" s="506">
        <f t="shared" si="62"/>
        <v>10.826694925231967</v>
      </c>
      <c r="AF61" s="1348">
        <f t="shared" si="49"/>
        <v>3.0574314804456704E-3</v>
      </c>
      <c r="AG61" s="1343">
        <f t="shared" si="63"/>
        <v>0</v>
      </c>
      <c r="AH61" s="1344">
        <f t="shared" si="63"/>
        <v>0</v>
      </c>
      <c r="AI61" s="1344">
        <f t="shared" si="63"/>
        <v>0</v>
      </c>
      <c r="AJ61" s="1344">
        <f t="shared" si="63"/>
        <v>0</v>
      </c>
      <c r="AK61" s="1344">
        <f t="shared" si="63"/>
        <v>0</v>
      </c>
      <c r="AL61" s="1344">
        <f t="shared" si="63"/>
        <v>0</v>
      </c>
      <c r="AM61" s="1352">
        <f t="shared" si="63"/>
        <v>0</v>
      </c>
      <c r="AN61" s="504">
        <f t="shared" si="51"/>
        <v>36.559978456407379</v>
      </c>
      <c r="AO61" s="505">
        <f t="shared" si="51"/>
        <v>33.033139226401197</v>
      </c>
      <c r="AP61" s="505">
        <f t="shared" si="51"/>
        <v>31.64855064279844</v>
      </c>
      <c r="AQ61" s="501">
        <f t="shared" si="52"/>
        <v>1.931030597439359E-2</v>
      </c>
      <c r="AR61" s="505">
        <f t="shared" si="53"/>
        <v>45.00641286673212</v>
      </c>
      <c r="AS61" s="506">
        <f t="shared" si="54"/>
        <v>55.340594093051401</v>
      </c>
      <c r="AT61" s="504">
        <f t="shared" si="54"/>
        <v>31.687740503505555</v>
      </c>
      <c r="AU61" s="505">
        <f t="shared" si="54"/>
        <v>34.169738224596856</v>
      </c>
      <c r="AV61" s="503">
        <f t="shared" si="55"/>
        <v>1.3699529813801436E-2</v>
      </c>
      <c r="AW61" s="508">
        <f t="shared" si="56"/>
        <v>1.3699529813801436E-2</v>
      </c>
      <c r="AX61" s="1355">
        <f t="shared" si="57"/>
        <v>1.6302946981344697</v>
      </c>
      <c r="AY61" s="507">
        <f t="shared" si="58"/>
        <v>14.953073524286125</v>
      </c>
      <c r="AZ61" s="503">
        <f t="shared" si="59"/>
        <v>1.1061874881799069E-2</v>
      </c>
      <c r="BA61" s="502">
        <f t="shared" si="59"/>
        <v>9.7267187316909115E-3</v>
      </c>
      <c r="BB61" s="502">
        <f t="shared" si="59"/>
        <v>1.1286451745705984E-2</v>
      </c>
      <c r="BC61" s="508">
        <f t="shared" si="59"/>
        <v>1.1404522349194304E-2</v>
      </c>
      <c r="BE61" s="688"/>
    </row>
    <row r="62" spans="1:57" s="324" customFormat="1" ht="14.25">
      <c r="A62" s="509">
        <f t="shared" si="61"/>
        <v>24</v>
      </c>
      <c r="B62" s="509">
        <f t="shared" si="60"/>
        <v>2048</v>
      </c>
      <c r="C62" s="499">
        <f t="shared" si="37"/>
        <v>9.08669268390844E-2</v>
      </c>
      <c r="D62" s="500">
        <f t="shared" si="37"/>
        <v>9.1423692563725553E-2</v>
      </c>
      <c r="E62" s="500">
        <f t="shared" si="37"/>
        <v>7.4847042686645299E-2</v>
      </c>
      <c r="F62" s="501">
        <f t="shared" si="37"/>
        <v>7.1496867496751743E-2</v>
      </c>
      <c r="G62" s="1343">
        <f t="shared" si="38"/>
        <v>0</v>
      </c>
      <c r="H62" s="1344">
        <f t="shared" si="38"/>
        <v>0</v>
      </c>
      <c r="I62" s="1344">
        <f t="shared" si="38"/>
        <v>0</v>
      </c>
      <c r="J62" s="1344">
        <f t="shared" si="38"/>
        <v>0</v>
      </c>
      <c r="K62" s="1343">
        <f t="shared" si="39"/>
        <v>2.3232000872071428E-5</v>
      </c>
      <c r="L62" s="1136">
        <f t="shared" si="40"/>
        <v>97.081525854391074</v>
      </c>
      <c r="M62" s="505">
        <f t="shared" si="40"/>
        <v>0</v>
      </c>
      <c r="N62" s="505">
        <f t="shared" si="40"/>
        <v>0</v>
      </c>
      <c r="O62" s="506">
        <f t="shared" si="41"/>
        <v>0</v>
      </c>
      <c r="P62" s="683">
        <f t="shared" si="42"/>
        <v>0</v>
      </c>
      <c r="Q62" s="683">
        <f t="shared" si="42"/>
        <v>0</v>
      </c>
      <c r="R62" s="1367">
        <f t="shared" si="42"/>
        <v>0</v>
      </c>
      <c r="S62" s="505" t="str">
        <f t="shared" si="43"/>
        <v/>
      </c>
      <c r="T62" s="505" t="str">
        <f t="shared" si="43"/>
        <v/>
      </c>
      <c r="U62" s="684" t="str">
        <f t="shared" si="44"/>
        <v/>
      </c>
      <c r="V62" s="504">
        <f t="shared" si="45"/>
        <v>107.25371504072396</v>
      </c>
      <c r="W62" s="505">
        <f t="shared" si="46"/>
        <v>0</v>
      </c>
      <c r="X62" s="506">
        <f t="shared" si="47"/>
        <v>130.39657741171101</v>
      </c>
      <c r="Y62" s="504">
        <f t="shared" si="62"/>
        <v>8.3369796764828301</v>
      </c>
      <c r="Z62" s="505">
        <f t="shared" si="62"/>
        <v>9.3356948449787858</v>
      </c>
      <c r="AA62" s="505">
        <f t="shared" si="62"/>
        <v>12.145658660887753</v>
      </c>
      <c r="AB62" s="505">
        <f t="shared" si="62"/>
        <v>11.162628191961671</v>
      </c>
      <c r="AC62" s="505">
        <f t="shared" si="62"/>
        <v>9.2197486353380516</v>
      </c>
      <c r="AD62" s="505">
        <f t="shared" si="62"/>
        <v>11.48775565886719</v>
      </c>
      <c r="AE62" s="506">
        <f t="shared" si="62"/>
        <v>10.873737513212708</v>
      </c>
      <c r="AF62" s="1348">
        <f t="shared" si="49"/>
        <v>3.0645261213068831E-3</v>
      </c>
      <c r="AG62" s="1343">
        <f t="shared" si="63"/>
        <v>0</v>
      </c>
      <c r="AH62" s="1344">
        <f t="shared" si="63"/>
        <v>0</v>
      </c>
      <c r="AI62" s="1344">
        <f t="shared" si="63"/>
        <v>0</v>
      </c>
      <c r="AJ62" s="1344">
        <f t="shared" si="63"/>
        <v>0</v>
      </c>
      <c r="AK62" s="1344">
        <f t="shared" si="63"/>
        <v>0</v>
      </c>
      <c r="AL62" s="1344">
        <f t="shared" si="63"/>
        <v>0</v>
      </c>
      <c r="AM62" s="1352">
        <f t="shared" si="63"/>
        <v>0</v>
      </c>
      <c r="AN62" s="504">
        <f t="shared" si="51"/>
        <v>36.795836763008481</v>
      </c>
      <c r="AO62" s="505">
        <f t="shared" si="51"/>
        <v>33.290115551214384</v>
      </c>
      <c r="AP62" s="505">
        <f t="shared" si="51"/>
        <v>31.896459431929433</v>
      </c>
      <c r="AQ62" s="501">
        <f t="shared" si="52"/>
        <v>1.942437977260798E-2</v>
      </c>
      <c r="AR62" s="505">
        <f t="shared" si="53"/>
        <v>45.296761405574792</v>
      </c>
      <c r="AS62" s="506">
        <f t="shared" si="54"/>
        <v>55.568575252967243</v>
      </c>
      <c r="AT62" s="504">
        <f t="shared" si="54"/>
        <v>31.89216668565124</v>
      </c>
      <c r="AU62" s="505">
        <f t="shared" si="54"/>
        <v>34.390176445157238</v>
      </c>
      <c r="AV62" s="503">
        <f t="shared" si="55"/>
        <v>1.3699529813801436E-2</v>
      </c>
      <c r="AW62" s="508">
        <f t="shared" si="56"/>
        <v>1.3699529813801436E-2</v>
      </c>
      <c r="AX62" s="1355">
        <f t="shared" si="57"/>
        <v>1.6302946981344697</v>
      </c>
      <c r="AY62" s="507">
        <f t="shared" si="58"/>
        <v>14.953073524286125</v>
      </c>
      <c r="AZ62" s="503">
        <f t="shared" si="59"/>
        <v>1.0185437665496802E-2</v>
      </c>
      <c r="BA62" s="502">
        <f t="shared" si="59"/>
        <v>8.861360967042339E-3</v>
      </c>
      <c r="BB62" s="502">
        <f t="shared" si="59"/>
        <v>1.0326582758931741E-2</v>
      </c>
      <c r="BC62" s="508">
        <f t="shared" si="59"/>
        <v>1.0407731867067341E-2</v>
      </c>
      <c r="BE62" s="688"/>
    </row>
    <row r="63" spans="1:57" s="324" customFormat="1" ht="14.25">
      <c r="A63" s="509">
        <f t="shared" si="61"/>
        <v>25</v>
      </c>
      <c r="B63" s="509">
        <f t="shared" si="60"/>
        <v>2049</v>
      </c>
      <c r="C63" s="499">
        <f t="shared" si="37"/>
        <v>9.1896281678541483E-2</v>
      </c>
      <c r="D63" s="500">
        <f t="shared" si="37"/>
        <v>9.2497476940140114E-2</v>
      </c>
      <c r="E63" s="500">
        <f t="shared" si="37"/>
        <v>7.6241701654635549E-2</v>
      </c>
      <c r="F63" s="501">
        <f t="shared" si="37"/>
        <v>7.2879333465809479E-2</v>
      </c>
      <c r="G63" s="1343">
        <f t="shared" si="38"/>
        <v>0</v>
      </c>
      <c r="H63" s="1344">
        <f t="shared" si="38"/>
        <v>0</v>
      </c>
      <c r="I63" s="1344">
        <f t="shared" si="38"/>
        <v>0</v>
      </c>
      <c r="J63" s="1344">
        <f t="shared" si="38"/>
        <v>0</v>
      </c>
      <c r="K63" s="1343">
        <f t="shared" si="39"/>
        <v>2.3290852630105881E-5</v>
      </c>
      <c r="L63" s="1136">
        <f t="shared" si="40"/>
        <v>100.11903509626242</v>
      </c>
      <c r="M63" s="505">
        <f t="shared" si="40"/>
        <v>0</v>
      </c>
      <c r="N63" s="505">
        <f t="shared" si="40"/>
        <v>0</v>
      </c>
      <c r="O63" s="603">
        <f t="shared" si="41"/>
        <v>0</v>
      </c>
      <c r="P63" s="683">
        <f t="shared" si="42"/>
        <v>0</v>
      </c>
      <c r="Q63" s="683">
        <f t="shared" si="42"/>
        <v>0</v>
      </c>
      <c r="R63" s="1368">
        <f t="shared" si="42"/>
        <v>0</v>
      </c>
      <c r="S63" s="505" t="str">
        <f t="shared" si="43"/>
        <v/>
      </c>
      <c r="T63" s="505" t="str">
        <f t="shared" si="43"/>
        <v/>
      </c>
      <c r="U63" s="684" t="str">
        <f t="shared" si="44"/>
        <v/>
      </c>
      <c r="V63" s="504">
        <f t="shared" si="45"/>
        <v>107.25371504072396</v>
      </c>
      <c r="W63" s="505">
        <f t="shared" si="46"/>
        <v>0</v>
      </c>
      <c r="X63" s="506">
        <f t="shared" si="47"/>
        <v>130.39657741171101</v>
      </c>
      <c r="Y63" s="504">
        <f t="shared" si="62"/>
        <v>8.4009171699529848</v>
      </c>
      <c r="Z63" s="505">
        <f t="shared" si="62"/>
        <v>9.3917965007282049</v>
      </c>
      <c r="AA63" s="505">
        <f t="shared" si="62"/>
        <v>12.185801323535902</v>
      </c>
      <c r="AB63" s="505">
        <f t="shared" si="62"/>
        <v>11.208163753190451</v>
      </c>
      <c r="AC63" s="505">
        <f t="shared" si="62"/>
        <v>9.2758660350767723</v>
      </c>
      <c r="AD63" s="505">
        <f t="shared" si="62"/>
        <v>11.531925618134819</v>
      </c>
      <c r="AE63" s="506">
        <f t="shared" si="62"/>
        <v>10.920984503838874</v>
      </c>
      <c r="AF63" s="1353">
        <f t="shared" si="49"/>
        <v>3.0716372249831327E-3</v>
      </c>
      <c r="AG63" s="1346">
        <f t="shared" si="63"/>
        <v>0</v>
      </c>
      <c r="AH63" s="1347">
        <f t="shared" si="63"/>
        <v>0</v>
      </c>
      <c r="AI63" s="1347">
        <f t="shared" si="63"/>
        <v>0</v>
      </c>
      <c r="AJ63" s="1347">
        <f t="shared" si="63"/>
        <v>0</v>
      </c>
      <c r="AK63" s="1347">
        <f t="shared" si="63"/>
        <v>0</v>
      </c>
      <c r="AL63" s="1347">
        <f t="shared" si="63"/>
        <v>0</v>
      </c>
      <c r="AM63" s="1354">
        <f t="shared" si="63"/>
        <v>0</v>
      </c>
      <c r="AN63" s="504">
        <f t="shared" si="51"/>
        <v>37.033216655320004</v>
      </c>
      <c r="AO63" s="505">
        <f t="shared" si="51"/>
        <v>33.549090984591309</v>
      </c>
      <c r="AP63" s="505">
        <f t="shared" si="51"/>
        <v>32.146310135191719</v>
      </c>
      <c r="AQ63" s="501">
        <f t="shared" si="52"/>
        <v>1.9539127450949195E-2</v>
      </c>
      <c r="AR63" s="505">
        <f t="shared" si="53"/>
        <v>45.588983061349879</v>
      </c>
      <c r="AS63" s="506">
        <f t="shared" si="54"/>
        <v>55.797495604269244</v>
      </c>
      <c r="AT63" s="504">
        <f t="shared" si="54"/>
        <v>32.09791167637345</v>
      </c>
      <c r="AU63" s="505">
        <f t="shared" si="54"/>
        <v>34.612036772283503</v>
      </c>
      <c r="AV63" s="503">
        <f t="shared" si="55"/>
        <v>1.3699529813801436E-2</v>
      </c>
      <c r="AW63" s="508">
        <f t="shared" si="56"/>
        <v>1.3699529813801436E-2</v>
      </c>
      <c r="AX63" s="1355">
        <f t="shared" si="57"/>
        <v>1.6302946981344697</v>
      </c>
      <c r="AY63" s="507">
        <f t="shared" si="58"/>
        <v>14.953073524286125</v>
      </c>
      <c r="AZ63" s="503">
        <f t="shared" si="59"/>
        <v>9.3784409556482429E-3</v>
      </c>
      <c r="BA63" s="502">
        <f t="shared" si="59"/>
        <v>8.0729915559685176E-3</v>
      </c>
      <c r="BB63" s="502">
        <f t="shared" si="59"/>
        <v>9.44834691005857E-3</v>
      </c>
      <c r="BC63" s="508">
        <f t="shared" si="59"/>
        <v>9.4980639521848615E-3</v>
      </c>
      <c r="BE63" s="688"/>
    </row>
    <row r="64" spans="1:57" ht="20.25">
      <c r="A64" s="1589" t="str">
        <f>Year3&amp;", "&amp;Year3&amp;"$"</f>
        <v>2026, 2026$</v>
      </c>
      <c r="B64" s="1590"/>
      <c r="C64" s="496"/>
      <c r="D64" s="496"/>
      <c r="E64" s="496"/>
      <c r="F64" s="496"/>
      <c r="G64" s="1172" t="s">
        <v>684</v>
      </c>
      <c r="H64" s="1123"/>
      <c r="I64" s="1123"/>
      <c r="J64" s="1123"/>
      <c r="K64" s="1173" t="s">
        <v>684</v>
      </c>
      <c r="L64" s="1137"/>
      <c r="M64" s="1137"/>
      <c r="N64" s="1123"/>
      <c r="O64" s="496"/>
      <c r="P64" s="682" t="s">
        <v>684</v>
      </c>
      <c r="Q64" s="682" t="s">
        <v>684</v>
      </c>
      <c r="R64" s="682" t="s">
        <v>684</v>
      </c>
      <c r="S64" s="682" t="s">
        <v>684</v>
      </c>
      <c r="T64" s="682" t="s">
        <v>684</v>
      </c>
      <c r="U64" s="682" t="s">
        <v>684</v>
      </c>
      <c r="V64" s="1466"/>
      <c r="W64" s="496"/>
      <c r="X64" s="496"/>
      <c r="Y64" s="496"/>
      <c r="Z64" s="496"/>
      <c r="AA64" s="496"/>
      <c r="AB64" s="496"/>
      <c r="AC64" s="496"/>
      <c r="AD64" s="496"/>
      <c r="AE64" s="496"/>
      <c r="AF64" s="1173" t="s">
        <v>684</v>
      </c>
      <c r="AG64" s="1173" t="s">
        <v>684</v>
      </c>
      <c r="AH64" s="1123"/>
      <c r="AI64" s="1123"/>
      <c r="AJ64" s="1123"/>
      <c r="AK64" s="1123"/>
      <c r="AL64" s="1123"/>
      <c r="AM64" s="1123"/>
      <c r="AN64" s="496"/>
      <c r="AO64" s="496"/>
      <c r="AP64" s="496"/>
      <c r="AQ64" s="496"/>
      <c r="AR64" s="496"/>
      <c r="AS64" s="496"/>
      <c r="AT64" s="496"/>
      <c r="AU64" s="496"/>
      <c r="AV64" s="496"/>
      <c r="AW64" s="496"/>
      <c r="AX64" s="1123"/>
      <c r="AY64" s="496"/>
      <c r="AZ64" s="496"/>
      <c r="BA64" s="496"/>
      <c r="BB64" s="496"/>
      <c r="BC64" s="497"/>
      <c r="BE64" s="681"/>
    </row>
    <row r="65" spans="1:57" s="201" customFormat="1" ht="14.25">
      <c r="A65" s="498">
        <v>1</v>
      </c>
      <c r="B65" s="498">
        <f>Year3</f>
        <v>2026</v>
      </c>
      <c r="C65" s="499">
        <f t="shared" ref="C65:F89" si="64">VLOOKUP($B65,$B$184:$CR$216,C$6,FALSE)*(1+Inflation3)^(Year3-Real_Year)</f>
        <v>8.4601629240183246E-2</v>
      </c>
      <c r="D65" s="500">
        <f t="shared" si="64"/>
        <v>8.0880739835660145E-2</v>
      </c>
      <c r="E65" s="500">
        <f t="shared" si="64"/>
        <v>6.0498577942118437E-2</v>
      </c>
      <c r="F65" s="501">
        <f t="shared" si="64"/>
        <v>5.4980880439899946E-2</v>
      </c>
      <c r="G65" s="1345">
        <f t="shared" ref="G65:J89" si="65">IF(ED="Yes",VLOOKUP($B65-5,$B$184:$CK$216,G$6,FALSE)*(1+Inflation3)^(Year3-Real_Year),"")</f>
        <v>4.3405795598879752E-3</v>
      </c>
      <c r="H65" s="1344">
        <f t="shared" si="65"/>
        <v>3.3682062480021569E-3</v>
      </c>
      <c r="I65" s="1344">
        <f t="shared" si="65"/>
        <v>2.9304588726802978E-3</v>
      </c>
      <c r="J65" s="1344">
        <f t="shared" si="65"/>
        <v>1.670217956396911E-3</v>
      </c>
      <c r="K65" s="1345">
        <f t="shared" ref="K65:K89" si="66">IF(ECD="Yes",VLOOKUP($B65-5,$B$184:$CK$216,K$6,FALSE)*(1+Inflation3)^(Year3-Real_Year),"")</f>
        <v>1.676517240209018E-3</v>
      </c>
      <c r="L65" s="1136">
        <f t="shared" ref="L65:N89" si="67">VLOOKUP($B65,$B$184:$CR$216,L$6,FALSE)*(1+Inflation3)^(Year3-Real_Year)</f>
        <v>54.352466175241098</v>
      </c>
      <c r="M65" s="505">
        <f t="shared" si="67"/>
        <v>19.840093660761326</v>
      </c>
      <c r="N65" s="505">
        <f t="shared" si="67"/>
        <v>19.840093660761326</v>
      </c>
      <c r="O65" s="1130">
        <f t="shared" ref="O65:O89" si="68">0*((1+Inflation3)^(Year3-Real_Year))</f>
        <v>0</v>
      </c>
      <c r="P65" s="683">
        <f t="shared" ref="P65:R89" si="69">IF(CD="Yes",VLOOKUP($B65-5,$B$184:$CR$216,P$6,FALSE)*(1+Inflation3)^(Year3-Real_Year),"")</f>
        <v>18.140238060456273</v>
      </c>
      <c r="Q65" s="683">
        <f t="shared" si="69"/>
        <v>0</v>
      </c>
      <c r="R65" s="1366">
        <f t="shared" si="69"/>
        <v>0</v>
      </c>
      <c r="S65" s="505"/>
      <c r="T65" s="505"/>
      <c r="U65" s="684" t="str">
        <f t="shared" ref="U65:U89" si="70">IF(Reliability="Yes",VLOOKUP($B65-5,$B$184:$CR$216,U$6,FALSE)*(1+Inflation3)^(Year3-Real_Year),"")</f>
        <v/>
      </c>
      <c r="V65" s="504">
        <f t="shared" ref="V65:V89" si="71">PTFyear3*(1+Inflation3)^(Year3-PTF_Year)</f>
        <v>114.01069908828957</v>
      </c>
      <c r="W65" s="505">
        <f t="shared" ref="W65:W89" si="72">transmissionyear3*(1+Inflation3)^(Year3-TD_Year)</f>
        <v>0</v>
      </c>
      <c r="X65" s="506">
        <f t="shared" ref="X65:X89" si="73">distributionyear3*(1+Inflation3)^(Year3-TD_Year)</f>
        <v>138.6115617886488</v>
      </c>
      <c r="Y65" s="504">
        <f t="shared" ref="Y65:AE74" si="74">VLOOKUP($B65,$B$233:$AG$265,Y$6,FALSE)*(1+Inflation3)^(Year3-Real_Year)</f>
        <v>7.213702971580946</v>
      </c>
      <c r="Z65" s="505">
        <f t="shared" si="74"/>
        <v>8.4237921890286369</v>
      </c>
      <c r="AA65" s="505">
        <f t="shared" si="74"/>
        <v>11.732246582143921</v>
      </c>
      <c r="AB65" s="505">
        <f t="shared" si="74"/>
        <v>10.575154143813137</v>
      </c>
      <c r="AC65" s="505">
        <f t="shared" si="74"/>
        <v>8.3009064071374752</v>
      </c>
      <c r="AD65" s="505">
        <f t="shared" si="74"/>
        <v>10.949615858533306</v>
      </c>
      <c r="AE65" s="506">
        <f t="shared" si="74"/>
        <v>10.233748439237136</v>
      </c>
      <c r="AF65" s="1349">
        <f t="shared" ref="AF65:AF89" si="75">IF(GD="Yes",VLOOKUP($B65-5,$B$233:$AG$265,AF$6,FALSE)*(1+Inflation3)^(Year3-Real_Year),"")</f>
        <v>1.3703787826252671E-3</v>
      </c>
      <c r="AG65" s="1345">
        <f t="shared" ref="AG65:AM74" si="76">IF(GECD="Yes",VLOOKUP($B65-5,$B$233:$AG$265,AG$6,FALSE)*(1+Inflation3)^(Year3-Real_Year),"")</f>
        <v>0.22020134359830887</v>
      </c>
      <c r="AH65" s="1350">
        <f t="shared" si="76"/>
        <v>0.22020134359830887</v>
      </c>
      <c r="AI65" s="1350">
        <f t="shared" si="76"/>
        <v>0.40693547806922553</v>
      </c>
      <c r="AJ65" s="1350">
        <f t="shared" si="76"/>
        <v>0.34584344642133308</v>
      </c>
      <c r="AK65" s="1350">
        <f t="shared" si="76"/>
        <v>0.22020134359830887</v>
      </c>
      <c r="AL65" s="1350">
        <f t="shared" si="76"/>
        <v>0.40693547806922553</v>
      </c>
      <c r="AM65" s="1351">
        <f t="shared" si="76"/>
        <v>0.3564667930770859</v>
      </c>
      <c r="AN65" s="504">
        <f t="shared" ref="AN65:AP89" si="77">VLOOKUP($B65,$B$285:$W$317,AN$6,FALSE)*(1+Inflation3)^(Year3-Real_Year)</f>
        <v>32.945953566278426</v>
      </c>
      <c r="AO65" s="505">
        <f t="shared" si="77"/>
        <v>28.888384454558224</v>
      </c>
      <c r="AP65" s="505">
        <f t="shared" si="77"/>
        <v>27.600056230464425</v>
      </c>
      <c r="AQ65" s="501">
        <f t="shared" ref="AQ65:AQ89" si="78">IF(OilDRIPE="Yes",VLOOKUP($B65,$B$285:$W$317,AQ$6,FALSE)*(1+Inflation3)^(Year3-Real_Year),"")</f>
        <v>1.7016745720488113E-2</v>
      </c>
      <c r="AR65" s="505">
        <f t="shared" ref="AR65:AR89" si="79">VLOOKUP($B65,$B$285:$W$317,AR$6,FALSE)*(1+Inflation3)^(Year3-Real_Year)</f>
        <v>40.557441527492067</v>
      </c>
      <c r="AS65" s="506">
        <f t="shared" ref="AS65:AU89" si="80">VLOOKUP($B65,$B$285:$N$317,AS$6,FALSE)*(1+Inflation3)^(Year3-Real_Year)</f>
        <v>52.964174141041482</v>
      </c>
      <c r="AT65" s="504">
        <f t="shared" si="80"/>
        <v>28.555345799603693</v>
      </c>
      <c r="AU65" s="505">
        <f t="shared" si="80"/>
        <v>30.791993224551838</v>
      </c>
      <c r="AV65" s="503">
        <f t="shared" ref="AV65:AV89" si="81">reswater3*(1+Inflation3)^(Year3-Wt_Year)</f>
        <v>1.4562600192070924E-2</v>
      </c>
      <c r="AW65" s="508">
        <f t="shared" ref="AW65:AW89" si="82">ciwater3*(1+Inflation3)^(Year3-Wt_Year)</f>
        <v>1.4562600192070924E-2</v>
      </c>
      <c r="AX65" s="1355">
        <f t="shared" ref="AX65:AX89" si="83">1*(1+Inflation3)^(Year3-HEA_NEI_Yr)</f>
        <v>1.7330032641169413</v>
      </c>
      <c r="AY65" s="507">
        <f t="shared" ref="AY65:AY89" si="84">IF(RGGI="Yes",VLOOKUP($B65,B$233:AG$265,AY$6,FALSE)*(1+Inflation3)^(Year3-Real_Year),0)</f>
        <v>10.338593496071908</v>
      </c>
      <c r="AZ65" s="503">
        <f t="shared" ref="AZ65:BC89" si="85">IF(EE="YES",VLOOKUP($B65,$B$184:$CR$216,AZ$6,FALSE)*(1+Inflation3)^(Year3-Real_Year),"")</f>
        <v>5.9840743288805072E-2</v>
      </c>
      <c r="BA65" s="502">
        <f t="shared" si="85"/>
        <v>6.9460658259929614E-2</v>
      </c>
      <c r="BB65" s="502">
        <f t="shared" si="85"/>
        <v>6.1069842651594167E-2</v>
      </c>
      <c r="BC65" s="508">
        <f t="shared" si="85"/>
        <v>7.4269613338961385E-2</v>
      </c>
      <c r="BE65" s="681"/>
    </row>
    <row r="66" spans="1:57" s="324" customFormat="1" ht="14.25">
      <c r="A66" s="509">
        <v>2</v>
      </c>
      <c r="B66" s="509">
        <f t="shared" ref="B66:B89" si="86">B65+1</f>
        <v>2027</v>
      </c>
      <c r="C66" s="499">
        <f t="shared" si="64"/>
        <v>8.514186374557936E-2</v>
      </c>
      <c r="D66" s="500">
        <f t="shared" si="64"/>
        <v>7.877219371511969E-2</v>
      </c>
      <c r="E66" s="500">
        <f t="shared" si="64"/>
        <v>6.2119989649873315E-2</v>
      </c>
      <c r="F66" s="501">
        <f t="shared" si="64"/>
        <v>5.403136986924377E-2</v>
      </c>
      <c r="G66" s="1343">
        <f t="shared" si="65"/>
        <v>7.4103888259184547E-3</v>
      </c>
      <c r="H66" s="1344">
        <f t="shared" si="65"/>
        <v>6.2527710795265883E-3</v>
      </c>
      <c r="I66" s="1344">
        <f t="shared" si="65"/>
        <v>4.1633740121045796E-3</v>
      </c>
      <c r="J66" s="1344">
        <f t="shared" si="65"/>
        <v>2.5220268001394561E-3</v>
      </c>
      <c r="K66" s="1343">
        <f t="shared" si="66"/>
        <v>2.5808198877209079E-3</v>
      </c>
      <c r="L66" s="1136">
        <f t="shared" si="67"/>
        <v>58.716223818978925</v>
      </c>
      <c r="M66" s="505">
        <f t="shared" si="67"/>
        <v>35.999178715046639</v>
      </c>
      <c r="N66" s="505">
        <f t="shared" si="67"/>
        <v>35.999178715046639</v>
      </c>
      <c r="O66" s="506">
        <f t="shared" si="68"/>
        <v>0</v>
      </c>
      <c r="P66" s="683">
        <f t="shared" si="69"/>
        <v>13.395497729279374</v>
      </c>
      <c r="Q66" s="683">
        <f t="shared" si="69"/>
        <v>0</v>
      </c>
      <c r="R66" s="1367">
        <f t="shared" si="69"/>
        <v>0</v>
      </c>
      <c r="S66" s="505"/>
      <c r="T66" s="505"/>
      <c r="U66" s="684" t="str">
        <f t="shared" si="70"/>
        <v/>
      </c>
      <c r="V66" s="504">
        <f t="shared" si="71"/>
        <v>114.01069908828957</v>
      </c>
      <c r="W66" s="505">
        <f t="shared" si="72"/>
        <v>0</v>
      </c>
      <c r="X66" s="506">
        <f t="shared" si="73"/>
        <v>138.6115617886488</v>
      </c>
      <c r="Y66" s="504">
        <f t="shared" si="74"/>
        <v>7.2980874674417651</v>
      </c>
      <c r="Z66" s="505">
        <f t="shared" si="74"/>
        <v>8.5012764490772224</v>
      </c>
      <c r="AA66" s="505">
        <f t="shared" si="74"/>
        <v>11.794444196501901</v>
      </c>
      <c r="AB66" s="505">
        <f t="shared" si="74"/>
        <v>10.642778885206452</v>
      </c>
      <c r="AC66" s="505">
        <f t="shared" si="74"/>
        <v>8.3783497216965106</v>
      </c>
      <c r="AD66" s="505">
        <f t="shared" si="74"/>
        <v>11.015853728763231</v>
      </c>
      <c r="AE66" s="506">
        <f t="shared" si="74"/>
        <v>10.303014807934389</v>
      </c>
      <c r="AF66" s="1348">
        <f t="shared" si="75"/>
        <v>2.4280294301727381E-3</v>
      </c>
      <c r="AG66" s="1343">
        <f t="shared" si="76"/>
        <v>0.33865805901708784</v>
      </c>
      <c r="AH66" s="1344">
        <f t="shared" si="76"/>
        <v>0.33865805901708784</v>
      </c>
      <c r="AI66" s="1344">
        <f t="shared" si="76"/>
        <v>0.62562366334735475</v>
      </c>
      <c r="AJ66" s="1344">
        <f t="shared" si="76"/>
        <v>0.53173985452325512</v>
      </c>
      <c r="AK66" s="1344">
        <f t="shared" si="76"/>
        <v>0.33865805901708784</v>
      </c>
      <c r="AL66" s="1344">
        <f t="shared" si="76"/>
        <v>0.62562366334735475</v>
      </c>
      <c r="AM66" s="1352">
        <f t="shared" si="76"/>
        <v>0.54806539190674208</v>
      </c>
      <c r="AN66" s="504">
        <f t="shared" si="77"/>
        <v>33.338422938149172</v>
      </c>
      <c r="AO66" s="505">
        <f t="shared" si="77"/>
        <v>29.303977509710734</v>
      </c>
      <c r="AP66" s="505">
        <f t="shared" si="77"/>
        <v>28.002597237379632</v>
      </c>
      <c r="AQ66" s="501">
        <f t="shared" si="78"/>
        <v>1.7474042340097889E-2</v>
      </c>
      <c r="AR66" s="505">
        <f t="shared" si="79"/>
        <v>41.040582911424323</v>
      </c>
      <c r="AS66" s="506">
        <f t="shared" si="80"/>
        <v>53.356643512912235</v>
      </c>
      <c r="AT66" s="504">
        <f t="shared" si="80"/>
        <v>28.895511963165387</v>
      </c>
      <c r="AU66" s="505">
        <f t="shared" si="80"/>
        <v>31.158803498085941</v>
      </c>
      <c r="AV66" s="503">
        <f t="shared" si="81"/>
        <v>1.4562600192070924E-2</v>
      </c>
      <c r="AW66" s="508">
        <f t="shared" si="82"/>
        <v>1.4562600192070924E-2</v>
      </c>
      <c r="AX66" s="1355">
        <f t="shared" si="83"/>
        <v>1.7330032641169413</v>
      </c>
      <c r="AY66" s="507">
        <f t="shared" si="84"/>
        <v>10.846954077154553</v>
      </c>
      <c r="AZ66" s="503">
        <f t="shared" si="85"/>
        <v>5.3912266095688735E-2</v>
      </c>
      <c r="BA66" s="502">
        <f t="shared" si="85"/>
        <v>6.5159130452192696E-2</v>
      </c>
      <c r="BB66" s="502">
        <f t="shared" si="85"/>
        <v>6.0067535568948005E-2</v>
      </c>
      <c r="BC66" s="508">
        <f t="shared" si="85"/>
        <v>7.3469943591763856E-2</v>
      </c>
      <c r="BE66" s="681"/>
    </row>
    <row r="67" spans="1:57" s="324" customFormat="1" ht="14.25">
      <c r="A67" s="509">
        <f t="shared" ref="A67:A89" si="87">A66+1</f>
        <v>3</v>
      </c>
      <c r="B67" s="509">
        <f t="shared" si="86"/>
        <v>2028</v>
      </c>
      <c r="C67" s="499">
        <f t="shared" si="64"/>
        <v>8.1793077424773805E-2</v>
      </c>
      <c r="D67" s="500">
        <f t="shared" si="64"/>
        <v>8.1415488022543878E-2</v>
      </c>
      <c r="E67" s="500">
        <f t="shared" si="64"/>
        <v>5.934097479630375E-2</v>
      </c>
      <c r="F67" s="501">
        <f t="shared" si="64"/>
        <v>5.7592889242085908E-2</v>
      </c>
      <c r="G67" s="1343">
        <f t="shared" si="65"/>
        <v>8.7140354150908386E-3</v>
      </c>
      <c r="H67" s="1344">
        <f t="shared" si="65"/>
        <v>7.7075481863249501E-3</v>
      </c>
      <c r="I67" s="1344">
        <f t="shared" si="65"/>
        <v>4.6103174647651483E-3</v>
      </c>
      <c r="J67" s="1344">
        <f t="shared" si="65"/>
        <v>3.050124080498799E-3</v>
      </c>
      <c r="K67" s="1343">
        <f t="shared" si="66"/>
        <v>3.1188734615229018E-3</v>
      </c>
      <c r="L67" s="1136">
        <f t="shared" si="67"/>
        <v>62.315653453229487</v>
      </c>
      <c r="M67" s="505">
        <f t="shared" si="67"/>
        <v>53.706122772131302</v>
      </c>
      <c r="N67" s="505">
        <f t="shared" si="67"/>
        <v>53.706122772131302</v>
      </c>
      <c r="O67" s="506">
        <f t="shared" si="68"/>
        <v>0</v>
      </c>
      <c r="P67" s="683">
        <f t="shared" si="69"/>
        <v>16.899126651384947</v>
      </c>
      <c r="Q67" s="683">
        <f t="shared" si="69"/>
        <v>0</v>
      </c>
      <c r="R67" s="1367">
        <f t="shared" si="69"/>
        <v>0</v>
      </c>
      <c r="S67" s="505"/>
      <c r="T67" s="505"/>
      <c r="U67" s="684" t="str">
        <f t="shared" si="70"/>
        <v/>
      </c>
      <c r="V67" s="504">
        <f t="shared" si="71"/>
        <v>114.01069908828957</v>
      </c>
      <c r="W67" s="505">
        <f t="shared" si="72"/>
        <v>0</v>
      </c>
      <c r="X67" s="506">
        <f t="shared" si="73"/>
        <v>138.6115617886488</v>
      </c>
      <c r="Y67" s="504">
        <f t="shared" si="74"/>
        <v>7.4953570283463398</v>
      </c>
      <c r="Z67" s="505">
        <f t="shared" si="74"/>
        <v>8.6945640691666402</v>
      </c>
      <c r="AA67" s="505">
        <f t="shared" si="74"/>
        <v>11.979002981067399</v>
      </c>
      <c r="AB67" s="505">
        <f t="shared" si="74"/>
        <v>10.830439198728243</v>
      </c>
      <c r="AC67" s="505">
        <f t="shared" si="74"/>
        <v>8.571750343160895</v>
      </c>
      <c r="AD67" s="505">
        <f t="shared" si="74"/>
        <v>11.202165608343396</v>
      </c>
      <c r="AE67" s="506">
        <f t="shared" si="74"/>
        <v>10.491242563699476</v>
      </c>
      <c r="AF67" s="1348">
        <f t="shared" si="75"/>
        <v>3.0781742857718792E-3</v>
      </c>
      <c r="AG67" s="1343">
        <f t="shared" si="76"/>
        <v>0.40911810272457289</v>
      </c>
      <c r="AH67" s="1344">
        <f t="shared" si="76"/>
        <v>0.40911810272457289</v>
      </c>
      <c r="AI67" s="1344">
        <f t="shared" si="76"/>
        <v>0.75552837644413817</v>
      </c>
      <c r="AJ67" s="1344">
        <f t="shared" si="76"/>
        <v>0.64219662022724333</v>
      </c>
      <c r="AK67" s="1344">
        <f t="shared" si="76"/>
        <v>0.40911810272457289</v>
      </c>
      <c r="AL67" s="1344">
        <f t="shared" si="76"/>
        <v>0.75552837644413817</v>
      </c>
      <c r="AM67" s="1352">
        <f t="shared" si="76"/>
        <v>0.661903978141553</v>
      </c>
      <c r="AN67" s="504">
        <f t="shared" si="77"/>
        <v>33.960458878914004</v>
      </c>
      <c r="AO67" s="505">
        <f t="shared" si="77"/>
        <v>29.929628607596428</v>
      </c>
      <c r="AP67" s="505">
        <f t="shared" si="77"/>
        <v>28.61667678792648</v>
      </c>
      <c r="AQ67" s="501">
        <f t="shared" si="78"/>
        <v>1.794144796513537E-2</v>
      </c>
      <c r="AR67" s="505">
        <f t="shared" si="79"/>
        <v>41.806327519326352</v>
      </c>
      <c r="AS67" s="506">
        <f t="shared" si="80"/>
        <v>53.978679453677074</v>
      </c>
      <c r="AT67" s="504">
        <f t="shared" si="80"/>
        <v>29.434651052054964</v>
      </c>
      <c r="AU67" s="505">
        <f t="shared" si="80"/>
        <v>31.740171599480437</v>
      </c>
      <c r="AV67" s="503">
        <f t="shared" si="81"/>
        <v>1.4562600192070924E-2</v>
      </c>
      <c r="AW67" s="508">
        <f t="shared" si="82"/>
        <v>1.4562600192070924E-2</v>
      </c>
      <c r="AX67" s="1355">
        <f t="shared" si="83"/>
        <v>1.7330032641169413</v>
      </c>
      <c r="AY67" s="507">
        <f t="shared" si="84"/>
        <v>11.378667512309187</v>
      </c>
      <c r="AZ67" s="503">
        <f t="shared" si="85"/>
        <v>5.4332141199488128E-2</v>
      </c>
      <c r="BA67" s="502">
        <f t="shared" si="85"/>
        <v>5.8152240472521426E-2</v>
      </c>
      <c r="BB67" s="502">
        <f t="shared" si="85"/>
        <v>6.0513390295272314E-2</v>
      </c>
      <c r="BC67" s="508">
        <f t="shared" si="85"/>
        <v>6.5095032463819563E-2</v>
      </c>
      <c r="BE67" s="681"/>
    </row>
    <row r="68" spans="1:57" s="324" customFormat="1" ht="14.25">
      <c r="A68" s="509">
        <f t="shared" si="87"/>
        <v>4</v>
      </c>
      <c r="B68" s="509">
        <f t="shared" si="86"/>
        <v>2029</v>
      </c>
      <c r="C68" s="499">
        <f t="shared" si="64"/>
        <v>8.3233580067028523E-2</v>
      </c>
      <c r="D68" s="500">
        <f t="shared" si="64"/>
        <v>8.378856638978624E-2</v>
      </c>
      <c r="E68" s="500">
        <f t="shared" si="64"/>
        <v>6.0717166919309028E-2</v>
      </c>
      <c r="F68" s="501">
        <f t="shared" si="64"/>
        <v>5.8745596688675981E-2</v>
      </c>
      <c r="G68" s="1343">
        <f t="shared" si="65"/>
        <v>8.9730413872903415E-3</v>
      </c>
      <c r="H68" s="1344">
        <f t="shared" si="65"/>
        <v>7.9525525915729763E-3</v>
      </c>
      <c r="I68" s="1344">
        <f t="shared" si="65"/>
        <v>5.1162996069586807E-3</v>
      </c>
      <c r="J68" s="1344">
        <f t="shared" si="65"/>
        <v>3.3370807277860689E-3</v>
      </c>
      <c r="K68" s="1343">
        <f t="shared" si="66"/>
        <v>2.7953860100420856E-3</v>
      </c>
      <c r="L68" s="1136">
        <f t="shared" si="67"/>
        <v>67.876900268816811</v>
      </c>
      <c r="M68" s="505">
        <f t="shared" si="67"/>
        <v>75.213035649870534</v>
      </c>
      <c r="N68" s="505">
        <f t="shared" si="67"/>
        <v>75.213035649870534</v>
      </c>
      <c r="O68" s="506">
        <f t="shared" si="68"/>
        <v>0</v>
      </c>
      <c r="P68" s="683">
        <f t="shared" si="69"/>
        <v>14.468190940546481</v>
      </c>
      <c r="Q68" s="683">
        <f t="shared" si="69"/>
        <v>0</v>
      </c>
      <c r="R68" s="1367">
        <f t="shared" si="69"/>
        <v>0</v>
      </c>
      <c r="S68" s="505"/>
      <c r="T68" s="505"/>
      <c r="U68" s="684" t="str">
        <f t="shared" si="70"/>
        <v/>
      </c>
      <c r="V68" s="504">
        <f t="shared" si="71"/>
        <v>114.01069908828957</v>
      </c>
      <c r="W68" s="505">
        <f t="shared" si="72"/>
        <v>0</v>
      </c>
      <c r="X68" s="506">
        <f t="shared" si="73"/>
        <v>138.6115617886488</v>
      </c>
      <c r="Y68" s="504">
        <f t="shared" si="74"/>
        <v>7.6702501997440891</v>
      </c>
      <c r="Z68" s="505">
        <f t="shared" si="74"/>
        <v>8.8648407370342888</v>
      </c>
      <c r="AA68" s="505">
        <f t="shared" si="74"/>
        <v>12.139130091164791</v>
      </c>
      <c r="AB68" s="505">
        <f t="shared" si="74"/>
        <v>10.99417181251159</v>
      </c>
      <c r="AC68" s="505">
        <f t="shared" si="74"/>
        <v>8.7421057500097312</v>
      </c>
      <c r="AD68" s="505">
        <f t="shared" si="74"/>
        <v>11.364547480864243</v>
      </c>
      <c r="AE68" s="506">
        <f t="shared" si="74"/>
        <v>10.655779445498158</v>
      </c>
      <c r="AF68" s="1348">
        <f t="shared" si="75"/>
        <v>3.1046911929562366E-3</v>
      </c>
      <c r="AG68" s="1343">
        <f t="shared" si="76"/>
        <v>0.36633886602770899</v>
      </c>
      <c r="AH68" s="1344">
        <f t="shared" si="76"/>
        <v>0.36633886602770899</v>
      </c>
      <c r="AI68" s="1344">
        <f t="shared" si="76"/>
        <v>0.67553506472122893</v>
      </c>
      <c r="AJ68" s="1344">
        <f t="shared" si="76"/>
        <v>0.57437828366717603</v>
      </c>
      <c r="AK68" s="1344">
        <f t="shared" si="76"/>
        <v>0.36633886602770899</v>
      </c>
      <c r="AL68" s="1344">
        <f t="shared" si="76"/>
        <v>0.67553506472122893</v>
      </c>
      <c r="AM68" s="1352">
        <f t="shared" si="76"/>
        <v>0.59196852453379112</v>
      </c>
      <c r="AN68" s="504">
        <f t="shared" si="77"/>
        <v>34.255509691607209</v>
      </c>
      <c r="AO68" s="505">
        <f t="shared" si="77"/>
        <v>30.222037245471451</v>
      </c>
      <c r="AP68" s="505">
        <f t="shared" si="77"/>
        <v>28.906058917309842</v>
      </c>
      <c r="AQ68" s="501">
        <f t="shared" si="78"/>
        <v>1.8179758907558914E-2</v>
      </c>
      <c r="AR68" s="505">
        <f t="shared" si="79"/>
        <v>42.169543780751916</v>
      </c>
      <c r="AS68" s="506">
        <f t="shared" si="80"/>
        <v>54.273730266370272</v>
      </c>
      <c r="AT68" s="504">
        <f t="shared" si="80"/>
        <v>29.690381333710317</v>
      </c>
      <c r="AU68" s="505">
        <f t="shared" si="80"/>
        <v>32.015932402914785</v>
      </c>
      <c r="AV68" s="503">
        <f t="shared" si="81"/>
        <v>1.4562600192070924E-2</v>
      </c>
      <c r="AW68" s="508">
        <f t="shared" si="82"/>
        <v>1.4562600192070924E-2</v>
      </c>
      <c r="AX68" s="1355">
        <f t="shared" si="83"/>
        <v>1.7330032641169413</v>
      </c>
      <c r="AY68" s="507">
        <f t="shared" si="84"/>
        <v>11.931695821552809</v>
      </c>
      <c r="AZ68" s="503">
        <f t="shared" si="85"/>
        <v>5.1745572489481806E-2</v>
      </c>
      <c r="BA68" s="502">
        <f t="shared" si="85"/>
        <v>5.2955932301382874E-2</v>
      </c>
      <c r="BB68" s="502">
        <f t="shared" si="85"/>
        <v>5.5508055861197829E-2</v>
      </c>
      <c r="BC68" s="508">
        <f t="shared" si="85"/>
        <v>5.8556540735527227E-2</v>
      </c>
      <c r="BE68" s="681"/>
    </row>
    <row r="69" spans="1:57" s="324" customFormat="1" ht="14.25">
      <c r="A69" s="509">
        <f t="shared" si="87"/>
        <v>5</v>
      </c>
      <c r="B69" s="509">
        <f t="shared" si="86"/>
        <v>2030</v>
      </c>
      <c r="C69" s="499">
        <f t="shared" si="64"/>
        <v>8.7680591001805183E-2</v>
      </c>
      <c r="D69" s="500">
        <f t="shared" si="64"/>
        <v>8.7973985372670371E-2</v>
      </c>
      <c r="E69" s="500">
        <f t="shared" si="64"/>
        <v>6.6262022589506406E-2</v>
      </c>
      <c r="F69" s="501">
        <f t="shared" si="64"/>
        <v>6.4032542442877025E-2</v>
      </c>
      <c r="G69" s="1343">
        <f t="shared" si="65"/>
        <v>8.8781072512236006E-3</v>
      </c>
      <c r="H69" s="1344">
        <f t="shared" si="65"/>
        <v>7.8829544836468823E-3</v>
      </c>
      <c r="I69" s="1344">
        <f t="shared" si="65"/>
        <v>5.1506338270099856E-3</v>
      </c>
      <c r="J69" s="1344">
        <f t="shared" si="65"/>
        <v>3.3316954980827803E-3</v>
      </c>
      <c r="K69" s="1343">
        <f t="shared" si="66"/>
        <v>2.4980027723932653E-3</v>
      </c>
      <c r="L69" s="1136">
        <f t="shared" si="67"/>
        <v>64.594129673480552</v>
      </c>
      <c r="M69" s="505">
        <f t="shared" si="67"/>
        <v>79.528292453989252</v>
      </c>
      <c r="N69" s="505">
        <f t="shared" si="67"/>
        <v>79.528292453989252</v>
      </c>
      <c r="O69" s="506">
        <f t="shared" si="68"/>
        <v>0</v>
      </c>
      <c r="P69" s="683">
        <f t="shared" si="69"/>
        <v>9.8536148873673621</v>
      </c>
      <c r="Q69" s="683">
        <f t="shared" si="69"/>
        <v>0</v>
      </c>
      <c r="R69" s="1367">
        <f t="shared" si="69"/>
        <v>0</v>
      </c>
      <c r="S69" s="505"/>
      <c r="T69" s="505"/>
      <c r="U69" s="684" t="str">
        <f t="shared" si="70"/>
        <v/>
      </c>
      <c r="V69" s="504">
        <f t="shared" si="71"/>
        <v>114.01069908828957</v>
      </c>
      <c r="W69" s="505">
        <f t="shared" si="72"/>
        <v>0</v>
      </c>
      <c r="X69" s="506">
        <f t="shared" si="73"/>
        <v>138.6115617886488</v>
      </c>
      <c r="Y69" s="504">
        <f t="shared" si="74"/>
        <v>7.7558442411159039</v>
      </c>
      <c r="Z69" s="505">
        <f t="shared" si="74"/>
        <v>8.9440616330220912</v>
      </c>
      <c r="AA69" s="505">
        <f t="shared" si="74"/>
        <v>12.204237095703055</v>
      </c>
      <c r="AB69" s="505">
        <f t="shared" si="74"/>
        <v>11.064289728782359</v>
      </c>
      <c r="AC69" s="505">
        <f t="shared" si="74"/>
        <v>8.8212956719818436</v>
      </c>
      <c r="AD69" s="505">
        <f t="shared" si="74"/>
        <v>11.433357214604614</v>
      </c>
      <c r="AE69" s="506">
        <f t="shared" si="74"/>
        <v>10.727394635517378</v>
      </c>
      <c r="AF69" s="1348">
        <f t="shared" si="75"/>
        <v>3.1209883377098149E-3</v>
      </c>
      <c r="AG69" s="1343">
        <f t="shared" si="76"/>
        <v>0.32701983187987338</v>
      </c>
      <c r="AH69" s="1344">
        <f t="shared" si="76"/>
        <v>0.32701983187987338</v>
      </c>
      <c r="AI69" s="1344">
        <f t="shared" si="76"/>
        <v>0.60187193172709763</v>
      </c>
      <c r="AJ69" s="1344">
        <f t="shared" si="76"/>
        <v>0.51195118301164777</v>
      </c>
      <c r="AK69" s="1344">
        <f t="shared" si="76"/>
        <v>0.32701983187987338</v>
      </c>
      <c r="AL69" s="1344">
        <f t="shared" si="76"/>
        <v>0.60187193172709763</v>
      </c>
      <c r="AM69" s="1352">
        <f t="shared" si="76"/>
        <v>0.52758758041703702</v>
      </c>
      <c r="AN69" s="504">
        <f t="shared" si="77"/>
        <v>34.827767583915538</v>
      </c>
      <c r="AO69" s="505">
        <f t="shared" si="77"/>
        <v>30.779078484465931</v>
      </c>
      <c r="AP69" s="505">
        <f t="shared" si="77"/>
        <v>29.458672321602336</v>
      </c>
      <c r="AQ69" s="501">
        <f t="shared" si="78"/>
        <v>1.8572559623505645E-2</v>
      </c>
      <c r="AR69" s="505">
        <f t="shared" si="79"/>
        <v>42.87401014137037</v>
      </c>
      <c r="AS69" s="506">
        <f t="shared" si="80"/>
        <v>54.845988158678594</v>
      </c>
      <c r="AT69" s="504">
        <f t="shared" si="80"/>
        <v>30.186376144379338</v>
      </c>
      <c r="AU69" s="505">
        <f t="shared" si="80"/>
        <v>32.550776875004679</v>
      </c>
      <c r="AV69" s="503">
        <f t="shared" si="81"/>
        <v>1.4562600192070924E-2</v>
      </c>
      <c r="AW69" s="508">
        <f t="shared" si="82"/>
        <v>1.4562600192070924E-2</v>
      </c>
      <c r="AX69" s="1355">
        <f t="shared" si="83"/>
        <v>1.7330032641169413</v>
      </c>
      <c r="AY69" s="507">
        <f t="shared" si="84"/>
        <v>12.515447168619071</v>
      </c>
      <c r="AZ69" s="503">
        <f t="shared" si="85"/>
        <v>4.78610138096471E-2</v>
      </c>
      <c r="BA69" s="502">
        <f t="shared" si="85"/>
        <v>5.0339422583826843E-2</v>
      </c>
      <c r="BB69" s="502">
        <f t="shared" si="85"/>
        <v>5.5073471158443972E-2</v>
      </c>
      <c r="BC69" s="508">
        <f t="shared" si="85"/>
        <v>5.7174929936490732E-2</v>
      </c>
      <c r="BE69" s="681"/>
    </row>
    <row r="70" spans="1:57" s="324" customFormat="1" ht="14.25">
      <c r="A70" s="509">
        <f t="shared" si="87"/>
        <v>6</v>
      </c>
      <c r="B70" s="509">
        <f t="shared" si="86"/>
        <v>2031</v>
      </c>
      <c r="C70" s="499">
        <f t="shared" si="64"/>
        <v>8.8773282023048627E-2</v>
      </c>
      <c r="D70" s="500">
        <f t="shared" si="64"/>
        <v>8.8980751228142141E-2</v>
      </c>
      <c r="E70" s="500">
        <f t="shared" si="64"/>
        <v>6.7522280899334375E-2</v>
      </c>
      <c r="F70" s="501">
        <f t="shared" si="64"/>
        <v>6.4417497066104584E-2</v>
      </c>
      <c r="G70" s="1343">
        <f t="shared" si="65"/>
        <v>8.824573907010148E-3</v>
      </c>
      <c r="H70" s="1344">
        <f t="shared" si="65"/>
        <v>7.6100524448051137E-3</v>
      </c>
      <c r="I70" s="1344">
        <f t="shared" si="65"/>
        <v>5.2224326772146688E-3</v>
      </c>
      <c r="J70" s="1344">
        <f t="shared" si="65"/>
        <v>3.1967812159222585E-3</v>
      </c>
      <c r="K70" s="1343">
        <f t="shared" si="66"/>
        <v>1.7838649906365121E-3</v>
      </c>
      <c r="L70" s="1136">
        <f t="shared" si="67"/>
        <v>69.385370278511601</v>
      </c>
      <c r="M70" s="505">
        <f t="shared" si="67"/>
        <v>59.799087520832451</v>
      </c>
      <c r="N70" s="505">
        <f t="shared" si="67"/>
        <v>59.799087520832451</v>
      </c>
      <c r="O70" s="506">
        <f t="shared" si="68"/>
        <v>0</v>
      </c>
      <c r="P70" s="683">
        <f t="shared" si="69"/>
        <v>5.0032190875964595</v>
      </c>
      <c r="Q70" s="683">
        <f t="shared" si="69"/>
        <v>10.742987316200626</v>
      </c>
      <c r="R70" s="1367">
        <f t="shared" si="69"/>
        <v>10.742987316200626</v>
      </c>
      <c r="S70" s="505"/>
      <c r="T70" s="505"/>
      <c r="U70" s="684" t="str">
        <f t="shared" si="70"/>
        <v/>
      </c>
      <c r="V70" s="504">
        <f t="shared" si="71"/>
        <v>114.01069908828957</v>
      </c>
      <c r="W70" s="505">
        <f t="shared" si="72"/>
        <v>0</v>
      </c>
      <c r="X70" s="506">
        <f t="shared" si="73"/>
        <v>138.6115617886488</v>
      </c>
      <c r="Y70" s="504">
        <f t="shared" si="74"/>
        <v>7.7820295211833468</v>
      </c>
      <c r="Z70" s="505">
        <f t="shared" si="74"/>
        <v>8.9628363151045018</v>
      </c>
      <c r="AA70" s="505">
        <f t="shared" si="74"/>
        <v>12.206551016871142</v>
      </c>
      <c r="AB70" s="505">
        <f t="shared" si="74"/>
        <v>11.072446404940008</v>
      </c>
      <c r="AC70" s="505">
        <f t="shared" si="74"/>
        <v>8.839969470530189</v>
      </c>
      <c r="AD70" s="505">
        <f t="shared" si="74"/>
        <v>11.440250300838452</v>
      </c>
      <c r="AE70" s="506">
        <f t="shared" si="74"/>
        <v>10.737471698052435</v>
      </c>
      <c r="AF70" s="1348">
        <f t="shared" si="75"/>
        <v>3.1225147764071389E-3</v>
      </c>
      <c r="AG70" s="1343">
        <f t="shared" si="76"/>
        <v>0.23263649144836815</v>
      </c>
      <c r="AH70" s="1344">
        <f t="shared" si="76"/>
        <v>0.23263649144836815</v>
      </c>
      <c r="AI70" s="1344">
        <f t="shared" si="76"/>
        <v>0.4253257190852841</v>
      </c>
      <c r="AJ70" s="1344">
        <f t="shared" si="76"/>
        <v>0.36228541621641658</v>
      </c>
      <c r="AK70" s="1344">
        <f t="shared" si="76"/>
        <v>0.23263649144836815</v>
      </c>
      <c r="AL70" s="1344">
        <f t="shared" si="76"/>
        <v>0.4253257190852841</v>
      </c>
      <c r="AM70" s="1352">
        <f t="shared" si="76"/>
        <v>0.37324754945368521</v>
      </c>
      <c r="AN70" s="504">
        <f t="shared" si="77"/>
        <v>35.129878916330853</v>
      </c>
      <c r="AO70" s="505">
        <f t="shared" si="77"/>
        <v>31.086560425290035</v>
      </c>
      <c r="AP70" s="505">
        <f t="shared" si="77"/>
        <v>29.759857791532383</v>
      </c>
      <c r="AQ70" s="501">
        <f t="shared" si="78"/>
        <v>1.8738414843055853E-2</v>
      </c>
      <c r="AR70" s="505">
        <f t="shared" si="79"/>
        <v>43.245918111026718</v>
      </c>
      <c r="AS70" s="506">
        <f t="shared" si="80"/>
        <v>55.148099491093909</v>
      </c>
      <c r="AT70" s="504">
        <f t="shared" si="80"/>
        <v>30.448226011609417</v>
      </c>
      <c r="AU70" s="505">
        <f t="shared" si="80"/>
        <v>32.833136591261741</v>
      </c>
      <c r="AV70" s="503">
        <f t="shared" si="81"/>
        <v>1.4562600192070924E-2</v>
      </c>
      <c r="AW70" s="508">
        <f t="shared" si="82"/>
        <v>1.4562600192070924E-2</v>
      </c>
      <c r="AX70" s="1355">
        <f t="shared" si="83"/>
        <v>1.7330032641169413</v>
      </c>
      <c r="AY70" s="507">
        <f t="shared" si="84"/>
        <v>13.128340847920262</v>
      </c>
      <c r="AZ70" s="503">
        <f t="shared" si="85"/>
        <v>4.3738324989747508E-2</v>
      </c>
      <c r="BA70" s="502">
        <f t="shared" si="85"/>
        <v>4.6739262815146912E-2</v>
      </c>
      <c r="BB70" s="502">
        <f t="shared" si="85"/>
        <v>4.8815572739077648E-2</v>
      </c>
      <c r="BC70" s="508">
        <f t="shared" si="85"/>
        <v>5.1838462596491969E-2</v>
      </c>
      <c r="BE70" s="681"/>
    </row>
    <row r="71" spans="1:57" s="324" customFormat="1" ht="14.25">
      <c r="A71" s="509">
        <f t="shared" si="87"/>
        <v>7</v>
      </c>
      <c r="B71" s="509">
        <f t="shared" si="86"/>
        <v>2032</v>
      </c>
      <c r="C71" s="499">
        <f t="shared" si="64"/>
        <v>9.2264857671530143E-2</v>
      </c>
      <c r="D71" s="500">
        <f t="shared" si="64"/>
        <v>8.7513597400736484E-2</v>
      </c>
      <c r="E71" s="500">
        <f t="shared" si="64"/>
        <v>7.1390042813532742E-2</v>
      </c>
      <c r="F71" s="501">
        <f t="shared" si="64"/>
        <v>6.243902804581862E-2</v>
      </c>
      <c r="G71" s="1343">
        <f t="shared" si="65"/>
        <v>8.6517905762352118E-3</v>
      </c>
      <c r="H71" s="1344">
        <f t="shared" si="65"/>
        <v>7.1813550660554341E-3</v>
      </c>
      <c r="I71" s="1344">
        <f t="shared" si="65"/>
        <v>5.2395580053097709E-3</v>
      </c>
      <c r="J71" s="1344">
        <f t="shared" si="65"/>
        <v>3.0457346335337628E-3</v>
      </c>
      <c r="K71" s="1343">
        <f t="shared" si="66"/>
        <v>1.1093535465388682E-3</v>
      </c>
      <c r="L71" s="1136">
        <f t="shared" si="67"/>
        <v>73.719678205970567</v>
      </c>
      <c r="M71" s="505">
        <f t="shared" si="67"/>
        <v>45.381833903595492</v>
      </c>
      <c r="N71" s="505">
        <f t="shared" si="67"/>
        <v>45.381833903595492</v>
      </c>
      <c r="O71" s="506">
        <f t="shared" si="68"/>
        <v>0</v>
      </c>
      <c r="P71" s="683">
        <f t="shared" si="69"/>
        <v>0</v>
      </c>
      <c r="Q71" s="683">
        <f t="shared" si="69"/>
        <v>23.745911325434758</v>
      </c>
      <c r="R71" s="1367">
        <f t="shared" si="69"/>
        <v>23.745911325434758</v>
      </c>
      <c r="S71" s="505"/>
      <c r="T71" s="505"/>
      <c r="U71" s="684" t="str">
        <f t="shared" si="70"/>
        <v/>
      </c>
      <c r="V71" s="504">
        <f t="shared" si="71"/>
        <v>114.01069908828957</v>
      </c>
      <c r="W71" s="505">
        <f t="shared" si="72"/>
        <v>0</v>
      </c>
      <c r="X71" s="506">
        <f t="shared" si="73"/>
        <v>138.6115617886488</v>
      </c>
      <c r="Y71" s="504">
        <f t="shared" si="74"/>
        <v>7.8769332347850876</v>
      </c>
      <c r="Z71" s="505">
        <f t="shared" si="74"/>
        <v>9.0524203864490804</v>
      </c>
      <c r="AA71" s="505">
        <f t="shared" si="74"/>
        <v>12.284361586674484</v>
      </c>
      <c r="AB71" s="505">
        <f t="shared" si="74"/>
        <v>11.154437172300494</v>
      </c>
      <c r="AC71" s="505">
        <f t="shared" si="74"/>
        <v>8.9295545182529867</v>
      </c>
      <c r="AD71" s="505">
        <f t="shared" si="74"/>
        <v>11.521036039269902</v>
      </c>
      <c r="AE71" s="506">
        <f t="shared" si="74"/>
        <v>10.820635628184249</v>
      </c>
      <c r="AF71" s="1348">
        <f t="shared" si="75"/>
        <v>3.1237858629060249E-3</v>
      </c>
      <c r="AG71" s="1343">
        <f t="shared" si="76"/>
        <v>0.14349049888215851</v>
      </c>
      <c r="AH71" s="1344">
        <f t="shared" si="76"/>
        <v>0.14349049888215851</v>
      </c>
      <c r="AI71" s="1344">
        <f t="shared" si="76"/>
        <v>0.2587288350704392</v>
      </c>
      <c r="AJ71" s="1344">
        <f t="shared" si="76"/>
        <v>0.22102740409526095</v>
      </c>
      <c r="AK71" s="1344">
        <f t="shared" si="76"/>
        <v>0.14349049888215851</v>
      </c>
      <c r="AL71" s="1344">
        <f t="shared" si="76"/>
        <v>0.2587288350704392</v>
      </c>
      <c r="AM71" s="1352">
        <f t="shared" si="76"/>
        <v>0.22758333880333631</v>
      </c>
      <c r="AN71" s="504">
        <f t="shared" si="77"/>
        <v>35.499542809499189</v>
      </c>
      <c r="AO71" s="505">
        <f t="shared" si="77"/>
        <v>31.458540956401094</v>
      </c>
      <c r="AP71" s="505">
        <f t="shared" si="77"/>
        <v>30.125030575274501</v>
      </c>
      <c r="AQ71" s="501">
        <f t="shared" si="78"/>
        <v>1.8970922971629046E-2</v>
      </c>
      <c r="AR71" s="505">
        <f t="shared" si="79"/>
        <v>43.700985277373526</v>
      </c>
      <c r="AS71" s="506">
        <f t="shared" si="80"/>
        <v>55.517763384262253</v>
      </c>
      <c r="AT71" s="504">
        <f t="shared" si="80"/>
        <v>30.768625913764751</v>
      </c>
      <c r="AU71" s="505">
        <f t="shared" si="80"/>
        <v>33.178632376378481</v>
      </c>
      <c r="AV71" s="503">
        <f t="shared" si="81"/>
        <v>1.4562600192070924E-2</v>
      </c>
      <c r="AW71" s="508">
        <f t="shared" si="82"/>
        <v>1.4562600192070924E-2</v>
      </c>
      <c r="AX71" s="1355">
        <f t="shared" si="83"/>
        <v>1.7330032641169413</v>
      </c>
      <c r="AY71" s="507">
        <f t="shared" si="84"/>
        <v>13.771248529683088</v>
      </c>
      <c r="AZ71" s="503">
        <f t="shared" si="85"/>
        <v>3.9527013331812154E-2</v>
      </c>
      <c r="BA71" s="502">
        <f t="shared" si="85"/>
        <v>4.4165163445692025E-2</v>
      </c>
      <c r="BB71" s="502">
        <f t="shared" si="85"/>
        <v>4.211119008431987E-2</v>
      </c>
      <c r="BC71" s="508">
        <f t="shared" si="85"/>
        <v>4.7523970059277276E-2</v>
      </c>
      <c r="BE71" s="681"/>
    </row>
    <row r="72" spans="1:57" s="324" customFormat="1" ht="14.25">
      <c r="A72" s="509">
        <f t="shared" si="87"/>
        <v>8</v>
      </c>
      <c r="B72" s="509">
        <f t="shared" si="86"/>
        <v>2033</v>
      </c>
      <c r="C72" s="499">
        <f t="shared" si="64"/>
        <v>8.6374447919535816E-2</v>
      </c>
      <c r="D72" s="500">
        <f t="shared" si="64"/>
        <v>8.3725393590580524E-2</v>
      </c>
      <c r="E72" s="500">
        <f t="shared" si="64"/>
        <v>6.6086702433414163E-2</v>
      </c>
      <c r="F72" s="501">
        <f t="shared" si="64"/>
        <v>6.0144173656801914E-2</v>
      </c>
      <c r="G72" s="1343">
        <f t="shared" si="65"/>
        <v>7.8574976193107431E-3</v>
      </c>
      <c r="H72" s="1344">
        <f t="shared" si="65"/>
        <v>7.022617632490501E-3</v>
      </c>
      <c r="I72" s="1344">
        <f t="shared" si="65"/>
        <v>4.7422898024613962E-3</v>
      </c>
      <c r="J72" s="1344">
        <f t="shared" si="65"/>
        <v>3.1354552762397295E-3</v>
      </c>
      <c r="K72" s="1343">
        <f t="shared" si="66"/>
        <v>7.8732886594833529E-4</v>
      </c>
      <c r="L72" s="1136">
        <f t="shared" si="67"/>
        <v>72.96498692291766</v>
      </c>
      <c r="M72" s="505">
        <f t="shared" si="67"/>
        <v>26.95034756984888</v>
      </c>
      <c r="N72" s="505">
        <f t="shared" si="67"/>
        <v>26.95034756984888</v>
      </c>
      <c r="O72" s="506">
        <f t="shared" si="68"/>
        <v>0</v>
      </c>
      <c r="P72" s="683">
        <f t="shared" si="69"/>
        <v>0</v>
      </c>
      <c r="Q72" s="683">
        <f t="shared" si="69"/>
        <v>30.639830562631243</v>
      </c>
      <c r="R72" s="1367">
        <f t="shared" si="69"/>
        <v>30.639830562631243</v>
      </c>
      <c r="S72" s="505"/>
      <c r="T72" s="505"/>
      <c r="U72" s="684" t="str">
        <f t="shared" si="70"/>
        <v/>
      </c>
      <c r="V72" s="504">
        <f t="shared" si="71"/>
        <v>114.01069908828957</v>
      </c>
      <c r="W72" s="505">
        <f t="shared" si="72"/>
        <v>0</v>
      </c>
      <c r="X72" s="506">
        <f t="shared" si="73"/>
        <v>138.6115617886488</v>
      </c>
      <c r="Y72" s="504">
        <f t="shared" si="74"/>
        <v>7.9693619375683653</v>
      </c>
      <c r="Z72" s="505">
        <f t="shared" si="74"/>
        <v>9.1391584841489184</v>
      </c>
      <c r="AA72" s="505">
        <f t="shared" si="74"/>
        <v>12.358506907061789</v>
      </c>
      <c r="AB72" s="505">
        <f t="shared" si="74"/>
        <v>11.233053623850754</v>
      </c>
      <c r="AC72" s="505">
        <f t="shared" si="74"/>
        <v>9.0162799708427812</v>
      </c>
      <c r="AD72" s="505">
        <f t="shared" si="74"/>
        <v>11.59842388046598</v>
      </c>
      <c r="AE72" s="506">
        <f t="shared" si="74"/>
        <v>10.900547148135386</v>
      </c>
      <c r="AF72" s="1348">
        <f t="shared" si="75"/>
        <v>3.1305271609447616E-3</v>
      </c>
      <c r="AG72" s="1343">
        <f t="shared" si="76"/>
        <v>0.10092436039073399</v>
      </c>
      <c r="AH72" s="1344">
        <f t="shared" si="76"/>
        <v>0.10092436039073399</v>
      </c>
      <c r="AI72" s="1344">
        <f t="shared" si="76"/>
        <v>0.179491671861748</v>
      </c>
      <c r="AJ72" s="1344">
        <f t="shared" si="76"/>
        <v>0.15378755144221873</v>
      </c>
      <c r="AK72" s="1344">
        <f t="shared" si="76"/>
        <v>0.10092436039073399</v>
      </c>
      <c r="AL72" s="1344">
        <f t="shared" si="76"/>
        <v>0.179491671861748</v>
      </c>
      <c r="AM72" s="1352">
        <f t="shared" si="76"/>
        <v>0.15825726335606854</v>
      </c>
      <c r="AN72" s="504">
        <f t="shared" si="77"/>
        <v>35.668465051642869</v>
      </c>
      <c r="AO72" s="505">
        <f t="shared" si="77"/>
        <v>31.668064826384082</v>
      </c>
      <c r="AP72" s="505">
        <f t="shared" si="77"/>
        <v>30.318570445520347</v>
      </c>
      <c r="AQ72" s="501">
        <f t="shared" si="78"/>
        <v>1.9028994029676279E-2</v>
      </c>
      <c r="AR72" s="505">
        <f t="shared" si="79"/>
        <v>43.90893354466688</v>
      </c>
      <c r="AS72" s="506">
        <f t="shared" si="80"/>
        <v>55.686685626405925</v>
      </c>
      <c r="AT72" s="504">
        <f t="shared" si="80"/>
        <v>30.915036398680694</v>
      </c>
      <c r="AU72" s="505">
        <f t="shared" si="80"/>
        <v>33.336510718709661</v>
      </c>
      <c r="AV72" s="503">
        <f t="shared" si="81"/>
        <v>1.4562600192070924E-2</v>
      </c>
      <c r="AW72" s="508">
        <f t="shared" si="82"/>
        <v>1.4562600192070924E-2</v>
      </c>
      <c r="AX72" s="1355">
        <f t="shared" si="83"/>
        <v>1.7330032641169413</v>
      </c>
      <c r="AY72" s="507">
        <f t="shared" si="84"/>
        <v>14.445640028941032</v>
      </c>
      <c r="AZ72" s="503">
        <f t="shared" si="85"/>
        <v>3.6655611177411833E-2</v>
      </c>
      <c r="BA72" s="502">
        <f t="shared" si="85"/>
        <v>3.9446582236786348E-2</v>
      </c>
      <c r="BB72" s="502">
        <f t="shared" si="85"/>
        <v>4.1443924332298578E-2</v>
      </c>
      <c r="BC72" s="508">
        <f t="shared" si="85"/>
        <v>4.4302521258001853E-2</v>
      </c>
      <c r="BE72" s="681"/>
    </row>
    <row r="73" spans="1:57" s="324" customFormat="1" ht="14.25">
      <c r="A73" s="509">
        <f t="shared" si="87"/>
        <v>9</v>
      </c>
      <c r="B73" s="509">
        <f t="shared" si="86"/>
        <v>2034</v>
      </c>
      <c r="C73" s="499">
        <f t="shared" si="64"/>
        <v>8.6445658465692687E-2</v>
      </c>
      <c r="D73" s="500">
        <f t="shared" si="64"/>
        <v>8.6509648480132581E-2</v>
      </c>
      <c r="E73" s="500">
        <f t="shared" si="64"/>
        <v>6.5656068391626285E-2</v>
      </c>
      <c r="F73" s="501">
        <f t="shared" si="64"/>
        <v>6.2788838854206205E-2</v>
      </c>
      <c r="G73" s="1343">
        <f t="shared" si="65"/>
        <v>7.2155909942440838E-3</v>
      </c>
      <c r="H73" s="1344">
        <f t="shared" si="65"/>
        <v>6.5520834348231716E-3</v>
      </c>
      <c r="I73" s="1344">
        <f t="shared" si="65"/>
        <v>4.4255612170252994E-3</v>
      </c>
      <c r="J73" s="1344">
        <f t="shared" si="65"/>
        <v>2.9135232835331135E-3</v>
      </c>
      <c r="K73" s="1343">
        <f t="shared" si="66"/>
        <v>4.9260099601344115E-4</v>
      </c>
      <c r="L73" s="1136">
        <f t="shared" si="67"/>
        <v>88.250861277468047</v>
      </c>
      <c r="M73" s="505">
        <f t="shared" si="67"/>
        <v>10.865446040481869</v>
      </c>
      <c r="N73" s="505">
        <f t="shared" si="67"/>
        <v>10.865446040481869</v>
      </c>
      <c r="O73" s="506">
        <f t="shared" si="68"/>
        <v>0</v>
      </c>
      <c r="P73" s="683">
        <f t="shared" si="69"/>
        <v>0</v>
      </c>
      <c r="Q73" s="683">
        <f t="shared" si="69"/>
        <v>35.801787130699459</v>
      </c>
      <c r="R73" s="1367">
        <f t="shared" si="69"/>
        <v>35.801787130699459</v>
      </c>
      <c r="S73" s="505"/>
      <c r="T73" s="505"/>
      <c r="U73" s="684" t="str">
        <f t="shared" si="70"/>
        <v/>
      </c>
      <c r="V73" s="504">
        <f t="shared" si="71"/>
        <v>114.01069908828957</v>
      </c>
      <c r="W73" s="505">
        <f t="shared" si="72"/>
        <v>0</v>
      </c>
      <c r="X73" s="506">
        <f t="shared" si="73"/>
        <v>138.6115617886488</v>
      </c>
      <c r="Y73" s="504">
        <f t="shared" si="74"/>
        <v>8.0080544100473148</v>
      </c>
      <c r="Z73" s="505">
        <f t="shared" si="74"/>
        <v>9.1710862512499354</v>
      </c>
      <c r="AA73" s="505">
        <f t="shared" si="74"/>
        <v>12.375419527768598</v>
      </c>
      <c r="AB73" s="505">
        <f t="shared" si="74"/>
        <v>11.255296181672824</v>
      </c>
      <c r="AC73" s="505">
        <f t="shared" si="74"/>
        <v>9.0481280245179043</v>
      </c>
      <c r="AD73" s="505">
        <f t="shared" si="74"/>
        <v>11.619464597689969</v>
      </c>
      <c r="AE73" s="506">
        <f t="shared" si="74"/>
        <v>10.924508767102923</v>
      </c>
      <c r="AF73" s="1348">
        <f t="shared" si="75"/>
        <v>3.1382444718308566E-3</v>
      </c>
      <c r="AG73" s="1343">
        <f t="shared" si="76"/>
        <v>6.1964844548389464E-2</v>
      </c>
      <c r="AH73" s="1344">
        <f t="shared" si="76"/>
        <v>6.1964844548389464E-2</v>
      </c>
      <c r="AI73" s="1344">
        <f t="shared" si="76"/>
        <v>0.1073176917818764</v>
      </c>
      <c r="AJ73" s="1344">
        <f t="shared" si="76"/>
        <v>9.248003188450106E-2</v>
      </c>
      <c r="AK73" s="1344">
        <f t="shared" si="76"/>
        <v>6.1964844548389464E-2</v>
      </c>
      <c r="AL73" s="1344">
        <f t="shared" si="76"/>
        <v>0.1073176917818764</v>
      </c>
      <c r="AM73" s="1352">
        <f t="shared" si="76"/>
        <v>9.506016550255561E-2</v>
      </c>
      <c r="AN73" s="504">
        <f t="shared" si="77"/>
        <v>35.820141628261375</v>
      </c>
      <c r="AO73" s="505">
        <f t="shared" si="77"/>
        <v>31.833077043864439</v>
      </c>
      <c r="AP73" s="505">
        <f t="shared" si="77"/>
        <v>30.4764918884343</v>
      </c>
      <c r="AQ73" s="501">
        <f t="shared" si="78"/>
        <v>1.9096682695765907E-2</v>
      </c>
      <c r="AR73" s="505">
        <f t="shared" si="79"/>
        <v>44.095651888542399</v>
      </c>
      <c r="AS73" s="506">
        <f t="shared" si="80"/>
        <v>55.838362203024445</v>
      </c>
      <c r="AT73" s="504">
        <f t="shared" si="80"/>
        <v>31.046499495850682</v>
      </c>
      <c r="AU73" s="505">
        <f t="shared" si="80"/>
        <v>33.478270892995241</v>
      </c>
      <c r="AV73" s="503">
        <f t="shared" si="81"/>
        <v>1.4562600192070924E-2</v>
      </c>
      <c r="AW73" s="508">
        <f t="shared" si="82"/>
        <v>1.4562600192070924E-2</v>
      </c>
      <c r="AX73" s="1355">
        <f t="shared" si="83"/>
        <v>1.7330032641169413</v>
      </c>
      <c r="AY73" s="507">
        <f t="shared" si="84"/>
        <v>15.15305713900624</v>
      </c>
      <c r="AZ73" s="503">
        <f t="shared" si="85"/>
        <v>3.4644256303529998E-2</v>
      </c>
      <c r="BA73" s="502">
        <f t="shared" si="85"/>
        <v>3.5407764610007685E-2</v>
      </c>
      <c r="BB73" s="502">
        <f t="shared" si="85"/>
        <v>3.8401709554358225E-2</v>
      </c>
      <c r="BC73" s="508">
        <f t="shared" si="85"/>
        <v>3.9322102076548064E-2</v>
      </c>
      <c r="BE73" s="681"/>
    </row>
    <row r="74" spans="1:57" s="324" customFormat="1" ht="14.25">
      <c r="A74" s="509">
        <f t="shared" si="87"/>
        <v>10</v>
      </c>
      <c r="B74" s="509">
        <f t="shared" si="86"/>
        <v>2035</v>
      </c>
      <c r="C74" s="499">
        <f t="shared" si="64"/>
        <v>8.8086932774691776E-2</v>
      </c>
      <c r="D74" s="500">
        <f t="shared" si="64"/>
        <v>8.8160888427953332E-2</v>
      </c>
      <c r="E74" s="500">
        <f t="shared" si="64"/>
        <v>6.7441374309465299E-2</v>
      </c>
      <c r="F74" s="501">
        <f t="shared" si="64"/>
        <v>6.4126370061529492E-2</v>
      </c>
      <c r="G74" s="1343">
        <f t="shared" si="65"/>
        <v>6.0095474352319074E-3</v>
      </c>
      <c r="H74" s="1344">
        <f t="shared" si="65"/>
        <v>5.4369751869908682E-3</v>
      </c>
      <c r="I74" s="1344">
        <f t="shared" si="65"/>
        <v>3.7396685530486046E-3</v>
      </c>
      <c r="J74" s="1344">
        <f t="shared" si="65"/>
        <v>2.452988350673617E-3</v>
      </c>
      <c r="K74" s="1343">
        <f t="shared" si="66"/>
        <v>2.355318059833616E-4</v>
      </c>
      <c r="L74" s="1136">
        <f t="shared" si="67"/>
        <v>69.139949009260405</v>
      </c>
      <c r="M74" s="505">
        <f t="shared" si="67"/>
        <v>0</v>
      </c>
      <c r="N74" s="505">
        <f t="shared" si="67"/>
        <v>0</v>
      </c>
      <c r="O74" s="506">
        <f t="shared" si="68"/>
        <v>0</v>
      </c>
      <c r="P74" s="683">
        <f t="shared" si="69"/>
        <v>0</v>
      </c>
      <c r="Q74" s="683">
        <f t="shared" si="69"/>
        <v>33.514963826260797</v>
      </c>
      <c r="R74" s="1367">
        <f t="shared" si="69"/>
        <v>33.514963826260797</v>
      </c>
      <c r="S74" s="505"/>
      <c r="T74" s="505"/>
      <c r="U74" s="684" t="str">
        <f t="shared" si="70"/>
        <v/>
      </c>
      <c r="V74" s="504">
        <f t="shared" si="71"/>
        <v>114.01069908828957</v>
      </c>
      <c r="W74" s="505">
        <f t="shared" si="72"/>
        <v>0</v>
      </c>
      <c r="X74" s="506">
        <f t="shared" si="73"/>
        <v>138.6115617886488</v>
      </c>
      <c r="Y74" s="504">
        <f t="shared" si="74"/>
        <v>8.0243253310190408</v>
      </c>
      <c r="Z74" s="505">
        <f t="shared" si="74"/>
        <v>9.180230173605965</v>
      </c>
      <c r="AA74" s="505">
        <f t="shared" si="74"/>
        <v>12.36872849899655</v>
      </c>
      <c r="AB74" s="505">
        <f t="shared" si="74"/>
        <v>11.254225661517722</v>
      </c>
      <c r="AC74" s="505">
        <f t="shared" si="74"/>
        <v>9.0571657045105418</v>
      </c>
      <c r="AD74" s="505">
        <f t="shared" si="74"/>
        <v>11.617216893300739</v>
      </c>
      <c r="AE74" s="506">
        <f t="shared" si="74"/>
        <v>10.925311166600686</v>
      </c>
      <c r="AF74" s="1348">
        <f t="shared" si="75"/>
        <v>3.1492700123100376E-3</v>
      </c>
      <c r="AG74" s="1343">
        <f t="shared" si="76"/>
        <v>2.7979063580441478E-2</v>
      </c>
      <c r="AH74" s="1344">
        <f t="shared" si="76"/>
        <v>2.7979063580441478E-2</v>
      </c>
      <c r="AI74" s="1344">
        <f t="shared" si="76"/>
        <v>4.5010854791092979E-2</v>
      </c>
      <c r="AJ74" s="1344">
        <f t="shared" si="76"/>
        <v>3.9438725567855146E-2</v>
      </c>
      <c r="AK74" s="1344">
        <f t="shared" si="76"/>
        <v>2.7979063580441478E-2</v>
      </c>
      <c r="AL74" s="1344">
        <f t="shared" si="76"/>
        <v>4.5010854791092979E-2</v>
      </c>
      <c r="AM74" s="1352">
        <f t="shared" si="76"/>
        <v>4.0407667977403382E-2</v>
      </c>
      <c r="AN74" s="504">
        <f t="shared" si="77"/>
        <v>35.977101134930784</v>
      </c>
      <c r="AO74" s="505">
        <f t="shared" si="77"/>
        <v>31.996144880384616</v>
      </c>
      <c r="AP74" s="505">
        <f t="shared" si="77"/>
        <v>30.635379575919494</v>
      </c>
      <c r="AQ74" s="501">
        <f t="shared" si="78"/>
        <v>1.9126097134822939E-2</v>
      </c>
      <c r="AR74" s="505">
        <f t="shared" si="79"/>
        <v>44.288873675282375</v>
      </c>
      <c r="AS74" s="506">
        <f t="shared" si="80"/>
        <v>55.99532170969384</v>
      </c>
      <c r="AT74" s="504">
        <f t="shared" si="80"/>
        <v>31.182541482933051</v>
      </c>
      <c r="AU74" s="505">
        <f t="shared" si="80"/>
        <v>33.624968606757584</v>
      </c>
      <c r="AV74" s="503">
        <f t="shared" si="81"/>
        <v>1.4562600192070924E-2</v>
      </c>
      <c r="AW74" s="508">
        <f t="shared" si="82"/>
        <v>1.4562600192070924E-2</v>
      </c>
      <c r="AX74" s="1355">
        <f t="shared" si="83"/>
        <v>1.7330032641169413</v>
      </c>
      <c r="AY74" s="507">
        <f t="shared" si="84"/>
        <v>15.895117156316152</v>
      </c>
      <c r="AZ74" s="503">
        <f t="shared" si="85"/>
        <v>3.1662891080714711E-2</v>
      </c>
      <c r="BA74" s="502">
        <f t="shared" si="85"/>
        <v>3.1629387203136551E-2</v>
      </c>
      <c r="BB74" s="502">
        <f t="shared" si="85"/>
        <v>3.4857824936086343E-2</v>
      </c>
      <c r="BC74" s="508">
        <f t="shared" si="85"/>
        <v>3.6329751917256271E-2</v>
      </c>
      <c r="BE74" s="681"/>
    </row>
    <row r="75" spans="1:57" s="324" customFormat="1" ht="14.25">
      <c r="A75" s="509">
        <f t="shared" si="87"/>
        <v>11</v>
      </c>
      <c r="B75" s="509">
        <f t="shared" si="86"/>
        <v>2036</v>
      </c>
      <c r="C75" s="499">
        <f t="shared" si="64"/>
        <v>8.8151004143960279E-2</v>
      </c>
      <c r="D75" s="500">
        <f t="shared" si="64"/>
        <v>8.8258979658312975E-2</v>
      </c>
      <c r="E75" s="500">
        <f t="shared" si="64"/>
        <v>6.7700328170375912E-2</v>
      </c>
      <c r="F75" s="501">
        <f t="shared" si="64"/>
        <v>6.4362325406382384E-2</v>
      </c>
      <c r="G75" s="1343">
        <f t="shared" si="65"/>
        <v>4.1947029166066645E-3</v>
      </c>
      <c r="H75" s="1344">
        <f t="shared" si="65"/>
        <v>3.7974588738175366E-3</v>
      </c>
      <c r="I75" s="1344">
        <f t="shared" si="65"/>
        <v>2.6535824695389418E-3</v>
      </c>
      <c r="J75" s="1344">
        <f t="shared" si="65"/>
        <v>1.7159501349397312E-3</v>
      </c>
      <c r="K75" s="1343">
        <f t="shared" si="66"/>
        <v>5.117921926382222E-5</v>
      </c>
      <c r="L75" s="1136">
        <f t="shared" si="67"/>
        <v>71.303215730192804</v>
      </c>
      <c r="M75" s="505">
        <f t="shared" si="67"/>
        <v>0</v>
      </c>
      <c r="N75" s="505">
        <f t="shared" si="67"/>
        <v>0</v>
      </c>
      <c r="O75" s="506">
        <f t="shared" si="68"/>
        <v>0</v>
      </c>
      <c r="P75" s="683">
        <f t="shared" si="69"/>
        <v>0</v>
      </c>
      <c r="Q75" s="683">
        <f t="shared" si="69"/>
        <v>7.6172231088198217</v>
      </c>
      <c r="R75" s="1367">
        <f t="shared" si="69"/>
        <v>7.6172231088198217</v>
      </c>
      <c r="S75" s="505"/>
      <c r="T75" s="505"/>
      <c r="U75" s="684" t="str">
        <f t="shared" si="70"/>
        <v/>
      </c>
      <c r="V75" s="504">
        <f t="shared" si="71"/>
        <v>114.01069908828957</v>
      </c>
      <c r="W75" s="505">
        <f t="shared" si="72"/>
        <v>0</v>
      </c>
      <c r="X75" s="506">
        <f t="shared" si="73"/>
        <v>138.6115617886488</v>
      </c>
      <c r="Y75" s="504">
        <f t="shared" ref="Y75:AE89" si="88">VLOOKUP($B75,$B$233:$AG$265,Y$6,FALSE)*(1+Inflation3)^(Year3-Real_Year)</f>
        <v>8.0858650334488864</v>
      </c>
      <c r="Z75" s="505">
        <f t="shared" si="88"/>
        <v>9.2353975844363525</v>
      </c>
      <c r="AA75" s="505">
        <f t="shared" si="88"/>
        <v>12.409608430615304</v>
      </c>
      <c r="AB75" s="505">
        <f t="shared" si="88"/>
        <v>11.300134875089988</v>
      </c>
      <c r="AC75" s="505">
        <f t="shared" si="88"/>
        <v>9.1122935185587188</v>
      </c>
      <c r="AD75" s="505">
        <f t="shared" si="88"/>
        <v>11.661884625816812</v>
      </c>
      <c r="AE75" s="506">
        <f t="shared" si="88"/>
        <v>10.972782247601963</v>
      </c>
      <c r="AF75" s="1348">
        <f t="shared" si="75"/>
        <v>3.157628540938874E-3</v>
      </c>
      <c r="AG75" s="1343">
        <f t="shared" ref="AG75:AM89" si="89">IF(GECD="Yes",VLOOKUP($B75-5,$B$233:$AG$265,AG$6,FALSE)*(1+Inflation3)^(Year3-Real_Year),"")</f>
        <v>3.6063148832174933E-3</v>
      </c>
      <c r="AH75" s="1344">
        <f t="shared" si="89"/>
        <v>3.6063148832174933E-3</v>
      </c>
      <c r="AI75" s="1344">
        <f t="shared" si="89"/>
        <v>1.5370772669759311E-3</v>
      </c>
      <c r="AJ75" s="1344">
        <f t="shared" si="89"/>
        <v>2.2140500673512573E-3</v>
      </c>
      <c r="AK75" s="1344">
        <f t="shared" si="89"/>
        <v>3.6063148832174933E-3</v>
      </c>
      <c r="AL75" s="1344">
        <f t="shared" si="89"/>
        <v>1.5370772669759311E-3</v>
      </c>
      <c r="AM75" s="1352">
        <f t="shared" si="89"/>
        <v>2.0963306767709483E-3</v>
      </c>
      <c r="AN75" s="504">
        <f t="shared" si="77"/>
        <v>36.209199142324827</v>
      </c>
      <c r="AO75" s="505">
        <f t="shared" si="77"/>
        <v>32.245054064074317</v>
      </c>
      <c r="AP75" s="505">
        <f t="shared" si="77"/>
        <v>30.875352013866273</v>
      </c>
      <c r="AQ75" s="501">
        <f t="shared" si="78"/>
        <v>1.9239082736815974E-2</v>
      </c>
      <c r="AR75" s="505">
        <f t="shared" si="79"/>
        <v>44.574593174783104</v>
      </c>
      <c r="AS75" s="506">
        <f t="shared" si="80"/>
        <v>56.226000086072887</v>
      </c>
      <c r="AT75" s="504">
        <f t="shared" si="80"/>
        <v>31.383708489594515</v>
      </c>
      <c r="AU75" s="505">
        <f t="shared" si="80"/>
        <v>33.841892371211145</v>
      </c>
      <c r="AV75" s="503">
        <f t="shared" si="81"/>
        <v>1.4562600192070924E-2</v>
      </c>
      <c r="AW75" s="508">
        <f t="shared" si="82"/>
        <v>1.4562600192070924E-2</v>
      </c>
      <c r="AX75" s="1355">
        <f t="shared" si="83"/>
        <v>1.7330032641169413</v>
      </c>
      <c r="AY75" s="507">
        <f t="shared" si="84"/>
        <v>15.895117156316152</v>
      </c>
      <c r="AZ75" s="503">
        <f t="shared" si="85"/>
        <v>2.9154226282442269E-2</v>
      </c>
      <c r="BA75" s="502">
        <f t="shared" si="85"/>
        <v>2.8815412977878756E-2</v>
      </c>
      <c r="BB75" s="502">
        <f t="shared" si="85"/>
        <v>3.1893301996865443E-2</v>
      </c>
      <c r="BC75" s="508">
        <f t="shared" si="85"/>
        <v>3.3154419376326731E-2</v>
      </c>
      <c r="BE75" s="689"/>
    </row>
    <row r="76" spans="1:57" s="324" customFormat="1" ht="14.25">
      <c r="A76" s="509">
        <f t="shared" si="87"/>
        <v>12</v>
      </c>
      <c r="B76" s="509">
        <f t="shared" si="86"/>
        <v>2037</v>
      </c>
      <c r="C76" s="499">
        <f t="shared" si="64"/>
        <v>8.8357799704885276E-2</v>
      </c>
      <c r="D76" s="500">
        <f t="shared" si="64"/>
        <v>8.8500695447669336E-2</v>
      </c>
      <c r="E76" s="500">
        <f t="shared" si="64"/>
        <v>6.8114437625721155E-2</v>
      </c>
      <c r="F76" s="501">
        <f t="shared" si="64"/>
        <v>6.4753976938524915E-2</v>
      </c>
      <c r="G76" s="1343">
        <f t="shared" si="65"/>
        <v>0</v>
      </c>
      <c r="H76" s="1344">
        <f t="shared" si="65"/>
        <v>0</v>
      </c>
      <c r="I76" s="1344">
        <f t="shared" si="65"/>
        <v>0</v>
      </c>
      <c r="J76" s="1344">
        <f t="shared" si="65"/>
        <v>0</v>
      </c>
      <c r="K76" s="1343">
        <f t="shared" si="66"/>
        <v>2.3959574620694802E-5</v>
      </c>
      <c r="L76" s="1136">
        <f t="shared" si="67"/>
        <v>73.53416724078663</v>
      </c>
      <c r="M76" s="505">
        <f t="shared" si="67"/>
        <v>0</v>
      </c>
      <c r="N76" s="505">
        <f t="shared" si="67"/>
        <v>0</v>
      </c>
      <c r="O76" s="506">
        <f t="shared" si="68"/>
        <v>0</v>
      </c>
      <c r="P76" s="683">
        <f t="shared" si="69"/>
        <v>0</v>
      </c>
      <c r="Q76" s="683">
        <f t="shared" si="69"/>
        <v>0</v>
      </c>
      <c r="R76" s="1367">
        <f t="shared" si="69"/>
        <v>0</v>
      </c>
      <c r="S76" s="505"/>
      <c r="T76" s="505"/>
      <c r="U76" s="684" t="str">
        <f t="shared" si="70"/>
        <v/>
      </c>
      <c r="V76" s="504">
        <f t="shared" si="71"/>
        <v>114.01069908828957</v>
      </c>
      <c r="W76" s="505">
        <f t="shared" si="72"/>
        <v>0</v>
      </c>
      <c r="X76" s="506">
        <f t="shared" si="73"/>
        <v>138.6115617886488</v>
      </c>
      <c r="Y76" s="504">
        <f t="shared" si="88"/>
        <v>8.1478766926874275</v>
      </c>
      <c r="Z76" s="505">
        <f t="shared" si="88"/>
        <v>9.2908965167166571</v>
      </c>
      <c r="AA76" s="505">
        <f t="shared" si="88"/>
        <v>12.450623474651575</v>
      </c>
      <c r="AB76" s="505">
        <f t="shared" si="88"/>
        <v>11.346231365508675</v>
      </c>
      <c r="AC76" s="505">
        <f t="shared" si="88"/>
        <v>9.1677568764161688</v>
      </c>
      <c r="AD76" s="505">
        <f t="shared" si="88"/>
        <v>11.706724103970972</v>
      </c>
      <c r="AE76" s="506">
        <f t="shared" si="88"/>
        <v>11.020459593074525</v>
      </c>
      <c r="AF76" s="1348">
        <f t="shared" si="75"/>
        <v>3.1665431699109737E-3</v>
      </c>
      <c r="AG76" s="1343">
        <f t="shared" si="89"/>
        <v>0</v>
      </c>
      <c r="AH76" s="1344">
        <f t="shared" si="89"/>
        <v>0</v>
      </c>
      <c r="AI76" s="1344">
        <f t="shared" si="89"/>
        <v>0</v>
      </c>
      <c r="AJ76" s="1344">
        <f t="shared" si="89"/>
        <v>0</v>
      </c>
      <c r="AK76" s="1344">
        <f t="shared" si="89"/>
        <v>0</v>
      </c>
      <c r="AL76" s="1344">
        <f t="shared" si="89"/>
        <v>0</v>
      </c>
      <c r="AM76" s="1352">
        <f t="shared" si="89"/>
        <v>0</v>
      </c>
      <c r="AN76" s="504">
        <f t="shared" si="77"/>
        <v>36.442794476722348</v>
      </c>
      <c r="AO76" s="505">
        <f t="shared" si="77"/>
        <v>32.495899599219996</v>
      </c>
      <c r="AP76" s="505">
        <f t="shared" si="77"/>
        <v>31.117204199078188</v>
      </c>
      <c r="AQ76" s="501">
        <f t="shared" si="78"/>
        <v>1.9352735790520031E-2</v>
      </c>
      <c r="AR76" s="505">
        <f t="shared" si="79"/>
        <v>44.862155928031797</v>
      </c>
      <c r="AS76" s="506">
        <f t="shared" si="80"/>
        <v>56.457628765293386</v>
      </c>
      <c r="AT76" s="504">
        <f t="shared" si="80"/>
        <v>31.586173279010197</v>
      </c>
      <c r="AU76" s="505">
        <f t="shared" si="80"/>
        <v>34.060215569523962</v>
      </c>
      <c r="AV76" s="503">
        <f t="shared" si="81"/>
        <v>1.4562600192070924E-2</v>
      </c>
      <c r="AW76" s="508">
        <f t="shared" si="82"/>
        <v>1.4562600192070924E-2</v>
      </c>
      <c r="AX76" s="1355">
        <f t="shared" si="83"/>
        <v>1.7330032641169413</v>
      </c>
      <c r="AY76" s="507">
        <f t="shared" si="84"/>
        <v>15.895117156316152</v>
      </c>
      <c r="AZ76" s="503">
        <f t="shared" si="85"/>
        <v>2.6844324100446664E-2</v>
      </c>
      <c r="BA76" s="502">
        <f t="shared" si="85"/>
        <v>2.6251789822958164E-2</v>
      </c>
      <c r="BB76" s="502">
        <f t="shared" si="85"/>
        <v>2.918090024630967E-2</v>
      </c>
      <c r="BC76" s="508">
        <f t="shared" si="85"/>
        <v>3.0256620708142869E-2</v>
      </c>
      <c r="BE76" s="689"/>
    </row>
    <row r="77" spans="1:57" s="324" customFormat="1" ht="14.25">
      <c r="A77" s="509">
        <f t="shared" si="87"/>
        <v>13</v>
      </c>
      <c r="B77" s="509">
        <f t="shared" si="86"/>
        <v>2038</v>
      </c>
      <c r="C77" s="499">
        <f t="shared" si="64"/>
        <v>8.8690920009808036E-2</v>
      </c>
      <c r="D77" s="500">
        <f t="shared" si="64"/>
        <v>8.8869654396734249E-2</v>
      </c>
      <c r="E77" s="500">
        <f t="shared" si="64"/>
        <v>6.8667675160950251E-2</v>
      </c>
      <c r="F77" s="501">
        <f t="shared" si="64"/>
        <v>6.5285330967510935E-2</v>
      </c>
      <c r="G77" s="1343">
        <f t="shared" si="65"/>
        <v>0</v>
      </c>
      <c r="H77" s="1344">
        <f t="shared" si="65"/>
        <v>0</v>
      </c>
      <c r="I77" s="1344">
        <f t="shared" si="65"/>
        <v>0</v>
      </c>
      <c r="J77" s="1344">
        <f t="shared" si="65"/>
        <v>0</v>
      </c>
      <c r="K77" s="1343">
        <f t="shared" si="66"/>
        <v>2.4006761197261592E-5</v>
      </c>
      <c r="L77" s="1136">
        <f t="shared" si="67"/>
        <v>75.834921278400486</v>
      </c>
      <c r="M77" s="505">
        <f t="shared" si="67"/>
        <v>0</v>
      </c>
      <c r="N77" s="505">
        <f t="shared" si="67"/>
        <v>0</v>
      </c>
      <c r="O77" s="506">
        <f t="shared" si="68"/>
        <v>0</v>
      </c>
      <c r="P77" s="683">
        <f t="shared" si="69"/>
        <v>0</v>
      </c>
      <c r="Q77" s="683">
        <f t="shared" si="69"/>
        <v>0</v>
      </c>
      <c r="R77" s="1367">
        <f t="shared" si="69"/>
        <v>0</v>
      </c>
      <c r="S77" s="505"/>
      <c r="T77" s="505"/>
      <c r="U77" s="684" t="str">
        <f t="shared" si="70"/>
        <v/>
      </c>
      <c r="V77" s="504">
        <f t="shared" si="71"/>
        <v>114.01069908828957</v>
      </c>
      <c r="W77" s="505">
        <f t="shared" si="72"/>
        <v>0</v>
      </c>
      <c r="X77" s="506">
        <f t="shared" si="73"/>
        <v>138.6115617886488</v>
      </c>
      <c r="Y77" s="504">
        <f t="shared" si="88"/>
        <v>8.2103639282391523</v>
      </c>
      <c r="Z77" s="505">
        <f t="shared" si="88"/>
        <v>9.3467289626823344</v>
      </c>
      <c r="AA77" s="505">
        <f t="shared" si="88"/>
        <v>12.491774077665934</v>
      </c>
      <c r="AB77" s="505">
        <f t="shared" si="88"/>
        <v>11.392515896729744</v>
      </c>
      <c r="AC77" s="505">
        <f t="shared" si="88"/>
        <v>9.223557820421231</v>
      </c>
      <c r="AD77" s="505">
        <f t="shared" si="88"/>
        <v>11.7517359881183</v>
      </c>
      <c r="AE77" s="506">
        <f t="shared" si="88"/>
        <v>11.068344099248906</v>
      </c>
      <c r="AF77" s="1348">
        <f t="shared" si="75"/>
        <v>3.1727794380461347E-3</v>
      </c>
      <c r="AG77" s="1343">
        <f t="shared" si="89"/>
        <v>0</v>
      </c>
      <c r="AH77" s="1344">
        <f t="shared" si="89"/>
        <v>0</v>
      </c>
      <c r="AI77" s="1344">
        <f t="shared" si="89"/>
        <v>0</v>
      </c>
      <c r="AJ77" s="1344">
        <f t="shared" si="89"/>
        <v>0</v>
      </c>
      <c r="AK77" s="1344">
        <f t="shared" si="89"/>
        <v>0</v>
      </c>
      <c r="AL77" s="1344">
        <f t="shared" si="89"/>
        <v>0</v>
      </c>
      <c r="AM77" s="1352">
        <f t="shared" si="89"/>
        <v>0</v>
      </c>
      <c r="AN77" s="504">
        <f t="shared" si="77"/>
        <v>36.677896797784719</v>
      </c>
      <c r="AO77" s="505">
        <f t="shared" si="77"/>
        <v>32.748696549375794</v>
      </c>
      <c r="AP77" s="505">
        <f t="shared" si="77"/>
        <v>31.360950855953632</v>
      </c>
      <c r="AQ77" s="501">
        <f t="shared" si="78"/>
        <v>1.946706023884268E-2</v>
      </c>
      <c r="AR77" s="505">
        <f t="shared" si="79"/>
        <v>45.151573826356774</v>
      </c>
      <c r="AS77" s="506">
        <f t="shared" si="80"/>
        <v>56.69021166222376</v>
      </c>
      <c r="AT77" s="504">
        <f t="shared" si="80"/>
        <v>31.789944223527549</v>
      </c>
      <c r="AU77" s="505">
        <f t="shared" si="80"/>
        <v>34.279947229822255</v>
      </c>
      <c r="AV77" s="503">
        <f t="shared" si="81"/>
        <v>1.4562600192070924E-2</v>
      </c>
      <c r="AW77" s="508">
        <f t="shared" si="82"/>
        <v>1.4562600192070924E-2</v>
      </c>
      <c r="AX77" s="1355">
        <f t="shared" si="83"/>
        <v>1.7330032641169413</v>
      </c>
      <c r="AY77" s="507">
        <f t="shared" si="84"/>
        <v>15.895117156316152</v>
      </c>
      <c r="AZ77" s="503">
        <f t="shared" si="85"/>
        <v>2.4717436485145336E-2</v>
      </c>
      <c r="BA77" s="502">
        <f t="shared" si="85"/>
        <v>2.3916244734643471E-2</v>
      </c>
      <c r="BB77" s="502">
        <f t="shared" si="85"/>
        <v>2.6699177754274731E-2</v>
      </c>
      <c r="BC77" s="508">
        <f t="shared" si="85"/>
        <v>2.7612098594918803E-2</v>
      </c>
      <c r="BE77" s="689"/>
    </row>
    <row r="78" spans="1:57" s="324" customFormat="1" ht="14.25">
      <c r="A78" s="509">
        <f t="shared" si="87"/>
        <v>14</v>
      </c>
      <c r="B78" s="509">
        <f t="shared" si="86"/>
        <v>2039</v>
      </c>
      <c r="C78" s="499">
        <f t="shared" si="64"/>
        <v>8.9136105764571066E-2</v>
      </c>
      <c r="D78" s="500">
        <f t="shared" si="64"/>
        <v>8.9351615582130547E-2</v>
      </c>
      <c r="E78" s="500">
        <f t="shared" si="64"/>
        <v>6.9346162704480865E-2</v>
      </c>
      <c r="F78" s="501">
        <f t="shared" si="64"/>
        <v>6.5942544449462751E-2</v>
      </c>
      <c r="G78" s="1343">
        <f t="shared" si="65"/>
        <v>0</v>
      </c>
      <c r="H78" s="1344">
        <f t="shared" si="65"/>
        <v>0</v>
      </c>
      <c r="I78" s="1344">
        <f t="shared" si="65"/>
        <v>0</v>
      </c>
      <c r="J78" s="1344">
        <f t="shared" si="65"/>
        <v>0</v>
      </c>
      <c r="K78" s="1343">
        <f t="shared" si="66"/>
        <v>2.4066313318915951E-5</v>
      </c>
      <c r="L78" s="1136">
        <f t="shared" si="67"/>
        <v>78.207661840649379</v>
      </c>
      <c r="M78" s="505">
        <f t="shared" si="67"/>
        <v>0</v>
      </c>
      <c r="N78" s="505">
        <f t="shared" si="67"/>
        <v>0</v>
      </c>
      <c r="O78" s="506">
        <f t="shared" si="68"/>
        <v>0</v>
      </c>
      <c r="P78" s="683">
        <f t="shared" si="69"/>
        <v>0</v>
      </c>
      <c r="Q78" s="683">
        <f t="shared" si="69"/>
        <v>0</v>
      </c>
      <c r="R78" s="1367">
        <f t="shared" si="69"/>
        <v>0</v>
      </c>
      <c r="S78" s="505"/>
      <c r="T78" s="505"/>
      <c r="U78" s="684" t="str">
        <f t="shared" si="70"/>
        <v/>
      </c>
      <c r="V78" s="504">
        <f t="shared" si="71"/>
        <v>114.01069908828957</v>
      </c>
      <c r="W78" s="505">
        <f t="shared" si="72"/>
        <v>0</v>
      </c>
      <c r="X78" s="506">
        <f t="shared" si="73"/>
        <v>138.6115617886488</v>
      </c>
      <c r="Y78" s="504">
        <f t="shared" si="88"/>
        <v>8.2733303873670518</v>
      </c>
      <c r="Z78" s="505">
        <f t="shared" si="88"/>
        <v>9.402896926540917</v>
      </c>
      <c r="AA78" s="505">
        <f t="shared" si="88"/>
        <v>12.533060687694871</v>
      </c>
      <c r="AB78" s="505">
        <f t="shared" si="88"/>
        <v>11.438989235825545</v>
      </c>
      <c r="AC78" s="505">
        <f t="shared" si="88"/>
        <v>9.2796984053432396</v>
      </c>
      <c r="AD78" s="505">
        <f t="shared" si="88"/>
        <v>11.796920941152919</v>
      </c>
      <c r="AE78" s="506">
        <f t="shared" si="88"/>
        <v>11.116436666249808</v>
      </c>
      <c r="AF78" s="1348">
        <f t="shared" si="75"/>
        <v>3.1806499602512932E-3</v>
      </c>
      <c r="AG78" s="1343">
        <f t="shared" si="89"/>
        <v>0</v>
      </c>
      <c r="AH78" s="1344">
        <f t="shared" si="89"/>
        <v>0</v>
      </c>
      <c r="AI78" s="1344">
        <f t="shared" si="89"/>
        <v>0</v>
      </c>
      <c r="AJ78" s="1344">
        <f t="shared" si="89"/>
        <v>0</v>
      </c>
      <c r="AK78" s="1344">
        <f t="shared" si="89"/>
        <v>0</v>
      </c>
      <c r="AL78" s="1344">
        <f t="shared" si="89"/>
        <v>0</v>
      </c>
      <c r="AM78" s="1352">
        <f t="shared" si="89"/>
        <v>0</v>
      </c>
      <c r="AN78" s="504">
        <f t="shared" si="77"/>
        <v>36.914515827490391</v>
      </c>
      <c r="AO78" s="505">
        <f t="shared" si="77"/>
        <v>33.003460095280481</v>
      </c>
      <c r="AP78" s="505">
        <f t="shared" si="77"/>
        <v>31.606606824229861</v>
      </c>
      <c r="AQ78" s="501">
        <f t="shared" si="78"/>
        <v>1.9582060047983862E-2</v>
      </c>
      <c r="AR78" s="505">
        <f t="shared" si="79"/>
        <v>45.442858837800557</v>
      </c>
      <c r="AS78" s="506">
        <f t="shared" si="80"/>
        <v>56.92375270786011</v>
      </c>
      <c r="AT78" s="504">
        <f t="shared" si="80"/>
        <v>31.995029749506312</v>
      </c>
      <c r="AU78" s="505">
        <f t="shared" si="80"/>
        <v>34.501096438475138</v>
      </c>
      <c r="AV78" s="503">
        <f t="shared" si="81"/>
        <v>1.4562600192070924E-2</v>
      </c>
      <c r="AW78" s="508">
        <f t="shared" si="82"/>
        <v>1.4562600192070924E-2</v>
      </c>
      <c r="AX78" s="1355">
        <f t="shared" si="83"/>
        <v>1.7330032641169413</v>
      </c>
      <c r="AY78" s="507">
        <f t="shared" si="84"/>
        <v>15.895117156316152</v>
      </c>
      <c r="AZ78" s="503">
        <f t="shared" si="85"/>
        <v>2.2759063111856413E-2</v>
      </c>
      <c r="BA78" s="502">
        <f t="shared" si="85"/>
        <v>2.17884862733107E-2</v>
      </c>
      <c r="BB78" s="502">
        <f t="shared" si="85"/>
        <v>2.4428516143689155E-2</v>
      </c>
      <c r="BC78" s="508">
        <f t="shared" si="85"/>
        <v>2.5198715883374478E-2</v>
      </c>
      <c r="BE78" s="689"/>
    </row>
    <row r="79" spans="1:57" s="324" customFormat="1" ht="14.25">
      <c r="A79" s="509">
        <f t="shared" si="87"/>
        <v>15</v>
      </c>
      <c r="B79" s="509">
        <f t="shared" si="86"/>
        <v>2040</v>
      </c>
      <c r="C79" s="499">
        <f t="shared" si="64"/>
        <v>8.9680962329618766E-2</v>
      </c>
      <c r="D79" s="500">
        <f t="shared" si="64"/>
        <v>8.9934203062898219E-2</v>
      </c>
      <c r="E79" s="500">
        <f t="shared" si="64"/>
        <v>7.0137896343702558E-2</v>
      </c>
      <c r="F79" s="501">
        <f t="shared" si="64"/>
        <v>6.6713649739177747E-2</v>
      </c>
      <c r="G79" s="1343">
        <f t="shared" si="65"/>
        <v>0</v>
      </c>
      <c r="H79" s="1344">
        <f t="shared" si="65"/>
        <v>0</v>
      </c>
      <c r="I79" s="1344">
        <f t="shared" si="65"/>
        <v>0</v>
      </c>
      <c r="J79" s="1344">
        <f t="shared" si="65"/>
        <v>0</v>
      </c>
      <c r="K79" s="1343">
        <f t="shared" si="66"/>
        <v>2.4139647871032491E-5</v>
      </c>
      <c r="L79" s="1136">
        <f t="shared" si="67"/>
        <v>80.654641258571004</v>
      </c>
      <c r="M79" s="505">
        <f t="shared" si="67"/>
        <v>0</v>
      </c>
      <c r="N79" s="505">
        <f t="shared" si="67"/>
        <v>0</v>
      </c>
      <c r="O79" s="506">
        <f t="shared" si="68"/>
        <v>0</v>
      </c>
      <c r="P79" s="683">
        <f t="shared" si="69"/>
        <v>0</v>
      </c>
      <c r="Q79" s="683">
        <f t="shared" si="69"/>
        <v>0</v>
      </c>
      <c r="R79" s="1367">
        <f t="shared" si="69"/>
        <v>0</v>
      </c>
      <c r="S79" s="505"/>
      <c r="T79" s="505"/>
      <c r="U79" s="684" t="str">
        <f t="shared" si="70"/>
        <v/>
      </c>
      <c r="V79" s="504">
        <f t="shared" si="71"/>
        <v>114.01069908828957</v>
      </c>
      <c r="W79" s="505">
        <f t="shared" si="72"/>
        <v>0</v>
      </c>
      <c r="X79" s="506">
        <f t="shared" si="73"/>
        <v>138.6115617886488</v>
      </c>
      <c r="Y79" s="504">
        <f t="shared" si="88"/>
        <v>8.336779745305499</v>
      </c>
      <c r="Z79" s="505">
        <f t="shared" si="88"/>
        <v>9.4594024245439723</v>
      </c>
      <c r="AA79" s="505">
        <f t="shared" si="88"/>
        <v>12.57448375425569</v>
      </c>
      <c r="AB79" s="505">
        <f t="shared" si="88"/>
        <v>11.48565215299754</v>
      </c>
      <c r="AC79" s="505">
        <f t="shared" si="88"/>
        <v>9.3361806984581985</v>
      </c>
      <c r="AD79" s="505">
        <f t="shared" si="88"/>
        <v>11.842279628517753</v>
      </c>
      <c r="AE79" s="506">
        <f t="shared" si="88"/>
        <v>11.164738198113021</v>
      </c>
      <c r="AF79" s="1348">
        <f t="shared" si="75"/>
        <v>3.1903419948053017E-3</v>
      </c>
      <c r="AG79" s="1343">
        <f t="shared" si="89"/>
        <v>0</v>
      </c>
      <c r="AH79" s="1344">
        <f t="shared" si="89"/>
        <v>0</v>
      </c>
      <c r="AI79" s="1344">
        <f t="shared" si="89"/>
        <v>0</v>
      </c>
      <c r="AJ79" s="1344">
        <f t="shared" si="89"/>
        <v>0</v>
      </c>
      <c r="AK79" s="1344">
        <f t="shared" si="89"/>
        <v>0</v>
      </c>
      <c r="AL79" s="1344">
        <f t="shared" si="89"/>
        <v>0</v>
      </c>
      <c r="AM79" s="1352">
        <f t="shared" si="89"/>
        <v>0</v>
      </c>
      <c r="AN79" s="504">
        <f t="shared" si="77"/>
        <v>37.152661350536931</v>
      </c>
      <c r="AO79" s="505">
        <f t="shared" si="77"/>
        <v>33.260205535769089</v>
      </c>
      <c r="AP79" s="505">
        <f t="shared" si="77"/>
        <v>31.85418705988647</v>
      </c>
      <c r="AQ79" s="501">
        <f t="shared" si="78"/>
        <v>1.9697739207573457E-2</v>
      </c>
      <c r="AR79" s="505">
        <f t="shared" si="79"/>
        <v>45.736023007614719</v>
      </c>
      <c r="AS79" s="506">
        <f t="shared" si="80"/>
        <v>57.15825584939271</v>
      </c>
      <c r="AT79" s="504">
        <f t="shared" si="80"/>
        <v>32.20143833766695</v>
      </c>
      <c r="AU79" s="505">
        <f t="shared" si="80"/>
        <v>34.72367234047033</v>
      </c>
      <c r="AV79" s="503">
        <f t="shared" si="81"/>
        <v>1.4562600192070924E-2</v>
      </c>
      <c r="AW79" s="508">
        <f t="shared" si="82"/>
        <v>1.4562600192070924E-2</v>
      </c>
      <c r="AX79" s="1355">
        <f t="shared" si="83"/>
        <v>1.7330032641169413</v>
      </c>
      <c r="AY79" s="507">
        <f t="shared" si="84"/>
        <v>15.895117156316152</v>
      </c>
      <c r="AZ79" s="503">
        <f t="shared" si="85"/>
        <v>2.0955852523005587E-2</v>
      </c>
      <c r="BA79" s="502">
        <f t="shared" si="85"/>
        <v>1.9850028269470538E-2</v>
      </c>
      <c r="BB79" s="502">
        <f t="shared" si="85"/>
        <v>2.2350965504431591E-2</v>
      </c>
      <c r="BC79" s="508">
        <f t="shared" si="85"/>
        <v>2.299627027580866E-2</v>
      </c>
      <c r="BE79" s="689"/>
    </row>
    <row r="80" spans="1:57" s="324" customFormat="1" ht="14.25">
      <c r="A80" s="509">
        <f t="shared" si="87"/>
        <v>16</v>
      </c>
      <c r="B80" s="509">
        <f t="shared" si="86"/>
        <v>2041</v>
      </c>
      <c r="C80" s="499">
        <f t="shared" si="64"/>
        <v>9.0314719735234653E-2</v>
      </c>
      <c r="D80" s="500">
        <f t="shared" si="64"/>
        <v>9.0606665901223724E-2</v>
      </c>
      <c r="E80" s="500">
        <f t="shared" si="64"/>
        <v>7.1032506559897651E-2</v>
      </c>
      <c r="F80" s="501">
        <f t="shared" si="64"/>
        <v>6.7588314862148155E-2</v>
      </c>
      <c r="G80" s="1343">
        <f t="shared" si="65"/>
        <v>0</v>
      </c>
      <c r="H80" s="1344">
        <f t="shared" si="65"/>
        <v>0</v>
      </c>
      <c r="I80" s="1344">
        <f t="shared" si="65"/>
        <v>0</v>
      </c>
      <c r="J80" s="1344">
        <f t="shared" si="65"/>
        <v>0</v>
      </c>
      <c r="K80" s="1343">
        <f t="shared" si="66"/>
        <v>2.4200798898159519E-5</v>
      </c>
      <c r="L80" s="1136">
        <f t="shared" si="67"/>
        <v>83.178182334657691</v>
      </c>
      <c r="M80" s="505">
        <f t="shared" si="67"/>
        <v>0</v>
      </c>
      <c r="N80" s="505">
        <f t="shared" si="67"/>
        <v>0</v>
      </c>
      <c r="O80" s="506">
        <f t="shared" si="68"/>
        <v>0</v>
      </c>
      <c r="P80" s="683">
        <f t="shared" si="69"/>
        <v>0</v>
      </c>
      <c r="Q80" s="683">
        <f t="shared" si="69"/>
        <v>0</v>
      </c>
      <c r="R80" s="1367">
        <f t="shared" si="69"/>
        <v>0</v>
      </c>
      <c r="S80" s="505"/>
      <c r="T80" s="505"/>
      <c r="U80" s="684" t="str">
        <f t="shared" si="70"/>
        <v/>
      </c>
      <c r="V80" s="504">
        <f t="shared" si="71"/>
        <v>114.01069908828957</v>
      </c>
      <c r="W80" s="505">
        <f t="shared" si="72"/>
        <v>0</v>
      </c>
      <c r="X80" s="506">
        <f t="shared" si="73"/>
        <v>138.6115617886488</v>
      </c>
      <c r="Y80" s="504">
        <f t="shared" si="88"/>
        <v>8.4007157054747648</v>
      </c>
      <c r="Z80" s="505">
        <f t="shared" si="88"/>
        <v>9.5162474850594645</v>
      </c>
      <c r="AA80" s="505">
        <f t="shared" si="88"/>
        <v>12.616043728351391</v>
      </c>
      <c r="AB80" s="505">
        <f t="shared" si="88"/>
        <v>11.532505421589065</v>
      </c>
      <c r="AC80" s="505">
        <f t="shared" si="88"/>
        <v>9.3930067796248995</v>
      </c>
      <c r="AD80" s="505">
        <f t="shared" si="88"/>
        <v>11.887812718214322</v>
      </c>
      <c r="AE80" s="506">
        <f t="shared" si="88"/>
        <v>11.213249602802428</v>
      </c>
      <c r="AF80" s="1348">
        <f t="shared" si="75"/>
        <v>3.1977450489121071E-3</v>
      </c>
      <c r="AG80" s="1343">
        <f t="shared" si="89"/>
        <v>0</v>
      </c>
      <c r="AH80" s="1344">
        <f t="shared" si="89"/>
        <v>0</v>
      </c>
      <c r="AI80" s="1344">
        <f t="shared" si="89"/>
        <v>0</v>
      </c>
      <c r="AJ80" s="1344">
        <f t="shared" si="89"/>
        <v>0</v>
      </c>
      <c r="AK80" s="1344">
        <f t="shared" si="89"/>
        <v>0</v>
      </c>
      <c r="AL80" s="1344">
        <f t="shared" si="89"/>
        <v>0</v>
      </c>
      <c r="AM80" s="1352">
        <f t="shared" si="89"/>
        <v>0</v>
      </c>
      <c r="AN80" s="504">
        <f t="shared" si="77"/>
        <v>37.392343214745637</v>
      </c>
      <c r="AO80" s="505">
        <f t="shared" si="77"/>
        <v>33.518948288691654</v>
      </c>
      <c r="AP80" s="505">
        <f t="shared" si="77"/>
        <v>32.103706636055925</v>
      </c>
      <c r="AQ80" s="501">
        <f t="shared" si="78"/>
        <v>1.9814101730809702E-2</v>
      </c>
      <c r="AR80" s="505">
        <f t="shared" si="79"/>
        <v>46.031078458758024</v>
      </c>
      <c r="AS80" s="506">
        <f t="shared" si="80"/>
        <v>57.393725050272643</v>
      </c>
      <c r="AT80" s="504">
        <f t="shared" si="80"/>
        <v>32.409178523441341</v>
      </c>
      <c r="AU80" s="505">
        <f t="shared" si="80"/>
        <v>34.947684139792372</v>
      </c>
      <c r="AV80" s="503">
        <f t="shared" si="81"/>
        <v>1.4562600192070924E-2</v>
      </c>
      <c r="AW80" s="508">
        <f t="shared" si="82"/>
        <v>1.4562600192070924E-2</v>
      </c>
      <c r="AX80" s="1355">
        <f t="shared" si="83"/>
        <v>1.7330032641169413</v>
      </c>
      <c r="AY80" s="507">
        <f t="shared" si="84"/>
        <v>15.895117156316152</v>
      </c>
      <c r="AZ80" s="503">
        <f t="shared" si="85"/>
        <v>1.929551110287946E-2</v>
      </c>
      <c r="BA80" s="502">
        <f t="shared" si="85"/>
        <v>1.8084029214155629E-2</v>
      </c>
      <c r="BB80" s="502">
        <f t="shared" si="85"/>
        <v>2.0450102496681864E-2</v>
      </c>
      <c r="BC80" s="508">
        <f t="shared" si="85"/>
        <v>2.0986325217744503E-2</v>
      </c>
      <c r="BE80" s="689"/>
    </row>
    <row r="81" spans="1:57" s="324" customFormat="1" ht="14.25">
      <c r="A81" s="509">
        <f t="shared" si="87"/>
        <v>17</v>
      </c>
      <c r="B81" s="509">
        <f t="shared" si="86"/>
        <v>2042</v>
      </c>
      <c r="C81" s="499">
        <f t="shared" si="64"/>
        <v>9.1028023633498767E-2</v>
      </c>
      <c r="D81" s="500">
        <f t="shared" si="64"/>
        <v>9.1359669119978143E-2</v>
      </c>
      <c r="E81" s="500">
        <f t="shared" si="64"/>
        <v>7.2021049404767126E-2</v>
      </c>
      <c r="F81" s="501">
        <f t="shared" si="64"/>
        <v>6.8557634729207714E-2</v>
      </c>
      <c r="G81" s="1343">
        <f t="shared" si="65"/>
        <v>0</v>
      </c>
      <c r="H81" s="1344">
        <f t="shared" si="65"/>
        <v>0</v>
      </c>
      <c r="I81" s="1344">
        <f t="shared" si="65"/>
        <v>0</v>
      </c>
      <c r="J81" s="1344">
        <f t="shared" si="65"/>
        <v>0</v>
      </c>
      <c r="K81" s="1343">
        <f t="shared" si="66"/>
        <v>2.4262104834261961E-5</v>
      </c>
      <c r="L81" s="1136">
        <f t="shared" si="67"/>
        <v>85.780680547783547</v>
      </c>
      <c r="M81" s="505">
        <f t="shared" si="67"/>
        <v>0</v>
      </c>
      <c r="N81" s="505">
        <f t="shared" si="67"/>
        <v>0</v>
      </c>
      <c r="O81" s="506">
        <f t="shared" si="68"/>
        <v>0</v>
      </c>
      <c r="P81" s="683">
        <f t="shared" si="69"/>
        <v>0</v>
      </c>
      <c r="Q81" s="683">
        <f t="shared" si="69"/>
        <v>0</v>
      </c>
      <c r="R81" s="1367">
        <f t="shared" si="69"/>
        <v>0</v>
      </c>
      <c r="S81" s="505"/>
      <c r="T81" s="505"/>
      <c r="U81" s="684" t="str">
        <f t="shared" si="70"/>
        <v/>
      </c>
      <c r="V81" s="504">
        <f t="shared" si="71"/>
        <v>114.01069908828957</v>
      </c>
      <c r="W81" s="505">
        <f t="shared" si="72"/>
        <v>0</v>
      </c>
      <c r="X81" s="506">
        <f t="shared" si="73"/>
        <v>138.6115617886488</v>
      </c>
      <c r="Y81" s="504">
        <f t="shared" si="88"/>
        <v>8.4651419996971846</v>
      </c>
      <c r="Z81" s="505">
        <f t="shared" si="88"/>
        <v>9.5734341486445782</v>
      </c>
      <c r="AA81" s="505">
        <f t="shared" si="88"/>
        <v>12.657741062475591</v>
      </c>
      <c r="AB81" s="505">
        <f t="shared" si="88"/>
        <v>11.579549818098139</v>
      </c>
      <c r="AC81" s="505">
        <f t="shared" si="88"/>
        <v>9.4501787413615101</v>
      </c>
      <c r="AD81" s="505">
        <f t="shared" si="88"/>
        <v>11.933520880812594</v>
      </c>
      <c r="AE81" s="506">
        <f t="shared" si="88"/>
        <v>11.261971792227058</v>
      </c>
      <c r="AF81" s="1348">
        <f t="shared" si="75"/>
        <v>3.205165281493884E-3</v>
      </c>
      <c r="AG81" s="1343">
        <f t="shared" si="89"/>
        <v>0</v>
      </c>
      <c r="AH81" s="1344">
        <f t="shared" si="89"/>
        <v>0</v>
      </c>
      <c r="AI81" s="1344">
        <f t="shared" si="89"/>
        <v>0</v>
      </c>
      <c r="AJ81" s="1344">
        <f t="shared" si="89"/>
        <v>0</v>
      </c>
      <c r="AK81" s="1344">
        <f t="shared" si="89"/>
        <v>0</v>
      </c>
      <c r="AL81" s="1344">
        <f t="shared" si="89"/>
        <v>0</v>
      </c>
      <c r="AM81" s="1352">
        <f t="shared" si="89"/>
        <v>0</v>
      </c>
      <c r="AN81" s="504">
        <f t="shared" si="77"/>
        <v>37.633571331468751</v>
      </c>
      <c r="AO81" s="505">
        <f t="shared" si="77"/>
        <v>33.779703891839027</v>
      </c>
      <c r="AP81" s="505">
        <f t="shared" si="77"/>
        <v>32.355180743941247</v>
      </c>
      <c r="AQ81" s="501">
        <f t="shared" si="78"/>
        <v>1.9931151654598425E-2</v>
      </c>
      <c r="AR81" s="505">
        <f t="shared" si="79"/>
        <v>46.328037392397725</v>
      </c>
      <c r="AS81" s="506">
        <f t="shared" si="80"/>
        <v>57.630164290278834</v>
      </c>
      <c r="AT81" s="504">
        <f t="shared" si="80"/>
        <v>32.618258897325752</v>
      </c>
      <c r="AU81" s="505">
        <f t="shared" si="80"/>
        <v>35.173141099803154</v>
      </c>
      <c r="AV81" s="503">
        <f t="shared" si="81"/>
        <v>1.4562600192070924E-2</v>
      </c>
      <c r="AW81" s="508">
        <f t="shared" si="82"/>
        <v>1.4562600192070924E-2</v>
      </c>
      <c r="AX81" s="1355">
        <f t="shared" si="83"/>
        <v>1.7330032641169413</v>
      </c>
      <c r="AY81" s="507">
        <f t="shared" si="84"/>
        <v>15.895117156316152</v>
      </c>
      <c r="AZ81" s="503">
        <f t="shared" si="85"/>
        <v>1.7766719264349213E-2</v>
      </c>
      <c r="BA81" s="502">
        <f t="shared" si="85"/>
        <v>1.6475145938276144E-2</v>
      </c>
      <c r="BB81" s="502">
        <f t="shared" si="85"/>
        <v>1.871090052203225E-2</v>
      </c>
      <c r="BC81" s="508">
        <f t="shared" si="85"/>
        <v>1.9152055566517358E-2</v>
      </c>
      <c r="BE81" s="689"/>
    </row>
    <row r="82" spans="1:57" s="324" customFormat="1" ht="14.25">
      <c r="A82" s="509">
        <f t="shared" si="87"/>
        <v>18</v>
      </c>
      <c r="B82" s="509">
        <f t="shared" si="86"/>
        <v>2043</v>
      </c>
      <c r="C82" s="499">
        <f t="shared" si="64"/>
        <v>9.1812753199540992E-2</v>
      </c>
      <c r="D82" s="500">
        <f t="shared" si="64"/>
        <v>9.218511160964088E-2</v>
      </c>
      <c r="E82" s="500">
        <f t="shared" si="64"/>
        <v>7.3095824631243367E-2</v>
      </c>
      <c r="F82" s="501">
        <f t="shared" si="64"/>
        <v>6.9613949306514017E-2</v>
      </c>
      <c r="G82" s="1343">
        <f t="shared" si="65"/>
        <v>0</v>
      </c>
      <c r="H82" s="1344">
        <f t="shared" si="65"/>
        <v>0</v>
      </c>
      <c r="I82" s="1344">
        <f t="shared" si="65"/>
        <v>0</v>
      </c>
      <c r="J82" s="1344">
        <f t="shared" si="65"/>
        <v>0</v>
      </c>
      <c r="K82" s="1343">
        <f t="shared" si="66"/>
        <v>2.4323566071758262E-5</v>
      </c>
      <c r="L82" s="1136">
        <f t="shared" si="67"/>
        <v>88.464606327119867</v>
      </c>
      <c r="M82" s="505">
        <f t="shared" si="67"/>
        <v>0</v>
      </c>
      <c r="N82" s="505">
        <f t="shared" si="67"/>
        <v>0</v>
      </c>
      <c r="O82" s="506">
        <f t="shared" si="68"/>
        <v>0</v>
      </c>
      <c r="P82" s="683">
        <f t="shared" si="69"/>
        <v>0</v>
      </c>
      <c r="Q82" s="683">
        <f t="shared" si="69"/>
        <v>0</v>
      </c>
      <c r="R82" s="1367">
        <f t="shared" si="69"/>
        <v>0</v>
      </c>
      <c r="S82" s="505"/>
      <c r="T82" s="505"/>
      <c r="U82" s="684" t="str">
        <f t="shared" si="70"/>
        <v/>
      </c>
      <c r="V82" s="504">
        <f t="shared" si="71"/>
        <v>114.01069908828957</v>
      </c>
      <c r="W82" s="505">
        <f t="shared" si="72"/>
        <v>0</v>
      </c>
      <c r="X82" s="506">
        <f t="shared" si="73"/>
        <v>138.6115617886488</v>
      </c>
      <c r="Y82" s="504">
        <f t="shared" si="88"/>
        <v>8.5300623884149722</v>
      </c>
      <c r="Z82" s="505">
        <f t="shared" si="88"/>
        <v>9.6309644681189646</v>
      </c>
      <c r="AA82" s="505">
        <f t="shared" si="88"/>
        <v>12.699576210617442</v>
      </c>
      <c r="AB82" s="505">
        <f t="shared" si="88"/>
        <v>11.626786122190344</v>
      </c>
      <c r="AC82" s="505">
        <f t="shared" si="88"/>
        <v>9.5076986889226269</v>
      </c>
      <c r="AD82" s="505">
        <f t="shared" si="88"/>
        <v>11.979404789460844</v>
      </c>
      <c r="AE82" s="506">
        <f t="shared" si="88"/>
        <v>11.310905682258239</v>
      </c>
      <c r="AF82" s="1348">
        <f t="shared" si="75"/>
        <v>3.2126027324125596E-3</v>
      </c>
      <c r="AG82" s="1343">
        <f t="shared" si="89"/>
        <v>0</v>
      </c>
      <c r="AH82" s="1344">
        <f t="shared" si="89"/>
        <v>0</v>
      </c>
      <c r="AI82" s="1344">
        <f t="shared" si="89"/>
        <v>0</v>
      </c>
      <c r="AJ82" s="1344">
        <f t="shared" si="89"/>
        <v>0</v>
      </c>
      <c r="AK82" s="1344">
        <f t="shared" si="89"/>
        <v>0</v>
      </c>
      <c r="AL82" s="1344">
        <f t="shared" si="89"/>
        <v>0</v>
      </c>
      <c r="AM82" s="1352">
        <f t="shared" si="89"/>
        <v>0</v>
      </c>
      <c r="AN82" s="504">
        <f t="shared" si="77"/>
        <v>37.876355675999356</v>
      </c>
      <c r="AO82" s="505">
        <f t="shared" si="77"/>
        <v>34.042488003875974</v>
      </c>
      <c r="AP82" s="505">
        <f t="shared" si="77"/>
        <v>32.608624693740886</v>
      </c>
      <c r="AQ82" s="501">
        <f t="shared" si="78"/>
        <v>2.0048893039693098E-2</v>
      </c>
      <c r="AR82" s="505">
        <f t="shared" si="79"/>
        <v>46.62691208841408</v>
      </c>
      <c r="AS82" s="506">
        <f t="shared" si="80"/>
        <v>57.867577565585329</v>
      </c>
      <c r="AT82" s="504">
        <f t="shared" si="80"/>
        <v>32.828688105236054</v>
      </c>
      <c r="AU82" s="505">
        <f t="shared" si="80"/>
        <v>35.400052543625058</v>
      </c>
      <c r="AV82" s="503">
        <f t="shared" si="81"/>
        <v>1.4562600192070924E-2</v>
      </c>
      <c r="AW82" s="508">
        <f t="shared" si="82"/>
        <v>1.4562600192070924E-2</v>
      </c>
      <c r="AX82" s="1355">
        <f t="shared" si="83"/>
        <v>1.7330032641169413</v>
      </c>
      <c r="AY82" s="507">
        <f t="shared" si="84"/>
        <v>15.895117156316152</v>
      </c>
      <c r="AZ82" s="503">
        <f t="shared" si="85"/>
        <v>1.6359054276157123E-2</v>
      </c>
      <c r="BA82" s="502">
        <f t="shared" si="85"/>
        <v>1.5009400309695886E-2</v>
      </c>
      <c r="BB82" s="502">
        <f t="shared" si="85"/>
        <v>1.7119610936042588E-2</v>
      </c>
      <c r="BC82" s="508">
        <f t="shared" si="85"/>
        <v>1.7478106748904675E-2</v>
      </c>
      <c r="BE82" s="689"/>
    </row>
    <row r="83" spans="1:57" s="324" customFormat="1" ht="14.25">
      <c r="A83" s="509">
        <f t="shared" si="87"/>
        <v>19</v>
      </c>
      <c r="B83" s="509">
        <f t="shared" si="86"/>
        <v>2044</v>
      </c>
      <c r="C83" s="499">
        <f t="shared" si="64"/>
        <v>9.2661862508612317E-2</v>
      </c>
      <c r="D83" s="500">
        <f t="shared" si="64"/>
        <v>9.3075967511132812E-2</v>
      </c>
      <c r="E83" s="500">
        <f t="shared" si="64"/>
        <v>7.42502173052208E-2</v>
      </c>
      <c r="F83" s="501">
        <f t="shared" si="64"/>
        <v>7.0750685267524788E-2</v>
      </c>
      <c r="G83" s="1343">
        <f t="shared" si="65"/>
        <v>0</v>
      </c>
      <c r="H83" s="1344">
        <f t="shared" si="65"/>
        <v>0</v>
      </c>
      <c r="I83" s="1344">
        <f t="shared" si="65"/>
        <v>0</v>
      </c>
      <c r="J83" s="1344">
        <f t="shared" si="65"/>
        <v>0</v>
      </c>
      <c r="K83" s="1343">
        <f t="shared" si="66"/>
        <v>2.4385183004060942E-5</v>
      </c>
      <c r="L83" s="1136">
        <f t="shared" si="67"/>
        <v>91.232507397197494</v>
      </c>
      <c r="M83" s="505">
        <f t="shared" si="67"/>
        <v>0</v>
      </c>
      <c r="N83" s="505">
        <f t="shared" si="67"/>
        <v>0</v>
      </c>
      <c r="O83" s="506">
        <f t="shared" si="68"/>
        <v>0</v>
      </c>
      <c r="P83" s="683">
        <f t="shared" si="69"/>
        <v>0</v>
      </c>
      <c r="Q83" s="683">
        <f t="shared" si="69"/>
        <v>0</v>
      </c>
      <c r="R83" s="1367">
        <f t="shared" si="69"/>
        <v>0</v>
      </c>
      <c r="S83" s="505"/>
      <c r="T83" s="505"/>
      <c r="U83" s="684" t="str">
        <f t="shared" si="70"/>
        <v/>
      </c>
      <c r="V83" s="504">
        <f t="shared" si="71"/>
        <v>114.01069908828957</v>
      </c>
      <c r="W83" s="505">
        <f t="shared" si="72"/>
        <v>0</v>
      </c>
      <c r="X83" s="506">
        <f t="shared" si="73"/>
        <v>138.6115617886488</v>
      </c>
      <c r="Y83" s="504">
        <f t="shared" si="88"/>
        <v>8.5954806609097165</v>
      </c>
      <c r="Z83" s="505">
        <f t="shared" si="88"/>
        <v>9.6888405086384228</v>
      </c>
      <c r="AA83" s="505">
        <f t="shared" si="88"/>
        <v>12.741549628266579</v>
      </c>
      <c r="AB83" s="505">
        <f t="shared" si="88"/>
        <v>11.674215116711741</v>
      </c>
      <c r="AC83" s="505">
        <f t="shared" si="88"/>
        <v>9.5655687403768024</v>
      </c>
      <c r="AD83" s="505">
        <f t="shared" si="88"/>
        <v>12.025465119895577</v>
      </c>
      <c r="AE83" s="506">
        <f t="shared" si="88"/>
        <v>11.360052192746814</v>
      </c>
      <c r="AF83" s="1348">
        <f t="shared" si="75"/>
        <v>3.2200574416225581E-3</v>
      </c>
      <c r="AG83" s="1343">
        <f t="shared" si="89"/>
        <v>0</v>
      </c>
      <c r="AH83" s="1344">
        <f t="shared" si="89"/>
        <v>0</v>
      </c>
      <c r="AI83" s="1344">
        <f t="shared" si="89"/>
        <v>0</v>
      </c>
      <c r="AJ83" s="1344">
        <f t="shared" si="89"/>
        <v>0</v>
      </c>
      <c r="AK83" s="1344">
        <f t="shared" si="89"/>
        <v>0</v>
      </c>
      <c r="AL83" s="1344">
        <f t="shared" si="89"/>
        <v>0</v>
      </c>
      <c r="AM83" s="1352">
        <f t="shared" si="89"/>
        <v>0</v>
      </c>
      <c r="AN83" s="504">
        <f t="shared" si="77"/>
        <v>38.120706287983829</v>
      </c>
      <c r="AO83" s="505">
        <f t="shared" si="77"/>
        <v>34.307316405281483</v>
      </c>
      <c r="AP83" s="505">
        <f t="shared" si="77"/>
        <v>32.86405391558084</v>
      </c>
      <c r="AQ83" s="501">
        <f t="shared" si="78"/>
        <v>2.0167329970835701E-2</v>
      </c>
      <c r="AR83" s="505">
        <f t="shared" si="79"/>
        <v>46.927714905908196</v>
      </c>
      <c r="AS83" s="506">
        <f t="shared" si="80"/>
        <v>58.105968888828791</v>
      </c>
      <c r="AT83" s="504">
        <f t="shared" si="80"/>
        <v>33.040474848865259</v>
      </c>
      <c r="AU83" s="505">
        <f t="shared" si="80"/>
        <v>35.628427854526429</v>
      </c>
      <c r="AV83" s="503">
        <f t="shared" si="81"/>
        <v>1.4562600192070924E-2</v>
      </c>
      <c r="AW83" s="508">
        <f t="shared" si="82"/>
        <v>1.4562600192070924E-2</v>
      </c>
      <c r="AX83" s="1355">
        <f t="shared" si="83"/>
        <v>1.7330032641169413</v>
      </c>
      <c r="AY83" s="507">
        <f t="shared" si="84"/>
        <v>15.895117156316152</v>
      </c>
      <c r="AZ83" s="503">
        <f t="shared" si="85"/>
        <v>1.5062919204631074E-2</v>
      </c>
      <c r="BA83" s="502">
        <f t="shared" si="85"/>
        <v>1.3674057789880257E-2</v>
      </c>
      <c r="BB83" s="502">
        <f t="shared" si="85"/>
        <v>1.5663654363207342E-2</v>
      </c>
      <c r="BC83" s="508">
        <f t="shared" si="85"/>
        <v>1.5950466228814145E-2</v>
      </c>
      <c r="BE83" s="689"/>
    </row>
    <row r="84" spans="1:57" s="324" customFormat="1" ht="14.25">
      <c r="A84" s="509">
        <f t="shared" si="87"/>
        <v>20</v>
      </c>
      <c r="B84" s="509">
        <f t="shared" si="86"/>
        <v>2045</v>
      </c>
      <c r="C84" s="499">
        <f t="shared" si="64"/>
        <v>9.3569242363200009E-2</v>
      </c>
      <c r="D84" s="500">
        <f t="shared" si="64"/>
        <v>9.4026148048785438E-2</v>
      </c>
      <c r="E84" s="500">
        <f t="shared" si="64"/>
        <v>7.5478559872540721E-2</v>
      </c>
      <c r="F84" s="501">
        <f t="shared" si="64"/>
        <v>7.1962218101332881E-2</v>
      </c>
      <c r="G84" s="1343">
        <f t="shared" si="65"/>
        <v>0</v>
      </c>
      <c r="H84" s="1344">
        <f t="shared" si="65"/>
        <v>0</v>
      </c>
      <c r="I84" s="1344">
        <f t="shared" si="65"/>
        <v>0</v>
      </c>
      <c r="J84" s="1344">
        <f t="shared" si="65"/>
        <v>0</v>
      </c>
      <c r="K84" s="1343">
        <f t="shared" si="66"/>
        <v>2.4446956025579129E-5</v>
      </c>
      <c r="L84" s="1136">
        <f t="shared" si="67"/>
        <v>94.087011196341791</v>
      </c>
      <c r="M84" s="505">
        <f t="shared" si="67"/>
        <v>0</v>
      </c>
      <c r="N84" s="505">
        <f t="shared" si="67"/>
        <v>0</v>
      </c>
      <c r="O84" s="506">
        <f t="shared" si="68"/>
        <v>0</v>
      </c>
      <c r="P84" s="683">
        <f t="shared" si="69"/>
        <v>0</v>
      </c>
      <c r="Q84" s="683">
        <f t="shared" si="69"/>
        <v>0</v>
      </c>
      <c r="R84" s="1367">
        <f t="shared" si="69"/>
        <v>0</v>
      </c>
      <c r="S84" s="505"/>
      <c r="T84" s="505"/>
      <c r="U84" s="684" t="str">
        <f t="shared" si="70"/>
        <v/>
      </c>
      <c r="V84" s="504">
        <f t="shared" si="71"/>
        <v>114.01069908828957</v>
      </c>
      <c r="W84" s="505">
        <f t="shared" si="72"/>
        <v>0</v>
      </c>
      <c r="X84" s="506">
        <f t="shared" si="73"/>
        <v>138.6115617886488</v>
      </c>
      <c r="Y84" s="504">
        <f t="shared" si="88"/>
        <v>8.6614006355235453</v>
      </c>
      <c r="Z84" s="505">
        <f t="shared" si="88"/>
        <v>9.7470643477690491</v>
      </c>
      <c r="AA84" s="505">
        <f t="shared" si="88"/>
        <v>12.783661772418075</v>
      </c>
      <c r="AB84" s="505">
        <f t="shared" si="88"/>
        <v>11.72183758770184</v>
      </c>
      <c r="AC84" s="505">
        <f t="shared" si="88"/>
        <v>9.623791026684529</v>
      </c>
      <c r="AD84" s="505">
        <f t="shared" si="88"/>
        <v>12.071702550451482</v>
      </c>
      <c r="AE84" s="506">
        <f t="shared" si="88"/>
        <v>11.40941224754042</v>
      </c>
      <c r="AF84" s="1348">
        <f t="shared" si="75"/>
        <v>3.2275294491710179E-3</v>
      </c>
      <c r="AG84" s="1343">
        <f t="shared" si="89"/>
        <v>0</v>
      </c>
      <c r="AH84" s="1344">
        <f t="shared" si="89"/>
        <v>0</v>
      </c>
      <c r="AI84" s="1344">
        <f t="shared" si="89"/>
        <v>0</v>
      </c>
      <c r="AJ84" s="1344">
        <f t="shared" si="89"/>
        <v>0</v>
      </c>
      <c r="AK84" s="1344">
        <f t="shared" si="89"/>
        <v>0</v>
      </c>
      <c r="AL84" s="1344">
        <f t="shared" si="89"/>
        <v>0</v>
      </c>
      <c r="AM84" s="1352">
        <f t="shared" si="89"/>
        <v>0</v>
      </c>
      <c r="AN84" s="504">
        <f t="shared" si="77"/>
        <v>38.366633271837017</v>
      </c>
      <c r="AO84" s="505">
        <f t="shared" si="77"/>
        <v>34.574204999296377</v>
      </c>
      <c r="AP84" s="505">
        <f t="shared" si="77"/>
        <v>33.121483960454036</v>
      </c>
      <c r="AQ84" s="501">
        <f t="shared" si="78"/>
        <v>2.0286466556898433E-2</v>
      </c>
      <c r="AR84" s="505">
        <f t="shared" si="79"/>
        <v>47.230458283713091</v>
      </c>
      <c r="AS84" s="506">
        <f t="shared" si="80"/>
        <v>58.345342289176379</v>
      </c>
      <c r="AT84" s="504">
        <f t="shared" si="80"/>
        <v>33.253627886043375</v>
      </c>
      <c r="AU84" s="505">
        <f t="shared" si="80"/>
        <v>35.858276476309605</v>
      </c>
      <c r="AV84" s="503">
        <f t="shared" si="81"/>
        <v>1.4562600192070924E-2</v>
      </c>
      <c r="AW84" s="508">
        <f t="shared" si="82"/>
        <v>1.4562600192070924E-2</v>
      </c>
      <c r="AX84" s="1355">
        <f t="shared" si="83"/>
        <v>1.7330032641169413</v>
      </c>
      <c r="AY84" s="507">
        <f t="shared" si="84"/>
        <v>15.895117156316152</v>
      </c>
      <c r="AZ84" s="503">
        <f t="shared" si="85"/>
        <v>1.3869477485378348E-2</v>
      </c>
      <c r="BA84" s="502">
        <f t="shared" si="85"/>
        <v>1.2457516795004678E-2</v>
      </c>
      <c r="BB84" s="502">
        <f t="shared" si="85"/>
        <v>1.4331521255163534E-2</v>
      </c>
      <c r="BC84" s="508">
        <f t="shared" si="85"/>
        <v>1.4556346209092954E-2</v>
      </c>
      <c r="BE84" s="689"/>
    </row>
    <row r="85" spans="1:57" s="324" customFormat="1" ht="14.25">
      <c r="A85" s="509">
        <f t="shared" si="87"/>
        <v>21</v>
      </c>
      <c r="B85" s="509">
        <f t="shared" si="86"/>
        <v>2046</v>
      </c>
      <c r="C85" s="499">
        <f t="shared" si="64"/>
        <v>9.4529599934409597E-2</v>
      </c>
      <c r="D85" s="500">
        <f t="shared" si="64"/>
        <v>9.5030381177671555E-2</v>
      </c>
      <c r="E85" s="500">
        <f t="shared" si="64"/>
        <v>7.6776012045567069E-2</v>
      </c>
      <c r="F85" s="501">
        <f t="shared" si="64"/>
        <v>7.3243752041725216E-2</v>
      </c>
      <c r="G85" s="1343">
        <f t="shared" si="65"/>
        <v>0</v>
      </c>
      <c r="H85" s="1344">
        <f t="shared" si="65"/>
        <v>0</v>
      </c>
      <c r="I85" s="1344">
        <f t="shared" si="65"/>
        <v>0</v>
      </c>
      <c r="J85" s="1344">
        <f t="shared" si="65"/>
        <v>0</v>
      </c>
      <c r="K85" s="1343">
        <f t="shared" si="66"/>
        <v>2.4508885531721068E-5</v>
      </c>
      <c r="L85" s="1136">
        <f t="shared" si="67"/>
        <v>97.030827370776322</v>
      </c>
      <c r="M85" s="505">
        <f t="shared" si="67"/>
        <v>0</v>
      </c>
      <c r="N85" s="505">
        <f t="shared" si="67"/>
        <v>0</v>
      </c>
      <c r="O85" s="506">
        <f t="shared" si="68"/>
        <v>0</v>
      </c>
      <c r="P85" s="683">
        <f t="shared" si="69"/>
        <v>0</v>
      </c>
      <c r="Q85" s="683">
        <f t="shared" si="69"/>
        <v>0</v>
      </c>
      <c r="R85" s="1367">
        <f t="shared" si="69"/>
        <v>0</v>
      </c>
      <c r="S85" s="505"/>
      <c r="T85" s="505"/>
      <c r="U85" s="684" t="str">
        <f t="shared" si="70"/>
        <v/>
      </c>
      <c r="V85" s="504">
        <f t="shared" si="71"/>
        <v>114.01069908828957</v>
      </c>
      <c r="W85" s="505">
        <f t="shared" si="72"/>
        <v>0</v>
      </c>
      <c r="X85" s="506">
        <f t="shared" si="73"/>
        <v>138.6115617886488</v>
      </c>
      <c r="Y85" s="504">
        <f t="shared" si="88"/>
        <v>8.7278261598820048</v>
      </c>
      <c r="Z85" s="505">
        <f t="shared" si="88"/>
        <v>9.8056380755618004</v>
      </c>
      <c r="AA85" s="505">
        <f t="shared" si="88"/>
        <v>12.825913101577424</v>
      </c>
      <c r="AB85" s="505">
        <f t="shared" si="88"/>
        <v>11.769654324406639</v>
      </c>
      <c r="AC85" s="505">
        <f t="shared" si="88"/>
        <v>9.682367691776717</v>
      </c>
      <c r="AD85" s="505">
        <f t="shared" si="88"/>
        <v>12.118117762071412</v>
      </c>
      <c r="AE85" s="506">
        <f t="shared" si="88"/>
        <v>11.458986774500868</v>
      </c>
      <c r="AF85" s="1348">
        <f t="shared" si="75"/>
        <v>3.2350187951980039E-3</v>
      </c>
      <c r="AG85" s="1343">
        <f t="shared" si="89"/>
        <v>0</v>
      </c>
      <c r="AH85" s="1344">
        <f t="shared" si="89"/>
        <v>0</v>
      </c>
      <c r="AI85" s="1344">
        <f t="shared" si="89"/>
        <v>0</v>
      </c>
      <c r="AJ85" s="1344">
        <f t="shared" si="89"/>
        <v>0</v>
      </c>
      <c r="AK85" s="1344">
        <f t="shared" si="89"/>
        <v>0</v>
      </c>
      <c r="AL85" s="1344">
        <f t="shared" si="89"/>
        <v>0</v>
      </c>
      <c r="AM85" s="1352">
        <f t="shared" si="89"/>
        <v>0</v>
      </c>
      <c r="AN85" s="504">
        <f t="shared" si="77"/>
        <v>38.614146797160082</v>
      </c>
      <c r="AO85" s="505">
        <f t="shared" si="77"/>
        <v>34.843169812878372</v>
      </c>
      <c r="AP85" s="505">
        <f t="shared" si="77"/>
        <v>33.380930501167143</v>
      </c>
      <c r="AQ85" s="501">
        <f t="shared" si="78"/>
        <v>2.0406306931026283E-2</v>
      </c>
      <c r="AR85" s="505">
        <f t="shared" si="79"/>
        <v>47.53515474090802</v>
      </c>
      <c r="AS85" s="506">
        <f t="shared" si="80"/>
        <v>58.585701812393786</v>
      </c>
      <c r="AT85" s="504">
        <f t="shared" si="80"/>
        <v>33.468156031099504</v>
      </c>
      <c r="AU85" s="505">
        <f t="shared" si="80"/>
        <v>36.089607913701471</v>
      </c>
      <c r="AV85" s="503">
        <f t="shared" si="81"/>
        <v>1.4562600192070924E-2</v>
      </c>
      <c r="AW85" s="508">
        <f t="shared" si="82"/>
        <v>1.4562600192070924E-2</v>
      </c>
      <c r="AX85" s="1355">
        <f t="shared" si="83"/>
        <v>1.7330032641169413</v>
      </c>
      <c r="AY85" s="507">
        <f t="shared" si="84"/>
        <v>15.895117156316152</v>
      </c>
      <c r="AZ85" s="503">
        <f t="shared" si="85"/>
        <v>1.2770592678892904E-2</v>
      </c>
      <c r="BA85" s="502">
        <f t="shared" si="85"/>
        <v>1.1349207900282146E-2</v>
      </c>
      <c r="BB85" s="502">
        <f t="shared" si="85"/>
        <v>1.3112680906037772E-2</v>
      </c>
      <c r="BC85" s="508">
        <f t="shared" si="85"/>
        <v>1.3284076585561213E-2</v>
      </c>
      <c r="BE85" s="689"/>
    </row>
    <row r="86" spans="1:57" s="324" customFormat="1" ht="14.25">
      <c r="A86" s="509">
        <f t="shared" si="87"/>
        <v>22</v>
      </c>
      <c r="B86" s="509">
        <f t="shared" si="86"/>
        <v>2047</v>
      </c>
      <c r="C86" s="499">
        <f t="shared" si="64"/>
        <v>9.5538353921568439E-2</v>
      </c>
      <c r="D86" s="500">
        <f t="shared" si="64"/>
        <v>9.6084106749252537E-2</v>
      </c>
      <c r="E86" s="500">
        <f t="shared" si="64"/>
        <v>7.8138456213423191E-2</v>
      </c>
      <c r="F86" s="501">
        <f t="shared" si="64"/>
        <v>7.4591215521065804E-2</v>
      </c>
      <c r="G86" s="1343">
        <f t="shared" si="65"/>
        <v>0</v>
      </c>
      <c r="H86" s="1344">
        <f t="shared" si="65"/>
        <v>0</v>
      </c>
      <c r="I86" s="1344">
        <f t="shared" si="65"/>
        <v>0</v>
      </c>
      <c r="J86" s="1344">
        <f t="shared" si="65"/>
        <v>0</v>
      </c>
      <c r="K86" s="1343">
        <f t="shared" si="66"/>
        <v>2.4570971918896655E-5</v>
      </c>
      <c r="L86" s="1136">
        <f t="shared" si="67"/>
        <v>100.06675034676266</v>
      </c>
      <c r="M86" s="505">
        <f t="shared" si="67"/>
        <v>0</v>
      </c>
      <c r="N86" s="505">
        <f t="shared" si="67"/>
        <v>0</v>
      </c>
      <c r="O86" s="506">
        <f t="shared" si="68"/>
        <v>0</v>
      </c>
      <c r="P86" s="683">
        <f t="shared" si="69"/>
        <v>0</v>
      </c>
      <c r="Q86" s="683">
        <f t="shared" si="69"/>
        <v>0</v>
      </c>
      <c r="R86" s="1367">
        <f t="shared" si="69"/>
        <v>0</v>
      </c>
      <c r="S86" s="505"/>
      <c r="T86" s="505"/>
      <c r="U86" s="684" t="str">
        <f t="shared" si="70"/>
        <v/>
      </c>
      <c r="V86" s="504">
        <f t="shared" si="71"/>
        <v>114.01069908828957</v>
      </c>
      <c r="W86" s="505">
        <f t="shared" si="72"/>
        <v>0</v>
      </c>
      <c r="X86" s="506">
        <f t="shared" si="73"/>
        <v>138.6115617886488</v>
      </c>
      <c r="Y86" s="504">
        <f t="shared" si="88"/>
        <v>8.7947611111186283</v>
      </c>
      <c r="Z86" s="505">
        <f t="shared" si="88"/>
        <v>9.8645637946275269</v>
      </c>
      <c r="AA86" s="505">
        <f t="shared" si="88"/>
        <v>12.868304075765518</v>
      </c>
      <c r="AB86" s="505">
        <f t="shared" si="88"/>
        <v>11.817666119291696</v>
      </c>
      <c r="AC86" s="505">
        <f t="shared" si="88"/>
        <v>9.7413008926336371</v>
      </c>
      <c r="AD86" s="505">
        <f t="shared" si="88"/>
        <v>12.164711438316418</v>
      </c>
      <c r="AE86" s="506">
        <f t="shared" si="88"/>
        <v>11.50877670552158</v>
      </c>
      <c r="AF86" s="1348">
        <f t="shared" si="75"/>
        <v>3.2425255199367243E-3</v>
      </c>
      <c r="AG86" s="1343">
        <f t="shared" si="89"/>
        <v>0</v>
      </c>
      <c r="AH86" s="1344">
        <f t="shared" si="89"/>
        <v>0</v>
      </c>
      <c r="AI86" s="1344">
        <f t="shared" si="89"/>
        <v>0</v>
      </c>
      <c r="AJ86" s="1344">
        <f t="shared" si="89"/>
        <v>0</v>
      </c>
      <c r="AK86" s="1344">
        <f t="shared" si="89"/>
        <v>0</v>
      </c>
      <c r="AL86" s="1344">
        <f t="shared" si="89"/>
        <v>0</v>
      </c>
      <c r="AM86" s="1352">
        <f t="shared" si="89"/>
        <v>0</v>
      </c>
      <c r="AN86" s="504">
        <f t="shared" si="77"/>
        <v>38.863257099161046</v>
      </c>
      <c r="AO86" s="505">
        <f t="shared" si="77"/>
        <v>35.114226997664467</v>
      </c>
      <c r="AP86" s="505">
        <f t="shared" si="77"/>
        <v>33.642409333294744</v>
      </c>
      <c r="AQ86" s="501">
        <f t="shared" si="78"/>
        <v>2.0526855250780386E-2</v>
      </c>
      <c r="AR86" s="505">
        <f t="shared" si="79"/>
        <v>47.841816877336235</v>
      </c>
      <c r="AS86" s="506">
        <f t="shared" si="80"/>
        <v>58.827051520913635</v>
      </c>
      <c r="AT86" s="504">
        <f t="shared" si="80"/>
        <v>33.684068155226406</v>
      </c>
      <c r="AU86" s="505">
        <f t="shared" si="80"/>
        <v>36.322431732746459</v>
      </c>
      <c r="AV86" s="503">
        <f t="shared" si="81"/>
        <v>1.4562600192070924E-2</v>
      </c>
      <c r="AW86" s="508">
        <f t="shared" si="82"/>
        <v>1.4562600192070924E-2</v>
      </c>
      <c r="AX86" s="1355">
        <f t="shared" si="83"/>
        <v>1.7330032641169413</v>
      </c>
      <c r="AY86" s="507">
        <f t="shared" si="84"/>
        <v>15.895117156316152</v>
      </c>
      <c r="AZ86" s="503">
        <f t="shared" si="85"/>
        <v>1.1758772999352409E-2</v>
      </c>
      <c r="BA86" s="502">
        <f t="shared" si="85"/>
        <v>1.0339502011787438E-2</v>
      </c>
      <c r="BB86" s="502">
        <f t="shared" si="85"/>
        <v>1.1997498205685461E-2</v>
      </c>
      <c r="BC86" s="508">
        <f t="shared" si="85"/>
        <v>1.2123007257193546E-2</v>
      </c>
      <c r="BE86" s="689"/>
    </row>
    <row r="87" spans="1:57" s="324" customFormat="1" ht="14.25">
      <c r="A87" s="509">
        <f t="shared" si="87"/>
        <v>23</v>
      </c>
      <c r="B87" s="509">
        <f t="shared" si="86"/>
        <v>2048</v>
      </c>
      <c r="C87" s="499">
        <f t="shared" si="64"/>
        <v>9.6591543229946702E-2</v>
      </c>
      <c r="D87" s="500">
        <f t="shared" si="64"/>
        <v>9.7183385195240266E-2</v>
      </c>
      <c r="E87" s="500">
        <f t="shared" si="64"/>
        <v>7.9562406375903949E-2</v>
      </c>
      <c r="F87" s="501">
        <f t="shared" si="64"/>
        <v>7.6001170149047101E-2</v>
      </c>
      <c r="G87" s="1343">
        <f t="shared" si="65"/>
        <v>0</v>
      </c>
      <c r="H87" s="1344">
        <f t="shared" si="65"/>
        <v>0</v>
      </c>
      <c r="I87" s="1344">
        <f t="shared" si="65"/>
        <v>0</v>
      </c>
      <c r="J87" s="1344">
        <f t="shared" si="65"/>
        <v>0</v>
      </c>
      <c r="K87" s="1343">
        <f t="shared" si="66"/>
        <v>2.4633215584519996E-5</v>
      </c>
      <c r="L87" s="1136">
        <f t="shared" si="67"/>
        <v>103.1976619832177</v>
      </c>
      <c r="M87" s="505">
        <f t="shared" si="67"/>
        <v>0</v>
      </c>
      <c r="N87" s="505">
        <f t="shared" si="67"/>
        <v>0</v>
      </c>
      <c r="O87" s="506">
        <f t="shared" si="68"/>
        <v>0</v>
      </c>
      <c r="P87" s="683">
        <f t="shared" si="69"/>
        <v>0</v>
      </c>
      <c r="Q87" s="683">
        <f t="shared" si="69"/>
        <v>0</v>
      </c>
      <c r="R87" s="1367">
        <f t="shared" si="69"/>
        <v>0</v>
      </c>
      <c r="S87" s="505"/>
      <c r="T87" s="505"/>
      <c r="U87" s="684" t="str">
        <f t="shared" si="70"/>
        <v/>
      </c>
      <c r="V87" s="504">
        <f t="shared" si="71"/>
        <v>114.01069908828957</v>
      </c>
      <c r="W87" s="505">
        <f t="shared" si="72"/>
        <v>0</v>
      </c>
      <c r="X87" s="506">
        <f t="shared" si="73"/>
        <v>138.6115617886488</v>
      </c>
      <c r="Y87" s="504">
        <f t="shared" si="88"/>
        <v>8.8622093961012478</v>
      </c>
      <c r="Z87" s="505">
        <f t="shared" si="88"/>
        <v>9.9238436202124483</v>
      </c>
      <c r="AA87" s="505">
        <f t="shared" si="88"/>
        <v>12.91083515652368</v>
      </c>
      <c r="AB87" s="505">
        <f t="shared" si="88"/>
        <v>11.865873768055256</v>
      </c>
      <c r="AC87" s="505">
        <f t="shared" si="88"/>
        <v>9.8005927993643489</v>
      </c>
      <c r="AD87" s="505">
        <f t="shared" si="88"/>
        <v>12.211484265375823</v>
      </c>
      <c r="AE87" s="506">
        <f t="shared" si="88"/>
        <v>11.558782976545109</v>
      </c>
      <c r="AF87" s="1348">
        <f t="shared" si="75"/>
        <v>3.2500496637137472E-3</v>
      </c>
      <c r="AG87" s="1343">
        <f t="shared" si="89"/>
        <v>0</v>
      </c>
      <c r="AH87" s="1344">
        <f t="shared" si="89"/>
        <v>0</v>
      </c>
      <c r="AI87" s="1344">
        <f t="shared" si="89"/>
        <v>0</v>
      </c>
      <c r="AJ87" s="1344">
        <f t="shared" si="89"/>
        <v>0</v>
      </c>
      <c r="AK87" s="1344">
        <f t="shared" si="89"/>
        <v>0</v>
      </c>
      <c r="AL87" s="1344">
        <f t="shared" si="89"/>
        <v>0</v>
      </c>
      <c r="AM87" s="1352">
        <f t="shared" si="89"/>
        <v>0</v>
      </c>
      <c r="AN87" s="504">
        <f t="shared" si="77"/>
        <v>39.11397447907801</v>
      </c>
      <c r="AO87" s="505">
        <f t="shared" si="77"/>
        <v>35.38739283094089</v>
      </c>
      <c r="AP87" s="505">
        <f t="shared" si="77"/>
        <v>33.905936376140986</v>
      </c>
      <c r="AQ87" s="501">
        <f t="shared" si="78"/>
        <v>2.0648115698282281E-2</v>
      </c>
      <c r="AR87" s="505">
        <f t="shared" si="79"/>
        <v>48.150457374125999</v>
      </c>
      <c r="AS87" s="506">
        <f t="shared" si="80"/>
        <v>59.069395493904175</v>
      </c>
      <c r="AT87" s="504">
        <f t="shared" si="80"/>
        <v>33.901373186847266</v>
      </c>
      <c r="AU87" s="505">
        <f t="shared" si="80"/>
        <v>36.55675756120214</v>
      </c>
      <c r="AV87" s="503">
        <f t="shared" si="81"/>
        <v>1.4562600192070924E-2</v>
      </c>
      <c r="AW87" s="508">
        <f t="shared" si="82"/>
        <v>1.4562600192070924E-2</v>
      </c>
      <c r="AX87" s="1355">
        <f t="shared" si="83"/>
        <v>1.7330032641169413</v>
      </c>
      <c r="AY87" s="507">
        <f t="shared" si="84"/>
        <v>15.895117156316152</v>
      </c>
      <c r="AZ87" s="503">
        <f t="shared" si="85"/>
        <v>1.08271202384231E-2</v>
      </c>
      <c r="BA87" s="502">
        <f t="shared" si="85"/>
        <v>9.4196267079660057E-3</v>
      </c>
      <c r="BB87" s="502">
        <f t="shared" si="85"/>
        <v>1.097715747274444E-2</v>
      </c>
      <c r="BC87" s="508">
        <f t="shared" si="85"/>
        <v>1.1063418974692582E-2</v>
      </c>
      <c r="BE87" s="689"/>
    </row>
    <row r="88" spans="1:57" s="324" customFormat="1" ht="14.25">
      <c r="A88" s="509">
        <f t="shared" si="87"/>
        <v>24</v>
      </c>
      <c r="B88" s="509">
        <f t="shared" si="86"/>
        <v>2049</v>
      </c>
      <c r="C88" s="499">
        <f t="shared" si="64"/>
        <v>9.7685747424289593E-2</v>
      </c>
      <c r="D88" s="500">
        <f t="shared" si="64"/>
        <v>9.8324817987368932E-2</v>
      </c>
      <c r="E88" s="500">
        <f t="shared" si="64"/>
        <v>8.1044928858877582E-2</v>
      </c>
      <c r="F88" s="501">
        <f t="shared" si="64"/>
        <v>7.747073147415548E-2</v>
      </c>
      <c r="G88" s="1343">
        <f t="shared" si="65"/>
        <v>0</v>
      </c>
      <c r="H88" s="1344">
        <f t="shared" si="65"/>
        <v>0</v>
      </c>
      <c r="I88" s="1344">
        <f t="shared" si="65"/>
        <v>0</v>
      </c>
      <c r="J88" s="1344">
        <f t="shared" si="65"/>
        <v>0</v>
      </c>
      <c r="K88" s="1343">
        <f t="shared" si="66"/>
        <v>2.4695616927011924E-5</v>
      </c>
      <c r="L88" s="1136">
        <f t="shared" si="67"/>
        <v>106.42653430732695</v>
      </c>
      <c r="M88" s="505">
        <f t="shared" si="67"/>
        <v>0</v>
      </c>
      <c r="N88" s="505">
        <f t="shared" si="67"/>
        <v>0</v>
      </c>
      <c r="O88" s="506">
        <f t="shared" si="68"/>
        <v>0</v>
      </c>
      <c r="P88" s="683">
        <f t="shared" si="69"/>
        <v>0</v>
      </c>
      <c r="Q88" s="683">
        <f t="shared" si="69"/>
        <v>0</v>
      </c>
      <c r="R88" s="1367">
        <f t="shared" si="69"/>
        <v>0</v>
      </c>
      <c r="S88" s="505"/>
      <c r="T88" s="505"/>
      <c r="U88" s="684" t="str">
        <f t="shared" si="70"/>
        <v/>
      </c>
      <c r="V88" s="504">
        <f t="shared" si="71"/>
        <v>114.01069908828957</v>
      </c>
      <c r="W88" s="505">
        <f t="shared" si="72"/>
        <v>0</v>
      </c>
      <c r="X88" s="506">
        <f t="shared" si="73"/>
        <v>138.6115617886488</v>
      </c>
      <c r="Y88" s="504">
        <f t="shared" si="88"/>
        <v>8.9301749516600211</v>
      </c>
      <c r="Z88" s="505">
        <f t="shared" si="88"/>
        <v>9.9834796802740815</v>
      </c>
      <c r="AA88" s="505">
        <f t="shared" si="88"/>
        <v>12.953506806918663</v>
      </c>
      <c r="AB88" s="505">
        <f t="shared" si="88"/>
        <v>11.914278069641449</v>
      </c>
      <c r="AC88" s="505">
        <f t="shared" si="88"/>
        <v>9.8602455952866084</v>
      </c>
      <c r="AD88" s="505">
        <f t="shared" si="88"/>
        <v>12.258436932077311</v>
      </c>
      <c r="AE88" s="506">
        <f t="shared" si="88"/>
        <v>11.609006527580723</v>
      </c>
      <c r="AF88" s="1348">
        <f t="shared" si="75"/>
        <v>3.2575912669492169E-3</v>
      </c>
      <c r="AG88" s="1343">
        <f t="shared" si="89"/>
        <v>0</v>
      </c>
      <c r="AH88" s="1344">
        <f t="shared" si="89"/>
        <v>0</v>
      </c>
      <c r="AI88" s="1344">
        <f t="shared" si="89"/>
        <v>0</v>
      </c>
      <c r="AJ88" s="1344">
        <f t="shared" si="89"/>
        <v>0</v>
      </c>
      <c r="AK88" s="1344">
        <f t="shared" si="89"/>
        <v>0</v>
      </c>
      <c r="AL88" s="1344">
        <f t="shared" si="89"/>
        <v>0</v>
      </c>
      <c r="AM88" s="1352">
        <f t="shared" si="89"/>
        <v>0</v>
      </c>
      <c r="AN88" s="504">
        <f t="shared" si="77"/>
        <v>39.36630930460516</v>
      </c>
      <c r="AO88" s="505">
        <f t="shared" si="77"/>
        <v>35.662683716620563</v>
      </c>
      <c r="AP88" s="505">
        <f t="shared" si="77"/>
        <v>34.171527673708802</v>
      </c>
      <c r="AQ88" s="501">
        <f t="shared" si="78"/>
        <v>2.0770092480358993E-2</v>
      </c>
      <c r="AR88" s="505">
        <f t="shared" si="79"/>
        <v>48.461088994214919</v>
      </c>
      <c r="AS88" s="506">
        <f t="shared" si="80"/>
        <v>59.312737827338196</v>
      </c>
      <c r="AT88" s="504">
        <f t="shared" si="80"/>
        <v>34.120080111984976</v>
      </c>
      <c r="AU88" s="505">
        <f t="shared" si="80"/>
        <v>36.792595088937361</v>
      </c>
      <c r="AV88" s="503">
        <f t="shared" si="81"/>
        <v>1.4562600192070924E-2</v>
      </c>
      <c r="AW88" s="508">
        <f t="shared" si="82"/>
        <v>1.4562600192070924E-2</v>
      </c>
      <c r="AX88" s="1355">
        <f t="shared" si="83"/>
        <v>1.7330032641169413</v>
      </c>
      <c r="AY88" s="507">
        <f t="shared" si="84"/>
        <v>15.895117156316152</v>
      </c>
      <c r="AZ88" s="503">
        <f t="shared" si="85"/>
        <v>9.969282735854082E-3</v>
      </c>
      <c r="BA88" s="502">
        <f t="shared" si="85"/>
        <v>8.5815900239945321E-3</v>
      </c>
      <c r="BB88" s="502">
        <f t="shared" si="85"/>
        <v>1.0043592765392259E-2</v>
      </c>
      <c r="BC88" s="508">
        <f t="shared" si="85"/>
        <v>1.0096441981172507E-2</v>
      </c>
      <c r="BE88" s="689"/>
    </row>
    <row r="89" spans="1:57" s="324" customFormat="1" ht="14.25">
      <c r="A89" s="595">
        <f t="shared" si="87"/>
        <v>25</v>
      </c>
      <c r="B89" s="595">
        <f t="shared" si="86"/>
        <v>2050</v>
      </c>
      <c r="C89" s="596">
        <f t="shared" si="64"/>
        <v>9.8818017440424649E-2</v>
      </c>
      <c r="D89" s="597">
        <f t="shared" si="64"/>
        <v>9.9505478355342042E-2</v>
      </c>
      <c r="E89" s="597">
        <f t="shared" si="64"/>
        <v>8.2583573293564513E-2</v>
      </c>
      <c r="F89" s="598">
        <f t="shared" si="64"/>
        <v>7.8997500010270047E-2</v>
      </c>
      <c r="G89" s="1346">
        <f t="shared" si="65"/>
        <v>0</v>
      </c>
      <c r="H89" s="1347">
        <f t="shared" si="65"/>
        <v>0</v>
      </c>
      <c r="I89" s="1347">
        <f t="shared" si="65"/>
        <v>0</v>
      </c>
      <c r="J89" s="1347">
        <f t="shared" si="65"/>
        <v>0</v>
      </c>
      <c r="K89" s="1346">
        <f t="shared" si="66"/>
        <v>2.475817634580255E-5</v>
      </c>
      <c r="L89" s="601">
        <f t="shared" si="67"/>
        <v>109.75643233575008</v>
      </c>
      <c r="M89" s="602">
        <f t="shared" si="67"/>
        <v>0</v>
      </c>
      <c r="N89" s="602">
        <f t="shared" si="67"/>
        <v>0</v>
      </c>
      <c r="O89" s="603">
        <f t="shared" si="68"/>
        <v>0</v>
      </c>
      <c r="P89" s="1369">
        <f t="shared" si="69"/>
        <v>0</v>
      </c>
      <c r="Q89" s="685">
        <f t="shared" si="69"/>
        <v>0</v>
      </c>
      <c r="R89" s="1368">
        <f t="shared" si="69"/>
        <v>0</v>
      </c>
      <c r="S89" s="602"/>
      <c r="T89" s="602"/>
      <c r="U89" s="686" t="str">
        <f t="shared" si="70"/>
        <v/>
      </c>
      <c r="V89" s="601">
        <f t="shared" si="71"/>
        <v>114.01069908828957</v>
      </c>
      <c r="W89" s="602">
        <f t="shared" si="72"/>
        <v>0</v>
      </c>
      <c r="X89" s="603">
        <f t="shared" si="73"/>
        <v>138.6115617886488</v>
      </c>
      <c r="Y89" s="601">
        <f t="shared" si="88"/>
        <v>8.9986617448172268</v>
      </c>
      <c r="Z89" s="602">
        <f t="shared" si="88"/>
        <v>10.043474115557633</v>
      </c>
      <c r="AA89" s="602">
        <f t="shared" si="88"/>
        <v>12.996319491547711</v>
      </c>
      <c r="AB89" s="602">
        <f t="shared" si="88"/>
        <v>11.962879826253531</v>
      </c>
      <c r="AC89" s="602">
        <f t="shared" si="88"/>
        <v>9.9202614770072657</v>
      </c>
      <c r="AD89" s="602">
        <f t="shared" si="88"/>
        <v>12.305570129897086</v>
      </c>
      <c r="AE89" s="603">
        <f t="shared" si="88"/>
        <v>11.659448302722089</v>
      </c>
      <c r="AF89" s="1353">
        <f t="shared" si="75"/>
        <v>3.26515037015707E-3</v>
      </c>
      <c r="AG89" s="1346">
        <f t="shared" si="89"/>
        <v>0</v>
      </c>
      <c r="AH89" s="1347">
        <f t="shared" si="89"/>
        <v>0</v>
      </c>
      <c r="AI89" s="1347">
        <f t="shared" si="89"/>
        <v>0</v>
      </c>
      <c r="AJ89" s="1347">
        <f t="shared" si="89"/>
        <v>0</v>
      </c>
      <c r="AK89" s="1347">
        <f t="shared" si="89"/>
        <v>0</v>
      </c>
      <c r="AL89" s="1347">
        <f t="shared" si="89"/>
        <v>0</v>
      </c>
      <c r="AM89" s="1354">
        <f t="shared" si="89"/>
        <v>0</v>
      </c>
      <c r="AN89" s="601">
        <f t="shared" si="77"/>
        <v>39.620272010321472</v>
      </c>
      <c r="AO89" s="602">
        <f t="shared" si="77"/>
        <v>35.940116186228167</v>
      </c>
      <c r="AP89" s="602">
        <f t="shared" si="77"/>
        <v>34.439199395676674</v>
      </c>
      <c r="AQ89" s="598">
        <f t="shared" si="78"/>
        <v>2.089278982868897E-2</v>
      </c>
      <c r="AR89" s="602">
        <f t="shared" si="79"/>
        <v>48.77372458287779</v>
      </c>
      <c r="AS89" s="603">
        <f t="shared" si="80"/>
        <v>59.557082634062255</v>
      </c>
      <c r="AT89" s="601">
        <f t="shared" si="80"/>
        <v>34.340197974633668</v>
      </c>
      <c r="AU89" s="602">
        <f t="shared" si="80"/>
        <v>37.029954068332927</v>
      </c>
      <c r="AV89" s="600">
        <f t="shared" si="81"/>
        <v>1.4562600192070924E-2</v>
      </c>
      <c r="AW89" s="604">
        <f t="shared" si="82"/>
        <v>1.4562600192070924E-2</v>
      </c>
      <c r="AX89" s="1356">
        <f t="shared" si="83"/>
        <v>1.7330032641169413</v>
      </c>
      <c r="AY89" s="605">
        <f t="shared" si="84"/>
        <v>15.895117156316152</v>
      </c>
      <c r="AZ89" s="600">
        <f t="shared" si="85"/>
        <v>9.1794120762321244E-3</v>
      </c>
      <c r="BA89" s="599">
        <f t="shared" si="85"/>
        <v>7.8181110168244108E-3</v>
      </c>
      <c r="BB89" s="599">
        <f t="shared" si="85"/>
        <v>9.1894241189035171E-3</v>
      </c>
      <c r="BC89" s="604">
        <f t="shared" si="85"/>
        <v>9.2139817638981839E-3</v>
      </c>
      <c r="BE89" s="689"/>
    </row>
    <row r="90" spans="1:57">
      <c r="L90" s="324"/>
      <c r="M90" s="324"/>
      <c r="V90" s="1467"/>
    </row>
    <row r="91" spans="1:57" ht="20.25">
      <c r="A91" s="493" t="s">
        <v>986</v>
      </c>
      <c r="B91" s="494"/>
      <c r="C91" s="494"/>
      <c r="D91" s="494"/>
      <c r="E91" s="494"/>
      <c r="F91" s="494"/>
      <c r="G91" s="494"/>
      <c r="H91" s="494"/>
      <c r="I91" s="494"/>
      <c r="J91" s="494"/>
      <c r="K91" s="494"/>
      <c r="L91" s="973"/>
      <c r="M91" s="973"/>
      <c r="N91" s="973"/>
      <c r="O91" s="494"/>
      <c r="P91" s="973"/>
      <c r="Q91" s="973"/>
      <c r="R91" s="494"/>
      <c r="S91" s="973"/>
      <c r="T91" s="973"/>
      <c r="U91" s="494"/>
      <c r="V91" s="1468"/>
      <c r="W91" s="494"/>
      <c r="X91" s="494"/>
      <c r="Y91" s="494"/>
      <c r="Z91" s="494"/>
      <c r="AA91" s="494"/>
      <c r="AB91" s="494"/>
      <c r="AC91" s="494"/>
      <c r="AD91" s="494"/>
      <c r="AE91" s="494"/>
      <c r="AF91" s="494"/>
      <c r="AG91" s="494"/>
      <c r="AH91" s="494"/>
      <c r="AI91" s="494"/>
      <c r="AJ91" s="494"/>
      <c r="AK91" s="494"/>
      <c r="AL91" s="494"/>
      <c r="AM91" s="494"/>
      <c r="AN91" s="494"/>
      <c r="AO91" s="494"/>
      <c r="AP91" s="494"/>
      <c r="AQ91" s="494"/>
      <c r="AR91" s="494"/>
      <c r="AS91" s="494"/>
      <c r="AT91" s="494"/>
      <c r="AU91" s="494"/>
      <c r="AV91" s="494"/>
      <c r="AW91" s="494"/>
      <c r="AX91" s="494"/>
      <c r="AY91" s="494"/>
      <c r="AZ91" s="494"/>
      <c r="BA91" s="494"/>
      <c r="BB91" s="494"/>
      <c r="BC91" s="495"/>
    </row>
    <row r="92" spans="1:57" ht="20.25">
      <c r="A92" s="1589" t="str">
        <f>Year1&amp;", "&amp;Year1&amp;"$"</f>
        <v>2024, 2024$</v>
      </c>
      <c r="B92" s="1590"/>
      <c r="C92" s="496"/>
      <c r="D92" s="496"/>
      <c r="E92" s="496"/>
      <c r="F92" s="496"/>
      <c r="G92" s="496"/>
      <c r="H92" s="496"/>
      <c r="I92" s="496"/>
      <c r="J92" s="496"/>
      <c r="K92" s="496"/>
      <c r="L92" s="1123"/>
      <c r="M92" s="1123"/>
      <c r="N92" s="1123"/>
      <c r="O92" s="496"/>
      <c r="P92" s="639" t="s">
        <v>670</v>
      </c>
      <c r="Q92" s="639" t="s">
        <v>670</v>
      </c>
      <c r="R92" s="639" t="s">
        <v>670</v>
      </c>
      <c r="S92" s="1124"/>
      <c r="T92" s="1124"/>
      <c r="U92" s="496"/>
      <c r="V92" s="1466"/>
      <c r="W92" s="496"/>
      <c r="X92" s="496"/>
      <c r="Y92" s="496"/>
      <c r="Z92" s="496"/>
      <c r="AA92" s="496"/>
      <c r="AB92" s="496"/>
      <c r="AC92" s="496"/>
      <c r="AD92" s="496"/>
      <c r="AE92" s="496"/>
      <c r="AF92" s="496"/>
      <c r="AG92" s="496"/>
      <c r="AH92" s="496"/>
      <c r="AI92" s="496"/>
      <c r="AJ92" s="496"/>
      <c r="AK92" s="496"/>
      <c r="AL92" s="496"/>
      <c r="AM92" s="496"/>
      <c r="AN92" s="496"/>
      <c r="AO92" s="496"/>
      <c r="AP92" s="496"/>
      <c r="AQ92" s="496"/>
      <c r="AR92" s="496"/>
      <c r="AS92" s="496"/>
      <c r="AT92" s="496"/>
      <c r="AU92" s="496"/>
      <c r="AV92" s="496"/>
      <c r="AW92" s="496"/>
      <c r="AX92" s="496"/>
      <c r="AY92" s="496"/>
      <c r="AZ92" s="496"/>
      <c r="BA92" s="496"/>
      <c r="BB92" s="496"/>
      <c r="BC92" s="497"/>
    </row>
    <row r="93" spans="1:57" s="324" customFormat="1" ht="14.25">
      <c r="A93" s="511">
        <v>1</v>
      </c>
      <c r="B93" s="512">
        <f>Year1</f>
        <v>2024</v>
      </c>
      <c r="C93" s="513">
        <f>NPV(realdiscrt1,C13:C$13)/(1+realdiscrt1)^-Half_Year</f>
        <v>7.5686527423078576E-2</v>
      </c>
      <c r="D93" s="514">
        <f>NPV(realdiscrt1,D13:D$13)/(1+realdiscrt1)^-Half_Year</f>
        <v>7.4276879684607833E-2</v>
      </c>
      <c r="E93" s="514">
        <f>NPV(realdiscrt1,E13:E$13)/(1+realdiscrt1)^-Half_Year</f>
        <v>5.3537227053955409E-2</v>
      </c>
      <c r="F93" s="515">
        <f>NPV(realdiscrt1,F13:F$13)/(1+realdiscrt1)^-Half_Year</f>
        <v>5.1478095875705378E-2</v>
      </c>
      <c r="G93" s="513">
        <f>NPV(realdiscrt1,G13:G$13)/(1+realdiscrt1)^-Half_Year</f>
        <v>3.8153921757083753E-3</v>
      </c>
      <c r="H93" s="514">
        <f>NPV(realdiscrt1,H13:H$13)/(1+realdiscrt1)^-Half_Year</f>
        <v>2.9606709397883174E-3</v>
      </c>
      <c r="I93" s="514">
        <f>NPV(realdiscrt1,I13:I$13)/(1+realdiscrt1)^-Half_Year</f>
        <v>2.5758887032929206E-3</v>
      </c>
      <c r="J93" s="514">
        <f>NPV(realdiscrt1,J13:J$13)/(1+realdiscrt1)^-Half_Year</f>
        <v>1.468130334818439E-3</v>
      </c>
      <c r="K93" s="516">
        <f>NPV(realdiscrt1,K13:K$13)/(1+realdiscrt1)^-Half_Year</f>
        <v>1.4736674382945245E-3</v>
      </c>
      <c r="L93" s="1138">
        <f>NPV(realdiscrt1,L13:L$13)/(1+realdiscrt1)^-Half_Year</f>
        <v>45.588036786740666</v>
      </c>
      <c r="M93" s="519">
        <f>NPV(realdiscrt1,M13:M$13)/(1+realdiscrt1)^-Half_Year</f>
        <v>0</v>
      </c>
      <c r="N93" s="519">
        <f>NPV(realdiscrt1,N13:N$13)/(1+realdiscrt1)^-Half_Year</f>
        <v>0</v>
      </c>
      <c r="O93" s="1129">
        <f>NPV(realdiscrt1,O13:O$13)/(1+realdiscrt1)^-Half_Year</f>
        <v>0</v>
      </c>
      <c r="P93" s="637">
        <f t="shared" ref="P93:Q117" si="90">NPV(realdiscrt1,P13)/(1+realdiscrt1)^-Half_Year</f>
        <v>15.945364301337312</v>
      </c>
      <c r="Q93" s="637">
        <f t="shared" si="90"/>
        <v>0</v>
      </c>
      <c r="R93" s="1133">
        <f t="shared" ref="R93:R117" si="91">NPV(realdiscrt1,R13)/(1+realdiscrt1)^-Half_Year</f>
        <v>0</v>
      </c>
      <c r="S93" s="519">
        <f>NPV(realdiscrt1,S13:S$13)/(1+realdiscrt1)^-Half_Year</f>
        <v>0</v>
      </c>
      <c r="T93" s="519">
        <f>NPV(realdiscrt1,T13:T$13)/(1+realdiscrt1)^-Half_Year</f>
        <v>0</v>
      </c>
      <c r="U93" s="520">
        <f>NPV(realdiscrt1,U13:U$13)/(1+realdiscrt1)^-Half_Year</f>
        <v>0</v>
      </c>
      <c r="V93" s="518">
        <f>NPV(realdiscrt1,V13:V$13)/(1+realdiscrt1)^-Half_Year</f>
        <v>100.21600186029735</v>
      </c>
      <c r="W93" s="519">
        <f>NPV(realdiscrt1,W13:W$13)/(1+realdiscrt1)^-Half_Year</f>
        <v>0</v>
      </c>
      <c r="X93" s="521">
        <f>NPV(realdiscrt1,X13:X$13)/(1+realdiscrt1)^-Half_Year</f>
        <v>121.84028907070136</v>
      </c>
      <c r="Y93" s="518">
        <f>NPV(realdiscrt1,Y13:Y$13)/(1+realdiscrt1)^-Half_Year</f>
        <v>6.1348287677093811</v>
      </c>
      <c r="Z93" s="519">
        <f>NPV(realdiscrt1,Z13:Z$13)/(1+realdiscrt1)^-Half_Year</f>
        <v>7.2097514189747889</v>
      </c>
      <c r="AA93" s="519">
        <f>NPV(realdiscrt1,AA13:AA$13)/(1+realdiscrt1)^-Half_Year</f>
        <v>10.142775136316091</v>
      </c>
      <c r="AB93" s="519">
        <f>NPV(realdiscrt1,AB13:AB$13)/(1+realdiscrt1)^-Half_Year</f>
        <v>9.1168523984658254</v>
      </c>
      <c r="AC93" s="519">
        <f>NPV(realdiscrt1,AC13:AC$13)/(1+realdiscrt1)^-Half_Year</f>
        <v>7.1017383891241863</v>
      </c>
      <c r="AD93" s="519">
        <f>NPV(realdiscrt1,AD13:AD$13)/(1+realdiscrt1)^-Half_Year</f>
        <v>9.4485172627768321</v>
      </c>
      <c r="AE93" s="521">
        <f>NPV(realdiscrt1,AE13:AE$13)/(1+realdiscrt1)^-Half_Year</f>
        <v>8.8142527023301724</v>
      </c>
      <c r="AF93" s="522">
        <f>NPV(realdiscrt1,AF13:AF$13)/(1+realdiscrt1)^-Half_Year</f>
        <v>1.2045701300588891E-3</v>
      </c>
      <c r="AG93" s="516">
        <f>NPV(realdiscrt1,AG13:AG$13)/(1+realdiscrt1)^-Half_Year</f>
        <v>0.19355813477293859</v>
      </c>
      <c r="AH93" s="517">
        <f>NPV(realdiscrt1,AH13:AH$13)/(1+realdiscrt1)^-Half_Year</f>
        <v>0.19355813477293859</v>
      </c>
      <c r="AI93" s="517">
        <f>NPV(realdiscrt1,AI13:AI$13)/(1+realdiscrt1)^-Half_Year</f>
        <v>0.35769841737068436</v>
      </c>
      <c r="AJ93" s="517">
        <f>NPV(realdiscrt1,AJ13:AJ$13)/(1+realdiscrt1)^-Half_Year</f>
        <v>0.30399820145907619</v>
      </c>
      <c r="AK93" s="517">
        <f>NPV(realdiscrt1,AK13:AK$13)/(1+realdiscrt1)^-Half_Year</f>
        <v>0.19355813477293859</v>
      </c>
      <c r="AL93" s="517">
        <f>NPV(realdiscrt1,AL13:AL$13)/(1+realdiscrt1)^-Half_Year</f>
        <v>0.35769841737068436</v>
      </c>
      <c r="AM93" s="517">
        <f>NPV(realdiscrt1,AM13:AM$13)/(1+realdiscrt1)^-Half_Year</f>
        <v>0.31333617883075299</v>
      </c>
      <c r="AN93" s="518">
        <f>NPV(realdiscrt1,AN13:AN$13)/(1+realdiscrt1)^-Half_Year</f>
        <v>26.851079608644731</v>
      </c>
      <c r="AO93" s="519">
        <f>NPV(realdiscrt1,AO13:AO$13)/(1+realdiscrt1)^-Half_Year</f>
        <v>25.308963863834968</v>
      </c>
      <c r="AP93" s="505">
        <f>NPV(realdiscrt1,AP13:AP$13)/(1+realdiscrt1)^-Half_Year</f>
        <v>24.145828072835911</v>
      </c>
      <c r="AQ93" s="520">
        <f>NPV(realdiscrt1,AQ13:AQ$13)/(1+realdiscrt1)^-Half_Year</f>
        <v>1.4021944591818419E-2</v>
      </c>
      <c r="AR93" s="519">
        <f>NPV(realdiscrt1,AR13:AR$13)/(1+realdiscrt1)^-Half_Year</f>
        <v>33.054471742238235</v>
      </c>
      <c r="AS93" s="521">
        <f>NPV(realdiscrt1,AS13:AS$13)/(1+realdiscrt1)^-Half_Year</f>
        <v>44.447200379790466</v>
      </c>
      <c r="AT93" s="518">
        <f>NPV(realdiscrt1,AT13:AT$13)/(1+realdiscrt1)^-Half_Year</f>
        <v>23.272717293644526</v>
      </c>
      <c r="AU93" s="519">
        <f>NPV(realdiscrt1,AU13:AU$13)/(1+realdiscrt1)^-Half_Year</f>
        <v>25.095593597495796</v>
      </c>
      <c r="AV93" s="518">
        <f>NPV(realdiscrt1,AV13:AV$13)/(1+realdiscrt1)^-Half_Year</f>
        <v>1.2800601869910357E-2</v>
      </c>
      <c r="AW93" s="521">
        <f>NPV(realdiscrt1,AW13:AW$13)/(1+realdiscrt1)^-Half_Year</f>
        <v>1.2800601869910357E-2</v>
      </c>
      <c r="AX93" s="523">
        <f>NPV(realdiscrt1,AX13:AX$13)/(1+realdiscrt1)^-Half_Year</f>
        <v>1.5233189492694155</v>
      </c>
      <c r="AY93" s="524">
        <f>NPV(realdiscrt1,AY13:AY$13)/(1+realdiscrt1)^-Half_Year</f>
        <v>8.2631304727970551</v>
      </c>
      <c r="AZ93" s="516">
        <f>NPV(realdiscrt1,AZ13:AZ$13)/(1+realdiscrt1)^-Half_Year</f>
        <v>5.6863728973737551E-2</v>
      </c>
      <c r="BA93" s="517">
        <f>NPV(realdiscrt1,BA13:BA$13)/(1+realdiscrt1)^-Half_Year</f>
        <v>6.2479175846227877E-2</v>
      </c>
      <c r="BB93" s="517">
        <f>NPV(realdiscrt1,BB13:BB$13)/(1+realdiscrt1)^-Half_Year</f>
        <v>5.5136019209530367E-2</v>
      </c>
      <c r="BC93" s="520">
        <f>NPV(realdiscrt1,BC13:BC$13)/(1+realdiscrt1)^-Half_Year</f>
        <v>6.9507593839915782E-2</v>
      </c>
    </row>
    <row r="94" spans="1:57" s="324" customFormat="1" ht="14.25">
      <c r="A94" s="525">
        <v>2</v>
      </c>
      <c r="B94" s="526">
        <f t="shared" ref="B94:B117" si="92">B93+1</f>
        <v>2025</v>
      </c>
      <c r="C94" s="527">
        <f>NPV(realdiscrt1,C$13:C14)/(1+realdiscrt1)^-Half_Year</f>
        <v>0.14828147605803371</v>
      </c>
      <c r="D94" s="528">
        <f>NPV(realdiscrt1,D$13:D14)/(1+realdiscrt1)^-Half_Year</f>
        <v>0.14553029712980187</v>
      </c>
      <c r="E94" s="528">
        <f>NPV(realdiscrt1,E$13:E14)/(1+realdiscrt1)^-Half_Year</f>
        <v>0.10487925231807602</v>
      </c>
      <c r="F94" s="529">
        <f>NPV(realdiscrt1,F$13:F14)/(1+realdiscrt1)^-Half_Year</f>
        <v>0.10036028399186392</v>
      </c>
      <c r="G94" s="527">
        <f>NPV(realdiscrt1,G$13:G14)/(1+realdiscrt1)^-Half_Year</f>
        <v>1.0241506470829963E-2</v>
      </c>
      <c r="H94" s="528">
        <f>NPV(realdiscrt1,H$13:H14)/(1+realdiscrt1)^-Half_Year</f>
        <v>8.3829264465077706E-3</v>
      </c>
      <c r="I94" s="528">
        <f>NPV(realdiscrt1,I$13:I14)/(1+realdiscrt1)^-Half_Year</f>
        <v>6.1862683856042577E-3</v>
      </c>
      <c r="J94" s="528">
        <f>NPV(realdiscrt1,J$13:J14)/(1+realdiscrt1)^-Half_Year</f>
        <v>3.6551724528205553E-3</v>
      </c>
      <c r="K94" s="530">
        <f>NPV(realdiscrt1,K$13:K14)/(1+realdiscrt1)^-Half_Year</f>
        <v>3.7116935342547306E-3</v>
      </c>
      <c r="L94" s="1139">
        <f>NPV(realdiscrt1,L$13:L14)/(1+realdiscrt1)^-Half_Year</f>
        <v>90.119844697003288</v>
      </c>
      <c r="M94" s="532">
        <f>NPV(realdiscrt1,M$13:M14)/(1+realdiscrt1)^-Half_Year</f>
        <v>0</v>
      </c>
      <c r="N94" s="532">
        <f>NPV(realdiscrt1,N$13:N14)/(1+realdiscrt1)^-Half_Year</f>
        <v>0</v>
      </c>
      <c r="O94" s="534">
        <f>NPV(realdiscrt1,O$13:O14)/(1+realdiscrt1)^-Half_Year</f>
        <v>0</v>
      </c>
      <c r="P94" s="637">
        <f t="shared" si="90"/>
        <v>11.774712690056276</v>
      </c>
      <c r="Q94" s="637">
        <f t="shared" si="90"/>
        <v>0</v>
      </c>
      <c r="R94" s="1134">
        <f t="shared" si="91"/>
        <v>0</v>
      </c>
      <c r="S94" s="519">
        <f>NPV(realdiscrt1,S$13:S14)/(1+realdiscrt1)^-Half_Year</f>
        <v>0</v>
      </c>
      <c r="T94" s="519">
        <f>NPV(realdiscrt1,T$13:T14)/(1+realdiscrt1)^-Half_Year</f>
        <v>0</v>
      </c>
      <c r="U94" s="533">
        <f>NPV(realdiscrt1,U$13:U14)/(1+realdiscrt1)^-Half_Year</f>
        <v>0</v>
      </c>
      <c r="V94" s="531">
        <f>NPV(realdiscrt1,V$13:V14)/(1+realdiscrt1)^-Half_Year</f>
        <v>199.08338931040973</v>
      </c>
      <c r="W94" s="532">
        <f>NPV(realdiscrt1,W$13:W14)/(1+realdiscrt1)^-Half_Year</f>
        <v>0</v>
      </c>
      <c r="X94" s="534">
        <f>NPV(realdiscrt1,X$13:X14)/(1+realdiscrt1)^-Half_Year</f>
        <v>242.04096404253943</v>
      </c>
      <c r="Y94" s="531">
        <f>NPV(realdiscrt1,Y$13:Y14)/(1+realdiscrt1)^-Half_Year</f>
        <v>12.268184543671648</v>
      </c>
      <c r="Z94" s="532">
        <f>NPV(realdiscrt1,Z$13:Z14)/(1+realdiscrt1)^-Half_Year</f>
        <v>14.397280691024545</v>
      </c>
      <c r="AA94" s="532">
        <f>NPV(realdiscrt1,AA$13:AA14)/(1+realdiscrt1)^-Half_Year</f>
        <v>20.209942384901375</v>
      </c>
      <c r="AB94" s="532">
        <f>NPV(realdiscrt1,AB$13:AB14)/(1+realdiscrt1)^-Half_Year</f>
        <v>18.176843426574212</v>
      </c>
      <c r="AC94" s="532">
        <f>NPV(realdiscrt1,AC$13:AC14)/(1+realdiscrt1)^-Half_Year</f>
        <v>14.182672888728478</v>
      </c>
      <c r="AD94" s="532">
        <f>NPV(realdiscrt1,AD$13:AD14)/(1+realdiscrt1)^-Half_Year</f>
        <v>18.834440851954838</v>
      </c>
      <c r="AE94" s="534">
        <f>NPV(realdiscrt1,AE$13:AE14)/(1+realdiscrt1)^-Half_Year</f>
        <v>17.577206267299065</v>
      </c>
      <c r="AF94" s="535">
        <f>NPV(realdiscrt1,AF$13:AF14)/(1+realdiscrt1)^-Half_Year</f>
        <v>3.3100999472847913E-3</v>
      </c>
      <c r="AG94" s="530">
        <f>NPV(realdiscrt1,AG$13:AG14)/(1+realdiscrt1)^-Half_Year</f>
        <v>0.48723441078644586</v>
      </c>
      <c r="AH94" s="536">
        <f>NPV(realdiscrt1,AH$13:AH14)/(1+realdiscrt1)^-Half_Year</f>
        <v>0.48723441078644586</v>
      </c>
      <c r="AI94" s="536">
        <f>NPV(realdiscrt1,AI$13:AI14)/(1+realdiscrt1)^-Half_Year</f>
        <v>0.90022449270175664</v>
      </c>
      <c r="AJ94" s="536">
        <f>NPV(realdiscrt1,AJ$13:AJ14)/(1+realdiscrt1)^-Half_Year</f>
        <v>0.76511045355662421</v>
      </c>
      <c r="AK94" s="536">
        <f>NPV(realdiscrt1,AK$13:AK14)/(1+realdiscrt1)^-Half_Year</f>
        <v>0.48723441078644586</v>
      </c>
      <c r="AL94" s="536">
        <f>NPV(realdiscrt1,AL$13:AL14)/(1+realdiscrt1)^-Half_Year</f>
        <v>0.90022449270175664</v>
      </c>
      <c r="AM94" s="536">
        <f>NPV(realdiscrt1,AM$13:AM14)/(1+realdiscrt1)^-Half_Year</f>
        <v>0.7886055516435645</v>
      </c>
      <c r="AN94" s="518">
        <f>NPV(realdiscrt1,AN$13:AN14)/(1+realdiscrt1)^-Half_Year</f>
        <v>54.41464213469677</v>
      </c>
      <c r="AO94" s="519">
        <f>NPV(realdiscrt1,AO$13:AO14)/(1+realdiscrt1)^-Half_Year</f>
        <v>50.362741068083793</v>
      </c>
      <c r="AP94" s="505">
        <f>NPV(realdiscrt1,AP$13:AP14)/(1+realdiscrt1)^-Half_Year</f>
        <v>48.06304887207753</v>
      </c>
      <c r="AQ94" s="533">
        <f>NPV(realdiscrt1,AQ$13:AQ14)/(1+realdiscrt1)^-Half_Year</f>
        <v>2.8445719786371337E-2</v>
      </c>
      <c r="AR94" s="519">
        <f>NPV(realdiscrt1,AR$13:AR14)/(1+realdiscrt1)^-Half_Year</f>
        <v>66.986030990957417</v>
      </c>
      <c r="AS94" s="534">
        <f>NPV(realdiscrt1,AS$13:AS14)/(1+realdiscrt1)^-Half_Year</f>
        <v>89.370091332504145</v>
      </c>
      <c r="AT94" s="518">
        <f>NPV(realdiscrt1,AT$13:AT14)/(1+realdiscrt1)^-Half_Year</f>
        <v>47.162967057306872</v>
      </c>
      <c r="AU94" s="532">
        <f>NPV(realdiscrt1,AU$13:AU14)/(1+realdiscrt1)^-Half_Year</f>
        <v>50.857088976261316</v>
      </c>
      <c r="AV94" s="531">
        <f>NPV(realdiscrt1,AV$13:AV14)/(1+realdiscrt1)^-Half_Year</f>
        <v>2.5428945060364843E-2</v>
      </c>
      <c r="AW94" s="534">
        <f>NPV(realdiscrt1,AW$13:AW14)/(1+realdiscrt1)^-Half_Year</f>
        <v>2.5428945060364843E-2</v>
      </c>
      <c r="AX94" s="523">
        <f>NPV(realdiscrt1,AX$13:AX14)/(1+realdiscrt1)^-Half_Year</f>
        <v>3.0261384788038828</v>
      </c>
      <c r="AY94" s="537">
        <f>NPV(realdiscrt1,AY$13:AY14)/(1+realdiscrt1)^-Half_Year</f>
        <v>16.809774802758522</v>
      </c>
      <c r="AZ94" s="530">
        <f>NPV(realdiscrt1,AZ$13:AZ14)/(1+realdiscrt1)^-Half_Year</f>
        <v>0.11342673735639419</v>
      </c>
      <c r="BA94" s="536">
        <f>NPV(realdiscrt1,BA$13:BA14)/(1+realdiscrt1)^-Half_Year</f>
        <v>0.1250929383291593</v>
      </c>
      <c r="BB94" s="536">
        <f>NPV(realdiscrt1,BB$13:BB14)/(1+realdiscrt1)^-Half_Year</f>
        <v>0.1128402101904686</v>
      </c>
      <c r="BC94" s="533">
        <f>NPV(realdiscrt1,BC$13:BC14)/(1+realdiscrt1)^-Half_Year</f>
        <v>0.13811565299049619</v>
      </c>
    </row>
    <row r="95" spans="1:57" s="324" customFormat="1" ht="14.25">
      <c r="A95" s="525">
        <f t="shared" ref="A95:A117" si="93">A94+1</f>
        <v>3</v>
      </c>
      <c r="B95" s="526">
        <f t="shared" si="92"/>
        <v>2026</v>
      </c>
      <c r="C95" s="527">
        <f>NPV(realdiscrt1,C$13:C15)/(1+realdiscrt1)^-Half_Year</f>
        <v>0.22065874004729744</v>
      </c>
      <c r="D95" s="528">
        <f>NPV(realdiscrt1,D$13:D15)/(1+realdiscrt1)^-Half_Year</f>
        <v>0.21472431515649129</v>
      </c>
      <c r="E95" s="528">
        <f>NPV(realdiscrt1,E$13:E15)/(1+realdiscrt1)^-Half_Year</f>
        <v>0.15663619347887331</v>
      </c>
      <c r="F95" s="529">
        <f>NPV(realdiscrt1,F$13:F15)/(1+realdiscrt1)^-Half_Year</f>
        <v>0.14739679775288622</v>
      </c>
      <c r="G95" s="527">
        <f>NPV(realdiscrt1,G$13:G15)/(1+realdiscrt1)^-Half_Year</f>
        <v>1.7696422496847348E-2</v>
      </c>
      <c r="H95" s="528">
        <f>NPV(realdiscrt1,H$13:H15)/(1+realdiscrt1)^-Half_Year</f>
        <v>1.4976785865076142E-2</v>
      </c>
      <c r="I95" s="528">
        <f>NPV(realdiscrt1,I$13:I15)/(1+realdiscrt1)^-Half_Year</f>
        <v>1.0130426048032951E-2</v>
      </c>
      <c r="J95" s="528">
        <f>NPV(realdiscrt1,J$13:J15)/(1+realdiscrt1)^-Half_Year</f>
        <v>6.264574160056444E-3</v>
      </c>
      <c r="K95" s="530">
        <f>NPV(realdiscrt1,K$13:K15)/(1+realdiscrt1)^-Half_Year</f>
        <v>6.379910800294499E-3</v>
      </c>
      <c r="L95" s="1139">
        <f>NPV(realdiscrt1,L$13:L15)/(1+realdiscrt1)^-Half_Year</f>
        <v>136.61874581940009</v>
      </c>
      <c r="M95" s="532">
        <f>NPV(realdiscrt1,M$13:M15)/(1+realdiscrt1)^-Half_Year</f>
        <v>16.973333839469333</v>
      </c>
      <c r="N95" s="532">
        <f>NPV(realdiscrt1,N$13:N15)/(1+realdiscrt1)^-Half_Year</f>
        <v>16.973333839469333</v>
      </c>
      <c r="O95" s="534">
        <f>NPV(realdiscrt1,O$13:O15)/(1+realdiscrt1)^-Half_Year</f>
        <v>0</v>
      </c>
      <c r="P95" s="637">
        <f t="shared" si="90"/>
        <v>14.854420869931724</v>
      </c>
      <c r="Q95" s="637">
        <f t="shared" si="90"/>
        <v>0</v>
      </c>
      <c r="R95" s="1134">
        <f t="shared" si="91"/>
        <v>0</v>
      </c>
      <c r="S95" s="519">
        <f>NPV(realdiscrt1,S$13:S15)/(1+realdiscrt1)^-Half_Year</f>
        <v>0</v>
      </c>
      <c r="T95" s="519">
        <f>NPV(realdiscrt1,T$13:T15)/(1+realdiscrt1)^-Half_Year</f>
        <v>0</v>
      </c>
      <c r="U95" s="533">
        <f>NPV(realdiscrt1,U$13:U15)/(1+realdiscrt1)^-Half_Year</f>
        <v>0</v>
      </c>
      <c r="V95" s="531">
        <f>NPV(realdiscrt1,V$13:V15)/(1+realdiscrt1)^-Half_Year</f>
        <v>296.62031075771318</v>
      </c>
      <c r="W95" s="532">
        <f>NPV(realdiscrt1,W$13:W15)/(1+realdiscrt1)^-Half_Year</f>
        <v>0</v>
      </c>
      <c r="X95" s="534">
        <f>NPV(realdiscrt1,X$13:X15)/(1+realdiscrt1)^-Half_Year</f>
        <v>360.62408932798155</v>
      </c>
      <c r="Y95" s="531">
        <f>NPV(realdiscrt1,Y$13:Y15)/(1+realdiscrt1)^-Half_Year</f>
        <v>18.439556052747321</v>
      </c>
      <c r="Z95" s="532">
        <f>NPV(realdiscrt1,Z$13:Z15)/(1+realdiscrt1)^-Half_Year</f>
        <v>21.60389168104598</v>
      </c>
      <c r="AA95" s="532">
        <f>NPV(realdiscrt1,AA$13:AA15)/(1+realdiscrt1)^-Half_Year</f>
        <v>30.246958405624156</v>
      </c>
      <c r="AB95" s="532">
        <f>NPV(realdiscrt1,AB$13:AB15)/(1+realdiscrt1)^-Half_Year</f>
        <v>27.223959068058534</v>
      </c>
      <c r="AC95" s="532">
        <f>NPV(realdiscrt1,AC$13:AC15)/(1+realdiscrt1)^-Half_Year</f>
        <v>21.284154264150963</v>
      </c>
      <c r="AD95" s="532">
        <f>NPV(realdiscrt1,AD$13:AD15)/(1+realdiscrt1)^-Half_Year</f>
        <v>28.201911014074106</v>
      </c>
      <c r="AE95" s="534">
        <f>NPV(realdiscrt1,AE$13:AE15)/(1+realdiscrt1)^-Half_Year</f>
        <v>26.332247027608393</v>
      </c>
      <c r="AF95" s="535">
        <f>NPV(realdiscrt1,AF$13:AF15)/(1+realdiscrt1)^-Half_Year</f>
        <v>5.9434987941766916E-3</v>
      </c>
      <c r="AG95" s="530">
        <f>NPV(realdiscrt1,AG$13:AG15)/(1+realdiscrt1)^-Half_Year</f>
        <v>0.83723770492654093</v>
      </c>
      <c r="AH95" s="536">
        <f>NPV(realdiscrt1,AH$13:AH15)/(1+realdiscrt1)^-Half_Year</f>
        <v>0.83723770492654093</v>
      </c>
      <c r="AI95" s="536">
        <f>NPV(realdiscrt1,AI$13:AI15)/(1+realdiscrt1)^-Half_Year</f>
        <v>1.5465841106475586</v>
      </c>
      <c r="AJ95" s="536">
        <f>NPV(realdiscrt1,AJ$13:AJ15)/(1+realdiscrt1)^-Half_Year</f>
        <v>1.3145139902573493</v>
      </c>
      <c r="AK95" s="536">
        <f>NPV(realdiscrt1,AK$13:AK15)/(1+realdiscrt1)^-Half_Year</f>
        <v>0.83723770492654093</v>
      </c>
      <c r="AL95" s="536">
        <f>NPV(realdiscrt1,AL$13:AL15)/(1+realdiscrt1)^-Half_Year</f>
        <v>1.5465841106475586</v>
      </c>
      <c r="AM95" s="536">
        <f>NPV(realdiscrt1,AM$13:AM15)/(1+realdiscrt1)^-Half_Year</f>
        <v>1.3548688658580943</v>
      </c>
      <c r="AN95" s="518">
        <f>NPV(realdiscrt1,AN$13:AN15)/(1+realdiscrt1)^-Half_Year</f>
        <v>82.600127450527708</v>
      </c>
      <c r="AO95" s="519">
        <f>NPV(realdiscrt1,AO$13:AO15)/(1+realdiscrt1)^-Half_Year</f>
        <v>75.076948662774001</v>
      </c>
      <c r="AP95" s="505">
        <f>NPV(realdiscrt1,AP$13:AP15)/(1+realdiscrt1)^-Half_Year</f>
        <v>71.675082988342965</v>
      </c>
      <c r="AQ95" s="533">
        <f>NPV(realdiscrt1,AQ$13:AQ15)/(1+realdiscrt1)^-Half_Year</f>
        <v>4.3003660434929869E-2</v>
      </c>
      <c r="AR95" s="519">
        <f>NPV(realdiscrt1,AR$13:AR15)/(1+realdiscrt1)^-Half_Year</f>
        <v>101.6831955553743</v>
      </c>
      <c r="AS95" s="534">
        <f>NPV(realdiscrt1,AS$13:AS15)/(1+realdiscrt1)^-Half_Year</f>
        <v>134.68129926322263</v>
      </c>
      <c r="AT95" s="518">
        <f>NPV(realdiscrt1,AT$13:AT15)/(1+realdiscrt1)^-Half_Year</f>
        <v>71.59225783816315</v>
      </c>
      <c r="AU95" s="532">
        <f>NPV(realdiscrt1,AU$13:AU15)/(1+realdiscrt1)^-Half_Year</f>
        <v>77.199846703088554</v>
      </c>
      <c r="AV95" s="531">
        <f>NPV(realdiscrt1,AV$13:AV15)/(1+realdiscrt1)^-Half_Year</f>
        <v>3.7887347669602077E-2</v>
      </c>
      <c r="AW95" s="534">
        <f>NPV(realdiscrt1,AW$13:AW15)/(1+realdiscrt1)^-Half_Year</f>
        <v>3.7887347669602077E-2</v>
      </c>
      <c r="AX95" s="523">
        <f>NPV(realdiscrt1,AX$13:AX15)/(1+realdiscrt1)^-Half_Year</f>
        <v>4.5087344508643366</v>
      </c>
      <c r="AY95" s="537">
        <f>NPV(realdiscrt1,AY$13:AY15)/(1+realdiscrt1)^-Half_Year</f>
        <v>25.654511215795246</v>
      </c>
      <c r="AZ95" s="530">
        <f>NPV(realdiscrt1,AZ$13:AZ15)/(1+realdiscrt1)^-Half_Year</f>
        <v>0.16462089653779277</v>
      </c>
      <c r="BA95" s="536">
        <f>NPV(realdiscrt1,BA$13:BA15)/(1+realdiscrt1)^-Half_Year</f>
        <v>0.18451699960195458</v>
      </c>
      <c r="BB95" s="536">
        <f>NPV(realdiscrt1,BB$13:BB15)/(1+realdiscrt1)^-Half_Year</f>
        <v>0.16508587216027173</v>
      </c>
      <c r="BC95" s="533">
        <f>NPV(realdiscrt1,BC$13:BC15)/(1+realdiscrt1)^-Half_Year</f>
        <v>0.20165380774344721</v>
      </c>
    </row>
    <row r="96" spans="1:57" s="324" customFormat="1" ht="14.25">
      <c r="A96" s="525">
        <f t="shared" si="93"/>
        <v>4</v>
      </c>
      <c r="B96" s="526">
        <f t="shared" si="92"/>
        <v>2027</v>
      </c>
      <c r="C96" s="527">
        <f>NPV(realdiscrt1,C$13:C16)/(1+realdiscrt1)^-Half_Year</f>
        <v>0.29251797239929045</v>
      </c>
      <c r="D96" s="528">
        <f>NPV(realdiscrt1,D$13:D16)/(1+realdiscrt1)^-Half_Year</f>
        <v>0.28120758345756708</v>
      </c>
      <c r="E96" s="528">
        <f>NPV(realdiscrt1,E$13:E16)/(1+realdiscrt1)^-Half_Year</f>
        <v>0.20906509946679774</v>
      </c>
      <c r="F96" s="529">
        <f>NPV(realdiscrt1,F$13:F16)/(1+realdiscrt1)^-Half_Year</f>
        <v>0.19299895620847976</v>
      </c>
      <c r="G96" s="527">
        <f>NPV(realdiscrt1,G$13:G16)/(1+realdiscrt1)^-Half_Year</f>
        <v>2.5269616664643859E-2</v>
      </c>
      <c r="H96" s="528">
        <f>NPV(realdiscrt1,H$13:H16)/(1+realdiscrt1)^-Half_Year</f>
        <v>2.1688693489942509E-2</v>
      </c>
      <c r="I96" s="528">
        <f>NPV(realdiscrt1,I$13:I16)/(1+realdiscrt1)^-Half_Year</f>
        <v>1.444855283155598E-2</v>
      </c>
      <c r="J96" s="528">
        <f>NPV(realdiscrt1,J$13:J16)/(1+realdiscrt1)^-Half_Year</f>
        <v>9.0810506716807009E-3</v>
      </c>
      <c r="K96" s="530">
        <f>NPV(realdiscrt1,K$13:K16)/(1+realdiscrt1)^-Half_Year</f>
        <v>8.7392001554039544E-3</v>
      </c>
      <c r="L96" s="1139">
        <f>NPV(realdiscrt1,L$13:L16)/(1+realdiscrt1)^-Half_Year</f>
        <v>186.17489346079705</v>
      </c>
      <c r="M96" s="532">
        <f>NPV(realdiscrt1,M$13:M16)/(1+realdiscrt1)^-Half_Year</f>
        <v>47.356428993406126</v>
      </c>
      <c r="N96" s="532">
        <f>NPV(realdiscrt1,N$13:N16)/(1+realdiscrt1)^-Half_Year</f>
        <v>47.356428993406126</v>
      </c>
      <c r="O96" s="534">
        <f>NPV(realdiscrt1,O$13:O16)/(1+realdiscrt1)^-Half_Year</f>
        <v>0</v>
      </c>
      <c r="P96" s="637">
        <f t="shared" si="90"/>
        <v>12.717615643160917</v>
      </c>
      <c r="Q96" s="637">
        <f t="shared" si="90"/>
        <v>0</v>
      </c>
      <c r="R96" s="1134">
        <f t="shared" si="91"/>
        <v>0</v>
      </c>
      <c r="S96" s="519">
        <f>NPV(realdiscrt1,S$13:S16)/(1+realdiscrt1)^-Half_Year</f>
        <v>0</v>
      </c>
      <c r="T96" s="519">
        <f>NPV(realdiscrt1,T$13:T16)/(1+realdiscrt1)^-Half_Year</f>
        <v>0</v>
      </c>
      <c r="U96" s="533">
        <f>NPV(realdiscrt1,U$13:U16)/(1+realdiscrt1)^-Half_Year</f>
        <v>0</v>
      </c>
      <c r="V96" s="531">
        <f>NPV(realdiscrt1,V$13:V16)/(1+realdiscrt1)^-Half_Year</f>
        <v>392.84467038507614</v>
      </c>
      <c r="W96" s="532">
        <f>NPV(realdiscrt1,W$13:W16)/(1+realdiscrt1)^-Half_Year</f>
        <v>0</v>
      </c>
      <c r="X96" s="534">
        <f>NPV(realdiscrt1,X$13:X16)/(1+realdiscrt1)^-Half_Year</f>
        <v>477.61143241700711</v>
      </c>
      <c r="Y96" s="531">
        <f>NPV(realdiscrt1,Y$13:Y16)/(1+realdiscrt1)^-Half_Year</f>
        <v>24.599098961218072</v>
      </c>
      <c r="Z96" s="532">
        <f>NPV(realdiscrt1,Z$13:Z16)/(1+realdiscrt1)^-Half_Year</f>
        <v>28.778919015052214</v>
      </c>
      <c r="AA96" s="532">
        <f>NPV(realdiscrt1,AA$13:AA16)/(1+realdiscrt1)^-Half_Year</f>
        <v>40.201399954045755</v>
      </c>
      <c r="AB96" s="532">
        <f>NPV(realdiscrt1,AB$13:AB16)/(1+realdiscrt1)^-Half_Year</f>
        <v>36.206401865743288</v>
      </c>
      <c r="AC96" s="532">
        <f>NPV(realdiscrt1,AC$13:AC16)/(1+realdiscrt1)^-Half_Year</f>
        <v>28.355432163078863</v>
      </c>
      <c r="AD96" s="532">
        <f>NPV(realdiscrt1,AD$13:AD16)/(1+realdiscrt1)^-Half_Year</f>
        <v>37.499226785974464</v>
      </c>
      <c r="AE96" s="534">
        <f>NPV(realdiscrt1,AE$13:AE16)/(1+realdiscrt1)^-Half_Year</f>
        <v>35.027930941948618</v>
      </c>
      <c r="AF96" s="535">
        <f>NPV(realdiscrt1,AF$13:AF16)/(1+realdiscrt1)^-Half_Year</f>
        <v>8.563839904896297E-3</v>
      </c>
      <c r="AG96" s="530">
        <f>NPV(realdiscrt1,AG$13:AG16)/(1+realdiscrt1)^-Half_Year</f>
        <v>1.146425553716351</v>
      </c>
      <c r="AH96" s="536">
        <f>NPV(realdiscrt1,AH$13:AH16)/(1+realdiscrt1)^-Half_Year</f>
        <v>1.146425553716351</v>
      </c>
      <c r="AI96" s="536">
        <f>NPV(realdiscrt1,AI$13:AI16)/(1+realdiscrt1)^-Half_Year</f>
        <v>2.1167317330061524</v>
      </c>
      <c r="AJ96" s="536">
        <f>NPV(realdiscrt1,AJ$13:AJ16)/(1+realdiscrt1)^-Half_Year</f>
        <v>1.7992858842261559</v>
      </c>
      <c r="AK96" s="536">
        <f>NPV(realdiscrt1,AK$13:AK16)/(1+realdiscrt1)^-Half_Year</f>
        <v>1.146425553716351</v>
      </c>
      <c r="AL96" s="536">
        <f>NPV(realdiscrt1,AL$13:AL16)/(1+realdiscrt1)^-Half_Year</f>
        <v>2.1167317330061524</v>
      </c>
      <c r="AM96" s="536">
        <f>NPV(realdiscrt1,AM$13:AM16)/(1+realdiscrt1)^-Half_Year</f>
        <v>1.8544868196845845</v>
      </c>
      <c r="AN96" s="518">
        <f>NPV(realdiscrt1,AN$13:AN16)/(1+realdiscrt1)^-Half_Year</f>
        <v>110.73756037447943</v>
      </c>
      <c r="AO96" s="519">
        <f>NPV(realdiscrt1,AO$13:AO16)/(1+realdiscrt1)^-Half_Year</f>
        <v>99.809333368379114</v>
      </c>
      <c r="AP96" s="505">
        <f>NPV(realdiscrt1,AP$13:AP16)/(1+realdiscrt1)^-Half_Year</f>
        <v>95.309110396447707</v>
      </c>
      <c r="AQ96" s="533">
        <f>NPV(realdiscrt1,AQ$13:AQ16)/(1+realdiscrt1)^-Half_Year</f>
        <v>5.7751649419500971E-2</v>
      </c>
      <c r="AR96" s="519">
        <f>NPV(realdiscrt1,AR$13:AR16)/(1+realdiscrt1)^-Half_Year</f>
        <v>136.32120620670207</v>
      </c>
      <c r="AS96" s="534">
        <f>NPV(realdiscrt1,AS$13:AS16)/(1+realdiscrt1)^-Half_Year</f>
        <v>179.7139926415831</v>
      </c>
      <c r="AT96" s="518">
        <f>NPV(realdiscrt1,AT$13:AT16)/(1+realdiscrt1)^-Half_Year</f>
        <v>95.979900024333944</v>
      </c>
      <c r="AU96" s="532">
        <f>NPV(realdiscrt1,AU$13:AU16)/(1+realdiscrt1)^-Half_Year</f>
        <v>103.49769363617619</v>
      </c>
      <c r="AV96" s="531">
        <f>NPV(realdiscrt1,AV$13:AV16)/(1+realdiscrt1)^-Half_Year</f>
        <v>5.0178096601035185E-2</v>
      </c>
      <c r="AW96" s="534">
        <f>NPV(realdiscrt1,AW$13:AW16)/(1+realdiscrt1)^-Half_Year</f>
        <v>5.0178096601035185E-2</v>
      </c>
      <c r="AX96" s="523">
        <f>NPV(realdiscrt1,AX$13:AX16)/(1+realdiscrt1)^-Half_Year</f>
        <v>5.9713790154121433</v>
      </c>
      <c r="AY96" s="537">
        <f>NPV(realdiscrt1,AY$13:AY16)/(1+realdiscrt1)^-Half_Year</f>
        <v>34.809276674897816</v>
      </c>
      <c r="AZ96" s="530">
        <f>NPV(realdiscrt1,AZ$13:AZ16)/(1+realdiscrt1)^-Half_Year</f>
        <v>0.2101225321088572</v>
      </c>
      <c r="BA96" s="536">
        <f>NPV(realdiscrt1,BA$13:BA16)/(1+realdiscrt1)^-Half_Year</f>
        <v>0.23951092255634904</v>
      </c>
      <c r="BB96" s="536">
        <f>NPV(realdiscrt1,BB$13:BB16)/(1+realdiscrt1)^-Half_Year</f>
        <v>0.2157825189726896</v>
      </c>
      <c r="BC96" s="533">
        <f>NPV(realdiscrt1,BC$13:BC16)/(1+realdiscrt1)^-Half_Year</f>
        <v>0.26366200811858287</v>
      </c>
    </row>
    <row r="97" spans="1:55" s="324" customFormat="1" ht="14.25">
      <c r="A97" s="525">
        <f t="shared" si="93"/>
        <v>5</v>
      </c>
      <c r="B97" s="526">
        <f t="shared" si="92"/>
        <v>2028</v>
      </c>
      <c r="C97" s="527">
        <f>NPV(realdiscrt1,C$13:C17)/(1+realdiscrt1)^-Half_Year</f>
        <v>0.36062186808483931</v>
      </c>
      <c r="D97" s="528">
        <f>NPV(realdiscrt1,D$13:D17)/(1+realdiscrt1)^-Half_Year</f>
        <v>0.34899708445262295</v>
      </c>
      <c r="E97" s="528">
        <f>NPV(realdiscrt1,E$13:E17)/(1+realdiscrt1)^-Half_Year</f>
        <v>0.25847455665616853</v>
      </c>
      <c r="F97" s="529">
        <f>NPV(realdiscrt1,F$13:F17)/(1+realdiscrt1)^-Half_Year</f>
        <v>0.24095289368906639</v>
      </c>
      <c r="G97" s="527">
        <f>NPV(realdiscrt1,G$13:G17)/(1+realdiscrt1)^-Half_Year</f>
        <v>3.2661852158882801E-2</v>
      </c>
      <c r="H97" s="528">
        <f>NPV(realdiscrt1,H$13:H17)/(1+realdiscrt1)^-Half_Year</f>
        <v>2.8252328540133324E-2</v>
      </c>
      <c r="I97" s="528">
        <f>NPV(realdiscrt1,I$13:I17)/(1+realdiscrt1)^-Half_Year</f>
        <v>1.873715817461527E-2</v>
      </c>
      <c r="J97" s="528">
        <f>NPV(realdiscrt1,J$13:J17)/(1+realdiscrt1)^-Half_Year</f>
        <v>1.1855141704826221E-2</v>
      </c>
      <c r="K97" s="530">
        <f>NPV(realdiscrt1,K$13:K17)/(1+realdiscrt1)^-Half_Year</f>
        <v>1.0819128256773508E-2</v>
      </c>
      <c r="L97" s="1139">
        <f>NPV(realdiscrt1,L$13:L17)/(1+realdiscrt1)^-Half_Year</f>
        <v>238.06117645655252</v>
      </c>
      <c r="M97" s="532">
        <f>NPV(realdiscrt1,M$13:M17)/(1+realdiscrt1)^-Half_Year</f>
        <v>92.074103130468032</v>
      </c>
      <c r="N97" s="532">
        <f>NPV(realdiscrt1,N$13:N17)/(1+realdiscrt1)^-Half_Year</f>
        <v>92.074103130468032</v>
      </c>
      <c r="O97" s="534">
        <f>NPV(realdiscrt1,O$13:O17)/(1+realdiscrt1)^-Half_Year</f>
        <v>0</v>
      </c>
      <c r="P97" s="637">
        <f t="shared" si="90"/>
        <v>8.661379114238672</v>
      </c>
      <c r="Q97" s="637">
        <f t="shared" si="90"/>
        <v>0</v>
      </c>
      <c r="R97" s="1134">
        <f t="shared" si="91"/>
        <v>0</v>
      </c>
      <c r="S97" s="519">
        <f>NPV(realdiscrt1,S$13:S17)/(1+realdiscrt1)^-Half_Year</f>
        <v>0</v>
      </c>
      <c r="T97" s="519">
        <f>NPV(realdiscrt1,T$13:T17)/(1+realdiscrt1)^-Half_Year</f>
        <v>0</v>
      </c>
      <c r="U97" s="533">
        <f>NPV(realdiscrt1,U$13:U17)/(1+realdiscrt1)^-Half_Year</f>
        <v>0</v>
      </c>
      <c r="V97" s="531">
        <f>NPV(realdiscrt1,V$13:V17)/(1+realdiscrt1)^-Half_Year</f>
        <v>487.77413143740722</v>
      </c>
      <c r="W97" s="532">
        <f>NPV(realdiscrt1,W$13:W17)/(1+realdiscrt1)^-Half_Year</f>
        <v>0</v>
      </c>
      <c r="X97" s="534">
        <f>NPV(realdiscrt1,X$13:X17)/(1+realdiscrt1)^-Half_Year</f>
        <v>593.02446787281599</v>
      </c>
      <c r="Y97" s="531">
        <f>NPV(realdiscrt1,Y$13:Y17)/(1+realdiscrt1)^-Half_Year</f>
        <v>30.8400062513726</v>
      </c>
      <c r="Z97" s="532">
        <f>NPV(realdiscrt1,Z$13:Z17)/(1+realdiscrt1)^-Half_Year</f>
        <v>36.018329770105893</v>
      </c>
      <c r="AA97" s="532">
        <f>NPV(realdiscrt1,AA$13:AA17)/(1+realdiscrt1)^-Half_Year</f>
        <v>50.175554187205769</v>
      </c>
      <c r="AB97" s="532">
        <f>NPV(realdiscrt1,AB$13:AB17)/(1+realdiscrt1)^-Half_Year</f>
        <v>45.224220055763631</v>
      </c>
      <c r="AC97" s="532">
        <f>NPV(realdiscrt1,AC$13:AC17)/(1+realdiscrt1)^-Half_Year</f>
        <v>35.492583736206761</v>
      </c>
      <c r="AD97" s="532">
        <f>NPV(realdiscrt1,AD$13:AD17)/(1+realdiscrt1)^-Half_Year</f>
        <v>46.826557925269491</v>
      </c>
      <c r="AE97" s="534">
        <f>NPV(realdiscrt1,AE$13:AE17)/(1+realdiscrt1)^-Half_Year</f>
        <v>43.763321657955231</v>
      </c>
      <c r="AF97" s="535">
        <f>NPV(realdiscrt1,AF$13:AF17)/(1+realdiscrt1)^-Half_Year</f>
        <v>1.1162488481026593E-2</v>
      </c>
      <c r="AG97" s="530">
        <f>NPV(realdiscrt1,AG$13:AG17)/(1+realdiscrt1)^-Half_Year</f>
        <v>1.4187141778720549</v>
      </c>
      <c r="AH97" s="536">
        <f>NPV(realdiscrt1,AH$13:AH17)/(1+realdiscrt1)^-Half_Year</f>
        <v>1.4187141778720549</v>
      </c>
      <c r="AI97" s="536">
        <f>NPV(realdiscrt1,AI$13:AI17)/(1+realdiscrt1)^-Half_Year</f>
        <v>2.6178722273481205</v>
      </c>
      <c r="AJ97" s="536">
        <f>NPV(realdiscrt1,AJ$13:AJ17)/(1+realdiscrt1)^-Half_Year</f>
        <v>2.2255550877047168</v>
      </c>
      <c r="AK97" s="536">
        <f>NPV(realdiscrt1,AK$13:AK17)/(1+realdiscrt1)^-Half_Year</f>
        <v>1.4187141778720549</v>
      </c>
      <c r="AL97" s="536">
        <f>NPV(realdiscrt1,AL$13:AL17)/(1+realdiscrt1)^-Half_Year</f>
        <v>2.6178722273481205</v>
      </c>
      <c r="AM97" s="536">
        <f>NPV(realdiscrt1,AM$13:AM17)/(1+realdiscrt1)^-Half_Year</f>
        <v>2.2937754572194544</v>
      </c>
      <c r="AN97" s="518">
        <f>NPV(realdiscrt1,AN$13:AN17)/(1+realdiscrt1)^-Half_Year</f>
        <v>139.01427549196697</v>
      </c>
      <c r="AO97" s="519">
        <f>NPV(realdiscrt1,AO$13:AO17)/(1+realdiscrt1)^-Half_Year</f>
        <v>124.72983237361143</v>
      </c>
      <c r="AP97" s="505">
        <f>NPV(realdiscrt1,AP$13:AP17)/(1+realdiscrt1)^-Half_Year</f>
        <v>119.13639789060572</v>
      </c>
      <c r="AQ97" s="533">
        <f>NPV(realdiscrt1,AQ$13:AQ17)/(1+realdiscrt1)^-Half_Year</f>
        <v>7.2690352536388392E-2</v>
      </c>
      <c r="AR97" s="519">
        <f>NPV(realdiscrt1,AR$13:AR17)/(1+realdiscrt1)^-Half_Year</f>
        <v>171.13067735040215</v>
      </c>
      <c r="AS97" s="534">
        <f>NPV(realdiscrt1,AS$13:AS17)/(1+realdiscrt1)^-Half_Year</f>
        <v>224.65860739993983</v>
      </c>
      <c r="AT97" s="518">
        <f>NPV(realdiscrt1,AT$13:AT17)/(1+realdiscrt1)^-Half_Year</f>
        <v>120.48826268660632</v>
      </c>
      <c r="AU97" s="532">
        <f>NPV(realdiscrt1,AU$13:AU17)/(1+realdiscrt1)^-Half_Year</f>
        <v>129.92571668788881</v>
      </c>
      <c r="AV97" s="531">
        <f>NPV(realdiscrt1,AV$13:AV17)/(1+realdiscrt1)^-Half_Year</f>
        <v>6.2303447983042978E-2</v>
      </c>
      <c r="AW97" s="534">
        <f>NPV(realdiscrt1,AW$13:AW17)/(1+realdiscrt1)^-Half_Year</f>
        <v>6.2303447983042978E-2</v>
      </c>
      <c r="AX97" s="523">
        <f>NPV(realdiscrt1,AX$13:AX17)/(1+realdiscrt1)^-Half_Year</f>
        <v>7.4143406600658039</v>
      </c>
      <c r="AY97" s="537">
        <f>NPV(realdiscrt1,AY$13:AY17)/(1+realdiscrt1)^-Half_Year</f>
        <v>44.283569728751473</v>
      </c>
      <c r="AZ97" s="530">
        <f>NPV(realdiscrt1,AZ$13:AZ17)/(1+realdiscrt1)^-Half_Year</f>
        <v>0.25536145199209059</v>
      </c>
      <c r="BA97" s="536">
        <f>NPV(realdiscrt1,BA$13:BA17)/(1+realdiscrt1)^-Half_Year</f>
        <v>0.28793059624650919</v>
      </c>
      <c r="BB97" s="536">
        <f>NPV(realdiscrt1,BB$13:BB17)/(1+realdiscrt1)^-Half_Year</f>
        <v>0.26616817201329623</v>
      </c>
      <c r="BC97" s="533">
        <f>NPV(realdiscrt1,BC$13:BC17)/(1+realdiscrt1)^-Half_Year</f>
        <v>0.31786250332113442</v>
      </c>
    </row>
    <row r="98" spans="1:55" s="324" customFormat="1" ht="14.25">
      <c r="A98" s="525">
        <f t="shared" si="93"/>
        <v>6</v>
      </c>
      <c r="B98" s="526">
        <f t="shared" si="92"/>
        <v>2029</v>
      </c>
      <c r="C98" s="527">
        <f>NPV(realdiscrt1,C$13:C18)/(1+realdiscrt1)^-Half_Year</f>
        <v>0.42899255878474818</v>
      </c>
      <c r="D98" s="528">
        <f>NPV(realdiscrt1,D$13:D18)/(1+realdiscrt1)^-Half_Year</f>
        <v>0.41782365844128833</v>
      </c>
      <c r="E98" s="528">
        <f>NPV(realdiscrt1,E$13:E18)/(1+realdiscrt1)^-Half_Year</f>
        <v>0.30834955465903907</v>
      </c>
      <c r="F98" s="529">
        <f>NPV(realdiscrt1,F$13:F18)/(1+realdiscrt1)^-Half_Year</f>
        <v>0.28920838165376234</v>
      </c>
      <c r="G98" s="527">
        <f>NPV(realdiscrt1,G$13:G18)/(1+realdiscrt1)^-Half_Year</f>
        <v>3.9910635794872043E-2</v>
      </c>
      <c r="H98" s="528">
        <f>NPV(realdiscrt1,H$13:H18)/(1+realdiscrt1)^-Half_Year</f>
        <v>3.4503465899536234E-2</v>
      </c>
      <c r="I98" s="528">
        <f>NPV(realdiscrt1,I$13:I18)/(1+realdiscrt1)^-Half_Year</f>
        <v>2.3027029269759768E-2</v>
      </c>
      <c r="J98" s="528">
        <f>NPV(realdiscrt1,J$13:J18)/(1+realdiscrt1)^-Half_Year</f>
        <v>1.4481078731361501E-2</v>
      </c>
      <c r="K98" s="530">
        <f>NPV(realdiscrt1,K$13:K18)/(1+realdiscrt1)^-Half_Year</f>
        <v>1.2284451284174061E-2</v>
      </c>
      <c r="L98" s="1139">
        <f>NPV(realdiscrt1,L$13:L18)/(1+realdiscrt1)^-Half_Year</f>
        <v>293.81740549548817</v>
      </c>
      <c r="M98" s="532">
        <f>NPV(realdiscrt1,M$13:M18)/(1+realdiscrt1)^-Half_Year</f>
        <v>153.85646540393179</v>
      </c>
      <c r="N98" s="532">
        <f>NPV(realdiscrt1,N$13:N18)/(1+realdiscrt1)^-Half_Year</f>
        <v>153.85646540393179</v>
      </c>
      <c r="O98" s="534">
        <f>NPV(realdiscrt1,O$13:O18)/(1+realdiscrt1)^-Half_Year</f>
        <v>0</v>
      </c>
      <c r="P98" s="637">
        <f t="shared" si="90"/>
        <v>4.3978557924792412</v>
      </c>
      <c r="Q98" s="637">
        <f t="shared" si="90"/>
        <v>9.4431421390704919</v>
      </c>
      <c r="R98" s="1134">
        <f t="shared" si="91"/>
        <v>9.4431421390704919</v>
      </c>
      <c r="S98" s="519">
        <f>NPV(realdiscrt1,S$13:S18)/(1+realdiscrt1)^-Half_Year</f>
        <v>0</v>
      </c>
      <c r="T98" s="519">
        <f>NPV(realdiscrt1,T$13:T18)/(1+realdiscrt1)^-Half_Year</f>
        <v>0</v>
      </c>
      <c r="U98" s="533">
        <f>NPV(realdiscrt1,U$13:U18)/(1+realdiscrt1)^-Half_Year</f>
        <v>0</v>
      </c>
      <c r="V98" s="531">
        <f>NPV(realdiscrt1,V$13:V18)/(1+realdiscrt1)^-Half_Year</f>
        <v>581.42611946397619</v>
      </c>
      <c r="W98" s="532">
        <f>NPV(realdiscrt1,W$13:W18)/(1+realdiscrt1)^-Half_Year</f>
        <v>0</v>
      </c>
      <c r="X98" s="534">
        <f>NPV(realdiscrt1,X$13:X18)/(1+realdiscrt1)^-Half_Year</f>
        <v>706.8843812737673</v>
      </c>
      <c r="Y98" s="531">
        <f>NPV(realdiscrt1,Y$13:Y18)/(1+realdiscrt1)^-Half_Year</f>
        <v>37.140591947377722</v>
      </c>
      <c r="Z98" s="532">
        <f>NPV(realdiscrt1,Z$13:Z18)/(1+realdiscrt1)^-Half_Year</f>
        <v>43.300189851669501</v>
      </c>
      <c r="AA98" s="532">
        <f>NPV(realdiscrt1,AA$13:AA18)/(1+realdiscrt1)^-Half_Year</f>
        <v>60.147018927285558</v>
      </c>
      <c r="AB98" s="532">
        <f>NPV(realdiscrt1,AB$13:AB18)/(1+realdiscrt1)^-Half_Year</f>
        <v>54.255179914627732</v>
      </c>
      <c r="AC98" s="532">
        <f>NPV(realdiscrt1,AC$13:AC18)/(1+realdiscrt1)^-Half_Year</f>
        <v>42.673625424170623</v>
      </c>
      <c r="AD98" s="532">
        <f>NPV(realdiscrt1,AD$13:AD18)/(1+realdiscrt1)^-Half_Year</f>
        <v>56.161756052430093</v>
      </c>
      <c r="AE98" s="534">
        <f>NPV(realdiscrt1,AE$13:AE18)/(1+realdiscrt1)^-Half_Year</f>
        <v>52.51631534208969</v>
      </c>
      <c r="AF98" s="535">
        <f>NPV(realdiscrt1,AF$13:AF18)/(1+realdiscrt1)^-Half_Year</f>
        <v>1.3727420709241501E-2</v>
      </c>
      <c r="AG98" s="530">
        <f>NPV(realdiscrt1,AG$13:AG18)/(1+realdiscrt1)^-Half_Year</f>
        <v>1.6098091372564709</v>
      </c>
      <c r="AH98" s="536">
        <f>NPV(realdiscrt1,AH$13:AH18)/(1+realdiscrt1)^-Half_Year</f>
        <v>1.6098091372564709</v>
      </c>
      <c r="AI98" s="536">
        <f>NPV(realdiscrt1,AI$13:AI18)/(1+realdiscrt1)^-Half_Year</f>
        <v>2.967248202319738</v>
      </c>
      <c r="AJ98" s="536">
        <f>NPV(realdiscrt1,AJ$13:AJ18)/(1+realdiscrt1)^-Half_Year</f>
        <v>2.5231477674533607</v>
      </c>
      <c r="AK98" s="536">
        <f>NPV(realdiscrt1,AK$13:AK18)/(1+realdiscrt1)^-Half_Year</f>
        <v>1.6098091372564709</v>
      </c>
      <c r="AL98" s="536">
        <f>NPV(realdiscrt1,AL$13:AL18)/(1+realdiscrt1)^-Half_Year</f>
        <v>2.967248202319738</v>
      </c>
      <c r="AM98" s="536">
        <f>NPV(realdiscrt1,AM$13:AM18)/(1+realdiscrt1)^-Half_Year</f>
        <v>2.6003727793296654</v>
      </c>
      <c r="AN98" s="518">
        <f>NPV(realdiscrt1,AN$13:AN18)/(1+realdiscrt1)^-Half_Year</f>
        <v>167.15283274261651</v>
      </c>
      <c r="AO98" s="519">
        <f>NPV(realdiscrt1,AO$13:AO18)/(1+realdiscrt1)^-Half_Year</f>
        <v>149.55516800338063</v>
      </c>
      <c r="AP98" s="505">
        <f>NPV(realdiscrt1,AP$13:AP18)/(1+realdiscrt1)^-Half_Year</f>
        <v>142.88074737067353</v>
      </c>
      <c r="AQ98" s="533">
        <f>NPV(realdiscrt1,AQ$13:AQ18)/(1+realdiscrt1)^-Half_Year</f>
        <v>8.7623780514214836E-2</v>
      </c>
      <c r="AR98" s="519">
        <f>NPV(realdiscrt1,AR$13:AR18)/(1+realdiscrt1)^-Half_Year</f>
        <v>205.77007208108927</v>
      </c>
      <c r="AS98" s="534">
        <f>NPV(realdiscrt1,AS$13:AS18)/(1+realdiscrt1)^-Half_Year</f>
        <v>269.24076308979483</v>
      </c>
      <c r="AT98" s="518">
        <f>NPV(realdiscrt1,AT$13:AT18)/(1+realdiscrt1)^-Half_Year</f>
        <v>144.87687936385032</v>
      </c>
      <c r="AU98" s="532">
        <f>NPV(realdiscrt1,AU$13:AU18)/(1+realdiscrt1)^-Half_Year</f>
        <v>156.22461444076808</v>
      </c>
      <c r="AV98" s="531">
        <f>NPV(realdiscrt1,AV$13:AV18)/(1+realdiscrt1)^-Half_Year</f>
        <v>7.4265627583111934E-2</v>
      </c>
      <c r="AW98" s="534">
        <f>NPV(realdiscrt1,AW$13:AW18)/(1+realdiscrt1)^-Half_Year</f>
        <v>7.4265627583111934E-2</v>
      </c>
      <c r="AX98" s="523">
        <f>NPV(realdiscrt1,AX$13:AX18)/(1+realdiscrt1)^-Half_Year</f>
        <v>8.8378842593853779</v>
      </c>
      <c r="AY98" s="537">
        <f>NPV(realdiscrt1,AY$13:AY18)/(1+realdiscrt1)^-Half_Year</f>
        <v>54.084641410202998</v>
      </c>
      <c r="AZ98" s="530">
        <f>NPV(realdiscrt1,AZ$13:AZ18)/(1+realdiscrt1)^-Half_Year</f>
        <v>0.29786689905947605</v>
      </c>
      <c r="BA98" s="536">
        <f>NPV(realdiscrt1,BA$13:BA18)/(1+realdiscrt1)^-Half_Year</f>
        <v>0.3314302710795205</v>
      </c>
      <c r="BB98" s="536">
        <f>NPV(realdiscrt1,BB$13:BB18)/(1+realdiscrt1)^-Half_Year</f>
        <v>0.31176424171957318</v>
      </c>
      <c r="BC98" s="533">
        <f>NPV(realdiscrt1,BC$13:BC18)/(1+realdiscrt1)^-Half_Year</f>
        <v>0.36596269475662546</v>
      </c>
    </row>
    <row r="99" spans="1:55" s="324" customFormat="1" ht="14.25">
      <c r="A99" s="525">
        <f t="shared" si="93"/>
        <v>7</v>
      </c>
      <c r="B99" s="526">
        <f t="shared" si="92"/>
        <v>2030</v>
      </c>
      <c r="C99" s="527">
        <f>NPV(realdiscrt1,C$13:C19)/(1+realdiscrt1)^-Half_Year</f>
        <v>0.50004693749818574</v>
      </c>
      <c r="D99" s="528">
        <f>NPV(realdiscrt1,D$13:D19)/(1+realdiscrt1)^-Half_Year</f>
        <v>0.4891157973534388</v>
      </c>
      <c r="E99" s="528">
        <f>NPV(realdiscrt1,E$13:E19)/(1+realdiscrt1)^-Half_Year</f>
        <v>0.36204680730753247</v>
      </c>
      <c r="F99" s="529">
        <f>NPV(realdiscrt1,F$13:F19)/(1+realdiscrt1)^-Half_Year</f>
        <v>0.34109891374001144</v>
      </c>
      <c r="G99" s="527">
        <f>NPV(realdiscrt1,G$13:G19)/(1+realdiscrt1)^-Half_Year</f>
        <v>4.6921852269684705E-2</v>
      </c>
      <c r="H99" s="528">
        <f>NPV(realdiscrt1,H$13:H19)/(1+realdiscrt1)^-Half_Year</f>
        <v>4.0323074511990291E-2</v>
      </c>
      <c r="I99" s="528">
        <f>NPV(realdiscrt1,I$13:I19)/(1+realdiscrt1)^-Half_Year</f>
        <v>2.7273049221799548E-2</v>
      </c>
      <c r="J99" s="528">
        <f>NPV(realdiscrt1,J$13:J19)/(1+realdiscrt1)^-Half_Year</f>
        <v>1.6949273569456122E-2</v>
      </c>
      <c r="K99" s="530">
        <f>NPV(realdiscrt1,K$13:K19)/(1+realdiscrt1)^-Half_Year</f>
        <v>1.3183446445158379E-2</v>
      </c>
      <c r="L99" s="1139">
        <f>NPV(realdiscrt1,L$13:L19)/(1+realdiscrt1)^-Half_Year</f>
        <v>346.16303524141324</v>
      </c>
      <c r="M99" s="532">
        <f>NPV(realdiscrt1,M$13:M19)/(1+realdiscrt1)^-Half_Year</f>
        <v>218.30440474711483</v>
      </c>
      <c r="N99" s="532">
        <f>NPV(realdiscrt1,N$13:N19)/(1+realdiscrt1)^-Half_Year</f>
        <v>218.30440474711483</v>
      </c>
      <c r="O99" s="534">
        <f>NPV(realdiscrt1,O$13:O19)/(1+realdiscrt1)^-Half_Year</f>
        <v>0</v>
      </c>
      <c r="P99" s="637">
        <f t="shared" si="90"/>
        <v>0</v>
      </c>
      <c r="Q99" s="637">
        <f t="shared" si="90"/>
        <v>20.87278047230793</v>
      </c>
      <c r="R99" s="1134">
        <f t="shared" si="91"/>
        <v>20.87278047230793</v>
      </c>
      <c r="S99" s="519">
        <f>NPV(realdiscrt1,S$13:S19)/(1+realdiscrt1)^-Half_Year</f>
        <v>0</v>
      </c>
      <c r="T99" s="519">
        <f>NPV(realdiscrt1,T$13:T19)/(1+realdiscrt1)^-Half_Year</f>
        <v>0</v>
      </c>
      <c r="U99" s="533">
        <f>NPV(realdiscrt1,U$13:U19)/(1+realdiscrt1)^-Half_Year</f>
        <v>0</v>
      </c>
      <c r="V99" s="531">
        <f>NPV(realdiscrt1,V$13:V19)/(1+realdiscrt1)^-Half_Year</f>
        <v>673.81782551710171</v>
      </c>
      <c r="W99" s="532">
        <f>NPV(realdiscrt1,W$13:W19)/(1+realdiscrt1)^-Half_Year</f>
        <v>0</v>
      </c>
      <c r="X99" s="534">
        <f>NPV(realdiscrt1,X$13:X19)/(1+realdiscrt1)^-Half_Year</f>
        <v>819.21207310226941</v>
      </c>
      <c r="Y99" s="531">
        <f>NPV(realdiscrt1,Y$13:Y19)/(1+realdiscrt1)^-Half_Year</f>
        <v>43.42575366508715</v>
      </c>
      <c r="Z99" s="532">
        <f>NPV(realdiscrt1,Z$13:Z19)/(1+realdiscrt1)^-Half_Year</f>
        <v>50.548256216733058</v>
      </c>
      <c r="AA99" s="532">
        <f>NPV(realdiscrt1,AA$13:AA19)/(1+realdiscrt1)^-Half_Year</f>
        <v>70.037058154881734</v>
      </c>
      <c r="AB99" s="532">
        <f>NPV(realdiscrt1,AB$13:AB19)/(1+realdiscrt1)^-Half_Year</f>
        <v>63.221431437361126</v>
      </c>
      <c r="AC99" s="532">
        <f>NPV(realdiscrt1,AC$13:AC19)/(1+realdiscrt1)^-Half_Year</f>
        <v>49.822205015830789</v>
      </c>
      <c r="AD99" s="532">
        <f>NPV(realdiscrt1,AD$13:AD19)/(1+realdiscrt1)^-Half_Year</f>
        <v>65.427091564092024</v>
      </c>
      <c r="AE99" s="534">
        <f>NPV(realdiscrt1,AE$13:AE19)/(1+realdiscrt1)^-Half_Year</f>
        <v>61.209554659156545</v>
      </c>
      <c r="AF99" s="535">
        <f>NPV(realdiscrt1,AF$13:AF19)/(1+realdiscrt1)^-Half_Year</f>
        <v>1.6258866507982042E-2</v>
      </c>
      <c r="AG99" s="530">
        <f>NPV(realdiscrt1,AG$13:AG19)/(1+realdiscrt1)^-Half_Year</f>
        <v>1.7260906099616797</v>
      </c>
      <c r="AH99" s="536">
        <f>NPV(realdiscrt1,AH$13:AH19)/(1+realdiscrt1)^-Half_Year</f>
        <v>1.7260906099616797</v>
      </c>
      <c r="AI99" s="536">
        <f>NPV(realdiscrt1,AI$13:AI19)/(1+realdiscrt1)^-Half_Year</f>
        <v>3.1769162305701748</v>
      </c>
      <c r="AJ99" s="536">
        <f>NPV(realdiscrt1,AJ$13:AJ19)/(1+realdiscrt1)^-Half_Year</f>
        <v>2.7022634040748033</v>
      </c>
      <c r="AK99" s="536">
        <f>NPV(realdiscrt1,AK$13:AK19)/(1+realdiscrt1)^-Half_Year</f>
        <v>1.7260906099616797</v>
      </c>
      <c r="AL99" s="536">
        <f>NPV(realdiscrt1,AL$13:AL19)/(1+realdiscrt1)^-Half_Year</f>
        <v>3.1769162305701748</v>
      </c>
      <c r="AM99" s="536">
        <f>NPV(realdiscrt1,AM$13:AM19)/(1+realdiscrt1)^-Half_Year</f>
        <v>2.7848011979732843</v>
      </c>
      <c r="AN99" s="518">
        <f>NPV(realdiscrt1,AN$13:AN19)/(1+realdiscrt1)^-Half_Year</f>
        <v>195.37647219778597</v>
      </c>
      <c r="AO99" s="519">
        <f>NPV(realdiscrt1,AO$13:AO19)/(1+realdiscrt1)^-Half_Year</f>
        <v>174.49784088113117</v>
      </c>
      <c r="AP99" s="505">
        <f>NPV(realdiscrt1,AP$13:AP19)/(1+realdiscrt1)^-Half_Year</f>
        <v>166.75339279446067</v>
      </c>
      <c r="AQ99" s="533">
        <f>NPV(realdiscrt1,AQ$13:AQ19)/(1+realdiscrt1)^-Half_Year</f>
        <v>0.10267456507312937</v>
      </c>
      <c r="AR99" s="519">
        <f>NPV(realdiscrt1,AR$13:AR19)/(1+realdiscrt1)^-Half_Year</f>
        <v>240.5142055174843</v>
      </c>
      <c r="AS99" s="534">
        <f>NPV(realdiscrt1,AS$13:AS19)/(1+realdiscrt1)^-Half_Year</f>
        <v>313.68671822095075</v>
      </c>
      <c r="AT99" s="518">
        <f>NPV(realdiscrt1,AT$13:AT19)/(1+realdiscrt1)^-Half_Year</f>
        <v>169.33923959708426</v>
      </c>
      <c r="AU99" s="532">
        <f>NPV(realdiscrt1,AU$13:AU19)/(1+realdiscrt1)^-Half_Year</f>
        <v>182.60303184269426</v>
      </c>
      <c r="AV99" s="531">
        <f>NPV(realdiscrt1,AV$13:AV19)/(1+realdiscrt1)^-Half_Year</f>
        <v>8.6066831216405001E-2</v>
      </c>
      <c r="AW99" s="534">
        <f>NPV(realdiscrt1,AW$13:AW19)/(1+realdiscrt1)^-Half_Year</f>
        <v>8.6066831216405001E-2</v>
      </c>
      <c r="AX99" s="523">
        <f>NPV(realdiscrt1,AX$13:AX19)/(1+realdiscrt1)^-Half_Year</f>
        <v>10.242271123493689</v>
      </c>
      <c r="AY99" s="537">
        <f>NPV(realdiscrt1,AY$13:AY19)/(1+realdiscrt1)^-Half_Year</f>
        <v>64.226878280718296</v>
      </c>
      <c r="AZ99" s="530">
        <f>NPV(realdiscrt1,AZ$13:AZ19)/(1+realdiscrt1)^-Half_Year</f>
        <v>0.33665238809398451</v>
      </c>
      <c r="BA99" s="536">
        <f>NPV(realdiscrt1,BA$13:BA19)/(1+realdiscrt1)^-Half_Year</f>
        <v>0.37222420683678936</v>
      </c>
      <c r="BB99" s="536">
        <f>NPV(realdiscrt1,BB$13:BB19)/(1+realdiscrt1)^-Half_Year</f>
        <v>0.35639454395687331</v>
      </c>
      <c r="BC99" s="533">
        <f>NPV(realdiscrt1,BC$13:BC19)/(1+realdiscrt1)^-Half_Year</f>
        <v>0.41229597191870621</v>
      </c>
    </row>
    <row r="100" spans="1:55" s="324" customFormat="1" ht="14.25">
      <c r="A100" s="525">
        <f t="shared" si="93"/>
        <v>8</v>
      </c>
      <c r="B100" s="526">
        <f t="shared" si="92"/>
        <v>2031</v>
      </c>
      <c r="C100" s="527">
        <f>NPV(realdiscrt1,C$13:C20)/(1+realdiscrt1)^-Half_Year</f>
        <v>0.57101870808552557</v>
      </c>
      <c r="D100" s="528">
        <f>NPV(realdiscrt1,D$13:D20)/(1+realdiscrt1)^-Half_Year</f>
        <v>0.56025343380145509</v>
      </c>
      <c r="E100" s="528">
        <f>NPV(realdiscrt1,E$13:E20)/(1+realdiscrt1)^-Half_Year</f>
        <v>0.41602899339227428</v>
      </c>
      <c r="F100" s="529">
        <f>NPV(realdiscrt1,F$13:F20)/(1+realdiscrt1)^-Half_Year</f>
        <v>0.39259891148031362</v>
      </c>
      <c r="G100" s="527">
        <f>NPV(realdiscrt1,G$13:G20)/(1+realdiscrt1)^-Half_Year</f>
        <v>5.320370313426695E-2</v>
      </c>
      <c r="H100" s="528">
        <f>NPV(realdiscrt1,H$13:H20)/(1+realdiscrt1)^-Half_Year</f>
        <v>4.5937462041408417E-2</v>
      </c>
      <c r="I100" s="528">
        <f>NPV(realdiscrt1,I$13:I20)/(1+realdiscrt1)^-Half_Year</f>
        <v>3.1064378056882905E-2</v>
      </c>
      <c r="J100" s="528">
        <f>NPV(realdiscrt1,J$13:J20)/(1+realdiscrt1)^-Half_Year</f>
        <v>1.9455982879745835E-2</v>
      </c>
      <c r="K100" s="530">
        <f>NPV(realdiscrt1,K$13:K20)/(1+realdiscrt1)^-Half_Year</f>
        <v>1.3812893981370544E-2</v>
      </c>
      <c r="L100" s="1139">
        <f>NPV(realdiscrt1,L$13:L20)/(1+realdiscrt1)^-Half_Year</f>
        <v>401.63470948057915</v>
      </c>
      <c r="M100" s="532">
        <f>NPV(realdiscrt1,M$13:M20)/(1+realdiscrt1)^-Half_Year</f>
        <v>266.11211247339753</v>
      </c>
      <c r="N100" s="532">
        <f>NPV(realdiscrt1,N$13:N20)/(1+realdiscrt1)^-Half_Year</f>
        <v>266.11211247339753</v>
      </c>
      <c r="O100" s="534">
        <f>NPV(realdiscrt1,O$13:O20)/(1+realdiscrt1)^-Half_Year</f>
        <v>0</v>
      </c>
      <c r="P100" s="637">
        <f t="shared" si="90"/>
        <v>0</v>
      </c>
      <c r="Q100" s="637">
        <f t="shared" si="90"/>
        <v>26.93257160265269</v>
      </c>
      <c r="R100" s="1134">
        <f t="shared" si="91"/>
        <v>26.93257160265269</v>
      </c>
      <c r="S100" s="519">
        <f>NPV(realdiscrt1,S$13:S20)/(1+realdiscrt1)^-Half_Year</f>
        <v>0</v>
      </c>
      <c r="T100" s="519">
        <f>NPV(realdiscrt1,T$13:T20)/(1+realdiscrt1)^-Half_Year</f>
        <v>0</v>
      </c>
      <c r="U100" s="533">
        <f>NPV(realdiscrt1,U$13:U20)/(1+realdiscrt1)^-Half_Year</f>
        <v>0</v>
      </c>
      <c r="V100" s="531">
        <f>NPV(realdiscrt1,V$13:V20)/(1+realdiscrt1)^-Half_Year</f>
        <v>764.96620930779534</v>
      </c>
      <c r="W100" s="532">
        <f>NPV(realdiscrt1,W$13:W20)/(1+realdiscrt1)^-Half_Year</f>
        <v>0</v>
      </c>
      <c r="X100" s="534">
        <f>NPV(realdiscrt1,X$13:X20)/(1+realdiscrt1)^-Half_Year</f>
        <v>930.0281625813393</v>
      </c>
      <c r="Y100" s="531">
        <f>NPV(realdiscrt1,Y$13:Y20)/(1+realdiscrt1)^-Half_Year</f>
        <v>49.647269883648647</v>
      </c>
      <c r="Z100" s="532">
        <f>NPV(realdiscrt1,Z$13:Z20)/(1+realdiscrt1)^-Half_Year</f>
        <v>57.713794634050096</v>
      </c>
      <c r="AA100" s="532">
        <f>NPV(realdiscrt1,AA$13:AA20)/(1+realdiscrt1)^-Half_Year</f>
        <v>79.795856282984175</v>
      </c>
      <c r="AB100" s="532">
        <f>NPV(realdiscrt1,AB$13:AB20)/(1+realdiscrt1)^-Half_Year</f>
        <v>72.07354446262913</v>
      </c>
      <c r="AC100" s="532">
        <f>NPV(realdiscrt1,AC$13:AC20)/(1+realdiscrt1)^-Half_Year</f>
        <v>56.889514807291071</v>
      </c>
      <c r="AD100" s="532">
        <f>NPV(realdiscrt1,AD$13:AD20)/(1+realdiscrt1)^-Half_Year</f>
        <v>74.573253577140562</v>
      </c>
      <c r="AE100" s="534">
        <f>NPV(realdiscrt1,AE$13:AE20)/(1+realdiscrt1)^-Half_Year</f>
        <v>69.793864720424466</v>
      </c>
      <c r="AF100" s="535">
        <f>NPV(realdiscrt1,AF$13:AF20)/(1+realdiscrt1)^-Half_Year</f>
        <v>1.8761635927122388E-2</v>
      </c>
      <c r="AG100" s="530">
        <f>NPV(realdiscrt1,AG$13:AG20)/(1+realdiscrt1)^-Half_Year</f>
        <v>1.8067768298365456</v>
      </c>
      <c r="AH100" s="536">
        <f>NPV(realdiscrt1,AH$13:AH20)/(1+realdiscrt1)^-Half_Year</f>
        <v>1.8067768298365456</v>
      </c>
      <c r="AI100" s="536">
        <f>NPV(realdiscrt1,AI$13:AI20)/(1+realdiscrt1)^-Half_Year</f>
        <v>3.3204148313586717</v>
      </c>
      <c r="AJ100" s="536">
        <f>NPV(realdiscrt1,AJ$13:AJ20)/(1+realdiscrt1)^-Half_Year</f>
        <v>2.8252122753051361</v>
      </c>
      <c r="AK100" s="536">
        <f>NPV(realdiscrt1,AK$13:AK20)/(1+realdiscrt1)^-Half_Year</f>
        <v>1.8067768298365456</v>
      </c>
      <c r="AL100" s="536">
        <f>NPV(realdiscrt1,AL$13:AL20)/(1+realdiscrt1)^-Half_Year</f>
        <v>3.3204148313586717</v>
      </c>
      <c r="AM100" s="536">
        <f>NPV(realdiscrt1,AM$13:AM20)/(1+realdiscrt1)^-Half_Year</f>
        <v>2.9113234795959344</v>
      </c>
      <c r="AN100" s="518">
        <f>NPV(realdiscrt1,AN$13:AN20)/(1+realdiscrt1)^-Half_Year</f>
        <v>223.4618335857262</v>
      </c>
      <c r="AO100" s="519">
        <f>NPV(realdiscrt1,AO$13:AO20)/(1+realdiscrt1)^-Half_Year</f>
        <v>199.35068156218583</v>
      </c>
      <c r="AP100" s="505">
        <f>NPV(realdiscrt1,AP$13:AP20)/(1+realdiscrt1)^-Half_Year</f>
        <v>190.54557160952484</v>
      </c>
      <c r="AQ100" s="533">
        <f>NPV(realdiscrt1,AQ$13:AQ20)/(1+realdiscrt1)^-Half_Year</f>
        <v>0.11765540670818884</v>
      </c>
      <c r="AR100" s="519">
        <f>NPV(realdiscrt1,AR$13:AR20)/(1+realdiscrt1)^-Half_Year</f>
        <v>275.08811457063609</v>
      </c>
      <c r="AS100" s="534">
        <f>NPV(realdiscrt1,AS$13:AS20)/(1+realdiscrt1)^-Half_Year</f>
        <v>357.77609034074584</v>
      </c>
      <c r="AT100" s="518">
        <f>NPV(realdiscrt1,AT$13:AT20)/(1+realdiscrt1)^-Half_Year</f>
        <v>193.68174966364182</v>
      </c>
      <c r="AU100" s="532">
        <f>NPV(realdiscrt1,AU$13:AU20)/(1+realdiscrt1)^-Half_Year</f>
        <v>208.85221160392936</v>
      </c>
      <c r="AV100" s="531">
        <f>NPV(realdiscrt1,AV$13:AV20)/(1+realdiscrt1)^-Half_Year</f>
        <v>9.7709225148832415E-2</v>
      </c>
      <c r="AW100" s="534">
        <f>NPV(realdiscrt1,AW$13:AW20)/(1+realdiscrt1)^-Half_Year</f>
        <v>9.7709225148832415E-2</v>
      </c>
      <c r="AX100" s="523">
        <f>NPV(realdiscrt1,AX$13:AX20)/(1+realdiscrt1)^-Half_Year</f>
        <v>11.627759046043234</v>
      </c>
      <c r="AY100" s="537">
        <f>NPV(realdiscrt1,AY$13:AY20)/(1+realdiscrt1)^-Half_Year</f>
        <v>74.722621747869681</v>
      </c>
      <c r="AZ100" s="530">
        <f>NPV(realdiscrt1,AZ$13:AZ20)/(1+realdiscrt1)^-Half_Year</f>
        <v>0.37161996275502845</v>
      </c>
      <c r="BA100" s="536">
        <f>NPV(realdiscrt1,BA$13:BA20)/(1+realdiscrt1)^-Half_Year</f>
        <v>0.40959094784650829</v>
      </c>
      <c r="BB100" s="536">
        <f>NPV(realdiscrt1,BB$13:BB20)/(1+realdiscrt1)^-Half_Year</f>
        <v>0.39542123701783177</v>
      </c>
      <c r="BC100" s="533">
        <f>NPV(realdiscrt1,BC$13:BC20)/(1+realdiscrt1)^-Half_Year</f>
        <v>0.45373938136754699</v>
      </c>
    </row>
    <row r="101" spans="1:55" s="324" customFormat="1" ht="14.25">
      <c r="A101" s="525">
        <f t="shared" si="93"/>
        <v>9</v>
      </c>
      <c r="B101" s="526">
        <f t="shared" si="92"/>
        <v>2032</v>
      </c>
      <c r="C101" s="527">
        <f>NPV(realdiscrt1,C$13:C21)/(1+realdiscrt1)^-Half_Year</f>
        <v>0.64378925944682452</v>
      </c>
      <c r="D101" s="528">
        <f>NPV(realdiscrt1,D$13:D21)/(1+realdiscrt1)^-Half_Year</f>
        <v>0.62927660139939756</v>
      </c>
      <c r="E101" s="528">
        <f>NPV(realdiscrt1,E$13:E21)/(1+realdiscrt1)^-Half_Year</f>
        <v>0.47233529362786819</v>
      </c>
      <c r="F101" s="529">
        <f>NPV(realdiscrt1,F$13:F21)/(1+realdiscrt1)^-Half_Year</f>
        <v>0.44184542431333423</v>
      </c>
      <c r="G101" s="527">
        <f>NPV(realdiscrt1,G$13:G21)/(1+realdiscrt1)^-Half_Year</f>
        <v>5.8894738142613222E-2</v>
      </c>
      <c r="H101" s="528">
        <f>NPV(realdiscrt1,H$13:H21)/(1+realdiscrt1)^-Half_Year</f>
        <v>5.11051795901067E-2</v>
      </c>
      <c r="I101" s="528">
        <f>NPV(realdiscrt1,I$13:I21)/(1+realdiscrt1)^-Half_Year</f>
        <v>3.4554878535327647E-2</v>
      </c>
      <c r="J101" s="528">
        <f>NPV(realdiscrt1,J$13:J21)/(1+realdiscrt1)^-Half_Year</f>
        <v>2.1753918422024451E-2</v>
      </c>
      <c r="K101" s="530">
        <f>NPV(realdiscrt1,K$13:K21)/(1+realdiscrt1)^-Half_Year</f>
        <v>1.4201415103991689E-2</v>
      </c>
      <c r="L101" s="1139">
        <f>NPV(realdiscrt1,L$13:L21)/(1+realdiscrt1)^-Half_Year</f>
        <v>459.77842491689904</v>
      </c>
      <c r="M101" s="532">
        <f>NPV(realdiscrt1,M$13:M21)/(1+realdiscrt1)^-Half_Year</f>
        <v>301.90538369599608</v>
      </c>
      <c r="N101" s="532">
        <f>NPV(realdiscrt1,N$13:N21)/(1+realdiscrt1)^-Half_Year</f>
        <v>301.90538369599608</v>
      </c>
      <c r="O101" s="534">
        <f>NPV(realdiscrt1,O$13:O21)/(1+realdiscrt1)^-Half_Year</f>
        <v>0</v>
      </c>
      <c r="P101" s="637">
        <f t="shared" si="90"/>
        <v>0</v>
      </c>
      <c r="Q101" s="637">
        <f t="shared" si="90"/>
        <v>31.4699584721753</v>
      </c>
      <c r="R101" s="1134">
        <f t="shared" si="91"/>
        <v>31.4699584721753</v>
      </c>
      <c r="S101" s="519">
        <f>NPV(realdiscrt1,S$13:S21)/(1+realdiscrt1)^-Half_Year</f>
        <v>0</v>
      </c>
      <c r="T101" s="519">
        <f>NPV(realdiscrt1,T$13:T21)/(1+realdiscrt1)^-Half_Year</f>
        <v>0</v>
      </c>
      <c r="U101" s="533">
        <f>NPV(realdiscrt1,U$13:U21)/(1+realdiscrt1)^-Half_Year</f>
        <v>0</v>
      </c>
      <c r="V101" s="531">
        <f>NPV(realdiscrt1,V$13:V21)/(1+realdiscrt1)^-Half_Year</f>
        <v>854.88800231893913</v>
      </c>
      <c r="W101" s="532">
        <f>NPV(realdiscrt1,W$13:W21)/(1+realdiscrt1)^-Half_Year</f>
        <v>0</v>
      </c>
      <c r="X101" s="534">
        <f>NPV(realdiscrt1,X$13:X21)/(1+realdiscrt1)^-Half_Year</f>
        <v>1039.3529914595308</v>
      </c>
      <c r="Y101" s="531">
        <f>NPV(realdiscrt1,Y$13:Y21)/(1+realdiscrt1)^-Half_Year</f>
        <v>55.859914535116239</v>
      </c>
      <c r="Z101" s="532">
        <f>NPV(realdiscrt1,Z$13:Z21)/(1+realdiscrt1)^-Half_Year</f>
        <v>64.853562030878052</v>
      </c>
      <c r="AA101" s="532">
        <f>NPV(realdiscrt1,AA$13:AA21)/(1+realdiscrt1)^-Half_Year</f>
        <v>89.484699774905621</v>
      </c>
      <c r="AB101" s="532">
        <f>NPV(realdiscrt1,AB$13:AB21)/(1+realdiscrt1)^-Half_Year</f>
        <v>80.871201161380455</v>
      </c>
      <c r="AC101" s="532">
        <f>NPV(realdiscrt1,AC$13:AC21)/(1+realdiscrt1)^-Half_Year</f>
        <v>63.932376218484222</v>
      </c>
      <c r="AD101" s="532">
        <f>NPV(realdiscrt1,AD$13:AD21)/(1+realdiscrt1)^-Half_Year</f>
        <v>83.66005180118168</v>
      </c>
      <c r="AE101" s="534">
        <f>NPV(realdiscrt1,AE$13:AE21)/(1+realdiscrt1)^-Half_Year</f>
        <v>78.328247589641805</v>
      </c>
      <c r="AF101" s="535">
        <f>NPV(realdiscrt1,AF$13:AF21)/(1+realdiscrt1)^-Half_Year</f>
        <v>2.1236812134890471E-2</v>
      </c>
      <c r="AG101" s="530">
        <f>NPV(realdiscrt1,AG$13:AG21)/(1+realdiscrt1)^-Half_Year</f>
        <v>1.855649347679218</v>
      </c>
      <c r="AH101" s="536">
        <f>NPV(realdiscrt1,AH$13:AH21)/(1+realdiscrt1)^-Half_Year</f>
        <v>1.855649347679218</v>
      </c>
      <c r="AI101" s="536">
        <f>NPV(realdiscrt1,AI$13:AI21)/(1+realdiscrt1)^-Half_Year</f>
        <v>3.4050577582419685</v>
      </c>
      <c r="AJ101" s="536">
        <f>NPV(realdiscrt1,AJ$13:AJ21)/(1+realdiscrt1)^-Half_Year</f>
        <v>2.8981525375023023</v>
      </c>
      <c r="AK101" s="536">
        <f>NPV(realdiscrt1,AK$13:AK21)/(1+realdiscrt1)^-Half_Year</f>
        <v>1.855649347679218</v>
      </c>
      <c r="AL101" s="536">
        <f>NPV(realdiscrt1,AL$13:AL21)/(1+realdiscrt1)^-Half_Year</f>
        <v>3.4050577582419685</v>
      </c>
      <c r="AM101" s="536">
        <f>NPV(realdiscrt1,AM$13:AM21)/(1+realdiscrt1)^-Half_Year</f>
        <v>2.9862987283601434</v>
      </c>
      <c r="AN101" s="518">
        <f>NPV(realdiscrt1,AN$13:AN21)/(1+realdiscrt1)^-Half_Year</f>
        <v>251.46080706832893</v>
      </c>
      <c r="AO101" s="519">
        <f>NPV(realdiscrt1,AO$13:AO21)/(1+realdiscrt1)^-Half_Year</f>
        <v>224.16246178049207</v>
      </c>
      <c r="AP101" s="505">
        <f>NPV(realdiscrt1,AP$13:AP21)/(1+realdiscrt1)^-Half_Year</f>
        <v>214.30559400660221</v>
      </c>
      <c r="AQ101" s="533">
        <f>NPV(realdiscrt1,AQ$13:AQ21)/(1+realdiscrt1)^-Half_Year</f>
        <v>0.13261803234180711</v>
      </c>
      <c r="AR101" s="519">
        <f>NPV(realdiscrt1,AR$13:AR21)/(1+realdiscrt1)^-Half_Year</f>
        <v>309.55567756182427</v>
      </c>
      <c r="AS101" s="534">
        <f>NPV(realdiscrt1,AS$13:AS21)/(1+realdiscrt1)^-Half_Year</f>
        <v>401.56370735741984</v>
      </c>
      <c r="AT101" s="518">
        <f>NPV(realdiscrt1,AT$13:AT21)/(1+realdiscrt1)^-Half_Year</f>
        <v>217.94938448019786</v>
      </c>
      <c r="AU101" s="532">
        <f>NPV(realdiscrt1,AU$13:AU21)/(1+realdiscrt1)^-Half_Year</f>
        <v>235.02065138019222</v>
      </c>
      <c r="AV101" s="531">
        <f>NPV(realdiscrt1,AV$13:AV21)/(1+realdiscrt1)^-Half_Year</f>
        <v>0.10919494649469816</v>
      </c>
      <c r="AW101" s="534">
        <f>NPV(realdiscrt1,AW$13:AW21)/(1+realdiscrt1)^-Half_Year</f>
        <v>0.10919494649469816</v>
      </c>
      <c r="AX101" s="523">
        <f>NPV(realdiscrt1,AX$13:AX21)/(1+realdiscrt1)^-Half_Year</f>
        <v>12.994602351537592</v>
      </c>
      <c r="AY101" s="537">
        <f>NPV(realdiscrt1,AY$13:AY21)/(1+realdiscrt1)^-Half_Year</f>
        <v>85.584193246806052</v>
      </c>
      <c r="AZ101" s="530">
        <f>NPV(realdiscrt1,AZ$13:AZ21)/(1+realdiscrt1)^-Half_Year</f>
        <v>0.40279545715682546</v>
      </c>
      <c r="BA101" s="536">
        <f>NPV(realdiscrt1,BA$13:BA21)/(1+realdiscrt1)^-Half_Year</f>
        <v>0.44442461448854337</v>
      </c>
      <c r="BB101" s="536">
        <f>NPV(realdiscrt1,BB$13:BB21)/(1+realdiscrt1)^-Half_Year</f>
        <v>0.42863490686194627</v>
      </c>
      <c r="BC101" s="533">
        <f>NPV(realdiscrt1,BC$13:BC21)/(1+realdiscrt1)^-Half_Year</f>
        <v>0.49122218458611844</v>
      </c>
    </row>
    <row r="102" spans="1:55" s="324" customFormat="1" ht="14.25">
      <c r="A102" s="525">
        <f t="shared" si="93"/>
        <v>10</v>
      </c>
      <c r="B102" s="526">
        <f t="shared" si="92"/>
        <v>2033</v>
      </c>
      <c r="C102" s="527">
        <f>NPV(realdiscrt1,C$13:C22)/(1+realdiscrt1)^-Half_Year</f>
        <v>0.7109972049461345</v>
      </c>
      <c r="D102" s="528">
        <f>NPV(realdiscrt1,D$13:D22)/(1+realdiscrt1)^-Half_Year</f>
        <v>0.69442331810647284</v>
      </c>
      <c r="E102" s="528">
        <f>NPV(realdiscrt1,E$13:E22)/(1+realdiscrt1)^-Half_Year</f>
        <v>0.52375734728326939</v>
      </c>
      <c r="F102" s="529">
        <f>NPV(realdiscrt1,F$13:F22)/(1+realdiscrt1)^-Half_Year</f>
        <v>0.48864359718261796</v>
      </c>
      <c r="G102" s="527">
        <f>NPV(realdiscrt1,G$13:G22)/(1+realdiscrt1)^-Half_Year</f>
        <v>6.3570766137360443E-2</v>
      </c>
      <c r="H102" s="528">
        <f>NPV(realdiscrt1,H$13:H22)/(1+realdiscrt1)^-Half_Year</f>
        <v>5.5335689200874782E-2</v>
      </c>
      <c r="I102" s="528">
        <f>NPV(realdiscrt1,I$13:I22)/(1+realdiscrt1)^-Half_Year</f>
        <v>3.7464714098420469E-2</v>
      </c>
      <c r="J102" s="528">
        <f>NPV(realdiscrt1,J$13:J22)/(1+realdiscrt1)^-Half_Year</f>
        <v>2.366258830476679E-2</v>
      </c>
      <c r="K102" s="530">
        <f>NPV(realdiscrt1,K$13:K22)/(1+realdiscrt1)^-Half_Year</f>
        <v>1.4384682368340866E-2</v>
      </c>
      <c r="L102" s="1139">
        <f>NPV(realdiscrt1,L$13:L22)/(1+realdiscrt1)^-Half_Year</f>
        <v>516.55247074398903</v>
      </c>
      <c r="M102" s="532">
        <f>NPV(realdiscrt1,M$13:M22)/(1+realdiscrt1)^-Half_Year</f>
        <v>322.87544526269005</v>
      </c>
      <c r="N102" s="532">
        <f>NPV(realdiscrt1,N$13:N22)/(1+realdiscrt1)^-Half_Year</f>
        <v>322.87544526269005</v>
      </c>
      <c r="O102" s="534">
        <f>NPV(realdiscrt1,O$13:O22)/(1+realdiscrt1)^-Half_Year</f>
        <v>0</v>
      </c>
      <c r="P102" s="637">
        <f t="shared" si="90"/>
        <v>0</v>
      </c>
      <c r="Q102" s="637">
        <f t="shared" si="90"/>
        <v>29.459828805710202</v>
      </c>
      <c r="R102" s="1134">
        <f t="shared" si="91"/>
        <v>29.459828805710202</v>
      </c>
      <c r="S102" s="519">
        <f>NPV(realdiscrt1,S$13:S22)/(1+realdiscrt1)^-Half_Year</f>
        <v>0</v>
      </c>
      <c r="T102" s="519">
        <f>NPV(realdiscrt1,T$13:T22)/(1+realdiscrt1)^-Half_Year</f>
        <v>0</v>
      </c>
      <c r="U102" s="533">
        <f>NPV(realdiscrt1,U$13:U22)/(1+realdiscrt1)^-Half_Year</f>
        <v>0</v>
      </c>
      <c r="V102" s="531">
        <f>NPV(realdiscrt1,V$13:V22)/(1+realdiscrt1)^-Half_Year</f>
        <v>943.59971087656857</v>
      </c>
      <c r="W102" s="532">
        <f>NPV(realdiscrt1,W$13:W22)/(1+realdiscrt1)^-Half_Year</f>
        <v>0</v>
      </c>
      <c r="X102" s="534">
        <f>NPV(realdiscrt1,X$13:X22)/(1+realdiscrt1)^-Half_Year</f>
        <v>1147.2066277449301</v>
      </c>
      <c r="Y102" s="531">
        <f>NPV(realdiscrt1,Y$13:Y22)/(1+realdiscrt1)^-Half_Year</f>
        <v>62.060873912168653</v>
      </c>
      <c r="Z102" s="532">
        <f>NPV(realdiscrt1,Z$13:Z22)/(1+realdiscrt1)^-Half_Year</f>
        <v>71.964739932523599</v>
      </c>
      <c r="AA102" s="532">
        <f>NPV(realdiscrt1,AA$13:AA22)/(1+realdiscrt1)^-Half_Year</f>
        <v>99.100852221244978</v>
      </c>
      <c r="AB102" s="532">
        <f>NPV(realdiscrt1,AB$13:AB22)/(1+realdiscrt1)^-Half_Year</f>
        <v>89.611638569974716</v>
      </c>
      <c r="AC102" s="532">
        <f>NPV(realdiscrt1,AC$13:AC22)/(1+realdiscrt1)^-Half_Year</f>
        <v>70.947942366605062</v>
      </c>
      <c r="AD102" s="532">
        <f>NPV(realdiscrt1,AD$13:AD22)/(1+realdiscrt1)^-Half_Year</f>
        <v>92.684783753881646</v>
      </c>
      <c r="AE102" s="534">
        <f>NPV(realdiscrt1,AE$13:AE22)/(1+realdiscrt1)^-Half_Year</f>
        <v>86.80996175732038</v>
      </c>
      <c r="AF102" s="535">
        <f>NPV(realdiscrt1,AF$13:AF22)/(1+realdiscrt1)^-Half_Year</f>
        <v>2.3687258678376545E-2</v>
      </c>
      <c r="AG102" s="530">
        <f>NPV(realdiscrt1,AG$13:AG22)/(1+realdiscrt1)^-Half_Year</f>
        <v>1.8774198530257502</v>
      </c>
      <c r="AH102" s="536">
        <f>NPV(realdiscrt1,AH$13:AH22)/(1+realdiscrt1)^-Half_Year</f>
        <v>1.8774198530257502</v>
      </c>
      <c r="AI102" s="536">
        <f>NPV(realdiscrt1,AI$13:AI22)/(1+realdiscrt1)^-Half_Year</f>
        <v>3.4400806978791074</v>
      </c>
      <c r="AJ102" s="536">
        <f>NPV(realdiscrt1,AJ$13:AJ22)/(1+realdiscrt1)^-Half_Year</f>
        <v>2.9288398041925148</v>
      </c>
      <c r="AK102" s="536">
        <f>NPV(realdiscrt1,AK$13:AK22)/(1+realdiscrt1)^-Half_Year</f>
        <v>1.8774198530257502</v>
      </c>
      <c r="AL102" s="536">
        <f>NPV(realdiscrt1,AL$13:AL22)/(1+realdiscrt1)^-Half_Year</f>
        <v>3.4400806978791074</v>
      </c>
      <c r="AM102" s="536">
        <f>NPV(realdiscrt1,AM$13:AM22)/(1+realdiscrt1)^-Half_Year</f>
        <v>3.0177399289998212</v>
      </c>
      <c r="AN102" s="518">
        <f>NPV(realdiscrt1,AN$13:AN22)/(1+realdiscrt1)^-Half_Year</f>
        <v>279.21443459331215</v>
      </c>
      <c r="AO102" s="519">
        <f>NPV(realdiscrt1,AO$13:AO22)/(1+realdiscrt1)^-Half_Year</f>
        <v>248.80337846574778</v>
      </c>
      <c r="AP102" s="505">
        <f>NPV(realdiscrt1,AP$13:AP22)/(1+realdiscrt1)^-Half_Year</f>
        <v>237.89646930826257</v>
      </c>
      <c r="AQ102" s="533">
        <f>NPV(realdiscrt1,AQ$13:AQ22)/(1+realdiscrt1)^-Half_Year</f>
        <v>0.14742448985855525</v>
      </c>
      <c r="AR102" s="519">
        <f>NPV(realdiscrt1,AR$13:AR22)/(1+realdiscrt1)^-Half_Year</f>
        <v>343.72121243565522</v>
      </c>
      <c r="AS102" s="534">
        <f>NPV(realdiscrt1,AS$13:AS22)/(1+realdiscrt1)^-Half_Year</f>
        <v>444.89350943156103</v>
      </c>
      <c r="AT102" s="518">
        <f>NPV(realdiscrt1,AT$13:AT22)/(1+realdiscrt1)^-Half_Year</f>
        <v>242.00436985419739</v>
      </c>
      <c r="AU102" s="532">
        <f>NPV(realdiscrt1,AU$13:AU22)/(1+realdiscrt1)^-Half_Year</f>
        <v>260.95978557422353</v>
      </c>
      <c r="AV102" s="531">
        <f>NPV(realdiscrt1,AV$13:AV22)/(1+realdiscrt1)^-Half_Year</f>
        <v>0.12052610360899539</v>
      </c>
      <c r="AW102" s="534">
        <f>NPV(realdiscrt1,AW$13:AW22)/(1+realdiscrt1)^-Half_Year</f>
        <v>0.12052610360899539</v>
      </c>
      <c r="AX102" s="523">
        <f>NPV(realdiscrt1,AX$13:AX22)/(1+realdiscrt1)^-Half_Year</f>
        <v>14.343051942016015</v>
      </c>
      <c r="AY102" s="537">
        <f>NPV(realdiscrt1,AY$13:AY22)/(1+realdiscrt1)^-Half_Year</f>
        <v>96.82434367499927</v>
      </c>
      <c r="AZ102" s="530">
        <f>NPV(realdiscrt1,AZ$13:AZ22)/(1+realdiscrt1)^-Half_Year</f>
        <v>0.43131718294024668</v>
      </c>
      <c r="BA102" s="536">
        <f>NPV(realdiscrt1,BA$13:BA22)/(1+realdiscrt1)^-Half_Year</f>
        <v>0.47511799445172076</v>
      </c>
      <c r="BB102" s="536">
        <f>NPV(realdiscrt1,BB$13:BB22)/(1+realdiscrt1)^-Half_Year</f>
        <v>0.46088241842227978</v>
      </c>
      <c r="BC102" s="533">
        <f>NPV(realdiscrt1,BC$13:BC22)/(1+realdiscrt1)^-Half_Year</f>
        <v>0.52569397000306917</v>
      </c>
    </row>
    <row r="103" spans="1:55" s="324" customFormat="1" ht="14.25">
      <c r="A103" s="525">
        <f t="shared" si="93"/>
        <v>11</v>
      </c>
      <c r="B103" s="526">
        <f t="shared" si="92"/>
        <v>2034</v>
      </c>
      <c r="C103" s="527">
        <f>NPV(realdiscrt1,C$13:C23)/(1+realdiscrt1)^-Half_Year</f>
        <v>0.77735539125070663</v>
      </c>
      <c r="D103" s="528">
        <f>NPV(realdiscrt1,D$13:D23)/(1+realdiscrt1)^-Half_Year</f>
        <v>0.76083062499587462</v>
      </c>
      <c r="E103" s="528">
        <f>NPV(realdiscrt1,E$13:E23)/(1+realdiscrt1)^-Half_Year</f>
        <v>0.57415684328671901</v>
      </c>
      <c r="F103" s="529">
        <f>NPV(realdiscrt1,F$13:F23)/(1+realdiscrt1)^-Half_Year</f>
        <v>0.53684212491074834</v>
      </c>
      <c r="G103" s="527">
        <f>NPV(realdiscrt1,G$13:G23)/(1+realdiscrt1)^-Half_Year</f>
        <v>6.6790741351534857E-2</v>
      </c>
      <c r="H103" s="528">
        <f>NPV(realdiscrt1,H$13:H23)/(1+realdiscrt1)^-Half_Year</f>
        <v>5.8250728404755009E-2</v>
      </c>
      <c r="I103" s="528">
        <f>NPV(realdiscrt1,I$13:I23)/(1+realdiscrt1)^-Half_Year</f>
        <v>3.9501680708583946E-2</v>
      </c>
      <c r="J103" s="528">
        <f>NPV(realdiscrt1,J$13:J23)/(1+realdiscrt1)^-Half_Year</f>
        <v>2.4979801230952971E-2</v>
      </c>
      <c r="K103" s="530">
        <f>NPV(realdiscrt1,K$13:K23)/(1+realdiscrt1)^-Half_Year</f>
        <v>1.4423969016474608E-2</v>
      </c>
      <c r="L103" s="1139">
        <f>NPV(realdiscrt1,L$13:L23)/(1+realdiscrt1)^-Half_Year</f>
        <v>584.29638290949458</v>
      </c>
      <c r="M103" s="532">
        <f>NPV(realdiscrt1,M$13:M23)/(1+realdiscrt1)^-Half_Year</f>
        <v>331.21607572850706</v>
      </c>
      <c r="N103" s="532">
        <f>NPV(realdiscrt1,N$13:N23)/(1+realdiscrt1)^-Half_Year</f>
        <v>331.21607572850706</v>
      </c>
      <c r="O103" s="534">
        <f>NPV(realdiscrt1,O$13:O23)/(1+realdiscrt1)^-Half_Year</f>
        <v>0</v>
      </c>
      <c r="P103" s="637">
        <f t="shared" si="90"/>
        <v>0</v>
      </c>
      <c r="Q103" s="637">
        <f t="shared" si="90"/>
        <v>6.6955790232690129</v>
      </c>
      <c r="R103" s="1134">
        <f t="shared" si="91"/>
        <v>6.6955790232690129</v>
      </c>
      <c r="S103" s="519">
        <f>NPV(realdiscrt1,S$13:S23)/(1+realdiscrt1)^-Half_Year</f>
        <v>0</v>
      </c>
      <c r="T103" s="519">
        <f>NPV(realdiscrt1,T$13:T23)/(1+realdiscrt1)^-Half_Year</f>
        <v>0</v>
      </c>
      <c r="U103" s="533">
        <f>NPV(realdiscrt1,U$13:U23)/(1+realdiscrt1)^-Half_Year</f>
        <v>0</v>
      </c>
      <c r="V103" s="531">
        <f>NPV(realdiscrt1,V$13:V23)/(1+realdiscrt1)^-Half_Year</f>
        <v>1031.1176191798261</v>
      </c>
      <c r="W103" s="532">
        <f>NPV(realdiscrt1,W$13:W23)/(1+realdiscrt1)^-Half_Year</f>
        <v>0</v>
      </c>
      <c r="X103" s="534">
        <f>NPV(realdiscrt1,X$13:X23)/(1+realdiscrt1)^-Half_Year</f>
        <v>1253.6088693889014</v>
      </c>
      <c r="Y103" s="531">
        <f>NPV(realdiscrt1,Y$13:Y23)/(1+realdiscrt1)^-Half_Year</f>
        <v>68.208087964450584</v>
      </c>
      <c r="Z103" s="532">
        <f>NPV(realdiscrt1,Z$13:Z23)/(1+realdiscrt1)^-Half_Year</f>
        <v>79.004730845627293</v>
      </c>
      <c r="AA103" s="532">
        <f>NPV(realdiscrt1,AA$13:AA23)/(1+realdiscrt1)^-Half_Year</f>
        <v>108.60058198438651</v>
      </c>
      <c r="AB103" s="532">
        <f>NPV(realdiscrt1,AB$13:AB23)/(1+realdiscrt1)^-Half_Year</f>
        <v>98.251529273485247</v>
      </c>
      <c r="AC103" s="532">
        <f>NPV(realdiscrt1,AC$13:AC23)/(1+realdiscrt1)^-Half_Year</f>
        <v>77.893546990541893</v>
      </c>
      <c r="AD103" s="532">
        <f>NPV(realdiscrt1,AD$13:AD23)/(1+realdiscrt1)^-Half_Year</f>
        <v>101.60422066046605</v>
      </c>
      <c r="AE103" s="534">
        <f>NPV(realdiscrt1,AE$13:AE23)/(1+realdiscrt1)^-Half_Year</f>
        <v>95.195930479405433</v>
      </c>
      <c r="AF103" s="535">
        <f>NPV(realdiscrt1,AF$13:AF23)/(1+realdiscrt1)^-Half_Year</f>
        <v>2.6111145623299439E-2</v>
      </c>
      <c r="AG103" s="530">
        <f>NPV(realdiscrt1,AG$13:AG23)/(1+realdiscrt1)^-Half_Year</f>
        <v>1.880188164577087</v>
      </c>
      <c r="AH103" s="536">
        <f>NPV(realdiscrt1,AH$13:AH23)/(1+realdiscrt1)^-Half_Year</f>
        <v>1.880188164577087</v>
      </c>
      <c r="AI103" s="536">
        <f>NPV(realdiscrt1,AI$13:AI23)/(1+realdiscrt1)^-Half_Year</f>
        <v>3.4412606028212052</v>
      </c>
      <c r="AJ103" s="536">
        <f>NPV(realdiscrt1,AJ$13:AJ23)/(1+realdiscrt1)^-Half_Year</f>
        <v>2.9305393730252889</v>
      </c>
      <c r="AK103" s="536">
        <f>NPV(realdiscrt1,AK$13:AK23)/(1+realdiscrt1)^-Half_Year</f>
        <v>1.880188164577087</v>
      </c>
      <c r="AL103" s="536">
        <f>NPV(realdiscrt1,AL$13:AL23)/(1+realdiscrt1)^-Half_Year</f>
        <v>3.4412606028212052</v>
      </c>
      <c r="AM103" s="536">
        <f>NPV(realdiscrt1,AM$13:AM23)/(1+realdiscrt1)^-Half_Year</f>
        <v>3.0193491330254965</v>
      </c>
      <c r="AN103" s="518">
        <f>NPV(realdiscrt1,AN$13:AN23)/(1+realdiscrt1)^-Half_Year</f>
        <v>306.71101075239898</v>
      </c>
      <c r="AO103" s="519">
        <f>NPV(realdiscrt1,AO$13:AO23)/(1+realdiscrt1)^-Half_Year</f>
        <v>273.2393685966216</v>
      </c>
      <c r="AP103" s="505">
        <f>NPV(realdiscrt1,AP$13:AP23)/(1+realdiscrt1)^-Half_Year</f>
        <v>261.29110545930894</v>
      </c>
      <c r="AQ103" s="533">
        <f>NPV(realdiscrt1,AQ$13:AQ23)/(1+realdiscrt1)^-Half_Year</f>
        <v>0.16208365551957971</v>
      </c>
      <c r="AR103" s="519">
        <f>NPV(realdiscrt1,AR$13:AR23)/(1+realdiscrt1)^-Half_Year</f>
        <v>377.57030948895283</v>
      </c>
      <c r="AS103" s="534">
        <f>NPV(realdiscrt1,AS$13:AS23)/(1+realdiscrt1)^-Half_Year</f>
        <v>487.75665036629039</v>
      </c>
      <c r="AT103" s="518">
        <f>NPV(realdiscrt1,AT$13:AT23)/(1+realdiscrt1)^-Half_Year</f>
        <v>265.83656032178556</v>
      </c>
      <c r="AU103" s="532">
        <f>NPV(realdiscrt1,AU$13:AU23)/(1+realdiscrt1)^-Half_Year</f>
        <v>286.65867406095964</v>
      </c>
      <c r="AV103" s="531">
        <f>NPV(realdiscrt1,AV$13:AV23)/(1+realdiscrt1)^-Half_Year</f>
        <v>0.13170477647442275</v>
      </c>
      <c r="AW103" s="534">
        <f>NPV(realdiscrt1,AW$13:AW23)/(1+realdiscrt1)^-Half_Year</f>
        <v>0.13170477647442275</v>
      </c>
      <c r="AX103" s="523">
        <f>NPV(realdiscrt1,AX$13:AX23)/(1+realdiscrt1)^-Half_Year</f>
        <v>15.673355343109808</v>
      </c>
      <c r="AY103" s="537">
        <f>NPV(realdiscrt1,AY$13:AY23)/(1+realdiscrt1)^-Half_Year</f>
        <v>108.45626836110785</v>
      </c>
      <c r="AZ103" s="530">
        <f>NPV(realdiscrt1,AZ$13:AZ23)/(1+realdiscrt1)^-Half_Year</f>
        <v>0.45791111553300207</v>
      </c>
      <c r="BA103" s="536">
        <f>NPV(realdiscrt1,BA$13:BA23)/(1+realdiscrt1)^-Half_Year</f>
        <v>0.50229801809110097</v>
      </c>
      <c r="BB103" s="536">
        <f>NPV(realdiscrt1,BB$13:BB23)/(1+realdiscrt1)^-Half_Year</f>
        <v>0.49036068074627481</v>
      </c>
      <c r="BC103" s="533">
        <f>NPV(realdiscrt1,BC$13:BC23)/(1+realdiscrt1)^-Half_Year</f>
        <v>0.55587875223268834</v>
      </c>
    </row>
    <row r="104" spans="1:55" s="324" customFormat="1" ht="14.25">
      <c r="A104" s="525">
        <f t="shared" si="93"/>
        <v>12</v>
      </c>
      <c r="B104" s="526">
        <f t="shared" si="92"/>
        <v>2035</v>
      </c>
      <c r="C104" s="527">
        <f>NPV(realdiscrt1,C$13:C24)/(1+realdiscrt1)^-Half_Year</f>
        <v>0.84406352553408481</v>
      </c>
      <c r="D104" s="528">
        <f>NPV(realdiscrt1,D$13:D24)/(1+realdiscrt1)^-Half_Year</f>
        <v>0.82759476581158842</v>
      </c>
      <c r="E104" s="528">
        <f>NPV(realdiscrt1,E$13:E24)/(1+realdiscrt1)^-Half_Year</f>
        <v>0.6252301195602683</v>
      </c>
      <c r="F104" s="529">
        <f>NPV(realdiscrt1,F$13:F24)/(1+realdiscrt1)^-Half_Year</f>
        <v>0.58540495222716449</v>
      </c>
      <c r="G104" s="527">
        <f>NPV(realdiscrt1,G$13:G24)/(1+realdiscrt1)^-Half_Year</f>
        <v>6.6790741351534857E-2</v>
      </c>
      <c r="H104" s="528">
        <f>NPV(realdiscrt1,H$13:H24)/(1+realdiscrt1)^-Half_Year</f>
        <v>5.8250728404755009E-2</v>
      </c>
      <c r="I104" s="528">
        <f>NPV(realdiscrt1,I$13:I24)/(1+realdiscrt1)^-Half_Year</f>
        <v>3.9501680708583946E-2</v>
      </c>
      <c r="J104" s="528">
        <f>NPV(realdiscrt1,J$13:J24)/(1+realdiscrt1)^-Half_Year</f>
        <v>2.4979801230952971E-2</v>
      </c>
      <c r="K104" s="530">
        <f>NPV(realdiscrt1,K$13:K24)/(1+realdiscrt1)^-Half_Year</f>
        <v>1.4442113575160264E-2</v>
      </c>
      <c r="L104" s="1139">
        <f>NPV(realdiscrt1,L$13:L24)/(1+realdiscrt1)^-Half_Year</f>
        <v>636.65598787670024</v>
      </c>
      <c r="M104" s="532">
        <f>NPV(realdiscrt1,M$13:M24)/(1+realdiscrt1)^-Half_Year</f>
        <v>331.21607572850706</v>
      </c>
      <c r="N104" s="532">
        <f>NPV(realdiscrt1,N$13:N24)/(1+realdiscrt1)^-Half_Year</f>
        <v>331.21607572850706</v>
      </c>
      <c r="O104" s="534">
        <f>NPV(realdiscrt1,O$13:O24)/(1+realdiscrt1)^-Half_Year</f>
        <v>0</v>
      </c>
      <c r="P104" s="637">
        <f t="shared" si="90"/>
        <v>0</v>
      </c>
      <c r="Q104" s="637">
        <f t="shared" si="90"/>
        <v>0</v>
      </c>
      <c r="R104" s="1134">
        <f t="shared" si="91"/>
        <v>0</v>
      </c>
      <c r="S104" s="519">
        <f>NPV(realdiscrt1,S$13:S24)/(1+realdiscrt1)^-Half_Year</f>
        <v>0</v>
      </c>
      <c r="T104" s="519">
        <f>NPV(realdiscrt1,T$13:T24)/(1+realdiscrt1)^-Half_Year</f>
        <v>0</v>
      </c>
      <c r="U104" s="533">
        <f>NPV(realdiscrt1,U$13:U24)/(1+realdiscrt1)^-Half_Year</f>
        <v>0</v>
      </c>
      <c r="V104" s="531">
        <f>NPV(realdiscrt1,V$13:V24)/(1+realdiscrt1)^-Half_Year</f>
        <v>1117.4577922901397</v>
      </c>
      <c r="W104" s="532">
        <f>NPV(realdiscrt1,W$13:W24)/(1+realdiscrt1)^-Half_Year</f>
        <v>0</v>
      </c>
      <c r="X104" s="534">
        <f>NPV(realdiscrt1,X$13:X24)/(1+realdiscrt1)^-Half_Year</f>
        <v>1358.5792479202628</v>
      </c>
      <c r="Y104" s="531">
        <f>NPV(realdiscrt1,Y$13:Y24)/(1+realdiscrt1)^-Half_Year</f>
        <v>74.284900436560221</v>
      </c>
      <c r="Z104" s="532">
        <f>NPV(realdiscrt1,Z$13:Z24)/(1+realdiscrt1)^-Half_Year</f>
        <v>85.956908744017866</v>
      </c>
      <c r="AA104" s="532">
        <f>NPV(realdiscrt1,AA$13:AA24)/(1+realdiscrt1)^-Half_Year</f>
        <v>117.96740604824772</v>
      </c>
      <c r="AB104" s="532">
        <f>NPV(realdiscrt1,AB$13:AB24)/(1+realdiscrt1)^-Half_Year</f>
        <v>106.77434160257637</v>
      </c>
      <c r="AC104" s="532">
        <f>NPV(realdiscrt1,AC$13:AC24)/(1+realdiscrt1)^-Half_Year</f>
        <v>84.752528306064377</v>
      </c>
      <c r="AD104" s="532">
        <f>NPV(realdiscrt1,AD$13:AD24)/(1+realdiscrt1)^-Half_Year</f>
        <v>110.40192583768717</v>
      </c>
      <c r="AE104" s="534">
        <f>NPV(realdiscrt1,AE$13:AE24)/(1+realdiscrt1)^-Half_Year</f>
        <v>103.46965623454585</v>
      </c>
      <c r="AF104" s="535">
        <f>NPV(realdiscrt1,AF$13:AF24)/(1+realdiscrt1)^-Half_Year</f>
        <v>2.8509165174426608E-2</v>
      </c>
      <c r="AG104" s="530">
        <f>NPV(realdiscrt1,AG$13:AG24)/(1+realdiscrt1)^-Half_Year</f>
        <v>1.880188164577087</v>
      </c>
      <c r="AH104" s="536">
        <f>NPV(realdiscrt1,AH$13:AH24)/(1+realdiscrt1)^-Half_Year</f>
        <v>1.880188164577087</v>
      </c>
      <c r="AI104" s="536">
        <f>NPV(realdiscrt1,AI$13:AI24)/(1+realdiscrt1)^-Half_Year</f>
        <v>3.4412606028212052</v>
      </c>
      <c r="AJ104" s="536">
        <f>NPV(realdiscrt1,AJ$13:AJ24)/(1+realdiscrt1)^-Half_Year</f>
        <v>2.9305393730252889</v>
      </c>
      <c r="AK104" s="536">
        <f>NPV(realdiscrt1,AK$13:AK24)/(1+realdiscrt1)^-Half_Year</f>
        <v>1.880188164577087</v>
      </c>
      <c r="AL104" s="536">
        <f>NPV(realdiscrt1,AL$13:AL24)/(1+realdiscrt1)^-Half_Year</f>
        <v>3.4412606028212052</v>
      </c>
      <c r="AM104" s="536">
        <f>NPV(realdiscrt1,AM$13:AM24)/(1+realdiscrt1)^-Half_Year</f>
        <v>3.0193491330254965</v>
      </c>
      <c r="AN104" s="518">
        <f>NPV(realdiscrt1,AN$13:AN24)/(1+realdiscrt1)^-Half_Year</f>
        <v>333.95642863718621</v>
      </c>
      <c r="AO104" s="519">
        <f>NPV(realdiscrt1,AO$13:AO24)/(1+realdiscrt1)^-Half_Year</f>
        <v>297.47001282498269</v>
      </c>
      <c r="AP104" s="505">
        <f>NPV(realdiscrt1,AP$13:AP24)/(1+realdiscrt1)^-Half_Year</f>
        <v>284.49124366595851</v>
      </c>
      <c r="AQ104" s="533">
        <f>NPV(realdiscrt1,AQ$13:AQ24)/(1+realdiscrt1)^-Half_Year</f>
        <v>0.1765678271872447</v>
      </c>
      <c r="AR104" s="519">
        <f>NPV(realdiscrt1,AR$13:AR24)/(1+realdiscrt1)^-Half_Year</f>
        <v>411.11022329145891</v>
      </c>
      <c r="AS104" s="534">
        <f>NPV(realdiscrt1,AS$13:AS24)/(1+realdiscrt1)^-Half_Year</f>
        <v>530.16184398797623</v>
      </c>
      <c r="AT104" s="518">
        <f>NPV(realdiscrt1,AT$13:AT24)/(1+realdiscrt1)^-Half_Year</f>
        <v>289.45106362003361</v>
      </c>
      <c r="AU104" s="532">
        <f>NPV(realdiscrt1,AU$13:AU24)/(1+realdiscrt1)^-Half_Year</f>
        <v>312.12282464991523</v>
      </c>
      <c r="AV104" s="531">
        <f>NPV(realdiscrt1,AV$13:AV24)/(1+realdiscrt1)^-Half_Year</f>
        <v>0.14273301708319236</v>
      </c>
      <c r="AW104" s="534">
        <f>NPV(realdiscrt1,AW$13:AW24)/(1+realdiscrt1)^-Half_Year</f>
        <v>0.14273301708319236</v>
      </c>
      <c r="AX104" s="523">
        <f>NPV(realdiscrt1,AX$13:AX24)/(1+realdiscrt1)^-Half_Year</f>
        <v>16.985756749478902</v>
      </c>
      <c r="AY104" s="537">
        <f>NPV(realdiscrt1,AY$13:AY24)/(1+realdiscrt1)^-Half_Year</f>
        <v>120.49362255557936</v>
      </c>
      <c r="AZ104" s="530">
        <f>NPV(realdiscrt1,AZ$13:AZ24)/(1+realdiscrt1)^-Half_Year</f>
        <v>0.48188938703684475</v>
      </c>
      <c r="BA104" s="536">
        <f>NPV(realdiscrt1,BA$13:BA24)/(1+realdiscrt1)^-Half_Year</f>
        <v>0.52625091714645345</v>
      </c>
      <c r="BB104" s="536">
        <f>NPV(realdiscrt1,BB$13:BB24)/(1+realdiscrt1)^-Half_Year</f>
        <v>0.51675847203514358</v>
      </c>
      <c r="BC104" s="533">
        <f>NPV(realdiscrt1,BC$13:BC24)/(1+realdiscrt1)^-Half_Year</f>
        <v>0.58339123215495947</v>
      </c>
    </row>
    <row r="105" spans="1:55" s="324" customFormat="1" ht="14.25">
      <c r="A105" s="525">
        <f t="shared" si="93"/>
        <v>13</v>
      </c>
      <c r="B105" s="526">
        <f t="shared" si="92"/>
        <v>2036</v>
      </c>
      <c r="C105" s="527">
        <f>NPV(realdiscrt1,C$13:C25)/(1+realdiscrt1)^-Half_Year</f>
        <v>0.90992183156893569</v>
      </c>
      <c r="D105" s="528">
        <f>NPV(realdiscrt1,D$13:D25)/(1+realdiscrt1)^-Half_Year</f>
        <v>0.89353374119941564</v>
      </c>
      <c r="E105" s="528">
        <f>NPV(realdiscrt1,E$13:E25)/(1+realdiscrt1)^-Half_Year</f>
        <v>0.67580956530342762</v>
      </c>
      <c r="F105" s="529">
        <f>NPV(realdiscrt1,F$13:F25)/(1+realdiscrt1)^-Half_Year</f>
        <v>0.6334905499454363</v>
      </c>
      <c r="G105" s="527">
        <f>NPV(realdiscrt1,G$13:G25)/(1+realdiscrt1)^-Half_Year</f>
        <v>6.6790741351534857E-2</v>
      </c>
      <c r="H105" s="528">
        <f>NPV(realdiscrt1,H$13:H25)/(1+realdiscrt1)^-Half_Year</f>
        <v>5.8250728404755009E-2</v>
      </c>
      <c r="I105" s="528">
        <f>NPV(realdiscrt1,I$13:I25)/(1+realdiscrt1)^-Half_Year</f>
        <v>3.9501680708583946E-2</v>
      </c>
      <c r="J105" s="528">
        <f>NPV(realdiscrt1,J$13:J25)/(1+realdiscrt1)^-Half_Year</f>
        <v>2.4979801230952971E-2</v>
      </c>
      <c r="K105" s="530">
        <f>NPV(realdiscrt1,K$13:K25)/(1+realdiscrt1)^-Half_Year</f>
        <v>1.4460049214591585E-2</v>
      </c>
      <c r="L105" s="1139">
        <f>NPV(realdiscrt1,L$13:L25)/(1+realdiscrt1)^-Half_Year</f>
        <v>689.92717915160722</v>
      </c>
      <c r="M105" s="532">
        <f>NPV(realdiscrt1,M$13:M25)/(1+realdiscrt1)^-Half_Year</f>
        <v>331.21607572850706</v>
      </c>
      <c r="N105" s="532">
        <f>NPV(realdiscrt1,N$13:N25)/(1+realdiscrt1)^-Half_Year</f>
        <v>331.21607572850706</v>
      </c>
      <c r="O105" s="534">
        <f>NPV(realdiscrt1,O$13:O25)/(1+realdiscrt1)^-Half_Year</f>
        <v>0</v>
      </c>
      <c r="P105" s="637">
        <f t="shared" si="90"/>
        <v>0</v>
      </c>
      <c r="Q105" s="637">
        <f t="shared" si="90"/>
        <v>0</v>
      </c>
      <c r="R105" s="1134">
        <f t="shared" si="91"/>
        <v>0</v>
      </c>
      <c r="S105" s="519">
        <f>NPV(realdiscrt1,S$13:S25)/(1+realdiscrt1)^-Half_Year</f>
        <v>0</v>
      </c>
      <c r="T105" s="519">
        <f>NPV(realdiscrt1,T$13:T25)/(1+realdiscrt1)^-Half_Year</f>
        <v>0</v>
      </c>
      <c r="U105" s="533">
        <f>NPV(realdiscrt1,U$13:U25)/(1+realdiscrt1)^-Half_Year</f>
        <v>0</v>
      </c>
      <c r="V105" s="531">
        <f>NPV(realdiscrt1,V$13:V25)/(1+realdiscrt1)^-Half_Year</f>
        <v>1202.6360790801755</v>
      </c>
      <c r="W105" s="532">
        <f>NPV(realdiscrt1,W$13:W25)/(1+realdiscrt1)^-Half_Year</f>
        <v>0</v>
      </c>
      <c r="X105" s="534">
        <f>NPV(realdiscrt1,X$13:X25)/(1+realdiscrt1)^-Half_Year</f>
        <v>1462.1370320305521</v>
      </c>
      <c r="Y105" s="531">
        <f>NPV(realdiscrt1,Y$13:Y25)/(1+realdiscrt1)^-Half_Year</f>
        <v>80.325913571926321</v>
      </c>
      <c r="Z105" s="532">
        <f>NPV(realdiscrt1,Z$13:Z25)/(1+realdiscrt1)^-Half_Year</f>
        <v>92.856746657106527</v>
      </c>
      <c r="AA105" s="532">
        <f>NPV(realdiscrt1,AA$13:AA25)/(1+realdiscrt1)^-Half_Year</f>
        <v>127.23872176078831</v>
      </c>
      <c r="AB105" s="532">
        <f>NPV(realdiscrt1,AB$13:AB25)/(1+realdiscrt1)^-Half_Year</f>
        <v>115.21676092684629</v>
      </c>
      <c r="AC105" s="532">
        <f>NPV(realdiscrt1,AC$13:AC25)/(1+realdiscrt1)^-Half_Year</f>
        <v>91.560394206770013</v>
      </c>
      <c r="AD105" s="532">
        <f>NPV(realdiscrt1,AD$13:AD25)/(1+realdiscrt1)^-Half_Year</f>
        <v>119.11461123575576</v>
      </c>
      <c r="AE105" s="534">
        <f>NPV(realdiscrt1,AE$13:AE25)/(1+realdiscrt1)^-Half_Year</f>
        <v>111.66750784535884</v>
      </c>
      <c r="AF105" s="535">
        <f>NPV(realdiscrt1,AF$13:AF25)/(1+realdiscrt1)^-Half_Year</f>
        <v>3.0879573557644566E-2</v>
      </c>
      <c r="AG105" s="530">
        <f>NPV(realdiscrt1,AG$13:AG25)/(1+realdiscrt1)^-Half_Year</f>
        <v>1.880188164577087</v>
      </c>
      <c r="AH105" s="536">
        <f>NPV(realdiscrt1,AH$13:AH25)/(1+realdiscrt1)^-Half_Year</f>
        <v>1.880188164577087</v>
      </c>
      <c r="AI105" s="536">
        <f>NPV(realdiscrt1,AI$13:AI25)/(1+realdiscrt1)^-Half_Year</f>
        <v>3.4412606028212052</v>
      </c>
      <c r="AJ105" s="536">
        <f>NPV(realdiscrt1,AJ$13:AJ25)/(1+realdiscrt1)^-Half_Year</f>
        <v>2.9305393730252889</v>
      </c>
      <c r="AK105" s="536">
        <f>NPV(realdiscrt1,AK$13:AK25)/(1+realdiscrt1)^-Half_Year</f>
        <v>1.880188164577087</v>
      </c>
      <c r="AL105" s="536">
        <f>NPV(realdiscrt1,AL$13:AL25)/(1+realdiscrt1)^-Half_Year</f>
        <v>3.4412606028212052</v>
      </c>
      <c r="AM105" s="536">
        <f>NPV(realdiscrt1,AM$13:AM25)/(1+realdiscrt1)^-Half_Year</f>
        <v>3.0193491330254965</v>
      </c>
      <c r="AN105" s="518">
        <f>NPV(realdiscrt1,AN$13:AN25)/(1+realdiscrt1)^-Half_Year</f>
        <v>361.00860508769665</v>
      </c>
      <c r="AO105" s="519">
        <f>NPV(realdiscrt1,AO$13:AO25)/(1+realdiscrt1)^-Half_Year</f>
        <v>321.56054542055062</v>
      </c>
      <c r="AP105" s="505">
        <f>NPV(realdiscrt1,AP$13:AP25)/(1+realdiscrt1)^-Half_Year</f>
        <v>307.55846112546914</v>
      </c>
      <c r="AQ105" s="533">
        <f>NPV(realdiscrt1,AQ$13:AQ25)/(1+realdiscrt1)^-Half_Year</f>
        <v>0.19094149667649754</v>
      </c>
      <c r="AR105" s="519">
        <f>NPV(realdiscrt1,AR$13:AR25)/(1+realdiscrt1)^-Half_Year</f>
        <v>444.41225118316243</v>
      </c>
      <c r="AS105" s="534">
        <f>NPV(realdiscrt1,AS$13:AS25)/(1+realdiscrt1)^-Half_Year</f>
        <v>572.16872929511135</v>
      </c>
      <c r="AT105" s="518">
        <f>NPV(realdiscrt1,AT$13:AT25)/(1+realdiscrt1)^-Half_Year</f>
        <v>312.89807818654748</v>
      </c>
      <c r="AU105" s="532">
        <f>NPV(realdiscrt1,AU$13:AU25)/(1+realdiscrt1)^-Half_Year</f>
        <v>337.40636765915747</v>
      </c>
      <c r="AV105" s="531">
        <f>NPV(realdiscrt1,AV$13:AV25)/(1+realdiscrt1)^-Half_Year</f>
        <v>0.15361284981370013</v>
      </c>
      <c r="AW105" s="534">
        <f>NPV(realdiscrt1,AW$13:AW25)/(1+realdiscrt1)^-Half_Year</f>
        <v>0.15361284981370013</v>
      </c>
      <c r="AX105" s="523">
        <f>NPV(realdiscrt1,AX$13:AX25)/(1+realdiscrt1)^-Half_Year</f>
        <v>18.280497069636997</v>
      </c>
      <c r="AY105" s="537">
        <f>NPV(realdiscrt1,AY$13:AY25)/(1+realdiscrt1)^-Half_Year</f>
        <v>132.3689891530023</v>
      </c>
      <c r="AZ105" s="530">
        <f>NPV(realdiscrt1,AZ$13:AZ25)/(1+realdiscrt1)^-Half_Year</f>
        <v>0.50367073797395623</v>
      </c>
      <c r="BA105" s="536">
        <f>NPV(realdiscrt1,BA$13:BA25)/(1+realdiscrt1)^-Half_Year</f>
        <v>0.54777913800844769</v>
      </c>
      <c r="BB105" s="536">
        <f>NPV(realdiscrt1,BB$13:BB25)/(1+realdiscrt1)^-Half_Year</f>
        <v>0.54058620790462086</v>
      </c>
      <c r="BC105" s="533">
        <f>NPV(realdiscrt1,BC$13:BC25)/(1+realdiscrt1)^-Half_Year</f>
        <v>0.60816115870200183</v>
      </c>
    </row>
    <row r="106" spans="1:55" s="324" customFormat="1" ht="14.25">
      <c r="A106" s="525">
        <f t="shared" si="93"/>
        <v>14</v>
      </c>
      <c r="B106" s="526">
        <f t="shared" si="92"/>
        <v>2037</v>
      </c>
      <c r="C106" s="527">
        <f>NPV(realdiscrt1,C$13:C26)/(1+realdiscrt1)^-Half_Year</f>
        <v>0.97504629682190569</v>
      </c>
      <c r="D106" s="528">
        <f>NPV(realdiscrt1,D$13:D26)/(1+realdiscrt1)^-Half_Year</f>
        <v>0.95876352832398959</v>
      </c>
      <c r="E106" s="528">
        <f>NPV(realdiscrt1,E$13:E26)/(1+realdiscrt1)^-Half_Year</f>
        <v>0.72601358058218968</v>
      </c>
      <c r="F106" s="529">
        <f>NPV(realdiscrt1,F$13:F26)/(1+realdiscrt1)^-Half_Year</f>
        <v>0.68121772440212913</v>
      </c>
      <c r="G106" s="527">
        <f>NPV(realdiscrt1,G$13:G26)/(1+realdiscrt1)^-Half_Year</f>
        <v>6.6790741351534857E-2</v>
      </c>
      <c r="H106" s="528">
        <f>NPV(realdiscrt1,H$13:H26)/(1+realdiscrt1)^-Half_Year</f>
        <v>5.8250728404755009E-2</v>
      </c>
      <c r="I106" s="528">
        <f>NPV(realdiscrt1,I$13:I26)/(1+realdiscrt1)^-Half_Year</f>
        <v>3.9501680708583946E-2</v>
      </c>
      <c r="J106" s="528">
        <f>NPV(realdiscrt1,J$13:J26)/(1+realdiscrt1)^-Half_Year</f>
        <v>2.4979801230952971E-2</v>
      </c>
      <c r="K106" s="530">
        <f>NPV(realdiscrt1,K$13:K26)/(1+realdiscrt1)^-Half_Year</f>
        <v>1.4477787385876288E-2</v>
      </c>
      <c r="L106" s="1139">
        <f>NPV(realdiscrt1,L$13:L26)/(1+realdiscrt1)^-Half_Year</f>
        <v>744.12582754907203</v>
      </c>
      <c r="M106" s="532">
        <f>NPV(realdiscrt1,M$13:M26)/(1+realdiscrt1)^-Half_Year</f>
        <v>331.21607572850706</v>
      </c>
      <c r="N106" s="532">
        <f>NPV(realdiscrt1,N$13:N26)/(1+realdiscrt1)^-Half_Year</f>
        <v>331.21607572850706</v>
      </c>
      <c r="O106" s="534">
        <f>NPV(realdiscrt1,O$13:O26)/(1+realdiscrt1)^-Half_Year</f>
        <v>0</v>
      </c>
      <c r="P106" s="637">
        <f t="shared" si="90"/>
        <v>0</v>
      </c>
      <c r="Q106" s="637">
        <f t="shared" si="90"/>
        <v>0</v>
      </c>
      <c r="R106" s="1134">
        <f t="shared" si="91"/>
        <v>0</v>
      </c>
      <c r="S106" s="519">
        <f>NPV(realdiscrt1,S$13:S26)/(1+realdiscrt1)^-Half_Year</f>
        <v>0</v>
      </c>
      <c r="T106" s="519">
        <f>NPV(realdiscrt1,T$13:T26)/(1+realdiscrt1)^-Half_Year</f>
        <v>0</v>
      </c>
      <c r="U106" s="533">
        <f>NPV(realdiscrt1,U$13:U26)/(1+realdiscrt1)^-Half_Year</f>
        <v>0</v>
      </c>
      <c r="V106" s="531">
        <f>NPV(realdiscrt1,V$13:V26)/(1+realdiscrt1)^-Half_Year</f>
        <v>1286.6681151431062</v>
      </c>
      <c r="W106" s="532">
        <f>NPV(realdiscrt1,W$13:W26)/(1+realdiscrt1)^-Half_Year</f>
        <v>0</v>
      </c>
      <c r="X106" s="534">
        <f>NPV(realdiscrt1,X$13:X26)/(1+realdiscrt1)^-Half_Year</f>
        <v>1564.301231111051</v>
      </c>
      <c r="Y106" s="531">
        <f>NPV(realdiscrt1,Y$13:Y26)/(1+realdiscrt1)^-Half_Year</f>
        <v>86.331338269357644</v>
      </c>
      <c r="Z106" s="532">
        <f>NPV(realdiscrt1,Z$13:Z26)/(1+realdiscrt1)^-Half_Year</f>
        <v>99.704638630342245</v>
      </c>
      <c r="AA106" s="532">
        <f>NPV(realdiscrt1,AA$13:AA26)/(1+realdiscrt1)^-Half_Year</f>
        <v>136.41550296811764</v>
      </c>
      <c r="AB106" s="532">
        <f>NPV(realdiscrt1,AB$13:AB26)/(1+realdiscrt1)^-Half_Year</f>
        <v>123.57954556819328</v>
      </c>
      <c r="AC106" s="532">
        <f>NPV(realdiscrt1,AC$13:AC26)/(1+realdiscrt1)^-Half_Year</f>
        <v>98.317525621766436</v>
      </c>
      <c r="AD106" s="532">
        <f>NPV(realdiscrt1,AD$13:AD26)/(1+realdiscrt1)^-Half_Year</f>
        <v>127.74309847379878</v>
      </c>
      <c r="AE106" s="534">
        <f>NPV(realdiscrt1,AE$13:AE26)/(1+realdiscrt1)^-Half_Year</f>
        <v>119.79018111515576</v>
      </c>
      <c r="AF106" s="535">
        <f>NPV(realdiscrt1,AF$13:AF26)/(1+realdiscrt1)^-Half_Year</f>
        <v>3.3223884173233527E-2</v>
      </c>
      <c r="AG106" s="530">
        <f>NPV(realdiscrt1,AG$13:AG26)/(1+realdiscrt1)^-Half_Year</f>
        <v>1.880188164577087</v>
      </c>
      <c r="AH106" s="536">
        <f>NPV(realdiscrt1,AH$13:AH26)/(1+realdiscrt1)^-Half_Year</f>
        <v>1.880188164577087</v>
      </c>
      <c r="AI106" s="536">
        <f>NPV(realdiscrt1,AI$13:AI26)/(1+realdiscrt1)^-Half_Year</f>
        <v>3.4412606028212052</v>
      </c>
      <c r="AJ106" s="536">
        <f>NPV(realdiscrt1,AJ$13:AJ26)/(1+realdiscrt1)^-Half_Year</f>
        <v>2.9305393730252889</v>
      </c>
      <c r="AK106" s="536">
        <f>NPV(realdiscrt1,AK$13:AK26)/(1+realdiscrt1)^-Half_Year</f>
        <v>1.880188164577087</v>
      </c>
      <c r="AL106" s="536">
        <f>NPV(realdiscrt1,AL$13:AL26)/(1+realdiscrt1)^-Half_Year</f>
        <v>3.4412606028212052</v>
      </c>
      <c r="AM106" s="536">
        <f>NPV(realdiscrt1,AM$13:AM26)/(1+realdiscrt1)^-Half_Year</f>
        <v>3.0193491330254965</v>
      </c>
      <c r="AN106" s="518">
        <f>NPV(realdiscrt1,AN$13:AN26)/(1+realdiscrt1)^-Half_Year</f>
        <v>387.86891069226471</v>
      </c>
      <c r="AO106" s="519">
        <f>NPV(realdiscrt1,AO$13:AO26)/(1+realdiscrt1)^-Half_Year</f>
        <v>345.51177656688702</v>
      </c>
      <c r="AP106" s="505">
        <f>NPV(realdiscrt1,AP$13:AP26)/(1+realdiscrt1)^-Half_Year</f>
        <v>330.49351938179638</v>
      </c>
      <c r="AQ106" s="533">
        <f>NPV(realdiscrt1,AQ$13:AQ26)/(1+realdiscrt1)^-Half_Year</f>
        <v>0.20520550702701723</v>
      </c>
      <c r="AR106" s="519">
        <f>NPV(realdiscrt1,AR$13:AR26)/(1+realdiscrt1)^-Half_Year</f>
        <v>477.47808039876804</v>
      </c>
      <c r="AS106" s="534">
        <f>NPV(realdiscrt1,AS$13:AS26)/(1+realdiscrt1)^-Half_Year</f>
        <v>613.78104756323069</v>
      </c>
      <c r="AT106" s="518">
        <f>NPV(realdiscrt1,AT$13:AT26)/(1+realdiscrt1)^-Half_Year</f>
        <v>336.17879195549222</v>
      </c>
      <c r="AU106" s="532">
        <f>NPV(realdiscrt1,AU$13:AU26)/(1+realdiscrt1)^-Half_Year</f>
        <v>362.51058406987346</v>
      </c>
      <c r="AV106" s="531">
        <f>NPV(realdiscrt1,AV$13:AV26)/(1+realdiscrt1)^-Half_Year</f>
        <v>0.1643462718021268</v>
      </c>
      <c r="AW106" s="534">
        <f>NPV(realdiscrt1,AW$13:AW26)/(1+realdiscrt1)^-Half_Year</f>
        <v>0.1643462718021268</v>
      </c>
      <c r="AX106" s="523">
        <f>NPV(realdiscrt1,AX$13:AX26)/(1+realdiscrt1)^-Half_Year</f>
        <v>19.557813970173481</v>
      </c>
      <c r="AY106" s="537">
        <f>NPV(realdiscrt1,AY$13:AY26)/(1+realdiscrt1)^-Half_Year</f>
        <v>144.0845480328729</v>
      </c>
      <c r="AZ106" s="530">
        <f>NPV(realdiscrt1,AZ$13:AZ26)/(1+realdiscrt1)^-Half_Year</f>
        <v>0.52345645307729805</v>
      </c>
      <c r="BA106" s="536">
        <f>NPV(realdiscrt1,BA$13:BA26)/(1+realdiscrt1)^-Half_Year</f>
        <v>0.56712812338227647</v>
      </c>
      <c r="BB106" s="536">
        <f>NPV(realdiscrt1,BB$13:BB26)/(1+realdiscrt1)^-Half_Year</f>
        <v>0.56209410568487883</v>
      </c>
      <c r="BC106" s="533">
        <f>NPV(realdiscrt1,BC$13:BC26)/(1+realdiscrt1)^-Half_Year</f>
        <v>0.63046192049735006</v>
      </c>
    </row>
    <row r="107" spans="1:55" s="324" customFormat="1" ht="14.25">
      <c r="A107" s="525">
        <f t="shared" si="93"/>
        <v>15</v>
      </c>
      <c r="B107" s="526">
        <f t="shared" si="92"/>
        <v>2038</v>
      </c>
      <c r="C107" s="527">
        <f>NPV(realdiscrt1,C$13:C27)/(1+realdiscrt1)^-Half_Year</f>
        <v>1.0395366007118803</v>
      </c>
      <c r="D107" s="528">
        <f>NPV(realdiscrt1,D$13:D27)/(1+realdiscrt1)^-Half_Year</f>
        <v>1.0233837963064241</v>
      </c>
      <c r="E107" s="528">
        <f>NPV(realdiscrt1,E$13:E27)/(1+realdiscrt1)^-Half_Year</f>
        <v>0.77594427515676434</v>
      </c>
      <c r="F107" s="529">
        <f>NPV(realdiscrt1,F$13:F27)/(1+realdiscrt1)^-Half_Year</f>
        <v>0.72868899692006861</v>
      </c>
      <c r="G107" s="527">
        <f>NPV(realdiscrt1,G$13:G27)/(1+realdiscrt1)^-Half_Year</f>
        <v>6.6790741351534857E-2</v>
      </c>
      <c r="H107" s="528">
        <f>NPV(realdiscrt1,H$13:H27)/(1+realdiscrt1)^-Half_Year</f>
        <v>5.8250728404755009E-2</v>
      </c>
      <c r="I107" s="528">
        <f>NPV(realdiscrt1,I$13:I27)/(1+realdiscrt1)^-Half_Year</f>
        <v>3.9501680708583946E-2</v>
      </c>
      <c r="J107" s="528">
        <f>NPV(realdiscrt1,J$13:J27)/(1+realdiscrt1)^-Half_Year</f>
        <v>2.4979801230952971E-2</v>
      </c>
      <c r="K107" s="530">
        <f>NPV(realdiscrt1,K$13:K27)/(1+realdiscrt1)^-Half_Year</f>
        <v>1.4495340177377693E-2</v>
      </c>
      <c r="L107" s="1139">
        <f>NPV(realdiscrt1,L$13:L27)/(1+realdiscrt1)^-Half_Year</f>
        <v>799.26808019653049</v>
      </c>
      <c r="M107" s="532">
        <f>NPV(realdiscrt1,M$13:M27)/(1+realdiscrt1)^-Half_Year</f>
        <v>331.21607572850706</v>
      </c>
      <c r="N107" s="532">
        <f>NPV(realdiscrt1,N$13:N27)/(1+realdiscrt1)^-Half_Year</f>
        <v>331.21607572850706</v>
      </c>
      <c r="O107" s="534">
        <f>NPV(realdiscrt1,O$13:O27)/(1+realdiscrt1)^-Half_Year</f>
        <v>0</v>
      </c>
      <c r="P107" s="637">
        <f t="shared" si="90"/>
        <v>0</v>
      </c>
      <c r="Q107" s="637">
        <f t="shared" si="90"/>
        <v>0</v>
      </c>
      <c r="R107" s="1134">
        <f t="shared" si="91"/>
        <v>0</v>
      </c>
      <c r="S107" s="519">
        <f>NPV(realdiscrt1,S$13:S27)/(1+realdiscrt1)^-Half_Year</f>
        <v>0</v>
      </c>
      <c r="T107" s="519">
        <f>NPV(realdiscrt1,T$13:T27)/(1+realdiscrt1)^-Half_Year</f>
        <v>0</v>
      </c>
      <c r="U107" s="533">
        <f>NPV(realdiscrt1,U$13:U27)/(1+realdiscrt1)^-Half_Year</f>
        <v>0</v>
      </c>
      <c r="V107" s="531">
        <f>NPV(realdiscrt1,V$13:V27)/(1+realdiscrt1)^-Half_Year</f>
        <v>1369.5693256627305</v>
      </c>
      <c r="W107" s="532">
        <f>NPV(realdiscrt1,W$13:W27)/(1+realdiscrt1)^-Half_Year</f>
        <v>0</v>
      </c>
      <c r="X107" s="534">
        <f>NPV(realdiscrt1,X$13:X27)/(1+realdiscrt1)^-Half_Year</f>
        <v>1665.0905987422072</v>
      </c>
      <c r="Y107" s="531">
        <f>NPV(realdiscrt1,Y$13:Y27)/(1+realdiscrt1)^-Half_Year</f>
        <v>92.301384185229011</v>
      </c>
      <c r="Z107" s="532">
        <f>NPV(realdiscrt1,Z$13:Z27)/(1+realdiscrt1)^-Half_Year</f>
        <v>106.50097574257371</v>
      </c>
      <c r="AA107" s="532">
        <f>NPV(realdiscrt1,AA$13:AA27)/(1+realdiscrt1)^-Half_Year</f>
        <v>145.49871358657211</v>
      </c>
      <c r="AB107" s="532">
        <f>NPV(realdiscrt1,AB$13:AB27)/(1+realdiscrt1)^-Half_Year</f>
        <v>131.86344669550394</v>
      </c>
      <c r="AC107" s="532">
        <f>NPV(realdiscrt1,AC$13:AC27)/(1+realdiscrt1)^-Half_Year</f>
        <v>105.02430064135061</v>
      </c>
      <c r="AD107" s="532">
        <f>NPV(realdiscrt1,AD$13:AD27)/(1+realdiscrt1)^-Half_Year</f>
        <v>136.28820123093212</v>
      </c>
      <c r="AE107" s="534">
        <f>NPV(realdiscrt1,AE$13:AE27)/(1+realdiscrt1)^-Half_Year</f>
        <v>127.8383654663885</v>
      </c>
      <c r="AF107" s="535">
        <f>NPV(realdiscrt1,AF$13:AF27)/(1+realdiscrt1)^-Half_Year</f>
        <v>3.5543694642390794E-2</v>
      </c>
      <c r="AG107" s="530">
        <f>NPV(realdiscrt1,AG$13:AG27)/(1+realdiscrt1)^-Half_Year</f>
        <v>1.880188164577087</v>
      </c>
      <c r="AH107" s="536">
        <f>NPV(realdiscrt1,AH$13:AH27)/(1+realdiscrt1)^-Half_Year</f>
        <v>1.880188164577087</v>
      </c>
      <c r="AI107" s="536">
        <f>NPV(realdiscrt1,AI$13:AI27)/(1+realdiscrt1)^-Half_Year</f>
        <v>3.4412606028212052</v>
      </c>
      <c r="AJ107" s="536">
        <f>NPV(realdiscrt1,AJ$13:AJ27)/(1+realdiscrt1)^-Half_Year</f>
        <v>2.9305393730252889</v>
      </c>
      <c r="AK107" s="536">
        <f>NPV(realdiscrt1,AK$13:AK27)/(1+realdiscrt1)^-Half_Year</f>
        <v>1.880188164577087</v>
      </c>
      <c r="AL107" s="536">
        <f>NPV(realdiscrt1,AL$13:AL27)/(1+realdiscrt1)^-Half_Year</f>
        <v>3.4412606028212052</v>
      </c>
      <c r="AM107" s="536">
        <f>NPV(realdiscrt1,AM$13:AM27)/(1+realdiscrt1)^-Half_Year</f>
        <v>3.0193491330254965</v>
      </c>
      <c r="AN107" s="518">
        <f>NPV(realdiscrt1,AN$13:AN27)/(1+realdiscrt1)^-Half_Year</f>
        <v>414.53870631816068</v>
      </c>
      <c r="AO107" s="519">
        <f>NPV(realdiscrt1,AO$13:AO27)/(1+realdiscrt1)^-Half_Year</f>
        <v>369.32451176273634</v>
      </c>
      <c r="AP107" s="505">
        <f>NPV(realdiscrt1,AP$13:AP27)/(1+realdiscrt1)^-Half_Year</f>
        <v>353.29717561577564</v>
      </c>
      <c r="AQ107" s="533">
        <f>NPV(realdiscrt1,AQ$13:AQ27)/(1+realdiscrt1)^-Half_Year</f>
        <v>0.21936069484679152</v>
      </c>
      <c r="AR107" s="519">
        <f>NPV(realdiscrt1,AR$13:AR27)/(1+realdiscrt1)^-Half_Year</f>
        <v>510.30938620606349</v>
      </c>
      <c r="AS107" s="534">
        <f>NPV(realdiscrt1,AS$13:AS27)/(1+realdiscrt1)^-Half_Year</f>
        <v>655.00250492639134</v>
      </c>
      <c r="AT107" s="518">
        <f>NPV(realdiscrt1,AT$13:AT27)/(1+realdiscrt1)^-Half_Year</f>
        <v>359.29438443546564</v>
      </c>
      <c r="AU107" s="532">
        <f>NPV(realdiscrt1,AU$13:AU27)/(1+realdiscrt1)^-Half_Year</f>
        <v>387.4367457777355</v>
      </c>
      <c r="AV107" s="531">
        <f>NPV(realdiscrt1,AV$13:AV27)/(1+realdiscrt1)^-Half_Year</f>
        <v>0.1749352533090387</v>
      </c>
      <c r="AW107" s="534">
        <f>NPV(realdiscrt1,AW$13:AW27)/(1+realdiscrt1)^-Half_Year</f>
        <v>0.1749352533090387</v>
      </c>
      <c r="AX107" s="523">
        <f>NPV(realdiscrt1,AX$13:AX27)/(1+realdiscrt1)^-Half_Year</f>
        <v>20.817941919380235</v>
      </c>
      <c r="AY107" s="537">
        <f>NPV(realdiscrt1,AY$13:AY27)/(1+realdiscrt1)^-Half_Year</f>
        <v>155.64244973988215</v>
      </c>
      <c r="AZ107" s="530">
        <f>NPV(realdiscrt1,AZ$13:AZ27)/(1+realdiscrt1)^-Half_Year</f>
        <v>0.54142937510958622</v>
      </c>
      <c r="BA107" s="536">
        <f>NPV(realdiscrt1,BA$13:BA27)/(1+realdiscrt1)^-Half_Year</f>
        <v>0.58451847056408046</v>
      </c>
      <c r="BB107" s="536">
        <f>NPV(realdiscrt1,BB$13:BB27)/(1+realdiscrt1)^-Half_Year</f>
        <v>0.58150802186474504</v>
      </c>
      <c r="BC107" s="533">
        <f>NPV(realdiscrt1,BC$13:BC27)/(1+realdiscrt1)^-Half_Year</f>
        <v>0.65053965369968159</v>
      </c>
    </row>
    <row r="108" spans="1:55" s="324" customFormat="1" ht="14.25">
      <c r="A108" s="525">
        <f t="shared" si="93"/>
        <v>16</v>
      </c>
      <c r="B108" s="526">
        <f t="shared" si="92"/>
        <v>2039</v>
      </c>
      <c r="C108" s="527">
        <f>NPV(realdiscrt1,C$13:C28)/(1+realdiscrt1)^-Half_Year</f>
        <v>1.103478407753552</v>
      </c>
      <c r="D108" s="528">
        <f>NPV(realdiscrt1,D$13:D28)/(1+realdiscrt1)^-Half_Year</f>
        <v>1.0874801993678762</v>
      </c>
      <c r="E108" s="528">
        <f>NPV(realdiscrt1,E$13:E28)/(1+realdiscrt1)^-Half_Year</f>
        <v>0.82568976175499875</v>
      </c>
      <c r="F108" s="529">
        <f>NPV(realdiscrt1,F$13:F28)/(1+realdiscrt1)^-Half_Year</f>
        <v>0.77599289713937014</v>
      </c>
      <c r="G108" s="527">
        <f>NPV(realdiscrt1,G$13:G28)/(1+realdiscrt1)^-Half_Year</f>
        <v>6.6790741351534857E-2</v>
      </c>
      <c r="H108" s="528">
        <f>NPV(realdiscrt1,H$13:H28)/(1+realdiscrt1)^-Half_Year</f>
        <v>5.8250728404755009E-2</v>
      </c>
      <c r="I108" s="528">
        <f>NPV(realdiscrt1,I$13:I28)/(1+realdiscrt1)^-Half_Year</f>
        <v>3.9501680708583946E-2</v>
      </c>
      <c r="J108" s="528">
        <f>NPV(realdiscrt1,J$13:J28)/(1+realdiscrt1)^-Half_Year</f>
        <v>2.4979801230952971E-2</v>
      </c>
      <c r="K108" s="530">
        <f>NPV(realdiscrt1,K$13:K28)/(1+realdiscrt1)^-Half_Year</f>
        <v>1.451270062632402E-2</v>
      </c>
      <c r="L108" s="1139">
        <f>NPV(realdiscrt1,L$13:L28)/(1+realdiscrt1)^-Half_Year</f>
        <v>855.3703653446297</v>
      </c>
      <c r="M108" s="532">
        <f>NPV(realdiscrt1,M$13:M28)/(1+realdiscrt1)^-Half_Year</f>
        <v>331.21607572850706</v>
      </c>
      <c r="N108" s="532">
        <f>NPV(realdiscrt1,N$13:N28)/(1+realdiscrt1)^-Half_Year</f>
        <v>331.21607572850706</v>
      </c>
      <c r="O108" s="534">
        <f>NPV(realdiscrt1,O$13:O28)/(1+realdiscrt1)^-Half_Year</f>
        <v>0</v>
      </c>
      <c r="P108" s="637">
        <f t="shared" si="90"/>
        <v>0</v>
      </c>
      <c r="Q108" s="637">
        <f t="shared" si="90"/>
        <v>0</v>
      </c>
      <c r="R108" s="1134">
        <f t="shared" si="91"/>
        <v>0</v>
      </c>
      <c r="S108" s="519">
        <f>NPV(realdiscrt1,S$13:S28)/(1+realdiscrt1)^-Half_Year</f>
        <v>0</v>
      </c>
      <c r="T108" s="519">
        <f>NPV(realdiscrt1,T$13:T28)/(1+realdiscrt1)^-Half_Year</f>
        <v>0</v>
      </c>
      <c r="U108" s="533">
        <f>NPV(realdiscrt1,U$13:U28)/(1+realdiscrt1)^-Half_Year</f>
        <v>0</v>
      </c>
      <c r="V108" s="531">
        <f>NPV(realdiscrt1,V$13:V28)/(1+realdiscrt1)^-Half_Year</f>
        <v>1451.3549282449678</v>
      </c>
      <c r="W108" s="532">
        <f>NPV(realdiscrt1,W$13:W28)/(1+realdiscrt1)^-Half_Year</f>
        <v>0</v>
      </c>
      <c r="X108" s="534">
        <f>NPV(realdiscrt1,X$13:X28)/(1+realdiscrt1)^-Half_Year</f>
        <v>1764.5236361360992</v>
      </c>
      <c r="Y108" s="531">
        <f>NPV(realdiscrt1,Y$13:Y28)/(1+realdiscrt1)^-Half_Year</f>
        <v>98.236259740800875</v>
      </c>
      <c r="Z108" s="532">
        <f>NPV(realdiscrt1,Z$13:Z28)/(1+realdiscrt1)^-Half_Year</f>
        <v>113.24614612838364</v>
      </c>
      <c r="AA108" s="532">
        <f>NPV(realdiscrt1,AA$13:AA28)/(1+realdiscrt1)^-Half_Year</f>
        <v>154.48930770396368</v>
      </c>
      <c r="AB108" s="532">
        <f>NPV(realdiscrt1,AB$13:AB28)/(1+realdiscrt1)^-Half_Year</f>
        <v>140.0692083921254</v>
      </c>
      <c r="AC108" s="532">
        <f>NPV(realdiscrt1,AC$13:AC28)/(1+realdiscrt1)^-Half_Year</f>
        <v>111.68109453816461</v>
      </c>
      <c r="AD108" s="532">
        <f>NPV(realdiscrt1,AD$13:AD28)/(1+realdiscrt1)^-Half_Year</f>
        <v>144.75072532299171</v>
      </c>
      <c r="AE108" s="534">
        <f>NPV(realdiscrt1,AE$13:AE28)/(1+realdiscrt1)^-Half_Year</f>
        <v>135.81274399916518</v>
      </c>
      <c r="AF108" s="535">
        <f>NPV(realdiscrt1,AF$13:AF28)/(1+realdiscrt1)^-Half_Year</f>
        <v>3.7837597827100805E-2</v>
      </c>
      <c r="AG108" s="530">
        <f>NPV(realdiscrt1,AG$13:AG28)/(1+realdiscrt1)^-Half_Year</f>
        <v>1.880188164577087</v>
      </c>
      <c r="AH108" s="536">
        <f>NPV(realdiscrt1,AH$13:AH28)/(1+realdiscrt1)^-Half_Year</f>
        <v>1.880188164577087</v>
      </c>
      <c r="AI108" s="536">
        <f>NPV(realdiscrt1,AI$13:AI28)/(1+realdiscrt1)^-Half_Year</f>
        <v>3.4412606028212052</v>
      </c>
      <c r="AJ108" s="536">
        <f>NPV(realdiscrt1,AJ$13:AJ28)/(1+realdiscrt1)^-Half_Year</f>
        <v>2.9305393730252889</v>
      </c>
      <c r="AK108" s="536">
        <f>NPV(realdiscrt1,AK$13:AK28)/(1+realdiscrt1)^-Half_Year</f>
        <v>1.880188164577087</v>
      </c>
      <c r="AL108" s="536">
        <f>NPV(realdiscrt1,AL$13:AL28)/(1+realdiscrt1)^-Half_Year</f>
        <v>3.4412606028212052</v>
      </c>
      <c r="AM108" s="536">
        <f>NPV(realdiscrt1,AM$13:AM28)/(1+realdiscrt1)^-Half_Year</f>
        <v>3.0193491330254965</v>
      </c>
      <c r="AN108" s="518">
        <f>NPV(realdiscrt1,AN$13:AN28)/(1+realdiscrt1)^-Half_Year</f>
        <v>441.01934318053861</v>
      </c>
      <c r="AO108" s="519">
        <f>NPV(realdiscrt1,AO$13:AO28)/(1+realdiscrt1)^-Half_Year</f>
        <v>392.99955184911528</v>
      </c>
      <c r="AP108" s="505">
        <f>NPV(realdiscrt1,AP$13:AP28)/(1+realdiscrt1)^-Half_Year</f>
        <v>375.97018267011975</v>
      </c>
      <c r="AQ108" s="533">
        <f>NPV(realdiscrt1,AQ$13:AQ28)/(1+realdiscrt1)^-Half_Year</f>
        <v>0.23340789036118528</v>
      </c>
      <c r="AR108" s="519">
        <f>NPV(realdiscrt1,AR$13:AR28)/(1+realdiscrt1)^-Half_Year</f>
        <v>542.90783199079613</v>
      </c>
      <c r="AS108" s="534">
        <f>NPV(realdiscrt1,AS$13:AS28)/(1+realdiscrt1)^-Half_Year</f>
        <v>695.83677270725423</v>
      </c>
      <c r="AT108" s="518">
        <f>NPV(realdiscrt1,AT$13:AT28)/(1+realdiscrt1)^-Half_Year</f>
        <v>382.24602676925741</v>
      </c>
      <c r="AU108" s="532">
        <f>NPV(realdiscrt1,AU$13:AU28)/(1+realdiscrt1)^-Half_Year</f>
        <v>412.18611565734182</v>
      </c>
      <c r="AV108" s="531">
        <f>NPV(realdiscrt1,AV$13:AV28)/(1+realdiscrt1)^-Half_Year</f>
        <v>0.18538173808105476</v>
      </c>
      <c r="AW108" s="534">
        <f>NPV(realdiscrt1,AW$13:AW28)/(1+realdiscrt1)^-Half_Year</f>
        <v>0.18538173808105476</v>
      </c>
      <c r="AX108" s="523">
        <f>NPV(realdiscrt1,AX$13:AX28)/(1+realdiscrt1)^-Half_Year</f>
        <v>22.0611122302914</v>
      </c>
      <c r="AY108" s="537">
        <f>NPV(realdiscrt1,AY$13:AY28)/(1+realdiscrt1)^-Half_Year</f>
        <v>167.04481587867642</v>
      </c>
      <c r="AZ108" s="530">
        <f>NPV(realdiscrt1,AZ$13:AZ28)/(1+realdiscrt1)^-Half_Year</f>
        <v>0.55775559454070212</v>
      </c>
      <c r="BA108" s="536">
        <f>NPV(realdiscrt1,BA$13:BA28)/(1+realdiscrt1)^-Half_Year</f>
        <v>0.60014844646518029</v>
      </c>
      <c r="BB108" s="536">
        <f>NPV(realdiscrt1,BB$13:BB28)/(1+realdiscrt1)^-Half_Year</f>
        <v>0.59903182383226361</v>
      </c>
      <c r="BC108" s="533">
        <f>NPV(realdiscrt1,BC$13:BC28)/(1+realdiscrt1)^-Half_Year</f>
        <v>0.66861595863685619</v>
      </c>
    </row>
    <row r="109" spans="1:55" s="324" customFormat="1" ht="14.25">
      <c r="A109" s="525">
        <f t="shared" si="93"/>
        <v>17</v>
      </c>
      <c r="B109" s="526">
        <f t="shared" si="92"/>
        <v>2040</v>
      </c>
      <c r="C109" s="527">
        <f>NPV(realdiscrt1,C$13:C29)/(1+realdiscrt1)^-Half_Year</f>
        <v>1.1669453382522863</v>
      </c>
      <c r="D109" s="528">
        <f>NPV(realdiscrt1,D$13:D29)/(1+realdiscrt1)^-Half_Year</f>
        <v>1.1511263475244167</v>
      </c>
      <c r="E109" s="528">
        <f>NPV(realdiscrt1,E$13:E29)/(1+realdiscrt1)^-Half_Year</f>
        <v>0.87532612689805023</v>
      </c>
      <c r="F109" s="529">
        <f>NPV(realdiscrt1,F$13:F29)/(1+realdiscrt1)^-Half_Year</f>
        <v>0.82320593390129759</v>
      </c>
      <c r="G109" s="527">
        <f>NPV(realdiscrt1,G$13:G29)/(1+realdiscrt1)^-Half_Year</f>
        <v>6.6790741351534857E-2</v>
      </c>
      <c r="H109" s="528">
        <f>NPV(realdiscrt1,H$13:H29)/(1+realdiscrt1)^-Half_Year</f>
        <v>5.8250728404755009E-2</v>
      </c>
      <c r="I109" s="528">
        <f>NPV(realdiscrt1,I$13:I29)/(1+realdiscrt1)^-Half_Year</f>
        <v>3.9501680708583946E-2</v>
      </c>
      <c r="J109" s="528">
        <f>NPV(realdiscrt1,J$13:J29)/(1+realdiscrt1)^-Half_Year</f>
        <v>2.4979801230952971E-2</v>
      </c>
      <c r="K109" s="530">
        <f>NPV(realdiscrt1,K$13:K29)/(1+realdiscrt1)^-Half_Year</f>
        <v>1.4529870840394758E-2</v>
      </c>
      <c r="L109" s="1139">
        <f>NPV(realdiscrt1,L$13:L29)/(1+realdiscrt1)^-Half_Year</f>
        <v>912.44939726161306</v>
      </c>
      <c r="M109" s="532">
        <f>NPV(realdiscrt1,M$13:M29)/(1+realdiscrt1)^-Half_Year</f>
        <v>331.21607572850706</v>
      </c>
      <c r="N109" s="532">
        <f>NPV(realdiscrt1,N$13:N29)/(1+realdiscrt1)^-Half_Year</f>
        <v>331.21607572850706</v>
      </c>
      <c r="O109" s="534">
        <f>NPV(realdiscrt1,O$13:O29)/(1+realdiscrt1)^-Half_Year</f>
        <v>0</v>
      </c>
      <c r="P109" s="637">
        <f t="shared" si="90"/>
        <v>0</v>
      </c>
      <c r="Q109" s="637">
        <f t="shared" si="90"/>
        <v>0</v>
      </c>
      <c r="R109" s="1134">
        <f t="shared" si="91"/>
        <v>0</v>
      </c>
      <c r="S109" s="519">
        <f>NPV(realdiscrt1,S$13:S29)/(1+realdiscrt1)^-Half_Year</f>
        <v>0</v>
      </c>
      <c r="T109" s="519">
        <f>NPV(realdiscrt1,T$13:T29)/(1+realdiscrt1)^-Half_Year</f>
        <v>0</v>
      </c>
      <c r="U109" s="533">
        <f>NPV(realdiscrt1,U$13:U29)/(1+realdiscrt1)^-Half_Year</f>
        <v>0</v>
      </c>
      <c r="V109" s="531">
        <f>NPV(realdiscrt1,V$13:V29)/(1+realdiscrt1)^-Half_Year</f>
        <v>1532.0399357112494</v>
      </c>
      <c r="W109" s="532">
        <f>NPV(realdiscrt1,W$13:W29)/(1+realdiscrt1)^-Half_Year</f>
        <v>0</v>
      </c>
      <c r="X109" s="534">
        <f>NPV(realdiscrt1,X$13:X29)/(1+realdiscrt1)^-Half_Year</f>
        <v>1862.6185955325791</v>
      </c>
      <c r="Y109" s="531">
        <f>NPV(realdiscrt1,Y$13:Y29)/(1+realdiscrt1)^-Half_Year</f>
        <v>104.13617212949538</v>
      </c>
      <c r="Z109" s="532">
        <f>NPV(realdiscrt1,Z$13:Z29)/(1+realdiscrt1)^-Half_Year</f>
        <v>119.94053500025476</v>
      </c>
      <c r="AA109" s="532">
        <f>NPV(realdiscrt1,AA$13:AA29)/(1+realdiscrt1)^-Half_Year</f>
        <v>163.38822967979573</v>
      </c>
      <c r="AB109" s="532">
        <f>NPV(realdiscrt1,AB$13:AB29)/(1+realdiscrt1)^-Half_Year</f>
        <v>148.19756772270077</v>
      </c>
      <c r="AC109" s="532">
        <f>NPV(realdiscrt1,AC$13:AC29)/(1+realdiscrt1)^-Half_Year</f>
        <v>118.28827978819372</v>
      </c>
      <c r="AD109" s="532">
        <f>NPV(realdiscrt1,AD$13:AD29)/(1+realdiscrt1)^-Half_Year</f>
        <v>153.13146877852319</v>
      </c>
      <c r="AE109" s="534">
        <f>NPV(realdiscrt1,AE$13:AE29)/(1+realdiscrt1)^-Half_Year</f>
        <v>143.71399354922917</v>
      </c>
      <c r="AF109" s="535">
        <f>NPV(realdiscrt1,AF$13:AF29)/(1+realdiscrt1)^-Half_Year</f>
        <v>4.0105883055908453E-2</v>
      </c>
      <c r="AG109" s="530">
        <f>NPV(realdiscrt1,AG$13:AG29)/(1+realdiscrt1)^-Half_Year</f>
        <v>1.880188164577087</v>
      </c>
      <c r="AH109" s="536">
        <f>NPV(realdiscrt1,AH$13:AH29)/(1+realdiscrt1)^-Half_Year</f>
        <v>1.880188164577087</v>
      </c>
      <c r="AI109" s="536">
        <f>NPV(realdiscrt1,AI$13:AI29)/(1+realdiscrt1)^-Half_Year</f>
        <v>3.4412606028212052</v>
      </c>
      <c r="AJ109" s="536">
        <f>NPV(realdiscrt1,AJ$13:AJ29)/(1+realdiscrt1)^-Half_Year</f>
        <v>2.9305393730252889</v>
      </c>
      <c r="AK109" s="536">
        <f>NPV(realdiscrt1,AK$13:AK29)/(1+realdiscrt1)^-Half_Year</f>
        <v>1.880188164577087</v>
      </c>
      <c r="AL109" s="536">
        <f>NPV(realdiscrt1,AL$13:AL29)/(1+realdiscrt1)^-Half_Year</f>
        <v>3.4412606028212052</v>
      </c>
      <c r="AM109" s="536">
        <f>NPV(realdiscrt1,AM$13:AM29)/(1+realdiscrt1)^-Half_Year</f>
        <v>3.0193491330254965</v>
      </c>
      <c r="AN109" s="518">
        <f>NPV(realdiscrt1,AN$13:AN29)/(1+realdiscrt1)^-Half_Year</f>
        <v>467.31216291089498</v>
      </c>
      <c r="AO109" s="519">
        <f>NPV(realdiscrt1,AO$13:AO29)/(1+realdiscrt1)^-Half_Year</f>
        <v>416.53769303624557</v>
      </c>
      <c r="AP109" s="505">
        <f>NPV(realdiscrt1,AP$13:AP29)/(1+realdiscrt1)^-Half_Year</f>
        <v>398.51328907427359</v>
      </c>
      <c r="AQ109" s="533">
        <f>NPV(realdiscrt1,AQ$13:AQ29)/(1+realdiscrt1)^-Half_Year</f>
        <v>0.24734791746163459</v>
      </c>
      <c r="AR109" s="519">
        <f>NPV(realdiscrt1,AR$13:AR29)/(1+realdiscrt1)^-Half_Year</f>
        <v>575.27506934094799</v>
      </c>
      <c r="AS109" s="534">
        <f>NPV(realdiscrt1,AS$13:AS29)/(1+realdiscrt1)^-Half_Year</f>
        <v>736.28748774406415</v>
      </c>
      <c r="AT109" s="518">
        <f>NPV(realdiscrt1,AT$13:AT29)/(1+realdiscrt1)^-Half_Year</f>
        <v>405.03488179318498</v>
      </c>
      <c r="AU109" s="532">
        <f>NPV(realdiscrt1,AU$13:AU29)/(1+realdiscrt1)^-Half_Year</f>
        <v>436.75994762619899</v>
      </c>
      <c r="AV109" s="531">
        <f>NPV(realdiscrt1,AV$13:AV29)/(1+realdiscrt1)^-Half_Year</f>
        <v>0.19568764370764696</v>
      </c>
      <c r="AW109" s="534">
        <f>NPV(realdiscrt1,AW$13:AW29)/(1+realdiscrt1)^-Half_Year</f>
        <v>0.19568764370764696</v>
      </c>
      <c r="AX109" s="523">
        <f>NPV(realdiscrt1,AX$13:AX29)/(1+realdiscrt1)^-Half_Year</f>
        <v>23.287553103143903</v>
      </c>
      <c r="AY109" s="537">
        <f>NPV(realdiscrt1,AY$13:AY29)/(1+realdiscrt1)^-Half_Year</f>
        <v>178.29373950330591</v>
      </c>
      <c r="AZ109" s="530">
        <f>NPV(realdiscrt1,AZ$13:AZ29)/(1+realdiscrt1)^-Half_Year</f>
        <v>0.57258598441465269</v>
      </c>
      <c r="BA109" s="536">
        <f>NPV(realdiscrt1,BA$13:BA29)/(1+realdiscrt1)^-Half_Year</f>
        <v>0.61419624804815165</v>
      </c>
      <c r="BB109" s="536">
        <f>NPV(realdiscrt1,BB$13:BB29)/(1+realdiscrt1)^-Half_Year</f>
        <v>0.6148495307056081</v>
      </c>
      <c r="BC109" s="533">
        <f>NPV(realdiscrt1,BC$13:BC29)/(1+realdiscrt1)^-Half_Year</f>
        <v>0.68489034563507456</v>
      </c>
    </row>
    <row r="110" spans="1:55" s="324" customFormat="1" ht="14.25">
      <c r="A110" s="525">
        <f t="shared" si="93"/>
        <v>18</v>
      </c>
      <c r="B110" s="526">
        <f t="shared" si="92"/>
        <v>2041</v>
      </c>
      <c r="C110" s="527">
        <f>NPV(realdiscrt1,C$13:C30)/(1+realdiscrt1)^-Half_Year</f>
        <v>1.2300006618911807</v>
      </c>
      <c r="D110" s="528">
        <f>NPV(realdiscrt1,D$13:D30)/(1+realdiscrt1)^-Half_Year</f>
        <v>1.2143855001740811</v>
      </c>
      <c r="E110" s="528">
        <f>NPV(realdiscrt1,E$13:E30)/(1+realdiscrt1)^-Half_Year</f>
        <v>0.92491912461920534</v>
      </c>
      <c r="F110" s="529">
        <f>NPV(realdiscrt1,F$13:F30)/(1+realdiscrt1)^-Half_Year</f>
        <v>0.87039428902584537</v>
      </c>
      <c r="G110" s="527">
        <f>NPV(realdiscrt1,G$13:G30)/(1+realdiscrt1)^-Half_Year</f>
        <v>6.6790741351534857E-2</v>
      </c>
      <c r="H110" s="528">
        <f>NPV(realdiscrt1,H$13:H30)/(1+realdiscrt1)^-Half_Year</f>
        <v>5.8250728404755009E-2</v>
      </c>
      <c r="I110" s="528">
        <f>NPV(realdiscrt1,I$13:I30)/(1+realdiscrt1)^-Half_Year</f>
        <v>3.9501680708583946E-2</v>
      </c>
      <c r="J110" s="528">
        <f>NPV(realdiscrt1,J$13:J30)/(1+realdiscrt1)^-Half_Year</f>
        <v>2.4979801230952971E-2</v>
      </c>
      <c r="K110" s="530">
        <f>NPV(realdiscrt1,K$13:K30)/(1+realdiscrt1)^-Half_Year</f>
        <v>1.4546852904173541E-2</v>
      </c>
      <c r="L110" s="1139">
        <f>NPV(realdiscrt1,L$13:L30)/(1+realdiscrt1)^-Half_Year</f>
        <v>970.52218121291673</v>
      </c>
      <c r="M110" s="532">
        <f>NPV(realdiscrt1,M$13:M30)/(1+realdiscrt1)^-Half_Year</f>
        <v>331.21607572850706</v>
      </c>
      <c r="N110" s="532">
        <f>NPV(realdiscrt1,N$13:N30)/(1+realdiscrt1)^-Half_Year</f>
        <v>331.21607572850706</v>
      </c>
      <c r="O110" s="534">
        <f>NPV(realdiscrt1,O$13:O30)/(1+realdiscrt1)^-Half_Year</f>
        <v>0</v>
      </c>
      <c r="P110" s="637">
        <f t="shared" si="90"/>
        <v>0</v>
      </c>
      <c r="Q110" s="637">
        <f t="shared" si="90"/>
        <v>0</v>
      </c>
      <c r="R110" s="1134">
        <f t="shared" si="91"/>
        <v>0</v>
      </c>
      <c r="S110" s="519">
        <f>NPV(realdiscrt1,S$13:S30)/(1+realdiscrt1)^-Half_Year</f>
        <v>0</v>
      </c>
      <c r="T110" s="519">
        <f>NPV(realdiscrt1,T$13:T30)/(1+realdiscrt1)^-Half_Year</f>
        <v>0</v>
      </c>
      <c r="U110" s="533">
        <f>NPV(realdiscrt1,U$13:U30)/(1+realdiscrt1)^-Half_Year</f>
        <v>0</v>
      </c>
      <c r="V110" s="531">
        <f>NPV(realdiscrt1,V$13:V30)/(1+realdiscrt1)^-Half_Year</f>
        <v>1611.6391588543188</v>
      </c>
      <c r="W110" s="532">
        <f>NPV(realdiscrt1,W$13:W30)/(1+realdiscrt1)^-Half_Year</f>
        <v>0</v>
      </c>
      <c r="X110" s="534">
        <f>NPV(realdiscrt1,X$13:X30)/(1+realdiscrt1)^-Half_Year</f>
        <v>1959.3934835497096</v>
      </c>
      <c r="Y110" s="531">
        <f>NPV(realdiscrt1,Y$13:Y30)/(1+realdiscrt1)^-Half_Year</f>
        <v>110.0013273241297</v>
      </c>
      <c r="Z110" s="532">
        <f>NPV(realdiscrt1,Z$13:Z30)/(1+realdiscrt1)^-Half_Year</f>
        <v>126.58452467056917</v>
      </c>
      <c r="AA110" s="532">
        <f>NPV(realdiscrt1,AA$13:AA30)/(1+realdiscrt1)^-Half_Year</f>
        <v>172.19641424445743</v>
      </c>
      <c r="AB110" s="532">
        <f>NPV(realdiscrt1,AB$13:AB30)/(1+realdiscrt1)^-Half_Year</f>
        <v>156.24925479937457</v>
      </c>
      <c r="AC110" s="532">
        <f>NPV(realdiscrt1,AC$13:AC30)/(1+realdiscrt1)^-Half_Year</f>
        <v>124.84622609160799</v>
      </c>
      <c r="AD110" s="532">
        <f>NPV(realdiscrt1,AD$13:AD30)/(1+realdiscrt1)^-Half_Year</f>
        <v>161.43122191403702</v>
      </c>
      <c r="AE110" s="534">
        <f>NPV(realdiscrt1,AE$13:AE30)/(1+realdiscrt1)^-Half_Year</f>
        <v>151.54278474540632</v>
      </c>
      <c r="AF110" s="535">
        <f>NPV(realdiscrt1,AF$13:AF30)/(1+realdiscrt1)^-Half_Year</f>
        <v>4.2348836426182167E-2</v>
      </c>
      <c r="AG110" s="530">
        <f>NPV(realdiscrt1,AG$13:AG30)/(1+realdiscrt1)^-Half_Year</f>
        <v>1.880188164577087</v>
      </c>
      <c r="AH110" s="536">
        <f>NPV(realdiscrt1,AH$13:AH30)/(1+realdiscrt1)^-Half_Year</f>
        <v>1.880188164577087</v>
      </c>
      <c r="AI110" s="536">
        <f>NPV(realdiscrt1,AI$13:AI30)/(1+realdiscrt1)^-Half_Year</f>
        <v>3.4412606028212052</v>
      </c>
      <c r="AJ110" s="536">
        <f>NPV(realdiscrt1,AJ$13:AJ30)/(1+realdiscrt1)^-Half_Year</f>
        <v>2.9305393730252889</v>
      </c>
      <c r="AK110" s="536">
        <f>NPV(realdiscrt1,AK$13:AK30)/(1+realdiscrt1)^-Half_Year</f>
        <v>1.880188164577087</v>
      </c>
      <c r="AL110" s="536">
        <f>NPV(realdiscrt1,AL$13:AL30)/(1+realdiscrt1)^-Half_Year</f>
        <v>3.4412606028212052</v>
      </c>
      <c r="AM110" s="536">
        <f>NPV(realdiscrt1,AM$13:AM30)/(1+realdiscrt1)^-Half_Year</f>
        <v>3.0193491330254965</v>
      </c>
      <c r="AN110" s="518">
        <f>NPV(realdiscrt1,AN$13:AN30)/(1+realdiscrt1)^-Half_Year</f>
        <v>493.41849762504182</v>
      </c>
      <c r="AO110" s="519">
        <f>NPV(realdiscrt1,AO$13:AO30)/(1+realdiscrt1)^-Half_Year</f>
        <v>439.9397269303314</v>
      </c>
      <c r="AP110" s="505">
        <f>NPV(realdiscrt1,AP$13:AP30)/(1+realdiscrt1)^-Half_Year</f>
        <v>420.92723906912568</v>
      </c>
      <c r="AQ110" s="533">
        <f>NPV(realdiscrt1,AQ$13:AQ30)/(1+realdiscrt1)^-Half_Year</f>
        <v>0.26118159375396954</v>
      </c>
      <c r="AR110" s="519">
        <f>NPV(realdiscrt1,AR$13:AR30)/(1+realdiscrt1)^-Half_Year</f>
        <v>607.412738130413</v>
      </c>
      <c r="AS110" s="534">
        <f>NPV(realdiscrt1,AS$13:AS30)/(1+realdiscrt1)^-Half_Year</f>
        <v>776.3582527145586</v>
      </c>
      <c r="AT110" s="518">
        <f>NPV(realdiscrt1,AT$13:AT30)/(1+realdiscrt1)^-Half_Year</f>
        <v>427.66210409600791</v>
      </c>
      <c r="AU110" s="532">
        <f>NPV(realdiscrt1,AU$13:AU30)/(1+realdiscrt1)^-Half_Year</f>
        <v>461.15948670825139</v>
      </c>
      <c r="AV110" s="531">
        <f>NPV(realdiscrt1,AV$13:AV30)/(1+realdiscrt1)^-Half_Year</f>
        <v>0.20585486197313888</v>
      </c>
      <c r="AW110" s="534">
        <f>NPV(realdiscrt1,AW$13:AW30)/(1+realdiscrt1)^-Half_Year</f>
        <v>0.20585486197313888</v>
      </c>
      <c r="AX110" s="523">
        <f>NPV(realdiscrt1,AX$13:AX30)/(1+realdiscrt1)^-Half_Year</f>
        <v>24.497489667266599</v>
      </c>
      <c r="AY110" s="537">
        <f>NPV(realdiscrt1,AY$13:AY30)/(1+realdiscrt1)^-Half_Year</f>
        <v>189.39128550143232</v>
      </c>
      <c r="AZ110" s="530">
        <f>NPV(realdiscrt1,AZ$13:AZ30)/(1+realdiscrt1)^-Half_Year</f>
        <v>0.5860575945900125</v>
      </c>
      <c r="BA110" s="536">
        <f>NPV(realdiscrt1,BA$13:BA30)/(1+realdiscrt1)^-Half_Year</f>
        <v>0.62682203394591751</v>
      </c>
      <c r="BB110" s="536">
        <f>NPV(realdiscrt1,BB$13:BB30)/(1+realdiscrt1)^-Half_Year</f>
        <v>0.62912724573541812</v>
      </c>
      <c r="BC110" s="533">
        <f>NPV(realdiscrt1,BC$13:BC30)/(1+realdiscrt1)^-Half_Year</f>
        <v>0.69954243703806329</v>
      </c>
    </row>
    <row r="111" spans="1:55" s="324" customFormat="1" ht="14.25">
      <c r="A111" s="525">
        <f t="shared" si="93"/>
        <v>19</v>
      </c>
      <c r="B111" s="526">
        <f t="shared" si="92"/>
        <v>2042</v>
      </c>
      <c r="C111" s="527">
        <f>NPV(realdiscrt1,C$13:C31)/(1+realdiscrt1)^-Half_Year</f>
        <v>1.29269875317562</v>
      </c>
      <c r="D111" s="528">
        <f>NPV(realdiscrt1,D$13:D31)/(1+realdiscrt1)^-Half_Year</f>
        <v>1.2773120215414258</v>
      </c>
      <c r="E111" s="528">
        <f>NPV(realdiscrt1,E$13:E31)/(1+realdiscrt1)^-Half_Year</f>
        <v>0.97452563204116172</v>
      </c>
      <c r="F111" s="529">
        <f>NPV(realdiscrt1,F$13:F31)/(1+realdiscrt1)^-Half_Year</f>
        <v>0.91761527294837486</v>
      </c>
      <c r="G111" s="527">
        <f>NPV(realdiscrt1,G$13:G31)/(1+realdiscrt1)^-Half_Year</f>
        <v>6.6790741351534857E-2</v>
      </c>
      <c r="H111" s="528">
        <f>NPV(realdiscrt1,H$13:H31)/(1+realdiscrt1)^-Half_Year</f>
        <v>5.8250728404755009E-2</v>
      </c>
      <c r="I111" s="528">
        <f>NPV(realdiscrt1,I$13:I31)/(1+realdiscrt1)^-Half_Year</f>
        <v>3.9501680708583946E-2</v>
      </c>
      <c r="J111" s="528">
        <f>NPV(realdiscrt1,J$13:J31)/(1+realdiscrt1)^-Half_Year</f>
        <v>2.4979801230952971E-2</v>
      </c>
      <c r="K111" s="530">
        <f>NPV(realdiscrt1,K$13:K31)/(1+realdiscrt1)^-Half_Year</f>
        <v>1.4563648879401259E-2</v>
      </c>
      <c r="L111" s="1139">
        <f>NPV(realdiscrt1,L$13:L31)/(1+realdiscrt1)^-Half_Year</f>
        <v>1029.6060185274621</v>
      </c>
      <c r="M111" s="532">
        <f>NPV(realdiscrt1,M$13:M31)/(1+realdiscrt1)^-Half_Year</f>
        <v>331.21607572850706</v>
      </c>
      <c r="N111" s="532">
        <f>NPV(realdiscrt1,N$13:N31)/(1+realdiscrt1)^-Half_Year</f>
        <v>331.21607572850706</v>
      </c>
      <c r="O111" s="534">
        <f>NPV(realdiscrt1,O$13:O31)/(1+realdiscrt1)^-Half_Year</f>
        <v>0</v>
      </c>
      <c r="P111" s="637">
        <f t="shared" si="90"/>
        <v>0</v>
      </c>
      <c r="Q111" s="637">
        <f t="shared" si="90"/>
        <v>0</v>
      </c>
      <c r="R111" s="1134">
        <f t="shared" si="91"/>
        <v>0</v>
      </c>
      <c r="S111" s="519">
        <f>NPV(realdiscrt1,S$13:S31)/(1+realdiscrt1)^-Half_Year</f>
        <v>0</v>
      </c>
      <c r="T111" s="519">
        <f>NPV(realdiscrt1,T$13:T31)/(1+realdiscrt1)^-Half_Year</f>
        <v>0</v>
      </c>
      <c r="U111" s="533">
        <f>NPV(realdiscrt1,U$13:U31)/(1+realdiscrt1)^-Half_Year</f>
        <v>0</v>
      </c>
      <c r="V111" s="531">
        <f>NPV(realdiscrt1,V$13:V31)/(1+realdiscrt1)^-Half_Year</f>
        <v>1690.1672091569476</v>
      </c>
      <c r="W111" s="532">
        <f>NPV(realdiscrt1,W$13:W31)/(1+realdiscrt1)^-Half_Year</f>
        <v>0</v>
      </c>
      <c r="X111" s="534">
        <f>NPV(realdiscrt1,X$13:X31)/(1+realdiscrt1)^-Half_Year</f>
        <v>2054.8660644891156</v>
      </c>
      <c r="Y111" s="531">
        <f>NPV(realdiscrt1,Y$13:Y31)/(1+realdiscrt1)^-Half_Year</f>
        <v>115.83193008410696</v>
      </c>
      <c r="Z111" s="532">
        <f>NPV(realdiscrt1,Z$13:Z31)/(1+realdiscrt1)^-Half_Year</f>
        <v>133.17849457344195</v>
      </c>
      <c r="AA111" s="532">
        <f>NPV(realdiscrt1,AA$13:AA31)/(1+realdiscrt1)^-Half_Year</f>
        <v>180.91478659740645</v>
      </c>
      <c r="AB111" s="532">
        <f>NPV(realdiscrt1,AB$13:AB31)/(1+realdiscrt1)^-Half_Year</f>
        <v>164.22499284737333</v>
      </c>
      <c r="AC111" s="532">
        <f>NPV(realdiscrt1,AC$13:AC31)/(1+realdiscrt1)^-Half_Year</f>
        <v>131.35530039344863</v>
      </c>
      <c r="AD111" s="532">
        <f>NPV(realdiscrt1,AD$13:AD31)/(1+realdiscrt1)^-Half_Year</f>
        <v>169.65076740853686</v>
      </c>
      <c r="AE111" s="534">
        <f>NPV(realdiscrt1,AE$13:AE31)/(1+realdiscrt1)^-Half_Year</f>
        <v>159.29978206652555</v>
      </c>
      <c r="AF111" s="535">
        <f>NPV(realdiscrt1,AF$13:AF31)/(1+realdiscrt1)^-Half_Year</f>
        <v>4.4566740840199251E-2</v>
      </c>
      <c r="AG111" s="530">
        <f>NPV(realdiscrt1,AG$13:AG31)/(1+realdiscrt1)^-Half_Year</f>
        <v>1.880188164577087</v>
      </c>
      <c r="AH111" s="536">
        <f>NPV(realdiscrt1,AH$13:AH31)/(1+realdiscrt1)^-Half_Year</f>
        <v>1.880188164577087</v>
      </c>
      <c r="AI111" s="536">
        <f>NPV(realdiscrt1,AI$13:AI31)/(1+realdiscrt1)^-Half_Year</f>
        <v>3.4412606028212052</v>
      </c>
      <c r="AJ111" s="536">
        <f>NPV(realdiscrt1,AJ$13:AJ31)/(1+realdiscrt1)^-Half_Year</f>
        <v>2.9305393730252889</v>
      </c>
      <c r="AK111" s="536">
        <f>NPV(realdiscrt1,AK$13:AK31)/(1+realdiscrt1)^-Half_Year</f>
        <v>1.880188164577087</v>
      </c>
      <c r="AL111" s="536">
        <f>NPV(realdiscrt1,AL$13:AL31)/(1+realdiscrt1)^-Half_Year</f>
        <v>3.4412606028212052</v>
      </c>
      <c r="AM111" s="536">
        <f>NPV(realdiscrt1,AM$13:AM31)/(1+realdiscrt1)^-Half_Year</f>
        <v>3.0193491330254965</v>
      </c>
      <c r="AN111" s="518">
        <f>NPV(realdiscrt1,AN$13:AN31)/(1+realdiscrt1)^-Half_Year</f>
        <v>519.33966999059851</v>
      </c>
      <c r="AO111" s="519">
        <f>NPV(realdiscrt1,AO$13:AO31)/(1+realdiscrt1)^-Half_Year</f>
        <v>463.20644056018153</v>
      </c>
      <c r="AP111" s="505">
        <f>NPV(realdiscrt1,AP$13:AP31)/(1+realdiscrt1)^-Half_Year</f>
        <v>443.21277263157924</v>
      </c>
      <c r="AQ111" s="533">
        <f>NPV(realdiscrt1,AQ$13:AQ31)/(1+realdiscrt1)^-Half_Year</f>
        <v>0.27490973060636775</v>
      </c>
      <c r="AR111" s="519">
        <f>NPV(realdiscrt1,AR$13:AR31)/(1+realdiscrt1)^-Half_Year</f>
        <v>639.32246660208034</v>
      </c>
      <c r="AS111" s="534">
        <f>NPV(realdiscrt1,AS$13:AS31)/(1+realdiscrt1)^-Half_Year</f>
        <v>816.05263645683522</v>
      </c>
      <c r="AT111" s="518">
        <f>NPV(realdiscrt1,AT$13:AT31)/(1+realdiscrt1)^-Half_Year</f>
        <v>450.1288400774248</v>
      </c>
      <c r="AU111" s="532">
        <f>NPV(realdiscrt1,AU$13:AU31)/(1+realdiscrt1)^-Half_Year</f>
        <v>485.38596909696008</v>
      </c>
      <c r="AV111" s="531">
        <f>NPV(realdiscrt1,AV$13:AV31)/(1+realdiscrt1)^-Half_Year</f>
        <v>0.21588525920396756</v>
      </c>
      <c r="AW111" s="534">
        <f>NPV(realdiscrt1,AW$13:AW31)/(1+realdiscrt1)^-Half_Year</f>
        <v>0.21588525920396756</v>
      </c>
      <c r="AX111" s="523">
        <f>NPV(realdiscrt1,AX$13:AX31)/(1+realdiscrt1)^-Half_Year</f>
        <v>25.691144022405744</v>
      </c>
      <c r="AY111" s="537">
        <f>NPV(realdiscrt1,AY$13:AY31)/(1+realdiscrt1)^-Half_Year</f>
        <v>200.33949097336583</v>
      </c>
      <c r="AZ111" s="530">
        <f>NPV(realdiscrt1,AZ$13:AZ31)/(1+realdiscrt1)^-Half_Year</f>
        <v>0.598294918238235</v>
      </c>
      <c r="BA111" s="536">
        <f>NPV(realdiscrt1,BA$13:BA31)/(1+realdiscrt1)^-Half_Year</f>
        <v>0.63816975042629986</v>
      </c>
      <c r="BB111" s="536">
        <f>NPV(realdiscrt1,BB$13:BB31)/(1+realdiscrt1)^-Half_Year</f>
        <v>0.64201490057089805</v>
      </c>
      <c r="BC111" s="533">
        <f>NPV(realdiscrt1,BC$13:BC31)/(1+realdiscrt1)^-Half_Year</f>
        <v>0.71273394972023318</v>
      </c>
    </row>
    <row r="112" spans="1:55" s="324" customFormat="1" ht="14.25">
      <c r="A112" s="525">
        <f t="shared" si="93"/>
        <v>20</v>
      </c>
      <c r="B112" s="526">
        <f t="shared" si="92"/>
        <v>2043</v>
      </c>
      <c r="C112" s="527">
        <f>NPV(realdiscrt1,C$13:C32)/(1+realdiscrt1)^-Half_Year</f>
        <v>1.3550863422215644</v>
      </c>
      <c r="D112" s="528">
        <f>NPV(realdiscrt1,D$13:D32)/(1+realdiscrt1)^-Half_Year</f>
        <v>1.3399526314658163</v>
      </c>
      <c r="E112" s="528">
        <f>NPV(realdiscrt1,E$13:E32)/(1+realdiscrt1)^-Half_Year</f>
        <v>1.0241949002980169</v>
      </c>
      <c r="F112" s="529">
        <f>NPV(realdiscrt1,F$13:F32)/(1+realdiscrt1)^-Half_Year</f>
        <v>0.96491857570154538</v>
      </c>
      <c r="G112" s="527">
        <f>NPV(realdiscrt1,G$13:G32)/(1+realdiscrt1)^-Half_Year</f>
        <v>6.6790741351534857E-2</v>
      </c>
      <c r="H112" s="528">
        <f>NPV(realdiscrt1,H$13:H32)/(1+realdiscrt1)^-Half_Year</f>
        <v>5.8250728404755009E-2</v>
      </c>
      <c r="I112" s="528">
        <f>NPV(realdiscrt1,I$13:I32)/(1+realdiscrt1)^-Half_Year</f>
        <v>3.9501680708583946E-2</v>
      </c>
      <c r="J112" s="528">
        <f>NPV(realdiscrt1,J$13:J32)/(1+realdiscrt1)^-Half_Year</f>
        <v>2.4979801230952971E-2</v>
      </c>
      <c r="K112" s="530">
        <f>NPV(realdiscrt1,K$13:K32)/(1+realdiscrt1)^-Half_Year</f>
        <v>1.4580260805226349E-2</v>
      </c>
      <c r="L112" s="1139">
        <f>NPV(realdiscrt1,L$13:L32)/(1+realdiscrt1)^-Half_Year</f>
        <v>1089.7185117521526</v>
      </c>
      <c r="M112" s="532">
        <f>NPV(realdiscrt1,M$13:M32)/(1+realdiscrt1)^-Half_Year</f>
        <v>331.21607572850706</v>
      </c>
      <c r="N112" s="532">
        <f>NPV(realdiscrt1,N$13:N32)/(1+realdiscrt1)^-Half_Year</f>
        <v>331.21607572850706</v>
      </c>
      <c r="O112" s="534">
        <f>NPV(realdiscrt1,O$13:O32)/(1+realdiscrt1)^-Half_Year</f>
        <v>0</v>
      </c>
      <c r="P112" s="637">
        <f t="shared" si="90"/>
        <v>0</v>
      </c>
      <c r="Q112" s="637">
        <f t="shared" si="90"/>
        <v>0</v>
      </c>
      <c r="R112" s="1134">
        <f t="shared" si="91"/>
        <v>0</v>
      </c>
      <c r="S112" s="519">
        <f>NPV(realdiscrt1,S$13:S32)/(1+realdiscrt1)^-Half_Year</f>
        <v>0</v>
      </c>
      <c r="T112" s="519">
        <f>NPV(realdiscrt1,T$13:T32)/(1+realdiscrt1)^-Half_Year</f>
        <v>0</v>
      </c>
      <c r="U112" s="533">
        <f>NPV(realdiscrt1,U$13:U32)/(1+realdiscrt1)^-Half_Year</f>
        <v>0</v>
      </c>
      <c r="V112" s="531">
        <f>NPV(realdiscrt1,V$13:V32)/(1+realdiscrt1)^-Half_Year</f>
        <v>1767.6385014740658</v>
      </c>
      <c r="W112" s="532">
        <f>NPV(realdiscrt1,W$13:W32)/(1+realdiscrt1)^-Half_Year</f>
        <v>0</v>
      </c>
      <c r="X112" s="534">
        <f>NPV(realdiscrt1,X$13:X32)/(1+realdiscrt1)^-Half_Year</f>
        <v>2149.0538635968542</v>
      </c>
      <c r="Y112" s="531">
        <f>NPV(realdiscrt1,Y$13:Y32)/(1+realdiscrt1)^-Half_Year</f>
        <v>121.62818396256445</v>
      </c>
      <c r="Z112" s="532">
        <f>NPV(realdiscrt1,Z$13:Z32)/(1+realdiscrt1)^-Half_Year</f>
        <v>139.7228212863904</v>
      </c>
      <c r="AA112" s="532">
        <f>NPV(realdiscrt1,AA$13:AA32)/(1+realdiscrt1)^-Half_Year</f>
        <v>189.54426250435068</v>
      </c>
      <c r="AB112" s="532">
        <f>NPV(realdiscrt1,AB$13:AB32)/(1+realdiscrt1)^-Half_Year</f>
        <v>172.12549826996781</v>
      </c>
      <c r="AC112" s="532">
        <f>NPV(realdiscrt1,AC$13:AC32)/(1+realdiscrt1)^-Half_Year</f>
        <v>137.81586690416009</v>
      </c>
      <c r="AD112" s="532">
        <f>NPV(realdiscrt1,AD$13:AD32)/(1+realdiscrt1)^-Half_Year</f>
        <v>177.79088037732689</v>
      </c>
      <c r="AE112" s="534">
        <f>NPV(realdiscrt1,AE$13:AE32)/(1+realdiscrt1)^-Half_Year</f>
        <v>166.98564389781737</v>
      </c>
      <c r="AF112" s="535">
        <f>NPV(realdiscrt1,AF$13:AF32)/(1+realdiscrt1)^-Half_Year</f>
        <v>4.6759876040828131E-2</v>
      </c>
      <c r="AG112" s="530">
        <f>NPV(realdiscrt1,AG$13:AG32)/(1+realdiscrt1)^-Half_Year</f>
        <v>1.880188164577087</v>
      </c>
      <c r="AH112" s="536">
        <f>NPV(realdiscrt1,AH$13:AH32)/(1+realdiscrt1)^-Half_Year</f>
        <v>1.880188164577087</v>
      </c>
      <c r="AI112" s="536">
        <f>NPV(realdiscrt1,AI$13:AI32)/(1+realdiscrt1)^-Half_Year</f>
        <v>3.4412606028212052</v>
      </c>
      <c r="AJ112" s="536">
        <f>NPV(realdiscrt1,AJ$13:AJ32)/(1+realdiscrt1)^-Half_Year</f>
        <v>2.9305393730252889</v>
      </c>
      <c r="AK112" s="536">
        <f>NPV(realdiscrt1,AK$13:AK32)/(1+realdiscrt1)^-Half_Year</f>
        <v>1.880188164577087</v>
      </c>
      <c r="AL112" s="536">
        <f>NPV(realdiscrt1,AL$13:AL32)/(1+realdiscrt1)^-Half_Year</f>
        <v>3.4412606028212052</v>
      </c>
      <c r="AM112" s="536">
        <f>NPV(realdiscrt1,AM$13:AM32)/(1+realdiscrt1)^-Half_Year</f>
        <v>3.0193491330254965</v>
      </c>
      <c r="AN112" s="518">
        <f>NPV(realdiscrt1,AN$13:AN32)/(1+realdiscrt1)^-Half_Year</f>
        <v>545.07699329400305</v>
      </c>
      <c r="AO112" s="519">
        <f>NPV(realdiscrt1,AO$13:AO32)/(1+realdiscrt1)^-Half_Year</f>
        <v>486.3386164036778</v>
      </c>
      <c r="AP112" s="505">
        <f>NPV(realdiscrt1,AP$13:AP32)/(1+realdiscrt1)^-Half_Year</f>
        <v>465.3706254989815</v>
      </c>
      <c r="AQ112" s="533">
        <f>NPV(realdiscrt1,AQ$13:AQ32)/(1+realdiscrt1)^-Half_Year</f>
        <v>0.28853313319694296</v>
      </c>
      <c r="AR112" s="519">
        <f>NPV(realdiscrt1,AR$13:AR32)/(1+realdiscrt1)^-Half_Year</f>
        <v>671.00587145032853</v>
      </c>
      <c r="AS112" s="534">
        <f>NPV(realdiscrt1,AS$13:AS32)/(1+realdiscrt1)^-Half_Year</f>
        <v>855.37417428720391</v>
      </c>
      <c r="AT112" s="518">
        <f>NPV(realdiscrt1,AT$13:AT32)/(1+realdiscrt1)^-Half_Year</f>
        <v>472.43622800615532</v>
      </c>
      <c r="AU112" s="532">
        <f>NPV(realdiscrt1,AU$13:AU32)/(1+realdiscrt1)^-Half_Year</f>
        <v>509.44062221793371</v>
      </c>
      <c r="AV112" s="531">
        <f>NPV(realdiscrt1,AV$13:AV32)/(1+realdiscrt1)^-Half_Year</f>
        <v>0.2257806766112723</v>
      </c>
      <c r="AW112" s="534">
        <f>NPV(realdiscrt1,AW$13:AW32)/(1+realdiscrt1)^-Half_Year</f>
        <v>0.2257806766112723</v>
      </c>
      <c r="AX112" s="523">
        <f>NPV(realdiscrt1,AX$13:AX32)/(1+realdiscrt1)^-Half_Year</f>
        <v>26.868735279494295</v>
      </c>
      <c r="AY112" s="537">
        <f>NPV(realdiscrt1,AY$13:AY32)/(1+realdiscrt1)^-Half_Year</f>
        <v>211.14036560600184</v>
      </c>
      <c r="AZ112" s="530">
        <f>NPV(realdiscrt1,AZ$13:AZ32)/(1+realdiscrt1)^-Half_Year</f>
        <v>0.60941104230373444</v>
      </c>
      <c r="BA112" s="536">
        <f>NPV(realdiscrt1,BA$13:BA32)/(1+realdiscrt1)^-Half_Year</f>
        <v>0.64836877251980196</v>
      </c>
      <c r="BB112" s="536">
        <f>NPV(realdiscrt1,BB$13:BB32)/(1+realdiscrt1)^-Half_Year</f>
        <v>0.6536478297063858</v>
      </c>
      <c r="BC112" s="533">
        <f>NPV(realdiscrt1,BC$13:BC32)/(1+realdiscrt1)^-Half_Year</f>
        <v>0.7246104799750438</v>
      </c>
    </row>
    <row r="113" spans="1:55" s="324" customFormat="1" ht="14.25">
      <c r="A113" s="525">
        <f t="shared" si="93"/>
        <v>21</v>
      </c>
      <c r="B113" s="526">
        <f t="shared" si="92"/>
        <v>2044</v>
      </c>
      <c r="C113" s="527">
        <f>NPV(realdiscrt1,C$13:C33)/(1+realdiscrt1)^-Half_Year</f>
        <v>1.417203589665164</v>
      </c>
      <c r="D113" s="528">
        <f>NPV(realdiscrt1,D$13:D33)/(1+realdiscrt1)^-Half_Year</f>
        <v>1.402347480311037</v>
      </c>
      <c r="E113" s="528">
        <f>NPV(realdiscrt1,E$13:E33)/(1+realdiscrt1)^-Half_Year</f>
        <v>1.0739696295795569</v>
      </c>
      <c r="F113" s="529">
        <f>NPV(realdiscrt1,F$13:F33)/(1+realdiscrt1)^-Half_Year</f>
        <v>1.0123473420201439</v>
      </c>
      <c r="G113" s="527">
        <f>NPV(realdiscrt1,G$13:G33)/(1+realdiscrt1)^-Half_Year</f>
        <v>6.6790741351534857E-2</v>
      </c>
      <c r="H113" s="528">
        <f>NPV(realdiscrt1,H$13:H33)/(1+realdiscrt1)^-Half_Year</f>
        <v>5.8250728404755009E-2</v>
      </c>
      <c r="I113" s="528">
        <f>NPV(realdiscrt1,I$13:I33)/(1+realdiscrt1)^-Half_Year</f>
        <v>3.9501680708583946E-2</v>
      </c>
      <c r="J113" s="528">
        <f>NPV(realdiscrt1,J$13:J33)/(1+realdiscrt1)^-Half_Year</f>
        <v>2.4979801230952971E-2</v>
      </c>
      <c r="K113" s="530">
        <f>NPV(realdiscrt1,K$13:K33)/(1+realdiscrt1)^-Half_Year</f>
        <v>1.459669069845237E-2</v>
      </c>
      <c r="L113" s="1139">
        <f>NPV(realdiscrt1,L$13:L33)/(1+realdiscrt1)^-Half_Year</f>
        <v>1150.8775698961119</v>
      </c>
      <c r="M113" s="532">
        <f>NPV(realdiscrt1,M$13:M33)/(1+realdiscrt1)^-Half_Year</f>
        <v>331.21607572850706</v>
      </c>
      <c r="N113" s="532">
        <f>NPV(realdiscrt1,N$13:N33)/(1+realdiscrt1)^-Half_Year</f>
        <v>331.21607572850706</v>
      </c>
      <c r="O113" s="534">
        <f>NPV(realdiscrt1,O$13:O33)/(1+realdiscrt1)^-Half_Year</f>
        <v>0</v>
      </c>
      <c r="P113" s="637">
        <f t="shared" si="90"/>
        <v>0</v>
      </c>
      <c r="Q113" s="637">
        <f t="shared" si="90"/>
        <v>0</v>
      </c>
      <c r="R113" s="1134">
        <f t="shared" si="91"/>
        <v>0</v>
      </c>
      <c r="S113" s="519">
        <f>NPV(realdiscrt1,S$13:S33)/(1+realdiscrt1)^-Half_Year</f>
        <v>0</v>
      </c>
      <c r="T113" s="519">
        <f>NPV(realdiscrt1,T$13:T33)/(1+realdiscrt1)^-Half_Year</f>
        <v>0</v>
      </c>
      <c r="U113" s="533">
        <f>NPV(realdiscrt1,U$13:U33)/(1+realdiscrt1)^-Half_Year</f>
        <v>0</v>
      </c>
      <c r="V113" s="531">
        <f>NPV(realdiscrt1,V$13:V33)/(1+realdiscrt1)^-Half_Year</f>
        <v>1844.0672566787957</v>
      </c>
      <c r="W113" s="532">
        <f>NPV(realdiscrt1,W$13:W33)/(1+realdiscrt1)^-Half_Year</f>
        <v>0</v>
      </c>
      <c r="X113" s="534">
        <f>NPV(realdiscrt1,X$13:X33)/(1+realdiscrt1)^-Half_Year</f>
        <v>2241.9741702804054</v>
      </c>
      <c r="Y113" s="531">
        <f>NPV(realdiscrt1,Y$13:Y33)/(1+realdiscrt1)^-Half_Year</f>
        <v>127.39029131348005</v>
      </c>
      <c r="Z113" s="532">
        <f>NPV(realdiscrt1,Z$13:Z33)/(1+realdiscrt1)^-Half_Year</f>
        <v>146.2178785518401</v>
      </c>
      <c r="AA113" s="532">
        <f>NPV(realdiscrt1,AA$13:AA33)/(1+realdiscrt1)^-Half_Year</f>
        <v>198.08574839343885</v>
      </c>
      <c r="AB113" s="532">
        <f>NPV(realdiscrt1,AB$13:AB33)/(1+realdiscrt1)^-Half_Year</f>
        <v>179.95148071282227</v>
      </c>
      <c r="AC113" s="532">
        <f>NPV(realdiscrt1,AC$13:AC33)/(1+realdiscrt1)^-Half_Year</f>
        <v>144.22828711996917</v>
      </c>
      <c r="AD113" s="532">
        <f>NPV(realdiscrt1,AD$13:AD33)/(1+realdiscrt1)^-Half_Year</f>
        <v>185.85232844510668</v>
      </c>
      <c r="AE113" s="534">
        <f>NPV(realdiscrt1,AE$13:AE33)/(1+realdiscrt1)^-Half_Year</f>
        <v>174.60102258679495</v>
      </c>
      <c r="AF113" s="535">
        <f>NPV(realdiscrt1,AF$13:AF33)/(1+realdiscrt1)^-Half_Year</f>
        <v>4.892851864681215E-2</v>
      </c>
      <c r="AG113" s="530">
        <f>NPV(realdiscrt1,AG$13:AG33)/(1+realdiscrt1)^-Half_Year</f>
        <v>1.880188164577087</v>
      </c>
      <c r="AH113" s="536">
        <f>NPV(realdiscrt1,AH$13:AH33)/(1+realdiscrt1)^-Half_Year</f>
        <v>1.880188164577087</v>
      </c>
      <c r="AI113" s="536">
        <f>NPV(realdiscrt1,AI$13:AI33)/(1+realdiscrt1)^-Half_Year</f>
        <v>3.4412606028212052</v>
      </c>
      <c r="AJ113" s="536">
        <f>NPV(realdiscrt1,AJ$13:AJ33)/(1+realdiscrt1)^-Half_Year</f>
        <v>2.9305393730252889</v>
      </c>
      <c r="AK113" s="536">
        <f>NPV(realdiscrt1,AK$13:AK33)/(1+realdiscrt1)^-Half_Year</f>
        <v>1.880188164577087</v>
      </c>
      <c r="AL113" s="536">
        <f>NPV(realdiscrt1,AL$13:AL33)/(1+realdiscrt1)^-Half_Year</f>
        <v>3.4412606028212052</v>
      </c>
      <c r="AM113" s="536">
        <f>NPV(realdiscrt1,AM$13:AM33)/(1+realdiscrt1)^-Half_Year</f>
        <v>3.0193491330254965</v>
      </c>
      <c r="AN113" s="518">
        <f>NPV(realdiscrt1,AN$13:AN33)/(1+realdiscrt1)^-Half_Year</f>
        <v>570.63177150705042</v>
      </c>
      <c r="AO113" s="519">
        <f>NPV(realdiscrt1,AO$13:AO33)/(1+realdiscrt1)^-Half_Year</f>
        <v>509.33703241409057</v>
      </c>
      <c r="AP113" s="505">
        <f>NPV(realdiscrt1,AP$13:AP33)/(1+realdiscrt1)^-Half_Year</f>
        <v>487.40152919341347</v>
      </c>
      <c r="AQ113" s="533">
        <f>NPV(realdiscrt1,AQ$13:AQ33)/(1+realdiscrt1)^-Half_Year</f>
        <v>0.30205260056096978</v>
      </c>
      <c r="AR113" s="519">
        <f>NPV(realdiscrt1,AR$13:AR33)/(1+realdiscrt1)^-Half_Year</f>
        <v>702.46455790293544</v>
      </c>
      <c r="AS113" s="534">
        <f>NPV(realdiscrt1,AS$13:AS33)/(1+realdiscrt1)^-Half_Year</f>
        <v>894.32636831505442</v>
      </c>
      <c r="AT113" s="518">
        <f>NPV(realdiscrt1,AT$13:AT33)/(1+realdiscrt1)^-Half_Year</f>
        <v>494.58539807760985</v>
      </c>
      <c r="AU113" s="532">
        <f>NPV(realdiscrt1,AU$13:AU33)/(1+realdiscrt1)^-Half_Year</f>
        <v>533.32466479111588</v>
      </c>
      <c r="AV113" s="531">
        <f>NPV(realdiscrt1,AV$13:AV33)/(1+realdiscrt1)^-Half_Year</f>
        <v>0.23554293062887319</v>
      </c>
      <c r="AW113" s="534">
        <f>NPV(realdiscrt1,AW$13:AW33)/(1+realdiscrt1)^-Half_Year</f>
        <v>0.23554293062887319</v>
      </c>
      <c r="AX113" s="523">
        <f>NPV(realdiscrt1,AX$13:AX33)/(1+realdiscrt1)^-Half_Year</f>
        <v>28.030479600872603</v>
      </c>
      <c r="AY113" s="537">
        <f>NPV(realdiscrt1,AY$13:AY33)/(1+realdiscrt1)^-Half_Year</f>
        <v>221.79589204172532</v>
      </c>
      <c r="AZ113" s="530">
        <f>NPV(realdiscrt1,AZ$13:AZ33)/(1+realdiscrt1)^-Half_Year</f>
        <v>0.61950869255731156</v>
      </c>
      <c r="BA113" s="536">
        <f>NPV(realdiscrt1,BA$13:BA33)/(1+realdiscrt1)^-Half_Year</f>
        <v>0.65753537902108106</v>
      </c>
      <c r="BB113" s="536">
        <f>NPV(realdiscrt1,BB$13:BB33)/(1+realdiscrt1)^-Half_Year</f>
        <v>0.66414819164180383</v>
      </c>
      <c r="BC113" s="533">
        <f>NPV(realdiscrt1,BC$13:BC33)/(1+realdiscrt1)^-Half_Year</f>
        <v>0.73530311047860131</v>
      </c>
    </row>
    <row r="114" spans="1:55" s="324" customFormat="1" ht="14.25">
      <c r="A114" s="525">
        <f t="shared" si="93"/>
        <v>22</v>
      </c>
      <c r="B114" s="526">
        <f t="shared" si="92"/>
        <v>2045</v>
      </c>
      <c r="C114" s="527">
        <f>NPV(realdiscrt1,C$13:C34)/(1+realdiscrt1)^-Half_Year</f>
        <v>1.4790850104247444</v>
      </c>
      <c r="D114" s="528">
        <f>NPV(realdiscrt1,D$13:D34)/(1+realdiscrt1)^-Half_Year</f>
        <v>1.4645310727272756</v>
      </c>
      <c r="E114" s="528">
        <f>NPV(realdiscrt1,E$13:E34)/(1+realdiscrt1)^-Half_Year</f>
        <v>1.1238868930289061</v>
      </c>
      <c r="F114" s="529">
        <f>NPV(realdiscrt1,F$13:F34)/(1+realdiscrt1)^-Half_Year</f>
        <v>1.05993909529988</v>
      </c>
      <c r="G114" s="527">
        <f>NPV(realdiscrt1,G$13:G34)/(1+realdiscrt1)^-Half_Year</f>
        <v>6.6790741351534857E-2</v>
      </c>
      <c r="H114" s="528">
        <f>NPV(realdiscrt1,H$13:H34)/(1+realdiscrt1)^-Half_Year</f>
        <v>5.8250728404755009E-2</v>
      </c>
      <c r="I114" s="528">
        <f>NPV(realdiscrt1,I$13:I34)/(1+realdiscrt1)^-Half_Year</f>
        <v>3.9501680708583946E-2</v>
      </c>
      <c r="J114" s="528">
        <f>NPV(realdiscrt1,J$13:J34)/(1+realdiscrt1)^-Half_Year</f>
        <v>2.4979801230952971E-2</v>
      </c>
      <c r="K114" s="530">
        <f>NPV(realdiscrt1,K$13:K34)/(1+realdiscrt1)^-Half_Year</f>
        <v>1.4612940553782854E-2</v>
      </c>
      <c r="L114" s="1139">
        <f>NPV(realdiscrt1,L$13:L34)/(1+realdiscrt1)^-Half_Year</f>
        <v>1213.101413766221</v>
      </c>
      <c r="M114" s="532">
        <f>NPV(realdiscrt1,M$13:M34)/(1+realdiscrt1)^-Half_Year</f>
        <v>331.21607572850706</v>
      </c>
      <c r="N114" s="532">
        <f>NPV(realdiscrt1,N$13:N34)/(1+realdiscrt1)^-Half_Year</f>
        <v>331.21607572850706</v>
      </c>
      <c r="O114" s="534">
        <f>NPV(realdiscrt1,O$13:O34)/(1+realdiscrt1)^-Half_Year</f>
        <v>0</v>
      </c>
      <c r="P114" s="637">
        <f t="shared" si="90"/>
        <v>0</v>
      </c>
      <c r="Q114" s="637">
        <f t="shared" si="90"/>
        <v>0</v>
      </c>
      <c r="R114" s="1134">
        <f t="shared" si="91"/>
        <v>0</v>
      </c>
      <c r="S114" s="519">
        <f>NPV(realdiscrt1,S$13:S34)/(1+realdiscrt1)^-Half_Year</f>
        <v>0</v>
      </c>
      <c r="T114" s="519">
        <f>NPV(realdiscrt1,T$13:T34)/(1+realdiscrt1)^-Half_Year</f>
        <v>0</v>
      </c>
      <c r="U114" s="533">
        <f>NPV(realdiscrt1,U$13:U34)/(1+realdiscrt1)^-Half_Year</f>
        <v>0</v>
      </c>
      <c r="V114" s="531">
        <f>NPV(realdiscrt1,V$13:V34)/(1+realdiscrt1)^-Half_Year</f>
        <v>1919.4675042728818</v>
      </c>
      <c r="W114" s="532">
        <f>NPV(realdiscrt1,W$13:W34)/(1+realdiscrt1)^-Half_Year</f>
        <v>0</v>
      </c>
      <c r="X114" s="534">
        <f>NPV(realdiscrt1,X$13:X34)/(1+realdiscrt1)^-Half_Year</f>
        <v>2333.6440412823681</v>
      </c>
      <c r="Y114" s="531">
        <f>NPV(realdiscrt1,Y$13:Y34)/(1+realdiscrt1)^-Half_Year</f>
        <v>133.11845329873648</v>
      </c>
      <c r="Z114" s="532">
        <f>NPV(realdiscrt1,Z$13:Z34)/(1+realdiscrt1)^-Half_Year</f>
        <v>152.66403729846922</v>
      </c>
      <c r="AA114" s="532">
        <f>NPV(realdiscrt1,AA$13:AA34)/(1+realdiscrt1)^-Half_Year</f>
        <v>206.54014145047063</v>
      </c>
      <c r="AB114" s="532">
        <f>NPV(realdiscrt1,AB$13:AB34)/(1+realdiscrt1)^-Half_Year</f>
        <v>187.70364312773694</v>
      </c>
      <c r="AC114" s="532">
        <f>NPV(realdiscrt1,AC$13:AC34)/(1+realdiscrt1)^-Half_Year</f>
        <v>150.59291984311233</v>
      </c>
      <c r="AD114" s="532">
        <f>NPV(realdiscrt1,AD$13:AD34)/(1+realdiscrt1)^-Half_Year</f>
        <v>193.83587181835921</v>
      </c>
      <c r="AE114" s="534">
        <f>NPV(realdiscrt1,AE$13:AE34)/(1+realdiscrt1)^-Half_Year</f>
        <v>182.14656449862338</v>
      </c>
      <c r="AF114" s="535">
        <f>NPV(realdiscrt1,AF$13:AF34)/(1+realdiscrt1)^-Half_Year</f>
        <v>5.1072942187659329E-2</v>
      </c>
      <c r="AG114" s="530">
        <f>NPV(realdiscrt1,AG$13:AG34)/(1+realdiscrt1)^-Half_Year</f>
        <v>1.880188164577087</v>
      </c>
      <c r="AH114" s="536">
        <f>NPV(realdiscrt1,AH$13:AH34)/(1+realdiscrt1)^-Half_Year</f>
        <v>1.880188164577087</v>
      </c>
      <c r="AI114" s="536">
        <f>NPV(realdiscrt1,AI$13:AI34)/(1+realdiscrt1)^-Half_Year</f>
        <v>3.4412606028212052</v>
      </c>
      <c r="AJ114" s="536">
        <f>NPV(realdiscrt1,AJ$13:AJ34)/(1+realdiscrt1)^-Half_Year</f>
        <v>2.9305393730252889</v>
      </c>
      <c r="AK114" s="536">
        <f>NPV(realdiscrt1,AK$13:AK34)/(1+realdiscrt1)^-Half_Year</f>
        <v>1.880188164577087</v>
      </c>
      <c r="AL114" s="536">
        <f>NPV(realdiscrt1,AL$13:AL34)/(1+realdiscrt1)^-Half_Year</f>
        <v>3.4412606028212052</v>
      </c>
      <c r="AM114" s="536">
        <f>NPV(realdiscrt1,AM$13:AM34)/(1+realdiscrt1)^-Half_Year</f>
        <v>3.0193491330254965</v>
      </c>
      <c r="AN114" s="518">
        <f>NPV(realdiscrt1,AN$13:AN34)/(1+realdiscrt1)^-Half_Year</f>
        <v>596.00529935295708</v>
      </c>
      <c r="AO114" s="519">
        <f>NPV(realdiscrt1,AO$13:AO34)/(1+realdiscrt1)^-Half_Year</f>
        <v>532.20246204624175</v>
      </c>
      <c r="AP114" s="505">
        <f>NPV(realdiscrt1,AP$13:AP34)/(1+realdiscrt1)^-Half_Year</f>
        <v>509.3062110458406</v>
      </c>
      <c r="AQ114" s="533">
        <f>NPV(realdiscrt1,AQ$13:AQ34)/(1+realdiscrt1)^-Half_Year</f>
        <v>0.31546892563774848</v>
      </c>
      <c r="AR114" s="519">
        <f>NPV(realdiscrt1,AR$13:AR34)/(1+realdiscrt1)^-Half_Year</f>
        <v>733.70011980240542</v>
      </c>
      <c r="AS114" s="534">
        <f>NPV(realdiscrt1,AS$13:AS34)/(1+realdiscrt1)^-Half_Year</f>
        <v>932.91268775476635</v>
      </c>
      <c r="AT114" s="518">
        <f>NPV(realdiscrt1,AT$13:AT34)/(1+realdiscrt1)^-Half_Year</f>
        <v>516.57747247115083</v>
      </c>
      <c r="AU114" s="532">
        <f>NPV(realdiscrt1,AU$13:AU34)/(1+realdiscrt1)^-Half_Year</f>
        <v>557.03930689253116</v>
      </c>
      <c r="AV114" s="531">
        <f>NPV(realdiscrt1,AV$13:AV34)/(1+realdiscrt1)^-Half_Year</f>
        <v>0.24517381324670126</v>
      </c>
      <c r="AW114" s="534">
        <f>NPV(realdiscrt1,AW$13:AW34)/(1+realdiscrt1)^-Half_Year</f>
        <v>0.24517381324670126</v>
      </c>
      <c r="AX114" s="523">
        <f>NPV(realdiscrt1,AX$13:AX34)/(1+realdiscrt1)^-Half_Year</f>
        <v>29.176590239967858</v>
      </c>
      <c r="AY114" s="537">
        <f>NPV(realdiscrt1,AY$13:AY34)/(1+realdiscrt1)^-Half_Year</f>
        <v>232.30802624235096</v>
      </c>
      <c r="AZ114" s="530">
        <f>NPV(realdiscrt1,AZ$13:AZ34)/(1+realdiscrt1)^-Half_Year</f>
        <v>0.62868118290041786</v>
      </c>
      <c r="BA114" s="536">
        <f>NPV(realdiscrt1,BA$13:BA34)/(1+realdiscrt1)^-Half_Year</f>
        <v>0.66577407818056478</v>
      </c>
      <c r="BB114" s="536">
        <f>NPV(realdiscrt1,BB$13:BB34)/(1+realdiscrt1)^-Half_Year</f>
        <v>0.6736262516807342</v>
      </c>
      <c r="BC114" s="533">
        <f>NPV(realdiscrt1,BC$13:BC34)/(1+realdiscrt1)^-Half_Year</f>
        <v>0.74492985706473447</v>
      </c>
    </row>
    <row r="115" spans="1:55" s="324" customFormat="1" ht="14.25">
      <c r="A115" s="525">
        <f t="shared" si="93"/>
        <v>23</v>
      </c>
      <c r="B115" s="526">
        <f t="shared" si="92"/>
        <v>2046</v>
      </c>
      <c r="C115" s="527">
        <f>NPV(realdiscrt1,C$13:C35)/(1+realdiscrt1)^-Half_Year</f>
        <v>1.5407602675686796</v>
      </c>
      <c r="D115" s="528">
        <f>NPV(realdiscrt1,D$13:D35)/(1+realdiscrt1)^-Half_Year</f>
        <v>1.526533061518996</v>
      </c>
      <c r="E115" s="528">
        <f>NPV(realdiscrt1,E$13:E35)/(1+realdiscrt1)^-Half_Year</f>
        <v>1.1739789307470576</v>
      </c>
      <c r="F115" s="529">
        <f>NPV(realdiscrt1,F$13:F35)/(1+realdiscrt1)^-Half_Year</f>
        <v>1.1077265316636693</v>
      </c>
      <c r="G115" s="527">
        <f>NPV(realdiscrt1,G$13:G35)/(1+realdiscrt1)^-Half_Year</f>
        <v>6.6790741351534857E-2</v>
      </c>
      <c r="H115" s="528">
        <f>NPV(realdiscrt1,H$13:H35)/(1+realdiscrt1)^-Half_Year</f>
        <v>5.8250728404755009E-2</v>
      </c>
      <c r="I115" s="528">
        <f>NPV(realdiscrt1,I$13:I35)/(1+realdiscrt1)^-Half_Year</f>
        <v>3.9501680708583946E-2</v>
      </c>
      <c r="J115" s="528">
        <f>NPV(realdiscrt1,J$13:J35)/(1+realdiscrt1)^-Half_Year</f>
        <v>2.4979801230952971E-2</v>
      </c>
      <c r="K115" s="530">
        <f>NPV(realdiscrt1,K$13:K35)/(1+realdiscrt1)^-Half_Year</f>
        <v>1.4629012344063479E-2</v>
      </c>
      <c r="L115" s="1139">
        <f>NPV(realdiscrt1,L$13:L35)/(1+realdiscrt1)^-Half_Year</f>
        <v>1276.4085813955539</v>
      </c>
      <c r="M115" s="532">
        <f>NPV(realdiscrt1,M$13:M35)/(1+realdiscrt1)^-Half_Year</f>
        <v>331.21607572850706</v>
      </c>
      <c r="N115" s="532">
        <f>NPV(realdiscrt1,N$13:N35)/(1+realdiscrt1)^-Half_Year</f>
        <v>331.21607572850706</v>
      </c>
      <c r="O115" s="534">
        <f>NPV(realdiscrt1,O$13:O35)/(1+realdiscrt1)^-Half_Year</f>
        <v>0</v>
      </c>
      <c r="P115" s="637">
        <f t="shared" si="90"/>
        <v>0</v>
      </c>
      <c r="Q115" s="637">
        <f t="shared" si="90"/>
        <v>0</v>
      </c>
      <c r="R115" s="1134">
        <f t="shared" si="91"/>
        <v>0</v>
      </c>
      <c r="S115" s="519">
        <f>NPV(realdiscrt1,S$13:S35)/(1+realdiscrt1)^-Half_Year</f>
        <v>0</v>
      </c>
      <c r="T115" s="519">
        <f>NPV(realdiscrt1,T$13:T35)/(1+realdiscrt1)^-Half_Year</f>
        <v>0</v>
      </c>
      <c r="U115" s="533">
        <f>NPV(realdiscrt1,U$13:U35)/(1+realdiscrt1)^-Half_Year</f>
        <v>0</v>
      </c>
      <c r="V115" s="531">
        <f>NPV(realdiscrt1,V$13:V35)/(1+realdiscrt1)^-Half_Year</f>
        <v>1993.8530849619897</v>
      </c>
      <c r="W115" s="532">
        <f>NPV(realdiscrt1,W$13:W35)/(1+realdiscrt1)^-Half_Year</f>
        <v>0</v>
      </c>
      <c r="X115" s="534">
        <f>NPV(realdiscrt1,X$13:X35)/(1+realdiscrt1)^-Half_Year</f>
        <v>2424.0803038114504</v>
      </c>
      <c r="Y115" s="531">
        <f>NPV(realdiscrt1,Y$13:Y35)/(1+realdiscrt1)^-Half_Year</f>
        <v>138.81286989514425</v>
      </c>
      <c r="Z115" s="532">
        <f>NPV(realdiscrt1,Z$13:Z35)/(1+realdiscrt1)^-Half_Year</f>
        <v>159.06166566239185</v>
      </c>
      <c r="AA115" s="532">
        <f>NPV(realdiscrt1,AA$13:AA35)/(1+realdiscrt1)^-Half_Year</f>
        <v>214.90832971313574</v>
      </c>
      <c r="AB115" s="532">
        <f>NPV(realdiscrt1,AB$13:AB35)/(1+realdiscrt1)^-Half_Year</f>
        <v>195.38268183578901</v>
      </c>
      <c r="AC115" s="532">
        <f>NPV(realdiscrt1,AC$13:AC35)/(1+realdiscrt1)^-Half_Year</f>
        <v>156.9101212019122</v>
      </c>
      <c r="AD115" s="532">
        <f>NPV(realdiscrt1,AD$13:AD35)/(1+realdiscrt1)^-Half_Year</f>
        <v>201.74226335703946</v>
      </c>
      <c r="AE115" s="534">
        <f>NPV(realdiscrt1,AE$13:AE35)/(1+realdiscrt1)^-Half_Year</f>
        <v>189.62291007098031</v>
      </c>
      <c r="AF115" s="535">
        <f>NPV(realdiscrt1,AF$13:AF35)/(1+realdiscrt1)^-Half_Year</f>
        <v>5.3193417138142442E-2</v>
      </c>
      <c r="AG115" s="530">
        <f>NPV(realdiscrt1,AG$13:AG35)/(1+realdiscrt1)^-Half_Year</f>
        <v>1.880188164577087</v>
      </c>
      <c r="AH115" s="536">
        <f>NPV(realdiscrt1,AH$13:AH35)/(1+realdiscrt1)^-Half_Year</f>
        <v>1.880188164577087</v>
      </c>
      <c r="AI115" s="536">
        <f>NPV(realdiscrt1,AI$13:AI35)/(1+realdiscrt1)^-Half_Year</f>
        <v>3.4412606028212052</v>
      </c>
      <c r="AJ115" s="536">
        <f>NPV(realdiscrt1,AJ$13:AJ35)/(1+realdiscrt1)^-Half_Year</f>
        <v>2.9305393730252889</v>
      </c>
      <c r="AK115" s="536">
        <f>NPV(realdiscrt1,AK$13:AK35)/(1+realdiscrt1)^-Half_Year</f>
        <v>1.880188164577087</v>
      </c>
      <c r="AL115" s="536">
        <f>NPV(realdiscrt1,AL$13:AL35)/(1+realdiscrt1)^-Half_Year</f>
        <v>3.4412606028212052</v>
      </c>
      <c r="AM115" s="536">
        <f>NPV(realdiscrt1,AM$13:AM35)/(1+realdiscrt1)^-Half_Year</f>
        <v>3.0193491330254965</v>
      </c>
      <c r="AN115" s="518">
        <f>NPV(realdiscrt1,AN$13:AN35)/(1+realdiscrt1)^-Half_Year</f>
        <v>621.19886237195828</v>
      </c>
      <c r="AO115" s="519">
        <f>NPV(realdiscrt1,AO$13:AO35)/(1+realdiscrt1)^-Half_Year</f>
        <v>554.9356742825164</v>
      </c>
      <c r="AP115" s="505">
        <f>NPV(realdiscrt1,AP$13:AP35)/(1+realdiscrt1)^-Half_Year</f>
        <v>531.08539422012484</v>
      </c>
      <c r="AQ115" s="533">
        <f>NPV(realdiscrt1,AQ$13:AQ35)/(1+realdiscrt1)^-Half_Year</f>
        <v>0.32878289531711224</v>
      </c>
      <c r="AR115" s="519">
        <f>NPV(realdiscrt1,AR$13:AR35)/(1+realdiscrt1)^-Half_Year</f>
        <v>764.71413968672198</v>
      </c>
      <c r="AS115" s="534">
        <f>NPV(realdiscrt1,AS$13:AS35)/(1+realdiscrt1)^-Half_Year</f>
        <v>971.13656923468818</v>
      </c>
      <c r="AT115" s="518">
        <f>NPV(realdiscrt1,AT$13:AT35)/(1+realdiscrt1)^-Half_Year</f>
        <v>538.41356540694721</v>
      </c>
      <c r="AU115" s="532">
        <f>NPV(realdiscrt1,AU$13:AU35)/(1+realdiscrt1)^-Half_Year</f>
        <v>580.58575001559279</v>
      </c>
      <c r="AV115" s="531">
        <f>NPV(realdiscrt1,AV$13:AV35)/(1+realdiscrt1)^-Half_Year</f>
        <v>0.25467509233974184</v>
      </c>
      <c r="AW115" s="534">
        <f>NPV(realdiscrt1,AW$13:AW35)/(1+realdiscrt1)^-Half_Year</f>
        <v>0.25467509233974184</v>
      </c>
      <c r="AX115" s="523">
        <f>NPV(realdiscrt1,AX$13:AX35)/(1+realdiscrt1)^-Half_Year</f>
        <v>30.307277580439564</v>
      </c>
      <c r="AY115" s="537">
        <f>NPV(realdiscrt1,AY$13:AY35)/(1+realdiscrt1)^-Half_Year</f>
        <v>242.67869784816537</v>
      </c>
      <c r="AZ115" s="530">
        <f>NPV(realdiscrt1,AZ$13:AZ35)/(1+realdiscrt1)^-Half_Year</f>
        <v>0.63701327769292404</v>
      </c>
      <c r="BA115" s="536">
        <f>NPV(realdiscrt1,BA$13:BA35)/(1+realdiscrt1)^-Half_Year</f>
        <v>0.67317879920038881</v>
      </c>
      <c r="BB115" s="536">
        <f>NPV(realdiscrt1,BB$13:BB35)/(1+realdiscrt1)^-Half_Year</f>
        <v>0.68218153983690322</v>
      </c>
      <c r="BC115" s="533">
        <f>NPV(realdiscrt1,BC$13:BC35)/(1+realdiscrt1)^-Half_Year</f>
        <v>0.75359697127978131</v>
      </c>
    </row>
    <row r="116" spans="1:55" s="324" customFormat="1" ht="14.25">
      <c r="A116" s="525">
        <f t="shared" si="93"/>
        <v>24</v>
      </c>
      <c r="B116" s="526">
        <f t="shared" si="92"/>
        <v>2047</v>
      </c>
      <c r="C116" s="527">
        <f>NPV(realdiscrt1,C$13:C36)/(1+realdiscrt1)^-Half_Year</f>
        <v>1.6022548545541195</v>
      </c>
      <c r="D116" s="528">
        <f>NPV(realdiscrt1,D$13:D36)/(1+realdiscrt1)^-Half_Year</f>
        <v>1.5883789298836624</v>
      </c>
      <c r="E116" s="528">
        <f>NPV(realdiscrt1,E$13:E36)/(1+realdiscrt1)^-Half_Year</f>
        <v>1.2242738321692559</v>
      </c>
      <c r="F116" s="529">
        <f>NPV(realdiscrt1,F$13:F36)/(1+realdiscrt1)^-Half_Year</f>
        <v>1.1557382024003819</v>
      </c>
      <c r="G116" s="527">
        <f>NPV(realdiscrt1,G$13:G36)/(1+realdiscrt1)^-Half_Year</f>
        <v>6.6790741351534857E-2</v>
      </c>
      <c r="H116" s="528">
        <f>NPV(realdiscrt1,H$13:H36)/(1+realdiscrt1)^-Half_Year</f>
        <v>5.8250728404755009E-2</v>
      </c>
      <c r="I116" s="528">
        <f>NPV(realdiscrt1,I$13:I36)/(1+realdiscrt1)^-Half_Year</f>
        <v>3.9501680708583946E-2</v>
      </c>
      <c r="J116" s="528">
        <f>NPV(realdiscrt1,J$13:J36)/(1+realdiscrt1)^-Half_Year</f>
        <v>2.4979801230952971E-2</v>
      </c>
      <c r="K116" s="530">
        <f>NPV(realdiscrt1,K$13:K36)/(1+realdiscrt1)^-Half_Year</f>
        <v>1.4644908020521586E-2</v>
      </c>
      <c r="L116" s="1139">
        <f>NPV(realdiscrt1,L$13:L36)/(1+realdiscrt1)^-Half_Year</f>
        <v>1340.8179335663169</v>
      </c>
      <c r="M116" s="532">
        <f>NPV(realdiscrt1,M$13:M36)/(1+realdiscrt1)^-Half_Year</f>
        <v>331.21607572850706</v>
      </c>
      <c r="N116" s="532">
        <f>NPV(realdiscrt1,N$13:N36)/(1+realdiscrt1)^-Half_Year</f>
        <v>331.21607572850706</v>
      </c>
      <c r="O116" s="534">
        <f>NPV(realdiscrt1,O$13:O36)/(1+realdiscrt1)^-Half_Year</f>
        <v>0</v>
      </c>
      <c r="P116" s="637">
        <f t="shared" si="90"/>
        <v>0</v>
      </c>
      <c r="Q116" s="637">
        <f t="shared" si="90"/>
        <v>0</v>
      </c>
      <c r="R116" s="1134">
        <f t="shared" si="91"/>
        <v>0</v>
      </c>
      <c r="S116" s="519">
        <f>NPV(realdiscrt1,S$13:S36)/(1+realdiscrt1)^-Half_Year</f>
        <v>0</v>
      </c>
      <c r="T116" s="519">
        <f>NPV(realdiscrt1,T$13:T36)/(1+realdiscrt1)^-Half_Year</f>
        <v>0</v>
      </c>
      <c r="U116" s="533">
        <f>NPV(realdiscrt1,U$13:U36)/(1+realdiscrt1)^-Half_Year</f>
        <v>0</v>
      </c>
      <c r="V116" s="531">
        <f>NPV(realdiscrt1,V$13:V36)/(1+realdiscrt1)^-Half_Year</f>
        <v>2067.2376531963482</v>
      </c>
      <c r="W116" s="532">
        <f>NPV(realdiscrt1,W$13:W36)/(1+realdiscrt1)^-Half_Year</f>
        <v>0</v>
      </c>
      <c r="X116" s="534">
        <f>NPV(realdiscrt1,X$13:X36)/(1+realdiscrt1)^-Half_Year</f>
        <v>2513.299558631325</v>
      </c>
      <c r="Y116" s="531">
        <f>NPV(realdiscrt1,Y$13:Y36)/(1+realdiscrt1)^-Half_Year</f>
        <v>144.47373990142299</v>
      </c>
      <c r="Z116" s="532">
        <f>NPV(realdiscrt1,Z$13:Z36)/(1+realdiscrt1)^-Half_Year</f>
        <v>165.4111290081822</v>
      </c>
      <c r="AA116" s="532">
        <f>NPV(realdiscrt1,AA$13:AA36)/(1+realdiscrt1)^-Half_Year</f>
        <v>223.1911921642922</v>
      </c>
      <c r="AB116" s="532">
        <f>NPV(realdiscrt1,AB$13:AB36)/(1+realdiscrt1)^-Half_Year</f>
        <v>202.98928658987836</v>
      </c>
      <c r="AC116" s="532">
        <f>NPV(realdiscrt1,AC$13:AC36)/(1+realdiscrt1)^-Half_Year</f>
        <v>163.18024467070444</v>
      </c>
      <c r="AD116" s="532">
        <f>NPV(realdiscrt1,AD$13:AD36)/(1+realdiscrt1)^-Half_Year</f>
        <v>209.57224864557023</v>
      </c>
      <c r="AE116" s="534">
        <f>NPV(realdiscrt1,AE$13:AE36)/(1+realdiscrt1)^-Half_Year</f>
        <v>197.03069386841426</v>
      </c>
      <c r="AF116" s="535">
        <f>NPV(realdiscrt1,AF$13:AF36)/(1+realdiscrt1)^-Half_Year</f>
        <v>5.5290210952413862E-2</v>
      </c>
      <c r="AG116" s="530">
        <f>NPV(realdiscrt1,AG$13:AG36)/(1+realdiscrt1)^-Half_Year</f>
        <v>1.880188164577087</v>
      </c>
      <c r="AH116" s="536">
        <f>NPV(realdiscrt1,AH$13:AH36)/(1+realdiscrt1)^-Half_Year</f>
        <v>1.880188164577087</v>
      </c>
      <c r="AI116" s="536">
        <f>NPV(realdiscrt1,AI$13:AI36)/(1+realdiscrt1)^-Half_Year</f>
        <v>3.4412606028212052</v>
      </c>
      <c r="AJ116" s="536">
        <f>NPV(realdiscrt1,AJ$13:AJ36)/(1+realdiscrt1)^-Half_Year</f>
        <v>2.9305393730252889</v>
      </c>
      <c r="AK116" s="536">
        <f>NPV(realdiscrt1,AK$13:AK36)/(1+realdiscrt1)^-Half_Year</f>
        <v>1.880188164577087</v>
      </c>
      <c r="AL116" s="536">
        <f>NPV(realdiscrt1,AL$13:AL36)/(1+realdiscrt1)^-Half_Year</f>
        <v>3.4412606028212052</v>
      </c>
      <c r="AM116" s="536">
        <f>NPV(realdiscrt1,AM$13:AM36)/(1+realdiscrt1)^-Half_Year</f>
        <v>3.0193491330254965</v>
      </c>
      <c r="AN116" s="518">
        <f>NPV(realdiscrt1,AN$13:AN36)/(1+realdiscrt1)^-Half_Year</f>
        <v>646.21373698643868</v>
      </c>
      <c r="AO116" s="519">
        <f>NPV(realdiscrt1,AO$13:AO36)/(1+realdiscrt1)^-Half_Year</f>
        <v>577.53743365872526</v>
      </c>
      <c r="AP116" s="505">
        <f>NPV(realdiscrt1,AP$13:AP36)/(1+realdiscrt1)^-Half_Year</f>
        <v>552.7397977368995</v>
      </c>
      <c r="AQ116" s="533">
        <f>NPV(realdiscrt1,AQ$13:AQ36)/(1+realdiscrt1)^-Half_Year</f>
        <v>0.34199529048557953</v>
      </c>
      <c r="AR116" s="519">
        <f>NPV(realdiscrt1,AR$13:AR36)/(1+realdiscrt1)^-Half_Year</f>
        <v>795.50818886952527</v>
      </c>
      <c r="AS116" s="534">
        <f>NPV(realdiscrt1,AS$13:AS36)/(1+realdiscrt1)^-Half_Year</f>
        <v>1009.0014171032162</v>
      </c>
      <c r="AT116" s="518">
        <f>NPV(realdiscrt1,AT$13:AT36)/(1+realdiscrt1)^-Half_Year</f>
        <v>560.0947832024259</v>
      </c>
      <c r="AU116" s="532">
        <f>NPV(realdiscrt1,AU$13:AU36)/(1+realdiscrt1)^-Half_Year</f>
        <v>603.96518713197611</v>
      </c>
      <c r="AV116" s="531">
        <f>NPV(realdiscrt1,AV$13:AV36)/(1+realdiscrt1)^-Half_Year</f>
        <v>0.26404851199255125</v>
      </c>
      <c r="AW116" s="534">
        <f>NPV(realdiscrt1,AW$13:AW36)/(1+realdiscrt1)^-Half_Year</f>
        <v>0.26404851199255125</v>
      </c>
      <c r="AX116" s="523">
        <f>NPV(realdiscrt1,AX$13:AX36)/(1+realdiscrt1)^-Half_Year</f>
        <v>31.422749174798188</v>
      </c>
      <c r="AY116" s="537">
        <f>NPV(realdiscrt1,AY$13:AY36)/(1+realdiscrt1)^-Half_Year</f>
        <v>252.90981053213818</v>
      </c>
      <c r="AZ116" s="530">
        <f>NPV(realdiscrt1,AZ$13:AZ36)/(1+realdiscrt1)^-Half_Year</f>
        <v>0.64458197507329074</v>
      </c>
      <c r="BA116" s="536">
        <f>NPV(realdiscrt1,BA$13:BA36)/(1+realdiscrt1)^-Half_Year</f>
        <v>0.6798339631188709</v>
      </c>
      <c r="BB116" s="536">
        <f>NPV(realdiscrt1,BB$13:BB36)/(1+realdiscrt1)^-Half_Year</f>
        <v>0.68990389600836144</v>
      </c>
      <c r="BC116" s="533">
        <f>NPV(realdiscrt1,BC$13:BC36)/(1+realdiscrt1)^-Half_Year</f>
        <v>0.76140011309353528</v>
      </c>
    </row>
    <row r="117" spans="1:55" s="324" customFormat="1" ht="14.25">
      <c r="A117" s="538">
        <f t="shared" si="93"/>
        <v>25</v>
      </c>
      <c r="B117" s="539">
        <f t="shared" si="92"/>
        <v>2048</v>
      </c>
      <c r="C117" s="540">
        <f>NPV(realdiscrt1,C$13:C37)/(1+realdiscrt1)^-Half_Year</f>
        <v>1.6635906815332173</v>
      </c>
      <c r="D117" s="541">
        <f>NPV(realdiscrt1,D$13:D37)/(1+realdiscrt1)^-Half_Year</f>
        <v>1.6500905777179644</v>
      </c>
      <c r="E117" s="541">
        <f>NPV(realdiscrt1,E$13:E37)/(1+realdiscrt1)^-Half_Year</f>
        <v>1.2747961225098878</v>
      </c>
      <c r="F117" s="542">
        <f>NPV(realdiscrt1,F$13:F37)/(1+realdiscrt1)^-Half_Year</f>
        <v>1.2039991004727262</v>
      </c>
      <c r="G117" s="540">
        <f>NPV(realdiscrt1,G$13:G37)/(1+realdiscrt1)^-Half_Year</f>
        <v>6.6790741351534857E-2</v>
      </c>
      <c r="H117" s="541">
        <f>NPV(realdiscrt1,H$13:H37)/(1+realdiscrt1)^-Half_Year</f>
        <v>5.8250728404755009E-2</v>
      </c>
      <c r="I117" s="541">
        <f>NPV(realdiscrt1,I$13:I37)/(1+realdiscrt1)^-Half_Year</f>
        <v>3.9501680708583946E-2</v>
      </c>
      <c r="J117" s="541">
        <f>NPV(realdiscrt1,J$13:J37)/(1+realdiscrt1)^-Half_Year</f>
        <v>2.4979801230952971E-2</v>
      </c>
      <c r="K117" s="543">
        <f>NPV(realdiscrt1,K$13:K37)/(1+realdiscrt1)^-Half_Year</f>
        <v>1.4660629513003065E-2</v>
      </c>
      <c r="L117" s="544">
        <f>NPV(realdiscrt1,L$13:L37)/(1+realdiscrt1)^-Half_Year</f>
        <v>1406.348659428947</v>
      </c>
      <c r="M117" s="545">
        <f>NPV(realdiscrt1,M$13:M37)/(1+realdiscrt1)^-Half_Year</f>
        <v>331.21607572850706</v>
      </c>
      <c r="N117" s="545">
        <f>NPV(realdiscrt1,N$13:N37)/(1+realdiscrt1)^-Half_Year</f>
        <v>331.21607572850706</v>
      </c>
      <c r="O117" s="547">
        <f>NPV(realdiscrt1,O$13:O37)/(1+realdiscrt1)^-Half_Year</f>
        <v>0</v>
      </c>
      <c r="P117" s="638">
        <f t="shared" si="90"/>
        <v>0</v>
      </c>
      <c r="Q117" s="638">
        <f t="shared" si="90"/>
        <v>0</v>
      </c>
      <c r="R117" s="1135">
        <f t="shared" si="91"/>
        <v>0</v>
      </c>
      <c r="S117" s="551">
        <f>NPV(realdiscrt1,S$13:S37)/(1+realdiscrt1)^-Half_Year</f>
        <v>0</v>
      </c>
      <c r="T117" s="551">
        <f>NPV(realdiscrt1,T$13:T37)/(1+realdiscrt1)^-Half_Year</f>
        <v>0</v>
      </c>
      <c r="U117" s="546">
        <f>NPV(realdiscrt1,U$13:U37)/(1+realdiscrt1)^-Half_Year</f>
        <v>0</v>
      </c>
      <c r="V117" s="544">
        <f>NPV(realdiscrt1,V$13:V37)/(1+realdiscrt1)^-Half_Year</f>
        <v>2139.6346796772054</v>
      </c>
      <c r="W117" s="545">
        <f>NPV(realdiscrt1,W$13:W37)/(1+realdiscrt1)^-Half_Year</f>
        <v>0</v>
      </c>
      <c r="X117" s="547">
        <f>NPV(realdiscrt1,X$13:X37)/(1+realdiscrt1)^-Half_Year</f>
        <v>2601.3181831079155</v>
      </c>
      <c r="Y117" s="544">
        <f>NPV(realdiscrt1,Y$13:Y37)/(1+realdiscrt1)^-Half_Year</f>
        <v>150.1012609451418</v>
      </c>
      <c r="Z117" s="545">
        <f>NPV(realdiscrt1,Z$13:Z37)/(1+realdiscrt1)^-Half_Year</f>
        <v>171.71278994974026</v>
      </c>
      <c r="AA117" s="545">
        <f>NPV(realdiscrt1,AA$13:AA37)/(1+realdiscrt1)^-Half_Year</f>
        <v>231.38959882429342</v>
      </c>
      <c r="AB117" s="545">
        <f>NPV(realdiscrt1,AB$13:AB37)/(1+realdiscrt1)^-Half_Year</f>
        <v>210.5241406366828</v>
      </c>
      <c r="AC117" s="545">
        <f>NPV(realdiscrt1,AC$13:AC37)/(1+realdiscrt1)^-Half_Year</f>
        <v>169.40364108961609</v>
      </c>
      <c r="AD117" s="545">
        <f>NPV(realdiscrt1,AD$13:AD37)/(1+realdiscrt1)^-Half_Year</f>
        <v>217.32656606315186</v>
      </c>
      <c r="AE117" s="547">
        <f>NPV(realdiscrt1,AE$13:AE37)/(1+realdiscrt1)^-Half_Year</f>
        <v>204.37054463620387</v>
      </c>
      <c r="AF117" s="548">
        <f>NPV(realdiscrt1,AF$13:AF37)/(1+realdiscrt1)^-Half_Year</f>
        <v>5.7363588097739351E-2</v>
      </c>
      <c r="AG117" s="543">
        <f>NPV(realdiscrt1,AG$13:AG37)/(1+realdiscrt1)^-Half_Year</f>
        <v>1.880188164577087</v>
      </c>
      <c r="AH117" s="549">
        <f>NPV(realdiscrt1,AH$13:AH37)/(1+realdiscrt1)^-Half_Year</f>
        <v>1.880188164577087</v>
      </c>
      <c r="AI117" s="549">
        <f>NPV(realdiscrt1,AI$13:AI37)/(1+realdiscrt1)^-Half_Year</f>
        <v>3.4412606028212052</v>
      </c>
      <c r="AJ117" s="549">
        <f>NPV(realdiscrt1,AJ$13:AJ37)/(1+realdiscrt1)^-Half_Year</f>
        <v>2.9305393730252889</v>
      </c>
      <c r="AK117" s="549">
        <f>NPV(realdiscrt1,AK$13:AK37)/(1+realdiscrt1)^-Half_Year</f>
        <v>1.880188164577087</v>
      </c>
      <c r="AL117" s="549">
        <f>NPV(realdiscrt1,AL$13:AL37)/(1+realdiscrt1)^-Half_Year</f>
        <v>3.4412606028212052</v>
      </c>
      <c r="AM117" s="549">
        <f>NPV(realdiscrt1,AM$13:AM37)/(1+realdiscrt1)^-Half_Year</f>
        <v>3.0193491330254965</v>
      </c>
      <c r="AN117" s="550">
        <f>NPV(realdiscrt1,AN$13:AN37)/(1+realdiscrt1)^-Half_Year</f>
        <v>671.05119056560216</v>
      </c>
      <c r="AO117" s="551">
        <f>NPV(realdiscrt1,AO$13:AO37)/(1+realdiscrt1)^-Half_Year</f>
        <v>600.00850028981529</v>
      </c>
      <c r="AP117" s="505">
        <f>NPV(realdiscrt1,AP$13:AP37)/(1+realdiscrt1)^-Half_Year</f>
        <v>574.27013649730679</v>
      </c>
      <c r="AQ117" s="546">
        <f>NPV(realdiscrt1,AQ$13:AQ37)/(1+realdiscrt1)^-Half_Year</f>
        <v>0.35510688607215446</v>
      </c>
      <c r="AR117" s="551">
        <f>NPV(realdiscrt1,AR$13:AR37)/(1+realdiscrt1)^-Half_Year</f>
        <v>826.08382751972306</v>
      </c>
      <c r="AS117" s="547">
        <f>NPV(realdiscrt1,AS$13:AS37)/(1+realdiscrt1)^-Half_Year</f>
        <v>1046.5106037319968</v>
      </c>
      <c r="AT117" s="550">
        <f>NPV(realdiscrt1,AT$13:AT37)/(1+realdiscrt1)^-Half_Year</f>
        <v>581.62222432832357</v>
      </c>
      <c r="AU117" s="545">
        <f>NPV(realdiscrt1,AU$13:AU37)/(1+realdiscrt1)^-Half_Year</f>
        <v>627.17880275206016</v>
      </c>
      <c r="AV117" s="544">
        <f>NPV(realdiscrt1,AV$13:AV37)/(1+realdiscrt1)^-Half_Year</f>
        <v>0.27329579281940636</v>
      </c>
      <c r="AW117" s="547">
        <f>NPV(realdiscrt1,AW$13:AW37)/(1+realdiscrt1)^-Half_Year</f>
        <v>0.27329579281940636</v>
      </c>
      <c r="AX117" s="552">
        <f>NPV(realdiscrt1,AX$13:AX37)/(1+realdiscrt1)^-Half_Year</f>
        <v>32.523209782504196</v>
      </c>
      <c r="AY117" s="553">
        <f>NPV(realdiscrt1,AY$13:AY37)/(1+realdiscrt1)^-Half_Year</f>
        <v>263.00324234936613</v>
      </c>
      <c r="AZ117" s="543">
        <f>NPV(realdiscrt1,AZ$13:AZ37)/(1+realdiscrt1)^-Half_Year</f>
        <v>0.65145721850992222</v>
      </c>
      <c r="BA117" s="549">
        <f>NPV(realdiscrt1,BA$13:BA37)/(1+realdiscrt1)^-Half_Year</f>
        <v>0.68581544529264749</v>
      </c>
      <c r="BB117" s="549">
        <f>NPV(realdiscrt1,BB$13:BB37)/(1+realdiscrt1)^-Half_Year</f>
        <v>0.69687441339483402</v>
      </c>
      <c r="BC117" s="546">
        <f>NPV(realdiscrt1,BC$13:BC37)/(1+realdiscrt1)^-Half_Year</f>
        <v>0.76842540670970172</v>
      </c>
    </row>
    <row r="118" spans="1:55" ht="20.25">
      <c r="A118" s="1589" t="str">
        <f>Year2&amp;", "&amp;Year1&amp;"$"</f>
        <v>2025, 2024$</v>
      </c>
      <c r="B118" s="1590"/>
      <c r="C118" s="496"/>
      <c r="D118" s="496"/>
      <c r="E118" s="496"/>
      <c r="F118" s="496"/>
      <c r="G118" s="496"/>
      <c r="H118" s="496"/>
      <c r="I118" s="496"/>
      <c r="J118" s="496"/>
      <c r="K118" s="496"/>
      <c r="L118" s="1140"/>
      <c r="M118" s="1140"/>
      <c r="N118" s="1123"/>
      <c r="O118" s="496"/>
      <c r="P118" s="1123"/>
      <c r="Q118" s="1123"/>
      <c r="R118" s="496"/>
      <c r="S118" s="1123"/>
      <c r="T118" s="1123"/>
      <c r="U118" s="496"/>
      <c r="V118" s="1466"/>
      <c r="W118" s="496"/>
      <c r="X118" s="496"/>
      <c r="Y118" s="496"/>
      <c r="Z118" s="496"/>
      <c r="AA118" s="496"/>
      <c r="AB118" s="496"/>
      <c r="AC118" s="496"/>
      <c r="AD118" s="496"/>
      <c r="AE118" s="496"/>
      <c r="AF118" s="496"/>
      <c r="AG118" s="496"/>
      <c r="AH118" s="496"/>
      <c r="AI118" s="496"/>
      <c r="AJ118" s="496"/>
      <c r="AK118" s="496"/>
      <c r="AL118" s="496"/>
      <c r="AM118" s="496"/>
      <c r="AN118" s="496"/>
      <c r="AO118" s="496"/>
      <c r="AP118" s="496"/>
      <c r="AQ118" s="496"/>
      <c r="AR118" s="496"/>
      <c r="AS118" s="496"/>
      <c r="AT118" s="496"/>
      <c r="AU118" s="496"/>
      <c r="AV118" s="496"/>
      <c r="AW118" s="496"/>
      <c r="AX118" s="496"/>
      <c r="AY118" s="496"/>
      <c r="AZ118" s="496"/>
      <c r="BA118" s="496"/>
      <c r="BB118" s="496"/>
      <c r="BC118" s="497"/>
    </row>
    <row r="119" spans="1:55" s="324" customFormat="1" ht="14.25">
      <c r="A119" s="511">
        <v>1</v>
      </c>
      <c r="B119" s="512">
        <f>Year2</f>
        <v>2025</v>
      </c>
      <c r="C119" s="513">
        <f>NPV(realdiscrt2,C39:C$39)/(1+realdiscrt2)^(1-Half_Year)</f>
        <v>7.7168430398957294E-2</v>
      </c>
      <c r="D119" s="514">
        <f>NPV(realdiscrt2,D39:D$39)/(1+realdiscrt2)^(1-Half_Year)</f>
        <v>7.5742382744241249E-2</v>
      </c>
      <c r="E119" s="514">
        <f>NPV(realdiscrt2,E39:E$39)/(1+realdiscrt2)^(1-Half_Year)</f>
        <v>5.457657285576021E-2</v>
      </c>
      <c r="F119" s="515">
        <f>NPV(realdiscrt2,F39:F$39)/(1+realdiscrt2)^(1-Half_Year)</f>
        <v>5.1961765967476536E-2</v>
      </c>
      <c r="G119" s="513">
        <f>NPV(realdiscrt2,G39:G$39)/(1+realdiscrt2)^(1-Half_Year)</f>
        <v>4.001183184587487E-3</v>
      </c>
      <c r="H119" s="514">
        <f>NPV(realdiscrt2,H39:H$39)/(1+realdiscrt2)^(1-Half_Year)</f>
        <v>3.1048411890131464E-3</v>
      </c>
      <c r="I119" s="514">
        <f>NPV(realdiscrt2,I39:I$39)/(1+realdiscrt2)^(1-Half_Year)</f>
        <v>2.7013219324094656E-3</v>
      </c>
      <c r="J119" s="514">
        <f>NPV(realdiscrt2,J39:J$39)/(1+realdiscrt2)^(1-Half_Year)</f>
        <v>1.5396211288208419E-3</v>
      </c>
      <c r="K119" s="516">
        <f>NPV(realdiscrt2,K39:K$39)/(1+realdiscrt2)^(1-Half_Year)</f>
        <v>1.545427862257286E-3</v>
      </c>
      <c r="L119" s="1138">
        <f>NPV(realdiscrt2,L39:L$39)/(1+realdiscrt2)^(1-Half_Year)</f>
        <v>47.337311808609194</v>
      </c>
      <c r="M119" s="519">
        <f>NPV(realdiscrt2,M39:M$39)/(1+realdiscrt2)^(1-Half_Year)</f>
        <v>0</v>
      </c>
      <c r="N119" s="519">
        <f>NPV(realdiscrt2,N39:N$39)/(1+realdiscrt2)^(1-Half_Year)</f>
        <v>0</v>
      </c>
      <c r="O119" s="1129">
        <f>NPV(realdiscrt2,O39:O$39)/(1+realdiscrt2)^(1-Half_Year)</f>
        <v>0</v>
      </c>
      <c r="P119" s="637">
        <f t="shared" ref="P119:R143" si="94">NPV(realdiscrt2,P39)/(1+realdiscrt2)^(1-Half_Year)</f>
        <v>16.721825850782199</v>
      </c>
      <c r="Q119" s="637">
        <f t="shared" si="94"/>
        <v>0</v>
      </c>
      <c r="R119" s="1133">
        <f t="shared" si="94"/>
        <v>0</v>
      </c>
      <c r="S119" s="519">
        <f>NPV(realdiscrt2,S39:S$39)/(1+realdiscrt2)^(1-Half_Year)</f>
        <v>0</v>
      </c>
      <c r="T119" s="519">
        <f>NPV(realdiscrt2,T39:T$39)/(1+realdiscrt2)^(1-Half_Year)</f>
        <v>0</v>
      </c>
      <c r="U119" s="520">
        <f>NPV(realdiscrt2,U39:U$39)/(1+realdiscrt2)^(1-Half_Year)</f>
        <v>0</v>
      </c>
      <c r="V119" s="518">
        <f>NPV(realdiscrt2,V39:V$39)/(1+realdiscrt2)^(1-Half_Year)</f>
        <v>105.09603285946946</v>
      </c>
      <c r="W119" s="519">
        <f>NPV(realdiscrt2,W39:W$39)/(1+realdiscrt2)^(1-Half_Year)</f>
        <v>0</v>
      </c>
      <c r="X119" s="521">
        <f>NPV(realdiscrt2,X39:X$39)/(1+realdiscrt2)^(1-Half_Year)</f>
        <v>127.77331749506391</v>
      </c>
      <c r="Y119" s="518">
        <f>NPV(realdiscrt2,Y39:Y$39)/(1+realdiscrt2)^(1-Half_Year)</f>
        <v>6.5197571898478914</v>
      </c>
      <c r="Z119" s="519">
        <f>NPV(realdiscrt2,Z39:Z$39)/(1+realdiscrt2)^(1-Half_Year)</f>
        <v>7.6403436161888916</v>
      </c>
      <c r="AA119" s="519">
        <f>NPV(realdiscrt2,AA39:AA$39)/(1+realdiscrt2)^(1-Half_Year)</f>
        <v>10.701398785246157</v>
      </c>
      <c r="AB119" s="519">
        <f>NPV(realdiscrt2,AB39:AB$39)/(1+realdiscrt2)^(1-Half_Year)</f>
        <v>9.6307704628792123</v>
      </c>
      <c r="AC119" s="519">
        <f>NPV(realdiscrt2,AC39:AC$39)/(1+realdiscrt2)^(1-Half_Year)</f>
        <v>7.5270333730793606</v>
      </c>
      <c r="AD119" s="519">
        <f>NPV(realdiscrt2,AD39:AD$39)/(1+realdiscrt2)^(1-Half_Year)</f>
        <v>9.9772367752962197</v>
      </c>
      <c r="AE119" s="521">
        <f>NPV(realdiscrt2,AE39:AE$39)/(1+realdiscrt2)^(1-Half_Year)</f>
        <v>9.3150196395619318</v>
      </c>
      <c r="AF119" s="522">
        <f>NPV(realdiscrt2,AF39:AF$39)/(1+realdiscrt2)^(1-Half_Year)</f>
        <v>1.2632268262575523E-3</v>
      </c>
      <c r="AG119" s="516">
        <f>NPV(realdiscrt2,AG39:AG$39)/(1+realdiscrt2)^(1-Half_Year)</f>
        <v>0.20298347284570084</v>
      </c>
      <c r="AH119" s="517">
        <f>NPV(realdiscrt2,AH39:AH$39)/(1+realdiscrt2)^(1-Half_Year)</f>
        <v>0.20298347284570084</v>
      </c>
      <c r="AI119" s="517">
        <f>NPV(realdiscrt2,AI39:AI$39)/(1+realdiscrt2)^(1-Half_Year)</f>
        <v>0.37511658745051962</v>
      </c>
      <c r="AJ119" s="517">
        <f>NPV(realdiscrt2,AJ39:AJ$39)/(1+realdiscrt2)^(1-Half_Year)</f>
        <v>0.31880143267239985</v>
      </c>
      <c r="AK119" s="517">
        <f>NPV(realdiscrt2,AK39:AK$39)/(1+realdiscrt2)^(1-Half_Year)</f>
        <v>0.20298347284570084</v>
      </c>
      <c r="AL119" s="517">
        <f>NPV(realdiscrt2,AL39:AL$39)/(1+realdiscrt2)^(1-Half_Year)</f>
        <v>0.37511658745051962</v>
      </c>
      <c r="AM119" s="517">
        <f>NPV(realdiscrt2,AM39:AM$39)/(1+realdiscrt2)^(1-Half_Year)</f>
        <v>0.32859412404381183</v>
      </c>
      <c r="AN119" s="518">
        <f>NPV(realdiscrt2,AN39:AN$39)/(1+realdiscrt2)^(1-Half_Year)</f>
        <v>29.30006696519332</v>
      </c>
      <c r="AO119" s="519">
        <f>NPV(realdiscrt2,AO39:AO$39)/(1+realdiscrt2)^(1-Half_Year)</f>
        <v>26.632165168116501</v>
      </c>
      <c r="AP119" s="505">
        <f>NPV(realdiscrt2,AP39:AP$39)/(1+realdiscrt2)^(1-Half_Year)</f>
        <v>25.424005709593853</v>
      </c>
      <c r="AQ119" s="520">
        <f>NPV(realdiscrt2,AQ39:AQ$39)/(1+realdiscrt2)^(1-Half_Year)</f>
        <v>1.5332473031809754E-2</v>
      </c>
      <c r="AR119" s="519">
        <f>NPV(realdiscrt2,AR39:AR$39)/(1+realdiscrt2)^(1-Half_Year)</f>
        <v>36.069247481388487</v>
      </c>
      <c r="AS119" s="521">
        <f>NPV(realdiscrt2,AS39:AS$39)/(1+realdiscrt2)^(1-Half_Year)</f>
        <v>47.753033082734653</v>
      </c>
      <c r="AT119" s="518">
        <f>NPV(realdiscrt2,AT39:AT$39)/(1+realdiscrt2)^(1-Half_Year)</f>
        <v>25.395335498773072</v>
      </c>
      <c r="AU119" s="519">
        <f>NPV(realdiscrt2,AU39:AU$39)/(1+realdiscrt2)^(1-Half_Year)</f>
        <v>27.384469587627759</v>
      </c>
      <c r="AV119" s="518">
        <f>NPV(realdiscrt2,AV39:AV$39)/(1+realdiscrt2)^(1-Half_Year)</f>
        <v>1.3423928811453122E-2</v>
      </c>
      <c r="AW119" s="521">
        <f>NPV(realdiscrt2,AW39:AW$39)/(1+realdiscrt2)^(1-Half_Year)</f>
        <v>1.3423928811453122E-2</v>
      </c>
      <c r="AX119" s="523">
        <f>NPV(realdiscrt2,AX39:AX$39)/(1+realdiscrt2)^(1-Half_Year)</f>
        <v>1.5974971598951391</v>
      </c>
      <c r="AY119" s="524">
        <f>NPV(realdiscrt2,AY39:AY$39)/(1+realdiscrt2)^(1-Half_Year)</f>
        <v>9.0850829227490397</v>
      </c>
      <c r="AZ119" s="516">
        <f>NPV(realdiscrt2,AZ39:AZ$39)/(1+realdiscrt2)^(1-Half_Year)</f>
        <v>6.0126477910764017E-2</v>
      </c>
      <c r="BA119" s="517">
        <f>NPV(realdiscrt2,BA39:BA$39)/(1+realdiscrt2)^(1-Half_Year)</f>
        <v>6.6558429519356116E-2</v>
      </c>
      <c r="BB119" s="517">
        <f>NPV(realdiscrt2,BB39:BB$39)/(1+realdiscrt2)^(1-Half_Year)</f>
        <v>6.1339555012737343E-2</v>
      </c>
      <c r="BC119" s="520">
        <f>NPV(realdiscrt2,BC39:BC$39)/(1+realdiscrt2)^(1-Half_Year)</f>
        <v>7.2930366877066985E-2</v>
      </c>
    </row>
    <row r="120" spans="1:55" s="324" customFormat="1" ht="14.25">
      <c r="A120" s="525">
        <v>2</v>
      </c>
      <c r="B120" s="526">
        <f t="shared" ref="B120:B143" si="95">B119+1</f>
        <v>2026</v>
      </c>
      <c r="C120" s="527">
        <f>NPV(realdiscrt2,C$39:C40)/(1+realdiscrt2)^(1-Half_Year)</f>
        <v>0.15410546201954464</v>
      </c>
      <c r="D120" s="528">
        <f>NPV(realdiscrt2,D$39:D40)/(1+realdiscrt2)^(1-Half_Year)</f>
        <v>0.14929562390661211</v>
      </c>
      <c r="E120" s="528">
        <f>NPV(realdiscrt2,E$39:E40)/(1+realdiscrt2)^(1-Half_Year)</f>
        <v>0.10959420130968776</v>
      </c>
      <c r="F120" s="529">
        <f>NPV(realdiscrt2,F$39:F40)/(1+realdiscrt2)^(1-Half_Year)</f>
        <v>0.10196158009544322</v>
      </c>
      <c r="G120" s="527">
        <f>NPV(realdiscrt2,G$39:G40)/(1+realdiscrt2)^(1-Half_Year)</f>
        <v>1.0740217935347806E-2</v>
      </c>
      <c r="H120" s="528">
        <f>NPV(realdiscrt2,H$39:H40)/(1+realdiscrt2)^(1-Half_Year)</f>
        <v>8.7911341195674626E-3</v>
      </c>
      <c r="I120" s="528">
        <f>NPV(realdiscrt2,I$39:I40)/(1+realdiscrt2)^(1-Half_Year)</f>
        <v>6.4875095140722585E-3</v>
      </c>
      <c r="J120" s="528">
        <f>NPV(realdiscrt2,J$39:J40)/(1+realdiscrt2)^(1-Half_Year)</f>
        <v>3.8331615418479722E-3</v>
      </c>
      <c r="K120" s="530">
        <f>NPV(realdiscrt2,K$39:K40)/(1+realdiscrt2)^(1-Half_Year)</f>
        <v>3.892434924555252E-3</v>
      </c>
      <c r="L120" s="1139">
        <f>NPV(realdiscrt2,L$39:L40)/(1+realdiscrt2)^(1-Half_Year)</f>
        <v>96.765643701716954</v>
      </c>
      <c r="M120" s="532">
        <f>NPV(realdiscrt2,M$39:M40)/(1+realdiscrt2)^(1-Half_Year)</f>
        <v>18.042653871355906</v>
      </c>
      <c r="N120" s="532">
        <f>NPV(realdiscrt2,N$39:N40)/(1+realdiscrt2)^(1-Half_Year)</f>
        <v>18.042653871355906</v>
      </c>
      <c r="O120" s="534">
        <f>NPV(realdiscrt2,O$39:O40)/(1+realdiscrt2)^(1-Half_Year)</f>
        <v>0</v>
      </c>
      <c r="P120" s="637">
        <f t="shared" si="94"/>
        <v>12.348083827072113</v>
      </c>
      <c r="Q120" s="637">
        <f t="shared" si="94"/>
        <v>0</v>
      </c>
      <c r="R120" s="1134">
        <f t="shared" si="94"/>
        <v>0</v>
      </c>
      <c r="S120" s="519">
        <f>NPV(realdiscrt2,S$39:S40)/(1+realdiscrt2)^(1-Half_Year)</f>
        <v>0</v>
      </c>
      <c r="T120" s="519">
        <f>NPV(realdiscrt2,T$39:T40)/(1+realdiscrt2)^(1-Half_Year)</f>
        <v>0</v>
      </c>
      <c r="U120" s="533">
        <f>NPV(realdiscrt2,U$39:U40)/(1+realdiscrt2)^(1-Half_Year)</f>
        <v>0</v>
      </c>
      <c r="V120" s="531">
        <f>NPV(realdiscrt2,V$39:V40)/(1+realdiscrt2)^(1-Half_Year)</f>
        <v>208.77778035795305</v>
      </c>
      <c r="W120" s="532">
        <f>NPV(realdiscrt2,W$39:W40)/(1+realdiscrt2)^(1-Half_Year)</f>
        <v>0</v>
      </c>
      <c r="X120" s="534">
        <f>NPV(realdiscrt2,X$39:X40)/(1+realdiscrt2)^(1-Half_Year)</f>
        <v>253.82717967348893</v>
      </c>
      <c r="Y120" s="531">
        <f>NPV(realdiscrt2,Y$39:Y40)/(1+realdiscrt2)^(1-Half_Year)</f>
        <v>13.079925103995334</v>
      </c>
      <c r="Z120" s="532">
        <f>NPV(realdiscrt2,Z$39:Z40)/(1+realdiscrt2)^(1-Half_Year)</f>
        <v>15.300971098581677</v>
      </c>
      <c r="AA120" s="532">
        <f>NPV(realdiscrt2,AA$39:AA40)/(1+realdiscrt2)^(1-Half_Year)</f>
        <v>21.370746815274469</v>
      </c>
      <c r="AB120" s="532">
        <f>NPV(realdiscrt2,AB$39:AB40)/(1+realdiscrt2)^(1-Half_Year)</f>
        <v>19.24785438977705</v>
      </c>
      <c r="AC120" s="532">
        <f>NPV(realdiscrt2,AC$39:AC40)/(1+realdiscrt2)^(1-Half_Year)</f>
        <v>15.075908075153466</v>
      </c>
      <c r="AD120" s="532">
        <f>NPV(realdiscrt2,AD$39:AD40)/(1+realdiscrt2)^(1-Half_Year)</f>
        <v>19.934857557629002</v>
      </c>
      <c r="AE120" s="534">
        <f>NPV(realdiscrt2,AE$39:AE40)/(1+realdiscrt2)^(1-Half_Year)</f>
        <v>18.621627967770753</v>
      </c>
      <c r="AF120" s="535">
        <f>NPV(realdiscrt2,AF$39:AF40)/(1+realdiscrt2)^(1-Half_Year)</f>
        <v>3.4712856866203701E-3</v>
      </c>
      <c r="AG120" s="530">
        <f>NPV(realdiscrt2,AG$39:AG40)/(1+realdiscrt2)^(1-Half_Year)</f>
        <v>0.51096035259577677</v>
      </c>
      <c r="AH120" s="536">
        <f>NPV(realdiscrt2,AH$39:AH40)/(1+realdiscrt2)^(1-Half_Year)</f>
        <v>0.51096035259577677</v>
      </c>
      <c r="AI120" s="536">
        <f>NPV(realdiscrt2,AI$39:AI40)/(1+realdiscrt2)^(1-Half_Year)</f>
        <v>0.94406103925170426</v>
      </c>
      <c r="AJ120" s="536">
        <f>NPV(realdiscrt2,AJ$39:AJ40)/(1+realdiscrt2)^(1-Half_Year)</f>
        <v>0.80236760472846869</v>
      </c>
      <c r="AK120" s="536">
        <f>NPV(realdiscrt2,AK$39:AK40)/(1+realdiscrt2)^(1-Half_Year)</f>
        <v>0.51096035259577677</v>
      </c>
      <c r="AL120" s="536">
        <f>NPV(realdiscrt2,AL$39:AL40)/(1+realdiscrt2)^(1-Half_Year)</f>
        <v>0.94406103925170426</v>
      </c>
      <c r="AM120" s="536">
        <f>NPV(realdiscrt2,AM$39:AM40)/(1+realdiscrt2)^(1-Half_Year)</f>
        <v>0.82700679961496693</v>
      </c>
      <c r="AN120" s="518">
        <f>NPV(realdiscrt2,AN$39:AN40)/(1+realdiscrt2)^(1-Half_Year)</f>
        <v>59.261237855921621</v>
      </c>
      <c r="AO120" s="519">
        <f>NPV(realdiscrt2,AO$39:AO40)/(1+realdiscrt2)^(1-Half_Year)</f>
        <v>52.903367841272207</v>
      </c>
      <c r="AP120" s="505">
        <f>NPV(realdiscrt2,AP$39:AP40)/(1+realdiscrt2)^(1-Half_Year)</f>
        <v>50.523597975184018</v>
      </c>
      <c r="AQ120" s="533">
        <f>NPV(realdiscrt2,AQ$39:AQ40)/(1+realdiscrt2)^(1-Half_Year)</f>
        <v>3.0807563941227481E-2</v>
      </c>
      <c r="AR120" s="519">
        <f>NPV(realdiscrt2,AR$39:AR40)/(1+realdiscrt2)^(1-Half_Year)</f>
        <v>72.952333413363633</v>
      </c>
      <c r="AS120" s="534">
        <f>NPV(realdiscrt2,AS$39:AS40)/(1+realdiscrt2)^(1-Half_Year)</f>
        <v>95.91884711308839</v>
      </c>
      <c r="AT120" s="518">
        <f>NPV(realdiscrt2,AT$39:AT40)/(1+realdiscrt2)^(1-Half_Year)</f>
        <v>51.363671598823302</v>
      </c>
      <c r="AU120" s="532">
        <f>NPV(realdiscrt2,AU$39:AU40)/(1+realdiscrt2)^(1-Half_Year)</f>
        <v>55.386821051245086</v>
      </c>
      <c r="AV120" s="531">
        <f>NPV(realdiscrt2,AV$39:AV40)/(1+realdiscrt2)^(1-Half_Year)</f>
        <v>2.6667210785072303E-2</v>
      </c>
      <c r="AW120" s="534">
        <f>NPV(realdiscrt2,AW$39:AW40)/(1+realdiscrt2)^(1-Half_Year)</f>
        <v>2.6667210785072303E-2</v>
      </c>
      <c r="AX120" s="523">
        <f>NPV(realdiscrt2,AX$39:AX40)/(1+realdiscrt2)^(1-Half_Year)</f>
        <v>3.1734966781954013</v>
      </c>
      <c r="AY120" s="537">
        <f>NPV(realdiscrt2,AY$39:AY40)/(1+realdiscrt2)^(1-Half_Year)</f>
        <v>18.487037729807081</v>
      </c>
      <c r="AZ120" s="530">
        <f>NPV(realdiscrt2,AZ$39:AZ40)/(1+realdiscrt2)^(1-Half_Year)</f>
        <v>0.11454586912059073</v>
      </c>
      <c r="BA120" s="536">
        <f>NPV(realdiscrt2,BA$39:BA40)/(1+realdiscrt2)^(1-Half_Year)</f>
        <v>0.1297262066523375</v>
      </c>
      <c r="BB120" s="536">
        <f>NPV(realdiscrt2,BB$39:BB40)/(1+realdiscrt2)^(1-Half_Year)</f>
        <v>0.11687669368663808</v>
      </c>
      <c r="BC120" s="533">
        <f>NPV(realdiscrt2,BC$39:BC40)/(1+realdiscrt2)^(1-Half_Year)</f>
        <v>0.14047142537945395</v>
      </c>
    </row>
    <row r="121" spans="1:55" s="324" customFormat="1" ht="14.25">
      <c r="A121" s="525">
        <f t="shared" ref="A121:A143" si="96">A120+1</f>
        <v>3</v>
      </c>
      <c r="B121" s="526">
        <f t="shared" si="95"/>
        <v>2027</v>
      </c>
      <c r="C121" s="527">
        <f>NPV(realdiscrt2,C$39:C41)/(1+realdiscrt2)^(1-Half_Year)</f>
        <v>0.23049182600971327</v>
      </c>
      <c r="D121" s="528">
        <f>NPV(realdiscrt2,D$39:D41)/(1+realdiscrt2)^(1-Half_Year)</f>
        <v>0.21996733811065569</v>
      </c>
      <c r="E121" s="528">
        <f>NPV(realdiscrt2,E$39:E41)/(1+realdiscrt2)^(1-Half_Year)</f>
        <v>0.16532612837485142</v>
      </c>
      <c r="F121" s="529">
        <f>NPV(realdiscrt2,F$39:F41)/(1+realdiscrt2)^(1-Half_Year)</f>
        <v>0.15043667453373916</v>
      </c>
      <c r="G121" s="527">
        <f>NPV(realdiscrt2,G$39:G41)/(1+realdiscrt2)^(1-Half_Year)</f>
        <v>1.8558152048575499E-2</v>
      </c>
      <c r="H121" s="528">
        <f>NPV(realdiscrt2,H$39:H41)/(1+realdiscrt2)^(1-Half_Year)</f>
        <v>1.5706082363966801E-2</v>
      </c>
      <c r="I121" s="528">
        <f>NPV(realdiscrt2,I$39:I41)/(1+realdiscrt2)^(1-Half_Year)</f>
        <v>1.0623728437187702E-2</v>
      </c>
      <c r="J121" s="528">
        <f>NPV(realdiscrt2,J$39:J41)/(1+realdiscrt2)^(1-Half_Year)</f>
        <v>6.5696283982040107E-3</v>
      </c>
      <c r="K121" s="530">
        <f>NPV(realdiscrt2,K$39:K41)/(1+realdiscrt2)^(1-Half_Year)</f>
        <v>6.6905813708565895E-3</v>
      </c>
      <c r="L121" s="1139">
        <f>NPV(realdiscrt2,L$39:L41)/(1+realdiscrt2)^(1-Half_Year)</f>
        <v>149.44382864452197</v>
      </c>
      <c r="M121" s="532">
        <f>NPV(realdiscrt2,M$39:M41)/(1+realdiscrt2)^(1-Half_Year)</f>
        <v>50.339884019990727</v>
      </c>
      <c r="N121" s="532">
        <f>NPV(realdiscrt2,N$39:N41)/(1+realdiscrt2)^(1-Half_Year)</f>
        <v>50.339884019990727</v>
      </c>
      <c r="O121" s="534">
        <f>NPV(realdiscrt2,O$39:O41)/(1+realdiscrt2)^(1-Half_Year)</f>
        <v>0</v>
      </c>
      <c r="P121" s="637">
        <f t="shared" si="94"/>
        <v>15.577758789768801</v>
      </c>
      <c r="Q121" s="637">
        <f t="shared" si="94"/>
        <v>0</v>
      </c>
      <c r="R121" s="1134">
        <f t="shared" si="94"/>
        <v>0</v>
      </c>
      <c r="S121" s="519">
        <f>NPV(realdiscrt2,S$39:S41)/(1+realdiscrt2)^(1-Half_Year)</f>
        <v>0</v>
      </c>
      <c r="T121" s="519">
        <f>NPV(realdiscrt2,T$39:T41)/(1+realdiscrt2)^(1-Half_Year)</f>
        <v>0</v>
      </c>
      <c r="U121" s="533">
        <f>NPV(realdiscrt2,U$39:U41)/(1+realdiscrt2)^(1-Half_Year)</f>
        <v>0</v>
      </c>
      <c r="V121" s="531">
        <f>NPV(realdiscrt2,V$39:V41)/(1+realdiscrt2)^(1-Half_Year)</f>
        <v>311.06427464183986</v>
      </c>
      <c r="W121" s="532">
        <f>NPV(realdiscrt2,W$39:W41)/(1+realdiscrt2)^(1-Half_Year)</f>
        <v>0</v>
      </c>
      <c r="X121" s="534">
        <f>NPV(realdiscrt2,X$39:X41)/(1+realdiscrt2)^(1-Half_Year)</f>
        <v>378.18472537712302</v>
      </c>
      <c r="Y121" s="531">
        <f>NPV(realdiscrt2,Y$39:Y41)/(1+realdiscrt2)^(1-Half_Year)</f>
        <v>19.627519215699742</v>
      </c>
      <c r="Z121" s="532">
        <f>NPV(realdiscrt2,Z$39:Z41)/(1+realdiscrt2)^(1-Half_Year)</f>
        <v>22.928025154630312</v>
      </c>
      <c r="AA121" s="532">
        <f>NPV(realdiscrt2,AA$39:AA41)/(1+realdiscrt2)^(1-Half_Year)</f>
        <v>31.952318181246628</v>
      </c>
      <c r="AB121" s="532">
        <f>NPV(realdiscrt2,AB$39:AB41)/(1+realdiscrt2)^(1-Half_Year)</f>
        <v>28.79619108371595</v>
      </c>
      <c r="AC121" s="532">
        <f>NPV(realdiscrt2,AC$39:AC41)/(1+realdiscrt2)^(1-Half_Year)</f>
        <v>22.592676481713823</v>
      </c>
      <c r="AD121" s="532">
        <f>NPV(realdiscrt2,AD$39:AD41)/(1+realdiscrt2)^(1-Half_Year)</f>
        <v>29.817904223159083</v>
      </c>
      <c r="AE121" s="534">
        <f>NPV(realdiscrt2,AE$39:AE41)/(1+realdiscrt2)^(1-Half_Year)</f>
        <v>27.86513996871442</v>
      </c>
      <c r="AF121" s="535">
        <f>NPV(realdiscrt2,AF$39:AF41)/(1+realdiscrt2)^(1-Half_Year)</f>
        <v>6.2329182264102478E-3</v>
      </c>
      <c r="AG121" s="530">
        <f>NPV(realdiscrt2,AG$39:AG41)/(1+realdiscrt2)^(1-Half_Year)</f>
        <v>0.87800710180801744</v>
      </c>
      <c r="AH121" s="536">
        <f>NPV(realdiscrt2,AH$39:AH41)/(1+realdiscrt2)^(1-Half_Year)</f>
        <v>0.87800710180801744</v>
      </c>
      <c r="AI121" s="536">
        <f>NPV(realdiscrt2,AI$39:AI41)/(1+realdiscrt2)^(1-Half_Year)</f>
        <v>1.6218952212754625</v>
      </c>
      <c r="AJ121" s="536">
        <f>NPV(realdiscrt2,AJ$39:AJ41)/(1+realdiscrt2)^(1-Half_Year)</f>
        <v>1.3785244167583355</v>
      </c>
      <c r="AK121" s="536">
        <f>NPV(realdiscrt2,AK$39:AK41)/(1+realdiscrt2)^(1-Half_Year)</f>
        <v>0.87800710180801744</v>
      </c>
      <c r="AL121" s="536">
        <f>NPV(realdiscrt2,AL$39:AL41)/(1+realdiscrt2)^(1-Half_Year)</f>
        <v>1.6218952212754625</v>
      </c>
      <c r="AM121" s="536">
        <f>NPV(realdiscrt2,AM$39:AM41)/(1+realdiscrt2)^(1-Half_Year)</f>
        <v>1.4208443781761531</v>
      </c>
      <c r="AN121" s="518">
        <f>NPV(realdiscrt2,AN$39:AN41)/(1+realdiscrt2)^(1-Half_Year)</f>
        <v>89.171329054082292</v>
      </c>
      <c r="AO121" s="519">
        <f>NPV(realdiscrt2,AO$39:AO41)/(1+realdiscrt2)^(1-Half_Year)</f>
        <v>79.193892783330455</v>
      </c>
      <c r="AP121" s="505">
        <f>NPV(realdiscrt2,AP$39:AP41)/(1+realdiscrt2)^(1-Half_Year)</f>
        <v>75.646569109999348</v>
      </c>
      <c r="AQ121" s="533">
        <f>NPV(realdiscrt2,AQ$39:AQ41)/(1+realdiscrt2)^(1-Half_Year)</f>
        <v>4.648467623182656E-2</v>
      </c>
      <c r="AR121" s="519">
        <f>NPV(realdiscrt2,AR$39:AR41)/(1+realdiscrt2)^(1-Half_Year)</f>
        <v>109.77253873572506</v>
      </c>
      <c r="AS121" s="534">
        <f>NPV(realdiscrt2,AS$39:AS41)/(1+realdiscrt2)^(1-Half_Year)</f>
        <v>143.78860017428562</v>
      </c>
      <c r="AT121" s="518">
        <f>NPV(realdiscrt2,AT$39:AT41)/(1+realdiscrt2)^(1-Half_Year)</f>
        <v>77.287735242722846</v>
      </c>
      <c r="AU121" s="532">
        <f>NPV(realdiscrt2,AU$39:AU41)/(1+realdiscrt2)^(1-Half_Year)</f>
        <v>83.341432341117269</v>
      </c>
      <c r="AV121" s="531">
        <f>NPV(realdiscrt2,AV$39:AV41)/(1+realdiscrt2)^(1-Half_Year)</f>
        <v>3.9732276899185709E-2</v>
      </c>
      <c r="AW121" s="534">
        <f>NPV(realdiscrt2,AW$39:AW41)/(1+realdiscrt2)^(1-Half_Year)</f>
        <v>3.9732276899185709E-2</v>
      </c>
      <c r="AX121" s="523">
        <f>NPV(realdiscrt2,AX$39:AX41)/(1+realdiscrt2)^(1-Half_Year)</f>
        <v>4.7282878503097212</v>
      </c>
      <c r="AY121" s="537">
        <f>NPV(realdiscrt2,AY$39:AY41)/(1+realdiscrt2)^(1-Half_Year)</f>
        <v>28.218553412833113</v>
      </c>
      <c r="AZ121" s="530">
        <f>NPV(realdiscrt2,AZ$39:AZ41)/(1+realdiscrt2)^(1-Half_Year)</f>
        <v>0.16291410773263221</v>
      </c>
      <c r="BA121" s="536">
        <f>NPV(realdiscrt2,BA$39:BA41)/(1+realdiscrt2)^(1-Half_Year)</f>
        <v>0.18818474675285876</v>
      </c>
      <c r="BB121" s="536">
        <f>NPV(realdiscrt2,BB$39:BB41)/(1+realdiscrt2)^(1-Half_Year)</f>
        <v>0.17076722924823828</v>
      </c>
      <c r="BC121" s="533">
        <f>NPV(realdiscrt2,BC$39:BC41)/(1+realdiscrt2)^(1-Half_Year)</f>
        <v>0.20638614237822311</v>
      </c>
    </row>
    <row r="122" spans="1:55" s="324" customFormat="1" ht="14.25">
      <c r="A122" s="525">
        <f t="shared" si="96"/>
        <v>4</v>
      </c>
      <c r="B122" s="526">
        <f t="shared" si="95"/>
        <v>2028</v>
      </c>
      <c r="C122" s="527">
        <f>NPV(realdiscrt2,C$39:C42)/(1+realdiscrt2)^(1-Half_Year)</f>
        <v>0.30288626712345168</v>
      </c>
      <c r="D122" s="528">
        <f>NPV(realdiscrt2,D$39:D42)/(1+realdiscrt2)^(1-Half_Year)</f>
        <v>0.29202757766839998</v>
      </c>
      <c r="E122" s="528">
        <f>NPV(realdiscrt2,E$39:E42)/(1+realdiscrt2)^(1-Half_Year)</f>
        <v>0.21784838136715257</v>
      </c>
      <c r="F122" s="529">
        <f>NPV(realdiscrt2,F$39:F42)/(1+realdiscrt2)^(1-Half_Year)</f>
        <v>0.20141171007560277</v>
      </c>
      <c r="G122" s="527">
        <f>NPV(realdiscrt2,G$39:G42)/(1+realdiscrt2)^(1-Half_Year)</f>
        <v>2.6500123872789747E-2</v>
      </c>
      <c r="H122" s="528">
        <f>NPV(realdiscrt2,H$39:H42)/(1+realdiscrt2)^(1-Half_Year)</f>
        <v>2.274482718713396E-2</v>
      </c>
      <c r="I122" s="528">
        <f>NPV(realdiscrt2,I$39:I42)/(1+realdiscrt2)^(1-Half_Year)</f>
        <v>1.5152126955471442E-2</v>
      </c>
      <c r="J122" s="528">
        <f>NPV(realdiscrt2,J$39:J42)/(1+realdiscrt2)^(1-Half_Year)</f>
        <v>9.5232535929729665E-3</v>
      </c>
      <c r="K122" s="530">
        <f>NPV(realdiscrt2,K$39:K42)/(1+realdiscrt2)^(1-Half_Year)</f>
        <v>9.1647566221825065E-3</v>
      </c>
      <c r="L122" s="1139">
        <f>NPV(realdiscrt2,L$39:L42)/(1+realdiscrt2)^(1-Half_Year)</f>
        <v>204.59894746901003</v>
      </c>
      <c r="M122" s="532">
        <f>NPV(realdiscrt2,M$39:M42)/(1+realdiscrt2)^(1-Half_Year)</f>
        <v>97.874771627687522</v>
      </c>
      <c r="N122" s="532">
        <f>NPV(realdiscrt2,N$39:N42)/(1+realdiscrt2)^(1-Half_Year)</f>
        <v>97.874771627687522</v>
      </c>
      <c r="O122" s="534">
        <f>NPV(realdiscrt2,O$39:O42)/(1+realdiscrt2)^(1-Half_Year)</f>
        <v>0</v>
      </c>
      <c r="P122" s="637">
        <f t="shared" si="94"/>
        <v>13.336901559802227</v>
      </c>
      <c r="Q122" s="637">
        <f t="shared" si="94"/>
        <v>0</v>
      </c>
      <c r="R122" s="1134">
        <f t="shared" si="94"/>
        <v>0</v>
      </c>
      <c r="S122" s="519">
        <f>NPV(realdiscrt2,S$39:S42)/(1+realdiscrt2)^(1-Half_Year)</f>
        <v>0</v>
      </c>
      <c r="T122" s="519">
        <f>NPV(realdiscrt2,T$39:T42)/(1+realdiscrt2)^(1-Half_Year)</f>
        <v>0</v>
      </c>
      <c r="U122" s="533">
        <f>NPV(realdiscrt2,U$39:U42)/(1+realdiscrt2)^(1-Half_Year)</f>
        <v>0</v>
      </c>
      <c r="V122" s="531">
        <f>NPV(realdiscrt2,V$39:V42)/(1+realdiscrt2)^(1-Half_Year)</f>
        <v>411.97429174046783</v>
      </c>
      <c r="W122" s="532">
        <f>NPV(realdiscrt2,W$39:W42)/(1+realdiscrt2)^(1-Half_Year)</f>
        <v>0</v>
      </c>
      <c r="X122" s="534">
        <f>NPV(realdiscrt2,X$39:X42)/(1+realdiscrt2)^(1-Half_Year)</f>
        <v>500.86878206664795</v>
      </c>
      <c r="Y122" s="531">
        <f>NPV(realdiscrt2,Y$39:Y42)/(1+realdiscrt2)^(1-Half_Year)</f>
        <v>26.261603665134004</v>
      </c>
      <c r="Z122" s="532">
        <f>NPV(realdiscrt2,Z$39:Z42)/(1+realdiscrt2)^(1-Half_Year)</f>
        <v>30.623518787252372</v>
      </c>
      <c r="AA122" s="532">
        <f>NPV(realdiscrt2,AA$39:AA42)/(1+realdiscrt2)^(1-Half_Year)</f>
        <v>42.554844131095727</v>
      </c>
      <c r="AB122" s="532">
        <f>NPV(realdiscrt2,AB$39:AB42)/(1+realdiscrt2)^(1-Half_Year)</f>
        <v>38.382131819707567</v>
      </c>
      <c r="AC122" s="532">
        <f>NPV(realdiscrt2,AC$39:AC42)/(1+realdiscrt2)^(1-Half_Year)</f>
        <v>30.179468603948784</v>
      </c>
      <c r="AD122" s="532">
        <f>NPV(realdiscrt2,AD$39:AD42)/(1+realdiscrt2)^(1-Half_Year)</f>
        <v>39.732857224229697</v>
      </c>
      <c r="AE122" s="534">
        <f>NPV(realdiscrt2,AE$39:AE42)/(1+realdiscrt2)^(1-Half_Year)</f>
        <v>37.150860299829453</v>
      </c>
      <c r="AF122" s="535">
        <f>NPV(realdiscrt2,AF$39:AF42)/(1+realdiscrt2)^(1-Half_Year)</f>
        <v>8.9808571818986212E-3</v>
      </c>
      <c r="AG122" s="530">
        <f>NPV(realdiscrt2,AG$39:AG42)/(1+realdiscrt2)^(1-Half_Year)</f>
        <v>1.2022508923501731</v>
      </c>
      <c r="AH122" s="536">
        <f>NPV(realdiscrt2,AH$39:AH42)/(1+realdiscrt2)^(1-Half_Year)</f>
        <v>1.2022508923501731</v>
      </c>
      <c r="AI122" s="536">
        <f>NPV(realdiscrt2,AI$39:AI42)/(1+realdiscrt2)^(1-Half_Year)</f>
        <v>2.2198062548614654</v>
      </c>
      <c r="AJ122" s="536">
        <f>NPV(realdiscrt2,AJ$39:AJ42)/(1+realdiscrt2)^(1-Half_Year)</f>
        <v>1.8869023399657956</v>
      </c>
      <c r="AK122" s="536">
        <f>NPV(realdiscrt2,AK$39:AK42)/(1+realdiscrt2)^(1-Half_Year)</f>
        <v>1.2022508923501731</v>
      </c>
      <c r="AL122" s="536">
        <f>NPV(realdiscrt2,AL$39:AL42)/(1+realdiscrt2)^(1-Half_Year)</f>
        <v>2.2198062548614654</v>
      </c>
      <c r="AM122" s="536">
        <f>NPV(realdiscrt2,AM$39:AM42)/(1+realdiscrt2)^(1-Half_Year)</f>
        <v>1.9447912920205757</v>
      </c>
      <c r="AN122" s="518">
        <f>NPV(realdiscrt2,AN$39:AN42)/(1+realdiscrt2)^(1-Half_Year)</f>
        <v>119.22947722397156</v>
      </c>
      <c r="AO122" s="519">
        <f>NPV(realdiscrt2,AO$39:AO42)/(1+realdiscrt2)^(1-Half_Year)</f>
        <v>105.68438322589242</v>
      </c>
      <c r="AP122" s="505">
        <f>NPV(realdiscrt2,AP$39:AP42)/(1+realdiscrt2)^(1-Half_Year)</f>
        <v>100.97497571628934</v>
      </c>
      <c r="AQ122" s="533">
        <f>NPV(realdiscrt2,AQ$39:AQ42)/(1+realdiscrt2)^(1-Half_Year)</f>
        <v>6.2364517645077888E-2</v>
      </c>
      <c r="AR122" s="519">
        <f>NPV(realdiscrt2,AR$39:AR42)/(1+realdiscrt2)^(1-Half_Year)</f>
        <v>146.77500656147828</v>
      </c>
      <c r="AS122" s="534">
        <f>NPV(realdiscrt2,AS$39:AS42)/(1+realdiscrt2)^(1-Half_Year)</f>
        <v>191.56472566241879</v>
      </c>
      <c r="AT122" s="518">
        <f>NPV(realdiscrt2,AT$39:AT42)/(1+realdiscrt2)^(1-Half_Year)</f>
        <v>103.34012475271841</v>
      </c>
      <c r="AU122" s="532">
        <f>NPV(realdiscrt2,AU$39:AU42)/(1+realdiscrt2)^(1-Half_Year)</f>
        <v>111.43442084508776</v>
      </c>
      <c r="AV122" s="531">
        <f>NPV(realdiscrt2,AV$39:AV42)/(1+realdiscrt2)^(1-Half_Year)</f>
        <v>5.2621525418259991E-2</v>
      </c>
      <c r="AW122" s="534">
        <f>NPV(realdiscrt2,AW$39:AW42)/(1+realdiscrt2)^(1-Half_Year)</f>
        <v>5.2621525418259991E-2</v>
      </c>
      <c r="AX122" s="523">
        <f>NPV(realdiscrt2,AX$39:AX42)/(1+realdiscrt2)^(1-Half_Year)</f>
        <v>6.2621560785765613</v>
      </c>
      <c r="AY122" s="537">
        <f>NPV(realdiscrt2,AY$39:AY42)/(1+realdiscrt2)^(1-Half_Year)</f>
        <v>38.289726929079542</v>
      </c>
      <c r="AZ122" s="530">
        <f>NPV(realdiscrt2,AZ$39:AZ42)/(1+realdiscrt2)^(1-Half_Year)</f>
        <v>0.21100307956850933</v>
      </c>
      <c r="BA122" s="536">
        <f>NPV(realdiscrt2,BA$39:BA42)/(1+realdiscrt2)^(1-Half_Year)</f>
        <v>0.23965485988549898</v>
      </c>
      <c r="BB122" s="536">
        <f>NPV(realdiscrt2,BB$39:BB42)/(1+realdiscrt2)^(1-Half_Year)</f>
        <v>0.22432717843040315</v>
      </c>
      <c r="BC122" s="533">
        <f>NPV(realdiscrt2,BC$39:BC42)/(1+realdiscrt2)^(1-Half_Year)</f>
        <v>0.26400126877853547</v>
      </c>
    </row>
    <row r="123" spans="1:55" s="324" customFormat="1" ht="14.25">
      <c r="A123" s="525">
        <f t="shared" si="96"/>
        <v>5</v>
      </c>
      <c r="B123" s="526">
        <f t="shared" si="95"/>
        <v>2029</v>
      </c>
      <c r="C123" s="527">
        <f>NPV(realdiscrt2,C$39:C43)/(1+realdiscrt2)^(1-Half_Year)</f>
        <v>0.37556431133745477</v>
      </c>
      <c r="D123" s="528">
        <f>NPV(realdiscrt2,D$39:D43)/(1+realdiscrt2)^(1-Half_Year)</f>
        <v>0.36519022581835137</v>
      </c>
      <c r="E123" s="528">
        <f>NPV(realdiscrt2,E$39:E43)/(1+realdiscrt2)^(1-Half_Year)</f>
        <v>0.27086550424420391</v>
      </c>
      <c r="F123" s="529">
        <f>NPV(realdiscrt2,F$39:F43)/(1+realdiscrt2)^(1-Half_Year)</f>
        <v>0.25270729378207463</v>
      </c>
      <c r="G123" s="527">
        <f>NPV(realdiscrt2,G$39:G43)/(1+realdiscrt2)^(1-Half_Year)</f>
        <v>3.4252325217745364E-2</v>
      </c>
      <c r="H123" s="528">
        <f>NPV(realdiscrt2,H$39:H43)/(1+realdiscrt2)^(1-Half_Year)</f>
        <v>2.962807928368066E-2</v>
      </c>
      <c r="I123" s="528">
        <f>NPV(realdiscrt2,I$39:I43)/(1+realdiscrt2)^(1-Half_Year)</f>
        <v>1.9649566482980829E-2</v>
      </c>
      <c r="J123" s="528">
        <f>NPV(realdiscrt2,J$39:J43)/(1+realdiscrt2)^(1-Half_Year)</f>
        <v>1.2432429342979844E-2</v>
      </c>
      <c r="K123" s="530">
        <f>NPV(realdiscrt2,K$39:K43)/(1+realdiscrt2)^(1-Half_Year)</f>
        <v>1.1345967087868314E-2</v>
      </c>
      <c r="L123" s="1139">
        <f>NPV(realdiscrt2,L$39:L43)/(1+realdiscrt2)^(1-Half_Year)</f>
        <v>263.86781893739862</v>
      </c>
      <c r="M123" s="532">
        <f>NPV(realdiscrt2,M$39:M43)/(1+realdiscrt2)^(1-Half_Year)</f>
        <v>163.54942272437953</v>
      </c>
      <c r="N123" s="532">
        <f>NPV(realdiscrt2,N$39:N43)/(1+realdiscrt2)^(1-Half_Year)</f>
        <v>163.54942272437953</v>
      </c>
      <c r="O123" s="534">
        <f>NPV(realdiscrt2,O$39:O43)/(1+realdiscrt2)^(1-Half_Year)</f>
        <v>0</v>
      </c>
      <c r="P123" s="637">
        <f t="shared" si="94"/>
        <v>9.0831460754869244</v>
      </c>
      <c r="Q123" s="637">
        <f t="shared" si="94"/>
        <v>0</v>
      </c>
      <c r="R123" s="1134">
        <f t="shared" si="94"/>
        <v>0</v>
      </c>
      <c r="S123" s="519">
        <f>NPV(realdiscrt2,S$39:S43)/(1+realdiscrt2)^(1-Half_Year)</f>
        <v>0</v>
      </c>
      <c r="T123" s="519">
        <f>NPV(realdiscrt2,T$39:T43)/(1+realdiscrt2)^(1-Half_Year)</f>
        <v>0</v>
      </c>
      <c r="U123" s="533">
        <f>NPV(realdiscrt2,U$39:U43)/(1+realdiscrt2)^(1-Half_Year)</f>
        <v>0</v>
      </c>
      <c r="V123" s="531">
        <f>NPV(realdiscrt2,V$39:V43)/(1+realdiscrt2)^(1-Half_Year)</f>
        <v>511.52635501271055</v>
      </c>
      <c r="W123" s="532">
        <f>NPV(realdiscrt2,W$39:W43)/(1+realdiscrt2)^(1-Half_Year)</f>
        <v>0</v>
      </c>
      <c r="X123" s="534">
        <f>NPV(realdiscrt2,X$39:X43)/(1+realdiscrt2)^(1-Half_Year)</f>
        <v>621.90187001185893</v>
      </c>
      <c r="Y123" s="531">
        <f>NPV(realdiscrt2,Y$39:Y43)/(1+realdiscrt2)^(1-Half_Year)</f>
        <v>32.95912625998745</v>
      </c>
      <c r="Z123" s="532">
        <f>NPV(realdiscrt2,Z$39:Z43)/(1+realdiscrt2)^(1-Half_Year)</f>
        <v>38.364136053954482</v>
      </c>
      <c r="AA123" s="532">
        <f>NPV(realdiscrt2,AA$39:AA43)/(1+realdiscrt2)^(1-Half_Year)</f>
        <v>53.154511149800555</v>
      </c>
      <c r="AB123" s="532">
        <f>NPV(realdiscrt2,AB$39:AB43)/(1+realdiscrt2)^(1-Half_Year)</f>
        <v>47.982042149680105</v>
      </c>
      <c r="AC123" s="532">
        <f>NPV(realdiscrt2,AC$39:AC43)/(1+realdiscrt2)^(1-Half_Year)</f>
        <v>37.812915918254369</v>
      </c>
      <c r="AD123" s="532">
        <f>NPV(realdiscrt2,AD$39:AD43)/(1+realdiscrt2)^(1-Half_Year)</f>
        <v>49.656172833401421</v>
      </c>
      <c r="AE123" s="534">
        <f>NPV(realdiscrt2,AE$39:AE43)/(1+realdiscrt2)^(1-Half_Year)</f>
        <v>46.455292586064374</v>
      </c>
      <c r="AF123" s="535">
        <f>NPV(realdiscrt2,AF$39:AF43)/(1+realdiscrt2)^(1-Half_Year)</f>
        <v>1.1706047282057671E-2</v>
      </c>
      <c r="AG123" s="530">
        <f>NPV(realdiscrt2,AG$39:AG43)/(1+realdiscrt2)^(1-Half_Year)</f>
        <v>1.4877986458059469</v>
      </c>
      <c r="AH123" s="536">
        <f>NPV(realdiscrt2,AH$39:AH43)/(1+realdiscrt2)^(1-Half_Year)</f>
        <v>1.4877986458059469</v>
      </c>
      <c r="AI123" s="536">
        <f>NPV(realdiscrt2,AI$39:AI43)/(1+realdiscrt2)^(1-Half_Year)</f>
        <v>2.7453498495260589</v>
      </c>
      <c r="AJ123" s="536">
        <f>NPV(realdiscrt2,AJ$39:AJ43)/(1+realdiscrt2)^(1-Half_Year)</f>
        <v>2.3339287767040471</v>
      </c>
      <c r="AK123" s="536">
        <f>NPV(realdiscrt2,AK$39:AK43)/(1+realdiscrt2)^(1-Half_Year)</f>
        <v>1.4877986458059469</v>
      </c>
      <c r="AL123" s="536">
        <f>NPV(realdiscrt2,AL$39:AL43)/(1+realdiscrt2)^(1-Half_Year)</f>
        <v>2.7453498495260589</v>
      </c>
      <c r="AM123" s="536">
        <f>NPV(realdiscrt2,AM$39:AM43)/(1+realdiscrt2)^(1-Half_Year)</f>
        <v>2.4054711458179208</v>
      </c>
      <c r="AN123" s="518">
        <f>NPV(realdiscrt2,AN$39:AN43)/(1+realdiscrt2)^(1-Half_Year)</f>
        <v>149.14076358141202</v>
      </c>
      <c r="AO123" s="519">
        <f>NPV(realdiscrt2,AO$39:AO43)/(1+realdiscrt2)^(1-Half_Year)</f>
        <v>132.07371500033707</v>
      </c>
      <c r="AP123" s="505">
        <f>NPV(realdiscrt2,AP$39:AP43)/(1+realdiscrt2)^(1-Half_Year)</f>
        <v>126.21521921360142</v>
      </c>
      <c r="AQ123" s="533">
        <f>NPV(realdiscrt2,AQ$39:AQ43)/(1+realdiscrt2)^(1-Half_Year)</f>
        <v>7.8238751585507416E-2</v>
      </c>
      <c r="AR123" s="519">
        <f>NPV(realdiscrt2,AR$39:AR43)/(1+realdiscrt2)^(1-Half_Year)</f>
        <v>183.59668316019864</v>
      </c>
      <c r="AS123" s="534">
        <f>NPV(realdiscrt2,AS$39:AS43)/(1+realdiscrt2)^(1-Half_Year)</f>
        <v>238.95555716073468</v>
      </c>
      <c r="AT123" s="518">
        <f>NPV(realdiscrt2,AT$39:AT43)/(1+realdiscrt2)^(1-Half_Year)</f>
        <v>129.26522428062876</v>
      </c>
      <c r="AU123" s="532">
        <f>NPV(realdiscrt2,AU$39:AU43)/(1+realdiscrt2)^(1-Half_Year)</f>
        <v>139.39014915639842</v>
      </c>
      <c r="AV123" s="531">
        <f>NPV(realdiscrt2,AV$39:AV43)/(1+realdiscrt2)^(1-Half_Year)</f>
        <v>6.5337322333133288E-2</v>
      </c>
      <c r="AW123" s="534">
        <f>NPV(realdiscrt2,AW$39:AW43)/(1+realdiscrt2)^(1-Half_Year)</f>
        <v>6.5337322333133288E-2</v>
      </c>
      <c r="AX123" s="523">
        <f>NPV(realdiscrt2,AX$39:AX43)/(1+realdiscrt2)^(1-Half_Year)</f>
        <v>7.7753829246532691</v>
      </c>
      <c r="AY123" s="537">
        <f>NPV(realdiscrt2,AY$39:AY43)/(1+realdiscrt2)^(1-Half_Year)</f>
        <v>48.708266126462512</v>
      </c>
      <c r="AZ123" s="530">
        <f>NPV(realdiscrt2,AZ$39:AZ43)/(1+realdiscrt2)^(1-Half_Year)</f>
        <v>0.25618636980114007</v>
      </c>
      <c r="BA123" s="536">
        <f>NPV(realdiscrt2,BA$39:BA43)/(1+realdiscrt2)^(1-Half_Year)</f>
        <v>0.28589501423299013</v>
      </c>
      <c r="BB123" s="536">
        <f>NPV(realdiscrt2,BB$39:BB43)/(1+realdiscrt2)^(1-Half_Year)</f>
        <v>0.27279580052817554</v>
      </c>
      <c r="BC123" s="533">
        <f>NPV(realdiscrt2,BC$39:BC43)/(1+realdiscrt2)^(1-Half_Year)</f>
        <v>0.31513177227446237</v>
      </c>
    </row>
    <row r="124" spans="1:55" s="324" customFormat="1" ht="14.25">
      <c r="A124" s="525">
        <f t="shared" si="96"/>
        <v>6</v>
      </c>
      <c r="B124" s="526">
        <f t="shared" si="95"/>
        <v>2030</v>
      </c>
      <c r="C124" s="527">
        <f>NPV(realdiscrt2,C$39:C44)/(1+realdiscrt2)^(1-Half_Year)</f>
        <v>0.45109511590983892</v>
      </c>
      <c r="D124" s="528">
        <f>NPV(realdiscrt2,D$39:D44)/(1+realdiscrt2)^(1-Half_Year)</f>
        <v>0.44097376948196726</v>
      </c>
      <c r="E124" s="528">
        <f>NPV(realdiscrt2,E$39:E44)/(1+realdiscrt2)^(1-Half_Year)</f>
        <v>0.32794568380955241</v>
      </c>
      <c r="F124" s="529">
        <f>NPV(realdiscrt2,F$39:F44)/(1+realdiscrt2)^(1-Half_Year)</f>
        <v>0.30786692938975735</v>
      </c>
      <c r="G124" s="527">
        <f>NPV(realdiscrt2,G$39:G44)/(1+realdiscrt2)^(1-Half_Year)</f>
        <v>4.1854089297907897E-2</v>
      </c>
      <c r="H124" s="528">
        <f>NPV(realdiscrt2,H$39:H44)/(1+realdiscrt2)^(1-Half_Year)</f>
        <v>3.6183616574508637E-2</v>
      </c>
      <c r="I124" s="528">
        <f>NPV(realdiscrt2,I$39:I44)/(1+realdiscrt2)^(1-Half_Year)</f>
        <v>2.4148333398534731E-2</v>
      </c>
      <c r="J124" s="528">
        <f>NPV(realdiscrt2,J$39:J44)/(1+realdiscrt2)^(1-Half_Year)</f>
        <v>1.5186236708118632E-2</v>
      </c>
      <c r="K124" s="530">
        <f>NPV(realdiscrt2,K$39:K44)/(1+realdiscrt2)^(1-Half_Year)</f>
        <v>1.2882644207078315E-2</v>
      </c>
      <c r="L124" s="1139">
        <f>NPV(realdiscrt2,L$39:L44)/(1+realdiscrt2)^(1-Half_Year)</f>
        <v>319.51122335731708</v>
      </c>
      <c r="M124" s="532">
        <f>NPV(realdiscrt2,M$39:M44)/(1+realdiscrt2)^(1-Half_Year)</f>
        <v>232.05758224618305</v>
      </c>
      <c r="N124" s="532">
        <f>NPV(realdiscrt2,N$39:N44)/(1+realdiscrt2)^(1-Half_Year)</f>
        <v>232.05758224618305</v>
      </c>
      <c r="O124" s="534">
        <f>NPV(realdiscrt2,O$39:O44)/(1+realdiscrt2)^(1-Half_Year)</f>
        <v>0</v>
      </c>
      <c r="P124" s="637">
        <f t="shared" si="94"/>
        <v>4.6120099415053142</v>
      </c>
      <c r="Q124" s="637">
        <f t="shared" si="94"/>
        <v>9.9029771505738715</v>
      </c>
      <c r="R124" s="1134">
        <f t="shared" si="94"/>
        <v>9.9029771505738715</v>
      </c>
      <c r="S124" s="519">
        <f>NPV(realdiscrt2,S$39:S44)/(1+realdiscrt2)^(1-Half_Year)</f>
        <v>0</v>
      </c>
      <c r="T124" s="519">
        <f>NPV(realdiscrt2,T$39:T44)/(1+realdiscrt2)^(1-Half_Year)</f>
        <v>0</v>
      </c>
      <c r="U124" s="533">
        <f>NPV(realdiscrt2,U$39:U44)/(1+realdiscrt2)^(1-Half_Year)</f>
        <v>0</v>
      </c>
      <c r="V124" s="531">
        <f>NPV(realdiscrt2,V$39:V44)/(1+realdiscrt2)^(1-Half_Year)</f>
        <v>609.73873854718295</v>
      </c>
      <c r="W124" s="532">
        <f>NPV(realdiscrt2,W$39:W44)/(1+realdiscrt2)^(1-Half_Year)</f>
        <v>0</v>
      </c>
      <c r="X124" s="534">
        <f>NPV(realdiscrt2,X$39:X44)/(1+realdiscrt2)^(1-Half_Year)</f>
        <v>741.30620642555687</v>
      </c>
      <c r="Y124" s="531">
        <f>NPV(realdiscrt2,Y$39:Y44)/(1+realdiscrt2)^(1-Half_Year)</f>
        <v>39.640253165912569</v>
      </c>
      <c r="Z124" s="532">
        <f>NPV(realdiscrt2,Z$39:Z44)/(1+realdiscrt2)^(1-Half_Year)</f>
        <v>46.068830600017051</v>
      </c>
      <c r="AA124" s="532">
        <f>NPV(realdiscrt2,AA$39:AA44)/(1+realdiscrt2)^(1-Half_Year)</f>
        <v>63.667622848735284</v>
      </c>
      <c r="AB124" s="532">
        <f>NPV(realdiscrt2,AB$39:AB44)/(1+realdiscrt2)^(1-Half_Year)</f>
        <v>57.513167518345703</v>
      </c>
      <c r="AC124" s="532">
        <f>NPV(realdiscrt2,AC$39:AC44)/(1+realdiscrt2)^(1-Half_Year)</f>
        <v>45.41185602418912</v>
      </c>
      <c r="AD124" s="532">
        <f>NPV(realdiscrt2,AD$39:AD44)/(1+realdiscrt2)^(1-Half_Year)</f>
        <v>59.505224482298047</v>
      </c>
      <c r="AE124" s="534">
        <f>NPV(realdiscrt2,AE$39:AE44)/(1+realdiscrt2)^(1-Half_Year)</f>
        <v>55.696205980106448</v>
      </c>
      <c r="AF124" s="535">
        <f>NPV(realdiscrt2,AF$39:AF44)/(1+realdiscrt2)^(1-Half_Year)</f>
        <v>1.439587921243704E-2</v>
      </c>
      <c r="AG124" s="530">
        <f>NPV(realdiscrt2,AG$39:AG44)/(1+realdiscrt2)^(1-Half_Year)</f>
        <v>1.6881989986232546</v>
      </c>
      <c r="AH124" s="536">
        <f>NPV(realdiscrt2,AH$39:AH44)/(1+realdiscrt2)^(1-Half_Year)</f>
        <v>1.6881989986232546</v>
      </c>
      <c r="AI124" s="536">
        <f>NPV(realdiscrt2,AI$39:AI44)/(1+realdiscrt2)^(1-Half_Year)</f>
        <v>3.1117387321828605</v>
      </c>
      <c r="AJ124" s="536">
        <f>NPV(realdiscrt2,AJ$39:AJ44)/(1+realdiscrt2)^(1-Half_Year)</f>
        <v>2.6460127699689155</v>
      </c>
      <c r="AK124" s="536">
        <f>NPV(realdiscrt2,AK$39:AK44)/(1+realdiscrt2)^(1-Half_Year)</f>
        <v>1.6881989986232546</v>
      </c>
      <c r="AL124" s="536">
        <f>NPV(realdiscrt2,AL$39:AL44)/(1+realdiscrt2)^(1-Half_Year)</f>
        <v>3.1117387321828605</v>
      </c>
      <c r="AM124" s="536">
        <f>NPV(realdiscrt2,AM$39:AM44)/(1+realdiscrt2)^(1-Half_Year)</f>
        <v>2.7269982636532371</v>
      </c>
      <c r="AN124" s="518">
        <f>NPV(realdiscrt2,AN$39:AN44)/(1+realdiscrt2)^(1-Half_Year)</f>
        <v>179.14249232225711</v>
      </c>
      <c r="AO124" s="519">
        <f>NPV(realdiscrt2,AO$39:AO44)/(1+realdiscrt2)^(1-Half_Year)</f>
        <v>158.58777626938587</v>
      </c>
      <c r="AP124" s="505">
        <f>NPV(realdiscrt2,AP$39:AP44)/(1+realdiscrt2)^(1-Half_Year)</f>
        <v>151.59184129908715</v>
      </c>
      <c r="AQ124" s="533">
        <f>NPV(realdiscrt2,AQ$39:AQ44)/(1+realdiscrt2)^(1-Half_Year)</f>
        <v>9.4237735571633563E-2</v>
      </c>
      <c r="AR124" s="519">
        <f>NPV(realdiscrt2,AR$39:AR44)/(1+realdiscrt2)^(1-Half_Year)</f>
        <v>220.5296970030866</v>
      </c>
      <c r="AS124" s="534">
        <f>NPV(realdiscrt2,AS$39:AS44)/(1+realdiscrt2)^(1-Half_Year)</f>
        <v>286.20160746515336</v>
      </c>
      <c r="AT124" s="518">
        <f>NPV(realdiscrt2,AT$39:AT44)/(1+realdiscrt2)^(1-Half_Year)</f>
        <v>155.26871320855645</v>
      </c>
      <c r="AU124" s="532">
        <f>NPV(realdiscrt2,AU$39:AU44)/(1+realdiscrt2)^(1-Half_Year)</f>
        <v>167.43040685464598</v>
      </c>
      <c r="AV124" s="531">
        <f>NPV(realdiscrt2,AV$39:AV44)/(1+realdiscrt2)^(1-Half_Year)</f>
        <v>7.7882001795323827E-2</v>
      </c>
      <c r="AW124" s="534">
        <f>NPV(realdiscrt2,AW$39:AW44)/(1+realdiscrt2)^(1-Half_Year)</f>
        <v>7.7882001795323827E-2</v>
      </c>
      <c r="AX124" s="523">
        <f>NPV(realdiscrt2,AX$39:AX44)/(1+realdiscrt2)^(1-Half_Year)</f>
        <v>9.2682461612004055</v>
      </c>
      <c r="AY124" s="537">
        <f>NPV(realdiscrt2,AY$39:AY44)/(1+realdiscrt2)^(1-Half_Year)</f>
        <v>59.489463919820281</v>
      </c>
      <c r="AZ124" s="530">
        <f>NPV(realdiscrt2,AZ$39:AZ44)/(1+realdiscrt2)^(1-Half_Year)</f>
        <v>0.2974153446448225</v>
      </c>
      <c r="BA124" s="536">
        <f>NPV(realdiscrt2,BA$39:BA44)/(1+realdiscrt2)^(1-Half_Year)</f>
        <v>0.32925896794296694</v>
      </c>
      <c r="BB124" s="536">
        <f>NPV(realdiscrt2,BB$39:BB44)/(1+realdiscrt2)^(1-Half_Year)</f>
        <v>0.32023781180642563</v>
      </c>
      <c r="BC124" s="533">
        <f>NPV(realdiscrt2,BC$39:BC44)/(1+realdiscrt2)^(1-Half_Year)</f>
        <v>0.36438404589775414</v>
      </c>
    </row>
    <row r="125" spans="1:55" s="324" customFormat="1" ht="14.25">
      <c r="A125" s="525">
        <f t="shared" si="96"/>
        <v>7</v>
      </c>
      <c r="B125" s="526">
        <f t="shared" si="95"/>
        <v>2031</v>
      </c>
      <c r="C125" s="527">
        <f>NPV(realdiscrt2,C$39:C45)/(1+realdiscrt2)^(1-Half_Year)</f>
        <v>0.52653810804418122</v>
      </c>
      <c r="D125" s="528">
        <f>NPV(realdiscrt2,D$39:D45)/(1+realdiscrt2)^(1-Half_Year)</f>
        <v>0.51659307702620871</v>
      </c>
      <c r="E125" s="528">
        <f>NPV(realdiscrt2,E$39:E45)/(1+realdiscrt2)^(1-Half_Year)</f>
        <v>0.38532874761763297</v>
      </c>
      <c r="F125" s="529">
        <f>NPV(realdiscrt2,F$39:F45)/(1+realdiscrt2)^(1-Half_Year)</f>
        <v>0.36261142698769855</v>
      </c>
      <c r="G125" s="527">
        <f>NPV(realdiscrt2,G$39:G45)/(1+realdiscrt2)^(1-Half_Year)</f>
        <v>4.9206717853664365E-2</v>
      </c>
      <c r="H125" s="528">
        <f>NPV(realdiscrt2,H$39:H45)/(1+realdiscrt2)^(1-Half_Year)</f>
        <v>4.2286611770987609E-2</v>
      </c>
      <c r="I125" s="528">
        <f>NPV(realdiscrt2,I$39:I45)/(1+realdiscrt2)^(1-Half_Year)</f>
        <v>2.8601113833974581E-2</v>
      </c>
      <c r="J125" s="528">
        <f>NPV(realdiscrt2,J$39:J45)/(1+realdiscrt2)^(1-Half_Year)</f>
        <v>1.777462060882113E-2</v>
      </c>
      <c r="K125" s="530">
        <f>NPV(realdiscrt2,K$39:K45)/(1+realdiscrt2)^(1-Half_Year)</f>
        <v>1.3825416052147724E-2</v>
      </c>
      <c r="L125" s="1139">
        <f>NPV(realdiscrt2,L$39:L45)/(1+realdiscrt2)^(1-Half_Year)</f>
        <v>378.4776130735504</v>
      </c>
      <c r="M125" s="532">
        <f>NPV(realdiscrt2,M$39:M45)/(1+realdiscrt2)^(1-Half_Year)</f>
        <v>282.87717555922166</v>
      </c>
      <c r="N125" s="532">
        <f>NPV(realdiscrt2,N$39:N45)/(1+realdiscrt2)^(1-Half_Year)</f>
        <v>282.87717555922166</v>
      </c>
      <c r="O125" s="534">
        <f>NPV(realdiscrt2,O$39:O45)/(1+realdiscrt2)^(1-Half_Year)</f>
        <v>0</v>
      </c>
      <c r="P125" s="637">
        <f t="shared" si="94"/>
        <v>0</v>
      </c>
      <c r="Q125" s="637">
        <f t="shared" si="94"/>
        <v>21.889183180986841</v>
      </c>
      <c r="R125" s="1134">
        <f t="shared" si="94"/>
        <v>21.889183180986841</v>
      </c>
      <c r="S125" s="519">
        <f>NPV(realdiscrt2,S$39:S45)/(1+realdiscrt2)^(1-Half_Year)</f>
        <v>0</v>
      </c>
      <c r="T125" s="519">
        <f>NPV(realdiscrt2,T$39:T45)/(1+realdiscrt2)^(1-Half_Year)</f>
        <v>0</v>
      </c>
      <c r="U125" s="533">
        <f>NPV(realdiscrt2,U$39:U45)/(1+realdiscrt2)^(1-Half_Year)</f>
        <v>0</v>
      </c>
      <c r="V125" s="531">
        <f>NPV(realdiscrt2,V$39:V45)/(1+realdiscrt2)^(1-Half_Year)</f>
        <v>706.62947051669039</v>
      </c>
      <c r="W125" s="532">
        <f>NPV(realdiscrt2,W$39:W45)/(1+realdiscrt2)^(1-Half_Year)</f>
        <v>0</v>
      </c>
      <c r="X125" s="534">
        <f>NPV(realdiscrt2,X$39:X45)/(1+realdiscrt2)^(1-Half_Year)</f>
        <v>859.10370954180814</v>
      </c>
      <c r="Y125" s="531">
        <f>NPV(realdiscrt2,Y$39:Y45)/(1+realdiscrt2)^(1-Half_Year)</f>
        <v>46.253724906243441</v>
      </c>
      <c r="Z125" s="532">
        <f>NPV(realdiscrt2,Z$39:Z45)/(1+realdiscrt2)^(1-Half_Year)</f>
        <v>53.685797937625061</v>
      </c>
      <c r="AA125" s="532">
        <f>NPV(realdiscrt2,AA$39:AA45)/(1+realdiscrt2)^(1-Half_Year)</f>
        <v>74.041225258908185</v>
      </c>
      <c r="AB125" s="532">
        <f>NPV(realdiscrt2,AB$39:AB45)/(1+realdiscrt2)^(1-Half_Year)</f>
        <v>66.922963664205582</v>
      </c>
      <c r="AC125" s="532">
        <f>NPV(realdiscrt2,AC$39:AC45)/(1+realdiscrt2)^(1-Half_Year)</f>
        <v>52.924406332511403</v>
      </c>
      <c r="AD125" s="532">
        <f>NPV(realdiscrt2,AD$39:AD45)/(1+realdiscrt2)^(1-Half_Year)</f>
        <v>69.227594702168645</v>
      </c>
      <c r="AE125" s="534">
        <f>NPV(realdiscrt2,AE$39:AE45)/(1+realdiscrt2)^(1-Half_Year)</f>
        <v>64.821327575234264</v>
      </c>
      <c r="AF125" s="535">
        <f>NPV(realdiscrt2,AF$39:AF45)/(1+realdiscrt2)^(1-Half_Year)</f>
        <v>1.7050594087385577E-2</v>
      </c>
      <c r="AG125" s="530">
        <f>NPV(realdiscrt2,AG$39:AG45)/(1+realdiscrt2)^(1-Half_Year)</f>
        <v>1.8101428124805468</v>
      </c>
      <c r="AH125" s="536">
        <f>NPV(realdiscrt2,AH$39:AH45)/(1+realdiscrt2)^(1-Half_Year)</f>
        <v>1.8101428124805468</v>
      </c>
      <c r="AI125" s="536">
        <f>NPV(realdiscrt2,AI$39:AI45)/(1+realdiscrt2)^(1-Half_Year)</f>
        <v>3.3316165718247337</v>
      </c>
      <c r="AJ125" s="536">
        <f>NPV(realdiscrt2,AJ$39:AJ45)/(1+realdiscrt2)^(1-Half_Year)</f>
        <v>2.8338504653726235</v>
      </c>
      <c r="AK125" s="536">
        <f>NPV(realdiscrt2,AK$39:AK45)/(1+realdiscrt2)^(1-Half_Year)</f>
        <v>1.8101428124805468</v>
      </c>
      <c r="AL125" s="536">
        <f>NPV(realdiscrt2,AL$39:AL45)/(1+realdiscrt2)^(1-Half_Year)</f>
        <v>3.3316165718247337</v>
      </c>
      <c r="AM125" s="536">
        <f>NPV(realdiscrt2,AM$39:AM45)/(1+realdiscrt2)^(1-Half_Year)</f>
        <v>2.9204074476776563</v>
      </c>
      <c r="AN125" s="518">
        <f>NPV(realdiscrt2,AN$39:AN45)/(1+realdiscrt2)^(1-Half_Year)</f>
        <v>208.99723147763757</v>
      </c>
      <c r="AO125" s="519">
        <f>NPV(realdiscrt2,AO$39:AO45)/(1+realdiscrt2)^(1-Half_Year)</f>
        <v>185.00634591334699</v>
      </c>
      <c r="AP125" s="505">
        <f>NPV(realdiscrt2,AP$39:AP45)/(1+realdiscrt2)^(1-Half_Year)</f>
        <v>176.88292737950036</v>
      </c>
      <c r="AQ125" s="533">
        <f>NPV(realdiscrt2,AQ$39:AQ45)/(1+realdiscrt2)^(1-Half_Year)</f>
        <v>0.11016237022970179</v>
      </c>
      <c r="AR125" s="519">
        <f>NPV(realdiscrt2,AR$39:AR45)/(1+realdiscrt2)^(1-Half_Year)</f>
        <v>257.28176232658689</v>
      </c>
      <c r="AS125" s="534">
        <f>NPV(realdiscrt2,AS$39:AS45)/(1+realdiscrt2)^(1-Half_Year)</f>
        <v>333.06861002849564</v>
      </c>
      <c r="AT125" s="518">
        <f>NPV(realdiscrt2,AT$39:AT45)/(1+realdiscrt2)^(1-Half_Year)</f>
        <v>181.14480140930718</v>
      </c>
      <c r="AU125" s="532">
        <f>NPV(realdiscrt2,AU$39:AU45)/(1+realdiscrt2)^(1-Half_Year)</f>
        <v>195.33328494083887</v>
      </c>
      <c r="AV125" s="531">
        <f>NPV(realdiscrt2,AV$39:AV45)/(1+realdiscrt2)^(1-Half_Year)</f>
        <v>9.025786654549417E-2</v>
      </c>
      <c r="AW125" s="534">
        <f>NPV(realdiscrt2,AW$39:AW45)/(1+realdiscrt2)^(1-Half_Year)</f>
        <v>9.025786654549417E-2</v>
      </c>
      <c r="AX125" s="523">
        <f>NPV(realdiscrt2,AX$39:AX45)/(1+realdiscrt2)^(1-Half_Year)</f>
        <v>10.741019822870573</v>
      </c>
      <c r="AY125" s="537">
        <f>NPV(realdiscrt2,AY$39:AY45)/(1+realdiscrt2)^(1-Half_Year)</f>
        <v>70.64643922540219</v>
      </c>
      <c r="AZ125" s="530">
        <f>NPV(realdiscrt2,AZ$39:AZ45)/(1+realdiscrt2)^(1-Half_Year)</f>
        <v>0.33458587650951238</v>
      </c>
      <c r="BA125" s="536">
        <f>NPV(realdiscrt2,BA$39:BA45)/(1+realdiscrt2)^(1-Half_Year)</f>
        <v>0.36897981363629806</v>
      </c>
      <c r="BB125" s="536">
        <f>NPV(realdiscrt2,BB$39:BB45)/(1+realdiscrt2)^(1-Half_Year)</f>
        <v>0.36172318653022451</v>
      </c>
      <c r="BC125" s="533">
        <f>NPV(realdiscrt2,BC$39:BC45)/(1+realdiscrt2)^(1-Half_Year)</f>
        <v>0.40843839014187189</v>
      </c>
    </row>
    <row r="126" spans="1:55" s="324" customFormat="1" ht="14.25">
      <c r="A126" s="525">
        <f t="shared" si="96"/>
        <v>8</v>
      </c>
      <c r="B126" s="526">
        <f t="shared" si="95"/>
        <v>2032</v>
      </c>
      <c r="C126" s="527">
        <f>NPV(realdiscrt2,C$39:C46)/(1+realdiscrt2)^(1-Half_Year)</f>
        <v>0.60389320414124192</v>
      </c>
      <c r="D126" s="528">
        <f>NPV(realdiscrt2,D$39:D46)/(1+realdiscrt2)^(1-Half_Year)</f>
        <v>0.58996470418282154</v>
      </c>
      <c r="E126" s="528">
        <f>NPV(realdiscrt2,E$39:E46)/(1+realdiscrt2)^(1-Half_Year)</f>
        <v>0.44518234476806928</v>
      </c>
      <c r="F126" s="529">
        <f>NPV(realdiscrt2,F$39:F46)/(1+realdiscrt2)^(1-Half_Year)</f>
        <v>0.41496047012919945</v>
      </c>
      <c r="G126" s="527">
        <f>NPV(realdiscrt2,G$39:G46)/(1+realdiscrt2)^(1-Half_Year)</f>
        <v>5.5794464247725738E-2</v>
      </c>
      <c r="H126" s="528">
        <f>NPV(realdiscrt2,H$39:H46)/(1+realdiscrt2)^(1-Half_Year)</f>
        <v>4.8174392617603923E-2</v>
      </c>
      <c r="I126" s="528">
        <f>NPV(realdiscrt2,I$39:I46)/(1+realdiscrt2)^(1-Half_Year)</f>
        <v>3.2577061910494587E-2</v>
      </c>
      <c r="J126" s="528">
        <f>NPV(realdiscrt2,J$39:J46)/(1+realdiscrt2)^(1-Half_Year)</f>
        <v>2.0403394448857099E-2</v>
      </c>
      <c r="K126" s="530">
        <f>NPV(realdiscrt2,K$39:K46)/(1+realdiscrt2)^(1-Half_Year)</f>
        <v>1.4485514616459673E-2</v>
      </c>
      <c r="L126" s="1139">
        <f>NPV(realdiscrt2,L$39:L46)/(1+realdiscrt2)^(1-Half_Year)</f>
        <v>440.28438258235849</v>
      </c>
      <c r="M126" s="532">
        <f>NPV(realdiscrt2,M$39:M46)/(1+realdiscrt2)^(1-Half_Year)</f>
        <v>320.9254228688439</v>
      </c>
      <c r="N126" s="532">
        <f>NPV(realdiscrt2,N$39:N46)/(1+realdiscrt2)^(1-Half_Year)</f>
        <v>320.9254228688439</v>
      </c>
      <c r="O126" s="534">
        <f>NPV(realdiscrt2,O$39:O46)/(1+realdiscrt2)^(1-Half_Year)</f>
        <v>0</v>
      </c>
      <c r="P126" s="637">
        <f t="shared" si="94"/>
        <v>0</v>
      </c>
      <c r="Q126" s="637">
        <f t="shared" si="94"/>
        <v>28.24405661371495</v>
      </c>
      <c r="R126" s="1134">
        <f t="shared" si="94"/>
        <v>28.24405661371495</v>
      </c>
      <c r="S126" s="519">
        <f>NPV(realdiscrt2,S$39:S46)/(1+realdiscrt2)^(1-Half_Year)</f>
        <v>0</v>
      </c>
      <c r="T126" s="519">
        <f>NPV(realdiscrt2,T$39:T46)/(1+realdiscrt2)^(1-Half_Year)</f>
        <v>0</v>
      </c>
      <c r="U126" s="533">
        <f>NPV(realdiscrt2,U$39:U46)/(1+realdiscrt2)^(1-Half_Year)</f>
        <v>0</v>
      </c>
      <c r="V126" s="531">
        <f>NPV(realdiscrt2,V$39:V46)/(1+realdiscrt2)^(1-Half_Year)</f>
        <v>802.21633648753618</v>
      </c>
      <c r="W126" s="532">
        <f>NPV(realdiscrt2,W$39:W46)/(1+realdiscrt2)^(1-Half_Year)</f>
        <v>0</v>
      </c>
      <c r="X126" s="534">
        <f>NPV(realdiscrt2,X$39:X46)/(1+realdiscrt2)^(1-Half_Year)</f>
        <v>975.31600263932569</v>
      </c>
      <c r="Y126" s="531">
        <f>NPV(realdiscrt2,Y$39:Y46)/(1+realdiscrt2)^(1-Half_Year)</f>
        <v>52.857766170753486</v>
      </c>
      <c r="Z126" s="532">
        <f>NPV(realdiscrt2,Z$39:Z46)/(1+realdiscrt2)^(1-Half_Year)</f>
        <v>61.275370680453172</v>
      </c>
      <c r="AA126" s="532">
        <f>NPV(realdiscrt2,AA$39:AA46)/(1+realdiscrt2)^(1-Half_Year)</f>
        <v>84.340465890820681</v>
      </c>
      <c r="AB126" s="532">
        <f>NPV(realdiscrt2,AB$39:AB46)/(1+realdiscrt2)^(1-Half_Year)</f>
        <v>76.274872734978231</v>
      </c>
      <c r="AC126" s="532">
        <f>NPV(realdiscrt2,AC$39:AC46)/(1+realdiscrt2)^(1-Half_Year)</f>
        <v>60.410968012609715</v>
      </c>
      <c r="AD126" s="532">
        <f>NPV(realdiscrt2,AD$39:AD46)/(1+realdiscrt2)^(1-Half_Year)</f>
        <v>78.886861214324355</v>
      </c>
      <c r="AE126" s="534">
        <f>NPV(realdiscrt2,AE$39:AE46)/(1+realdiscrt2)^(1-Half_Year)</f>
        <v>73.893376565212293</v>
      </c>
      <c r="AF126" s="535">
        <f>NPV(realdiscrt2,AF$39:AF46)/(1+realdiscrt2)^(1-Half_Year)</f>
        <v>1.9675236182769895E-2</v>
      </c>
      <c r="AG126" s="530">
        <f>NPV(realdiscrt2,AG$39:AG46)/(1+realdiscrt2)^(1-Half_Year)</f>
        <v>1.8947580581286048</v>
      </c>
      <c r="AH126" s="536">
        <f>NPV(realdiscrt2,AH$39:AH46)/(1+realdiscrt2)^(1-Half_Year)</f>
        <v>1.8947580581286048</v>
      </c>
      <c r="AI126" s="536">
        <f>NPV(realdiscrt2,AI$39:AI46)/(1+realdiscrt2)^(1-Half_Year)</f>
        <v>3.4821028552905124</v>
      </c>
      <c r="AJ126" s="536">
        <f>NPV(realdiscrt2,AJ$39:AJ46)/(1+realdiscrt2)^(1-Half_Year)</f>
        <v>2.9627863475770484</v>
      </c>
      <c r="AK126" s="536">
        <f>NPV(realdiscrt2,AK$39:AK46)/(1+realdiscrt2)^(1-Half_Year)</f>
        <v>1.8947580581286048</v>
      </c>
      <c r="AL126" s="536">
        <f>NPV(realdiscrt2,AL$39:AL46)/(1+realdiscrt2)^(1-Half_Year)</f>
        <v>3.4821028552905124</v>
      </c>
      <c r="AM126" s="536">
        <f>NPV(realdiscrt2,AM$39:AM46)/(1+realdiscrt2)^(1-Half_Year)</f>
        <v>3.0530907479494562</v>
      </c>
      <c r="AN126" s="518">
        <f>NPV(realdiscrt2,AN$39:AN46)/(1+realdiscrt2)^(1-Half_Year)</f>
        <v>238.76014028964431</v>
      </c>
      <c r="AO126" s="519">
        <f>NPV(realdiscrt2,AO$39:AO46)/(1+realdiscrt2)^(1-Half_Year)</f>
        <v>211.38126828540652</v>
      </c>
      <c r="AP126" s="505">
        <f>NPV(realdiscrt2,AP$39:AP46)/(1+realdiscrt2)^(1-Half_Year)</f>
        <v>202.13983118759361</v>
      </c>
      <c r="AQ126" s="533">
        <f>NPV(realdiscrt2,AQ$39:AQ46)/(1+realdiscrt2)^(1-Half_Year)</f>
        <v>0.126067641278238</v>
      </c>
      <c r="AR126" s="519">
        <f>NPV(realdiscrt2,AR$39:AR46)/(1+realdiscrt2)^(1-Half_Year)</f>
        <v>293.92078178621995</v>
      </c>
      <c r="AS126" s="534">
        <f>NPV(realdiscrt2,AS$39:AS46)/(1+realdiscrt2)^(1-Half_Year)</f>
        <v>379.61484691722012</v>
      </c>
      <c r="AT126" s="518">
        <f>NPV(realdiscrt2,AT$39:AT46)/(1+realdiscrt2)^(1-Half_Year)</f>
        <v>206.94129721930622</v>
      </c>
      <c r="AU126" s="532">
        <f>NPV(realdiscrt2,AU$39:AU46)/(1+realdiscrt2)^(1-Half_Year)</f>
        <v>223.15033642300634</v>
      </c>
      <c r="AV126" s="531">
        <f>NPV(realdiscrt2,AV$39:AV46)/(1+realdiscrt2)^(1-Half_Year)</f>
        <v>0.10246718833614944</v>
      </c>
      <c r="AW126" s="534">
        <f>NPV(realdiscrt2,AW$39:AW46)/(1+realdiscrt2)^(1-Half_Year)</f>
        <v>0.10246718833614944</v>
      </c>
      <c r="AX126" s="523">
        <f>NPV(realdiscrt2,AX$39:AX46)/(1+realdiscrt2)^(1-Half_Year)</f>
        <v>12.193974256611074</v>
      </c>
      <c r="AY126" s="537">
        <f>NPV(realdiscrt2,AY$39:AY46)/(1+realdiscrt2)^(1-Half_Year)</f>
        <v>82.192289728771584</v>
      </c>
      <c r="AZ126" s="530">
        <f>NPV(realdiscrt2,AZ$39:AZ46)/(1+realdiscrt2)^(1-Half_Year)</f>
        <v>0.36772542705862254</v>
      </c>
      <c r="BA126" s="536">
        <f>NPV(realdiscrt2,BA$39:BA46)/(1+realdiscrt2)^(1-Half_Year)</f>
        <v>0.40600800127678138</v>
      </c>
      <c r="BB126" s="536">
        <f>NPV(realdiscrt2,BB$39:BB46)/(1+realdiscrt2)^(1-Half_Year)</f>
        <v>0.39702931757451826</v>
      </c>
      <c r="BC126" s="533">
        <f>NPV(realdiscrt2,BC$39:BC46)/(1+realdiscrt2)^(1-Half_Year)</f>
        <v>0.4482826099632134</v>
      </c>
    </row>
    <row r="127" spans="1:55" s="324" customFormat="1" ht="14.25">
      <c r="A127" s="525">
        <f t="shared" si="96"/>
        <v>9</v>
      </c>
      <c r="B127" s="526">
        <f t="shared" si="95"/>
        <v>2033</v>
      </c>
      <c r="C127" s="527">
        <f>NPV(realdiscrt2,C$39:C47)/(1+realdiscrt2)^(1-Half_Year)</f>
        <v>0.67533525020700857</v>
      </c>
      <c r="D127" s="528">
        <f>NPV(realdiscrt2,D$39:D47)/(1+realdiscrt2)^(1-Half_Year)</f>
        <v>0.65921566404244247</v>
      </c>
      <c r="E127" s="528">
        <f>NPV(realdiscrt2,E$39:E47)/(1+realdiscrt2)^(1-Half_Year)</f>
        <v>0.49984398780376066</v>
      </c>
      <c r="F127" s="529">
        <f>NPV(realdiscrt2,F$39:F47)/(1+realdiscrt2)^(1-Half_Year)</f>
        <v>0.46470692788924806</v>
      </c>
      <c r="G127" s="527">
        <f>NPV(realdiscrt2,G$39:G47)/(1+realdiscrt2)^(1-Half_Year)</f>
        <v>6.1762624932037602E-2</v>
      </c>
      <c r="H127" s="528">
        <f>NPV(realdiscrt2,H$39:H47)/(1+realdiscrt2)^(1-Half_Year)</f>
        <v>5.359375283178959E-2</v>
      </c>
      <c r="I127" s="528">
        <f>NPV(realdiscrt2,I$39:I47)/(1+realdiscrt2)^(1-Half_Year)</f>
        <v>3.6237532755160694E-2</v>
      </c>
      <c r="J127" s="528">
        <f>NPV(realdiscrt2,J$39:J47)/(1+realdiscrt2)^(1-Half_Year)</f>
        <v>2.2813228255607002E-2</v>
      </c>
      <c r="K127" s="530">
        <f>NPV(realdiscrt2,K$39:K47)/(1+realdiscrt2)^(1-Half_Year)</f>
        <v>1.4892954824726115E-2</v>
      </c>
      <c r="L127" s="1139">
        <f>NPV(realdiscrt2,L$39:L47)/(1+realdiscrt2)^(1-Half_Year)</f>
        <v>500.63519329655514</v>
      </c>
      <c r="M127" s="532">
        <f>NPV(realdiscrt2,M$39:M47)/(1+realdiscrt2)^(1-Half_Year)</f>
        <v>343.2165983142396</v>
      </c>
      <c r="N127" s="532">
        <f>NPV(realdiscrt2,N$39:N47)/(1+realdiscrt2)^(1-Half_Year)</f>
        <v>343.2165983142396</v>
      </c>
      <c r="O127" s="534">
        <f>NPV(realdiscrt2,O$39:O47)/(1+realdiscrt2)^(1-Half_Year)</f>
        <v>0</v>
      </c>
      <c r="P127" s="637">
        <f t="shared" si="94"/>
        <v>0</v>
      </c>
      <c r="Q127" s="637">
        <f t="shared" si="94"/>
        <v>33.002392115865852</v>
      </c>
      <c r="R127" s="1134">
        <f t="shared" si="94"/>
        <v>33.002392115865852</v>
      </c>
      <c r="S127" s="519">
        <f>NPV(realdiscrt2,S$39:S47)/(1+realdiscrt2)^(1-Half_Year)</f>
        <v>0</v>
      </c>
      <c r="T127" s="519">
        <f>NPV(realdiscrt2,T$39:T47)/(1+realdiscrt2)^(1-Half_Year)</f>
        <v>0</v>
      </c>
      <c r="U127" s="533">
        <f>NPV(realdiscrt2,U$39:U47)/(1+realdiscrt2)^(1-Half_Year)</f>
        <v>0</v>
      </c>
      <c r="V127" s="531">
        <f>NPV(realdiscrt2,V$39:V47)/(1+realdiscrt2)^(1-Half_Year)</f>
        <v>896.51688268429621</v>
      </c>
      <c r="W127" s="532">
        <f>NPV(realdiscrt2,W$39:W47)/(1+realdiscrt2)^(1-Half_Year)</f>
        <v>0</v>
      </c>
      <c r="X127" s="534">
        <f>NPV(realdiscrt2,X$39:X47)/(1+realdiscrt2)^(1-Half_Year)</f>
        <v>1089.964418010705</v>
      </c>
      <c r="Y127" s="531">
        <f>NPV(realdiscrt2,Y$39:Y47)/(1+realdiscrt2)^(1-Half_Year)</f>
        <v>59.449385988560202</v>
      </c>
      <c r="Z127" s="532">
        <f>NPV(realdiscrt2,Z$39:Z47)/(1+realdiscrt2)^(1-Half_Year)</f>
        <v>68.834552789902389</v>
      </c>
      <c r="AA127" s="532">
        <f>NPV(realdiscrt2,AA$39:AA47)/(1+realdiscrt2)^(1-Half_Year)</f>
        <v>94.562435941279418</v>
      </c>
      <c r="AB127" s="532">
        <f>NPV(realdiscrt2,AB$39:AB47)/(1+realdiscrt2)^(1-Half_Year)</f>
        <v>85.565957700313959</v>
      </c>
      <c r="AC127" s="532">
        <f>NPV(realdiscrt2,AC$39:AC47)/(1+realdiscrt2)^(1-Half_Year)</f>
        <v>67.868514828062175</v>
      </c>
      <c r="AD127" s="532">
        <f>NPV(realdiscrt2,AD$39:AD47)/(1+realdiscrt2)^(1-Half_Year)</f>
        <v>88.480151280044439</v>
      </c>
      <c r="AE127" s="534">
        <f>NPV(realdiscrt2,AE$39:AE47)/(1+realdiscrt2)^(1-Half_Year)</f>
        <v>82.909438725454606</v>
      </c>
      <c r="AF127" s="535">
        <f>NPV(realdiscrt2,AF$39:AF47)/(1+realdiscrt2)^(1-Half_Year)</f>
        <v>2.2270941411832997E-2</v>
      </c>
      <c r="AG127" s="530">
        <f>NPV(realdiscrt2,AG$39:AG47)/(1+realdiscrt2)^(1-Half_Year)</f>
        <v>1.9460104294642584</v>
      </c>
      <c r="AH127" s="536">
        <f>NPV(realdiscrt2,AH$39:AH47)/(1+realdiscrt2)^(1-Half_Year)</f>
        <v>1.9460104294642584</v>
      </c>
      <c r="AI127" s="536">
        <f>NPV(realdiscrt2,AI$39:AI47)/(1+realdiscrt2)^(1-Half_Year)</f>
        <v>3.5708674802996927</v>
      </c>
      <c r="AJ127" s="536">
        <f>NPV(realdiscrt2,AJ$39:AJ47)/(1+realdiscrt2)^(1-Half_Year)</f>
        <v>3.039278445149828</v>
      </c>
      <c r="AK127" s="536">
        <f>NPV(realdiscrt2,AK$39:AK47)/(1+realdiscrt2)^(1-Half_Year)</f>
        <v>1.9460104294642584</v>
      </c>
      <c r="AL127" s="536">
        <f>NPV(realdiscrt2,AL$39:AL47)/(1+realdiscrt2)^(1-Half_Year)</f>
        <v>3.5708674802996927</v>
      </c>
      <c r="AM127" s="536">
        <f>NPV(realdiscrt2,AM$39:AM47)/(1+realdiscrt2)^(1-Half_Year)</f>
        <v>3.1317169260198452</v>
      </c>
      <c r="AN127" s="518">
        <f>NPV(realdiscrt2,AN$39:AN47)/(1+realdiscrt2)^(1-Half_Year)</f>
        <v>268.26224634870152</v>
      </c>
      <c r="AO127" s="519">
        <f>NPV(realdiscrt2,AO$39:AO47)/(1+realdiscrt2)^(1-Half_Year)</f>
        <v>237.57456272183333</v>
      </c>
      <c r="AP127" s="505">
        <f>NPV(realdiscrt2,AP$39:AP47)/(1+realdiscrt2)^(1-Half_Year)</f>
        <v>227.21693163325853</v>
      </c>
      <c r="AQ127" s="533">
        <f>NPV(realdiscrt2,AQ$39:AQ47)/(1+realdiscrt2)^(1-Half_Year)</f>
        <v>0.14180690561854128</v>
      </c>
      <c r="AR127" s="519">
        <f>NPV(realdiscrt2,AR$39:AR47)/(1+realdiscrt2)^(1-Half_Year)</f>
        <v>330.23874535710223</v>
      </c>
      <c r="AS127" s="534">
        <f>NPV(realdiscrt2,AS$39:AS47)/(1+realdiscrt2)^(1-Half_Year)</f>
        <v>425.67442652203221</v>
      </c>
      <c r="AT127" s="518">
        <f>NPV(realdiscrt2,AT$39:AT47)/(1+realdiscrt2)^(1-Half_Year)</f>
        <v>232.51174667186774</v>
      </c>
      <c r="AU127" s="532">
        <f>NPV(realdiscrt2,AU$39:AU47)/(1+realdiscrt2)^(1-Half_Year)</f>
        <v>250.72363607126158</v>
      </c>
      <c r="AV127" s="531">
        <f>NPV(realdiscrt2,AV$39:AV47)/(1+realdiscrt2)^(1-Half_Year)</f>
        <v>0.11451220834864742</v>
      </c>
      <c r="AW127" s="534">
        <f>NPV(realdiscrt2,AW$39:AW47)/(1+realdiscrt2)^(1-Half_Year)</f>
        <v>0.11451220834864742</v>
      </c>
      <c r="AX127" s="523">
        <f>NPV(realdiscrt2,AX$39:AX47)/(1+realdiscrt2)^(1-Half_Year)</f>
        <v>13.627376171289635</v>
      </c>
      <c r="AY127" s="537">
        <f>NPV(realdiscrt2,AY$39:AY47)/(1+realdiscrt2)^(1-Half_Year)</f>
        <v>94.140569633940942</v>
      </c>
      <c r="AZ127" s="530">
        <f>NPV(realdiscrt2,AZ$39:AZ47)/(1+realdiscrt2)^(1-Half_Year)</f>
        <v>0.39804402156639929</v>
      </c>
      <c r="BA127" s="536">
        <f>NPV(realdiscrt2,BA$39:BA47)/(1+realdiscrt2)^(1-Half_Year)</f>
        <v>0.43863506417763898</v>
      </c>
      <c r="BB127" s="536">
        <f>NPV(realdiscrt2,BB$39:BB47)/(1+realdiscrt2)^(1-Half_Year)</f>
        <v>0.43130842236315275</v>
      </c>
      <c r="BC127" s="533">
        <f>NPV(realdiscrt2,BC$39:BC47)/(1+realdiscrt2)^(1-Half_Year)</f>
        <v>0.48492611786143186</v>
      </c>
    </row>
    <row r="128" spans="1:55" s="324" customFormat="1" ht="14.25">
      <c r="A128" s="525">
        <f t="shared" si="96"/>
        <v>10</v>
      </c>
      <c r="B128" s="526">
        <f t="shared" si="95"/>
        <v>2034</v>
      </c>
      <c r="C128" s="527">
        <f>NPV(realdiscrt2,C$39:C48)/(1+realdiscrt2)^(1-Half_Year)</f>
        <v>0.74587400224876854</v>
      </c>
      <c r="D128" s="528">
        <f>NPV(realdiscrt2,D$39:D48)/(1+realdiscrt2)^(1-Half_Year)</f>
        <v>0.72980663126587664</v>
      </c>
      <c r="E128" s="528">
        <f>NPV(realdiscrt2,E$39:E48)/(1+realdiscrt2)^(1-Half_Year)</f>
        <v>0.55341865205542784</v>
      </c>
      <c r="F128" s="529">
        <f>NPV(realdiscrt2,F$39:F48)/(1+realdiscrt2)^(1-Half_Year)</f>
        <v>0.51594196286425054</v>
      </c>
      <c r="G128" s="527">
        <f>NPV(realdiscrt2,G$39:G48)/(1+realdiscrt2)^(1-Half_Year)</f>
        <v>6.6666352706697962E-2</v>
      </c>
      <c r="H128" s="528">
        <f>NPV(realdiscrt2,H$39:H48)/(1+realdiscrt2)^(1-Half_Year)</f>
        <v>5.8030267647910236E-2</v>
      </c>
      <c r="I128" s="528">
        <f>NPV(realdiscrt2,I$39:I48)/(1+realdiscrt2)^(1-Half_Year)</f>
        <v>3.9289063132323047E-2</v>
      </c>
      <c r="J128" s="528">
        <f>NPV(realdiscrt2,J$39:J48)/(1+realdiscrt2)^(1-Half_Year)</f>
        <v>2.4814841061855244E-2</v>
      </c>
      <c r="K128" s="530">
        <f>NPV(realdiscrt2,K$39:K48)/(1+realdiscrt2)^(1-Half_Year)</f>
        <v>1.508514631189955E-2</v>
      </c>
      <c r="L128" s="1139">
        <f>NPV(realdiscrt2,L$39:L48)/(1+realdiscrt2)^(1-Half_Year)</f>
        <v>572.64697192848746</v>
      </c>
      <c r="M128" s="532">
        <f>NPV(realdiscrt2,M$39:M48)/(1+realdiscrt2)^(1-Half_Year)</f>
        <v>352.08268849940316</v>
      </c>
      <c r="N128" s="532">
        <f>NPV(realdiscrt2,N$39:N48)/(1+realdiscrt2)^(1-Half_Year)</f>
        <v>352.08268849940316</v>
      </c>
      <c r="O128" s="534">
        <f>NPV(realdiscrt2,O$39:O48)/(1+realdiscrt2)^(1-Half_Year)</f>
        <v>0</v>
      </c>
      <c r="P128" s="637">
        <f t="shared" si="94"/>
        <v>0</v>
      </c>
      <c r="Q128" s="637">
        <f t="shared" si="94"/>
        <v>30.894378928779165</v>
      </c>
      <c r="R128" s="1134">
        <f t="shared" si="94"/>
        <v>30.894378928779165</v>
      </c>
      <c r="S128" s="519">
        <f>NPV(realdiscrt2,S$39:S48)/(1+realdiscrt2)^(1-Half_Year)</f>
        <v>0</v>
      </c>
      <c r="T128" s="519">
        <f>NPV(realdiscrt2,T$39:T48)/(1+realdiscrt2)^(1-Half_Year)</f>
        <v>0</v>
      </c>
      <c r="U128" s="533">
        <f>NPV(realdiscrt2,U$39:U48)/(1+realdiscrt2)^(1-Half_Year)</f>
        <v>0</v>
      </c>
      <c r="V128" s="531">
        <f>NPV(realdiscrt2,V$39:V48)/(1+realdiscrt2)^(1-Half_Year)</f>
        <v>989.54841921065918</v>
      </c>
      <c r="W128" s="532">
        <f>NPV(realdiscrt2,W$39:W48)/(1+realdiscrt2)^(1-Half_Year)</f>
        <v>0</v>
      </c>
      <c r="X128" s="534">
        <f>NPV(realdiscrt2,X$39:X48)/(1+realdiscrt2)^(1-Half_Year)</f>
        <v>1203.0700008782467</v>
      </c>
      <c r="Y128" s="531">
        <f>NPV(realdiscrt2,Y$39:Y48)/(1+realdiscrt2)^(1-Half_Year)</f>
        <v>65.983874526135892</v>
      </c>
      <c r="Z128" s="532">
        <f>NPV(realdiscrt2,Z$39:Z48)/(1+realdiscrt2)^(1-Half_Year)</f>
        <v>76.318063130531641</v>
      </c>
      <c r="AA128" s="532">
        <f>NPV(realdiscrt2,AA$39:AA48)/(1+realdiscrt2)^(1-Half_Year)</f>
        <v>104.66064867949886</v>
      </c>
      <c r="AB128" s="532">
        <f>NPV(realdiscrt2,AB$39:AB48)/(1+realdiscrt2)^(1-Half_Year)</f>
        <v>94.750161518145646</v>
      </c>
      <c r="AC128" s="532">
        <f>NPV(realdiscrt2,AC$39:AC48)/(1+realdiscrt2)^(1-Half_Year)</f>
        <v>75.251692543307016</v>
      </c>
      <c r="AD128" s="532">
        <f>NPV(realdiscrt2,AD$39:AD48)/(1+realdiscrt2)^(1-Half_Year)</f>
        <v>97.961512711743651</v>
      </c>
      <c r="AE128" s="534">
        <f>NPV(realdiscrt2,AE$39:AE48)/(1+realdiscrt2)^(1-Half_Year)</f>
        <v>91.823723477031038</v>
      </c>
      <c r="AF128" s="535">
        <f>NPV(realdiscrt2,AF$39:AF48)/(1+realdiscrt2)^(1-Half_Year)</f>
        <v>2.484071276245612E-2</v>
      </c>
      <c r="AG128" s="530">
        <f>NPV(realdiscrt2,AG$39:AG48)/(1+realdiscrt2)^(1-Half_Year)</f>
        <v>1.9688410523467788</v>
      </c>
      <c r="AH128" s="536">
        <f>NPV(realdiscrt2,AH$39:AH48)/(1+realdiscrt2)^(1-Half_Year)</f>
        <v>1.9688410523467788</v>
      </c>
      <c r="AI128" s="536">
        <f>NPV(realdiscrt2,AI$39:AI48)/(1+realdiscrt2)^(1-Half_Year)</f>
        <v>3.6075958664517471</v>
      </c>
      <c r="AJ128" s="536">
        <f>NPV(realdiscrt2,AJ$39:AJ48)/(1+realdiscrt2)^(1-Half_Year)</f>
        <v>3.0714600322075287</v>
      </c>
      <c r="AK128" s="536">
        <f>NPV(realdiscrt2,AK$39:AK48)/(1+realdiscrt2)^(1-Half_Year)</f>
        <v>1.9688410523467788</v>
      </c>
      <c r="AL128" s="536">
        <f>NPV(realdiscrt2,AL$39:AL48)/(1+realdiscrt2)^(1-Half_Year)</f>
        <v>3.6075958664517471</v>
      </c>
      <c r="AM128" s="536">
        <f>NPV(realdiscrt2,AM$39:AM48)/(1+realdiscrt2)^(1-Half_Year)</f>
        <v>3.1646891599368905</v>
      </c>
      <c r="AN128" s="518">
        <f>NPV(realdiscrt2,AN$39:AN48)/(1+realdiscrt2)^(1-Half_Year)</f>
        <v>297.49110680581077</v>
      </c>
      <c r="AO128" s="519">
        <f>NPV(realdiscrt2,AO$39:AO48)/(1+realdiscrt2)^(1-Half_Year)</f>
        <v>263.55002023095221</v>
      </c>
      <c r="AP128" s="505">
        <f>NPV(realdiscrt2,AP$39:AP48)/(1+realdiscrt2)^(1-Half_Year)</f>
        <v>252.08542986182084</v>
      </c>
      <c r="AQ128" s="533">
        <f>NPV(realdiscrt2,AQ$39:AQ48)/(1+realdiscrt2)^(1-Half_Year)</f>
        <v>0.15738959871621028</v>
      </c>
      <c r="AR128" s="519">
        <f>NPV(realdiscrt2,AR$39:AR48)/(1+realdiscrt2)^(1-Half_Year)</f>
        <v>366.22033552475762</v>
      </c>
      <c r="AS128" s="534">
        <f>NPV(realdiscrt2,AS$39:AS48)/(1+realdiscrt2)^(1-Half_Year)</f>
        <v>471.23794533564956</v>
      </c>
      <c r="AT128" s="518">
        <f>NPV(realdiscrt2,AT$39:AT48)/(1+realdiscrt2)^(1-Half_Year)</f>
        <v>257.84536513891396</v>
      </c>
      <c r="AU128" s="532">
        <f>NPV(realdiscrt2,AU$39:AU48)/(1+realdiscrt2)^(1-Half_Year)</f>
        <v>278.04155453266208</v>
      </c>
      <c r="AV128" s="531">
        <f>NPV(realdiscrt2,AV$39:AV48)/(1+realdiscrt2)^(1-Half_Year)</f>
        <v>0.1263951376045967</v>
      </c>
      <c r="AW128" s="534">
        <f>NPV(realdiscrt2,AW$39:AW48)/(1+realdiscrt2)^(1-Half_Year)</f>
        <v>0.1263951376045967</v>
      </c>
      <c r="AX128" s="523">
        <f>NPV(realdiscrt2,AX$39:AX48)/(1+realdiscrt2)^(1-Half_Year)</f>
        <v>15.041488686652338</v>
      </c>
      <c r="AY128" s="537">
        <f>NPV(realdiscrt2,AY$39:AY48)/(1+realdiscrt2)^(1-Half_Year)</f>
        <v>106.50530557527438</v>
      </c>
      <c r="AZ128" s="530">
        <f>NPV(realdiscrt2,AZ$39:AZ48)/(1+realdiscrt2)^(1-Half_Year)</f>
        <v>0.42631337191249835</v>
      </c>
      <c r="BA128" s="536">
        <f>NPV(realdiscrt2,BA$39:BA48)/(1+realdiscrt2)^(1-Half_Year)</f>
        <v>0.4675274293063002</v>
      </c>
      <c r="BB128" s="536">
        <f>NPV(realdiscrt2,BB$39:BB48)/(1+realdiscrt2)^(1-Half_Year)</f>
        <v>0.46264381521355941</v>
      </c>
      <c r="BC128" s="533">
        <f>NPV(realdiscrt2,BC$39:BC48)/(1+realdiscrt2)^(1-Half_Year)</f>
        <v>0.51701254137151709</v>
      </c>
    </row>
    <row r="129" spans="1:55" s="324" customFormat="1" ht="14.25">
      <c r="A129" s="525">
        <f t="shared" si="96"/>
        <v>11</v>
      </c>
      <c r="B129" s="526">
        <f t="shared" si="95"/>
        <v>2035</v>
      </c>
      <c r="C129" s="527">
        <f>NPV(realdiscrt2,C$39:C49)/(1+realdiscrt2)^(1-Half_Year)</f>
        <v>0.81678474899199971</v>
      </c>
      <c r="D129" s="528">
        <f>NPV(realdiscrt2,D$39:D49)/(1+realdiscrt2)^(1-Half_Year)</f>
        <v>0.80077691295298048</v>
      </c>
      <c r="E129" s="528">
        <f>NPV(realdiscrt2,E$39:E49)/(1+realdiscrt2)^(1-Half_Year)</f>
        <v>0.60770954473421057</v>
      </c>
      <c r="F129" s="529">
        <f>NPV(realdiscrt2,F$39:F49)/(1+realdiscrt2)^(1-Half_Year)</f>
        <v>0.5675642483016009</v>
      </c>
      <c r="G129" s="527">
        <f>NPV(realdiscrt2,G$39:G49)/(1+realdiscrt2)^(1-Half_Year)</f>
        <v>7.004312502482829E-2</v>
      </c>
      <c r="H129" s="528">
        <f>NPV(realdiscrt2,H$39:H49)/(1+realdiscrt2)^(1-Half_Year)</f>
        <v>6.1087255057812165E-2</v>
      </c>
      <c r="I129" s="528">
        <f>NPV(realdiscrt2,I$39:I49)/(1+realdiscrt2)^(1-Half_Year)</f>
        <v>4.1425220091506169E-2</v>
      </c>
      <c r="J129" s="528">
        <f>NPV(realdiscrt2,J$39:J49)/(1+realdiscrt2)^(1-Half_Year)</f>
        <v>2.6196195839571879E-2</v>
      </c>
      <c r="K129" s="530">
        <f>NPV(realdiscrt2,K$39:K49)/(1+realdiscrt2)^(1-Half_Year)</f>
        <v>1.512634602837754E-2</v>
      </c>
      <c r="L129" s="1139">
        <f>NPV(realdiscrt2,L$39:L49)/(1+realdiscrt2)^(1-Half_Year)</f>
        <v>628.30523200862717</v>
      </c>
      <c r="M129" s="532">
        <f>NPV(realdiscrt2,M$39:M49)/(1+realdiscrt2)^(1-Half_Year)</f>
        <v>352.08268849940316</v>
      </c>
      <c r="N129" s="532">
        <f>NPV(realdiscrt2,N$39:N49)/(1+realdiscrt2)^(1-Half_Year)</f>
        <v>352.08268849940316</v>
      </c>
      <c r="O129" s="534">
        <f>NPV(realdiscrt2,O$39:O49)/(1+realdiscrt2)^(1-Half_Year)</f>
        <v>0</v>
      </c>
      <c r="P129" s="637">
        <f t="shared" si="94"/>
        <v>0</v>
      </c>
      <c r="Q129" s="637">
        <f t="shared" si="94"/>
        <v>7.0216210982313356</v>
      </c>
      <c r="R129" s="1134">
        <f t="shared" si="94"/>
        <v>7.0216210982313356</v>
      </c>
      <c r="S129" s="519">
        <f>NPV(realdiscrt2,S$39:S49)/(1+realdiscrt2)^(1-Half_Year)</f>
        <v>0</v>
      </c>
      <c r="T129" s="519">
        <f>NPV(realdiscrt2,T$39:T49)/(1+realdiscrt2)^(1-Half_Year)</f>
        <v>0</v>
      </c>
      <c r="U129" s="533">
        <f>NPV(realdiscrt2,U$39:U49)/(1+realdiscrt2)^(1-Half_Year)</f>
        <v>0</v>
      </c>
      <c r="V129" s="531">
        <f>NPV(realdiscrt2,V$39:V49)/(1+realdiscrt2)^(1-Half_Year)</f>
        <v>1081.3280232269228</v>
      </c>
      <c r="W129" s="532">
        <f>NPV(realdiscrt2,W$39:W49)/(1+realdiscrt2)^(1-Half_Year)</f>
        <v>0</v>
      </c>
      <c r="X129" s="534">
        <f>NPV(realdiscrt2,X$39:X49)/(1+realdiscrt2)^(1-Half_Year)</f>
        <v>1314.6535132570834</v>
      </c>
      <c r="Y129" s="531">
        <f>NPV(realdiscrt2,Y$39:Y49)/(1+realdiscrt2)^(1-Half_Year)</f>
        <v>72.443526183988439</v>
      </c>
      <c r="Z129" s="532">
        <f>NPV(realdiscrt2,Z$39:Z49)/(1+realdiscrt2)^(1-Half_Year)</f>
        <v>83.708228236520796</v>
      </c>
      <c r="AA129" s="532">
        <f>NPV(realdiscrt2,AA$39:AA49)/(1+realdiscrt2)^(1-Half_Year)</f>
        <v>114.61758265938334</v>
      </c>
      <c r="AB129" s="532">
        <f>NPV(realdiscrt2,AB$39:AB49)/(1+realdiscrt2)^(1-Half_Year)</f>
        <v>103.80991102396952</v>
      </c>
      <c r="AC129" s="532">
        <f>NPV(realdiscrt2,AC$39:AC49)/(1+realdiscrt2)^(1-Half_Year)</f>
        <v>82.542789681707433</v>
      </c>
      <c r="AD129" s="532">
        <f>NPV(realdiscrt2,AD$39:AD49)/(1+realdiscrt2)^(1-Half_Year)</f>
        <v>107.31347331512971</v>
      </c>
      <c r="AE129" s="534">
        <f>NPV(realdiscrt2,AE$39:AE49)/(1+realdiscrt2)^(1-Half_Year)</f>
        <v>100.61869395474528</v>
      </c>
      <c r="AF129" s="535">
        <f>NPV(realdiscrt2,AF$39:AF49)/(1+realdiscrt2)^(1-Half_Year)</f>
        <v>2.7382631191474757E-2</v>
      </c>
      <c r="AG129" s="530">
        <f>NPV(realdiscrt2,AG$39:AG49)/(1+realdiscrt2)^(1-Half_Year)</f>
        <v>1.9717441671823726</v>
      </c>
      <c r="AH129" s="536">
        <f>NPV(realdiscrt2,AH$39:AH49)/(1+realdiscrt2)^(1-Half_Year)</f>
        <v>1.9717441671823726</v>
      </c>
      <c r="AI129" s="536">
        <f>NPV(realdiscrt2,AI$39:AI49)/(1+realdiscrt2)^(1-Half_Year)</f>
        <v>3.6088332270155674</v>
      </c>
      <c r="AJ129" s="536">
        <f>NPV(realdiscrt2,AJ$39:AJ49)/(1+realdiscrt2)^(1-Half_Year)</f>
        <v>3.0732423617614981</v>
      </c>
      <c r="AK129" s="536">
        <f>NPV(realdiscrt2,AK$39:AK49)/(1+realdiscrt2)^(1-Half_Year)</f>
        <v>1.9717441671823726</v>
      </c>
      <c r="AL129" s="536">
        <f>NPV(realdiscrt2,AL$39:AL49)/(1+realdiscrt2)^(1-Half_Year)</f>
        <v>3.6088332270155674</v>
      </c>
      <c r="AM129" s="536">
        <f>NPV(realdiscrt2,AM$39:AM49)/(1+realdiscrt2)^(1-Half_Year)</f>
        <v>3.166376724357947</v>
      </c>
      <c r="AN129" s="518">
        <f>NPV(realdiscrt2,AN$39:AN49)/(1+realdiscrt2)^(1-Half_Year)</f>
        <v>326.45298601733958</v>
      </c>
      <c r="AO129" s="519">
        <f>NPV(realdiscrt2,AO$39:AO49)/(1+realdiscrt2)^(1-Half_Year)</f>
        <v>289.30719504570004</v>
      </c>
      <c r="AP129" s="505">
        <f>NPV(realdiscrt2,AP$39:AP49)/(1+realdiscrt2)^(1-Half_Year)</f>
        <v>276.74717677548938</v>
      </c>
      <c r="AQ129" s="533">
        <f>NPV(realdiscrt2,AQ$39:AQ49)/(1+realdiscrt2)^(1-Half_Year)</f>
        <v>0.17278627319893819</v>
      </c>
      <c r="AR129" s="519">
        <f>NPV(realdiscrt2,AR$39:AR49)/(1+realdiscrt2)^(1-Half_Year)</f>
        <v>401.87326389682164</v>
      </c>
      <c r="AS129" s="534">
        <f>NPV(realdiscrt2,AS$39:AS49)/(1+realdiscrt2)^(1-Half_Year)</f>
        <v>516.31466615550153</v>
      </c>
      <c r="AT129" s="518">
        <f>NPV(realdiscrt2,AT$39:AT49)/(1+realdiscrt2)^(1-Half_Year)</f>
        <v>282.94758214495153</v>
      </c>
      <c r="AU129" s="532">
        <f>NPV(realdiscrt2,AU$39:AU49)/(1+realdiscrt2)^(1-Half_Year)</f>
        <v>305.10994660872194</v>
      </c>
      <c r="AV129" s="531">
        <f>NPV(realdiscrt2,AV$39:AV49)/(1+realdiscrt2)^(1-Half_Year)</f>
        <v>0.13811815737171879</v>
      </c>
      <c r="AW129" s="534">
        <f>NPV(realdiscrt2,AW$39:AW49)/(1+realdiscrt2)^(1-Half_Year)</f>
        <v>0.13811815737171879</v>
      </c>
      <c r="AX129" s="523">
        <f>NPV(realdiscrt2,AX$39:AX49)/(1+realdiscrt2)^(1-Half_Year)</f>
        <v>16.436571381622688</v>
      </c>
      <c r="AY129" s="537">
        <f>NPV(realdiscrt2,AY$39:AY49)/(1+realdiscrt2)^(1-Half_Year)</f>
        <v>119.3010130839976</v>
      </c>
      <c r="AZ129" s="530">
        <f>NPV(realdiscrt2,AZ$39:AZ49)/(1+realdiscrt2)^(1-Half_Year)</f>
        <v>0.45180227452108301</v>
      </c>
      <c r="BA129" s="536">
        <f>NPV(realdiscrt2,BA$39:BA49)/(1+realdiscrt2)^(1-Half_Year)</f>
        <v>0.49298936100213975</v>
      </c>
      <c r="BB129" s="536">
        <f>NPV(realdiscrt2,BB$39:BB49)/(1+realdiscrt2)^(1-Half_Year)</f>
        <v>0.49070466735362706</v>
      </c>
      <c r="BC129" s="533">
        <f>NPV(realdiscrt2,BC$39:BC49)/(1+realdiscrt2)^(1-Half_Year)</f>
        <v>0.54625830752889126</v>
      </c>
    </row>
    <row r="130" spans="1:55" s="324" customFormat="1" ht="14.25">
      <c r="A130" s="525">
        <f t="shared" si="96"/>
        <v>12</v>
      </c>
      <c r="B130" s="526">
        <f t="shared" si="95"/>
        <v>2036</v>
      </c>
      <c r="C130" s="527">
        <f>NPV(realdiscrt2,C$39:C50)/(1+realdiscrt2)^(1-Half_Year)</f>
        <v>0.88679212830704612</v>
      </c>
      <c r="D130" s="528">
        <f>NPV(realdiscrt2,D$39:D50)/(1+realdiscrt2)^(1-Half_Year)</f>
        <v>0.87087004379024069</v>
      </c>
      <c r="E130" s="528">
        <f>NPV(realdiscrt2,E$39:E50)/(1+realdiscrt2)^(1-Half_Year)</f>
        <v>0.66147549555918894</v>
      </c>
      <c r="F130" s="529">
        <f>NPV(realdiscrt2,F$39:F50)/(1+realdiscrt2)^(1-Half_Year)</f>
        <v>0.61867923867612395</v>
      </c>
      <c r="G130" s="527">
        <f>NPV(realdiscrt2,G$39:G50)/(1+realdiscrt2)^(1-Half_Year)</f>
        <v>7.004312502482829E-2</v>
      </c>
      <c r="H130" s="528">
        <f>NPV(realdiscrt2,H$39:H50)/(1+realdiscrt2)^(1-Half_Year)</f>
        <v>6.1087255057812165E-2</v>
      </c>
      <c r="I130" s="528">
        <f>NPV(realdiscrt2,I$39:I50)/(1+realdiscrt2)^(1-Half_Year)</f>
        <v>4.1425220091506169E-2</v>
      </c>
      <c r="J130" s="528">
        <f>NPV(realdiscrt2,J$39:J50)/(1+realdiscrt2)^(1-Half_Year)</f>
        <v>2.6196195839571879E-2</v>
      </c>
      <c r="K130" s="530">
        <f>NPV(realdiscrt2,K$39:K50)/(1+realdiscrt2)^(1-Half_Year)</f>
        <v>1.5145374138663827E-2</v>
      </c>
      <c r="L130" s="1139">
        <f>NPV(realdiscrt2,L$39:L50)/(1+realdiscrt2)^(1-Half_Year)</f>
        <v>684.93250833385343</v>
      </c>
      <c r="M130" s="532">
        <f>NPV(realdiscrt2,M$39:M50)/(1+realdiscrt2)^(1-Half_Year)</f>
        <v>352.08268849940316</v>
      </c>
      <c r="N130" s="532">
        <f>NPV(realdiscrt2,N$39:N50)/(1+realdiscrt2)^(1-Half_Year)</f>
        <v>352.08268849940316</v>
      </c>
      <c r="O130" s="534">
        <f>NPV(realdiscrt2,O$39:O50)/(1+realdiscrt2)^(1-Half_Year)</f>
        <v>0</v>
      </c>
      <c r="P130" s="637">
        <f t="shared" si="94"/>
        <v>0</v>
      </c>
      <c r="Q130" s="637">
        <f t="shared" si="94"/>
        <v>0</v>
      </c>
      <c r="R130" s="1134">
        <f t="shared" si="94"/>
        <v>0</v>
      </c>
      <c r="S130" s="519">
        <f>NPV(realdiscrt2,S$39:S50)/(1+realdiscrt2)^(1-Half_Year)</f>
        <v>0</v>
      </c>
      <c r="T130" s="519">
        <f>NPV(realdiscrt2,T$39:T50)/(1+realdiscrt2)^(1-Half_Year)</f>
        <v>0</v>
      </c>
      <c r="U130" s="533">
        <f>NPV(realdiscrt2,U$39:U50)/(1+realdiscrt2)^(1-Half_Year)</f>
        <v>0</v>
      </c>
      <c r="V130" s="531">
        <f>NPV(realdiscrt2,V$39:V50)/(1+realdiscrt2)^(1-Half_Year)</f>
        <v>1171.8725420847304</v>
      </c>
      <c r="W130" s="532">
        <f>NPV(realdiscrt2,W$39:W50)/(1+realdiscrt2)^(1-Half_Year)</f>
        <v>0</v>
      </c>
      <c r="X130" s="534">
        <f>NPV(realdiscrt2,X$39:X50)/(1+realdiscrt2)^(1-Half_Year)</f>
        <v>1424.7354377663214</v>
      </c>
      <c r="Y130" s="531">
        <f>NPV(realdiscrt2,Y$39:Y50)/(1+realdiscrt2)^(1-Half_Year)</f>
        <v>78.865123146882624</v>
      </c>
      <c r="Z130" s="532">
        <f>NPV(realdiscrt2,Z$39:Z50)/(1+realdiscrt2)^(1-Half_Year)</f>
        <v>91.042755938134036</v>
      </c>
      <c r="AA130" s="532">
        <f>NPV(realdiscrt2,AA$39:AA50)/(1+realdiscrt2)^(1-Half_Year)</f>
        <v>124.47299126181397</v>
      </c>
      <c r="AB130" s="532">
        <f>NPV(realdiscrt2,AB$39:AB50)/(1+realdiscrt2)^(1-Half_Year)</f>
        <v>112.78420276566844</v>
      </c>
      <c r="AC130" s="532">
        <f>NPV(realdiscrt2,AC$39:AC50)/(1+realdiscrt2)^(1-Half_Year)</f>
        <v>89.779551134157529</v>
      </c>
      <c r="AD130" s="532">
        <f>NPV(realdiscrt2,AD$39:AD50)/(1+realdiscrt2)^(1-Half_Year)</f>
        <v>116.57505789327664</v>
      </c>
      <c r="AE130" s="534">
        <f>NPV(realdiscrt2,AE$39:AE50)/(1+realdiscrt2)^(1-Half_Year)</f>
        <v>109.33301021703953</v>
      </c>
      <c r="AF130" s="535">
        <f>NPV(realdiscrt2,AF$39:AF50)/(1+realdiscrt2)^(1-Half_Year)</f>
        <v>2.9897422610655835E-2</v>
      </c>
      <c r="AG130" s="530">
        <f>NPV(realdiscrt2,AG$39:AG50)/(1+realdiscrt2)^(1-Half_Year)</f>
        <v>1.9717441671823726</v>
      </c>
      <c r="AH130" s="536">
        <f>NPV(realdiscrt2,AH$39:AH50)/(1+realdiscrt2)^(1-Half_Year)</f>
        <v>1.9717441671823726</v>
      </c>
      <c r="AI130" s="536">
        <f>NPV(realdiscrt2,AI$39:AI50)/(1+realdiscrt2)^(1-Half_Year)</f>
        <v>3.6088332270155674</v>
      </c>
      <c r="AJ130" s="536">
        <f>NPV(realdiscrt2,AJ$39:AJ50)/(1+realdiscrt2)^(1-Half_Year)</f>
        <v>3.0732423617614981</v>
      </c>
      <c r="AK130" s="536">
        <f>NPV(realdiscrt2,AK$39:AK50)/(1+realdiscrt2)^(1-Half_Year)</f>
        <v>1.9717441671823726</v>
      </c>
      <c r="AL130" s="536">
        <f>NPV(realdiscrt2,AL$39:AL50)/(1+realdiscrt2)^(1-Half_Year)</f>
        <v>3.6088332270155674</v>
      </c>
      <c r="AM130" s="536">
        <f>NPV(realdiscrt2,AM$39:AM50)/(1+realdiscrt2)^(1-Half_Year)</f>
        <v>3.166376724357947</v>
      </c>
      <c r="AN130" s="518">
        <f>NPV(realdiscrt2,AN$39:AN50)/(1+realdiscrt2)^(1-Half_Year)</f>
        <v>355.20944958423217</v>
      </c>
      <c r="AO130" s="519">
        <f>NPV(realdiscrt2,AO$39:AO50)/(1+realdiscrt2)^(1-Half_Year)</f>
        <v>314.91543119478877</v>
      </c>
      <c r="AP130" s="505">
        <f>NPV(realdiscrt2,AP$39:AP50)/(1+realdiscrt2)^(1-Half_Year)</f>
        <v>301.26762893494913</v>
      </c>
      <c r="AQ130" s="533">
        <f>NPV(realdiscrt2,AQ$39:AQ50)/(1+realdiscrt2)^(1-Half_Year)</f>
        <v>0.18806548386601396</v>
      </c>
      <c r="AR130" s="519">
        <f>NPV(realdiscrt2,AR$39:AR50)/(1+realdiscrt2)^(1-Half_Year)</f>
        <v>437.27331954570258</v>
      </c>
      <c r="AS130" s="534">
        <f>NPV(realdiscrt2,AS$39:AS50)/(1+realdiscrt2)^(1-Half_Year)</f>
        <v>560.96798523698624</v>
      </c>
      <c r="AT130" s="518">
        <f>NPV(realdiscrt2,AT$39:AT50)/(1+realdiscrt2)^(1-Half_Year)</f>
        <v>307.87175862915575</v>
      </c>
      <c r="AU130" s="532">
        <f>NPV(realdiscrt2,AU$39:AU50)/(1+realdiscrt2)^(1-Half_Year)</f>
        <v>331.98635282754634</v>
      </c>
      <c r="AV130" s="531">
        <f>NPV(realdiscrt2,AV$39:AV50)/(1+realdiscrt2)^(1-Half_Year)</f>
        <v>0.14968341956424852</v>
      </c>
      <c r="AW130" s="534">
        <f>NPV(realdiscrt2,AW$39:AW50)/(1+realdiscrt2)^(1-Half_Year)</f>
        <v>0.14968341956424852</v>
      </c>
      <c r="AX130" s="523">
        <f>NPV(realdiscrt2,AX$39:AX50)/(1+realdiscrt2)^(1-Half_Year)</f>
        <v>17.812880341950748</v>
      </c>
      <c r="AY130" s="537">
        <f>NPV(realdiscrt2,AY$39:AY50)/(1+realdiscrt2)^(1-Half_Year)</f>
        <v>131.92452777705822</v>
      </c>
      <c r="AZ130" s="530">
        <f>NPV(realdiscrt2,AZ$39:AZ50)/(1+realdiscrt2)^(1-Half_Year)</f>
        <v>0.47495585056723266</v>
      </c>
      <c r="BA130" s="536">
        <f>NPV(realdiscrt2,BA$39:BA50)/(1+realdiscrt2)^(1-Half_Year)</f>
        <v>0.51587385977843969</v>
      </c>
      <c r="BB130" s="536">
        <f>NPV(realdiscrt2,BB$39:BB50)/(1+realdiscrt2)^(1-Half_Year)</f>
        <v>0.51603355058288147</v>
      </c>
      <c r="BC130" s="533">
        <f>NPV(realdiscrt2,BC$39:BC50)/(1+realdiscrt2)^(1-Half_Year)</f>
        <v>0.57258873944839728</v>
      </c>
    </row>
    <row r="131" spans="1:55" s="324" customFormat="1" ht="14.25">
      <c r="A131" s="525">
        <f t="shared" si="96"/>
        <v>13</v>
      </c>
      <c r="B131" s="526">
        <f t="shared" si="95"/>
        <v>2037</v>
      </c>
      <c r="C131" s="527">
        <f>NPV(realdiscrt2,C$39:C51)/(1+realdiscrt2)^(1-Half_Year)</f>
        <v>0.9560194348709532</v>
      </c>
      <c r="D131" s="528">
        <f>NPV(realdiscrt2,D$39:D51)/(1+realdiscrt2)^(1-Half_Year)</f>
        <v>0.94020930750366305</v>
      </c>
      <c r="E131" s="528">
        <f>NPV(realdiscrt2,E$39:E51)/(1+realdiscrt2)^(1-Half_Year)</f>
        <v>0.71484236380051303</v>
      </c>
      <c r="F131" s="529">
        <f>NPV(realdiscrt2,F$39:F51)/(1+realdiscrt2)^(1-Half_Year)</f>
        <v>0.66941322512358836</v>
      </c>
      <c r="G131" s="527">
        <f>NPV(realdiscrt2,G$39:G51)/(1+realdiscrt2)^(1-Half_Year)</f>
        <v>7.004312502482829E-2</v>
      </c>
      <c r="H131" s="528">
        <f>NPV(realdiscrt2,H$39:H51)/(1+realdiscrt2)^(1-Half_Year)</f>
        <v>6.1087255057812165E-2</v>
      </c>
      <c r="I131" s="528">
        <f>NPV(realdiscrt2,I$39:I51)/(1+realdiscrt2)^(1-Half_Year)</f>
        <v>4.1425220091506169E-2</v>
      </c>
      <c r="J131" s="528">
        <f>NPV(realdiscrt2,J$39:J51)/(1+realdiscrt2)^(1-Half_Year)</f>
        <v>2.6196195839571879E-2</v>
      </c>
      <c r="K131" s="530">
        <f>NPV(realdiscrt2,K$39:K51)/(1+realdiscrt2)^(1-Half_Year)</f>
        <v>1.5164183156346024E-2</v>
      </c>
      <c r="L131" s="1139">
        <f>NPV(realdiscrt2,L$39:L51)/(1+realdiscrt2)^(1-Half_Year)</f>
        <v>742.54567158035854</v>
      </c>
      <c r="M131" s="532">
        <f>NPV(realdiscrt2,M$39:M51)/(1+realdiscrt2)^(1-Half_Year)</f>
        <v>352.08268849940316</v>
      </c>
      <c r="N131" s="532">
        <f>NPV(realdiscrt2,N$39:N51)/(1+realdiscrt2)^(1-Half_Year)</f>
        <v>352.08268849940316</v>
      </c>
      <c r="O131" s="534">
        <f>NPV(realdiscrt2,O$39:O51)/(1+realdiscrt2)^(1-Half_Year)</f>
        <v>0</v>
      </c>
      <c r="P131" s="637">
        <f t="shared" si="94"/>
        <v>0</v>
      </c>
      <c r="Q131" s="637">
        <f t="shared" si="94"/>
        <v>0</v>
      </c>
      <c r="R131" s="1134">
        <f t="shared" si="94"/>
        <v>0</v>
      </c>
      <c r="S131" s="519">
        <f>NPV(realdiscrt2,S$39:S51)/(1+realdiscrt2)^(1-Half_Year)</f>
        <v>0</v>
      </c>
      <c r="T131" s="519">
        <f>NPV(realdiscrt2,T$39:T51)/(1+realdiscrt2)^(1-Half_Year)</f>
        <v>0</v>
      </c>
      <c r="U131" s="533">
        <f>NPV(realdiscrt2,U$39:U51)/(1+realdiscrt2)^(1-Half_Year)</f>
        <v>0</v>
      </c>
      <c r="V131" s="531">
        <f>NPV(realdiscrt2,V$39:V51)/(1+realdiscrt2)^(1-Half_Year)</f>
        <v>1261.1985964196258</v>
      </c>
      <c r="W131" s="532">
        <f>NPV(realdiscrt2,W$39:W51)/(1+realdiscrt2)^(1-Half_Year)</f>
        <v>0</v>
      </c>
      <c r="X131" s="534">
        <f>NPV(realdiscrt2,X$39:X51)/(1+realdiscrt2)^(1-Half_Year)</f>
        <v>1533.3359813888917</v>
      </c>
      <c r="Y131" s="531">
        <f>NPV(realdiscrt2,Y$39:Y51)/(1+realdiscrt2)^(1-Half_Year)</f>
        <v>85.248889600252099</v>
      </c>
      <c r="Z131" s="532">
        <f>NPV(realdiscrt2,Z$39:Z51)/(1+realdiscrt2)^(1-Half_Year)</f>
        <v>98.322065105683592</v>
      </c>
      <c r="AA131" s="532">
        <f>NPV(realdiscrt2,AA$39:AA51)/(1+realdiscrt2)^(1-Half_Year)</f>
        <v>134.22790968520502</v>
      </c>
      <c r="AB131" s="532">
        <f>NPV(realdiscrt2,AB$39:AB51)/(1+realdiscrt2)^(1-Half_Year)</f>
        <v>121.67384283942027</v>
      </c>
      <c r="AC131" s="532">
        <f>NPV(realdiscrt2,AC$39:AC51)/(1+realdiscrt2)^(1-Half_Year)</f>
        <v>96.962381828298703</v>
      </c>
      <c r="AD131" s="532">
        <f>NPV(realdiscrt2,AD$39:AD51)/(1+realdiscrt2)^(1-Half_Year)</f>
        <v>125.74713982731636</v>
      </c>
      <c r="AE131" s="534">
        <f>NPV(realdiscrt2,AE$39:AE51)/(1+realdiscrt2)^(1-Half_Year)</f>
        <v>117.96741190283365</v>
      </c>
      <c r="AF131" s="535">
        <f>NPV(realdiscrt2,AF$39:AF51)/(1+realdiscrt2)^(1-Half_Year)</f>
        <v>3.2383258332582904E-2</v>
      </c>
      <c r="AG131" s="530">
        <f>NPV(realdiscrt2,AG$39:AG51)/(1+realdiscrt2)^(1-Half_Year)</f>
        <v>1.9717441671823726</v>
      </c>
      <c r="AH131" s="536">
        <f>NPV(realdiscrt2,AH$39:AH51)/(1+realdiscrt2)^(1-Half_Year)</f>
        <v>1.9717441671823726</v>
      </c>
      <c r="AI131" s="536">
        <f>NPV(realdiscrt2,AI$39:AI51)/(1+realdiscrt2)^(1-Half_Year)</f>
        <v>3.6088332270155674</v>
      </c>
      <c r="AJ131" s="536">
        <f>NPV(realdiscrt2,AJ$39:AJ51)/(1+realdiscrt2)^(1-Half_Year)</f>
        <v>3.0732423617614981</v>
      </c>
      <c r="AK131" s="536">
        <f>NPV(realdiscrt2,AK$39:AK51)/(1+realdiscrt2)^(1-Half_Year)</f>
        <v>1.9717441671823726</v>
      </c>
      <c r="AL131" s="536">
        <f>NPV(realdiscrt2,AL$39:AL51)/(1+realdiscrt2)^(1-Half_Year)</f>
        <v>3.6088332270155674</v>
      </c>
      <c r="AM131" s="536">
        <f>NPV(realdiscrt2,AM$39:AM51)/(1+realdiscrt2)^(1-Half_Year)</f>
        <v>3.166376724357947</v>
      </c>
      <c r="AN131" s="518">
        <f>NPV(realdiscrt2,AN$39:AN51)/(1+realdiscrt2)^(1-Half_Year)</f>
        <v>383.76195444188795</v>
      </c>
      <c r="AO131" s="519">
        <f>NPV(realdiscrt2,AO$39:AO51)/(1+realdiscrt2)^(1-Half_Year)</f>
        <v>340.37558990334429</v>
      </c>
      <c r="AP131" s="505">
        <f>NPV(realdiscrt2,AP$39:AP51)/(1+realdiscrt2)^(1-Half_Year)</f>
        <v>325.64759586142503</v>
      </c>
      <c r="AQ131" s="533">
        <f>NPV(realdiscrt2,AQ$39:AQ51)/(1+realdiscrt2)^(1-Half_Year)</f>
        <v>0.20322812686861644</v>
      </c>
      <c r="AR131" s="519">
        <f>NPV(realdiscrt2,AR$39:AR51)/(1+realdiscrt2)^(1-Half_Year)</f>
        <v>472.42229600189131</v>
      </c>
      <c r="AS131" s="534">
        <f>NPV(realdiscrt2,AS$39:AS51)/(1+realdiscrt2)^(1-Half_Year)</f>
        <v>605.20187955599704</v>
      </c>
      <c r="AT131" s="518">
        <f>NPV(realdiscrt2,AT$39:AT51)/(1+realdiscrt2)^(1-Half_Year)</f>
        <v>332.61915736554403</v>
      </c>
      <c r="AU131" s="532">
        <f>NPV(realdiscrt2,AU$39:AU51)/(1+realdiscrt2)^(1-Half_Year)</f>
        <v>358.67213487213729</v>
      </c>
      <c r="AV131" s="531">
        <f>NPV(realdiscrt2,AV$39:AV51)/(1+realdiscrt2)^(1-Half_Year)</f>
        <v>0.16109304713794612</v>
      </c>
      <c r="AW131" s="534">
        <f>NPV(realdiscrt2,AW$39:AW51)/(1+realdiscrt2)^(1-Half_Year)</f>
        <v>0.16109304713794612</v>
      </c>
      <c r="AX131" s="523">
        <f>NPV(realdiscrt2,AX$39:AX51)/(1+realdiscrt2)^(1-Half_Year)</f>
        <v>19.170668207221027</v>
      </c>
      <c r="AY131" s="537">
        <f>NPV(realdiscrt2,AY$39:AY51)/(1+realdiscrt2)^(1-Half_Year)</f>
        <v>144.37816686636066</v>
      </c>
      <c r="AZ131" s="530">
        <f>NPV(realdiscrt2,AZ$39:AZ51)/(1+realdiscrt2)^(1-Half_Year)</f>
        <v>0.49598806572208504</v>
      </c>
      <c r="BA131" s="536">
        <f>NPV(realdiscrt2,BA$39:BA51)/(1+realdiscrt2)^(1-Half_Year)</f>
        <v>0.53644183123081968</v>
      </c>
      <c r="BB131" s="536">
        <f>NPV(realdiscrt2,BB$39:BB51)/(1+realdiscrt2)^(1-Half_Year)</f>
        <v>0.53889644592329566</v>
      </c>
      <c r="BC131" s="533">
        <f>NPV(realdiscrt2,BC$39:BC51)/(1+realdiscrt2)^(1-Half_Year)</f>
        <v>0.59629444923685249</v>
      </c>
    </row>
    <row r="132" spans="1:55" s="324" customFormat="1" ht="14.25">
      <c r="A132" s="525">
        <f t="shared" si="96"/>
        <v>14</v>
      </c>
      <c r="B132" s="526">
        <f t="shared" si="95"/>
        <v>2038</v>
      </c>
      <c r="C132" s="527">
        <f>NPV(realdiscrt2,C$39:C52)/(1+realdiscrt2)^(1-Half_Year)</f>
        <v>1.0245726279059963</v>
      </c>
      <c r="D132" s="528">
        <f>NPV(realdiscrt2,D$39:D52)/(1+realdiscrt2)^(1-Half_Year)</f>
        <v>1.0089006523689905</v>
      </c>
      <c r="E132" s="528">
        <f>NPV(realdiscrt2,E$39:E52)/(1+realdiscrt2)^(1-Half_Year)</f>
        <v>0.7679186921332859</v>
      </c>
      <c r="F132" s="529">
        <f>NPV(realdiscrt2,F$39:F52)/(1+realdiscrt2)^(1-Half_Year)</f>
        <v>0.71987518781015791</v>
      </c>
      <c r="G132" s="527">
        <f>NPV(realdiscrt2,G$39:G52)/(1+realdiscrt2)^(1-Half_Year)</f>
        <v>7.004312502482829E-2</v>
      </c>
      <c r="H132" s="528">
        <f>NPV(realdiscrt2,H$39:H52)/(1+realdiscrt2)^(1-Half_Year)</f>
        <v>6.1087255057812165E-2</v>
      </c>
      <c r="I132" s="528">
        <f>NPV(realdiscrt2,I$39:I52)/(1+realdiscrt2)^(1-Half_Year)</f>
        <v>4.1425220091506169E-2</v>
      </c>
      <c r="J132" s="528">
        <f>NPV(realdiscrt2,J$39:J52)/(1+realdiscrt2)^(1-Half_Year)</f>
        <v>2.6196195839571879E-2</v>
      </c>
      <c r="K132" s="530">
        <f>NPV(realdiscrt2,K$39:K52)/(1+realdiscrt2)^(1-Half_Year)</f>
        <v>1.518278509014501E-2</v>
      </c>
      <c r="L132" s="1139">
        <f>NPV(realdiscrt2,L$39:L52)/(1+realdiscrt2)^(1-Half_Year)</f>
        <v>801.1618861446068</v>
      </c>
      <c r="M132" s="532">
        <f>NPV(realdiscrt2,M$39:M52)/(1+realdiscrt2)^(1-Half_Year)</f>
        <v>352.08268849940316</v>
      </c>
      <c r="N132" s="532">
        <f>NPV(realdiscrt2,N$39:N52)/(1+realdiscrt2)^(1-Half_Year)</f>
        <v>352.08268849940316</v>
      </c>
      <c r="O132" s="534">
        <f>NPV(realdiscrt2,O$39:O52)/(1+realdiscrt2)^(1-Half_Year)</f>
        <v>0</v>
      </c>
      <c r="P132" s="637">
        <f t="shared" si="94"/>
        <v>0</v>
      </c>
      <c r="Q132" s="637">
        <f t="shared" si="94"/>
        <v>0</v>
      </c>
      <c r="R132" s="1134">
        <f t="shared" si="94"/>
        <v>0</v>
      </c>
      <c r="S132" s="519">
        <f>NPV(realdiscrt2,S$39:S52)/(1+realdiscrt2)^(1-Half_Year)</f>
        <v>0</v>
      </c>
      <c r="T132" s="519">
        <f>NPV(realdiscrt2,T$39:T52)/(1+realdiscrt2)^(1-Half_Year)</f>
        <v>0</v>
      </c>
      <c r="U132" s="533">
        <f>NPV(realdiscrt2,U$39:U52)/(1+realdiscrt2)^(1-Half_Year)</f>
        <v>0</v>
      </c>
      <c r="V132" s="531">
        <f>NPV(realdiscrt2,V$39:V52)/(1+realdiscrt2)^(1-Half_Year)</f>
        <v>1349.3225832019864</v>
      </c>
      <c r="W132" s="532">
        <f>NPV(realdiscrt2,W$39:W52)/(1+realdiscrt2)^(1-Half_Year)</f>
        <v>0</v>
      </c>
      <c r="X132" s="534">
        <f>NPV(realdiscrt2,X$39:X52)/(1+realdiscrt2)^(1-Half_Year)</f>
        <v>1640.4750791808103</v>
      </c>
      <c r="Y132" s="531">
        <f>NPV(realdiscrt2,Y$39:Y52)/(1+realdiscrt2)^(1-Half_Year)</f>
        <v>91.595048408823402</v>
      </c>
      <c r="Z132" s="532">
        <f>NPV(realdiscrt2,Z$39:Z52)/(1+realdiscrt2)^(1-Half_Year)</f>
        <v>105.54657145598568</v>
      </c>
      <c r="AA132" s="532">
        <f>NPV(realdiscrt2,AA$39:AA52)/(1+realdiscrt2)^(1-Half_Year)</f>
        <v>143.88336257262213</v>
      </c>
      <c r="AB132" s="532">
        <f>NPV(realdiscrt2,AB$39:AB52)/(1+realdiscrt2)^(1-Half_Year)</f>
        <v>130.47962973775154</v>
      </c>
      <c r="AC132" s="532">
        <f>NPV(realdiscrt2,AC$39:AC52)/(1+realdiscrt2)^(1-Half_Year)</f>
        <v>104.09168367411669</v>
      </c>
      <c r="AD132" s="532">
        <f>NPV(realdiscrt2,AD$39:AD52)/(1+realdiscrt2)^(1-Half_Year)</f>
        <v>134.83058405814907</v>
      </c>
      <c r="AE132" s="534">
        <f>NPV(realdiscrt2,AE$39:AE52)/(1+realdiscrt2)^(1-Half_Year)</f>
        <v>126.52263186819404</v>
      </c>
      <c r="AF132" s="535">
        <f>NPV(realdiscrt2,AF$39:AF52)/(1+realdiscrt2)^(1-Half_Year)</f>
        <v>3.4841725452755934E-2</v>
      </c>
      <c r="AG132" s="530">
        <f>NPV(realdiscrt2,AG$39:AG52)/(1+realdiscrt2)^(1-Half_Year)</f>
        <v>1.9717441671823726</v>
      </c>
      <c r="AH132" s="536">
        <f>NPV(realdiscrt2,AH$39:AH52)/(1+realdiscrt2)^(1-Half_Year)</f>
        <v>1.9717441671823726</v>
      </c>
      <c r="AI132" s="536">
        <f>NPV(realdiscrt2,AI$39:AI52)/(1+realdiscrt2)^(1-Half_Year)</f>
        <v>3.6088332270155674</v>
      </c>
      <c r="AJ132" s="536">
        <f>NPV(realdiscrt2,AJ$39:AJ52)/(1+realdiscrt2)^(1-Half_Year)</f>
        <v>3.0732423617614981</v>
      </c>
      <c r="AK132" s="536">
        <f>NPV(realdiscrt2,AK$39:AK52)/(1+realdiscrt2)^(1-Half_Year)</f>
        <v>1.9717441671823726</v>
      </c>
      <c r="AL132" s="536">
        <f>NPV(realdiscrt2,AL$39:AL52)/(1+realdiscrt2)^(1-Half_Year)</f>
        <v>3.6088332270155674</v>
      </c>
      <c r="AM132" s="536">
        <f>NPV(realdiscrt2,AM$39:AM52)/(1+realdiscrt2)^(1-Half_Year)</f>
        <v>3.166376724357947</v>
      </c>
      <c r="AN132" s="518">
        <f>NPV(realdiscrt2,AN$39:AN52)/(1+realdiscrt2)^(1-Half_Year)</f>
        <v>412.11194719221544</v>
      </c>
      <c r="AO132" s="519">
        <f>NPV(realdiscrt2,AO$39:AO52)/(1+realdiscrt2)^(1-Half_Year)</f>
        <v>365.68852741653217</v>
      </c>
      <c r="AP132" s="505">
        <f>NPV(realdiscrt2,AP$39:AP52)/(1+realdiscrt2)^(1-Half_Year)</f>
        <v>349.88788243814497</v>
      </c>
      <c r="AQ132" s="533">
        <f>NPV(realdiscrt2,AQ$39:AQ52)/(1+realdiscrt2)^(1-Half_Year)</f>
        <v>0.2182750915210365</v>
      </c>
      <c r="AR132" s="519">
        <f>NPV(realdiscrt2,AR$39:AR52)/(1+realdiscrt2)^(1-Half_Year)</f>
        <v>507.32197407504634</v>
      </c>
      <c r="AS132" s="534">
        <f>NPV(realdiscrt2,AS$39:AS52)/(1+realdiscrt2)^(1-Half_Year)</f>
        <v>649.02028873303686</v>
      </c>
      <c r="AT132" s="518">
        <f>NPV(realdiscrt2,AT$39:AT52)/(1+realdiscrt2)^(1-Half_Year)</f>
        <v>357.19103217175575</v>
      </c>
      <c r="AU132" s="532">
        <f>NPV(realdiscrt2,AU$39:AU52)/(1+realdiscrt2)^(1-Half_Year)</f>
        <v>385.16864476759474</v>
      </c>
      <c r="AV132" s="531">
        <f>NPV(realdiscrt2,AV$39:AV52)/(1+realdiscrt2)^(1-Half_Year)</f>
        <v>0.17234913447979344</v>
      </c>
      <c r="AW132" s="534">
        <f>NPV(realdiscrt2,AW$39:AW52)/(1+realdiscrt2)^(1-Half_Year)</f>
        <v>0.17234913447979344</v>
      </c>
      <c r="AX132" s="523">
        <f>NPV(realdiscrt2,AX$39:AX52)/(1+realdiscrt2)^(1-Half_Year)</f>
        <v>20.51018421722781</v>
      </c>
      <c r="AY132" s="537">
        <f>NPV(realdiscrt2,AY$39:AY52)/(1+realdiscrt2)^(1-Half_Year)</f>
        <v>156.66421638091148</v>
      </c>
      <c r="AZ132" s="530">
        <f>NPV(realdiscrt2,AZ$39:AZ52)/(1+realdiscrt2)^(1-Half_Year)</f>
        <v>0.5150932818424071</v>
      </c>
      <c r="BA132" s="536">
        <f>NPV(realdiscrt2,BA$39:BA52)/(1+realdiscrt2)^(1-Half_Year)</f>
        <v>0.55492777028507723</v>
      </c>
      <c r="BB132" s="536">
        <f>NPV(realdiscrt2,BB$39:BB52)/(1+realdiscrt2)^(1-Half_Year)</f>
        <v>0.55953343882249329</v>
      </c>
      <c r="BC132" s="533">
        <f>NPV(realdiscrt2,BC$39:BC52)/(1+realdiscrt2)^(1-Half_Year)</f>
        <v>0.61763707963093095</v>
      </c>
    </row>
    <row r="133" spans="1:55" s="324" customFormat="1" ht="14.25">
      <c r="A133" s="525">
        <f t="shared" si="96"/>
        <v>15</v>
      </c>
      <c r="B133" s="526">
        <f t="shared" si="95"/>
        <v>2039</v>
      </c>
      <c r="C133" s="527">
        <f>NPV(realdiscrt2,C$39:C53)/(1+realdiscrt2)^(1-Half_Year)</f>
        <v>1.0925427687912932</v>
      </c>
      <c r="D133" s="528">
        <f>NPV(realdiscrt2,D$39:D53)/(1+realdiscrt2)^(1-Half_Year)</f>
        <v>1.0770351288233144</v>
      </c>
      <c r="E133" s="528">
        <f>NPV(realdiscrt2,E$39:E53)/(1+realdiscrt2)^(1-Half_Year)</f>
        <v>0.82079814438720922</v>
      </c>
      <c r="F133" s="529">
        <f>NPV(realdiscrt2,F$39:F53)/(1+realdiscrt2)^(1-Half_Year)</f>
        <v>0.77015923374327566</v>
      </c>
      <c r="G133" s="527">
        <f>NPV(realdiscrt2,G$39:G53)/(1+realdiscrt2)^(1-Half_Year)</f>
        <v>7.004312502482829E-2</v>
      </c>
      <c r="H133" s="528">
        <f>NPV(realdiscrt2,H$39:H53)/(1+realdiscrt2)^(1-Half_Year)</f>
        <v>6.1087255057812165E-2</v>
      </c>
      <c r="I133" s="528">
        <f>NPV(realdiscrt2,I$39:I53)/(1+realdiscrt2)^(1-Half_Year)</f>
        <v>4.1425220091506169E-2</v>
      </c>
      <c r="J133" s="528">
        <f>NPV(realdiscrt2,J$39:J53)/(1+realdiscrt2)^(1-Half_Year)</f>
        <v>2.6196195839571879E-2</v>
      </c>
      <c r="K133" s="530">
        <f>NPV(realdiscrt2,K$39:K53)/(1+realdiscrt2)^(1-Half_Year)</f>
        <v>1.5201192617068489E-2</v>
      </c>
      <c r="L133" s="1139">
        <f>NPV(realdiscrt2,L$39:L53)/(1+realdiscrt2)^(1-Half_Year)</f>
        <v>860.79861525703632</v>
      </c>
      <c r="M133" s="532">
        <f>NPV(realdiscrt2,M$39:M53)/(1+realdiscrt2)^(1-Half_Year)</f>
        <v>352.08268849940316</v>
      </c>
      <c r="N133" s="532">
        <f>NPV(realdiscrt2,N$39:N53)/(1+realdiscrt2)^(1-Half_Year)</f>
        <v>352.08268849940316</v>
      </c>
      <c r="O133" s="534">
        <f>NPV(realdiscrt2,O$39:O53)/(1+realdiscrt2)^(1-Half_Year)</f>
        <v>0</v>
      </c>
      <c r="P133" s="637">
        <f t="shared" si="94"/>
        <v>0</v>
      </c>
      <c r="Q133" s="637">
        <f t="shared" si="94"/>
        <v>0</v>
      </c>
      <c r="R133" s="1134">
        <f t="shared" si="94"/>
        <v>0</v>
      </c>
      <c r="S133" s="519">
        <f>NPV(realdiscrt2,S$39:S53)/(1+realdiscrt2)^(1-Half_Year)</f>
        <v>0</v>
      </c>
      <c r="T133" s="519">
        <f>NPV(realdiscrt2,T$39:T53)/(1+realdiscrt2)^(1-Half_Year)</f>
        <v>0</v>
      </c>
      <c r="U133" s="533">
        <f>NPV(realdiscrt2,U$39:U53)/(1+realdiscrt2)^(1-Half_Year)</f>
        <v>0</v>
      </c>
      <c r="V133" s="531">
        <f>NPV(realdiscrt2,V$39:V53)/(1+realdiscrt2)^(1-Half_Year)</f>
        <v>1436.2606787469049</v>
      </c>
      <c r="W133" s="532">
        <f>NPV(realdiscrt2,W$39:W53)/(1+realdiscrt2)^(1-Half_Year)</f>
        <v>0</v>
      </c>
      <c r="X133" s="534">
        <f>NPV(realdiscrt2,X$39:X53)/(1+realdiscrt2)^(1-Half_Year)</f>
        <v>1746.1723979305177</v>
      </c>
      <c r="Y133" s="531">
        <f>NPV(realdiscrt2,Y$39:Y53)/(1+realdiscrt2)^(1-Half_Year)</f>
        <v>97.903821124396288</v>
      </c>
      <c r="Z133" s="532">
        <f>NPV(realdiscrt2,Z$39:Z53)/(1+realdiscrt2)^(1-Half_Year)</f>
        <v>112.71668757610161</v>
      </c>
      <c r="AA133" s="532">
        <f>NPV(realdiscrt2,AA$39:AA53)/(1+realdiscrt2)^(1-Half_Year)</f>
        <v>153.44036411940937</v>
      </c>
      <c r="AB133" s="532">
        <f>NPV(realdiscrt2,AB$39:AB53)/(1+realdiscrt2)^(1-Half_Year)</f>
        <v>139.20235442126014</v>
      </c>
      <c r="AC133" s="532">
        <f>NPV(realdiscrt2,AC$39:AC53)/(1+realdiscrt2)^(1-Half_Year)</f>
        <v>111.16785558642997</v>
      </c>
      <c r="AD133" s="532">
        <f>NPV(realdiscrt2,AD$39:AD53)/(1+realdiscrt2)^(1-Half_Year)</f>
        <v>143.82624716800842</v>
      </c>
      <c r="AE133" s="534">
        <f>NPV(realdiscrt2,AE$39:AE53)/(1+realdiscrt2)^(1-Half_Year)</f>
        <v>134.99939624853567</v>
      </c>
      <c r="AF133" s="535">
        <f>NPV(realdiscrt2,AF$39:AF53)/(1+realdiscrt2)^(1-Half_Year)</f>
        <v>3.7274499388740313E-2</v>
      </c>
      <c r="AG133" s="530">
        <f>NPV(realdiscrt2,AG$39:AG53)/(1+realdiscrt2)^(1-Half_Year)</f>
        <v>1.9717441671823726</v>
      </c>
      <c r="AH133" s="536">
        <f>NPV(realdiscrt2,AH$39:AH53)/(1+realdiscrt2)^(1-Half_Year)</f>
        <v>1.9717441671823726</v>
      </c>
      <c r="AI133" s="536">
        <f>NPV(realdiscrt2,AI$39:AI53)/(1+realdiscrt2)^(1-Half_Year)</f>
        <v>3.6088332270155674</v>
      </c>
      <c r="AJ133" s="536">
        <f>NPV(realdiscrt2,AJ$39:AJ53)/(1+realdiscrt2)^(1-Half_Year)</f>
        <v>3.0732423617614981</v>
      </c>
      <c r="AK133" s="536">
        <f>NPV(realdiscrt2,AK$39:AK53)/(1+realdiscrt2)^(1-Half_Year)</f>
        <v>1.9717441671823726</v>
      </c>
      <c r="AL133" s="536">
        <f>NPV(realdiscrt2,AL$39:AL53)/(1+realdiscrt2)^(1-Half_Year)</f>
        <v>3.6088332270155674</v>
      </c>
      <c r="AM133" s="536">
        <f>NPV(realdiscrt2,AM$39:AM53)/(1+realdiscrt2)^(1-Half_Year)</f>
        <v>3.166376724357947</v>
      </c>
      <c r="AN133" s="518">
        <f>NPV(realdiscrt2,AN$39:AN53)/(1+realdiscrt2)^(1-Half_Year)</f>
        <v>440.26086417692318</v>
      </c>
      <c r="AO133" s="519">
        <f>NPV(realdiscrt2,AO$39:AO53)/(1+realdiscrt2)^(1-Half_Year)</f>
        <v>390.85509502835299</v>
      </c>
      <c r="AP133" s="505">
        <f>NPV(realdiscrt2,AP$39:AP53)/(1+realdiscrt2)^(1-Half_Year)</f>
        <v>373.98928893691271</v>
      </c>
      <c r="AQ133" s="533">
        <f>NPV(realdiscrt2,AQ$39:AQ53)/(1+realdiscrt2)^(1-Half_Year)</f>
        <v>0.23320726035283704</v>
      </c>
      <c r="AR133" s="519">
        <f>NPV(realdiscrt2,AR$39:AR53)/(1+realdiscrt2)^(1-Half_Year)</f>
        <v>541.97412194421702</v>
      </c>
      <c r="AS133" s="534">
        <f>NPV(realdiscrt2,AS$39:AS53)/(1+realdiscrt2)^(1-Half_Year)</f>
        <v>692.42711538409435</v>
      </c>
      <c r="AT133" s="518">
        <f>NPV(realdiscrt2,AT$39:AT53)/(1+realdiscrt2)^(1-Half_Year)</f>
        <v>381.58862797257643</v>
      </c>
      <c r="AU133" s="532">
        <f>NPV(realdiscrt2,AU$39:AU53)/(1+realdiscrt2)^(1-Half_Year)</f>
        <v>411.47722494961624</v>
      </c>
      <c r="AV133" s="531">
        <f>NPV(realdiscrt2,AV$39:AV53)/(1+realdiscrt2)^(1-Half_Year)</f>
        <v>0.18345374779244661</v>
      </c>
      <c r="AW133" s="534">
        <f>NPV(realdiscrt2,AW$39:AW53)/(1+realdiscrt2)^(1-Half_Year)</f>
        <v>0.18345374779244661</v>
      </c>
      <c r="AX133" s="523">
        <f>NPV(realdiscrt2,AX$39:AX53)/(1+realdiscrt2)^(1-Half_Year)</f>
        <v>21.831674257726377</v>
      </c>
      <c r="AY133" s="537">
        <f>NPV(realdiscrt2,AY$39:AY53)/(1+realdiscrt2)^(1-Half_Year)</f>
        <v>168.7849315864498</v>
      </c>
      <c r="AZ133" s="530">
        <f>NPV(realdiscrt2,AZ$39:AZ53)/(1+realdiscrt2)^(1-Half_Year)</f>
        <v>0.5324480530976835</v>
      </c>
      <c r="BA133" s="536">
        <f>NPV(realdiscrt2,BA$39:BA53)/(1+realdiscrt2)^(1-Half_Year)</f>
        <v>0.57154243466794652</v>
      </c>
      <c r="BB133" s="536">
        <f>NPV(realdiscrt2,BB$39:BB53)/(1+realdiscrt2)^(1-Half_Year)</f>
        <v>0.57816124031396554</v>
      </c>
      <c r="BC133" s="533">
        <f>NPV(realdiscrt2,BC$39:BC53)/(1+realdiscrt2)^(1-Half_Year)</f>
        <v>0.63685219177914754</v>
      </c>
    </row>
    <row r="134" spans="1:55" s="324" customFormat="1" ht="14.25">
      <c r="A134" s="525">
        <f t="shared" si="96"/>
        <v>16</v>
      </c>
      <c r="B134" s="526">
        <f t="shared" si="95"/>
        <v>2040</v>
      </c>
      <c r="C134" s="527">
        <f>NPV(realdiscrt2,C$39:C54)/(1+realdiscrt2)^(1-Half_Year)</f>
        <v>1.1600081159114481</v>
      </c>
      <c r="D134" s="528">
        <f>NPV(realdiscrt2,D$39:D54)/(1+realdiscrt2)^(1-Half_Year)</f>
        <v>1.144690984313717</v>
      </c>
      <c r="E134" s="528">
        <f>NPV(realdiscrt2,E$39:E54)/(1+realdiscrt2)^(1-Half_Year)</f>
        <v>0.8735616005342729</v>
      </c>
      <c r="F134" s="529">
        <f>NPV(realdiscrt2,F$39:F54)/(1+realdiscrt2)^(1-Half_Year)</f>
        <v>0.82034669182120445</v>
      </c>
      <c r="G134" s="527">
        <f>NPV(realdiscrt2,G$39:G54)/(1+realdiscrt2)^(1-Half_Year)</f>
        <v>7.004312502482829E-2</v>
      </c>
      <c r="H134" s="528">
        <f>NPV(realdiscrt2,H$39:H54)/(1+realdiscrt2)^(1-Half_Year)</f>
        <v>6.1087255057812165E-2</v>
      </c>
      <c r="I134" s="528">
        <f>NPV(realdiscrt2,I$39:I54)/(1+realdiscrt2)^(1-Half_Year)</f>
        <v>4.1425220091506169E-2</v>
      </c>
      <c r="J134" s="528">
        <f>NPV(realdiscrt2,J$39:J54)/(1+realdiscrt2)^(1-Half_Year)</f>
        <v>2.6196195839571879E-2</v>
      </c>
      <c r="K134" s="530">
        <f>NPV(realdiscrt2,K$39:K54)/(1+realdiscrt2)^(1-Half_Year)</f>
        <v>1.5219398435291629E-2</v>
      </c>
      <c r="L134" s="1139">
        <f>NPV(realdiscrt2,L$39:L54)/(1+realdiscrt2)^(1-Half_Year)</f>
        <v>921.47362618478951</v>
      </c>
      <c r="M134" s="532">
        <f>NPV(realdiscrt2,M$39:M54)/(1+realdiscrt2)^(1-Half_Year)</f>
        <v>352.08268849940316</v>
      </c>
      <c r="N134" s="532">
        <f>NPV(realdiscrt2,N$39:N54)/(1+realdiscrt2)^(1-Half_Year)</f>
        <v>352.08268849940316</v>
      </c>
      <c r="O134" s="534">
        <f>NPV(realdiscrt2,O$39:O54)/(1+realdiscrt2)^(1-Half_Year)</f>
        <v>0</v>
      </c>
      <c r="P134" s="637">
        <f t="shared" si="94"/>
        <v>0</v>
      </c>
      <c r="Q134" s="637">
        <f t="shared" si="94"/>
        <v>0</v>
      </c>
      <c r="R134" s="1134">
        <f t="shared" si="94"/>
        <v>0</v>
      </c>
      <c r="S134" s="519">
        <f>NPV(realdiscrt2,S$39:S54)/(1+realdiscrt2)^(1-Half_Year)</f>
        <v>0</v>
      </c>
      <c r="T134" s="519">
        <f>NPV(realdiscrt2,T$39:T54)/(1+realdiscrt2)^(1-Half_Year)</f>
        <v>0</v>
      </c>
      <c r="U134" s="533">
        <f>NPV(realdiscrt2,U$39:U54)/(1+realdiscrt2)^(1-Half_Year)</f>
        <v>0</v>
      </c>
      <c r="V134" s="531">
        <f>NPV(realdiscrt2,V$39:V54)/(1+realdiscrt2)^(1-Half_Year)</f>
        <v>1522.0288416835622</v>
      </c>
      <c r="W134" s="532">
        <f>NPV(realdiscrt2,W$39:W54)/(1+realdiscrt2)^(1-Half_Year)</f>
        <v>0</v>
      </c>
      <c r="X134" s="534">
        <f>NPV(realdiscrt2,X$39:X54)/(1+realdiscrt2)^(1-Half_Year)</f>
        <v>1850.4473397689762</v>
      </c>
      <c r="Y134" s="531">
        <f>NPV(realdiscrt2,Y$39:Y54)/(1+realdiscrt2)^(1-Half_Year)</f>
        <v>104.17542799357851</v>
      </c>
      <c r="Z134" s="532">
        <f>NPV(realdiscrt2,Z$39:Z54)/(1+realdiscrt2)^(1-Half_Year)</f>
        <v>119.83282294690062</v>
      </c>
      <c r="AA134" s="532">
        <f>NPV(realdiscrt2,AA$39:AA54)/(1+realdiscrt2)^(1-Half_Year)</f>
        <v>162.89991817971884</v>
      </c>
      <c r="AB134" s="532">
        <f>NPV(realdiscrt2,AB$39:AB54)/(1+realdiscrt2)^(1-Half_Year)</f>
        <v>147.84280038966173</v>
      </c>
      <c r="AC134" s="532">
        <f>NPV(realdiscrt2,AC$39:AC54)/(1+realdiscrt2)^(1-Half_Year)</f>
        <v>118.1912935072109</v>
      </c>
      <c r="AD134" s="532">
        <f>NPV(realdiscrt2,AD$39:AD54)/(1+realdiscrt2)^(1-Half_Year)</f>
        <v>152.73497746123837</v>
      </c>
      <c r="AE134" s="534">
        <f>NPV(realdiscrt2,AE$39:AE54)/(1+realdiscrt2)^(1-Half_Year)</f>
        <v>143.39842452025366</v>
      </c>
      <c r="AF134" s="535">
        <f>NPV(realdiscrt2,AF$39:AF54)/(1+realdiscrt2)^(1-Half_Year)</f>
        <v>3.9680104481755248E-2</v>
      </c>
      <c r="AG134" s="530">
        <f>NPV(realdiscrt2,AG$39:AG54)/(1+realdiscrt2)^(1-Half_Year)</f>
        <v>1.9717441671823726</v>
      </c>
      <c r="AH134" s="536">
        <f>NPV(realdiscrt2,AH$39:AH54)/(1+realdiscrt2)^(1-Half_Year)</f>
        <v>1.9717441671823726</v>
      </c>
      <c r="AI134" s="536">
        <f>NPV(realdiscrt2,AI$39:AI54)/(1+realdiscrt2)^(1-Half_Year)</f>
        <v>3.6088332270155674</v>
      </c>
      <c r="AJ134" s="536">
        <f>NPV(realdiscrt2,AJ$39:AJ54)/(1+realdiscrt2)^(1-Half_Year)</f>
        <v>3.0732423617614981</v>
      </c>
      <c r="AK134" s="536">
        <f>NPV(realdiscrt2,AK$39:AK54)/(1+realdiscrt2)^(1-Half_Year)</f>
        <v>1.9717441671823726</v>
      </c>
      <c r="AL134" s="536">
        <f>NPV(realdiscrt2,AL$39:AL54)/(1+realdiscrt2)^(1-Half_Year)</f>
        <v>3.6088332270155674</v>
      </c>
      <c r="AM134" s="536">
        <f>NPV(realdiscrt2,AM$39:AM54)/(1+realdiscrt2)^(1-Half_Year)</f>
        <v>3.166376724357947</v>
      </c>
      <c r="AN134" s="518">
        <f>NPV(realdiscrt2,AN$39:AN54)/(1+realdiscrt2)^(1-Half_Year)</f>
        <v>468.21013155029203</v>
      </c>
      <c r="AO134" s="519">
        <f>NPV(realdiscrt2,AO$39:AO54)/(1+realdiscrt2)^(1-Half_Year)</f>
        <v>415.8761391102725</v>
      </c>
      <c r="AP134" s="505">
        <f>NPV(realdiscrt2,AP$39:AP54)/(1+realdiscrt2)^(1-Half_Year)</f>
        <v>397.95261104452817</v>
      </c>
      <c r="AQ134" s="533">
        <f>NPV(realdiscrt2,AQ$39:AQ54)/(1+realdiscrt2)^(1-Half_Year)</f>
        <v>0.24802550916061467</v>
      </c>
      <c r="AR134" s="519">
        <f>NPV(realdiscrt2,AR$39:AR54)/(1+realdiscrt2)^(1-Half_Year)</f>
        <v>576.38049524742848</v>
      </c>
      <c r="AS134" s="534">
        <f>NPV(realdiscrt2,AS$39:AS54)/(1+realdiscrt2)^(1-Half_Year)</f>
        <v>735.42622546822304</v>
      </c>
      <c r="AT134" s="518">
        <f>NPV(realdiscrt2,AT$39:AT54)/(1+realdiscrt2)^(1-Half_Year)</f>
        <v>405.81318086301144</v>
      </c>
      <c r="AU134" s="532">
        <f>NPV(realdiscrt2,AU$39:AU54)/(1+realdiscrt2)^(1-Half_Year)</f>
        <v>437.59920833251141</v>
      </c>
      <c r="AV134" s="531">
        <f>NPV(realdiscrt2,AV$39:AV54)/(1+realdiscrt2)^(1-Half_Year)</f>
        <v>0.19440892547351413</v>
      </c>
      <c r="AW134" s="534">
        <f>NPV(realdiscrt2,AW$39:AW54)/(1+realdiscrt2)^(1-Half_Year)</f>
        <v>0.19440892547351413</v>
      </c>
      <c r="AX134" s="523">
        <f>NPV(realdiscrt2,AX$39:AX54)/(1+realdiscrt2)^(1-Half_Year)</f>
        <v>23.135380905568589</v>
      </c>
      <c r="AY134" s="537">
        <f>NPV(realdiscrt2,AY$39:AY54)/(1+realdiscrt2)^(1-Half_Year)</f>
        <v>180.74253739943097</v>
      </c>
      <c r="AZ134" s="530">
        <f>NPV(realdiscrt2,AZ$39:AZ54)/(1+realdiscrt2)^(1-Half_Year)</f>
        <v>0.54821275753369292</v>
      </c>
      <c r="BA134" s="536">
        <f>NPV(realdiscrt2,BA$39:BA54)/(1+realdiscrt2)^(1-Half_Year)</f>
        <v>0.58647524775064486</v>
      </c>
      <c r="BB134" s="536">
        <f>NPV(realdiscrt2,BB$39:BB54)/(1+realdiscrt2)^(1-Half_Year)</f>
        <v>0.59497546272033086</v>
      </c>
      <c r="BC134" s="533">
        <f>NPV(realdiscrt2,BC$39:BC54)/(1+realdiscrt2)^(1-Half_Year)</f>
        <v>0.65415186515825374</v>
      </c>
    </row>
    <row r="135" spans="1:55" s="324" customFormat="1" ht="14.25">
      <c r="A135" s="525">
        <f t="shared" si="96"/>
        <v>17</v>
      </c>
      <c r="B135" s="526">
        <f t="shared" si="95"/>
        <v>2041</v>
      </c>
      <c r="C135" s="527">
        <f>NPV(realdiscrt2,C$39:C55)/(1+realdiscrt2)^(1-Half_Year)</f>
        <v>1.227035924939593</v>
      </c>
      <c r="D135" s="528">
        <f>NPV(realdiscrt2,D$39:D55)/(1+realdiscrt2)^(1-Half_Year)</f>
        <v>1.2119354635803099</v>
      </c>
      <c r="E135" s="528">
        <f>NPV(realdiscrt2,E$39:E55)/(1+realdiscrt2)^(1-Half_Year)</f>
        <v>0.9262789571118607</v>
      </c>
      <c r="F135" s="529">
        <f>NPV(realdiscrt2,F$39:F55)/(1+realdiscrt2)^(1-Half_Year)</f>
        <v>0.87050791331859867</v>
      </c>
      <c r="G135" s="527">
        <f>NPV(realdiscrt2,G$39:G55)/(1+realdiscrt2)^(1-Half_Year)</f>
        <v>7.004312502482829E-2</v>
      </c>
      <c r="H135" s="528">
        <f>NPV(realdiscrt2,H$39:H55)/(1+realdiscrt2)^(1-Half_Year)</f>
        <v>6.1087255057812165E-2</v>
      </c>
      <c r="I135" s="528">
        <f>NPV(realdiscrt2,I$39:I55)/(1+realdiscrt2)^(1-Half_Year)</f>
        <v>4.1425220091506169E-2</v>
      </c>
      <c r="J135" s="528">
        <f>NPV(realdiscrt2,J$39:J55)/(1+realdiscrt2)^(1-Half_Year)</f>
        <v>2.6196195839571879E-2</v>
      </c>
      <c r="K135" s="530">
        <f>NPV(realdiscrt2,K$39:K55)/(1+realdiscrt2)^(1-Half_Year)</f>
        <v>1.5237404755127635E-2</v>
      </c>
      <c r="L135" s="1139">
        <f>NPV(realdiscrt2,L$39:L55)/(1+realdiscrt2)^(1-Half_Year)</f>
        <v>983.20499552502531</v>
      </c>
      <c r="M135" s="532">
        <f>NPV(realdiscrt2,M$39:M55)/(1+realdiscrt2)^(1-Half_Year)</f>
        <v>352.08268849940316</v>
      </c>
      <c r="N135" s="532">
        <f>NPV(realdiscrt2,N$39:N55)/(1+realdiscrt2)^(1-Half_Year)</f>
        <v>352.08268849940316</v>
      </c>
      <c r="O135" s="534">
        <f>NPV(realdiscrt2,O$39:O55)/(1+realdiscrt2)^(1-Half_Year)</f>
        <v>0</v>
      </c>
      <c r="P135" s="637">
        <f t="shared" si="94"/>
        <v>0</v>
      </c>
      <c r="Q135" s="637">
        <f t="shared" si="94"/>
        <v>0</v>
      </c>
      <c r="R135" s="1134">
        <f t="shared" si="94"/>
        <v>0</v>
      </c>
      <c r="S135" s="519">
        <f>NPV(realdiscrt2,S$39:S55)/(1+realdiscrt2)^(1-Half_Year)</f>
        <v>0</v>
      </c>
      <c r="T135" s="519">
        <f>NPV(realdiscrt2,T$39:T55)/(1+realdiscrt2)^(1-Half_Year)</f>
        <v>0</v>
      </c>
      <c r="U135" s="533">
        <f>NPV(realdiscrt2,U$39:U55)/(1+realdiscrt2)^(1-Half_Year)</f>
        <v>0</v>
      </c>
      <c r="V135" s="531">
        <f>NPV(realdiscrt2,V$39:V55)/(1+realdiscrt2)^(1-Half_Year)</f>
        <v>1606.642815884645</v>
      </c>
      <c r="W135" s="532">
        <f>NPV(realdiscrt2,W$39:W55)/(1+realdiscrt2)^(1-Half_Year)</f>
        <v>0</v>
      </c>
      <c r="X135" s="534">
        <f>NPV(realdiscrt2,X$39:X55)/(1+realdiscrt2)^(1-Half_Year)</f>
        <v>1953.319045731186</v>
      </c>
      <c r="Y135" s="531">
        <f>NPV(realdiscrt2,Y$39:Y55)/(1+realdiscrt2)^(1-Half_Year)</f>
        <v>110.41008796547482</v>
      </c>
      <c r="Z135" s="532">
        <f>NPV(realdiscrt2,Z$39:Z55)/(1+realdiscrt2)^(1-Half_Year)</f>
        <v>126.89538396644483</v>
      </c>
      <c r="AA135" s="532">
        <f>NPV(realdiscrt2,AA$39:AA55)/(1+realdiscrt2)^(1-Half_Year)</f>
        <v>172.26301837195425</v>
      </c>
      <c r="AB135" s="532">
        <f>NPV(realdiscrt2,AB$39:AB55)/(1+realdiscrt2)^(1-Half_Year)</f>
        <v>156.40174375216597</v>
      </c>
      <c r="AC135" s="532">
        <f>NPV(realdiscrt2,AC$39:AC55)/(1+realdiscrt2)^(1-Half_Year)</f>
        <v>125.16239042774028</v>
      </c>
      <c r="AD135" s="532">
        <f>NPV(realdiscrt2,AD$39:AD55)/(1+realdiscrt2)^(1-Half_Year)</f>
        <v>161.55761504428963</v>
      </c>
      <c r="AE135" s="534">
        <f>NPV(realdiscrt2,AE$39:AE55)/(1+realdiscrt2)^(1-Half_Year)</f>
        <v>151.72042956178996</v>
      </c>
      <c r="AF135" s="535">
        <f>NPV(realdiscrt2,AF$39:AF55)/(1+realdiscrt2)^(1-Half_Year)</f>
        <v>4.2058844149236031E-2</v>
      </c>
      <c r="AG135" s="530">
        <f>NPV(realdiscrt2,AG$39:AG55)/(1+realdiscrt2)^(1-Half_Year)</f>
        <v>1.9717441671823726</v>
      </c>
      <c r="AH135" s="536">
        <f>NPV(realdiscrt2,AH$39:AH55)/(1+realdiscrt2)^(1-Half_Year)</f>
        <v>1.9717441671823726</v>
      </c>
      <c r="AI135" s="536">
        <f>NPV(realdiscrt2,AI$39:AI55)/(1+realdiscrt2)^(1-Half_Year)</f>
        <v>3.6088332270155674</v>
      </c>
      <c r="AJ135" s="536">
        <f>NPV(realdiscrt2,AJ$39:AJ55)/(1+realdiscrt2)^(1-Half_Year)</f>
        <v>3.0732423617614981</v>
      </c>
      <c r="AK135" s="536">
        <f>NPV(realdiscrt2,AK$39:AK55)/(1+realdiscrt2)^(1-Half_Year)</f>
        <v>1.9717441671823726</v>
      </c>
      <c r="AL135" s="536">
        <f>NPV(realdiscrt2,AL$39:AL55)/(1+realdiscrt2)^(1-Half_Year)</f>
        <v>3.6088332270155674</v>
      </c>
      <c r="AM135" s="536">
        <f>NPV(realdiscrt2,AM$39:AM55)/(1+realdiscrt2)^(1-Half_Year)</f>
        <v>3.166376724357947</v>
      </c>
      <c r="AN135" s="518">
        <f>NPV(realdiscrt2,AN$39:AN55)/(1+realdiscrt2)^(1-Half_Year)</f>
        <v>495.96116535143022</v>
      </c>
      <c r="AO135" s="519">
        <f>NPV(realdiscrt2,AO$39:AO55)/(1+realdiscrt2)^(1-Half_Year)</f>
        <v>440.75250113968576</v>
      </c>
      <c r="AP135" s="505">
        <f>NPV(realdiscrt2,AP$39:AP55)/(1+realdiscrt2)^(1-Half_Year)</f>
        <v>421.77863988905597</v>
      </c>
      <c r="AQ135" s="533">
        <f>NPV(realdiscrt2,AQ$39:AQ55)/(1+realdiscrt2)^(1-Half_Year)</f>
        <v>0.26273070705936663</v>
      </c>
      <c r="AR135" s="519">
        <f>NPV(realdiscrt2,AR$39:AR55)/(1+realdiscrt2)^(1-Half_Year)</f>
        <v>610.54283717062981</v>
      </c>
      <c r="AS135" s="534">
        <f>NPV(realdiscrt2,AS$39:AS55)/(1+realdiscrt2)^(1-Half_Year)</f>
        <v>778.02144863185879</v>
      </c>
      <c r="AT135" s="518">
        <f>NPV(realdiscrt2,AT$39:AT55)/(1+realdiscrt2)^(1-Half_Year)</f>
        <v>429.86591817091221</v>
      </c>
      <c r="AU135" s="532">
        <f>NPV(realdiscrt2,AU$39:AU55)/(1+realdiscrt2)^(1-Half_Year)</f>
        <v>463.53591837673309</v>
      </c>
      <c r="AV135" s="531">
        <f>NPV(realdiscrt2,AV$39:AV55)/(1+realdiscrt2)^(1-Half_Year)</f>
        <v>0.20521667848973199</v>
      </c>
      <c r="AW135" s="534">
        <f>NPV(realdiscrt2,AW$39:AW55)/(1+realdiscrt2)^(1-Half_Year)</f>
        <v>0.20521667848973199</v>
      </c>
      <c r="AX135" s="523">
        <f>NPV(realdiscrt2,AX$39:AX55)/(1+realdiscrt2)^(1-Half_Year)</f>
        <v>24.421543473231015</v>
      </c>
      <c r="AY135" s="537">
        <f>NPV(realdiscrt2,AY$39:AY55)/(1+realdiscrt2)^(1-Half_Year)</f>
        <v>192.53922879543936</v>
      </c>
      <c r="AZ135" s="530">
        <f>NPV(realdiscrt2,AZ$39:AZ55)/(1+realdiscrt2)^(1-Half_Year)</f>
        <v>0.56253307915010031</v>
      </c>
      <c r="BA135" s="536">
        <f>NPV(realdiscrt2,BA$39:BA55)/(1+realdiscrt2)^(1-Half_Year)</f>
        <v>0.59989645815997017</v>
      </c>
      <c r="BB135" s="536">
        <f>NPV(realdiscrt2,BB$39:BB55)/(1+realdiscrt2)^(1-Half_Year)</f>
        <v>0.61015267379701887</v>
      </c>
      <c r="BC135" s="533">
        <f>NPV(realdiscrt2,BC$39:BC55)/(1+realdiscrt2)^(1-Half_Year)</f>
        <v>0.66972703831963076</v>
      </c>
    </row>
    <row r="136" spans="1:55" s="324" customFormat="1" ht="14.25">
      <c r="A136" s="525">
        <f t="shared" si="96"/>
        <v>18</v>
      </c>
      <c r="B136" s="526">
        <f t="shared" si="95"/>
        <v>2042</v>
      </c>
      <c r="C136" s="527">
        <f>NPV(realdiscrt2,C$39:C56)/(1+realdiscrt2)^(1-Half_Year)</f>
        <v>1.2936839959749515</v>
      </c>
      <c r="D136" s="528">
        <f>NPV(realdiscrt2,D$39:D56)/(1+realdiscrt2)^(1-Half_Year)</f>
        <v>1.2788263557937976</v>
      </c>
      <c r="E136" s="528">
        <f>NPV(realdiscrt2,E$39:E56)/(1+realdiscrt2)^(1-Half_Year)</f>
        <v>0.97901067450140056</v>
      </c>
      <c r="F136" s="529">
        <f>NPV(realdiscrt2,F$39:F56)/(1+realdiscrt2)^(1-Half_Year)</f>
        <v>0.92070381922824784</v>
      </c>
      <c r="G136" s="527">
        <f>NPV(realdiscrt2,G$39:G56)/(1+realdiscrt2)^(1-Half_Year)</f>
        <v>7.004312502482829E-2</v>
      </c>
      <c r="H136" s="528">
        <f>NPV(realdiscrt2,H$39:H56)/(1+realdiscrt2)^(1-Half_Year)</f>
        <v>6.1087255057812165E-2</v>
      </c>
      <c r="I136" s="528">
        <f>NPV(realdiscrt2,I$39:I56)/(1+realdiscrt2)^(1-Half_Year)</f>
        <v>4.1425220091506169E-2</v>
      </c>
      <c r="J136" s="528">
        <f>NPV(realdiscrt2,J$39:J56)/(1+realdiscrt2)^(1-Half_Year)</f>
        <v>2.6196195839571879E-2</v>
      </c>
      <c r="K136" s="530">
        <f>NPV(realdiscrt2,K$39:K56)/(1+realdiscrt2)^(1-Half_Year)</f>
        <v>1.5255213762669211E-2</v>
      </c>
      <c r="L136" s="1139">
        <f>NPV(realdiscrt2,L$39:L56)/(1+realdiscrt2)^(1-Half_Year)</f>
        <v>1046.0111145903873</v>
      </c>
      <c r="M136" s="532">
        <f>NPV(realdiscrt2,M$39:M56)/(1+realdiscrt2)^(1-Half_Year)</f>
        <v>352.08268849940316</v>
      </c>
      <c r="N136" s="532">
        <f>NPV(realdiscrt2,N$39:N56)/(1+realdiscrt2)^(1-Half_Year)</f>
        <v>352.08268849940316</v>
      </c>
      <c r="O136" s="534">
        <f>NPV(realdiscrt2,O$39:O56)/(1+realdiscrt2)^(1-Half_Year)</f>
        <v>0</v>
      </c>
      <c r="P136" s="637">
        <f t="shared" si="94"/>
        <v>0</v>
      </c>
      <c r="Q136" s="637">
        <f t="shared" si="94"/>
        <v>0</v>
      </c>
      <c r="R136" s="1134">
        <f t="shared" si="94"/>
        <v>0</v>
      </c>
      <c r="S136" s="519">
        <f>NPV(realdiscrt2,S$39:S56)/(1+realdiscrt2)^(1-Half_Year)</f>
        <v>0</v>
      </c>
      <c r="T136" s="519">
        <f>NPV(realdiscrt2,T$39:T56)/(1+realdiscrt2)^(1-Half_Year)</f>
        <v>0</v>
      </c>
      <c r="U136" s="533">
        <f>NPV(realdiscrt2,U$39:U56)/(1+realdiscrt2)^(1-Half_Year)</f>
        <v>0</v>
      </c>
      <c r="V136" s="531">
        <f>NPV(realdiscrt2,V$39:V56)/(1+realdiscrt2)^(1-Half_Year)</f>
        <v>1690.1181333563395</v>
      </c>
      <c r="W136" s="532">
        <f>NPV(realdiscrt2,W$39:W56)/(1+realdiscrt2)^(1-Half_Year)</f>
        <v>0</v>
      </c>
      <c r="X136" s="534">
        <f>NPV(realdiscrt2,X$39:X56)/(1+realdiscrt2)^(1-Half_Year)</f>
        <v>2054.8063992697744</v>
      </c>
      <c r="Y136" s="531">
        <f>NPV(realdiscrt2,Y$39:Y56)/(1+realdiscrt2)^(1-Half_Year)</f>
        <v>116.60801869933061</v>
      </c>
      <c r="Z136" s="532">
        <f>NPV(realdiscrt2,Z$39:Z56)/(1+realdiscrt2)^(1-Half_Year)</f>
        <v>133.90477397319862</v>
      </c>
      <c r="AA136" s="532">
        <f>NPV(realdiscrt2,AA$39:AA56)/(1+realdiscrt2)^(1-Half_Year)</f>
        <v>181.53064818313905</v>
      </c>
      <c r="AB136" s="532">
        <f>NPV(realdiscrt2,AB$39:AB56)/(1+realdiscrt2)^(1-Half_Year)</f>
        <v>164.87995329718862</v>
      </c>
      <c r="AC136" s="532">
        <f>NPV(realdiscrt2,AC$39:AC56)/(1+realdiscrt2)^(1-Half_Year)</f>
        <v>132.0815364105969</v>
      </c>
      <c r="AD136" s="532">
        <f>NPV(realdiscrt2,AD$39:AD56)/(1+realdiscrt2)^(1-Half_Year)</f>
        <v>170.29499190494295</v>
      </c>
      <c r="AE136" s="534">
        <f>NPV(realdiscrt2,AE$39:AE56)/(1+realdiscrt2)^(1-Half_Year)</f>
        <v>159.96611771413976</v>
      </c>
      <c r="AF136" s="535">
        <f>NPV(realdiscrt2,AF$39:AF56)/(1+realdiscrt2)^(1-Half_Year)</f>
        <v>4.4411018420098973E-2</v>
      </c>
      <c r="AG136" s="530">
        <f>NPV(realdiscrt2,AG$39:AG56)/(1+realdiscrt2)^(1-Half_Year)</f>
        <v>1.9717441671823726</v>
      </c>
      <c r="AH136" s="536">
        <f>NPV(realdiscrt2,AH$39:AH56)/(1+realdiscrt2)^(1-Half_Year)</f>
        <v>1.9717441671823726</v>
      </c>
      <c r="AI136" s="536">
        <f>NPV(realdiscrt2,AI$39:AI56)/(1+realdiscrt2)^(1-Half_Year)</f>
        <v>3.6088332270155674</v>
      </c>
      <c r="AJ136" s="536">
        <f>NPV(realdiscrt2,AJ$39:AJ56)/(1+realdiscrt2)^(1-Half_Year)</f>
        <v>3.0732423617614981</v>
      </c>
      <c r="AK136" s="536">
        <f>NPV(realdiscrt2,AK$39:AK56)/(1+realdiscrt2)^(1-Half_Year)</f>
        <v>1.9717441671823726</v>
      </c>
      <c r="AL136" s="536">
        <f>NPV(realdiscrt2,AL$39:AL56)/(1+realdiscrt2)^(1-Half_Year)</f>
        <v>3.6088332270155674</v>
      </c>
      <c r="AM136" s="536">
        <f>NPV(realdiscrt2,AM$39:AM56)/(1+realdiscrt2)^(1-Half_Year)</f>
        <v>3.166376724357947</v>
      </c>
      <c r="AN136" s="518">
        <f>NPV(realdiscrt2,AN$39:AN56)/(1+realdiscrt2)^(1-Half_Year)</f>
        <v>523.51537157601695</v>
      </c>
      <c r="AO136" s="519">
        <f>NPV(realdiscrt2,AO$39:AO56)/(1+realdiscrt2)^(1-Half_Year)</f>
        <v>465.48501772821641</v>
      </c>
      <c r="AP136" s="505">
        <f>NPV(realdiscrt2,AP$39:AP56)/(1+realdiscrt2)^(1-Half_Year)</f>
        <v>445.46816206594411</v>
      </c>
      <c r="AQ136" s="533">
        <f>NPV(realdiscrt2,AQ$39:AQ56)/(1+realdiscrt2)^(1-Half_Year)</f>
        <v>0.27732371653346599</v>
      </c>
      <c r="AR136" s="519">
        <f>NPV(realdiscrt2,AR$39:AR56)/(1+realdiscrt2)^(1-Half_Year)</f>
        <v>644.46287853601223</v>
      </c>
      <c r="AS136" s="534">
        <f>NPV(realdiscrt2,AS$39:AS56)/(1+realdiscrt2)^(1-Half_Year)</f>
        <v>820.21657854989871</v>
      </c>
      <c r="AT136" s="518">
        <f>NPV(realdiscrt2,AT$39:AT56)/(1+realdiscrt2)^(1-Half_Year)</f>
        <v>453.74805851915841</v>
      </c>
      <c r="AU136" s="532">
        <f>NPV(realdiscrt2,AU$39:AU56)/(1+realdiscrt2)^(1-Half_Year)</f>
        <v>489.28866915593039</v>
      </c>
      <c r="AV136" s="531">
        <f>NPV(realdiscrt2,AV$39:AV56)/(1+realdiscrt2)^(1-Half_Year)</f>
        <v>0.21587899074610289</v>
      </c>
      <c r="AW136" s="534">
        <f>NPV(realdiscrt2,AW$39:AW56)/(1+realdiscrt2)^(1-Half_Year)</f>
        <v>0.21587899074610289</v>
      </c>
      <c r="AX136" s="523">
        <f>NPV(realdiscrt2,AX$39:AX56)/(1+realdiscrt2)^(1-Half_Year)</f>
        <v>25.690398052743927</v>
      </c>
      <c r="AY136" s="537">
        <f>NPV(realdiscrt2,AY$39:AY56)/(1+realdiscrt2)^(1-Half_Year)</f>
        <v>204.17717121210464</v>
      </c>
      <c r="AZ136" s="530">
        <f>NPV(realdiscrt2,AZ$39:AZ56)/(1+realdiscrt2)^(1-Half_Year)</f>
        <v>0.57554135418816077</v>
      </c>
      <c r="BA136" s="536">
        <f>NPV(realdiscrt2,BA$39:BA56)/(1+realdiscrt2)^(1-Half_Year)</f>
        <v>0.61195908077861672</v>
      </c>
      <c r="BB136" s="536">
        <f>NPV(realdiscrt2,BB$39:BB56)/(1+realdiscrt2)^(1-Half_Year)</f>
        <v>0.62385225088713392</v>
      </c>
      <c r="BC136" s="533">
        <f>NPV(realdiscrt2,BC$39:BC56)/(1+realdiscrt2)^(1-Half_Year)</f>
        <v>0.68374961630077724</v>
      </c>
    </row>
    <row r="137" spans="1:55" s="324" customFormat="1" ht="14.25">
      <c r="A137" s="525">
        <f t="shared" si="96"/>
        <v>19</v>
      </c>
      <c r="B137" s="526">
        <f t="shared" si="95"/>
        <v>2043</v>
      </c>
      <c r="C137" s="527">
        <f>NPV(realdiscrt2,C$39:C57)/(1+realdiscrt2)^(1-Half_Year)</f>
        <v>1.3600020031307907</v>
      </c>
      <c r="D137" s="528">
        <f>NPV(realdiscrt2,D$39:D57)/(1+realdiscrt2)^(1-Half_Year)</f>
        <v>1.345413324143425</v>
      </c>
      <c r="E137" s="528">
        <f>NPV(realdiscrt2,E$39:E57)/(1+realdiscrt2)^(1-Half_Year)</f>
        <v>1.0318091066584376</v>
      </c>
      <c r="F137" s="529">
        <f>NPV(realdiscrt2,F$39:F57)/(1+realdiscrt2)^(1-Half_Year)</f>
        <v>0.97098723005486809</v>
      </c>
      <c r="G137" s="527">
        <f>NPV(realdiscrt2,G$39:G57)/(1+realdiscrt2)^(1-Half_Year)</f>
        <v>7.004312502482829E-2</v>
      </c>
      <c r="H137" s="528">
        <f>NPV(realdiscrt2,H$39:H57)/(1+realdiscrt2)^(1-Half_Year)</f>
        <v>6.1087255057812165E-2</v>
      </c>
      <c r="I137" s="528">
        <f>NPV(realdiscrt2,I$39:I57)/(1+realdiscrt2)^(1-Half_Year)</f>
        <v>4.1425220091506169E-2</v>
      </c>
      <c r="J137" s="528">
        <f>NPV(realdiscrt2,J$39:J57)/(1+realdiscrt2)^(1-Half_Year)</f>
        <v>2.6196195839571879E-2</v>
      </c>
      <c r="K137" s="530">
        <f>NPV(realdiscrt2,K$39:K57)/(1+realdiscrt2)^(1-Half_Year)</f>
        <v>1.5272827620053981E-2</v>
      </c>
      <c r="L137" s="1139">
        <f>NPV(realdiscrt2,L$39:L57)/(1+realdiscrt2)^(1-Half_Year)</f>
        <v>1109.9106948882334</v>
      </c>
      <c r="M137" s="532">
        <f>NPV(realdiscrt2,M$39:M57)/(1+realdiscrt2)^(1-Half_Year)</f>
        <v>352.08268849940316</v>
      </c>
      <c r="N137" s="532">
        <f>NPV(realdiscrt2,N$39:N57)/(1+realdiscrt2)^(1-Half_Year)</f>
        <v>352.08268849940316</v>
      </c>
      <c r="O137" s="534">
        <f>NPV(realdiscrt2,O$39:O57)/(1+realdiscrt2)^(1-Half_Year)</f>
        <v>0</v>
      </c>
      <c r="P137" s="637">
        <f t="shared" si="94"/>
        <v>0</v>
      </c>
      <c r="Q137" s="637">
        <f t="shared" si="94"/>
        <v>0</v>
      </c>
      <c r="R137" s="1134">
        <f t="shared" si="94"/>
        <v>0</v>
      </c>
      <c r="S137" s="519">
        <f>NPV(realdiscrt2,S$39:S57)/(1+realdiscrt2)^(1-Half_Year)</f>
        <v>0</v>
      </c>
      <c r="T137" s="519">
        <f>NPV(realdiscrt2,T$39:T57)/(1+realdiscrt2)^(1-Half_Year)</f>
        <v>0</v>
      </c>
      <c r="U137" s="533">
        <f>NPV(realdiscrt2,U$39:U57)/(1+realdiscrt2)^(1-Half_Year)</f>
        <v>0</v>
      </c>
      <c r="V137" s="531">
        <f>NPV(realdiscrt2,V$39:V57)/(1+realdiscrt2)^(1-Half_Year)</f>
        <v>1772.4701170894359</v>
      </c>
      <c r="W137" s="532">
        <f>NPV(realdiscrt2,W$39:W57)/(1+realdiscrt2)^(1-Half_Year)</f>
        <v>0</v>
      </c>
      <c r="X137" s="534">
        <f>NPV(realdiscrt2,X$39:X57)/(1+realdiscrt2)^(1-Half_Year)</f>
        <v>2154.9280297213008</v>
      </c>
      <c r="Y137" s="531">
        <f>NPV(realdiscrt2,Y$39:Y57)/(1+realdiscrt2)^(1-Half_Year)</f>
        <v>122.76943657213096</v>
      </c>
      <c r="Z137" s="532">
        <f>NPV(realdiscrt2,Z$39:Z57)/(1+realdiscrt2)^(1-Half_Year)</f>
        <v>140.8613932690628</v>
      </c>
      <c r="AA137" s="532">
        <f>NPV(realdiscrt2,AA$39:AA57)/(1+realdiscrt2)^(1-Half_Year)</f>
        <v>190.70378107222078</v>
      </c>
      <c r="AB137" s="532">
        <f>NPV(realdiscrt2,AB$39:AB57)/(1+realdiscrt2)^(1-Half_Year)</f>
        <v>173.27819056140657</v>
      </c>
      <c r="AC137" s="532">
        <f>NPV(realdiscrt2,AC$39:AC57)/(1+realdiscrt2)^(1-Half_Year)</f>
        <v>138.94911861148313</v>
      </c>
      <c r="AD137" s="532">
        <f>NPV(realdiscrt2,AD$39:AD57)/(1+realdiscrt2)^(1-Half_Year)</f>
        <v>178.94793199076676</v>
      </c>
      <c r="AE137" s="534">
        <f>NPV(realdiscrt2,AE$39:AE57)/(1+realdiscrt2)^(1-Half_Year)</f>
        <v>168.1361888408029</v>
      </c>
      <c r="AF137" s="535">
        <f>NPV(realdiscrt2,AF$39:AF57)/(1+realdiscrt2)^(1-Half_Year)</f>
        <v>4.6736923972583874E-2</v>
      </c>
      <c r="AG137" s="530">
        <f>NPV(realdiscrt2,AG$39:AG57)/(1+realdiscrt2)^(1-Half_Year)</f>
        <v>1.9717441671823726</v>
      </c>
      <c r="AH137" s="536">
        <f>NPV(realdiscrt2,AH$39:AH57)/(1+realdiscrt2)^(1-Half_Year)</f>
        <v>1.9717441671823726</v>
      </c>
      <c r="AI137" s="536">
        <f>NPV(realdiscrt2,AI$39:AI57)/(1+realdiscrt2)^(1-Half_Year)</f>
        <v>3.6088332270155674</v>
      </c>
      <c r="AJ137" s="536">
        <f>NPV(realdiscrt2,AJ$39:AJ57)/(1+realdiscrt2)^(1-Half_Year)</f>
        <v>3.0732423617614981</v>
      </c>
      <c r="AK137" s="536">
        <f>NPV(realdiscrt2,AK$39:AK57)/(1+realdiscrt2)^(1-Half_Year)</f>
        <v>1.9717441671823726</v>
      </c>
      <c r="AL137" s="536">
        <f>NPV(realdiscrt2,AL$39:AL57)/(1+realdiscrt2)^(1-Half_Year)</f>
        <v>3.6088332270155674</v>
      </c>
      <c r="AM137" s="536">
        <f>NPV(realdiscrt2,AM$39:AM57)/(1+realdiscrt2)^(1-Half_Year)</f>
        <v>3.166376724357947</v>
      </c>
      <c r="AN137" s="518">
        <f>NPV(realdiscrt2,AN$39:AN57)/(1+realdiscrt2)^(1-Half_Year)</f>
        <v>550.87414624753592</v>
      </c>
      <c r="AO137" s="519">
        <f>NPV(realdiscrt2,AO$39:AO57)/(1+realdiscrt2)^(1-Half_Year)</f>
        <v>490.07452064985296</v>
      </c>
      <c r="AP137" s="505">
        <f>NPV(realdiscrt2,AP$39:AP57)/(1+realdiscrt2)^(1-Half_Year)</f>
        <v>469.02195966399267</v>
      </c>
      <c r="AQ137" s="533">
        <f>NPV(realdiscrt2,AQ$39:AQ57)/(1+realdiscrt2)^(1-Half_Year)</f>
        <v>0.29180539348724743</v>
      </c>
      <c r="AR137" s="519">
        <f>NPV(realdiscrt2,AR$39:AR57)/(1+realdiscrt2)^(1-Half_Year)</f>
        <v>678.14233788970012</v>
      </c>
      <c r="AS137" s="534">
        <f>NPV(realdiscrt2,AS$39:AS57)/(1+realdiscrt2)^(1-Half_Year)</f>
        <v>862.01537326358073</v>
      </c>
      <c r="AT137" s="518">
        <f>NPV(realdiscrt2,AT$39:AT57)/(1+realdiscrt2)^(1-Half_Year)</f>
        <v>477.46081188739885</v>
      </c>
      <c r="AU137" s="532">
        <f>NPV(realdiscrt2,AU$39:AU57)/(1+realdiscrt2)^(1-Half_Year)</f>
        <v>514.85876542352548</v>
      </c>
      <c r="AV137" s="531">
        <f>NPV(realdiscrt2,AV$39:AV57)/(1+realdiscrt2)^(1-Half_Year)</f>
        <v>0.22639781945006784</v>
      </c>
      <c r="AW137" s="534">
        <f>NPV(realdiscrt2,AW$39:AW57)/(1+realdiscrt2)^(1-Half_Year)</f>
        <v>0.22639781945006784</v>
      </c>
      <c r="AX137" s="523">
        <f>NPV(realdiscrt2,AX$39:AX57)/(1+realdiscrt2)^(1-Half_Year)</f>
        <v>26.942177559029055</v>
      </c>
      <c r="AY137" s="537">
        <f>NPV(realdiscrt2,AY$39:AY57)/(1+realdiscrt2)^(1-Half_Year)</f>
        <v>215.65850094659675</v>
      </c>
      <c r="AZ137" s="530">
        <f>NPV(realdiscrt2,AZ$39:AZ57)/(1+realdiscrt2)^(1-Half_Year)</f>
        <v>0.58735779406978683</v>
      </c>
      <c r="BA137" s="536">
        <f>NPV(realdiscrt2,BA$39:BA57)/(1+realdiscrt2)^(1-Half_Year)</f>
        <v>0.62280064126400936</v>
      </c>
      <c r="BB137" s="536">
        <f>NPV(realdiscrt2,BB$39:BB57)/(1+realdiscrt2)^(1-Half_Year)</f>
        <v>0.63621805455815728</v>
      </c>
      <c r="BC137" s="533">
        <f>NPV(realdiscrt2,BC$39:BC57)/(1+realdiscrt2)^(1-Half_Year)</f>
        <v>0.69637436796164098</v>
      </c>
    </row>
    <row r="138" spans="1:55" s="324" customFormat="1" ht="14.25">
      <c r="A138" s="525">
        <f t="shared" si="96"/>
        <v>20</v>
      </c>
      <c r="B138" s="526">
        <f t="shared" si="95"/>
        <v>2044</v>
      </c>
      <c r="C138" s="527">
        <f>NPV(realdiscrt2,C$39:C58)/(1+realdiscrt2)^(1-Half_Year)</f>
        <v>1.4260326371633369</v>
      </c>
      <c r="D138" s="528">
        <f>NPV(realdiscrt2,D$39:D58)/(1+realdiscrt2)^(1-Half_Year)</f>
        <v>1.4117390484658945</v>
      </c>
      <c r="E138" s="528">
        <f>NPV(realdiscrt2,E$39:E58)/(1+realdiscrt2)^(1-Half_Year)</f>
        <v>1.0847196438847144</v>
      </c>
      <c r="F138" s="529">
        <f>NPV(realdiscrt2,F$39:F58)/(1+realdiscrt2)^(1-Half_Year)</f>
        <v>1.0214040086515384</v>
      </c>
      <c r="G138" s="527">
        <f>NPV(realdiscrt2,G$39:G58)/(1+realdiscrt2)^(1-Half_Year)</f>
        <v>7.004312502482829E-2</v>
      </c>
      <c r="H138" s="528">
        <f>NPV(realdiscrt2,H$39:H58)/(1+realdiscrt2)^(1-Half_Year)</f>
        <v>6.1087255057812165E-2</v>
      </c>
      <c r="I138" s="528">
        <f>NPV(realdiscrt2,I$39:I58)/(1+realdiscrt2)^(1-Half_Year)</f>
        <v>4.1425220091506169E-2</v>
      </c>
      <c r="J138" s="528">
        <f>NPV(realdiscrt2,J$39:J58)/(1+realdiscrt2)^(1-Half_Year)</f>
        <v>2.6196195839571879E-2</v>
      </c>
      <c r="K138" s="530">
        <f>NPV(realdiscrt2,K$39:K58)/(1+realdiscrt2)^(1-Half_Year)</f>
        <v>1.5290248465726974E-2</v>
      </c>
      <c r="L138" s="1139">
        <f>NPV(realdiscrt2,L$39:L58)/(1+realdiscrt2)^(1-Half_Year)</f>
        <v>1174.9227736952621</v>
      </c>
      <c r="M138" s="532">
        <f>NPV(realdiscrt2,M$39:M58)/(1+realdiscrt2)^(1-Half_Year)</f>
        <v>352.08268849940316</v>
      </c>
      <c r="N138" s="532">
        <f>NPV(realdiscrt2,N$39:N58)/(1+realdiscrt2)^(1-Half_Year)</f>
        <v>352.08268849940316</v>
      </c>
      <c r="O138" s="534">
        <f>NPV(realdiscrt2,O$39:O58)/(1+realdiscrt2)^(1-Half_Year)</f>
        <v>0</v>
      </c>
      <c r="P138" s="637">
        <f t="shared" si="94"/>
        <v>0</v>
      </c>
      <c r="Q138" s="637">
        <f t="shared" si="94"/>
        <v>0</v>
      </c>
      <c r="R138" s="1134">
        <f t="shared" si="94"/>
        <v>0</v>
      </c>
      <c r="S138" s="519">
        <f>NPV(realdiscrt2,S$39:S58)/(1+realdiscrt2)^(1-Half_Year)</f>
        <v>0</v>
      </c>
      <c r="T138" s="519">
        <f>NPV(realdiscrt2,T$39:T58)/(1+realdiscrt2)^(1-Half_Year)</f>
        <v>0</v>
      </c>
      <c r="U138" s="533">
        <f>NPV(realdiscrt2,U$39:U58)/(1+realdiscrt2)^(1-Half_Year)</f>
        <v>0</v>
      </c>
      <c r="V138" s="531">
        <f>NPV(realdiscrt2,V$39:V58)/(1+realdiscrt2)^(1-Half_Year)</f>
        <v>1853.7138838720637</v>
      </c>
      <c r="W138" s="532">
        <f>NPV(realdiscrt2,W$39:W58)/(1+realdiscrt2)^(1-Half_Year)</f>
        <v>0</v>
      </c>
      <c r="X138" s="534">
        <f>NPV(realdiscrt2,X$39:X58)/(1+realdiscrt2)^(1-Half_Year)</f>
        <v>2253.7023157259159</v>
      </c>
      <c r="Y138" s="531">
        <f>NPV(realdiscrt2,Y$39:Y58)/(1+realdiscrt2)^(1-Half_Year)</f>
        <v>128.8945566861542</v>
      </c>
      <c r="Z138" s="532">
        <f>NPV(realdiscrt2,Z$39:Z58)/(1+realdiscrt2)^(1-Half_Year)</f>
        <v>147.76563914223587</v>
      </c>
      <c r="AA138" s="532">
        <f>NPV(realdiscrt2,AA$39:AA58)/(1+realdiscrt2)^(1-Half_Year)</f>
        <v>199.78338057232148</v>
      </c>
      <c r="AB138" s="532">
        <f>NPV(realdiscrt2,AB$39:AB58)/(1+realdiscrt2)^(1-Half_Year)</f>
        <v>181.59720989816086</v>
      </c>
      <c r="AC138" s="532">
        <f>NPV(realdiscrt2,AC$39:AC58)/(1+realdiscrt2)^(1-Half_Year)</f>
        <v>145.7655213008882</v>
      </c>
      <c r="AD138" s="532">
        <f>NPV(realdiscrt2,AD$39:AD58)/(1+realdiscrt2)^(1-Half_Year)</f>
        <v>187.51725128681667</v>
      </c>
      <c r="AE138" s="534">
        <f>NPV(realdiscrt2,AE$39:AE58)/(1+realdiscrt2)^(1-Half_Year)</f>
        <v>176.2313363871861</v>
      </c>
      <c r="AF138" s="535">
        <f>NPV(realdiscrt2,AF$39:AF58)/(1+realdiscrt2)^(1-Half_Year)</f>
        <v>4.9036854171673819E-2</v>
      </c>
      <c r="AG138" s="530">
        <f>NPV(realdiscrt2,AG$39:AG58)/(1+realdiscrt2)^(1-Half_Year)</f>
        <v>1.9717441671823726</v>
      </c>
      <c r="AH138" s="536">
        <f>NPV(realdiscrt2,AH$39:AH58)/(1+realdiscrt2)^(1-Half_Year)</f>
        <v>1.9717441671823726</v>
      </c>
      <c r="AI138" s="536">
        <f>NPV(realdiscrt2,AI$39:AI58)/(1+realdiscrt2)^(1-Half_Year)</f>
        <v>3.6088332270155674</v>
      </c>
      <c r="AJ138" s="536">
        <f>NPV(realdiscrt2,AJ$39:AJ58)/(1+realdiscrt2)^(1-Half_Year)</f>
        <v>3.0732423617614981</v>
      </c>
      <c r="AK138" s="536">
        <f>NPV(realdiscrt2,AK$39:AK58)/(1+realdiscrt2)^(1-Half_Year)</f>
        <v>1.9717441671823726</v>
      </c>
      <c r="AL138" s="536">
        <f>NPV(realdiscrt2,AL$39:AL58)/(1+realdiscrt2)^(1-Half_Year)</f>
        <v>3.6088332270155674</v>
      </c>
      <c r="AM138" s="536">
        <f>NPV(realdiscrt2,AM$39:AM58)/(1+realdiscrt2)^(1-Half_Year)</f>
        <v>3.166376724357947</v>
      </c>
      <c r="AN138" s="518">
        <f>NPV(realdiscrt2,AN$39:AN58)/(1+realdiscrt2)^(1-Half_Year)</f>
        <v>578.03887548800526</v>
      </c>
      <c r="AO138" s="519">
        <f>NPV(realdiscrt2,AO$39:AO58)/(1+realdiscrt2)^(1-Half_Year)</f>
        <v>514.52183686892181</v>
      </c>
      <c r="AP138" s="505">
        <f>NPV(realdiscrt2,AP$39:AP58)/(1+realdiscrt2)^(1-Half_Year)</f>
        <v>492.44081029117388</v>
      </c>
      <c r="AQ138" s="533">
        <f>NPV(realdiscrt2,AQ$39:AQ58)/(1+realdiscrt2)^(1-Half_Year)</f>
        <v>0.30617658729520802</v>
      </c>
      <c r="AR138" s="519">
        <f>NPV(realdiscrt2,AR$39:AR58)/(1+realdiscrt2)^(1-Half_Year)</f>
        <v>711.58292158882125</v>
      </c>
      <c r="AS138" s="534">
        <f>NPV(realdiscrt2,AS$39:AS58)/(1+realdiscrt2)^(1-Half_Year)</f>
        <v>903.42155551518579</v>
      </c>
      <c r="AT138" s="518">
        <f>NPV(realdiscrt2,AT$39:AT58)/(1+realdiscrt2)^(1-Half_Year)</f>
        <v>501.00537967335509</v>
      </c>
      <c r="AU138" s="532">
        <f>NPV(realdiscrt2,AU$39:AU58)/(1+realdiscrt2)^(1-Half_Year)</f>
        <v>540.24750267881814</v>
      </c>
      <c r="AV138" s="531">
        <f>NPV(realdiscrt2,AV$39:AV58)/(1+realdiscrt2)^(1-Half_Year)</f>
        <v>0.23677509547077757</v>
      </c>
      <c r="AW138" s="534">
        <f>NPV(realdiscrt2,AW$39:AW58)/(1+realdiscrt2)^(1-Half_Year)</f>
        <v>0.23677509547077757</v>
      </c>
      <c r="AX138" s="523">
        <f>NPV(realdiscrt2,AX$39:AX58)/(1+realdiscrt2)^(1-Half_Year)</f>
        <v>28.177111772654197</v>
      </c>
      <c r="AY138" s="537">
        <f>NPV(realdiscrt2,AY$39:AY58)/(1+realdiscrt2)^(1-Half_Year)</f>
        <v>226.98532554777086</v>
      </c>
      <c r="AZ138" s="530">
        <f>NPV(realdiscrt2,AZ$39:AZ58)/(1+realdiscrt2)^(1-Half_Year)</f>
        <v>0.59809159628933928</v>
      </c>
      <c r="BA138" s="536">
        <f>NPV(realdiscrt2,BA$39:BA58)/(1+realdiscrt2)^(1-Half_Year)</f>
        <v>0.63254474397486915</v>
      </c>
      <c r="BB138" s="536">
        <f>NPV(realdiscrt2,BB$39:BB58)/(1+realdiscrt2)^(1-Half_Year)</f>
        <v>0.64737993929550663</v>
      </c>
      <c r="BC138" s="533">
        <f>NPV(realdiscrt2,BC$39:BC58)/(1+realdiscrt2)^(1-Half_Year)</f>
        <v>0.70774063418692246</v>
      </c>
    </row>
    <row r="139" spans="1:55" s="324" customFormat="1" ht="14.25">
      <c r="A139" s="525">
        <f t="shared" si="96"/>
        <v>21</v>
      </c>
      <c r="B139" s="526">
        <f t="shared" si="95"/>
        <v>2045</v>
      </c>
      <c r="C139" s="527">
        <f>NPV(realdiscrt2,C$39:C59)/(1+realdiscrt2)^(1-Half_Year)</f>
        <v>1.4918125874307708</v>
      </c>
      <c r="D139" s="528">
        <f>NPV(realdiscrt2,D$39:D59)/(1+realdiscrt2)^(1-Half_Year)</f>
        <v>1.4778402072043559</v>
      </c>
      <c r="E139" s="528">
        <f>NPV(realdiscrt2,E$39:E59)/(1+realdiscrt2)^(1-Half_Year)</f>
        <v>1.1377816949313726</v>
      </c>
      <c r="F139" s="529">
        <f>NPV(realdiscrt2,F$39:F59)/(1+realdiscrt2)^(1-Half_Year)</f>
        <v>1.071994042387898</v>
      </c>
      <c r="G139" s="527">
        <f>NPV(realdiscrt2,G$39:G59)/(1+realdiscrt2)^(1-Half_Year)</f>
        <v>7.004312502482829E-2</v>
      </c>
      <c r="H139" s="528">
        <f>NPV(realdiscrt2,H$39:H59)/(1+realdiscrt2)^(1-Half_Year)</f>
        <v>6.1087255057812165E-2</v>
      </c>
      <c r="I139" s="528">
        <f>NPV(realdiscrt2,I$39:I59)/(1+realdiscrt2)^(1-Half_Year)</f>
        <v>4.1425220091506169E-2</v>
      </c>
      <c r="J139" s="528">
        <f>NPV(realdiscrt2,J$39:J59)/(1+realdiscrt2)^(1-Half_Year)</f>
        <v>2.6196195839571879E-2</v>
      </c>
      <c r="K139" s="530">
        <f>NPV(realdiscrt2,K$39:K59)/(1+realdiscrt2)^(1-Half_Year)</f>
        <v>1.5307478414700258E-2</v>
      </c>
      <c r="L139" s="1139">
        <f>NPV(realdiscrt2,L$39:L59)/(1+realdiscrt2)^(1-Half_Year)</f>
        <v>1241.066719729188</v>
      </c>
      <c r="M139" s="532">
        <f>NPV(realdiscrt2,M$39:M59)/(1+realdiscrt2)^(1-Half_Year)</f>
        <v>352.08268849940316</v>
      </c>
      <c r="N139" s="532">
        <f>NPV(realdiscrt2,N$39:N59)/(1+realdiscrt2)^(1-Half_Year)</f>
        <v>352.08268849940316</v>
      </c>
      <c r="O139" s="534">
        <f>NPV(realdiscrt2,O$39:O59)/(1+realdiscrt2)^(1-Half_Year)</f>
        <v>0</v>
      </c>
      <c r="P139" s="637">
        <f t="shared" si="94"/>
        <v>0</v>
      </c>
      <c r="Q139" s="637">
        <f t="shared" si="94"/>
        <v>0</v>
      </c>
      <c r="R139" s="1134">
        <f t="shared" si="94"/>
        <v>0</v>
      </c>
      <c r="S139" s="519">
        <f>NPV(realdiscrt2,S$39:S59)/(1+realdiscrt2)^(1-Half_Year)</f>
        <v>0</v>
      </c>
      <c r="T139" s="519">
        <f>NPV(realdiscrt2,T$39:T59)/(1+realdiscrt2)^(1-Half_Year)</f>
        <v>0</v>
      </c>
      <c r="U139" s="533">
        <f>NPV(realdiscrt2,U$39:U59)/(1+realdiscrt2)^(1-Half_Year)</f>
        <v>0</v>
      </c>
      <c r="V139" s="531">
        <f>NPV(realdiscrt2,V$39:V59)/(1+realdiscrt2)^(1-Half_Year)</f>
        <v>1933.8643470645775</v>
      </c>
      <c r="W139" s="532">
        <f>NPV(realdiscrt2,W$39:W59)/(1+realdiscrt2)^(1-Half_Year)</f>
        <v>0</v>
      </c>
      <c r="X139" s="534">
        <f>NPV(realdiscrt2,X$39:X59)/(1+realdiscrt2)^(1-Half_Year)</f>
        <v>2351.1473886010021</v>
      </c>
      <c r="Y139" s="531">
        <f>NPV(realdiscrt2,Y$39:Y59)/(1+realdiscrt2)^(1-Half_Year)</f>
        <v>134.98359287648182</v>
      </c>
      <c r="Z139" s="532">
        <f>NPV(realdiscrt2,Z$39:Z59)/(1+realdiscrt2)^(1-Half_Year)</f>
        <v>154.6179058899026</v>
      </c>
      <c r="AA139" s="532">
        <f>NPV(realdiscrt2,AA$39:AA59)/(1+realdiscrt2)^(1-Half_Year)</f>
        <v>208.77040039194628</v>
      </c>
      <c r="AB139" s="532">
        <f>NPV(realdiscrt2,AB$39:AB59)/(1+realdiscrt2)^(1-Half_Year)</f>
        <v>189.83775854521514</v>
      </c>
      <c r="AC139" s="532">
        <f>NPV(realdiscrt2,AC$39:AC59)/(1+realdiscrt2)^(1-Half_Year)</f>
        <v>152.53112588558938</v>
      </c>
      <c r="AD139" s="532">
        <f>NPV(realdiscrt2,AD$39:AD59)/(1+realdiscrt2)^(1-Half_Year)</f>
        <v>196.0037578925841</v>
      </c>
      <c r="AE139" s="534">
        <f>NPV(realdiscrt2,AE$39:AE59)/(1+realdiscrt2)^(1-Half_Year)</f>
        <v>184.25224743945972</v>
      </c>
      <c r="AF139" s="535">
        <f>NPV(realdiscrt2,AF$39:AF59)/(1+realdiscrt2)^(1-Half_Year)</f>
        <v>5.1311099106097158E-2</v>
      </c>
      <c r="AG139" s="530">
        <f>NPV(realdiscrt2,AG$39:AG59)/(1+realdiscrt2)^(1-Half_Year)</f>
        <v>1.9717441671823726</v>
      </c>
      <c r="AH139" s="536">
        <f>NPV(realdiscrt2,AH$39:AH59)/(1+realdiscrt2)^(1-Half_Year)</f>
        <v>1.9717441671823726</v>
      </c>
      <c r="AI139" s="536">
        <f>NPV(realdiscrt2,AI$39:AI59)/(1+realdiscrt2)^(1-Half_Year)</f>
        <v>3.6088332270155674</v>
      </c>
      <c r="AJ139" s="536">
        <f>NPV(realdiscrt2,AJ$39:AJ59)/(1+realdiscrt2)^(1-Half_Year)</f>
        <v>3.0732423617614981</v>
      </c>
      <c r="AK139" s="536">
        <f>NPV(realdiscrt2,AK$39:AK59)/(1+realdiscrt2)^(1-Half_Year)</f>
        <v>1.9717441671823726</v>
      </c>
      <c r="AL139" s="536">
        <f>NPV(realdiscrt2,AL$39:AL59)/(1+realdiscrt2)^(1-Half_Year)</f>
        <v>3.6088332270155674</v>
      </c>
      <c r="AM139" s="536">
        <f>NPV(realdiscrt2,AM$39:AM59)/(1+realdiscrt2)^(1-Half_Year)</f>
        <v>3.166376724357947</v>
      </c>
      <c r="AN139" s="518">
        <f>NPV(realdiscrt2,AN$39:AN59)/(1+realdiscrt2)^(1-Half_Year)</f>
        <v>605.01093558820412</v>
      </c>
      <c r="AO139" s="519">
        <f>NPV(realdiscrt2,AO$39:AO59)/(1+realdiscrt2)^(1-Half_Year)</f>
        <v>538.82778856789844</v>
      </c>
      <c r="AP139" s="505">
        <f>NPV(realdiscrt2,AP$39:AP59)/(1+realdiscrt2)^(1-Half_Year)</f>
        <v>515.72548710030389</v>
      </c>
      <c r="AQ139" s="533">
        <f>NPV(realdiscrt2,AQ$39:AQ59)/(1+realdiscrt2)^(1-Half_Year)</f>
        <v>0.32043814085182376</v>
      </c>
      <c r="AR139" s="519">
        <f>NPV(realdiscrt2,AR$39:AR59)/(1+realdiscrt2)^(1-Half_Year)</f>
        <v>744.78632388795802</v>
      </c>
      <c r="AS139" s="534">
        <f>NPV(realdiscrt2,AS$39:AS59)/(1+realdiscrt2)^(1-Half_Year)</f>
        <v>944.43881307959953</v>
      </c>
      <c r="AT139" s="518">
        <f>NPV(realdiscrt2,AT$39:AT59)/(1+realdiscrt2)^(1-Half_Year)</f>
        <v>524.38295475368909</v>
      </c>
      <c r="AU139" s="532">
        <f>NPV(realdiscrt2,AU$39:AU59)/(1+realdiscrt2)^(1-Half_Year)</f>
        <v>565.45616723262253</v>
      </c>
      <c r="AV139" s="531">
        <f>NPV(realdiscrt2,AV$39:AV59)/(1+realdiscrt2)^(1-Half_Year)</f>
        <v>0.24701272369352881</v>
      </c>
      <c r="AW139" s="534">
        <f>NPV(realdiscrt2,AW$39:AW59)/(1+realdiscrt2)^(1-Half_Year)</f>
        <v>0.24701272369352881</v>
      </c>
      <c r="AX139" s="523">
        <f>NPV(realdiscrt2,AX$39:AX59)/(1+realdiscrt2)^(1-Half_Year)</f>
        <v>29.395427382012457</v>
      </c>
      <c r="AY139" s="537">
        <f>NPV(realdiscrt2,AY$39:AY59)/(1+realdiscrt2)^(1-Half_Year)</f>
        <v>238.15972420303586</v>
      </c>
      <c r="AZ139" s="530">
        <f>NPV(realdiscrt2,AZ$39:AZ59)/(1+realdiscrt2)^(1-Half_Year)</f>
        <v>0.60784195352406134</v>
      </c>
      <c r="BA139" s="536">
        <f>NPV(realdiscrt2,BA$39:BA59)/(1+realdiscrt2)^(1-Half_Year)</f>
        <v>0.64130248118140021</v>
      </c>
      <c r="BB139" s="536">
        <f>NPV(realdiscrt2,BB$39:BB59)/(1+realdiscrt2)^(1-Half_Year)</f>
        <v>0.65745511711688975</v>
      </c>
      <c r="BC139" s="533">
        <f>NPV(realdiscrt2,BC$39:BC59)/(1+realdiscrt2)^(1-Half_Year)</f>
        <v>0.71797386580798206</v>
      </c>
    </row>
    <row r="140" spans="1:55" s="324" customFormat="1" ht="14.25">
      <c r="A140" s="525">
        <f t="shared" si="96"/>
        <v>22</v>
      </c>
      <c r="B140" s="526">
        <f t="shared" si="95"/>
        <v>2046</v>
      </c>
      <c r="C140" s="527">
        <f>NPV(realdiscrt2,C$39:C60)/(1+realdiscrt2)^(1-Half_Year)</f>
        <v>1.5573733857747742</v>
      </c>
      <c r="D140" s="528">
        <f>NPV(realdiscrt2,D$39:D60)/(1+realdiscrt2)^(1-Half_Year)</f>
        <v>1.543748321289955</v>
      </c>
      <c r="E140" s="528">
        <f>NPV(realdiscrt2,E$39:E60)/(1+realdiscrt2)^(1-Half_Year)</f>
        <v>1.1910295310257677</v>
      </c>
      <c r="F140" s="529">
        <f>NPV(realdiscrt2,F$39:F60)/(1+realdiscrt2)^(1-Half_Year)</f>
        <v>1.1227920872426056</v>
      </c>
      <c r="G140" s="527">
        <f>NPV(realdiscrt2,G$39:G60)/(1+realdiscrt2)^(1-Half_Year)</f>
        <v>7.004312502482829E-2</v>
      </c>
      <c r="H140" s="528">
        <f>NPV(realdiscrt2,H$39:H60)/(1+realdiscrt2)^(1-Half_Year)</f>
        <v>6.1087255057812165E-2</v>
      </c>
      <c r="I140" s="528">
        <f>NPV(realdiscrt2,I$39:I60)/(1+realdiscrt2)^(1-Half_Year)</f>
        <v>4.1425220091506169E-2</v>
      </c>
      <c r="J140" s="528">
        <f>NPV(realdiscrt2,J$39:J60)/(1+realdiscrt2)^(1-Half_Year)</f>
        <v>2.6196195839571879E-2</v>
      </c>
      <c r="K140" s="530">
        <f>NPV(realdiscrt2,K$39:K60)/(1+realdiscrt2)^(1-Half_Year)</f>
        <v>1.5324519558809707E-2</v>
      </c>
      <c r="L140" s="1139">
        <f>NPV(realdiscrt2,L$39:L60)/(1+realdiscrt2)^(1-Half_Year)</f>
        <v>1308.3622389191687</v>
      </c>
      <c r="M140" s="532">
        <f>NPV(realdiscrt2,M$39:M60)/(1+realdiscrt2)^(1-Half_Year)</f>
        <v>352.08268849940316</v>
      </c>
      <c r="N140" s="532">
        <f>NPV(realdiscrt2,N$39:N60)/(1+realdiscrt2)^(1-Half_Year)</f>
        <v>352.08268849940316</v>
      </c>
      <c r="O140" s="534">
        <f>NPV(realdiscrt2,O$39:O60)/(1+realdiscrt2)^(1-Half_Year)</f>
        <v>0</v>
      </c>
      <c r="P140" s="637">
        <f t="shared" si="94"/>
        <v>0</v>
      </c>
      <c r="Q140" s="637">
        <f t="shared" si="94"/>
        <v>0</v>
      </c>
      <c r="R140" s="1134">
        <f t="shared" si="94"/>
        <v>0</v>
      </c>
      <c r="S140" s="519">
        <f>NPV(realdiscrt2,S$39:S60)/(1+realdiscrt2)^(1-Half_Year)</f>
        <v>0</v>
      </c>
      <c r="T140" s="519">
        <f>NPV(realdiscrt2,T$39:T60)/(1+realdiscrt2)^(1-Half_Year)</f>
        <v>0</v>
      </c>
      <c r="U140" s="533">
        <f>NPV(realdiscrt2,U$39:U60)/(1+realdiscrt2)^(1-Half_Year)</f>
        <v>0</v>
      </c>
      <c r="V140" s="531">
        <f>NPV(realdiscrt2,V$39:V60)/(1+realdiscrt2)^(1-Half_Year)</f>
        <v>2012.9362193370989</v>
      </c>
      <c r="W140" s="532">
        <f>NPV(realdiscrt2,W$39:W60)/(1+realdiscrt2)^(1-Half_Year)</f>
        <v>0</v>
      </c>
      <c r="X140" s="534">
        <f>NPV(realdiscrt2,X$39:X60)/(1+realdiscrt2)^(1-Half_Year)</f>
        <v>2447.2811356694169</v>
      </c>
      <c r="Y140" s="531">
        <f>NPV(realdiscrt2,Y$39:Y60)/(1+realdiscrt2)^(1-Half_Year)</f>
        <v>141.03675771846324</v>
      </c>
      <c r="Z140" s="532">
        <f>NPV(realdiscrt2,Z$39:Z60)/(1+realdiscrt2)^(1-Half_Year)</f>
        <v>161.41858484075235</v>
      </c>
      <c r="AA140" s="532">
        <f>NPV(realdiscrt2,AA$39:AA60)/(1+realdiscrt2)^(1-Half_Year)</f>
        <v>217.66578451515932</v>
      </c>
      <c r="AB140" s="532">
        <f>NPV(realdiscrt2,AB$39:AB60)/(1+realdiscrt2)^(1-Half_Year)</f>
        <v>198.00057669187453</v>
      </c>
      <c r="AC140" s="532">
        <f>NPV(realdiscrt2,AC$39:AC60)/(1+realdiscrt2)^(1-Half_Year)</f>
        <v>159.24631092999368</v>
      </c>
      <c r="AD140" s="532">
        <f>NPV(realdiscrt2,AD$39:AD60)/(1+realdiscrt2)^(1-Half_Year)</f>
        <v>204.40825209820122</v>
      </c>
      <c r="AE140" s="534">
        <f>NPV(realdiscrt2,AE$39:AE60)/(1+realdiscrt2)^(1-Half_Year)</f>
        <v>192.19960278287516</v>
      </c>
      <c r="AF140" s="535">
        <f>NPV(realdiscrt2,AF$39:AF60)/(1+realdiscrt2)^(1-Half_Year)</f>
        <v>5.3559945624916228E-2</v>
      </c>
      <c r="AG140" s="530">
        <f>NPV(realdiscrt2,AG$39:AG60)/(1+realdiscrt2)^(1-Half_Year)</f>
        <v>1.9717441671823726</v>
      </c>
      <c r="AH140" s="536">
        <f>NPV(realdiscrt2,AH$39:AH60)/(1+realdiscrt2)^(1-Half_Year)</f>
        <v>1.9717441671823726</v>
      </c>
      <c r="AI140" s="536">
        <f>NPV(realdiscrt2,AI$39:AI60)/(1+realdiscrt2)^(1-Half_Year)</f>
        <v>3.6088332270155674</v>
      </c>
      <c r="AJ140" s="536">
        <f>NPV(realdiscrt2,AJ$39:AJ60)/(1+realdiscrt2)^(1-Half_Year)</f>
        <v>3.0732423617614981</v>
      </c>
      <c r="AK140" s="536">
        <f>NPV(realdiscrt2,AK$39:AK60)/(1+realdiscrt2)^(1-Half_Year)</f>
        <v>1.9717441671823726</v>
      </c>
      <c r="AL140" s="536">
        <f>NPV(realdiscrt2,AL$39:AL60)/(1+realdiscrt2)^(1-Half_Year)</f>
        <v>3.6088332270155674</v>
      </c>
      <c r="AM140" s="536">
        <f>NPV(realdiscrt2,AM$39:AM60)/(1+realdiscrt2)^(1-Half_Year)</f>
        <v>3.166376724357947</v>
      </c>
      <c r="AN140" s="518">
        <f>NPV(realdiscrt2,AN$39:AN60)/(1+realdiscrt2)^(1-Half_Year)</f>
        <v>631.79169307740244</v>
      </c>
      <c r="AO140" s="519">
        <f>NPV(realdiscrt2,AO$39:AO60)/(1+realdiscrt2)^(1-Half_Year)</f>
        <v>562.99319317505842</v>
      </c>
      <c r="AP140" s="505">
        <f>NPV(realdiscrt2,AP$39:AP60)/(1+realdiscrt2)^(1-Half_Year)</f>
        <v>538.87675881456812</v>
      </c>
      <c r="AQ140" s="533">
        <f>NPV(realdiscrt2,AQ$39:AQ60)/(1+realdiscrt2)^(1-Half_Year)</f>
        <v>0.33459089062098746</v>
      </c>
      <c r="AR140" s="519">
        <f>NPV(realdiscrt2,AR$39:AR60)/(1+realdiscrt2)^(1-Half_Year)</f>
        <v>777.75422702498633</v>
      </c>
      <c r="AS140" s="534">
        <f>NPV(realdiscrt2,AS$39:AS60)/(1+realdiscrt2)^(1-Half_Year)</f>
        <v>985.0707990927566</v>
      </c>
      <c r="AT140" s="518">
        <f>NPV(realdiscrt2,AT$39:AT60)/(1+realdiscrt2)^(1-Half_Year)</f>
        <v>547.59472154444063</v>
      </c>
      <c r="AU140" s="532">
        <f>NPV(realdiscrt2,AU$39:AU60)/(1+realdiscrt2)^(1-Half_Year)</f>
        <v>590.48603627243699</v>
      </c>
      <c r="AV140" s="531">
        <f>NPV(realdiscrt2,AV$39:AV60)/(1+realdiscrt2)^(1-Half_Year)</f>
        <v>0.25711258336943099</v>
      </c>
      <c r="AW140" s="534">
        <f>NPV(realdiscrt2,AW$39:AW60)/(1+realdiscrt2)^(1-Half_Year)</f>
        <v>0.25711258336943099</v>
      </c>
      <c r="AX140" s="523">
        <f>NPV(realdiscrt2,AX$39:AX60)/(1+realdiscrt2)^(1-Half_Year)</f>
        <v>30.597348024933879</v>
      </c>
      <c r="AY140" s="537">
        <f>NPV(realdiscrt2,AY$39:AY60)/(1+realdiscrt2)^(1-Half_Year)</f>
        <v>249.18374812001659</v>
      </c>
      <c r="AZ140" s="530">
        <f>NPV(realdiscrt2,AZ$39:AZ60)/(1+realdiscrt2)^(1-Half_Year)</f>
        <v>0.6166989702884953</v>
      </c>
      <c r="BA140" s="536">
        <f>NPV(realdiscrt2,BA$39:BA60)/(1+realdiscrt2)^(1-Half_Year)</f>
        <v>0.64917369962547322</v>
      </c>
      <c r="BB140" s="536">
        <f>NPV(realdiscrt2,BB$39:BB60)/(1+realdiscrt2)^(1-Half_Year)</f>
        <v>0.66654938842689737</v>
      </c>
      <c r="BC140" s="533">
        <f>NPV(realdiscrt2,BC$39:BC60)/(1+realdiscrt2)^(1-Half_Year)</f>
        <v>0.72718700821857685</v>
      </c>
    </row>
    <row r="141" spans="1:55" s="324" customFormat="1" ht="14.25">
      <c r="A141" s="525">
        <f t="shared" si="96"/>
        <v>23</v>
      </c>
      <c r="B141" s="526">
        <f t="shared" si="95"/>
        <v>2047</v>
      </c>
      <c r="C141" s="527">
        <f>NPV(realdiscrt2,C$39:C61)/(1+realdiscrt2)^(1-Half_Year)</f>
        <v>1.6227421317402972</v>
      </c>
      <c r="D141" s="528">
        <f>NPV(realdiscrt2,D$39:D61)/(1+realdiscrt2)^(1-Half_Year)</f>
        <v>1.6094904793615954</v>
      </c>
      <c r="E141" s="528">
        <f>NPV(realdiscrt2,E$39:E61)/(1+realdiscrt2)^(1-Half_Year)</f>
        <v>1.2444930112375641</v>
      </c>
      <c r="F141" s="529">
        <f>NPV(realdiscrt2,F$39:F61)/(1+realdiscrt2)^(1-Half_Year)</f>
        <v>1.1738284932357315</v>
      </c>
      <c r="G141" s="527">
        <f>NPV(realdiscrt2,G$39:G61)/(1+realdiscrt2)^(1-Half_Year)</f>
        <v>7.004312502482829E-2</v>
      </c>
      <c r="H141" s="528">
        <f>NPV(realdiscrt2,H$39:H61)/(1+realdiscrt2)^(1-Half_Year)</f>
        <v>6.1087255057812165E-2</v>
      </c>
      <c r="I141" s="528">
        <f>NPV(realdiscrt2,I$39:I61)/(1+realdiscrt2)^(1-Half_Year)</f>
        <v>4.1425220091506169E-2</v>
      </c>
      <c r="J141" s="528">
        <f>NPV(realdiscrt2,J$39:J61)/(1+realdiscrt2)^(1-Half_Year)</f>
        <v>2.6196195839571879E-2</v>
      </c>
      <c r="K141" s="530">
        <f>NPV(realdiscrt2,K$39:K61)/(1+realdiscrt2)^(1-Half_Year)</f>
        <v>1.5341373966968974E-2</v>
      </c>
      <c r="L141" s="1139">
        <f>NPV(realdiscrt2,L$39:L61)/(1+realdiscrt2)^(1-Half_Year)</f>
        <v>1376.82938027669</v>
      </c>
      <c r="M141" s="532">
        <f>NPV(realdiscrt2,M$39:M61)/(1+realdiscrt2)^(1-Half_Year)</f>
        <v>352.08268849940316</v>
      </c>
      <c r="N141" s="532">
        <f>NPV(realdiscrt2,N$39:N61)/(1+realdiscrt2)^(1-Half_Year)</f>
        <v>352.08268849940316</v>
      </c>
      <c r="O141" s="534">
        <f>NPV(realdiscrt2,O$39:O61)/(1+realdiscrt2)^(1-Half_Year)</f>
        <v>0</v>
      </c>
      <c r="P141" s="637">
        <f t="shared" si="94"/>
        <v>0</v>
      </c>
      <c r="Q141" s="637">
        <f t="shared" si="94"/>
        <v>0</v>
      </c>
      <c r="R141" s="1134">
        <f t="shared" si="94"/>
        <v>0</v>
      </c>
      <c r="S141" s="519">
        <f>NPV(realdiscrt2,S$39:S61)/(1+realdiscrt2)^(1-Half_Year)</f>
        <v>0</v>
      </c>
      <c r="T141" s="519">
        <f>NPV(realdiscrt2,T$39:T61)/(1+realdiscrt2)^(1-Half_Year)</f>
        <v>0</v>
      </c>
      <c r="U141" s="533">
        <f>NPV(realdiscrt2,U$39:U61)/(1+realdiscrt2)^(1-Half_Year)</f>
        <v>0</v>
      </c>
      <c r="V141" s="531">
        <f>NPV(realdiscrt2,V$39:V61)/(1+realdiscrt2)^(1-Half_Year)</f>
        <v>2090.9440153702217</v>
      </c>
      <c r="W141" s="532">
        <f>NPV(realdiscrt2,W$39:W61)/(1+realdiscrt2)^(1-Half_Year)</f>
        <v>0</v>
      </c>
      <c r="X141" s="534">
        <f>NPV(realdiscrt2,X$39:X61)/(1+realdiscrt2)^(1-Half_Year)</f>
        <v>2542.1212035429435</v>
      </c>
      <c r="Y141" s="531">
        <f>NPV(realdiscrt2,Y$39:Y61)/(1+realdiscrt2)^(1-Half_Year)</f>
        <v>147.05426253513755</v>
      </c>
      <c r="Z141" s="532">
        <f>NPV(realdiscrt2,Z$39:Z61)/(1+realdiscrt2)^(1-Half_Year)</f>
        <v>168.16806437732748</v>
      </c>
      <c r="AA141" s="532">
        <f>NPV(realdiscrt2,AA$39:AA61)/(1+realdiscrt2)^(1-Half_Year)</f>
        <v>226.47046730073862</v>
      </c>
      <c r="AB141" s="532">
        <f>NPV(realdiscrt2,AB$39:AB61)/(1+realdiscrt2)^(1-Half_Year)</f>
        <v>206.08639754547147</v>
      </c>
      <c r="AC141" s="532">
        <f>NPV(realdiscrt2,AC$39:AC61)/(1+realdiscrt2)^(1-Half_Year)</f>
        <v>165.9114521773198</v>
      </c>
      <c r="AD141" s="532">
        <f>NPV(realdiscrt2,AD$39:AD61)/(1+realdiscrt2)^(1-Half_Year)</f>
        <v>212.73152645990942</v>
      </c>
      <c r="AE141" s="534">
        <f>NPV(realdiscrt2,AE$39:AE61)/(1+realdiscrt2)^(1-Half_Year)</f>
        <v>200.07407695954743</v>
      </c>
      <c r="AF141" s="535">
        <f>NPV(realdiscrt2,AF$39:AF61)/(1+realdiscrt2)^(1-Half_Year)</f>
        <v>5.5783677373707367E-2</v>
      </c>
      <c r="AG141" s="530">
        <f>NPV(realdiscrt2,AG$39:AG61)/(1+realdiscrt2)^(1-Half_Year)</f>
        <v>1.9717441671823726</v>
      </c>
      <c r="AH141" s="536">
        <f>NPV(realdiscrt2,AH$39:AH61)/(1+realdiscrt2)^(1-Half_Year)</f>
        <v>1.9717441671823726</v>
      </c>
      <c r="AI141" s="536">
        <f>NPV(realdiscrt2,AI$39:AI61)/(1+realdiscrt2)^(1-Half_Year)</f>
        <v>3.6088332270155674</v>
      </c>
      <c r="AJ141" s="536">
        <f>NPV(realdiscrt2,AJ$39:AJ61)/(1+realdiscrt2)^(1-Half_Year)</f>
        <v>3.0732423617614981</v>
      </c>
      <c r="AK141" s="536">
        <f>NPV(realdiscrt2,AK$39:AK61)/(1+realdiscrt2)^(1-Half_Year)</f>
        <v>1.9717441671823726</v>
      </c>
      <c r="AL141" s="536">
        <f>NPV(realdiscrt2,AL$39:AL61)/(1+realdiscrt2)^(1-Half_Year)</f>
        <v>3.6088332270155674</v>
      </c>
      <c r="AM141" s="536">
        <f>NPV(realdiscrt2,AM$39:AM61)/(1+realdiscrt2)^(1-Half_Year)</f>
        <v>3.166376724357947</v>
      </c>
      <c r="AN141" s="518">
        <f>NPV(realdiscrt2,AN$39:AN61)/(1+realdiscrt2)^(1-Half_Year)</f>
        <v>658.38250479259511</v>
      </c>
      <c r="AO141" s="519">
        <f>NPV(realdiscrt2,AO$39:AO61)/(1+realdiscrt2)^(1-Half_Year)</f>
        <v>587.01886339196847</v>
      </c>
      <c r="AP141" s="505">
        <f>NPV(realdiscrt2,AP$39:AP61)/(1+realdiscrt2)^(1-Half_Year)</f>
        <v>561.89538975289952</v>
      </c>
      <c r="AQ141" s="533">
        <f>NPV(realdiscrt2,AQ$39:AQ61)/(1+realdiscrt2)^(1-Half_Year)</f>
        <v>0.34863566668506824</v>
      </c>
      <c r="AR141" s="519">
        <f>NPV(realdiscrt2,AR$39:AR61)/(1+realdiscrt2)^(1-Half_Year)</f>
        <v>810.48830130630631</v>
      </c>
      <c r="AS141" s="534">
        <f>NPV(realdiscrt2,AS$39:AS61)/(1+realdiscrt2)^(1-Half_Year)</f>
        <v>1025.321132377002</v>
      </c>
      <c r="AT141" s="518">
        <f>NPV(realdiscrt2,AT$39:AT61)/(1+realdiscrt2)^(1-Half_Year)</f>
        <v>570.64185606103456</v>
      </c>
      <c r="AU141" s="532">
        <f>NPV(realdiscrt2,AU$39:AU61)/(1+realdiscrt2)^(1-Half_Year)</f>
        <v>615.33837792715246</v>
      </c>
      <c r="AV141" s="531">
        <f>NPV(realdiscrt2,AV$39:AV61)/(1+realdiscrt2)^(1-Half_Year)</f>
        <v>0.26707652846036734</v>
      </c>
      <c r="AW141" s="534">
        <f>NPV(realdiscrt2,AW$39:AW61)/(1+realdiscrt2)^(1-Half_Year)</f>
        <v>0.26707652846036734</v>
      </c>
      <c r="AX141" s="523">
        <f>NPV(realdiscrt2,AX$39:AX61)/(1+realdiscrt2)^(1-Half_Year)</f>
        <v>31.7830943297371</v>
      </c>
      <c r="AY141" s="537">
        <f>NPV(realdiscrt2,AY$39:AY61)/(1+realdiscrt2)^(1-Half_Year)</f>
        <v>260.05942090307968</v>
      </c>
      <c r="AZ141" s="530">
        <f>NPV(realdiscrt2,AZ$39:AZ61)/(1+realdiscrt2)^(1-Half_Year)</f>
        <v>0.62474449560382517</v>
      </c>
      <c r="BA141" s="536">
        <f>NPV(realdiscrt2,BA$39:BA61)/(1+realdiscrt2)^(1-Half_Year)</f>
        <v>0.65624813887081979</v>
      </c>
      <c r="BB141" s="536">
        <f>NPV(realdiscrt2,BB$39:BB61)/(1+realdiscrt2)^(1-Half_Year)</f>
        <v>0.67475825303715742</v>
      </c>
      <c r="BC141" s="533">
        <f>NPV(realdiscrt2,BC$39:BC61)/(1+realdiscrt2)^(1-Half_Year)</f>
        <v>0.73548174796659727</v>
      </c>
    </row>
    <row r="142" spans="1:55" s="324" customFormat="1" ht="14.25">
      <c r="A142" s="525">
        <f t="shared" si="96"/>
        <v>24</v>
      </c>
      <c r="B142" s="526">
        <f t="shared" si="95"/>
        <v>2048</v>
      </c>
      <c r="C142" s="527">
        <f>NPV(realdiscrt2,C$39:C62)/(1+realdiscrt2)^(1-Half_Year)</f>
        <v>1.6879421158190777</v>
      </c>
      <c r="D142" s="528">
        <f>NPV(realdiscrt2,D$39:D62)/(1+realdiscrt2)^(1-Half_Year)</f>
        <v>1.6750899610094585</v>
      </c>
      <c r="E142" s="528">
        <f>NPV(realdiscrt2,E$39:E62)/(1+realdiscrt2)^(1-Half_Year)</f>
        <v>1.2981982058696564</v>
      </c>
      <c r="F142" s="529">
        <f>NPV(realdiscrt2,F$39:F62)/(1+realdiscrt2)^(1-Half_Year)</f>
        <v>1.2251298278866338</v>
      </c>
      <c r="G142" s="527">
        <f>NPV(realdiscrt2,G$39:G62)/(1+realdiscrt2)^(1-Half_Year)</f>
        <v>7.004312502482829E-2</v>
      </c>
      <c r="H142" s="528">
        <f>NPV(realdiscrt2,H$39:H62)/(1+realdiscrt2)^(1-Half_Year)</f>
        <v>6.1087255057812165E-2</v>
      </c>
      <c r="I142" s="528">
        <f>NPV(realdiscrt2,I$39:I62)/(1+realdiscrt2)^(1-Half_Year)</f>
        <v>4.1425220091506169E-2</v>
      </c>
      <c r="J142" s="528">
        <f>NPV(realdiscrt2,J$39:J62)/(1+realdiscrt2)^(1-Half_Year)</f>
        <v>2.6196195839571879E-2</v>
      </c>
      <c r="K142" s="530">
        <f>NPV(realdiscrt2,K$39:K62)/(1+realdiscrt2)^(1-Half_Year)</f>
        <v>1.535804368542066E-2</v>
      </c>
      <c r="L142" s="1139">
        <f>NPV(realdiscrt2,L$39:L62)/(1+realdiscrt2)^(1-Half_Year)</f>
        <v>1446.4885418686661</v>
      </c>
      <c r="M142" s="532">
        <f>NPV(realdiscrt2,M$39:M62)/(1+realdiscrt2)^(1-Half_Year)</f>
        <v>352.08268849940316</v>
      </c>
      <c r="N142" s="532">
        <f>NPV(realdiscrt2,N$39:N62)/(1+realdiscrt2)^(1-Half_Year)</f>
        <v>352.08268849940316</v>
      </c>
      <c r="O142" s="534">
        <f>NPV(realdiscrt2,O$39:O62)/(1+realdiscrt2)^(1-Half_Year)</f>
        <v>0</v>
      </c>
      <c r="P142" s="637">
        <f t="shared" si="94"/>
        <v>0</v>
      </c>
      <c r="Q142" s="637">
        <f t="shared" si="94"/>
        <v>0</v>
      </c>
      <c r="R142" s="1134">
        <f t="shared" si="94"/>
        <v>0</v>
      </c>
      <c r="S142" s="519">
        <f>NPV(realdiscrt2,S$39:S62)/(1+realdiscrt2)^(1-Half_Year)</f>
        <v>0</v>
      </c>
      <c r="T142" s="519">
        <f>NPV(realdiscrt2,T$39:T62)/(1+realdiscrt2)^(1-Half_Year)</f>
        <v>0</v>
      </c>
      <c r="U142" s="533">
        <f>NPV(realdiscrt2,U$39:U62)/(1+realdiscrt2)^(1-Half_Year)</f>
        <v>0</v>
      </c>
      <c r="V142" s="531">
        <f>NPV(realdiscrt2,V$39:V62)/(1+realdiscrt2)^(1-Half_Year)</f>
        <v>2167.902054519373</v>
      </c>
      <c r="W142" s="532">
        <f>NPV(realdiscrt2,W$39:W62)/(1+realdiscrt2)^(1-Half_Year)</f>
        <v>0</v>
      </c>
      <c r="X142" s="534">
        <f>NPV(realdiscrt2,X$39:X62)/(1+realdiscrt2)^(1-Half_Year)</f>
        <v>2635.685001361559</v>
      </c>
      <c r="Y142" s="531">
        <f>NPV(realdiscrt2,Y$39:Y62)/(1+realdiscrt2)^(1-Half_Year)</f>
        <v>153.03631740461063</v>
      </c>
      <c r="Z142" s="532">
        <f>NPV(realdiscrt2,Z$39:Z62)/(1+realdiscrt2)^(1-Half_Year)</f>
        <v>174.86672995820368</v>
      </c>
      <c r="AA142" s="532">
        <f>NPV(realdiscrt2,AA$39:AA62)/(1+realdiscrt2)^(1-Half_Year)</f>
        <v>235.18537358031986</v>
      </c>
      <c r="AB142" s="532">
        <f>NPV(realdiscrt2,AB$39:AB62)/(1+realdiscrt2)^(1-Half_Year)</f>
        <v>214.09594739722459</v>
      </c>
      <c r="AC142" s="532">
        <f>NPV(realdiscrt2,AC$39:AC62)/(1+realdiscrt2)^(1-Half_Year)</f>
        <v>172.5269225706229</v>
      </c>
      <c r="AD142" s="532">
        <f>NPV(realdiscrt2,AD$39:AD62)/(1+realdiscrt2)^(1-Half_Year)</f>
        <v>220.97436587479868</v>
      </c>
      <c r="AE142" s="534">
        <f>NPV(realdiscrt2,AE$39:AE62)/(1+realdiscrt2)^(1-Half_Year)</f>
        <v>207.87633832570779</v>
      </c>
      <c r="AF142" s="535">
        <f>NPV(realdiscrt2,AF$39:AF62)/(1+realdiscrt2)^(1-Half_Year)</f>
        <v>5.7982574830337037E-2</v>
      </c>
      <c r="AG142" s="530">
        <f>NPV(realdiscrt2,AG$39:AG62)/(1+realdiscrt2)^(1-Half_Year)</f>
        <v>1.9717441671823726</v>
      </c>
      <c r="AH142" s="536">
        <f>NPV(realdiscrt2,AH$39:AH62)/(1+realdiscrt2)^(1-Half_Year)</f>
        <v>1.9717441671823726</v>
      </c>
      <c r="AI142" s="536">
        <f>NPV(realdiscrt2,AI$39:AI62)/(1+realdiscrt2)^(1-Half_Year)</f>
        <v>3.6088332270155674</v>
      </c>
      <c r="AJ142" s="536">
        <f>NPV(realdiscrt2,AJ$39:AJ62)/(1+realdiscrt2)^(1-Half_Year)</f>
        <v>3.0732423617614981</v>
      </c>
      <c r="AK142" s="536">
        <f>NPV(realdiscrt2,AK$39:AK62)/(1+realdiscrt2)^(1-Half_Year)</f>
        <v>1.9717441671823726</v>
      </c>
      <c r="AL142" s="536">
        <f>NPV(realdiscrt2,AL$39:AL62)/(1+realdiscrt2)^(1-Half_Year)</f>
        <v>3.6088332270155674</v>
      </c>
      <c r="AM142" s="536">
        <f>NPV(realdiscrt2,AM$39:AM62)/(1+realdiscrt2)^(1-Half_Year)</f>
        <v>3.166376724357947</v>
      </c>
      <c r="AN142" s="518">
        <f>NPV(realdiscrt2,AN$39:AN62)/(1+realdiscrt2)^(1-Half_Year)</f>
        <v>684.78471794724589</v>
      </c>
      <c r="AO142" s="519">
        <f>NPV(realdiscrt2,AO$39:AO62)/(1+realdiscrt2)^(1-Half_Year)</f>
        <v>610.90560722081716</v>
      </c>
      <c r="AP142" s="505">
        <f>NPV(realdiscrt2,AP$39:AP62)/(1+realdiscrt2)^(1-Half_Year)</f>
        <v>584.78213985521234</v>
      </c>
      <c r="AQ142" s="533">
        <f>NPV(realdiscrt2,AQ$39:AQ62)/(1+realdiscrt2)^(1-Half_Year)</f>
        <v>0.36257329279359735</v>
      </c>
      <c r="AR142" s="519">
        <f>NPV(realdiscrt2,AR$39:AR62)/(1+realdiscrt2)^(1-Half_Year)</f>
        <v>842.99020519146654</v>
      </c>
      <c r="AS142" s="534">
        <f>NPV(realdiscrt2,AS$39:AS62)/(1+realdiscrt2)^(1-Half_Year)</f>
        <v>1065.1933977633955</v>
      </c>
      <c r="AT142" s="518">
        <f>NPV(realdiscrt2,AT$39:AT62)/(1+realdiscrt2)^(1-Half_Year)</f>
        <v>593.52552597786371</v>
      </c>
      <c r="AU142" s="532">
        <f>NPV(realdiscrt2,AU$39:AU62)/(1+realdiscrt2)^(1-Half_Year)</f>
        <v>640.01445133130176</v>
      </c>
      <c r="AV142" s="531">
        <f>NPV(realdiscrt2,AV$39:AV62)/(1+realdiscrt2)^(1-Half_Year)</f>
        <v>0.27690638797931433</v>
      </c>
      <c r="AW142" s="534">
        <f>NPV(realdiscrt2,AW$39:AW62)/(1+realdiscrt2)^(1-Half_Year)</f>
        <v>0.27690638797931433</v>
      </c>
      <c r="AX142" s="523">
        <f>NPV(realdiscrt2,AX$39:AX62)/(1+realdiscrt2)^(1-Half_Year)</f>
        <v>32.952883955728581</v>
      </c>
      <c r="AY142" s="537">
        <f>NPV(realdiscrt2,AY$39:AY62)/(1+realdiscrt2)^(1-Half_Year)</f>
        <v>270.78873892479299</v>
      </c>
      <c r="AZ142" s="530">
        <f>NPV(realdiscrt2,AZ$39:AZ62)/(1+realdiscrt2)^(1-Half_Year)</f>
        <v>0.63205287937696442</v>
      </c>
      <c r="BA142" s="536">
        <f>NPV(realdiscrt2,BA$39:BA62)/(1+realdiscrt2)^(1-Half_Year)</f>
        <v>0.6626064544215442</v>
      </c>
      <c r="BB142" s="536">
        <f>NPV(realdiscrt2,BB$39:BB62)/(1+realdiscrt2)^(1-Half_Year)</f>
        <v>0.68216791301897783</v>
      </c>
      <c r="BC142" s="533">
        <f>NPV(realdiscrt2,BC$39:BC62)/(1+realdiscrt2)^(1-Half_Year)</f>
        <v>0.74294963508058232</v>
      </c>
    </row>
    <row r="143" spans="1:55" s="324" customFormat="1" ht="14.25">
      <c r="A143" s="538">
        <f t="shared" si="96"/>
        <v>25</v>
      </c>
      <c r="B143" s="539">
        <f t="shared" si="95"/>
        <v>2049</v>
      </c>
      <c r="C143" s="540">
        <f>NPV(realdiscrt2,C$39:C63)/(1+realdiscrt2)^(1-Half_Year)</f>
        <v>1.7529933550562347</v>
      </c>
      <c r="D143" s="541">
        <f>NPV(realdiscrt2,D$39:D63)/(1+realdiscrt2)^(1-Half_Year)</f>
        <v>1.7405667723815934</v>
      </c>
      <c r="E143" s="541">
        <f>NPV(realdiscrt2,E$39:E63)/(1+realdiscrt2)^(1-Half_Year)</f>
        <v>1.3521679322132383</v>
      </c>
      <c r="F143" s="542">
        <f>NPV(realdiscrt2,F$39:F63)/(1+realdiscrt2)^(1-Half_Year)</f>
        <v>1.2767194120366521</v>
      </c>
      <c r="G143" s="540">
        <f>NPV(realdiscrt2,G$39:G63)/(1+realdiscrt2)^(1-Half_Year)</f>
        <v>7.004312502482829E-2</v>
      </c>
      <c r="H143" s="541">
        <f>NPV(realdiscrt2,H$39:H63)/(1+realdiscrt2)^(1-Half_Year)</f>
        <v>6.1087255057812165E-2</v>
      </c>
      <c r="I143" s="541">
        <f>NPV(realdiscrt2,I$39:I63)/(1+realdiscrt2)^(1-Half_Year)</f>
        <v>4.1425220091506169E-2</v>
      </c>
      <c r="J143" s="541">
        <f>NPV(realdiscrt2,J$39:J63)/(1+realdiscrt2)^(1-Half_Year)</f>
        <v>2.6196195839571879E-2</v>
      </c>
      <c r="K143" s="543">
        <f>NPV(realdiscrt2,K$39:K63)/(1+realdiscrt2)^(1-Half_Year)</f>
        <v>1.5374530737984747E-2</v>
      </c>
      <c r="L143" s="544">
        <f>NPV(realdiscrt2,L$39:L63)/(1+realdiscrt2)^(1-Half_Year)</f>
        <v>1517.3604768945318</v>
      </c>
      <c r="M143" s="545">
        <f>NPV(realdiscrt2,M$39:M63)/(1+realdiscrt2)^(1-Half_Year)</f>
        <v>352.08268849940316</v>
      </c>
      <c r="N143" s="545">
        <f>NPV(realdiscrt2,N$39:N63)/(1+realdiscrt2)^(1-Half_Year)</f>
        <v>352.08268849940316</v>
      </c>
      <c r="O143" s="547">
        <f>NPV(realdiscrt2,O$39:O63)/(1+realdiscrt2)^(1-Half_Year)</f>
        <v>0</v>
      </c>
      <c r="P143" s="638">
        <f t="shared" si="94"/>
        <v>0</v>
      </c>
      <c r="Q143" s="638">
        <f t="shared" si="94"/>
        <v>0</v>
      </c>
      <c r="R143" s="1135">
        <f t="shared" si="94"/>
        <v>0</v>
      </c>
      <c r="S143" s="551">
        <f>NPV(realdiscrt2,S$39:S63)/(1+realdiscrt2)^(1-Half_Year)</f>
        <v>0</v>
      </c>
      <c r="T143" s="551">
        <f>NPV(realdiscrt2,T$39:T63)/(1+realdiscrt2)^(1-Half_Year)</f>
        <v>0</v>
      </c>
      <c r="U143" s="546">
        <f>NPV(realdiscrt2,U$39:U63)/(1+realdiscrt2)^(1-Half_Year)</f>
        <v>0</v>
      </c>
      <c r="V143" s="544">
        <f>NPV(realdiscrt2,V$39:V63)/(1+realdiscrt2)^(1-Half_Year)</f>
        <v>2243.8244634433149</v>
      </c>
      <c r="W143" s="545">
        <f>NPV(realdiscrt2,W$39:W63)/(1+realdiscrt2)^(1-Half_Year)</f>
        <v>0</v>
      </c>
      <c r="X143" s="547">
        <f>NPV(realdiscrt2,X$39:X63)/(1+realdiscrt2)^(1-Half_Year)</f>
        <v>2727.9897039891125</v>
      </c>
      <c r="Y143" s="544">
        <f>NPV(realdiscrt2,Y$39:Y63)/(1+realdiscrt2)^(1-Half_Year)</f>
        <v>158.98313116738947</v>
      </c>
      <c r="Z143" s="545">
        <f>NPV(realdiscrt2,Z$39:Z63)/(1+realdiscrt2)^(1-Half_Year)</f>
        <v>181.51496414000326</v>
      </c>
      <c r="AA143" s="545">
        <f>NPV(realdiscrt2,AA$39:AA63)/(1+realdiscrt2)^(1-Half_Year)</f>
        <v>243.81141875553939</v>
      </c>
      <c r="AB143" s="545">
        <f>NPV(realdiscrt2,AB$39:AB63)/(1+realdiscrt2)^(1-Half_Year)</f>
        <v>222.02994568747613</v>
      </c>
      <c r="AC143" s="545">
        <f>NPV(realdiscrt2,AC$39:AC63)/(1+realdiscrt2)^(1-Half_Year)</f>
        <v>179.09309227366214</v>
      </c>
      <c r="AD143" s="545">
        <f>NPV(realdiscrt2,AD$39:AD63)/(1+realdiscrt2)^(1-Half_Year)</f>
        <v>229.13754765482443</v>
      </c>
      <c r="AE143" s="547">
        <f>NPV(realdiscrt2,AE$39:AE63)/(1+realdiscrt2)^(1-Half_Year)</f>
        <v>215.60704910843137</v>
      </c>
      <c r="AF143" s="548">
        <f>NPV(realdiscrt2,AF$39:AF63)/(1+realdiscrt2)^(1-Half_Year)</f>
        <v>6.0156915340338249E-2</v>
      </c>
      <c r="AG143" s="543">
        <f>NPV(realdiscrt2,AG$39:AG63)/(1+realdiscrt2)^(1-Half_Year)</f>
        <v>1.9717441671823726</v>
      </c>
      <c r="AH143" s="549">
        <f>NPV(realdiscrt2,AH$39:AH63)/(1+realdiscrt2)^(1-Half_Year)</f>
        <v>1.9717441671823726</v>
      </c>
      <c r="AI143" s="549">
        <f>NPV(realdiscrt2,AI$39:AI63)/(1+realdiscrt2)^(1-Half_Year)</f>
        <v>3.6088332270155674</v>
      </c>
      <c r="AJ143" s="549">
        <f>NPV(realdiscrt2,AJ$39:AJ63)/(1+realdiscrt2)^(1-Half_Year)</f>
        <v>3.0732423617614981</v>
      </c>
      <c r="AK143" s="549">
        <f>NPV(realdiscrt2,AK$39:AK63)/(1+realdiscrt2)^(1-Half_Year)</f>
        <v>1.9717441671823726</v>
      </c>
      <c r="AL143" s="549">
        <f>NPV(realdiscrt2,AL$39:AL63)/(1+realdiscrt2)^(1-Half_Year)</f>
        <v>3.6088332270155674</v>
      </c>
      <c r="AM143" s="549">
        <f>NPV(realdiscrt2,AM$39:AM63)/(1+realdiscrt2)^(1-Half_Year)</f>
        <v>3.166376724357947</v>
      </c>
      <c r="AN143" s="550">
        <f>NPV(realdiscrt2,AN$39:AN63)/(1+realdiscrt2)^(1-Half_Year)</f>
        <v>710.99967019954374</v>
      </c>
      <c r="AO143" s="551">
        <f>NPV(realdiscrt2,AO$39:AO63)/(1+realdiscrt2)^(1-Half_Year)</f>
        <v>634.65422799158978</v>
      </c>
      <c r="AP143" s="505">
        <f>NPV(realdiscrt2,AP$39:AP63)/(1+realdiscrt2)^(1-Half_Year)</f>
        <v>607.53776470749074</v>
      </c>
      <c r="AQ143" s="546">
        <f>NPV(realdiscrt2,AQ$39:AQ63)/(1+realdiscrt2)^(1-Half_Year)</f>
        <v>0.3764045864115827</v>
      </c>
      <c r="AR143" s="551">
        <f>NPV(realdiscrt2,AR$39:AR63)/(1+realdiscrt2)^(1-Half_Year)</f>
        <v>875.26158537719004</v>
      </c>
      <c r="AS143" s="547">
        <f>NPV(realdiscrt2,AS$39:AS63)/(1+realdiscrt2)^(1-Half_Year)</f>
        <v>1104.6911464109896</v>
      </c>
      <c r="AT143" s="550">
        <f>NPV(realdiscrt2,AT$39:AT63)/(1+realdiscrt2)^(1-Half_Year)</f>
        <v>616.24689068744885</v>
      </c>
      <c r="AU143" s="545">
        <f>NPV(realdiscrt2,AU$39:AU63)/(1+realdiscrt2)^(1-Half_Year)</f>
        <v>664.51550668885318</v>
      </c>
      <c r="AV143" s="544">
        <f>NPV(realdiscrt2,AV$39:AV63)/(1+realdiscrt2)^(1-Half_Year)</f>
        <v>0.28660396632608065</v>
      </c>
      <c r="AW143" s="547">
        <f>NPV(realdiscrt2,AW$39:AW63)/(1+realdiscrt2)^(1-Half_Year)</f>
        <v>0.28660396632608065</v>
      </c>
      <c r="AX143" s="552">
        <f>NPV(realdiscrt2,AX$39:AX63)/(1+realdiscrt2)^(1-Half_Year)</f>
        <v>34.10693163315684</v>
      </c>
      <c r="AY143" s="553">
        <f>NPV(realdiscrt2,AY$39:AY63)/(1+realdiscrt2)^(1-Half_Year)</f>
        <v>281.37367169238576</v>
      </c>
      <c r="AZ143" s="543">
        <f>NPV(realdiscrt2,AZ$39:AZ63)/(1+realdiscrt2)^(1-Half_Year)</f>
        <v>0.63869165947920525</v>
      </c>
      <c r="BA143" s="549">
        <f>NPV(realdiscrt2,BA$39:BA63)/(1+realdiscrt2)^(1-Half_Year)</f>
        <v>0.66832113727349995</v>
      </c>
      <c r="BB143" s="549">
        <f>NPV(realdiscrt2,BB$39:BB63)/(1+realdiscrt2)^(1-Half_Year)</f>
        <v>0.68885617791953035</v>
      </c>
      <c r="BC143" s="546">
        <f>NPV(realdiscrt2,BC$39:BC63)/(1+realdiscrt2)^(1-Half_Year)</f>
        <v>0.74967309351826639</v>
      </c>
    </row>
    <row r="144" spans="1:55" ht="20.25">
      <c r="A144" s="1589" t="str">
        <f>Year3&amp;", "&amp;Year1&amp;"$"</f>
        <v>2026, 2024$</v>
      </c>
      <c r="B144" s="1590"/>
      <c r="C144" s="496"/>
      <c r="D144" s="496"/>
      <c r="E144" s="496"/>
      <c r="F144" s="496"/>
      <c r="G144" s="496"/>
      <c r="H144" s="496"/>
      <c r="I144" s="496"/>
      <c r="J144" s="496"/>
      <c r="K144" s="496"/>
      <c r="L144" s="1140"/>
      <c r="M144" s="1140"/>
      <c r="N144" s="1123"/>
      <c r="O144" s="496"/>
      <c r="P144" s="1123"/>
      <c r="Q144" s="1123"/>
      <c r="R144" s="496"/>
      <c r="S144" s="1123"/>
      <c r="T144" s="1123"/>
      <c r="U144" s="496"/>
      <c r="V144" s="1466"/>
      <c r="W144" s="496"/>
      <c r="X144" s="496"/>
      <c r="Y144" s="496"/>
      <c r="Z144" s="496"/>
      <c r="AA144" s="496"/>
      <c r="AB144" s="496"/>
      <c r="AC144" s="496"/>
      <c r="AD144" s="496"/>
      <c r="AE144" s="496"/>
      <c r="AF144" s="496"/>
      <c r="AG144" s="496"/>
      <c r="AH144" s="496"/>
      <c r="AI144" s="496"/>
      <c r="AJ144" s="496"/>
      <c r="AK144" s="496"/>
      <c r="AL144" s="496"/>
      <c r="AM144" s="496"/>
      <c r="AN144" s="496"/>
      <c r="AO144" s="496"/>
      <c r="AP144" s="496"/>
      <c r="AQ144" s="496"/>
      <c r="AR144" s="496"/>
      <c r="AS144" s="496"/>
      <c r="AT144" s="496"/>
      <c r="AU144" s="496"/>
      <c r="AV144" s="496"/>
      <c r="AW144" s="496"/>
      <c r="AX144" s="496"/>
      <c r="AY144" s="496"/>
      <c r="AZ144" s="496"/>
      <c r="BA144" s="496"/>
      <c r="BB144" s="496"/>
      <c r="BC144" s="497"/>
    </row>
    <row r="145" spans="1:55" s="324" customFormat="1" ht="14.25">
      <c r="A145" s="511">
        <v>1</v>
      </c>
      <c r="B145" s="512">
        <f>Year3</f>
        <v>2026</v>
      </c>
      <c r="C145" s="513">
        <f>NPV(realdiscrt3,C65:C$65)/(1+realdiscrt3)^(2-Half_Year)</f>
        <v>8.1784064612684351E-2</v>
      </c>
      <c r="D145" s="514">
        <f>NPV(realdiscrt3,D65:D$65)/(1+realdiscrt3)^(2-Half_Year)</f>
        <v>7.81870953556002E-2</v>
      </c>
      <c r="E145" s="514">
        <f>NPV(realdiscrt3,E65:E$65)/(1+realdiscrt3)^(2-Half_Year)</f>
        <v>5.8483739046524971E-2</v>
      </c>
      <c r="F145" s="515">
        <f>NPV(realdiscrt3,F65:F$65)/(1+realdiscrt3)^(2-Half_Year)</f>
        <v>5.3149802418028587E-2</v>
      </c>
      <c r="G145" s="513">
        <f>NPV(realdiscrt3,G65:G$65)/(1+realdiscrt3)^(2-Half_Year)</f>
        <v>4.1960213103527958E-3</v>
      </c>
      <c r="H145" s="514">
        <f>NPV(realdiscrt3,H65:H$65)/(1+realdiscrt3)^(2-Half_Year)</f>
        <v>3.2560318269215741E-3</v>
      </c>
      <c r="I145" s="514">
        <f>NPV(realdiscrt3,I65:I$65)/(1+realdiscrt3)^(2-Half_Year)</f>
        <v>2.8328631486243994E-3</v>
      </c>
      <c r="J145" s="514">
        <f>NPV(realdiscrt3,J65:J$65)/(1+realdiscrt3)^(2-Half_Year)</f>
        <v>1.6145931761601463E-3</v>
      </c>
      <c r="K145" s="516">
        <f>NPV(realdiscrt3,K65:K$65)/(1+realdiscrt3)^(2-Half_Year)</f>
        <v>1.6206826692222764E-3</v>
      </c>
      <c r="L145" s="1138">
        <f>NPV(realdiscrt3,L65:L$65)/(1+realdiscrt3)^(2-Half_Year)</f>
        <v>52.542316802373556</v>
      </c>
      <c r="M145" s="519">
        <f>NPV(realdiscrt3,M65:M$65)/(1+realdiscrt3)^(2-Half_Year)</f>
        <v>19.179341065251318</v>
      </c>
      <c r="N145" s="519">
        <f>NPV(realdiscrt3,N65:N$65)/(1+realdiscrt3)^(2-Half_Year)</f>
        <v>19.179341065251318</v>
      </c>
      <c r="O145" s="1129">
        <f>NPV(realdiscrt3,O65:O$65)/(1+realdiscrt3)^(2-Half_Year)</f>
        <v>0</v>
      </c>
      <c r="P145" s="637">
        <f t="shared" ref="P145:R169" si="97">NPV(realdiscrt3,P65)/(1+realdiscrt3)^(2-Half_Year)</f>
        <v>17.536097294461726</v>
      </c>
      <c r="Q145" s="637">
        <f t="shared" si="97"/>
        <v>0</v>
      </c>
      <c r="R145" s="1133">
        <f t="shared" si="97"/>
        <v>0</v>
      </c>
      <c r="S145" s="519">
        <f>NPV(realdiscrt3,S65:S$65)/(1+realdiscrt3)^(2-Half_Year)</f>
        <v>0</v>
      </c>
      <c r="T145" s="519">
        <f>NPV(realdiscrt3,T65:T$65)/(1+realdiscrt3)^(2-Half_Year)</f>
        <v>0</v>
      </c>
      <c r="U145" s="520">
        <f>NPV(realdiscrt3,U65:U$65)/(1+realdiscrt3)^(2-Half_Year)</f>
        <v>0</v>
      </c>
      <c r="V145" s="518">
        <f>NPV(realdiscrt3,V65:V$65)/(1+realdiscrt3)^(2-Half_Year)</f>
        <v>110.21369759088802</v>
      </c>
      <c r="W145" s="519">
        <f>NPV(realdiscrt3,W65:W$65)/(1+realdiscrt3)^(2-Half_Year)</f>
        <v>0</v>
      </c>
      <c r="X145" s="521">
        <f>NPV(realdiscrt3,X65:X$65)/(1+realdiscrt3)^(2-Half_Year)</f>
        <v>133.99525549566576</v>
      </c>
      <c r="Y145" s="518">
        <f>NPV(realdiscrt3,Y65:Y$65)/(1+realdiscrt3)^(2-Half_Year)</f>
        <v>6.9734584927387298</v>
      </c>
      <c r="Z145" s="519">
        <f>NPV(realdiscrt3,Z65:Z$65)/(1+realdiscrt3)^(2-Half_Year)</f>
        <v>8.1432470137835313</v>
      </c>
      <c r="AA145" s="519">
        <f>NPV(realdiscrt3,AA65:AA$65)/(1+realdiscrt3)^(2-Half_Year)</f>
        <v>11.341516955920092</v>
      </c>
      <c r="AB145" s="519">
        <f>NPV(realdiscrt3,AB65:AB$65)/(1+realdiscrt3)^(2-Half_Year)</f>
        <v>10.222960214292403</v>
      </c>
      <c r="AC145" s="519">
        <f>NPV(realdiscrt3,AC65:AC$65)/(1+realdiscrt3)^(2-Half_Year)</f>
        <v>8.0244538083047701</v>
      </c>
      <c r="AD145" s="519">
        <f>NPV(realdiscrt3,AD65:AD$65)/(1+realdiscrt3)^(2-Half_Year)</f>
        <v>10.584950891619748</v>
      </c>
      <c r="AE145" s="521">
        <f>NPV(realdiscrt3,AE65:AE$65)/(1+realdiscrt3)^(2-Half_Year)</f>
        <v>9.89292465288597</v>
      </c>
      <c r="AF145" s="522">
        <f>NPV(realdiscrt3,AF65:AF$65)/(1+realdiscrt3)^(2-Half_Year)</f>
        <v>1.3247398177628027E-3</v>
      </c>
      <c r="AG145" s="516">
        <f>NPV(realdiscrt3,AG65:AG$65)/(1+realdiscrt3)^(2-Half_Year)</f>
        <v>0.21286777895868558</v>
      </c>
      <c r="AH145" s="517">
        <f>NPV(realdiscrt3,AH65:AH$65)/(1+realdiscrt3)^(2-Half_Year)</f>
        <v>0.21286777895868558</v>
      </c>
      <c r="AI145" s="517">
        <f>NPV(realdiscrt3,AI65:AI$65)/(1+realdiscrt3)^(2-Half_Year)</f>
        <v>0.3933829375451286</v>
      </c>
      <c r="AJ145" s="517">
        <f>NPV(realdiscrt3,AJ65:AJ$65)/(1+realdiscrt3)^(2-Half_Year)</f>
        <v>0.33432550911869979</v>
      </c>
      <c r="AK145" s="517">
        <f>NPV(realdiscrt3,AK65:AK$65)/(1+realdiscrt3)^(2-Half_Year)</f>
        <v>0.21286777895868558</v>
      </c>
      <c r="AL145" s="517">
        <f>NPV(realdiscrt3,AL65:AL$65)/(1+realdiscrt3)^(2-Half_Year)</f>
        <v>0.3933829375451286</v>
      </c>
      <c r="AM145" s="517">
        <f>NPV(realdiscrt3,AM65:AM$65)/(1+realdiscrt3)^(2-Half_Year)</f>
        <v>0.34459505684608993</v>
      </c>
      <c r="AN145" s="518">
        <f>NPV(realdiscrt3,AN65:AN$65)/(1+realdiscrt3)^(2-Half_Year)</f>
        <v>31.848724656844169</v>
      </c>
      <c r="AO145" s="519">
        <f>NPV(realdiscrt3,AO65:AO$65)/(1+realdiscrt3)^(2-Half_Year)</f>
        <v>27.926288441564513</v>
      </c>
      <c r="AP145" s="505">
        <f>NPV(realdiscrt3,AP65:AP$65)/(1+realdiscrt3)^(2-Half_Year)</f>
        <v>26.680866578322345</v>
      </c>
      <c r="AQ145" s="520">
        <f>NPV(realdiscrt3,AQ65:AQ$65)/(1+realdiscrt3)^(2-Half_Year)</f>
        <v>1.6450021636711037E-2</v>
      </c>
      <c r="AR145" s="519">
        <f>NPV(realdiscrt3,AR65:AR$65)/(1+realdiscrt3)^(2-Half_Year)</f>
        <v>39.206720345689568</v>
      </c>
      <c r="AS145" s="521">
        <f>NPV(realdiscrt3,AS65:AS$65)/(1+realdiscrt3)^(2-Half_Year)</f>
        <v>51.200260314266011</v>
      </c>
      <c r="AT145" s="518">
        <f>NPV(realdiscrt3,AT65:AT$65)/(1+realdiscrt3)^(2-Half_Year)</f>
        <v>27.604341274353388</v>
      </c>
      <c r="AU145" s="519">
        <f>NPV(realdiscrt3,AU65:AU$65)/(1+realdiscrt3)^(2-Half_Year)</f>
        <v>29.766499605825217</v>
      </c>
      <c r="AV145" s="518">
        <f>NPV(realdiscrt3,AV65:AV$65)/(1+realdiscrt3)^(2-Half_Year)</f>
        <v>1.4077608737957185E-2</v>
      </c>
      <c r="AW145" s="521">
        <f>NPV(realdiscrt3,AW65:AW$65)/(1+realdiscrt3)^(2-Half_Year)</f>
        <v>1.4077608737957185E-2</v>
      </c>
      <c r="AX145" s="523">
        <f>NPV(realdiscrt3,AX65:AX$65)/(1+realdiscrt3)^(2-Half_Year)</f>
        <v>1.6752874879531787</v>
      </c>
      <c r="AY145" s="524">
        <f>NPV(realdiscrt3,AY65:AY$65)/(1+realdiscrt3)^(2-Half_Year)</f>
        <v>9.9942779599026981</v>
      </c>
      <c r="AZ145" s="516">
        <f>NPV(realdiscrt3,AZ65:AZ$65)/(1+realdiscrt3)^(2-Half_Year)</f>
        <v>5.7847812856045781E-2</v>
      </c>
      <c r="BA145" s="517">
        <f>NPV(realdiscrt3,BA65:BA$65)/(1+realdiscrt3)^(2-Half_Year)</f>
        <v>6.71473470923592E-2</v>
      </c>
      <c r="BB145" s="517">
        <f>NPV(realdiscrt3,BB65:BB$65)/(1+realdiscrt3)^(2-Half_Year)</f>
        <v>5.9035978410356502E-2</v>
      </c>
      <c r="BC145" s="520">
        <f>NPV(realdiscrt3,BC65:BC$65)/(1+realdiscrt3)^(2-Half_Year)</f>
        <v>7.1796145188037327E-2</v>
      </c>
    </row>
    <row r="146" spans="1:55" s="324" customFormat="1" ht="14.25">
      <c r="A146" s="525">
        <v>2</v>
      </c>
      <c r="B146" s="526">
        <f t="shared" ref="B146:B169" si="98">B145+1</f>
        <v>2027</v>
      </c>
      <c r="C146" s="527">
        <f>NPV(realdiscrt3,C$65:C66)/(1+realdiscrt3)^(2-Half_Year)</f>
        <v>0.16298276953423357</v>
      </c>
      <c r="D146" s="528">
        <f>NPV(realdiscrt3,D$65:D66)/(1+realdiscrt3)^(2-Half_Year)</f>
        <v>0.15331112755449855</v>
      </c>
      <c r="E146" s="528">
        <f>NPV(realdiscrt3,E$65:E66)/(1+realdiscrt3)^(2-Half_Year)</f>
        <v>0.11772677751679392</v>
      </c>
      <c r="F146" s="529">
        <f>NPV(realdiscrt3,F$65:F66)/(1+realdiscrt3)^(2-Half_Year)</f>
        <v>0.10467882780593715</v>
      </c>
      <c r="G146" s="527">
        <f>NPV(realdiscrt3,G$65:G66)/(1+realdiscrt3)^(2-Half_Year)</f>
        <v>1.1263214218271018E-2</v>
      </c>
      <c r="H146" s="528">
        <f>NPV(realdiscrt3,H$65:H66)/(1+realdiscrt3)^(2-Half_Year)</f>
        <v>9.2192195173582576E-3</v>
      </c>
      <c r="I146" s="528">
        <f>NPV(realdiscrt3,I$65:I66)/(1+realdiscrt3)^(2-Half_Year)</f>
        <v>6.8034196177324492E-3</v>
      </c>
      <c r="J146" s="528">
        <f>NPV(realdiscrt3,J$65:J66)/(1+realdiscrt3)^(2-Half_Year)</f>
        <v>4.0198178322788033E-3</v>
      </c>
      <c r="K146" s="530">
        <f>NPV(realdiscrt3,K$65:K66)/(1+realdiscrt3)^(2-Half_Year)</f>
        <v>4.0819775399209028E-3</v>
      </c>
      <c r="L146" s="1139">
        <f>NPV(realdiscrt3,L$65:L66)/(1+realdiscrt3)^(2-Half_Year)</f>
        <v>108.53922739657526</v>
      </c>
      <c r="M146" s="532">
        <f>NPV(realdiscrt3,M$65:M66)/(1+realdiscrt3)^(2-Half_Year)</f>
        <v>53.511296713250118</v>
      </c>
      <c r="N146" s="532">
        <f>NPV(realdiscrt3,N$65:N66)/(1+realdiscrt3)^(2-Half_Year)</f>
        <v>53.511296713250118</v>
      </c>
      <c r="O146" s="534">
        <f>NPV(realdiscrt3,O$65:O66)/(1+realdiscrt3)^(2-Half_Year)</f>
        <v>0</v>
      </c>
      <c r="P146" s="637">
        <f t="shared" si="97"/>
        <v>12.949375344772944</v>
      </c>
      <c r="Q146" s="637">
        <f t="shared" si="97"/>
        <v>0</v>
      </c>
      <c r="R146" s="1134">
        <f t="shared" si="97"/>
        <v>0</v>
      </c>
      <c r="S146" s="519">
        <f>NPV(realdiscrt3,S$65:S66)/(1+realdiscrt3)^(2-Half_Year)</f>
        <v>0</v>
      </c>
      <c r="T146" s="519">
        <f>NPV(realdiscrt3,T$65:T66)/(1+realdiscrt3)^(2-Half_Year)</f>
        <v>0</v>
      </c>
      <c r="U146" s="533">
        <f>NPV(realdiscrt3,U$65:U66)/(1+realdiscrt3)^(2-Half_Year)</f>
        <v>0</v>
      </c>
      <c r="V146" s="531">
        <f>NPV(realdiscrt3,V$65:V66)/(1+realdiscrt3)^(2-Half_Year)</f>
        <v>218.94424101465967</v>
      </c>
      <c r="W146" s="532">
        <f>NPV(realdiscrt3,W$65:W66)/(1+realdiscrt3)^(2-Half_Year)</f>
        <v>0</v>
      </c>
      <c r="X146" s="534">
        <f>NPV(realdiscrt3,X$65:X66)/(1+realdiscrt3)^(2-Half_Year)</f>
        <v>266.18732657862887</v>
      </c>
      <c r="Y146" s="531">
        <f>NPV(realdiscrt3,Y$65:Y66)/(1+realdiscrt3)^(2-Half_Year)</f>
        <v>13.933551033480516</v>
      </c>
      <c r="Z146" s="532">
        <f>NPV(realdiscrt3,Z$65:Z66)/(1+realdiscrt3)^(2-Half_Year)</f>
        <v>16.250805475363222</v>
      </c>
      <c r="AA146" s="532">
        <f>NPV(realdiscrt3,AA$65:AA66)/(1+realdiscrt3)^(2-Half_Year)</f>
        <v>22.589727317948501</v>
      </c>
      <c r="AB146" s="532">
        <f>NPV(realdiscrt3,AB$65:AB66)/(1+realdiscrt3)^(2-Half_Year)</f>
        <v>20.372842119949446</v>
      </c>
      <c r="AC146" s="532">
        <f>NPV(realdiscrt3,AC$65:AC66)/(1+realdiscrt3)^(2-Half_Year)</f>
        <v>16.014778624478428</v>
      </c>
      <c r="AD146" s="532">
        <f>NPV(realdiscrt3,AD$65:AD66)/(1+realdiscrt3)^(2-Half_Year)</f>
        <v>21.090629497078222</v>
      </c>
      <c r="AE146" s="534">
        <f>NPV(realdiscrt3,AE$65:AE66)/(1+realdiscrt3)^(2-Half_Year)</f>
        <v>19.718777909889088</v>
      </c>
      <c r="AF146" s="535">
        <f>NPV(realdiscrt3,AF$65:AF66)/(1+realdiscrt3)^(2-Half_Year)</f>
        <v>3.6403203861018387E-3</v>
      </c>
      <c r="AG146" s="530">
        <f>NPV(realdiscrt3,AG$65:AG66)/(1+realdiscrt3)^(2-Half_Year)</f>
        <v>0.53584163216918534</v>
      </c>
      <c r="AH146" s="536">
        <f>NPV(realdiscrt3,AH$65:AH66)/(1+realdiscrt3)^(2-Half_Year)</f>
        <v>0.53584163216918534</v>
      </c>
      <c r="AI146" s="536">
        <f>NPV(realdiscrt3,AI$65:AI66)/(1+realdiscrt3)^(2-Half_Year)</f>
        <v>0.990032212029892</v>
      </c>
      <c r="AJ146" s="536">
        <f>NPV(realdiscrt3,AJ$65:AJ66)/(1+realdiscrt3)^(2-Half_Year)</f>
        <v>0.84143899763101904</v>
      </c>
      <c r="AK146" s="536">
        <f>NPV(realdiscrt3,AK$65:AK66)/(1+realdiscrt3)^(2-Half_Year)</f>
        <v>0.53584163216918534</v>
      </c>
      <c r="AL146" s="536">
        <f>NPV(realdiscrt3,AL$65:AL66)/(1+realdiscrt3)^(2-Half_Year)</f>
        <v>0.990032212029892</v>
      </c>
      <c r="AM146" s="536">
        <f>NPV(realdiscrt3,AM$65:AM66)/(1+realdiscrt3)^(2-Half_Year)</f>
        <v>0.86727800125672805</v>
      </c>
      <c r="AN146" s="518">
        <f>NPV(realdiscrt3,AN$65:AN66)/(1+realdiscrt3)^(2-Half_Year)</f>
        <v>63.64315160048897</v>
      </c>
      <c r="AO146" s="519">
        <f>NPV(realdiscrt3,AO$65:AO66)/(1+realdiscrt3)^(2-Half_Year)</f>
        <v>55.873116454972426</v>
      </c>
      <c r="AP146" s="505">
        <f>NPV(realdiscrt3,AP$65:AP66)/(1+realdiscrt3)^(2-Half_Year)</f>
        <v>53.386584894631049</v>
      </c>
      <c r="AQ146" s="533">
        <f>NPV(realdiscrt3,AQ$65:AQ66)/(1+realdiscrt3)^(2-Half_Year)</f>
        <v>3.311479200161787E-2</v>
      </c>
      <c r="AR146" s="519">
        <f>NPV(realdiscrt3,AR$65:AR66)/(1+realdiscrt3)^(2-Half_Year)</f>
        <v>78.346598603359752</v>
      </c>
      <c r="AS146" s="534">
        <f>NPV(realdiscrt3,AS$65:AS66)/(1+realdiscrt3)^(2-Half_Year)</f>
        <v>102.08580781831864</v>
      </c>
      <c r="AT146" s="518">
        <f>NPV(realdiscrt3,AT$65:AT66)/(1+realdiscrt3)^(2-Half_Year)</f>
        <v>55.161620927818603</v>
      </c>
      <c r="AU146" s="532">
        <f>NPV(realdiscrt3,AU$65:AU66)/(1+realdiscrt3)^(2-Half_Year)</f>
        <v>59.482251406959342</v>
      </c>
      <c r="AV146" s="531">
        <f>NPV(realdiscrt3,AV$65:AV66)/(1+realdiscrt3)^(2-Half_Year)</f>
        <v>2.7965774017259724E-2</v>
      </c>
      <c r="AW146" s="534">
        <f>NPV(realdiscrt3,AW$65:AW66)/(1+realdiscrt3)^(2-Half_Year)</f>
        <v>2.7965774017259724E-2</v>
      </c>
      <c r="AX146" s="523">
        <f>NPV(realdiscrt3,AX$65:AX66)/(1+realdiscrt3)^(2-Half_Year)</f>
        <v>3.3280305039106999</v>
      </c>
      <c r="AY146" s="537">
        <f>NPV(realdiscrt3,AY$65:AY66)/(1+realdiscrt3)^(2-Half_Year)</f>
        <v>20.338879130959366</v>
      </c>
      <c r="AZ146" s="530">
        <f>NPV(realdiscrt3,AZ$65:AZ66)/(1+realdiscrt3)^(2-Half_Year)</f>
        <v>0.10926325050064586</v>
      </c>
      <c r="BA146" s="536">
        <f>NPV(realdiscrt3,BA$65:BA66)/(1+realdiscrt3)^(2-Half_Year)</f>
        <v>0.12928877521921334</v>
      </c>
      <c r="BB146" s="536">
        <f>NPV(realdiscrt3,BB$65:BB66)/(1+realdiscrt3)^(2-Half_Year)</f>
        <v>0.1163216177123375</v>
      </c>
      <c r="BC146" s="533">
        <f>NPV(realdiscrt3,BC$65:BC66)/(1+realdiscrt3)^(2-Half_Year)</f>
        <v>0.14186348935772897</v>
      </c>
    </row>
    <row r="147" spans="1:55" s="324" customFormat="1" ht="14.25">
      <c r="A147" s="525">
        <f t="shared" ref="A147:A169" si="99">A146+1</f>
        <v>3</v>
      </c>
      <c r="B147" s="526">
        <f t="shared" si="98"/>
        <v>2028</v>
      </c>
      <c r="C147" s="527">
        <f>NPV(realdiscrt3,C$65:C67)/(1+realdiscrt3)^(2-Half_Year)</f>
        <v>0.23993806043813748</v>
      </c>
      <c r="D147" s="528">
        <f>NPV(realdiscrt3,D$65:D67)/(1+realdiscrt3)^(2-Half_Year)</f>
        <v>0.22991116220438074</v>
      </c>
      <c r="E147" s="528">
        <f>NPV(realdiscrt3,E$65:E67)/(1+realdiscrt3)^(2-Half_Year)</f>
        <v>0.17355793244761006</v>
      </c>
      <c r="F147" s="529">
        <f>NPV(realdiscrt3,F$65:F67)/(1+realdiscrt3)^(2-Half_Year)</f>
        <v>0.15886529058693816</v>
      </c>
      <c r="G147" s="527">
        <f>NPV(realdiscrt3,G$65:G67)/(1+realdiscrt3)^(2-Half_Year)</f>
        <v>1.9461843630790537E-2</v>
      </c>
      <c r="H147" s="528">
        <f>NPV(realdiscrt3,H$65:H67)/(1+realdiscrt3)^(2-Half_Year)</f>
        <v>1.6470892048936609E-2</v>
      </c>
      <c r="I147" s="528">
        <f>NPV(realdiscrt3,I$65:I67)/(1+realdiscrt3)^(2-Half_Year)</f>
        <v>1.1141052249132756E-2</v>
      </c>
      <c r="J147" s="528">
        <f>NPV(realdiscrt3,J$65:J67)/(1+realdiscrt3)^(2-Half_Year)</f>
        <v>6.889537291406205E-3</v>
      </c>
      <c r="K147" s="530">
        <f>NPV(realdiscrt3,K$65:K67)/(1+realdiscrt3)^(2-Half_Year)</f>
        <v>7.0163800844969364E-3</v>
      </c>
      <c r="L147" s="1139">
        <f>NPV(realdiscrt3,L$65:L67)/(1+realdiscrt3)^(2-Half_Year)</f>
        <v>167.16911870700605</v>
      </c>
      <c r="M147" s="532">
        <f>NPV(realdiscrt3,M$65:M67)/(1+realdiscrt3)^(2-Half_Year)</f>
        <v>104.04088224023181</v>
      </c>
      <c r="N147" s="532">
        <f>NPV(realdiscrt3,N$65:N67)/(1+realdiscrt3)^(2-Half_Year)</f>
        <v>104.04088224023181</v>
      </c>
      <c r="O147" s="534">
        <f>NPV(realdiscrt3,O$65:O67)/(1+realdiscrt3)^(2-Half_Year)</f>
        <v>0</v>
      </c>
      <c r="P147" s="637">
        <f t="shared" si="97"/>
        <v>16.336319741917642</v>
      </c>
      <c r="Q147" s="637">
        <f t="shared" si="97"/>
        <v>0</v>
      </c>
      <c r="R147" s="1134">
        <f t="shared" si="97"/>
        <v>0</v>
      </c>
      <c r="S147" s="519">
        <f>NPV(realdiscrt3,S$65:S67)/(1+realdiscrt3)^(2-Half_Year)</f>
        <v>0</v>
      </c>
      <c r="T147" s="519">
        <f>NPV(realdiscrt3,T$65:T67)/(1+realdiscrt3)^(2-Half_Year)</f>
        <v>0</v>
      </c>
      <c r="U147" s="533">
        <f>NPV(realdiscrt3,U$65:U67)/(1+realdiscrt3)^(2-Half_Year)</f>
        <v>0</v>
      </c>
      <c r="V147" s="531">
        <f>NPV(realdiscrt3,V$65:V67)/(1+realdiscrt3)^(2-Half_Year)</f>
        <v>326.21158919050123</v>
      </c>
      <c r="W147" s="532">
        <f>NPV(realdiscrt3,W$65:W67)/(1+realdiscrt3)^(2-Half_Year)</f>
        <v>0</v>
      </c>
      <c r="X147" s="534">
        <f>NPV(realdiscrt3,X$65:X67)/(1+realdiscrt3)^(2-Half_Year)</f>
        <v>396.60047883959385</v>
      </c>
      <c r="Y147" s="531">
        <f>NPV(realdiscrt3,Y$65:Y67)/(1+realdiscrt3)^(2-Half_Year)</f>
        <v>20.985582803229136</v>
      </c>
      <c r="Z147" s="532">
        <f>NPV(realdiscrt3,Z$65:Z67)/(1+realdiscrt3)^(2-Half_Year)</f>
        <v>24.431115206840477</v>
      </c>
      <c r="AA147" s="532">
        <f>NPV(realdiscrt3,AA$65:AA67)/(1+realdiscrt3)^(2-Half_Year)</f>
        <v>33.860212402638098</v>
      </c>
      <c r="AB147" s="532">
        <f>NPV(realdiscrt3,AB$65:AB67)/(1+realdiscrt3)^(2-Half_Year)</f>
        <v>30.562697122308538</v>
      </c>
      <c r="AC147" s="532">
        <f>NPV(realdiscrt3,AC$65:AC67)/(1+realdiscrt3)^(2-Half_Year)</f>
        <v>24.079538650414197</v>
      </c>
      <c r="AD147" s="532">
        <f>NPV(realdiscrt3,AD$65:AD67)/(1+realdiscrt3)^(2-Half_Year)</f>
        <v>31.630224537216279</v>
      </c>
      <c r="AE147" s="534">
        <f>NPV(realdiscrt3,AE$65:AE67)/(1+realdiscrt3)^(2-Half_Year)</f>
        <v>29.589498621864362</v>
      </c>
      <c r="AF147" s="535">
        <f>NPV(realdiscrt3,AF$65:AF67)/(1+realdiscrt3)^(2-Half_Year)</f>
        <v>6.5364309748292895E-3</v>
      </c>
      <c r="AG147" s="530">
        <f>NPV(realdiscrt3,AG$65:AG67)/(1+realdiscrt3)^(2-Half_Year)</f>
        <v>0.92076176967322809</v>
      </c>
      <c r="AH147" s="536">
        <f>NPV(realdiscrt3,AH$65:AH67)/(1+realdiscrt3)^(2-Half_Year)</f>
        <v>0.92076176967322809</v>
      </c>
      <c r="AI147" s="536">
        <f>NPV(realdiscrt3,AI$65:AI67)/(1+realdiscrt3)^(2-Half_Year)</f>
        <v>1.7008736160458586</v>
      </c>
      <c r="AJ147" s="536">
        <f>NPV(realdiscrt3,AJ$65:AJ67)/(1+realdiscrt3)^(2-Half_Year)</f>
        <v>1.445651839146171</v>
      </c>
      <c r="AK147" s="536">
        <f>NPV(realdiscrt3,AK$65:AK67)/(1+realdiscrt3)^(2-Half_Year)</f>
        <v>0.92076176967322809</v>
      </c>
      <c r="AL147" s="536">
        <f>NPV(realdiscrt3,AL$65:AL67)/(1+realdiscrt3)^(2-Half_Year)</f>
        <v>1.7008736160458586</v>
      </c>
      <c r="AM147" s="536">
        <f>NPV(realdiscrt3,AM$65:AM67)/(1+realdiscrt3)^(2-Half_Year)</f>
        <v>1.4900325764856883</v>
      </c>
      <c r="AN147" s="518">
        <f>NPV(realdiscrt3,AN$65:AN67)/(1+realdiscrt3)^(2-Half_Year)</f>
        <v>95.594963105081249</v>
      </c>
      <c r="AO147" s="519">
        <f>NPV(realdiscrt3,AO$65:AO67)/(1+realdiscrt3)^(2-Half_Year)</f>
        <v>84.032507795415768</v>
      </c>
      <c r="AP147" s="505">
        <f>NPV(realdiscrt3,AP$65:AP67)/(1+realdiscrt3)^(2-Half_Year)</f>
        <v>80.310681117117298</v>
      </c>
      <c r="AQ147" s="533">
        <f>NPV(realdiscrt3,AQ$65:AQ67)/(1+realdiscrt3)^(2-Half_Year)</f>
        <v>4.9995063423904008E-2</v>
      </c>
      <c r="AR147" s="519">
        <f>NPV(realdiscrt3,AR$65:AR67)/(1+realdiscrt3)^(2-Half_Year)</f>
        <v>117.68022190213541</v>
      </c>
      <c r="AS147" s="534">
        <f>NPV(realdiscrt3,AS$65:AS67)/(1+realdiscrt3)^(2-Half_Year)</f>
        <v>152.87182921220423</v>
      </c>
      <c r="AT147" s="518">
        <f>NPV(realdiscrt3,AT$65:AT67)/(1+realdiscrt3)^(2-Half_Year)</f>
        <v>82.855310976943883</v>
      </c>
      <c r="AU147" s="532">
        <f>NPV(realdiscrt3,AU$65:AU67)/(1+realdiscrt3)^(2-Half_Year)</f>
        <v>89.345098186679976</v>
      </c>
      <c r="AV147" s="531">
        <f>NPV(realdiscrt3,AV$65:AV67)/(1+realdiscrt3)^(2-Half_Year)</f>
        <v>4.1667045193035684E-2</v>
      </c>
      <c r="AW147" s="534">
        <f>NPV(realdiscrt3,AW$65:AW67)/(1+realdiscrt3)^(2-Half_Year)</f>
        <v>4.1667045193035684E-2</v>
      </c>
      <c r="AX147" s="523">
        <f>NPV(realdiscrt3,AX$65:AX67)/(1+realdiscrt3)^(2-Half_Year)</f>
        <v>4.9585324305583516</v>
      </c>
      <c r="AY147" s="537">
        <f>NPV(realdiscrt3,AY$65:AY67)/(1+realdiscrt3)^(2-Half_Year)</f>
        <v>31.044536578729321</v>
      </c>
      <c r="AZ147" s="530">
        <f>NPV(realdiscrt3,AZ$65:AZ67)/(1+realdiscrt3)^(2-Half_Year)</f>
        <v>0.16038182756218322</v>
      </c>
      <c r="BA147" s="536">
        <f>NPV(realdiscrt3,BA$65:BA67)/(1+realdiscrt3)^(2-Half_Year)</f>
        <v>0.18400150547920988</v>
      </c>
      <c r="BB147" s="536">
        <f>NPV(realdiscrt3,BB$65:BB67)/(1+realdiscrt3)^(2-Half_Year)</f>
        <v>0.17325584369297872</v>
      </c>
      <c r="BC147" s="533">
        <f>NPV(realdiscrt3,BC$65:BC67)/(1+realdiscrt3)^(2-Half_Year)</f>
        <v>0.20310836872126095</v>
      </c>
    </row>
    <row r="148" spans="1:55" s="324" customFormat="1" ht="14.25">
      <c r="A148" s="525">
        <f t="shared" si="99"/>
        <v>4</v>
      </c>
      <c r="B148" s="526">
        <f t="shared" si="98"/>
        <v>2029</v>
      </c>
      <c r="C148" s="527">
        <f>NPV(realdiscrt3,C$65:C68)/(1+realdiscrt3)^(2-Half_Year)</f>
        <v>0.31719482143762273</v>
      </c>
      <c r="D148" s="528">
        <f>NPV(realdiscrt3,D$65:D68)/(1+realdiscrt3)^(2-Half_Year)</f>
        <v>0.30768305718777905</v>
      </c>
      <c r="E148" s="528">
        <f>NPV(realdiscrt3,E$65:E68)/(1+realdiscrt3)^(2-Half_Year)</f>
        <v>0.22991513406591568</v>
      </c>
      <c r="F148" s="529">
        <f>NPV(realdiscrt3,F$65:F68)/(1+realdiscrt3)^(2-Half_Year)</f>
        <v>0.21339249606691771</v>
      </c>
      <c r="G148" s="527">
        <f>NPV(realdiscrt3,G$65:G68)/(1+realdiscrt3)^(2-Half_Year)</f>
        <v>2.7790550786461584E-2</v>
      </c>
      <c r="H148" s="528">
        <f>NPV(realdiscrt3,H$65:H68)/(1+realdiscrt3)^(2-Half_Year)</f>
        <v>2.3852389449483598E-2</v>
      </c>
      <c r="I148" s="528">
        <f>NPV(realdiscrt3,I$65:I68)/(1+realdiscrt3)^(2-Half_Year)</f>
        <v>1.5889961711134208E-2</v>
      </c>
      <c r="J148" s="528">
        <f>NPV(realdiscrt3,J$65:J68)/(1+realdiscrt3)^(2-Half_Year)</f>
        <v>9.9869896419471638E-3</v>
      </c>
      <c r="K148" s="530">
        <f>NPV(realdiscrt3,K$65:K68)/(1+realdiscrt3)^(2-Half_Year)</f>
        <v>9.6110356154161889E-3</v>
      </c>
      <c r="L148" s="1139">
        <f>NPV(realdiscrt3,L$65:L68)/(1+realdiscrt3)^(2-Half_Year)</f>
        <v>230.17192907790309</v>
      </c>
      <c r="M148" s="532">
        <f>NPV(realdiscrt3,M$65:M68)/(1+realdiscrt3)^(2-Half_Year)</f>
        <v>173.85303635601542</v>
      </c>
      <c r="N148" s="532">
        <f>NPV(realdiscrt3,N$65:N68)/(1+realdiscrt3)^(2-Half_Year)</f>
        <v>173.85303635601542</v>
      </c>
      <c r="O148" s="534">
        <f>NPV(realdiscrt3,O$65:O68)/(1+realdiscrt3)^(2-Half_Year)</f>
        <v>0</v>
      </c>
      <c r="P148" s="637">
        <f t="shared" si="97"/>
        <v>13.986343683181587</v>
      </c>
      <c r="Q148" s="637">
        <f t="shared" si="97"/>
        <v>0</v>
      </c>
      <c r="R148" s="1134">
        <f t="shared" si="97"/>
        <v>0</v>
      </c>
      <c r="S148" s="519">
        <f>NPV(realdiscrt3,S$65:S68)/(1+realdiscrt3)^(2-Half_Year)</f>
        <v>0</v>
      </c>
      <c r="T148" s="519">
        <f>NPV(realdiscrt3,T$65:T68)/(1+realdiscrt3)^(2-Half_Year)</f>
        <v>0</v>
      </c>
      <c r="U148" s="533">
        <f>NPV(realdiscrt3,U$65:U68)/(1+realdiscrt3)^(2-Half_Year)</f>
        <v>0</v>
      </c>
      <c r="V148" s="531">
        <f>NPV(realdiscrt3,V$65:V68)/(1+realdiscrt3)^(2-Half_Year)</f>
        <v>432.03543244889528</v>
      </c>
      <c r="W148" s="532">
        <f>NPV(realdiscrt3,W$65:W68)/(1+realdiscrt3)^(2-Half_Year)</f>
        <v>0</v>
      </c>
      <c r="X148" s="534">
        <f>NPV(realdiscrt3,X$65:X68)/(1+realdiscrt3)^(2-Half_Year)</f>
        <v>525.25865132535318</v>
      </c>
      <c r="Y148" s="531">
        <f>NPV(realdiscrt3,Y$65:Y68)/(1+realdiscrt3)^(2-Half_Year)</f>
        <v>28.105049321558344</v>
      </c>
      <c r="Z148" s="532">
        <f>NPV(realdiscrt3,Z$65:Z68)/(1+realdiscrt3)^(2-Half_Year)</f>
        <v>32.659391361344809</v>
      </c>
      <c r="AA148" s="532">
        <f>NPV(realdiscrt3,AA$65:AA68)/(1+realdiscrt3)^(2-Half_Year)</f>
        <v>45.127658443521319</v>
      </c>
      <c r="AB148" s="532">
        <f>NPV(realdiscrt3,AB$65:AB68)/(1+realdiscrt3)^(2-Half_Year)</f>
        <v>40.76740180306934</v>
      </c>
      <c r="AC148" s="532">
        <f>NPV(realdiscrt3,AC$65:AC68)/(1+realdiscrt3)^(2-Half_Year)</f>
        <v>32.193893145521024</v>
      </c>
      <c r="AD148" s="532">
        <f>NPV(realdiscrt3,AD$65:AD68)/(1+realdiscrt3)^(2-Half_Year)</f>
        <v>42.178709029765812</v>
      </c>
      <c r="AE148" s="534">
        <f>NPV(realdiscrt3,AE$65:AE68)/(1+realdiscrt3)^(2-Half_Year)</f>
        <v>39.480110142132084</v>
      </c>
      <c r="AF148" s="535">
        <f>NPV(realdiscrt3,AF$65:AF68)/(1+realdiscrt3)^(2-Half_Year)</f>
        <v>9.418181168420232E-3</v>
      </c>
      <c r="AG148" s="530">
        <f>NPV(realdiscrt3,AG$65:AG68)/(1+realdiscrt3)^(2-Half_Year)</f>
        <v>1.2607946529726519</v>
      </c>
      <c r="AH148" s="536">
        <f>NPV(realdiscrt3,AH$65:AH68)/(1+realdiscrt3)^(2-Half_Year)</f>
        <v>1.2607946529726519</v>
      </c>
      <c r="AI148" s="536">
        <f>NPV(realdiscrt3,AI$65:AI68)/(1+realdiscrt3)^(2-Half_Year)</f>
        <v>2.3279000037118842</v>
      </c>
      <c r="AJ148" s="536">
        <f>NPV(realdiscrt3,AJ$65:AJ68)/(1+realdiscrt3)^(2-Half_Year)</f>
        <v>1.9787852901984317</v>
      </c>
      <c r="AK148" s="536">
        <f>NPV(realdiscrt3,AK$65:AK68)/(1+realdiscrt3)^(2-Half_Year)</f>
        <v>1.2607946529726519</v>
      </c>
      <c r="AL148" s="536">
        <f>NPV(realdiscrt3,AL$65:AL68)/(1+realdiscrt3)^(2-Half_Year)</f>
        <v>2.3279000037118842</v>
      </c>
      <c r="AM148" s="536">
        <f>NPV(realdiscrt3,AM$65:AM68)/(1+realdiscrt3)^(2-Half_Year)</f>
        <v>2.0394931521607402</v>
      </c>
      <c r="AN148" s="518">
        <f>NPV(realdiscrt3,AN$65:AN68)/(1+realdiscrt3)^(2-Half_Year)</f>
        <v>127.39066050304045</v>
      </c>
      <c r="AO148" s="519">
        <f>NPV(realdiscrt3,AO$65:AO68)/(1+realdiscrt3)^(2-Half_Year)</f>
        <v>112.08436747165045</v>
      </c>
      <c r="AP148" s="505">
        <f>NPV(realdiscrt3,AP$65:AP68)/(1+realdiscrt3)^(2-Half_Year)</f>
        <v>107.14105995476004</v>
      </c>
      <c r="AQ148" s="533">
        <f>NPV(realdiscrt3,AQ$65:AQ68)/(1+realdiscrt3)^(2-Half_Year)</f>
        <v>6.6869374102580592E-2</v>
      </c>
      <c r="AR148" s="519">
        <f>NPV(realdiscrt3,AR$65:AR68)/(1+realdiscrt3)^(2-Half_Year)</f>
        <v>156.8216641265752</v>
      </c>
      <c r="AS148" s="534">
        <f>NPV(realdiscrt3,AS$65:AS68)/(1+realdiscrt3)^(2-Half_Year)</f>
        <v>203.248283094914</v>
      </c>
      <c r="AT148" s="518">
        <f>NPV(realdiscrt3,AT$65:AT68)/(1+realdiscrt3)^(2-Half_Year)</f>
        <v>110.41369177511258</v>
      </c>
      <c r="AU148" s="532">
        <f>NPV(realdiscrt3,AU$65:AU68)/(1+realdiscrt3)^(2-Half_Year)</f>
        <v>119.06203738160322</v>
      </c>
      <c r="AV148" s="531">
        <f>NPV(realdiscrt3,AV$65:AV68)/(1+realdiscrt3)^(2-Half_Year)</f>
        <v>5.5183937313545983E-2</v>
      </c>
      <c r="AW148" s="534">
        <f>NPV(realdiscrt3,AW$65:AW68)/(1+realdiscrt3)^(2-Half_Year)</f>
        <v>5.5183937313545983E-2</v>
      </c>
      <c r="AX148" s="523">
        <f>NPV(realdiscrt3,AX$65:AX68)/(1+realdiscrt3)^(2-Half_Year)</f>
        <v>6.567092567937892</v>
      </c>
      <c r="AY148" s="537">
        <f>NPV(realdiscrt3,AY$65:AY68)/(1+realdiscrt3)^(2-Half_Year)</f>
        <v>42.119443745547414</v>
      </c>
      <c r="AZ148" s="530">
        <f>NPV(realdiscrt3,AZ$65:AZ68)/(1+realdiscrt3)^(2-Half_Year)</f>
        <v>0.2084116650794697</v>
      </c>
      <c r="BA148" s="536">
        <f>NPV(realdiscrt3,BA$65:BA68)/(1+realdiscrt3)^(2-Half_Year)</f>
        <v>0.23315478955059291</v>
      </c>
      <c r="BB148" s="536">
        <f>NPV(realdiscrt3,BB$65:BB68)/(1+realdiscrt3)^(2-Half_Year)</f>
        <v>0.22477798898291079</v>
      </c>
      <c r="BC148" s="533">
        <f>NPV(realdiscrt3,BC$65:BC68)/(1+realdiscrt3)^(2-Half_Year)</f>
        <v>0.2574600939374313</v>
      </c>
    </row>
    <row r="149" spans="1:55" s="324" customFormat="1" ht="14.25">
      <c r="A149" s="525">
        <f t="shared" si="99"/>
        <v>5</v>
      </c>
      <c r="B149" s="526">
        <f t="shared" si="98"/>
        <v>2030</v>
      </c>
      <c r="C149" s="527">
        <f>NPV(realdiscrt3,C$65:C69)/(1+realdiscrt3)^(2-Half_Year)</f>
        <v>0.39748406669806713</v>
      </c>
      <c r="D149" s="528">
        <f>NPV(realdiscrt3,D$65:D69)/(1+realdiscrt3)^(2-Half_Year)</f>
        <v>0.38824096410220277</v>
      </c>
      <c r="E149" s="528">
        <f>NPV(realdiscrt3,E$65:E69)/(1+realdiscrt3)^(2-Half_Year)</f>
        <v>0.2905913649438811</v>
      </c>
      <c r="F149" s="529">
        <f>NPV(realdiscrt3,F$65:F69)/(1+realdiscrt3)^(2-Half_Year)</f>
        <v>0.27202718871788445</v>
      </c>
      <c r="G149" s="527">
        <f>NPV(realdiscrt3,G$65:G69)/(1+realdiscrt3)^(2-Half_Year)</f>
        <v>3.5920246565169851E-2</v>
      </c>
      <c r="H149" s="528">
        <f>NPV(realdiscrt3,H$65:H69)/(1+realdiscrt3)^(2-Half_Year)</f>
        <v>3.1070822385244876E-2</v>
      </c>
      <c r="I149" s="528">
        <f>NPV(realdiscrt3,I$65:I69)/(1+realdiscrt3)^(2-Half_Year)</f>
        <v>2.060640463035486E-2</v>
      </c>
      <c r="J149" s="528">
        <f>NPV(realdiscrt3,J$65:J69)/(1+realdiscrt3)^(2-Half_Year)</f>
        <v>1.3037828076341152E-2</v>
      </c>
      <c r="K149" s="530">
        <f>NPV(realdiscrt3,K$65:K69)/(1+realdiscrt3)^(2-Half_Year)</f>
        <v>1.1898460403073286E-2</v>
      </c>
      <c r="L149" s="1139">
        <f>NPV(realdiscrt3,L$65:L69)/(1+realdiscrt3)^(2-Half_Year)</f>
        <v>289.3208679762763</v>
      </c>
      <c r="M149" s="532">
        <f>NPV(realdiscrt3,M$65:M69)/(1+realdiscrt3)^(2-Half_Year)</f>
        <v>246.67720992769253</v>
      </c>
      <c r="N149" s="532">
        <f>NPV(realdiscrt3,N$65:N69)/(1+realdiscrt3)^(2-Half_Year)</f>
        <v>246.67720992769253</v>
      </c>
      <c r="O149" s="534">
        <f>NPV(realdiscrt3,O$65:O69)/(1+realdiscrt3)^(2-Half_Year)</f>
        <v>0</v>
      </c>
      <c r="P149" s="637">
        <f t="shared" si="97"/>
        <v>9.5254510327349244</v>
      </c>
      <c r="Q149" s="637">
        <f t="shared" si="97"/>
        <v>0</v>
      </c>
      <c r="R149" s="1134">
        <f t="shared" si="97"/>
        <v>0</v>
      </c>
      <c r="S149" s="519">
        <f>NPV(realdiscrt3,S$65:S69)/(1+realdiscrt3)^(2-Half_Year)</f>
        <v>0</v>
      </c>
      <c r="T149" s="519">
        <f>NPV(realdiscrt3,T$65:T69)/(1+realdiscrt3)^(2-Half_Year)</f>
        <v>0</v>
      </c>
      <c r="U149" s="533">
        <f>NPV(realdiscrt3,U$65:U69)/(1+realdiscrt3)^(2-Half_Year)</f>
        <v>0</v>
      </c>
      <c r="V149" s="531">
        <f>NPV(realdiscrt3,V$65:V69)/(1+realdiscrt3)^(2-Half_Year)</f>
        <v>536.43519614603952</v>
      </c>
      <c r="W149" s="532">
        <f>NPV(realdiscrt3,W$65:W69)/(1+realdiscrt3)^(2-Half_Year)</f>
        <v>0</v>
      </c>
      <c r="X149" s="534">
        <f>NPV(realdiscrt3,X$65:X69)/(1+realdiscrt3)^(2-Half_Year)</f>
        <v>652.18546093311397</v>
      </c>
      <c r="Y149" s="531">
        <f>NPV(realdiscrt3,Y$65:Y69)/(1+realdiscrt3)^(2-Half_Year)</f>
        <v>35.207087222556744</v>
      </c>
      <c r="Z149" s="532">
        <f>NPV(realdiscrt3,Z$65:Z69)/(1+realdiscrt3)^(2-Half_Year)</f>
        <v>40.849481663809321</v>
      </c>
      <c r="AA149" s="532">
        <f>NPV(realdiscrt3,AA$65:AA69)/(1+realdiscrt3)^(2-Half_Year)</f>
        <v>56.303096179488932</v>
      </c>
      <c r="AB149" s="532">
        <f>NPV(realdiscrt3,AB$65:AB69)/(1+realdiscrt3)^(2-Half_Year)</f>
        <v>50.898988069960879</v>
      </c>
      <c r="AC149" s="532">
        <f>NPV(realdiscrt3,AC$65:AC69)/(1+realdiscrt3)^(2-Half_Year)</f>
        <v>40.271566478129671</v>
      </c>
      <c r="AD149" s="532">
        <f>NPV(realdiscrt3,AD$65:AD69)/(1+realdiscrt3)^(2-Half_Year)</f>
        <v>52.648250932542936</v>
      </c>
      <c r="AE149" s="534">
        <f>NPV(realdiscrt3,AE$65:AE69)/(1+realdiscrt3)^(2-Half_Year)</f>
        <v>49.303201079998807</v>
      </c>
      <c r="AF149" s="535">
        <f>NPV(realdiscrt3,AF$65:AF69)/(1+realdiscrt3)^(2-Half_Year)</f>
        <v>1.2276074748268605E-2</v>
      </c>
      <c r="AG149" s="530">
        <f>NPV(realdiscrt3,AG$65:AG69)/(1+realdiscrt3)^(2-Half_Year)</f>
        <v>1.560247190721763</v>
      </c>
      <c r="AH149" s="536">
        <f>NPV(realdiscrt3,AH$65:AH69)/(1+realdiscrt3)^(2-Half_Year)</f>
        <v>1.560247190721763</v>
      </c>
      <c r="AI149" s="536">
        <f>NPV(realdiscrt3,AI$65:AI69)/(1+realdiscrt3)^(2-Half_Year)</f>
        <v>2.8790350107833973</v>
      </c>
      <c r="AJ149" s="536">
        <f>NPV(realdiscrt3,AJ$65:AJ69)/(1+realdiscrt3)^(2-Half_Year)</f>
        <v>2.4475797363187888</v>
      </c>
      <c r="AK149" s="536">
        <f>NPV(realdiscrt3,AK$65:AK69)/(1+realdiscrt3)^(2-Half_Year)</f>
        <v>1.560247190721763</v>
      </c>
      <c r="AL149" s="536">
        <f>NPV(realdiscrt3,AL$65:AL69)/(1+realdiscrt3)^(2-Half_Year)</f>
        <v>2.8790350107833973</v>
      </c>
      <c r="AM149" s="536">
        <f>NPV(realdiscrt3,AM$65:AM69)/(1+realdiscrt3)^(2-Half_Year)</f>
        <v>2.5226058702261991</v>
      </c>
      <c r="AN149" s="518">
        <f>NPV(realdiscrt3,AN$65:AN69)/(1+realdiscrt3)^(2-Half_Year)</f>
        <v>159.28249815455877</v>
      </c>
      <c r="AO149" s="519">
        <f>NPV(realdiscrt3,AO$65:AO69)/(1+realdiscrt3)^(2-Half_Year)</f>
        <v>140.26881460064934</v>
      </c>
      <c r="AP149" s="505">
        <f>NPV(realdiscrt3,AP$65:AP69)/(1+realdiscrt3)^(2-Half_Year)</f>
        <v>134.11640923163134</v>
      </c>
      <c r="AQ149" s="533">
        <f>NPV(realdiscrt3,AQ$65:AQ69)/(1+realdiscrt3)^(2-Half_Year)</f>
        <v>8.38762940798327E-2</v>
      </c>
      <c r="AR149" s="519">
        <f>NPV(realdiscrt3,AR$65:AR69)/(1+realdiscrt3)^(2-Half_Year)</f>
        <v>196.08145784156503</v>
      </c>
      <c r="AS149" s="534">
        <f>NPV(realdiscrt3,AS$65:AS69)/(1+realdiscrt3)^(2-Half_Year)</f>
        <v>253.47083456851112</v>
      </c>
      <c r="AT149" s="518">
        <f>NPV(realdiscrt3,AT$65:AT69)/(1+realdiscrt3)^(2-Half_Year)</f>
        <v>138.05540050549968</v>
      </c>
      <c r="AU149" s="532">
        <f>NPV(realdiscrt3,AU$65:AU69)/(1+realdiscrt3)^(2-Half_Year)</f>
        <v>148.86883131484035</v>
      </c>
      <c r="AV149" s="531">
        <f>NPV(realdiscrt3,AV$65:AV69)/(1+realdiscrt3)^(2-Half_Year)</f>
        <v>6.8518931581854528E-2</v>
      </c>
      <c r="AW149" s="534">
        <f>NPV(realdiscrt3,AW$65:AW69)/(1+realdiscrt3)^(2-Half_Year)</f>
        <v>6.8518931581854528E-2</v>
      </c>
      <c r="AX149" s="523">
        <f>NPV(realdiscrt3,AX$65:AX69)/(1+realdiscrt3)^(2-Half_Year)</f>
        <v>8.1540061883874966</v>
      </c>
      <c r="AY149" s="537">
        <f>NPV(realdiscrt3,AY$65:AY69)/(1+realdiscrt3)^(2-Half_Year)</f>
        <v>53.579856999886708</v>
      </c>
      <c r="AZ149" s="530">
        <f>NPV(realdiscrt3,AZ$65:AZ69)/(1+realdiscrt3)^(2-Half_Year)</f>
        <v>0.25223806533830417</v>
      </c>
      <c r="BA149" s="536">
        <f>NPV(realdiscrt3,BA$65:BA69)/(1+realdiscrt3)^(2-Half_Year)</f>
        <v>0.27925067234429823</v>
      </c>
      <c r="BB149" s="536">
        <f>NPV(realdiscrt3,BB$65:BB69)/(1+realdiscrt3)^(2-Half_Year)</f>
        <v>0.27520884697169057</v>
      </c>
      <c r="BC149" s="533">
        <f>NPV(realdiscrt3,BC$65:BC69)/(1+realdiscrt3)^(2-Half_Year)</f>
        <v>0.30981526079899047</v>
      </c>
    </row>
    <row r="150" spans="1:55" s="324" customFormat="1" ht="14.25">
      <c r="A150" s="525">
        <f t="shared" si="99"/>
        <v>6</v>
      </c>
      <c r="B150" s="526">
        <f t="shared" si="98"/>
        <v>2031</v>
      </c>
      <c r="C150" s="527">
        <f>NPV(realdiscrt3,C$65:C70)/(1+realdiscrt3)^(2-Half_Year)</f>
        <v>0.47767996733687296</v>
      </c>
      <c r="D150" s="528">
        <f>NPV(realdiscrt3,D$65:D70)/(1+realdiscrt3)^(2-Half_Year)</f>
        <v>0.46862428802173139</v>
      </c>
      <c r="E150" s="528">
        <f>NPV(realdiscrt3,E$65:E70)/(1+realdiscrt3)^(2-Half_Year)</f>
        <v>0.35158956177187073</v>
      </c>
      <c r="F150" s="529">
        <f>NPV(realdiscrt3,F$65:F70)/(1+realdiscrt3)^(2-Half_Year)</f>
        <v>0.33022058966449591</v>
      </c>
      <c r="G150" s="527">
        <f>NPV(realdiscrt3,G$65:G70)/(1+realdiscrt3)^(2-Half_Year)</f>
        <v>4.3892179517278591E-2</v>
      </c>
      <c r="H150" s="528">
        <f>NPV(realdiscrt3,H$65:H70)/(1+realdiscrt3)^(2-Half_Year)</f>
        <v>3.7945582401003208E-2</v>
      </c>
      <c r="I150" s="528">
        <f>NPV(realdiscrt3,I$65:I70)/(1+realdiscrt3)^(2-Half_Year)</f>
        <v>2.5324239574950249E-2</v>
      </c>
      <c r="J150" s="528">
        <f>NPV(realdiscrt3,J$65:J70)/(1+realdiscrt3)^(2-Half_Year)</f>
        <v>1.5925732442539309E-2</v>
      </c>
      <c r="K150" s="530">
        <f>NPV(realdiscrt3,K$65:K70)/(1+realdiscrt3)^(2-Half_Year)</f>
        <v>1.3509966210698906E-2</v>
      </c>
      <c r="L150" s="1139">
        <f>NPV(realdiscrt3,L$65:L70)/(1+realdiscrt3)^(2-Half_Year)</f>
        <v>352.0021402446323</v>
      </c>
      <c r="M150" s="532">
        <f>NPV(realdiscrt3,M$65:M70)/(1+realdiscrt3)^(2-Half_Year)</f>
        <v>300.69843761945253</v>
      </c>
      <c r="N150" s="532">
        <f>NPV(realdiscrt3,N$65:N70)/(1+realdiscrt3)^(2-Half_Year)</f>
        <v>300.69843761945253</v>
      </c>
      <c r="O150" s="534">
        <f>NPV(realdiscrt3,O$65:O70)/(1+realdiscrt3)^(2-Half_Year)</f>
        <v>0</v>
      </c>
      <c r="P150" s="637">
        <f t="shared" si="97"/>
        <v>4.8365923541464664</v>
      </c>
      <c r="Q150" s="637">
        <f t="shared" si="97"/>
        <v>10.385203886642046</v>
      </c>
      <c r="R150" s="1134">
        <f t="shared" si="97"/>
        <v>10.385203886642046</v>
      </c>
      <c r="S150" s="519">
        <f>NPV(realdiscrt3,S$65:S70)/(1+realdiscrt3)^(2-Half_Year)</f>
        <v>0</v>
      </c>
      <c r="T150" s="519">
        <f>NPV(realdiscrt3,T$65:T70)/(1+realdiscrt3)^(2-Half_Year)</f>
        <v>0</v>
      </c>
      <c r="U150" s="533">
        <f>NPV(realdiscrt3,U$65:U70)/(1+realdiscrt3)^(2-Half_Year)</f>
        <v>0</v>
      </c>
      <c r="V150" s="531">
        <f>NPV(realdiscrt3,V$65:V70)/(1+realdiscrt3)^(2-Half_Year)</f>
        <v>639.43004422962588</v>
      </c>
      <c r="W150" s="532">
        <f>NPV(realdiscrt3,W$65:W70)/(1+realdiscrt3)^(2-Half_Year)</f>
        <v>0</v>
      </c>
      <c r="X150" s="534">
        <f>NPV(realdiscrt3,X$65:X70)/(1+realdiscrt3)^(2-Half_Year)</f>
        <v>777.40420674568907</v>
      </c>
      <c r="Y150" s="531">
        <f>NPV(realdiscrt3,Y$65:Y70)/(1+realdiscrt3)^(2-Half_Year)</f>
        <v>42.237207682528457</v>
      </c>
      <c r="Z150" s="532">
        <f>NPV(realdiscrt3,Z$65:Z70)/(1+realdiscrt3)^(2-Half_Year)</f>
        <v>48.946317943686637</v>
      </c>
      <c r="AA150" s="532">
        <f>NPV(realdiscrt3,AA$65:AA70)/(1+realdiscrt3)^(2-Half_Year)</f>
        <v>67.330235541502745</v>
      </c>
      <c r="AB150" s="532">
        <f>NPV(realdiscrt3,AB$65:AB70)/(1+realdiscrt3)^(2-Half_Year)</f>
        <v>60.901601373009932</v>
      </c>
      <c r="AC150" s="532">
        <f>NPV(realdiscrt3,AC$65:AC70)/(1+realdiscrt3)^(2-Half_Year)</f>
        <v>48.257407455876255</v>
      </c>
      <c r="AD150" s="532">
        <f>NPV(realdiscrt3,AD$65:AD70)/(1+realdiscrt3)^(2-Half_Year)</f>
        <v>62.983130476265373</v>
      </c>
      <c r="AE150" s="534">
        <f>NPV(realdiscrt3,AE$65:AE70)/(1+realdiscrt3)^(2-Half_Year)</f>
        <v>59.003205335619661</v>
      </c>
      <c r="AF150" s="535">
        <f>NPV(realdiscrt3,AF$65:AF70)/(1+realdiscrt3)^(2-Half_Year)</f>
        <v>1.5096888387747811E-2</v>
      </c>
      <c r="AG150" s="530">
        <f>NPV(realdiscrt3,AG$65:AG70)/(1+realdiscrt3)^(2-Half_Year)</f>
        <v>1.7704060642926405</v>
      </c>
      <c r="AH150" s="536">
        <f>NPV(realdiscrt3,AH$65:AH70)/(1+realdiscrt3)^(2-Half_Year)</f>
        <v>1.7704060642926405</v>
      </c>
      <c r="AI150" s="536">
        <f>NPV(realdiscrt3,AI$65:AI70)/(1+realdiscrt3)^(2-Half_Year)</f>
        <v>3.2632652468361334</v>
      </c>
      <c r="AJ150" s="536">
        <f>NPV(realdiscrt3,AJ$65:AJ70)/(1+realdiscrt3)^(2-Half_Year)</f>
        <v>2.7748606994607936</v>
      </c>
      <c r="AK150" s="536">
        <f>NPV(realdiscrt3,AK$65:AK70)/(1+realdiscrt3)^(2-Half_Year)</f>
        <v>1.7704060642926405</v>
      </c>
      <c r="AL150" s="536">
        <f>NPV(realdiscrt3,AL$65:AL70)/(1+realdiscrt3)^(2-Half_Year)</f>
        <v>3.2632652468361334</v>
      </c>
      <c r="AM150" s="536">
        <f>NPV(realdiscrt3,AM$65:AM70)/(1+realdiscrt3)^(2-Half_Year)</f>
        <v>2.8597897920946487</v>
      </c>
      <c r="AN150" s="518">
        <f>NPV(realdiscrt3,AN$65:AN70)/(1+realdiscrt3)^(2-Half_Year)</f>
        <v>191.01808587672826</v>
      </c>
      <c r="AO150" s="519">
        <f>NPV(realdiscrt3,AO$65:AO70)/(1+realdiscrt3)^(2-Half_Year)</f>
        <v>168.35175413217996</v>
      </c>
      <c r="AP150" s="505">
        <f>NPV(realdiscrt3,AP$65:AP70)/(1+realdiscrt3)^(2-Half_Year)</f>
        <v>161.0008337351106</v>
      </c>
      <c r="AQ150" s="533">
        <f>NPV(realdiscrt3,AQ$65:AQ70)/(1+realdiscrt3)^(2-Half_Year)</f>
        <v>0.1008041807213592</v>
      </c>
      <c r="AR150" s="519">
        <f>NPV(realdiscrt3,AR$65:AR70)/(1+realdiscrt3)^(2-Half_Year)</f>
        <v>235.14890328044584</v>
      </c>
      <c r="AS150" s="534">
        <f>NPV(realdiscrt3,AS$65:AS70)/(1+realdiscrt3)^(2-Half_Year)</f>
        <v>303.29045829334393</v>
      </c>
      <c r="AT150" s="518">
        <f>NPV(realdiscrt3,AT$65:AT70)/(1+realdiscrt3)^(2-Half_Year)</f>
        <v>165.5616822628977</v>
      </c>
      <c r="AU150" s="532">
        <f>NPV(realdiscrt3,AU$65:AU70)/(1+realdiscrt3)^(2-Half_Year)</f>
        <v>178.5295907204634</v>
      </c>
      <c r="AV150" s="531">
        <f>NPV(realdiscrt3,AV$65:AV70)/(1+realdiscrt3)^(2-Half_Year)</f>
        <v>8.1674475811285577E-2</v>
      </c>
      <c r="AW150" s="534">
        <f>NPV(realdiscrt3,AW$65:AW70)/(1+realdiscrt3)^(2-Half_Year)</f>
        <v>8.1674475811285577E-2</v>
      </c>
      <c r="AX150" s="523">
        <f>NPV(realdiscrt3,AX$65:AX70)/(1+realdiscrt3)^(2-Half_Year)</f>
        <v>9.7195645907428876</v>
      </c>
      <c r="AY150" s="537">
        <f>NPV(realdiscrt3,AY$65:AY70)/(1+realdiscrt3)^(2-Half_Year)</f>
        <v>65.439721749720277</v>
      </c>
      <c r="AZ150" s="530">
        <f>NPV(realdiscrt3,AZ$65:AZ70)/(1+realdiscrt3)^(2-Half_Year)</f>
        <v>0.29175034071046946</v>
      </c>
      <c r="BA150" s="536">
        <f>NPV(realdiscrt3,BA$65:BA70)/(1+realdiscrt3)^(2-Half_Year)</f>
        <v>0.3214739313163093</v>
      </c>
      <c r="BB150" s="536">
        <f>NPV(realdiscrt3,BB$65:BB70)/(1+realdiscrt3)^(2-Half_Year)</f>
        <v>0.3193078003030887</v>
      </c>
      <c r="BC150" s="533">
        <f>NPV(realdiscrt3,BC$65:BC70)/(1+realdiscrt3)^(2-Half_Year)</f>
        <v>0.35664502873048759</v>
      </c>
    </row>
    <row r="151" spans="1:55" s="324" customFormat="1" ht="14.25">
      <c r="A151" s="525">
        <f t="shared" si="99"/>
        <v>7</v>
      </c>
      <c r="B151" s="526">
        <f t="shared" si="98"/>
        <v>2032</v>
      </c>
      <c r="C151" s="527">
        <f>NPV(realdiscrt3,C$65:C71)/(1+realdiscrt3)^(2-Half_Year)</f>
        <v>0.5599084344880485</v>
      </c>
      <c r="D151" s="528">
        <f>NPV(realdiscrt3,D$65:D71)/(1+realdiscrt3)^(2-Half_Year)</f>
        <v>0.5466183276892107</v>
      </c>
      <c r="E151" s="528">
        <f>NPV(realdiscrt3,E$65:E71)/(1+realdiscrt3)^(2-Half_Year)</f>
        <v>0.41521393554278452</v>
      </c>
      <c r="F151" s="529">
        <f>NPV(realdiscrt3,F$65:F71)/(1+realdiscrt3)^(2-Half_Year)</f>
        <v>0.38586762252391132</v>
      </c>
      <c r="G151" s="527">
        <f>NPV(realdiscrt3,G$65:G71)/(1+realdiscrt3)^(2-Half_Year)</f>
        <v>5.1602845258828085E-2</v>
      </c>
      <c r="H151" s="528">
        <f>NPV(realdiscrt3,H$65:H71)/(1+realdiscrt3)^(2-Half_Year)</f>
        <v>4.4345763727379209E-2</v>
      </c>
      <c r="I151" s="528">
        <f>NPV(realdiscrt3,I$65:I71)/(1+realdiscrt3)^(2-Half_Year)</f>
        <v>2.9993848721914081E-2</v>
      </c>
      <c r="J151" s="528">
        <f>NPV(realdiscrt3,J$65:J71)/(1+realdiscrt3)^(2-Half_Year)</f>
        <v>1.8640158027590722E-2</v>
      </c>
      <c r="K151" s="530">
        <f>NPV(realdiscrt3,K$65:K71)/(1+realdiscrt3)^(2-Half_Year)</f>
        <v>1.4498646451071281E-2</v>
      </c>
      <c r="L151" s="1139">
        <f>NPV(realdiscrt3,L$65:L71)/(1+realdiscrt3)^(2-Half_Year)</f>
        <v>417.70273623249528</v>
      </c>
      <c r="M151" s="532">
        <f>NPV(realdiscrt3,M$65:M71)/(1+realdiscrt3)^(2-Half_Year)</f>
        <v>341.14372450958098</v>
      </c>
      <c r="N151" s="532">
        <f>NPV(realdiscrt3,N$65:N71)/(1+realdiscrt3)^(2-Half_Year)</f>
        <v>341.14372450958098</v>
      </c>
      <c r="O151" s="534">
        <f>NPV(realdiscrt3,O$65:O71)/(1+realdiscrt3)^(2-Half_Year)</f>
        <v>0</v>
      </c>
      <c r="P151" s="637">
        <f t="shared" si="97"/>
        <v>0</v>
      </c>
      <c r="Q151" s="637">
        <f t="shared" si="97"/>
        <v>22.955079749268226</v>
      </c>
      <c r="R151" s="1134">
        <f t="shared" si="97"/>
        <v>22.955079749268226</v>
      </c>
      <c r="S151" s="519">
        <f>NPV(realdiscrt3,S$65:S71)/(1+realdiscrt3)^(2-Half_Year)</f>
        <v>0</v>
      </c>
      <c r="T151" s="519">
        <f>NPV(realdiscrt3,T$65:T71)/(1+realdiscrt3)^(2-Half_Year)</f>
        <v>0</v>
      </c>
      <c r="U151" s="533">
        <f>NPV(realdiscrt3,U$65:U71)/(1+realdiscrt3)^(2-Half_Year)</f>
        <v>0</v>
      </c>
      <c r="V151" s="531">
        <f>NPV(realdiscrt3,V$65:V71)/(1+realdiscrt3)^(2-Half_Year)</f>
        <v>741.03888275663496</v>
      </c>
      <c r="W151" s="532">
        <f>NPV(realdiscrt3,W$65:W71)/(1+realdiscrt3)^(2-Half_Year)</f>
        <v>0</v>
      </c>
      <c r="X151" s="534">
        <f>NPV(realdiscrt3,X$65:X71)/(1+realdiscrt3)^(2-Half_Year)</f>
        <v>900.93787430835016</v>
      </c>
      <c r="Y151" s="531">
        <f>NPV(realdiscrt3,Y$65:Y71)/(1+realdiscrt3)^(2-Half_Year)</f>
        <v>49.257303546702644</v>
      </c>
      <c r="Z151" s="532">
        <f>NPV(realdiscrt3,Z$65:Z71)/(1+realdiscrt3)^(2-Half_Year)</f>
        <v>57.014033769312917</v>
      </c>
      <c r="AA151" s="532">
        <f>NPV(realdiscrt3,AA$65:AA71)/(1+realdiscrt3)^(2-Half_Year)</f>
        <v>78.278328333225701</v>
      </c>
      <c r="AB151" s="532">
        <f>NPV(realdiscrt3,AB$65:AB71)/(1+realdiscrt3)^(2-Half_Year)</f>
        <v>70.842680715241272</v>
      </c>
      <c r="AC151" s="532">
        <f>NPV(realdiscrt3,AC$65:AC71)/(1+realdiscrt3)^(2-Half_Year)</f>
        <v>56.215622521820762</v>
      </c>
      <c r="AD151" s="532">
        <f>NPV(realdiscrt3,AD$65:AD71)/(1+realdiscrt3)^(2-Half_Year)</f>
        <v>73.250930778686879</v>
      </c>
      <c r="AE151" s="534">
        <f>NPV(realdiscrt3,AE$65:AE71)/(1+realdiscrt3)^(2-Half_Year)</f>
        <v>68.646793411966314</v>
      </c>
      <c r="AF151" s="535">
        <f>NPV(realdiscrt3,AF$65:AF71)/(1+realdiscrt3)^(2-Half_Year)</f>
        <v>1.7880874942300687E-2</v>
      </c>
      <c r="AG151" s="530">
        <f>NPV(realdiscrt3,AG$65:AG71)/(1+realdiscrt3)^(2-Half_Year)</f>
        <v>1.8982879477269889</v>
      </c>
      <c r="AH151" s="536">
        <f>NPV(realdiscrt3,AH$65:AH71)/(1+realdiscrt3)^(2-Half_Year)</f>
        <v>1.8982879477269889</v>
      </c>
      <c r="AI151" s="536">
        <f>NPV(realdiscrt3,AI$65:AI71)/(1+realdiscrt3)^(2-Half_Year)</f>
        <v>3.4938500659380245</v>
      </c>
      <c r="AJ151" s="536">
        <f>NPV(realdiscrt3,AJ$65:AJ71)/(1+realdiscrt3)^(2-Half_Year)</f>
        <v>2.971845175412192</v>
      </c>
      <c r="AK151" s="536">
        <f>NPV(realdiscrt3,AK$65:AK71)/(1+realdiscrt3)^(2-Half_Year)</f>
        <v>1.8982879477269889</v>
      </c>
      <c r="AL151" s="536">
        <f>NPV(realdiscrt3,AL$65:AL71)/(1+realdiscrt3)^(2-Half_Year)</f>
        <v>3.4938500659380245</v>
      </c>
      <c r="AM151" s="536">
        <f>NPV(realdiscrt3,AM$65:AM71)/(1+realdiscrt3)^(2-Half_Year)</f>
        <v>3.0626170610161232</v>
      </c>
      <c r="AN151" s="518">
        <f>NPV(realdiscrt3,AN$65:AN71)/(1+realdiscrt3)^(2-Half_Year)</f>
        <v>222.6560579438914</v>
      </c>
      <c r="AO151" s="519">
        <f>NPV(realdiscrt3,AO$65:AO71)/(1+realdiscrt3)^(2-Half_Year)</f>
        <v>196.38829661367927</v>
      </c>
      <c r="AP151" s="505">
        <f>NPV(realdiscrt3,AP$65:AP71)/(1+realdiscrt3)^(2-Half_Year)</f>
        <v>187.84892248311374</v>
      </c>
      <c r="AQ151" s="533">
        <f>NPV(realdiscrt3,AQ$65:AQ71)/(1+realdiscrt3)^(2-Half_Year)</f>
        <v>0.11771148384595317</v>
      </c>
      <c r="AR151" s="519">
        <f>NPV(realdiscrt3,AR$65:AR71)/(1+realdiscrt3)^(2-Half_Year)</f>
        <v>274.09618096603572</v>
      </c>
      <c r="AS151" s="534">
        <f>NPV(realdiscrt3,AS$65:AS71)/(1+realdiscrt3)^(2-Half_Year)</f>
        <v>352.76910810605796</v>
      </c>
      <c r="AT151" s="518">
        <f>NPV(realdiscrt3,AT$65:AT71)/(1+realdiscrt3)^(2-Half_Year)</f>
        <v>192.98335730892668</v>
      </c>
      <c r="AU151" s="532">
        <f>NPV(realdiscrt3,AU$65:AU71)/(1+realdiscrt3)^(2-Half_Year)</f>
        <v>208.0991164460074</v>
      </c>
      <c r="AV151" s="531">
        <f>NPV(realdiscrt3,AV$65:AV71)/(1+realdiscrt3)^(2-Half_Year)</f>
        <v>9.4652984874752155E-2</v>
      </c>
      <c r="AW151" s="534">
        <f>NPV(realdiscrt3,AW$65:AW71)/(1+realdiscrt3)^(2-Half_Year)</f>
        <v>9.4652984874752155E-2</v>
      </c>
      <c r="AX151" s="523">
        <f>NPV(realdiscrt3,AX$65:AX71)/(1+realdiscrt3)^(2-Half_Year)</f>
        <v>11.264055153809037</v>
      </c>
      <c r="AY151" s="537">
        <f>NPV(realdiscrt3,AY$65:AY71)/(1+realdiscrt3)^(2-Half_Year)</f>
        <v>77.712960834801947</v>
      </c>
      <c r="AZ151" s="530">
        <f>NPV(realdiscrt3,AZ$65:AZ71)/(1+realdiscrt3)^(2-Half_Year)</f>
        <v>0.32697768294417356</v>
      </c>
      <c r="BA151" s="536">
        <f>NPV(realdiscrt3,BA$65:BA71)/(1+realdiscrt3)^(2-Half_Year)</f>
        <v>0.36083489477814301</v>
      </c>
      <c r="BB151" s="536">
        <f>NPV(realdiscrt3,BB$65:BB71)/(1+realdiscrt3)^(2-Half_Year)</f>
        <v>0.35683821760317297</v>
      </c>
      <c r="BC151" s="533">
        <f>NPV(realdiscrt3,BC$65:BC71)/(1+realdiscrt3)^(2-Half_Year)</f>
        <v>0.39899943440057362</v>
      </c>
    </row>
    <row r="152" spans="1:55" s="324" customFormat="1" ht="14.25">
      <c r="A152" s="525">
        <f t="shared" si="99"/>
        <v>8</v>
      </c>
      <c r="B152" s="526">
        <f t="shared" si="98"/>
        <v>2033</v>
      </c>
      <c r="C152" s="527">
        <f>NPV(realdiscrt3,C$65:C72)/(1+realdiscrt3)^(2-Half_Year)</f>
        <v>0.63585132945595835</v>
      </c>
      <c r="D152" s="528">
        <f>NPV(realdiscrt3,D$65:D72)/(1+realdiscrt3)^(2-Half_Year)</f>
        <v>0.6202320980199878</v>
      </c>
      <c r="E152" s="528">
        <f>NPV(realdiscrt3,E$65:E72)/(1+realdiscrt3)^(2-Half_Year)</f>
        <v>0.47331926208972447</v>
      </c>
      <c r="F152" s="529">
        <f>NPV(realdiscrt3,F$65:F72)/(1+realdiscrt3)^(2-Half_Year)</f>
        <v>0.43874810712284301</v>
      </c>
      <c r="G152" s="527">
        <f>NPV(realdiscrt3,G$65:G72)/(1+realdiscrt3)^(2-Half_Year)</f>
        <v>5.8511382804211969E-2</v>
      </c>
      <c r="H152" s="528">
        <f>NPV(realdiscrt3,H$65:H72)/(1+realdiscrt3)^(2-Half_Year)</f>
        <v>5.0520250813662453E-2</v>
      </c>
      <c r="I152" s="528">
        <f>NPV(realdiscrt3,I$65:I72)/(1+realdiscrt3)^(2-Half_Year)</f>
        <v>3.4163406097391796E-2</v>
      </c>
      <c r="J152" s="528">
        <f>NPV(realdiscrt3,J$65:J72)/(1+realdiscrt3)^(2-Half_Year)</f>
        <v>2.1396940345225622E-2</v>
      </c>
      <c r="K152" s="530">
        <f>NPV(realdiscrt3,K$65:K72)/(1+realdiscrt3)^(2-Half_Year)</f>
        <v>1.5190888599207716E-2</v>
      </c>
      <c r="L152" s="1139">
        <f>NPV(realdiscrt3,L$65:L72)/(1+realdiscrt3)^(2-Half_Year)</f>
        <v>481.85564802168636</v>
      </c>
      <c r="M152" s="532">
        <f>NPV(realdiscrt3,M$65:M72)/(1+realdiscrt3)^(2-Half_Year)</f>
        <v>364.83924400803659</v>
      </c>
      <c r="N152" s="532">
        <f>NPV(realdiscrt3,N$65:N72)/(1+realdiscrt3)^(2-Half_Year)</f>
        <v>364.83924400803659</v>
      </c>
      <c r="O152" s="534">
        <f>NPV(realdiscrt3,O$65:O72)/(1+realdiscrt3)^(2-Half_Year)</f>
        <v>0</v>
      </c>
      <c r="P152" s="637">
        <f t="shared" si="97"/>
        <v>0</v>
      </c>
      <c r="Q152" s="637">
        <f t="shared" si="97"/>
        <v>29.619404554749757</v>
      </c>
      <c r="R152" s="1134">
        <f t="shared" si="97"/>
        <v>29.619404554749757</v>
      </c>
      <c r="S152" s="519">
        <f>NPV(realdiscrt3,S$65:S72)/(1+realdiscrt3)^(2-Half_Year)</f>
        <v>0</v>
      </c>
      <c r="T152" s="519">
        <f>NPV(realdiscrt3,T$65:T72)/(1+realdiscrt3)^(2-Half_Year)</f>
        <v>0</v>
      </c>
      <c r="U152" s="533">
        <f>NPV(realdiscrt3,U$65:U72)/(1+realdiscrt3)^(2-Half_Year)</f>
        <v>0</v>
      </c>
      <c r="V152" s="531">
        <f>NPV(realdiscrt3,V$65:V72)/(1+realdiscrt3)^(2-Half_Year)</f>
        <v>841.28036336379091</v>
      </c>
      <c r="W152" s="532">
        <f>NPV(realdiscrt3,W$65:W72)/(1+realdiscrt3)^(2-Half_Year)</f>
        <v>0</v>
      </c>
      <c r="X152" s="534">
        <f>NPV(realdiscrt3,X$65:X72)/(1+realdiscrt3)^(2-Half_Year)</f>
        <v>1022.8091398481263</v>
      </c>
      <c r="Y152" s="531">
        <f>NPV(realdiscrt3,Y$65:Y72)/(1+realdiscrt3)^(2-Half_Year)</f>
        <v>56.264195413031182</v>
      </c>
      <c r="Z152" s="532">
        <f>NPV(realdiscrt3,Z$65:Z72)/(1+realdiscrt3)^(2-Half_Year)</f>
        <v>65.049444351657442</v>
      </c>
      <c r="AA152" s="532">
        <f>NPV(realdiscrt3,AA$65:AA72)/(1+realdiscrt3)^(2-Half_Year)</f>
        <v>89.14428249686334</v>
      </c>
      <c r="AB152" s="532">
        <f>NPV(realdiscrt3,AB$65:AB72)/(1+realdiscrt3)^(2-Half_Year)</f>
        <v>80.719104033393151</v>
      </c>
      <c r="AC152" s="532">
        <f>NPV(realdiscrt3,AC$65:AC72)/(1+realdiscrt3)^(2-Half_Year)</f>
        <v>64.142994786646739</v>
      </c>
      <c r="AD152" s="532">
        <f>NPV(realdiscrt3,AD$65:AD72)/(1+realdiscrt3)^(2-Half_Year)</f>
        <v>83.448598118547309</v>
      </c>
      <c r="AE152" s="534">
        <f>NPV(realdiscrt3,AE$65:AE72)/(1+realdiscrt3)^(2-Half_Year)</f>
        <v>78.230867488303915</v>
      </c>
      <c r="AF152" s="535">
        <f>NPV(realdiscrt3,AF$65:AF72)/(1+realdiscrt3)^(2-Half_Year)</f>
        <v>2.063332431945087E-2</v>
      </c>
      <c r="AG152" s="530">
        <f>NPV(realdiscrt3,AG$65:AG72)/(1+realdiscrt3)^(2-Half_Year)</f>
        <v>1.9870235435596482</v>
      </c>
      <c r="AH152" s="536">
        <f>NPV(realdiscrt3,AH$65:AH72)/(1+realdiscrt3)^(2-Half_Year)</f>
        <v>1.9870235435596482</v>
      </c>
      <c r="AI152" s="536">
        <f>NPV(realdiscrt3,AI$65:AI72)/(1+realdiscrt3)^(2-Half_Year)</f>
        <v>3.651664298180755</v>
      </c>
      <c r="AJ152" s="536">
        <f>NPV(realdiscrt3,AJ$65:AJ72)/(1+realdiscrt3)^(2-Half_Year)</f>
        <v>3.1070596068540972</v>
      </c>
      <c r="AK152" s="536">
        <f>NPV(realdiscrt3,AK$65:AK72)/(1+realdiscrt3)^(2-Half_Year)</f>
        <v>1.9870235435596482</v>
      </c>
      <c r="AL152" s="536">
        <f>NPV(realdiscrt3,AL$65:AL72)/(1+realdiscrt3)^(2-Half_Year)</f>
        <v>3.651664298180755</v>
      </c>
      <c r="AM152" s="536">
        <f>NPV(realdiscrt3,AM$65:AM72)/(1+realdiscrt3)^(2-Half_Year)</f>
        <v>3.2017613915264023</v>
      </c>
      <c r="AN152" s="518">
        <f>NPV(realdiscrt3,AN$65:AN72)/(1+realdiscrt3)^(2-Half_Year)</f>
        <v>254.01679668466917</v>
      </c>
      <c r="AO152" s="519">
        <f>NPV(realdiscrt3,AO$65:AO72)/(1+realdiscrt3)^(2-Half_Year)</f>
        <v>224.23176859960097</v>
      </c>
      <c r="AP152" s="505">
        <f>NPV(realdiscrt3,AP$65:AP72)/(1+realdiscrt3)^(2-Half_Year)</f>
        <v>214.50588025685559</v>
      </c>
      <c r="AQ152" s="533">
        <f>NPV(realdiscrt3,AQ$65:AQ72)/(1+realdiscrt3)^(2-Half_Year)</f>
        <v>0.13444232183969554</v>
      </c>
      <c r="AR152" s="519">
        <f>NPV(realdiscrt3,AR$65:AR72)/(1+realdiscrt3)^(2-Half_Year)</f>
        <v>312.70217624188365</v>
      </c>
      <c r="AS152" s="534">
        <f>NPV(realdiscrt3,AS$65:AS72)/(1+realdiscrt3)^(2-Half_Year)</f>
        <v>401.73044122597321</v>
      </c>
      <c r="AT152" s="518">
        <f>NPV(realdiscrt3,AT$65:AT72)/(1+realdiscrt3)^(2-Half_Year)</f>
        <v>220.16474507699957</v>
      </c>
      <c r="AU152" s="532">
        <f>NPV(realdiscrt3,AU$65:AU72)/(1+realdiscrt3)^(2-Half_Year)</f>
        <v>237.40953397210271</v>
      </c>
      <c r="AV152" s="531">
        <f>NPV(realdiscrt3,AV$65:AV72)/(1+realdiscrt3)^(2-Half_Year)</f>
        <v>0.1074568411480375</v>
      </c>
      <c r="AW152" s="534">
        <f>NPV(realdiscrt3,AW$65:AW72)/(1+realdiscrt3)^(2-Half_Year)</f>
        <v>0.1074568411480375</v>
      </c>
      <c r="AX152" s="523">
        <f>NPV(realdiscrt3,AX$65:AX72)/(1+realdiscrt3)^(2-Half_Year)</f>
        <v>12.787761389112347</v>
      </c>
      <c r="AY152" s="537">
        <f>NPV(realdiscrt3,AY$65:AY72)/(1+realdiscrt3)^(2-Half_Year)</f>
        <v>90.413982373996987</v>
      </c>
      <c r="AZ152" s="530">
        <f>NPV(realdiscrt3,AZ$65:AZ72)/(1+realdiscrt3)^(2-Half_Year)</f>
        <v>0.35920634890594033</v>
      </c>
      <c r="BA152" s="536">
        <f>NPV(realdiscrt3,BA$65:BA72)/(1+realdiscrt3)^(2-Half_Year)</f>
        <v>0.39551746264175458</v>
      </c>
      <c r="BB152" s="536">
        <f>NPV(realdiscrt3,BB$65:BB72)/(1+realdiscrt3)^(2-Half_Year)</f>
        <v>0.39327690599349141</v>
      </c>
      <c r="BC152" s="533">
        <f>NPV(realdiscrt3,BC$65:BC72)/(1+realdiscrt3)^(2-Half_Year)</f>
        <v>0.4379514832963799</v>
      </c>
    </row>
    <row r="153" spans="1:55" s="324" customFormat="1" ht="14.25">
      <c r="A153" s="525">
        <f t="shared" si="99"/>
        <v>9</v>
      </c>
      <c r="B153" s="526">
        <f t="shared" si="98"/>
        <v>2034</v>
      </c>
      <c r="C153" s="527">
        <f>NPV(realdiscrt3,C$65:C73)/(1+realdiscrt3)^(2-Half_Year)</f>
        <v>0.71083402287634934</v>
      </c>
      <c r="D153" s="528">
        <f>NPV(realdiscrt3,D$65:D73)/(1+realdiscrt3)^(2-Half_Year)</f>
        <v>0.69527029617849834</v>
      </c>
      <c r="E153" s="528">
        <f>NPV(realdiscrt3,E$65:E73)/(1+realdiscrt3)^(2-Half_Year)</f>
        <v>0.5302691301892466</v>
      </c>
      <c r="F153" s="529">
        <f>NPV(realdiscrt3,F$65:F73)/(1+realdiscrt3)^(2-Half_Year)</f>
        <v>0.49321094930127068</v>
      </c>
      <c r="G153" s="527">
        <f>NPV(realdiscrt3,G$65:G73)/(1+realdiscrt3)^(2-Half_Year)</f>
        <v>6.4770163834644623E-2</v>
      </c>
      <c r="H153" s="528">
        <f>NPV(realdiscrt3,H$65:H73)/(1+realdiscrt3)^(2-Half_Year)</f>
        <v>5.6203507465043566E-2</v>
      </c>
      <c r="I153" s="528">
        <f>NPV(realdiscrt3,I$65:I73)/(1+realdiscrt3)^(2-Half_Year)</f>
        <v>3.8002124036952363E-2</v>
      </c>
      <c r="J153" s="528">
        <f>NPV(realdiscrt3,J$65:J73)/(1+realdiscrt3)^(2-Half_Year)</f>
        <v>2.3924121316714609E-2</v>
      </c>
      <c r="K153" s="530">
        <f>NPV(realdiscrt3,K$65:K73)/(1+realdiscrt3)^(2-Half_Year)</f>
        <v>1.5618169160409224E-2</v>
      </c>
      <c r="L153" s="1139">
        <f>NPV(realdiscrt3,L$65:L73)/(1+realdiscrt3)^(2-Half_Year)</f>
        <v>558.40416870743047</v>
      </c>
      <c r="M153" s="532">
        <f>NPV(realdiscrt3,M$65:M73)/(1+realdiscrt3)^(2-Half_Year)</f>
        <v>374.26389787486545</v>
      </c>
      <c r="N153" s="532">
        <f>NPV(realdiscrt3,N$65:N73)/(1+realdiscrt3)^(2-Half_Year)</f>
        <v>374.26389787486545</v>
      </c>
      <c r="O153" s="534">
        <f>NPV(realdiscrt3,O$65:O73)/(1+realdiscrt3)^(2-Half_Year)</f>
        <v>0</v>
      </c>
      <c r="P153" s="637">
        <f t="shared" si="97"/>
        <v>0</v>
      </c>
      <c r="Q153" s="637">
        <f t="shared" si="97"/>
        <v>34.609447811390076</v>
      </c>
      <c r="R153" s="1134">
        <f t="shared" si="97"/>
        <v>34.609447811390076</v>
      </c>
      <c r="S153" s="519">
        <f>NPV(realdiscrt3,S$65:S73)/(1+realdiscrt3)^(2-Half_Year)</f>
        <v>0</v>
      </c>
      <c r="T153" s="519">
        <f>NPV(realdiscrt3,T$65:T73)/(1+realdiscrt3)^(2-Half_Year)</f>
        <v>0</v>
      </c>
      <c r="U153" s="533">
        <f>NPV(realdiscrt3,U$65:U73)/(1+realdiscrt3)^(2-Half_Year)</f>
        <v>0</v>
      </c>
      <c r="V153" s="531">
        <f>NPV(realdiscrt3,V$65:V73)/(1+realdiscrt3)^(2-Half_Year)</f>
        <v>940.1728866913146</v>
      </c>
      <c r="W153" s="532">
        <f>NPV(realdiscrt3,W$65:W73)/(1+realdiscrt3)^(2-Half_Year)</f>
        <v>0</v>
      </c>
      <c r="X153" s="534">
        <f>NPV(realdiscrt3,X$65:X73)/(1+realdiscrt3)^(2-Half_Year)</f>
        <v>1143.0403744363232</v>
      </c>
      <c r="Y153" s="531">
        <f>NPV(realdiscrt3,Y$65:Y73)/(1+realdiscrt3)^(2-Half_Year)</f>
        <v>63.210356728474125</v>
      </c>
      <c r="Z153" s="532">
        <f>NPV(realdiscrt3,Z$65:Z73)/(1+realdiscrt3)^(2-Half_Year)</f>
        <v>73.004415843746315</v>
      </c>
      <c r="AA153" s="532">
        <f>NPV(realdiscrt3,AA$65:AA73)/(1+realdiscrt3)^(2-Half_Year)</f>
        <v>99.878682637590614</v>
      </c>
      <c r="AB153" s="532">
        <f>NPV(realdiscrt3,AB$65:AB73)/(1+realdiscrt3)^(2-Half_Year)</f>
        <v>90.481912691748221</v>
      </c>
      <c r="AC153" s="532">
        <f>NPV(realdiscrt3,AC$65:AC73)/(1+realdiscrt3)^(2-Half_Year)</f>
        <v>71.991312697951997</v>
      </c>
      <c r="AD153" s="532">
        <f>NPV(realdiscrt3,AD$65:AD73)/(1+realdiscrt3)^(2-Half_Year)</f>
        <v>93.527285320443596</v>
      </c>
      <c r="AE153" s="534">
        <f>NPV(realdiscrt3,AE$65:AE73)/(1+realdiscrt3)^(2-Half_Year)</f>
        <v>87.706752179229653</v>
      </c>
      <c r="AF153" s="535">
        <f>NPV(realdiscrt3,AF$65:AF73)/(1+realdiscrt3)^(2-Half_Year)</f>
        <v>2.3355427745881681E-2</v>
      </c>
      <c r="AG153" s="530">
        <f>NPV(realdiscrt3,AG$65:AG73)/(1+realdiscrt3)^(2-Half_Year)</f>
        <v>2.0407716556578173</v>
      </c>
      <c r="AH153" s="536">
        <f>NPV(realdiscrt3,AH$65:AH73)/(1+realdiscrt3)^(2-Half_Year)</f>
        <v>2.0407716556578173</v>
      </c>
      <c r="AI153" s="536">
        <f>NPV(realdiscrt3,AI$65:AI73)/(1+realdiscrt3)^(2-Half_Year)</f>
        <v>3.7447513279320295</v>
      </c>
      <c r="AJ153" s="536">
        <f>NPV(realdiscrt3,AJ$65:AJ73)/(1+realdiscrt3)^(2-Half_Year)</f>
        <v>3.1872764968793557</v>
      </c>
      <c r="AK153" s="536">
        <f>NPV(realdiscrt3,AK$65:AK73)/(1+realdiscrt3)^(2-Half_Year)</f>
        <v>2.0407716556578173</v>
      </c>
      <c r="AL153" s="536">
        <f>NPV(realdiscrt3,AL$65:AL73)/(1+realdiscrt3)^(2-Half_Year)</f>
        <v>3.7447513279320295</v>
      </c>
      <c r="AM153" s="536">
        <f>NPV(realdiscrt3,AM$65:AM73)/(1+realdiscrt3)^(2-Half_Year)</f>
        <v>3.2842162813714317</v>
      </c>
      <c r="AN153" s="518">
        <f>NPV(realdiscrt3,AN$65:AN73)/(1+realdiscrt3)^(2-Half_Year)</f>
        <v>285.08707535057636</v>
      </c>
      <c r="AO153" s="519">
        <f>NPV(realdiscrt3,AO$65:AO73)/(1+realdiscrt3)^(2-Half_Year)</f>
        <v>251.84367993179427</v>
      </c>
      <c r="AP153" s="505">
        <f>NPV(realdiscrt3,AP$65:AP73)/(1+realdiscrt3)^(2-Half_Year)</f>
        <v>240.94109387381732</v>
      </c>
      <c r="AQ153" s="533">
        <f>NPV(realdiscrt3,AQ$65:AQ73)/(1+realdiscrt3)^(2-Half_Year)</f>
        <v>0.15100672460251771</v>
      </c>
      <c r="AR153" s="519">
        <f>NPV(realdiscrt3,AR$65:AR73)/(1+realdiscrt3)^(2-Half_Year)</f>
        <v>350.9506065901013</v>
      </c>
      <c r="AS153" s="534">
        <f>NPV(realdiscrt3,AS$65:AS73)/(1+realdiscrt3)^(2-Half_Year)</f>
        <v>450.16446172484848</v>
      </c>
      <c r="AT153" s="518">
        <f>NPV(realdiscrt3,AT$65:AT73)/(1+realdiscrt3)^(2-Half_Year)</f>
        <v>247.09438150746968</v>
      </c>
      <c r="AU153" s="532">
        <f>NPV(realdiscrt3,AU$65:AU73)/(1+realdiscrt3)^(2-Half_Year)</f>
        <v>266.4484812965714</v>
      </c>
      <c r="AV153" s="531">
        <f>NPV(realdiscrt3,AV$65:AV73)/(1+realdiscrt3)^(2-Half_Year)</f>
        <v>0.12008839494711158</v>
      </c>
      <c r="AW153" s="534">
        <f>NPV(realdiscrt3,AW$65:AW73)/(1+realdiscrt3)^(2-Half_Year)</f>
        <v>0.12008839494711158</v>
      </c>
      <c r="AX153" s="523">
        <f>NPV(realdiscrt3,AX$65:AX73)/(1+realdiscrt3)^(2-Half_Year)</f>
        <v>14.290962992942902</v>
      </c>
      <c r="AY153" s="537">
        <f>NPV(realdiscrt3,AY$65:AY73)/(1+realdiscrt3)^(2-Half_Year)</f>
        <v>103.55769667963442</v>
      </c>
      <c r="AZ153" s="530">
        <f>NPV(realdiscrt3,AZ$65:AZ73)/(1+realdiscrt3)^(2-Half_Year)</f>
        <v>0.38925666832384354</v>
      </c>
      <c r="BA153" s="536">
        <f>NPV(realdiscrt3,BA$65:BA73)/(1+realdiscrt3)^(2-Half_Year)</f>
        <v>0.4262300467735215</v>
      </c>
      <c r="BB153" s="536">
        <f>NPV(realdiscrt3,BB$65:BB73)/(1+realdiscrt3)^(2-Half_Year)</f>
        <v>0.42658642859347379</v>
      </c>
      <c r="BC153" s="533">
        <f>NPV(realdiscrt3,BC$65:BC73)/(1+realdiscrt3)^(2-Half_Year)</f>
        <v>0.47205935148760053</v>
      </c>
    </row>
    <row r="154" spans="1:55" s="324" customFormat="1" ht="14.25">
      <c r="A154" s="525">
        <f t="shared" si="99"/>
        <v>10</v>
      </c>
      <c r="B154" s="526">
        <f t="shared" si="98"/>
        <v>2035</v>
      </c>
      <c r="C154" s="527">
        <f>NPV(realdiscrt3,C$65:C74)/(1+realdiscrt3)^(2-Half_Year)</f>
        <v>0.78621214666440398</v>
      </c>
      <c r="D154" s="528">
        <f>NPV(realdiscrt3,D$65:D74)/(1+realdiscrt3)^(2-Half_Year)</f>
        <v>0.77071170561188962</v>
      </c>
      <c r="E154" s="528">
        <f>NPV(realdiscrt3,E$65:E74)/(1+realdiscrt3)^(2-Half_Year)</f>
        <v>0.58798034910679264</v>
      </c>
      <c r="F154" s="529">
        <f>NPV(realdiscrt3,F$65:F74)/(1+realdiscrt3)^(2-Half_Year)</f>
        <v>0.5480854387211741</v>
      </c>
      <c r="G154" s="527">
        <f>NPV(realdiscrt3,G$65:G74)/(1+realdiscrt3)^(2-Half_Year)</f>
        <v>6.9912679259057767E-2</v>
      </c>
      <c r="H154" s="528">
        <f>NPV(realdiscrt3,H$65:H74)/(1+realdiscrt3)^(2-Half_Year)</f>
        <v>6.0856058936279808E-2</v>
      </c>
      <c r="I154" s="528">
        <f>NPV(realdiscrt3,I$65:I74)/(1+realdiscrt3)^(2-Half_Year)</f>
        <v>4.1202249075237063E-2</v>
      </c>
      <c r="J154" s="528">
        <f>NPV(realdiscrt3,J$65:J74)/(1+realdiscrt3)^(2-Half_Year)</f>
        <v>2.6023202913989334E-2</v>
      </c>
      <c r="K154" s="530">
        <f>NPV(realdiscrt3,K$65:K74)/(1+realdiscrt3)^(2-Half_Year)</f>
        <v>1.5819719436576167E-2</v>
      </c>
      <c r="L154" s="1139">
        <f>NPV(realdiscrt3,L$65:L74)/(1+realdiscrt3)^(2-Half_Year)</f>
        <v>617.5688991726189</v>
      </c>
      <c r="M154" s="532">
        <f>NPV(realdiscrt3,M$65:M74)/(1+realdiscrt3)^(2-Half_Year)</f>
        <v>374.26389787486545</v>
      </c>
      <c r="N154" s="532">
        <f>NPV(realdiscrt3,N$65:N74)/(1+realdiscrt3)^(2-Half_Year)</f>
        <v>374.26389787486545</v>
      </c>
      <c r="O154" s="534">
        <f>NPV(realdiscrt3,O$65:O74)/(1+realdiscrt3)^(2-Half_Year)</f>
        <v>0</v>
      </c>
      <c r="P154" s="637">
        <f t="shared" si="97"/>
        <v>0</v>
      </c>
      <c r="Q154" s="637">
        <f t="shared" si="97"/>
        <v>32.398784653154209</v>
      </c>
      <c r="R154" s="1134">
        <f t="shared" si="97"/>
        <v>32.398784653154209</v>
      </c>
      <c r="S154" s="519">
        <f>NPV(realdiscrt3,S$65:S74)/(1+realdiscrt3)^(2-Half_Year)</f>
        <v>0</v>
      </c>
      <c r="T154" s="519">
        <f>NPV(realdiscrt3,T$65:T74)/(1+realdiscrt3)^(2-Half_Year)</f>
        <v>0</v>
      </c>
      <c r="U154" s="533">
        <f>NPV(realdiscrt3,U$65:U74)/(1+realdiscrt3)^(2-Half_Year)</f>
        <v>0</v>
      </c>
      <c r="V154" s="531">
        <f>NPV(realdiscrt3,V$65:V74)/(1+realdiscrt3)^(2-Half_Year)</f>
        <v>1037.7346057606026</v>
      </c>
      <c r="W154" s="532">
        <f>NPV(realdiscrt3,W$65:W74)/(1+realdiscrt3)^(2-Half_Year)</f>
        <v>0</v>
      </c>
      <c r="X154" s="534">
        <f>NPV(realdiscrt3,X$65:X74)/(1+realdiscrt3)^(2-Half_Year)</f>
        <v>1261.6536480950267</v>
      </c>
      <c r="Y154" s="531">
        <f>NPV(realdiscrt3,Y$65:Y74)/(1+realdiscrt3)^(2-Half_Year)</f>
        <v>70.076966440771415</v>
      </c>
      <c r="Z154" s="532">
        <f>NPV(realdiscrt3,Z$65:Z74)/(1+realdiscrt3)^(2-Half_Year)</f>
        <v>80.860161351412785</v>
      </c>
      <c r="AA154" s="532">
        <f>NPV(realdiscrt3,AA$65:AA74)/(1+realdiscrt3)^(2-Half_Year)</f>
        <v>110.4629034582078</v>
      </c>
      <c r="AB154" s="532">
        <f>NPV(realdiscrt3,AB$65:AB74)/(1+realdiscrt3)^(2-Half_Year)</f>
        <v>100.11242641643901</v>
      </c>
      <c r="AC154" s="532">
        <f>NPV(realdiscrt3,AC$65:AC74)/(1+realdiscrt3)^(2-Half_Year)</f>
        <v>79.741748956071632</v>
      </c>
      <c r="AD154" s="532">
        <f>NPV(realdiscrt3,AD$65:AD74)/(1+realdiscrt3)^(2-Half_Year)</f>
        <v>103.46841944184298</v>
      </c>
      <c r="AE154" s="534">
        <f>NPV(realdiscrt3,AE$65:AE74)/(1+realdiscrt3)^(2-Half_Year)</f>
        <v>97.055805797039895</v>
      </c>
      <c r="AF154" s="535">
        <f>NPV(realdiscrt3,AF$65:AF74)/(1+realdiscrt3)^(2-Half_Year)</f>
        <v>2.6050334440352461E-2</v>
      </c>
      <c r="AG154" s="530">
        <f>NPV(realdiscrt3,AG$65:AG74)/(1+realdiscrt3)^(2-Half_Year)</f>
        <v>2.0647140186350224</v>
      </c>
      <c r="AH154" s="536">
        <f>NPV(realdiscrt3,AH$65:AH74)/(1+realdiscrt3)^(2-Half_Year)</f>
        <v>2.0647140186350224</v>
      </c>
      <c r="AI154" s="536">
        <f>NPV(realdiscrt3,AI$65:AI74)/(1+realdiscrt3)^(2-Half_Year)</f>
        <v>3.7832682075346749</v>
      </c>
      <c r="AJ154" s="536">
        <f>NPV(realdiscrt3,AJ$65:AJ74)/(1+realdiscrt3)^(2-Half_Year)</f>
        <v>3.2210251704255306</v>
      </c>
      <c r="AK154" s="536">
        <f>NPV(realdiscrt3,AK$65:AK74)/(1+realdiscrt3)^(2-Half_Year)</f>
        <v>2.0647140186350224</v>
      </c>
      <c r="AL154" s="536">
        <f>NPV(realdiscrt3,AL$65:AL74)/(1+realdiscrt3)^(2-Half_Year)</f>
        <v>3.7832682075346749</v>
      </c>
      <c r="AM154" s="536">
        <f>NPV(realdiscrt3,AM$65:AM74)/(1+realdiscrt3)^(2-Half_Year)</f>
        <v>3.3187941024266614</v>
      </c>
      <c r="AN154" s="518">
        <f>NPV(realdiscrt3,AN$65:AN74)/(1+realdiscrt3)^(2-Half_Year)</f>
        <v>315.87355295243151</v>
      </c>
      <c r="AO154" s="519">
        <f>NPV(realdiscrt3,AO$65:AO74)/(1+realdiscrt3)^(2-Half_Year)</f>
        <v>279.22355675987126</v>
      </c>
      <c r="AP154" s="505">
        <f>NPV(realdiscrt3,AP$65:AP74)/(1+realdiscrt3)^(2-Half_Year)</f>
        <v>267.15653084304699</v>
      </c>
      <c r="AQ154" s="533">
        <f>NPV(realdiscrt3,AQ$65:AQ74)/(1+realdiscrt3)^(2-Half_Year)</f>
        <v>0.16737338957765749</v>
      </c>
      <c r="AR154" s="519">
        <f>NPV(realdiscrt3,AR$65:AR74)/(1+realdiscrt3)^(2-Half_Year)</f>
        <v>388.8496694496053</v>
      </c>
      <c r="AS154" s="534">
        <f>NPV(realdiscrt3,AS$65:AS74)/(1+realdiscrt3)^(2-Half_Year)</f>
        <v>498.08101595635105</v>
      </c>
      <c r="AT154" s="518">
        <f>NPV(realdiscrt3,AT$65:AT74)/(1+realdiscrt3)^(2-Half_Year)</f>
        <v>273.77803818488763</v>
      </c>
      <c r="AU154" s="532">
        <f>NPV(realdiscrt3,AU$65:AU74)/(1+realdiscrt3)^(2-Half_Year)</f>
        <v>295.22218207342297</v>
      </c>
      <c r="AV154" s="531">
        <f>NPV(realdiscrt3,AV$65:AV74)/(1+realdiscrt3)^(2-Half_Year)</f>
        <v>0.13254996495956239</v>
      </c>
      <c r="AW154" s="534">
        <f>NPV(realdiscrt3,AW$65:AW74)/(1+realdiscrt3)^(2-Half_Year)</f>
        <v>0.13254996495956239</v>
      </c>
      <c r="AX154" s="523">
        <f>NPV(realdiscrt3,AX$65:AX74)/(1+realdiscrt3)^(2-Half_Year)</f>
        <v>15.773935897696383</v>
      </c>
      <c r="AY154" s="537">
        <f>NPV(realdiscrt3,AY$65:AY74)/(1+realdiscrt3)^(2-Half_Year)</f>
        <v>117.1595337614072</v>
      </c>
      <c r="AZ154" s="530">
        <f>NPV(realdiscrt3,AZ$65:AZ74)/(1+realdiscrt3)^(2-Half_Year)</f>
        <v>0.41635137179676907</v>
      </c>
      <c r="BA154" s="536">
        <f>NPV(realdiscrt3,BA$65:BA74)/(1+realdiscrt3)^(2-Half_Year)</f>
        <v>0.45329608016619888</v>
      </c>
      <c r="BB154" s="536">
        <f>NPV(realdiscrt3,BB$65:BB74)/(1+realdiscrt3)^(2-Half_Year)</f>
        <v>0.45641511441836563</v>
      </c>
      <c r="BC154" s="533">
        <f>NPV(realdiscrt3,BC$65:BC74)/(1+realdiscrt3)^(2-Half_Year)</f>
        <v>0.50314760091288913</v>
      </c>
    </row>
    <row r="155" spans="1:55" s="324" customFormat="1" ht="14.25">
      <c r="A155" s="525">
        <f t="shared" si="99"/>
        <v>11</v>
      </c>
      <c r="B155" s="526">
        <f t="shared" si="98"/>
        <v>2036</v>
      </c>
      <c r="C155" s="527">
        <f>NPV(realdiscrt3,C$65:C75)/(1+realdiscrt3)^(2-Half_Year)</f>
        <v>0.86062999087629832</v>
      </c>
      <c r="D155" s="528">
        <f>NPV(realdiscrt3,D$65:D75)/(1+realdiscrt3)^(2-Half_Year)</f>
        <v>0.84522070369189728</v>
      </c>
      <c r="E155" s="528">
        <f>NPV(realdiscrt3,E$65:E75)/(1+realdiscrt3)^(2-Half_Year)</f>
        <v>0.64513355483374468</v>
      </c>
      <c r="F155" s="529">
        <f>NPV(realdiscrt3,F$65:F75)/(1+realdiscrt3)^(2-Half_Year)</f>
        <v>0.60242067348929207</v>
      </c>
      <c r="G155" s="527">
        <f>NPV(realdiscrt3,G$65:G75)/(1+realdiscrt3)^(2-Half_Year)</f>
        <v>7.3453883936130102E-2</v>
      </c>
      <c r="H155" s="528">
        <f>NPV(realdiscrt3,H$65:H75)/(1+realdiscrt3)^(2-Half_Year)</f>
        <v>6.4061906738209703E-2</v>
      </c>
      <c r="I155" s="528">
        <f>NPV(realdiscrt3,I$65:I75)/(1+realdiscrt3)^(2-Half_Year)</f>
        <v>4.3442426470143042E-2</v>
      </c>
      <c r="J155" s="528">
        <f>NPV(realdiscrt3,J$65:J75)/(1+realdiscrt3)^(2-Half_Year)</f>
        <v>2.7471822938881851E-2</v>
      </c>
      <c r="K155" s="530">
        <f>NPV(realdiscrt3,K$65:K75)/(1+realdiscrt3)^(2-Half_Year)</f>
        <v>1.5862925378505557E-2</v>
      </c>
      <c r="L155" s="1139">
        <f>NPV(realdiscrt3,L$65:L75)/(1+realdiscrt3)^(2-Half_Year)</f>
        <v>677.7636939063342</v>
      </c>
      <c r="M155" s="532">
        <f>NPV(realdiscrt3,M$65:M75)/(1+realdiscrt3)^(2-Half_Year)</f>
        <v>374.26389787486545</v>
      </c>
      <c r="N155" s="532">
        <f>NPV(realdiscrt3,N$65:N75)/(1+realdiscrt3)^(2-Half_Year)</f>
        <v>374.26389787486545</v>
      </c>
      <c r="O155" s="534">
        <f>NPV(realdiscrt3,O$65:O75)/(1+realdiscrt3)^(2-Half_Year)</f>
        <v>0</v>
      </c>
      <c r="P155" s="637">
        <f t="shared" si="97"/>
        <v>0</v>
      </c>
      <c r="Q155" s="637">
        <f t="shared" si="97"/>
        <v>7.3635398336402442</v>
      </c>
      <c r="R155" s="1134">
        <f t="shared" si="97"/>
        <v>7.3635398336402442</v>
      </c>
      <c r="S155" s="519">
        <f>NPV(realdiscrt3,S$65:S75)/(1+realdiscrt3)^(2-Half_Year)</f>
        <v>0</v>
      </c>
      <c r="T155" s="519">
        <f>NPV(realdiscrt3,T$65:T75)/(1+realdiscrt3)^(2-Half_Year)</f>
        <v>0</v>
      </c>
      <c r="U155" s="533">
        <f>NPV(realdiscrt3,U$65:U75)/(1+realdiscrt3)^(2-Half_Year)</f>
        <v>0</v>
      </c>
      <c r="V155" s="531">
        <f>NPV(realdiscrt3,V$65:V75)/(1+realdiscrt3)^(2-Half_Year)</f>
        <v>1133.9834293064523</v>
      </c>
      <c r="W155" s="532">
        <f>NPV(realdiscrt3,W$65:W75)/(1+realdiscrt3)^(2-Half_Year)</f>
        <v>0</v>
      </c>
      <c r="X155" s="534">
        <f>NPV(realdiscrt3,X$65:X75)/(1+realdiscrt3)^(2-Half_Year)</f>
        <v>1378.6707338483463</v>
      </c>
      <c r="Y155" s="531">
        <f>NPV(realdiscrt3,Y$65:Y75)/(1+realdiscrt3)^(2-Half_Year)</f>
        <v>76.903124012327908</v>
      </c>
      <c r="Z155" s="532">
        <f>NPV(realdiscrt3,Z$65:Z75)/(1+realdiscrt3)^(2-Half_Year)</f>
        <v>88.656764298227657</v>
      </c>
      <c r="AA155" s="532">
        <f>NPV(realdiscrt3,AA$65:AA75)/(1+realdiscrt3)^(2-Half_Year)</f>
        <v>120.93920280259157</v>
      </c>
      <c r="AB155" s="532">
        <f>NPV(realdiscrt3,AB$65:AB75)/(1+realdiscrt3)^(2-Half_Year)</f>
        <v>109.65209853786496</v>
      </c>
      <c r="AC155" s="532">
        <f>NPV(realdiscrt3,AC$65:AC75)/(1+realdiscrt3)^(2-Half_Year)</f>
        <v>87.434426380026082</v>
      </c>
      <c r="AD155" s="532">
        <f>NPV(realdiscrt3,AD$65:AD75)/(1+realdiscrt3)^(2-Half_Year)</f>
        <v>113.31348384841313</v>
      </c>
      <c r="AE155" s="534">
        <f>NPV(realdiscrt3,AE$65:AE75)/(1+realdiscrt3)^(2-Half_Year)</f>
        <v>106.31912398385865</v>
      </c>
      <c r="AF155" s="535">
        <f>NPV(realdiscrt3,AF$65:AF75)/(1+realdiscrt3)^(2-Half_Year)</f>
        <v>2.87160319116469E-2</v>
      </c>
      <c r="AG155" s="530">
        <f>NPV(realdiscrt3,AG$65:AG75)/(1+realdiscrt3)^(2-Half_Year)</f>
        <v>2.0677585010180031</v>
      </c>
      <c r="AH155" s="536">
        <f>NPV(realdiscrt3,AH$65:AH75)/(1+realdiscrt3)^(2-Half_Year)</f>
        <v>2.0677585010180031</v>
      </c>
      <c r="AI155" s="536">
        <f>NPV(realdiscrt3,AI$65:AI75)/(1+realdiscrt3)^(2-Half_Year)</f>
        <v>3.7845658215290503</v>
      </c>
      <c r="AJ155" s="536">
        <f>NPV(realdiscrt3,AJ$65:AJ75)/(1+realdiscrt3)^(2-Half_Year)</f>
        <v>3.222894290744573</v>
      </c>
      <c r="AK155" s="536">
        <f>NPV(realdiscrt3,AK$65:AK75)/(1+realdiscrt3)^(2-Half_Year)</f>
        <v>2.0677585010180031</v>
      </c>
      <c r="AL155" s="536">
        <f>NPV(realdiscrt3,AL$65:AL75)/(1+realdiscrt3)^(2-Half_Year)</f>
        <v>3.7845658215290503</v>
      </c>
      <c r="AM155" s="536">
        <f>NPV(realdiscrt3,AM$65:AM75)/(1+realdiscrt3)^(2-Half_Year)</f>
        <v>3.3205638430125513</v>
      </c>
      <c r="AN155" s="518">
        <f>NPV(realdiscrt3,AN$65:AN75)/(1+realdiscrt3)^(2-Half_Year)</f>
        <v>346.44167372403825</v>
      </c>
      <c r="AO155" s="519">
        <f>NPV(realdiscrt3,AO$65:AO75)/(1+realdiscrt3)^(2-Half_Year)</f>
        <v>306.44511178635253</v>
      </c>
      <c r="AP155" s="505">
        <f>NPV(realdiscrt3,AP$65:AP75)/(1+realdiscrt3)^(2-Half_Year)</f>
        <v>293.22177148855269</v>
      </c>
      <c r="AQ155" s="533">
        <f>NPV(realdiscrt3,AQ$65:AQ75)/(1+realdiscrt3)^(2-Half_Year)</f>
        <v>0.18361519051675901</v>
      </c>
      <c r="AR155" s="519">
        <f>NPV(realdiscrt3,AR$65:AR75)/(1+realdiscrt3)^(2-Half_Year)</f>
        <v>426.47992860436568</v>
      </c>
      <c r="AS155" s="534">
        <f>NPV(realdiscrt3,AS$65:AS75)/(1+realdiscrt3)^(2-Half_Year)</f>
        <v>545.54749413996933</v>
      </c>
      <c r="AT155" s="518">
        <f>NPV(realdiscrt3,AT$65:AT75)/(1+realdiscrt3)^(2-Half_Year)</f>
        <v>300.2724377875968</v>
      </c>
      <c r="AU155" s="532">
        <f>NPV(realdiscrt3,AU$65:AU75)/(1+realdiscrt3)^(2-Half_Year)</f>
        <v>323.79180188403342</v>
      </c>
      <c r="AV155" s="531">
        <f>NPV(realdiscrt3,AV$65:AV75)/(1+realdiscrt3)^(2-Half_Year)</f>
        <v>0.14484383867022152</v>
      </c>
      <c r="AW155" s="534">
        <f>NPV(realdiscrt3,AW$65:AW75)/(1+realdiscrt3)^(2-Half_Year)</f>
        <v>0.14484383867022152</v>
      </c>
      <c r="AX155" s="523">
        <f>NPV(realdiscrt3,AX$65:AX75)/(1+realdiscrt3)^(2-Half_Year)</f>
        <v>17.236952322525106</v>
      </c>
      <c r="AY155" s="537">
        <f>NPV(realdiscrt3,AY$65:AY75)/(1+realdiscrt3)^(2-Half_Year)</f>
        <v>130.57832988013058</v>
      </c>
      <c r="AZ155" s="530">
        <f>NPV(realdiscrt3,AZ$65:AZ75)/(1+realdiscrt3)^(2-Half_Year)</f>
        <v>0.44096362313382614</v>
      </c>
      <c r="BA155" s="536">
        <f>NPV(realdiscrt3,BA$65:BA75)/(1+realdiscrt3)^(2-Half_Year)</f>
        <v>0.4776223023654057</v>
      </c>
      <c r="BB155" s="536">
        <f>NPV(realdiscrt3,BB$65:BB75)/(1+realdiscrt3)^(2-Half_Year)</f>
        <v>0.48333971729106295</v>
      </c>
      <c r="BC155" s="533">
        <f>NPV(realdiscrt3,BC$65:BC75)/(1+realdiscrt3)^(2-Half_Year)</f>
        <v>0.53113685004332389</v>
      </c>
    </row>
    <row r="156" spans="1:55" s="324" customFormat="1" ht="14.25">
      <c r="A156" s="525">
        <f t="shared" si="99"/>
        <v>12</v>
      </c>
      <c r="B156" s="526">
        <f t="shared" si="98"/>
        <v>2037</v>
      </c>
      <c r="C156" s="527">
        <f>NPV(realdiscrt3,C$65:C76)/(1+realdiscrt3)^(2-Half_Year)</f>
        <v>0.93421861775373161</v>
      </c>
      <c r="D156" s="528">
        <f>NPV(realdiscrt3,D$65:D76)/(1+realdiscrt3)^(2-Half_Year)</f>
        <v>0.91892834101926513</v>
      </c>
      <c r="E156" s="528">
        <f>NPV(realdiscrt3,E$65:E76)/(1+realdiscrt3)^(2-Half_Year)</f>
        <v>0.70186253577427227</v>
      </c>
      <c r="F156" s="529">
        <f>NPV(realdiscrt3,F$65:F76)/(1+realdiscrt3)^(2-Half_Year)</f>
        <v>0.6563509010829468</v>
      </c>
      <c r="G156" s="527">
        <f>NPV(realdiscrt3,G$65:G76)/(1+realdiscrt3)^(2-Half_Year)</f>
        <v>7.3453883936130102E-2</v>
      </c>
      <c r="H156" s="528">
        <f>NPV(realdiscrt3,H$65:H76)/(1+realdiscrt3)^(2-Half_Year)</f>
        <v>6.4061906738209703E-2</v>
      </c>
      <c r="I156" s="528">
        <f>NPV(realdiscrt3,I$65:I76)/(1+realdiscrt3)^(2-Half_Year)</f>
        <v>4.3442426470143042E-2</v>
      </c>
      <c r="J156" s="528">
        <f>NPV(realdiscrt3,J$65:J76)/(1+realdiscrt3)^(2-Half_Year)</f>
        <v>2.7471822938881851E-2</v>
      </c>
      <c r="K156" s="530">
        <f>NPV(realdiscrt3,K$65:K76)/(1+realdiscrt3)^(2-Half_Year)</f>
        <v>1.5882880065050415E-2</v>
      </c>
      <c r="L156" s="1139">
        <f>NPV(realdiscrt3,L$65:L76)/(1+realdiscrt3)^(2-Half_Year)</f>
        <v>739.00648643736906</v>
      </c>
      <c r="M156" s="532">
        <f>NPV(realdiscrt3,M$65:M76)/(1+realdiscrt3)^(2-Half_Year)</f>
        <v>374.26389787486545</v>
      </c>
      <c r="N156" s="532">
        <f>NPV(realdiscrt3,N$65:N76)/(1+realdiscrt3)^(2-Half_Year)</f>
        <v>374.26389787486545</v>
      </c>
      <c r="O156" s="534">
        <f>NPV(realdiscrt3,O$65:O76)/(1+realdiscrt3)^(2-Half_Year)</f>
        <v>0</v>
      </c>
      <c r="P156" s="637">
        <f t="shared" si="97"/>
        <v>0</v>
      </c>
      <c r="Q156" s="637">
        <f t="shared" si="97"/>
        <v>0</v>
      </c>
      <c r="R156" s="1134">
        <f t="shared" si="97"/>
        <v>0</v>
      </c>
      <c r="S156" s="519">
        <f>NPV(realdiscrt3,S$65:S76)/(1+realdiscrt3)^(2-Half_Year)</f>
        <v>0</v>
      </c>
      <c r="T156" s="519">
        <f>NPV(realdiscrt3,T$65:T76)/(1+realdiscrt3)^(2-Half_Year)</f>
        <v>0</v>
      </c>
      <c r="U156" s="533">
        <f>NPV(realdiscrt3,U$65:U76)/(1+realdiscrt3)^(2-Half_Year)</f>
        <v>0</v>
      </c>
      <c r="V156" s="531">
        <f>NPV(realdiscrt3,V$65:V76)/(1+realdiscrt3)^(2-Half_Year)</f>
        <v>1228.9370250644461</v>
      </c>
      <c r="W156" s="532">
        <f>NPV(realdiscrt3,W$65:W76)/(1+realdiscrt3)^(2-Half_Year)</f>
        <v>0</v>
      </c>
      <c r="X156" s="534">
        <f>NPV(realdiscrt3,X$65:X76)/(1+realdiscrt3)^(2-Half_Year)</f>
        <v>1494.1131117191385</v>
      </c>
      <c r="Y156" s="531">
        <f>NPV(realdiscrt3,Y$65:Y76)/(1+realdiscrt3)^(2-Half_Year)</f>
        <v>83.68906775225966</v>
      </c>
      <c r="Z156" s="532">
        <f>NPV(realdiscrt3,Z$65:Z76)/(1+realdiscrt3)^(2-Half_Year)</f>
        <v>96.394669943332872</v>
      </c>
      <c r="AA156" s="532">
        <f>NPV(realdiscrt3,AA$65:AA76)/(1+realdiscrt3)^(2-Half_Year)</f>
        <v>131.30868108665626</v>
      </c>
      <c r="AB156" s="532">
        <f>NPV(realdiscrt3,AB$65:AB76)/(1+realdiscrt3)^(2-Half_Year)</f>
        <v>119.10178593626317</v>
      </c>
      <c r="AC156" s="532">
        <f>NPV(realdiscrt3,AC$65:AC76)/(1+realdiscrt3)^(2-Half_Year)</f>
        <v>95.069775407898163</v>
      </c>
      <c r="AD156" s="532">
        <f>NPV(realdiscrt3,AD$65:AD76)/(1+realdiscrt3)^(2-Half_Year)</f>
        <v>123.06340694429736</v>
      </c>
      <c r="AE156" s="534">
        <f>NPV(realdiscrt3,AE$65:AE76)/(1+realdiscrt3)^(2-Half_Year)</f>
        <v>115.4974929758578</v>
      </c>
      <c r="AF156" s="535">
        <f>NPV(realdiscrt3,AF$65:AF76)/(1+realdiscrt3)^(2-Half_Year)</f>
        <v>3.1353281419898058E-2</v>
      </c>
      <c r="AG156" s="530">
        <f>NPV(realdiscrt3,AG$65:AG76)/(1+realdiscrt3)^(2-Half_Year)</f>
        <v>2.0677585010180031</v>
      </c>
      <c r="AH156" s="536">
        <f>NPV(realdiscrt3,AH$65:AH76)/(1+realdiscrt3)^(2-Half_Year)</f>
        <v>2.0677585010180031</v>
      </c>
      <c r="AI156" s="536">
        <f>NPV(realdiscrt3,AI$65:AI76)/(1+realdiscrt3)^(2-Half_Year)</f>
        <v>3.7845658215290503</v>
      </c>
      <c r="AJ156" s="536">
        <f>NPV(realdiscrt3,AJ$65:AJ76)/(1+realdiscrt3)^(2-Half_Year)</f>
        <v>3.222894290744573</v>
      </c>
      <c r="AK156" s="536">
        <f>NPV(realdiscrt3,AK$65:AK76)/(1+realdiscrt3)^(2-Half_Year)</f>
        <v>2.0677585010180031</v>
      </c>
      <c r="AL156" s="536">
        <f>NPV(realdiscrt3,AL$65:AL76)/(1+realdiscrt3)^(2-Half_Year)</f>
        <v>3.7845658215290503</v>
      </c>
      <c r="AM156" s="536">
        <f>NPV(realdiscrt3,AM$65:AM76)/(1+realdiscrt3)^(2-Half_Year)</f>
        <v>3.3205638430125513</v>
      </c>
      <c r="AN156" s="518">
        <f>NPV(realdiscrt3,AN$65:AN76)/(1+realdiscrt3)^(2-Half_Year)</f>
        <v>376.79298638772644</v>
      </c>
      <c r="AO156" s="519">
        <f>NPV(realdiscrt3,AO$65:AO76)/(1+realdiscrt3)^(2-Half_Year)</f>
        <v>333.50926049354712</v>
      </c>
      <c r="AP156" s="505">
        <f>NPV(realdiscrt3,AP$65:AP76)/(1+realdiscrt3)^(2-Half_Year)</f>
        <v>319.13767633139656</v>
      </c>
      <c r="AQ156" s="533">
        <f>NPV(realdiscrt3,AQ$65:AQ76)/(1+realdiscrt3)^(2-Half_Year)</f>
        <v>0.19973308002852541</v>
      </c>
      <c r="AR156" s="519">
        <f>NPV(realdiscrt3,AR$65:AR76)/(1+realdiscrt3)^(2-Half_Year)</f>
        <v>463.84329057729434</v>
      </c>
      <c r="AS156" s="534">
        <f>NPV(realdiscrt3,AS$65:AS76)/(1+realdiscrt3)^(2-Half_Year)</f>
        <v>592.56812380107783</v>
      </c>
      <c r="AT156" s="518">
        <f>NPV(realdiscrt3,AT$65:AT76)/(1+realdiscrt3)^(2-Half_Year)</f>
        <v>326.5789226443776</v>
      </c>
      <c r="AU156" s="532">
        <f>NPV(realdiscrt3,AU$65:AU76)/(1+realdiscrt3)^(2-Half_Year)</f>
        <v>352.15878819743369</v>
      </c>
      <c r="AV156" s="531">
        <f>NPV(realdiscrt3,AV$65:AV76)/(1+realdiscrt3)^(2-Half_Year)</f>
        <v>0.15697227278106207</v>
      </c>
      <c r="AW156" s="534">
        <f>NPV(realdiscrt3,AW$65:AW76)/(1+realdiscrt3)^(2-Half_Year)</f>
        <v>0.15697227278106207</v>
      </c>
      <c r="AX156" s="523">
        <f>NPV(realdiscrt3,AX$65:AX76)/(1+realdiscrt3)^(2-Half_Year)</f>
        <v>18.680280823307413</v>
      </c>
      <c r="AY156" s="537">
        <f>NPV(realdiscrt3,AY$65:AY76)/(1+realdiscrt3)^(2-Half_Year)</f>
        <v>143.81654823205909</v>
      </c>
      <c r="AZ156" s="530">
        <f>NPV(realdiscrt3,AZ$65:AZ76)/(1+realdiscrt3)^(2-Half_Year)</f>
        <v>0.46332086784343424</v>
      </c>
      <c r="BA156" s="536">
        <f>NPV(realdiscrt3,BA$65:BA76)/(1+realdiscrt3)^(2-Half_Year)</f>
        <v>0.49948605601928558</v>
      </c>
      <c r="BB156" s="536">
        <f>NPV(realdiscrt3,BB$65:BB76)/(1+realdiscrt3)^(2-Half_Year)</f>
        <v>0.50764297503792322</v>
      </c>
      <c r="BC156" s="533">
        <f>NPV(realdiscrt3,BC$65:BC76)/(1+realdiscrt3)^(2-Half_Year)</f>
        <v>0.55633601954845191</v>
      </c>
    </row>
    <row r="157" spans="1:55" s="324" customFormat="1" ht="14.25">
      <c r="A157" s="525">
        <f t="shared" si="99"/>
        <v>13</v>
      </c>
      <c r="B157" s="526">
        <f t="shared" si="98"/>
        <v>2038</v>
      </c>
      <c r="C157" s="527">
        <f>NPV(realdiscrt3,C$65:C77)/(1+realdiscrt3)^(2-Half_Year)</f>
        <v>1.0070906619499824</v>
      </c>
      <c r="D157" s="528">
        <f>NPV(realdiscrt3,D$65:D77)/(1+realdiscrt3)^(2-Half_Year)</f>
        <v>0.99194724061110828</v>
      </c>
      <c r="E157" s="528">
        <f>NPV(realdiscrt3,E$65:E77)/(1+realdiscrt3)^(2-Half_Year)</f>
        <v>0.75828267279200978</v>
      </c>
      <c r="F157" s="529">
        <f>NPV(realdiscrt3,F$65:F77)/(1+realdiscrt3)^(2-Half_Year)</f>
        <v>0.70999196741877035</v>
      </c>
      <c r="G157" s="527">
        <f>NPV(realdiscrt3,G$65:G77)/(1+realdiscrt3)^(2-Half_Year)</f>
        <v>7.3453883936130102E-2</v>
      </c>
      <c r="H157" s="528">
        <f>NPV(realdiscrt3,H$65:H77)/(1+realdiscrt3)^(2-Half_Year)</f>
        <v>6.4061906738209703E-2</v>
      </c>
      <c r="I157" s="528">
        <f>NPV(realdiscrt3,I$65:I77)/(1+realdiscrt3)^(2-Half_Year)</f>
        <v>4.3442426470143042E-2</v>
      </c>
      <c r="J157" s="528">
        <f>NPV(realdiscrt3,J$65:J77)/(1+realdiscrt3)^(2-Half_Year)</f>
        <v>2.7471822938881851E-2</v>
      </c>
      <c r="K157" s="530">
        <f>NPV(realdiscrt3,K$65:K77)/(1+realdiscrt3)^(2-Half_Year)</f>
        <v>1.590260499024887E-2</v>
      </c>
      <c r="L157" s="1139">
        <f>NPV(realdiscrt3,L$65:L77)/(1+realdiscrt3)^(2-Half_Year)</f>
        <v>801.31552251916514</v>
      </c>
      <c r="M157" s="532">
        <f>NPV(realdiscrt3,M$65:M77)/(1+realdiscrt3)^(2-Half_Year)</f>
        <v>374.26389787486545</v>
      </c>
      <c r="N157" s="532">
        <f>NPV(realdiscrt3,N$65:N77)/(1+realdiscrt3)^(2-Half_Year)</f>
        <v>374.26389787486545</v>
      </c>
      <c r="O157" s="534">
        <f>NPV(realdiscrt3,O$65:O77)/(1+realdiscrt3)^(2-Half_Year)</f>
        <v>0</v>
      </c>
      <c r="P157" s="637">
        <f t="shared" si="97"/>
        <v>0</v>
      </c>
      <c r="Q157" s="637">
        <f t="shared" si="97"/>
        <v>0</v>
      </c>
      <c r="R157" s="1134">
        <f t="shared" si="97"/>
        <v>0</v>
      </c>
      <c r="S157" s="519">
        <f>NPV(realdiscrt3,S$65:S77)/(1+realdiscrt3)^(2-Half_Year)</f>
        <v>0</v>
      </c>
      <c r="T157" s="519">
        <f>NPV(realdiscrt3,T$65:T77)/(1+realdiscrt3)^(2-Half_Year)</f>
        <v>0</v>
      </c>
      <c r="U157" s="533">
        <f>NPV(realdiscrt3,U$65:U77)/(1+realdiscrt3)^(2-Half_Year)</f>
        <v>0</v>
      </c>
      <c r="V157" s="531">
        <f>NPV(realdiscrt3,V$65:V77)/(1+realdiscrt3)^(2-Half_Year)</f>
        <v>1322.6128230140957</v>
      </c>
      <c r="W157" s="532">
        <f>NPV(realdiscrt3,W$65:W77)/(1+realdiscrt3)^(2-Half_Year)</f>
        <v>0</v>
      </c>
      <c r="X157" s="534">
        <f>NPV(realdiscrt3,X$65:X77)/(1+realdiscrt3)^(2-Half_Year)</f>
        <v>1608.0019726719481</v>
      </c>
      <c r="Y157" s="531">
        <f>NPV(realdiscrt3,Y$65:Y77)/(1+realdiscrt3)^(2-Half_Year)</f>
        <v>90.435034565770934</v>
      </c>
      <c r="Z157" s="532">
        <f>NPV(realdiscrt3,Z$65:Z77)/(1+realdiscrt3)^(2-Half_Year)</f>
        <v>104.07432019370395</v>
      </c>
      <c r="AA157" s="532">
        <f>NPV(realdiscrt3,AA$65:AA77)/(1+realdiscrt3)^(2-Half_Year)</f>
        <v>141.57242750598067</v>
      </c>
      <c r="AB157" s="532">
        <f>NPV(realdiscrt3,AB$65:AB77)/(1+realdiscrt3)^(2-Half_Year)</f>
        <v>128.46233740918927</v>
      </c>
      <c r="AC157" s="532">
        <f>NPV(realdiscrt3,AC$65:AC77)/(1+realdiscrt3)^(2-Half_Year)</f>
        <v>102.64822327000267</v>
      </c>
      <c r="AD157" s="532">
        <f>NPV(realdiscrt3,AD$65:AD77)/(1+realdiscrt3)^(2-Half_Year)</f>
        <v>132.71910816167255</v>
      </c>
      <c r="AE157" s="534">
        <f>NPV(realdiscrt3,AE$65:AE77)/(1+realdiscrt3)^(2-Half_Year)</f>
        <v>124.59169179903589</v>
      </c>
      <c r="AF157" s="535">
        <f>NPV(realdiscrt3,AF$65:AF77)/(1+realdiscrt3)^(2-Half_Year)</f>
        <v>3.3960165229522381E-2</v>
      </c>
      <c r="AG157" s="530">
        <f>NPV(realdiscrt3,AG$65:AG77)/(1+realdiscrt3)^(2-Half_Year)</f>
        <v>2.0677585010180031</v>
      </c>
      <c r="AH157" s="536">
        <f>NPV(realdiscrt3,AH$65:AH77)/(1+realdiscrt3)^(2-Half_Year)</f>
        <v>2.0677585010180031</v>
      </c>
      <c r="AI157" s="536">
        <f>NPV(realdiscrt3,AI$65:AI77)/(1+realdiscrt3)^(2-Half_Year)</f>
        <v>3.7845658215290503</v>
      </c>
      <c r="AJ157" s="536">
        <f>NPV(realdiscrt3,AJ$65:AJ77)/(1+realdiscrt3)^(2-Half_Year)</f>
        <v>3.222894290744573</v>
      </c>
      <c r="AK157" s="536">
        <f>NPV(realdiscrt3,AK$65:AK77)/(1+realdiscrt3)^(2-Half_Year)</f>
        <v>2.0677585010180031</v>
      </c>
      <c r="AL157" s="536">
        <f>NPV(realdiscrt3,AL$65:AL77)/(1+realdiscrt3)^(2-Half_Year)</f>
        <v>3.7845658215290503</v>
      </c>
      <c r="AM157" s="536">
        <f>NPV(realdiscrt3,AM$65:AM77)/(1+realdiscrt3)^(2-Half_Year)</f>
        <v>3.3205638430125513</v>
      </c>
      <c r="AN157" s="518">
        <f>NPV(realdiscrt3,AN$65:AN77)/(1+realdiscrt3)^(2-Half_Year)</f>
        <v>406.9290286813245</v>
      </c>
      <c r="AO157" s="519">
        <f>NPV(realdiscrt3,AO$65:AO77)/(1+realdiscrt3)^(2-Half_Year)</f>
        <v>360.41691307006579</v>
      </c>
      <c r="AP157" s="505">
        <f>NPV(realdiscrt3,AP$65:AP77)/(1+realdiscrt3)^(2-Half_Year)</f>
        <v>344.90510096244992</v>
      </c>
      <c r="AQ157" s="533">
        <f>NPV(realdiscrt3,AQ$65:AQ77)/(1+realdiscrt3)^(2-Half_Year)</f>
        <v>0.21572800345404791</v>
      </c>
      <c r="AR157" s="519">
        <f>NPV(realdiscrt3,AR$65:AR77)/(1+realdiscrt3)^(2-Half_Year)</f>
        <v>500.9416483690581</v>
      </c>
      <c r="AS157" s="534">
        <f>NPV(realdiscrt3,AS$65:AS77)/(1+realdiscrt3)^(2-Half_Year)</f>
        <v>639.14709275627126</v>
      </c>
      <c r="AT157" s="518">
        <f>NPV(realdiscrt3,AT$65:AT77)/(1+realdiscrt3)^(2-Half_Year)</f>
        <v>352.69882556338058</v>
      </c>
      <c r="AU157" s="532">
        <f>NPV(realdiscrt3,AU$65:AU77)/(1+realdiscrt3)^(2-Half_Year)</f>
        <v>380.32457821630487</v>
      </c>
      <c r="AV157" s="531">
        <f>NPV(realdiscrt3,AV$65:AV77)/(1+realdiscrt3)^(2-Half_Year)</f>
        <v>0.16893749362544577</v>
      </c>
      <c r="AW157" s="534">
        <f>NPV(realdiscrt3,AW$65:AW77)/(1+realdiscrt3)^(2-Half_Year)</f>
        <v>0.16893749362544577</v>
      </c>
      <c r="AX157" s="523">
        <f>NPV(realdiscrt3,AX$65:AX77)/(1+realdiscrt3)^(2-Half_Year)</f>
        <v>20.104186341944622</v>
      </c>
      <c r="AY157" s="537">
        <f>NPV(realdiscrt3,AY$65:AY77)/(1+realdiscrt3)^(2-Half_Year)</f>
        <v>156.87661886602663</v>
      </c>
      <c r="AZ157" s="530">
        <f>NPV(realdiscrt3,AZ$65:AZ77)/(1+realdiscrt3)^(2-Half_Year)</f>
        <v>0.48362971257933668</v>
      </c>
      <c r="BA157" s="536">
        <f>NPV(realdiscrt3,BA$65:BA77)/(1+realdiscrt3)^(2-Half_Year)</f>
        <v>0.51913660923396143</v>
      </c>
      <c r="BB157" s="536">
        <f>NPV(realdiscrt3,BB$65:BB77)/(1+realdiscrt3)^(2-Half_Year)</f>
        <v>0.5295800984897705</v>
      </c>
      <c r="BC157" s="533">
        <f>NPV(realdiscrt3,BC$65:BC77)/(1+realdiscrt3)^(2-Half_Year)</f>
        <v>0.57902323565735736</v>
      </c>
    </row>
    <row r="158" spans="1:55" s="324" customFormat="1" ht="14.25">
      <c r="A158" s="525">
        <f t="shared" si="99"/>
        <v>14</v>
      </c>
      <c r="B158" s="526">
        <f t="shared" si="98"/>
        <v>2039</v>
      </c>
      <c r="C158" s="527">
        <f>NPV(realdiscrt3,C$65:C78)/(1+realdiscrt3)^(2-Half_Year)</f>
        <v>1.0793429217110528</v>
      </c>
      <c r="D158" s="528">
        <f>NPV(realdiscrt3,D$65:D78)/(1+realdiscrt3)^(2-Half_Year)</f>
        <v>1.0643741890820544</v>
      </c>
      <c r="E158" s="528">
        <f>NPV(realdiscrt3,E$65:E78)/(1+realdiscrt3)^(2-Half_Year)</f>
        <v>0.81449353053793017</v>
      </c>
      <c r="F158" s="529">
        <f>NPV(realdiscrt3,F$65:F78)/(1+realdiscrt3)^(2-Half_Year)</f>
        <v>0.76344390824567443</v>
      </c>
      <c r="G158" s="527">
        <f>NPV(realdiscrt3,G$65:G78)/(1+realdiscrt3)^(2-Half_Year)</f>
        <v>7.3453883936130102E-2</v>
      </c>
      <c r="H158" s="528">
        <f>NPV(realdiscrt3,H$65:H78)/(1+realdiscrt3)^(2-Half_Year)</f>
        <v>6.4061906738209703E-2</v>
      </c>
      <c r="I158" s="528">
        <f>NPV(realdiscrt3,I$65:I78)/(1+realdiscrt3)^(2-Half_Year)</f>
        <v>4.3442426470143042E-2</v>
      </c>
      <c r="J158" s="528">
        <f>NPV(realdiscrt3,J$65:J78)/(1+realdiscrt3)^(2-Half_Year)</f>
        <v>2.7471822938881851E-2</v>
      </c>
      <c r="K158" s="530">
        <f>NPV(realdiscrt3,K$65:K78)/(1+realdiscrt3)^(2-Half_Year)</f>
        <v>1.5922112747587997E-2</v>
      </c>
      <c r="L158" s="1139">
        <f>NPV(realdiscrt3,L$65:L78)/(1+realdiscrt3)^(2-Half_Year)</f>
        <v>864.70936556567767</v>
      </c>
      <c r="M158" s="532">
        <f>NPV(realdiscrt3,M$65:M78)/(1+realdiscrt3)^(2-Half_Year)</f>
        <v>374.26389787486545</v>
      </c>
      <c r="N158" s="532">
        <f>NPV(realdiscrt3,N$65:N78)/(1+realdiscrt3)^(2-Half_Year)</f>
        <v>374.26389787486545</v>
      </c>
      <c r="O158" s="534">
        <f>NPV(realdiscrt3,O$65:O78)/(1+realdiscrt3)^(2-Half_Year)</f>
        <v>0</v>
      </c>
      <c r="P158" s="637">
        <f t="shared" si="97"/>
        <v>0</v>
      </c>
      <c r="Q158" s="637">
        <f t="shared" si="97"/>
        <v>0</v>
      </c>
      <c r="R158" s="1134">
        <f t="shared" si="97"/>
        <v>0</v>
      </c>
      <c r="S158" s="519">
        <f>NPV(realdiscrt3,S$65:S78)/(1+realdiscrt3)^(2-Half_Year)</f>
        <v>0</v>
      </c>
      <c r="T158" s="519">
        <f>NPV(realdiscrt3,T$65:T78)/(1+realdiscrt3)^(2-Half_Year)</f>
        <v>0</v>
      </c>
      <c r="U158" s="533">
        <f>NPV(realdiscrt3,U$65:U78)/(1+realdiscrt3)^(2-Half_Year)</f>
        <v>0</v>
      </c>
      <c r="V158" s="531">
        <f>NPV(realdiscrt3,V$65:V78)/(1+realdiscrt3)^(2-Half_Year)</f>
        <v>1415.0280185783438</v>
      </c>
      <c r="W158" s="532">
        <f>NPV(realdiscrt3,W$65:W78)/(1+realdiscrt3)^(2-Half_Year)</f>
        <v>0</v>
      </c>
      <c r="X158" s="534">
        <f>NPV(realdiscrt3,X$65:X78)/(1+realdiscrt3)^(2-Half_Year)</f>
        <v>1720.358222502887</v>
      </c>
      <c r="Y158" s="531">
        <f>NPV(realdiscrt3,Y$65:Y78)/(1+realdiscrt3)^(2-Half_Year)</f>
        <v>97.141259962424925</v>
      </c>
      <c r="Z158" s="532">
        <f>NPV(realdiscrt3,Z$65:Z78)/(1+realdiscrt3)^(2-Half_Year)</f>
        <v>111.69615362938721</v>
      </c>
      <c r="AA158" s="532">
        <f>NPV(realdiscrt3,AA$65:AA78)/(1+realdiscrt3)^(2-Half_Year)</f>
        <v>151.73152015021549</v>
      </c>
      <c r="AB158" s="532">
        <f>NPV(realdiscrt3,AB$65:AB78)/(1+realdiscrt3)^(2-Half_Year)</f>
        <v>137.73459374775894</v>
      </c>
      <c r="AC158" s="532">
        <f>NPV(realdiscrt3,AC$65:AC78)/(1+realdiscrt3)^(2-Half_Year)</f>
        <v>110.1701940127917</v>
      </c>
      <c r="AD158" s="532">
        <f>NPV(realdiscrt3,AD$65:AD78)/(1+realdiscrt3)^(2-Half_Year)</f>
        <v>142.28149804745306</v>
      </c>
      <c r="AE158" s="534">
        <f>NPV(realdiscrt3,AE$65:AE78)/(1+realdiscrt3)^(2-Half_Year)</f>
        <v>133.60249233533904</v>
      </c>
      <c r="AF158" s="535">
        <f>NPV(realdiscrt3,AF$65:AF78)/(1+realdiscrt3)^(2-Half_Year)</f>
        <v>3.6538347719837737E-2</v>
      </c>
      <c r="AG158" s="530">
        <f>NPV(realdiscrt3,AG$65:AG78)/(1+realdiscrt3)^(2-Half_Year)</f>
        <v>2.0677585010180031</v>
      </c>
      <c r="AH158" s="536">
        <f>NPV(realdiscrt3,AH$65:AH78)/(1+realdiscrt3)^(2-Half_Year)</f>
        <v>2.0677585010180031</v>
      </c>
      <c r="AI158" s="536">
        <f>NPV(realdiscrt3,AI$65:AI78)/(1+realdiscrt3)^(2-Half_Year)</f>
        <v>3.7845658215290503</v>
      </c>
      <c r="AJ158" s="536">
        <f>NPV(realdiscrt3,AJ$65:AJ78)/(1+realdiscrt3)^(2-Half_Year)</f>
        <v>3.222894290744573</v>
      </c>
      <c r="AK158" s="536">
        <f>NPV(realdiscrt3,AK$65:AK78)/(1+realdiscrt3)^(2-Half_Year)</f>
        <v>2.0677585010180031</v>
      </c>
      <c r="AL158" s="536">
        <f>NPV(realdiscrt3,AL$65:AL78)/(1+realdiscrt3)^(2-Half_Year)</f>
        <v>3.7845658215290503</v>
      </c>
      <c r="AM158" s="536">
        <f>NPV(realdiscrt3,AM$65:AM78)/(1+realdiscrt3)^(2-Half_Year)</f>
        <v>3.3205638430125513</v>
      </c>
      <c r="AN158" s="518">
        <f>NPV(realdiscrt3,AN$65:AN78)/(1+realdiscrt3)^(2-Half_Year)</f>
        <v>436.85132743606886</v>
      </c>
      <c r="AO158" s="519">
        <f>NPV(realdiscrt3,AO$65:AO78)/(1+realdiscrt3)^(2-Half_Year)</f>
        <v>387.16897444143132</v>
      </c>
      <c r="AP158" s="505">
        <f>NPV(realdiscrt3,AP$65:AP78)/(1+realdiscrt3)^(2-Half_Year)</f>
        <v>370.52489607064007</v>
      </c>
      <c r="AQ158" s="533">
        <f>NPV(realdiscrt3,AQ$65:AQ78)/(1+realdiscrt3)^(2-Half_Year)</f>
        <v>0.23160089892225191</v>
      </c>
      <c r="AR158" s="519">
        <f>NPV(realdiscrt3,AR$65:AR78)/(1+realdiscrt3)^(2-Half_Year)</f>
        <v>537.77688155398664</v>
      </c>
      <c r="AS158" s="534">
        <f>NPV(realdiscrt3,AS$65:AS78)/(1+realdiscrt3)^(2-Half_Year)</f>
        <v>685.28854948634535</v>
      </c>
      <c r="AT158" s="518">
        <f>NPV(realdiscrt3,AT$65:AT78)/(1+realdiscrt3)^(2-Half_Year)</f>
        <v>378.63346989965299</v>
      </c>
      <c r="AU158" s="532">
        <f>NPV(realdiscrt3,AU$65:AU78)/(1+realdiscrt3)^(2-Half_Year)</f>
        <v>408.29059894979378</v>
      </c>
      <c r="AV158" s="531">
        <f>NPV(realdiscrt3,AV$65:AV78)/(1+realdiscrt3)^(2-Half_Year)</f>
        <v>0.18074169757679603</v>
      </c>
      <c r="AW158" s="534">
        <f>NPV(realdiscrt3,AW$65:AW78)/(1+realdiscrt3)^(2-Half_Year)</f>
        <v>0.18074169757679603</v>
      </c>
      <c r="AX158" s="523">
        <f>NPV(realdiscrt3,AX$65:AX78)/(1+realdiscrt3)^(2-Half_Year)</f>
        <v>21.508930254994599</v>
      </c>
      <c r="AY158" s="537">
        <f>NPV(realdiscrt3,AY$65:AY78)/(1+realdiscrt3)^(2-Half_Year)</f>
        <v>169.76093912951384</v>
      </c>
      <c r="AZ158" s="530">
        <f>NPV(realdiscrt3,AZ$65:AZ78)/(1+realdiscrt3)^(2-Half_Year)</f>
        <v>0.50207783442369536</v>
      </c>
      <c r="BA158" s="536">
        <f>NPV(realdiscrt3,BA$65:BA78)/(1+realdiscrt3)^(2-Half_Year)</f>
        <v>0.53679799747295143</v>
      </c>
      <c r="BB158" s="536">
        <f>NPV(realdiscrt3,BB$65:BB78)/(1+realdiscrt3)^(2-Half_Year)</f>
        <v>0.54938145147520534</v>
      </c>
      <c r="BC158" s="533">
        <f>NPV(realdiscrt3,BC$65:BC78)/(1+realdiscrt3)^(2-Half_Year)</f>
        <v>0.59944889987091154</v>
      </c>
    </row>
    <row r="159" spans="1:55" s="324" customFormat="1" ht="14.25">
      <c r="A159" s="525">
        <f t="shared" si="99"/>
        <v>15</v>
      </c>
      <c r="B159" s="526">
        <f t="shared" si="98"/>
        <v>2040</v>
      </c>
      <c r="C159" s="527">
        <f>NPV(realdiscrt3,C$65:C79)/(1+realdiscrt3)^(2-Half_Year)</f>
        <v>1.1510585856997775</v>
      </c>
      <c r="D159" s="528">
        <f>NPV(realdiscrt3,D$65:D79)/(1+realdiscrt3)^(2-Half_Year)</f>
        <v>1.1362923634683522</v>
      </c>
      <c r="E159" s="528">
        <f>NPV(realdiscrt3,E$65:E79)/(1+realdiscrt3)^(2-Half_Year)</f>
        <v>0.8705810844222589</v>
      </c>
      <c r="F159" s="529">
        <f>NPV(realdiscrt3,F$65:F79)/(1+realdiscrt3)^(2-Half_Year)</f>
        <v>0.81679317618251268</v>
      </c>
      <c r="G159" s="527">
        <f>NPV(realdiscrt3,G$65:G79)/(1+realdiscrt3)^(2-Half_Year)</f>
        <v>7.3453883936130102E-2</v>
      </c>
      <c r="H159" s="528">
        <f>NPV(realdiscrt3,H$65:H79)/(1+realdiscrt3)^(2-Half_Year)</f>
        <v>6.4061906738209703E-2</v>
      </c>
      <c r="I159" s="528">
        <f>NPV(realdiscrt3,I$65:I79)/(1+realdiscrt3)^(2-Half_Year)</f>
        <v>4.3442426470143042E-2</v>
      </c>
      <c r="J159" s="528">
        <f>NPV(realdiscrt3,J$65:J79)/(1+realdiscrt3)^(2-Half_Year)</f>
        <v>2.7471822938881851E-2</v>
      </c>
      <c r="K159" s="530">
        <f>NPV(realdiscrt3,K$65:K79)/(1+realdiscrt3)^(2-Half_Year)</f>
        <v>1.5941416631384001E-2</v>
      </c>
      <c r="L159" s="1139">
        <f>NPV(realdiscrt3,L$65:L79)/(1+realdiscrt3)^(2-Half_Year)</f>
        <v>929.2069021818794</v>
      </c>
      <c r="M159" s="532">
        <f>NPV(realdiscrt3,M$65:M79)/(1+realdiscrt3)^(2-Half_Year)</f>
        <v>374.26389787486545</v>
      </c>
      <c r="N159" s="532">
        <f>NPV(realdiscrt3,N$65:N79)/(1+realdiscrt3)^(2-Half_Year)</f>
        <v>374.26389787486545</v>
      </c>
      <c r="O159" s="534">
        <f>NPV(realdiscrt3,O$65:O79)/(1+realdiscrt3)^(2-Half_Year)</f>
        <v>0</v>
      </c>
      <c r="P159" s="637">
        <f t="shared" si="97"/>
        <v>0</v>
      </c>
      <c r="Q159" s="637">
        <f t="shared" si="97"/>
        <v>0</v>
      </c>
      <c r="R159" s="1134">
        <f t="shared" si="97"/>
        <v>0</v>
      </c>
      <c r="S159" s="519">
        <f>NPV(realdiscrt3,S$65:S79)/(1+realdiscrt3)^(2-Half_Year)</f>
        <v>0</v>
      </c>
      <c r="T159" s="519">
        <f>NPV(realdiscrt3,T$65:T79)/(1+realdiscrt3)^(2-Half_Year)</f>
        <v>0</v>
      </c>
      <c r="U159" s="533">
        <f>NPV(realdiscrt3,U$65:U79)/(1+realdiscrt3)^(2-Half_Year)</f>
        <v>0</v>
      </c>
      <c r="V159" s="531">
        <f>NPV(realdiscrt3,V$65:V79)/(1+realdiscrt3)^(2-Half_Year)</f>
        <v>1506.1995757800105</v>
      </c>
      <c r="W159" s="532">
        <f>NPV(realdiscrt3,W$65:W79)/(1+realdiscrt3)^(2-Half_Year)</f>
        <v>0</v>
      </c>
      <c r="X159" s="534">
        <f>NPV(realdiscrt3,X$65:X79)/(1+realdiscrt3)^(2-Half_Year)</f>
        <v>1831.2024856771682</v>
      </c>
      <c r="Y159" s="531">
        <f>NPV(realdiscrt3,Y$65:Y79)/(1+realdiscrt3)^(2-Half_Year)</f>
        <v>103.80797806436564</v>
      </c>
      <c r="Z159" s="532">
        <f>NPV(realdiscrt3,Z$65:Z79)/(1+realdiscrt3)^(2-Half_Year)</f>
        <v>119.26060552854653</v>
      </c>
      <c r="AA159" s="532">
        <f>NPV(realdiscrt3,AA$65:AA79)/(1+realdiscrt3)^(2-Half_Year)</f>
        <v>161.78702611632448</v>
      </c>
      <c r="AB159" s="532">
        <f>NPV(realdiscrt3,AB$65:AB79)/(1+realdiscrt3)^(2-Half_Year)</f>
        <v>146.91938781216982</v>
      </c>
      <c r="AC159" s="532">
        <f>NPV(realdiscrt3,AC$65:AC79)/(1+realdiscrt3)^(2-Half_Year)</f>
        <v>117.63610852258182</v>
      </c>
      <c r="AD159" s="532">
        <f>NPV(realdiscrt3,AD$65:AD79)/(1+realdiscrt3)^(2-Half_Year)</f>
        <v>151.75147834915646</v>
      </c>
      <c r="AE159" s="534">
        <f>NPV(realdiscrt3,AE$65:AE79)/(1+realdiscrt3)^(2-Half_Year)</f>
        <v>142.53065938817528</v>
      </c>
      <c r="AF159" s="535">
        <f>NPV(realdiscrt3,AF$65:AF79)/(1+realdiscrt3)^(2-Half_Year)</f>
        <v>3.908958589308166E-2</v>
      </c>
      <c r="AG159" s="530">
        <f>NPV(realdiscrt3,AG$65:AG79)/(1+realdiscrt3)^(2-Half_Year)</f>
        <v>2.0677585010180031</v>
      </c>
      <c r="AH159" s="536">
        <f>NPV(realdiscrt3,AH$65:AH79)/(1+realdiscrt3)^(2-Half_Year)</f>
        <v>2.0677585010180031</v>
      </c>
      <c r="AI159" s="536">
        <f>NPV(realdiscrt3,AI$65:AI79)/(1+realdiscrt3)^(2-Half_Year)</f>
        <v>3.7845658215290503</v>
      </c>
      <c r="AJ159" s="536">
        <f>NPV(realdiscrt3,AJ$65:AJ79)/(1+realdiscrt3)^(2-Half_Year)</f>
        <v>3.222894290744573</v>
      </c>
      <c r="AK159" s="536">
        <f>NPV(realdiscrt3,AK$65:AK79)/(1+realdiscrt3)^(2-Half_Year)</f>
        <v>2.0677585010180031</v>
      </c>
      <c r="AL159" s="536">
        <f>NPV(realdiscrt3,AL$65:AL79)/(1+realdiscrt3)^(2-Half_Year)</f>
        <v>3.7845658215290503</v>
      </c>
      <c r="AM159" s="536">
        <f>NPV(realdiscrt3,AM$65:AM79)/(1+realdiscrt3)^(2-Half_Year)</f>
        <v>3.3205638430125513</v>
      </c>
      <c r="AN159" s="518">
        <f>NPV(realdiscrt3,AN$65:AN79)/(1+realdiscrt3)^(2-Half_Year)</f>
        <v>466.56139865395988</v>
      </c>
      <c r="AO159" s="519">
        <f>NPV(realdiscrt3,AO$65:AO79)/(1+realdiscrt3)^(2-Half_Year)</f>
        <v>413.76634430051178</v>
      </c>
      <c r="AP159" s="505">
        <f>NPV(realdiscrt3,AP$65:AP79)/(1+realdiscrt3)^(2-Half_Year)</f>
        <v>395.99790747103532</v>
      </c>
      <c r="AQ159" s="533">
        <f>NPV(realdiscrt3,AQ$65:AQ79)/(1+realdiscrt3)^(2-Half_Year)</f>
        <v>0.24735269740491952</v>
      </c>
      <c r="AR159" s="519">
        <f>NPV(realdiscrt3,AR$65:AR79)/(1+realdiscrt3)^(2-Half_Year)</f>
        <v>574.3508563753004</v>
      </c>
      <c r="AS159" s="534">
        <f>NPV(realdiscrt3,AS$65:AS79)/(1+realdiscrt3)^(2-Half_Year)</f>
        <v>730.99660350577437</v>
      </c>
      <c r="AT159" s="518">
        <f>NPV(realdiscrt3,AT$65:AT79)/(1+realdiscrt3)^(2-Half_Year)</f>
        <v>404.38416962218542</v>
      </c>
      <c r="AU159" s="532">
        <f>NPV(realdiscrt3,AU$65:AU79)/(1+realdiscrt3)^(2-Half_Year)</f>
        <v>436.05826728581133</v>
      </c>
      <c r="AV159" s="531">
        <f>NPV(realdiscrt3,AV$65:AV79)/(1+realdiscrt3)^(2-Half_Year)</f>
        <v>0.19238705145177079</v>
      </c>
      <c r="AW159" s="534">
        <f>NPV(realdiscrt3,AW$65:AW79)/(1+realdiscrt3)^(2-Half_Year)</f>
        <v>0.19238705145177079</v>
      </c>
      <c r="AX159" s="523">
        <f>NPV(realdiscrt3,AX$65:AX79)/(1+realdiscrt3)^(2-Half_Year)</f>
        <v>22.894770421650868</v>
      </c>
      <c r="AY159" s="537">
        <f>NPV(realdiscrt3,AY$65:AY79)/(1+realdiscrt3)^(2-Half_Year)</f>
        <v>182.47187410871283</v>
      </c>
      <c r="AZ159" s="530">
        <f>NPV(realdiscrt3,AZ$65:AZ79)/(1+realdiscrt3)^(2-Half_Year)</f>
        <v>0.51883571523917349</v>
      </c>
      <c r="BA159" s="536">
        <f>NPV(realdiscrt3,BA$65:BA79)/(1+realdiscrt3)^(2-Half_Year)</f>
        <v>0.55267157777985987</v>
      </c>
      <c r="BB159" s="536">
        <f>NPV(realdiscrt3,BB$65:BB79)/(1+realdiscrt3)^(2-Half_Year)</f>
        <v>0.5672549698931717</v>
      </c>
      <c r="BC159" s="533">
        <f>NPV(realdiscrt3,BC$65:BC79)/(1+realdiscrt3)^(2-Half_Year)</f>
        <v>0.61783845267290138</v>
      </c>
    </row>
    <row r="160" spans="1:55" s="324" customFormat="1" ht="14.25">
      <c r="A160" s="525">
        <f t="shared" si="99"/>
        <v>16</v>
      </c>
      <c r="B160" s="526">
        <f t="shared" si="98"/>
        <v>2041</v>
      </c>
      <c r="C160" s="527">
        <f>NPV(realdiscrt3,C$65:C80)/(1+realdiscrt3)^(2-Half_Year)</f>
        <v>1.2223091466966955</v>
      </c>
      <c r="D160" s="528">
        <f>NPV(realdiscrt3,D$65:D80)/(1+realdiscrt3)^(2-Half_Year)</f>
        <v>1.2077732449287406</v>
      </c>
      <c r="E160" s="528">
        <f>NPV(realdiscrt3,E$65:E80)/(1+realdiscrt3)^(2-Half_Year)</f>
        <v>0.92661963446423468</v>
      </c>
      <c r="F160" s="529">
        <f>NPV(realdiscrt3,F$65:F80)/(1+realdiscrt3)^(2-Half_Year)</f>
        <v>0.87011455463424281</v>
      </c>
      <c r="G160" s="527">
        <f>NPV(realdiscrt3,G$65:G80)/(1+realdiscrt3)^(2-Half_Year)</f>
        <v>7.3453883936130102E-2</v>
      </c>
      <c r="H160" s="528">
        <f>NPV(realdiscrt3,H$65:H80)/(1+realdiscrt3)^(2-Half_Year)</f>
        <v>6.4061906738209703E-2</v>
      </c>
      <c r="I160" s="528">
        <f>NPV(realdiscrt3,I$65:I80)/(1+realdiscrt3)^(2-Half_Year)</f>
        <v>4.3442426470143042E-2</v>
      </c>
      <c r="J160" s="528">
        <f>NPV(realdiscrt3,J$65:J80)/(1+realdiscrt3)^(2-Half_Year)</f>
        <v>2.7471822938881851E-2</v>
      </c>
      <c r="K160" s="530">
        <f>NPV(realdiscrt3,K$65:K80)/(1+realdiscrt3)^(2-Half_Year)</f>
        <v>1.5960508984248768E-2</v>
      </c>
      <c r="L160" s="1139">
        <f>NPV(realdiscrt3,L$65:L80)/(1+realdiscrt3)^(2-Half_Year)</f>
        <v>994.82734779055011</v>
      </c>
      <c r="M160" s="532">
        <f>NPV(realdiscrt3,M$65:M80)/(1+realdiscrt3)^(2-Half_Year)</f>
        <v>374.26389787486545</v>
      </c>
      <c r="N160" s="532">
        <f>NPV(realdiscrt3,N$65:N80)/(1+realdiscrt3)^(2-Half_Year)</f>
        <v>374.26389787486545</v>
      </c>
      <c r="O160" s="534">
        <f>NPV(realdiscrt3,O$65:O80)/(1+realdiscrt3)^(2-Half_Year)</f>
        <v>0</v>
      </c>
      <c r="P160" s="637">
        <f t="shared" si="97"/>
        <v>0</v>
      </c>
      <c r="Q160" s="637">
        <f t="shared" si="97"/>
        <v>0</v>
      </c>
      <c r="R160" s="1134">
        <f t="shared" si="97"/>
        <v>0</v>
      </c>
      <c r="S160" s="519">
        <f>NPV(realdiscrt3,S$65:S80)/(1+realdiscrt3)^(2-Half_Year)</f>
        <v>0</v>
      </c>
      <c r="T160" s="519">
        <f>NPV(realdiscrt3,T$65:T80)/(1+realdiscrt3)^(2-Half_Year)</f>
        <v>0</v>
      </c>
      <c r="U160" s="533">
        <f>NPV(realdiscrt3,U$65:U80)/(1+realdiscrt3)^(2-Half_Year)</f>
        <v>0</v>
      </c>
      <c r="V160" s="531">
        <f>NPV(realdiscrt3,V$65:V80)/(1+realdiscrt3)^(2-Half_Year)</f>
        <v>1596.1442303557615</v>
      </c>
      <c r="W160" s="532">
        <f>NPV(realdiscrt3,W$65:W80)/(1+realdiscrt3)^(2-Half_Year)</f>
        <v>0</v>
      </c>
      <c r="X160" s="534">
        <f>NPV(realdiscrt3,X$65:X80)/(1+realdiscrt3)^(2-Half_Year)</f>
        <v>1940.5551091149973</v>
      </c>
      <c r="Y160" s="531">
        <f>NPV(realdiscrt3,Y$65:Y80)/(1+realdiscrt3)^(2-Half_Year)</f>
        <v>110.4354216144914</v>
      </c>
      <c r="Z160" s="532">
        <f>NPV(realdiscrt3,Z$65:Z80)/(1+realdiscrt3)^(2-Half_Year)</f>
        <v>126.76810789232204</v>
      </c>
      <c r="AA160" s="532">
        <f>NPV(realdiscrt3,AA$65:AA80)/(1+realdiscrt3)^(2-Half_Year)</f>
        <v>171.74000162067071</v>
      </c>
      <c r="AB160" s="532">
        <f>NPV(realdiscrt3,AB$65:AB80)/(1+realdiscrt3)^(2-Half_Year)</f>
        <v>156.01754460651185</v>
      </c>
      <c r="AC160" s="532">
        <f>NPV(realdiscrt3,AC$65:AC80)/(1+realdiscrt3)^(2-Half_Year)</f>
        <v>125.04638454910454</v>
      </c>
      <c r="AD160" s="532">
        <f>NPV(realdiscrt3,AD$65:AD80)/(1+realdiscrt3)^(2-Half_Year)</f>
        <v>161.12994209993994</v>
      </c>
      <c r="AE160" s="534">
        <f>NPV(realdiscrt3,AE$65:AE80)/(1+realdiscrt3)^(2-Half_Year)</f>
        <v>151.37695074732838</v>
      </c>
      <c r="AF160" s="535">
        <f>NPV(realdiscrt3,AF$65:AF80)/(1+realdiscrt3)^(2-Half_Year)</f>
        <v>4.1612332233080723E-2</v>
      </c>
      <c r="AG160" s="530">
        <f>NPV(realdiscrt3,AG$65:AG80)/(1+realdiscrt3)^(2-Half_Year)</f>
        <v>2.0677585010180031</v>
      </c>
      <c r="AH160" s="536">
        <f>NPV(realdiscrt3,AH$65:AH80)/(1+realdiscrt3)^(2-Half_Year)</f>
        <v>2.0677585010180031</v>
      </c>
      <c r="AI160" s="536">
        <f>NPV(realdiscrt3,AI$65:AI80)/(1+realdiscrt3)^(2-Half_Year)</f>
        <v>3.7845658215290503</v>
      </c>
      <c r="AJ160" s="536">
        <f>NPV(realdiscrt3,AJ$65:AJ80)/(1+realdiscrt3)^(2-Half_Year)</f>
        <v>3.222894290744573</v>
      </c>
      <c r="AK160" s="536">
        <f>NPV(realdiscrt3,AK$65:AK80)/(1+realdiscrt3)^(2-Half_Year)</f>
        <v>2.0677585010180031</v>
      </c>
      <c r="AL160" s="536">
        <f>NPV(realdiscrt3,AL$65:AL80)/(1+realdiscrt3)^(2-Half_Year)</f>
        <v>3.7845658215290503</v>
      </c>
      <c r="AM160" s="536">
        <f>NPV(realdiscrt3,AM$65:AM80)/(1+realdiscrt3)^(2-Half_Year)</f>
        <v>3.3205638430125513</v>
      </c>
      <c r="AN160" s="518">
        <f>NPV(realdiscrt3,AN$65:AN80)/(1+realdiscrt3)^(2-Half_Year)</f>
        <v>496.06074758456975</v>
      </c>
      <c r="AO160" s="519">
        <f>NPV(realdiscrt3,AO$65:AO80)/(1+realdiscrt3)^(2-Half_Year)</f>
        <v>440.20991713777806</v>
      </c>
      <c r="AP160" s="505">
        <f>NPV(realdiscrt3,AP$65:AP80)/(1+realdiscrt3)^(2-Half_Year)</f>
        <v>421.32497613276837</v>
      </c>
      <c r="AQ160" s="533">
        <f>NPV(realdiscrt3,AQ$65:AQ80)/(1+realdiscrt3)^(2-Half_Year)</f>
        <v>0.26298432277129286</v>
      </c>
      <c r="AR160" s="519">
        <f>NPV(realdiscrt3,AR$65:AR80)/(1+realdiscrt3)^(2-Half_Year)</f>
        <v>610.66542583966338</v>
      </c>
      <c r="AS160" s="534">
        <f>NPV(realdiscrt3,AS$65:AS80)/(1+realdiscrt3)^(2-Half_Year)</f>
        <v>776.27532572871905</v>
      </c>
      <c r="AT160" s="518">
        <f>NPV(realdiscrt3,AT$65:AT80)/(1+realdiscrt3)^(2-Half_Year)</f>
        <v>429.95222938048391</v>
      </c>
      <c r="AU160" s="532">
        <f>NPV(realdiscrt3,AU$65:AU80)/(1+realdiscrt3)^(2-Half_Year)</f>
        <v>463.62899006281901</v>
      </c>
      <c r="AV160" s="531">
        <f>NPV(realdiscrt3,AV$65:AV80)/(1+realdiscrt3)^(2-Half_Year)</f>
        <v>0.20387569290801041</v>
      </c>
      <c r="AW160" s="534">
        <f>NPV(realdiscrt3,AW$65:AW80)/(1+realdiscrt3)^(2-Half_Year)</f>
        <v>0.20387569290801041</v>
      </c>
      <c r="AX160" s="523">
        <f>NPV(realdiscrt3,AX$65:AX80)/(1+realdiscrt3)^(2-Half_Year)</f>
        <v>24.261961231076029</v>
      </c>
      <c r="AY160" s="537">
        <f>NPV(realdiscrt3,AY$65:AY80)/(1+realdiscrt3)^(2-Half_Year)</f>
        <v>195.01175706266972</v>
      </c>
      <c r="AZ160" s="530">
        <f>NPV(realdiscrt3,AZ$65:AZ80)/(1+realdiscrt3)^(2-Half_Year)</f>
        <v>0.53405821711741452</v>
      </c>
      <c r="BA160" s="536">
        <f>NPV(realdiscrt3,BA$65:BA80)/(1+realdiscrt3)^(2-Half_Year)</f>
        <v>0.56693832444497239</v>
      </c>
      <c r="BB160" s="536">
        <f>NPV(realdiscrt3,BB$65:BB80)/(1+realdiscrt3)^(2-Half_Year)</f>
        <v>0.58338834526769112</v>
      </c>
      <c r="BC160" s="533">
        <f>NPV(realdiscrt3,BC$65:BC80)/(1+realdiscrt3)^(2-Half_Year)</f>
        <v>0.63439486174344517</v>
      </c>
    </row>
    <row r="161" spans="1:96" s="324" customFormat="1" ht="14.25">
      <c r="A161" s="525">
        <f t="shared" si="99"/>
        <v>17</v>
      </c>
      <c r="B161" s="526">
        <f t="shared" si="98"/>
        <v>2042</v>
      </c>
      <c r="C161" s="527">
        <f>NPV(realdiscrt3,C$65:C81)/(1+realdiscrt3)^(2-Half_Year)</f>
        <v>1.2931560462072818</v>
      </c>
      <c r="D161" s="528">
        <f>NPV(realdiscrt3,D$65:D81)/(1+realdiscrt3)^(2-Half_Year)</f>
        <v>1.2788782633516782</v>
      </c>
      <c r="E161" s="528">
        <f>NPV(realdiscrt3,E$65:E81)/(1+realdiscrt3)^(2-Half_Year)</f>
        <v>0.98267345004931517</v>
      </c>
      <c r="F161" s="529">
        <f>NPV(realdiscrt3,F$65:F81)/(1+realdiscrt3)^(2-Half_Year)</f>
        <v>0.92347280261619979</v>
      </c>
      <c r="G161" s="527">
        <f>NPV(realdiscrt3,G$65:G81)/(1+realdiscrt3)^(2-Half_Year)</f>
        <v>7.3453883936130102E-2</v>
      </c>
      <c r="H161" s="528">
        <f>NPV(realdiscrt3,H$65:H81)/(1+realdiscrt3)^(2-Half_Year)</f>
        <v>6.4061906738209703E-2</v>
      </c>
      <c r="I161" s="528">
        <f>NPV(realdiscrt3,I$65:I81)/(1+realdiscrt3)^(2-Half_Year)</f>
        <v>4.3442426470143042E-2</v>
      </c>
      <c r="J161" s="528">
        <f>NPV(realdiscrt3,J$65:J81)/(1+realdiscrt3)^(2-Half_Year)</f>
        <v>2.7471822938881851E-2</v>
      </c>
      <c r="K161" s="530">
        <f>NPV(realdiscrt3,K$65:K81)/(1+realdiscrt3)^(2-Half_Year)</f>
        <v>1.5979392124126975E-2</v>
      </c>
      <c r="L161" s="1139">
        <f>NPV(realdiscrt3,L$65:L81)/(1+realdiscrt3)^(2-Half_Year)</f>
        <v>1061.5902523570296</v>
      </c>
      <c r="M161" s="532">
        <f>NPV(realdiscrt3,M$65:M81)/(1+realdiscrt3)^(2-Half_Year)</f>
        <v>374.26389787486545</v>
      </c>
      <c r="N161" s="532">
        <f>NPV(realdiscrt3,N$65:N81)/(1+realdiscrt3)^(2-Half_Year)</f>
        <v>374.26389787486545</v>
      </c>
      <c r="O161" s="534">
        <f>NPV(realdiscrt3,O$65:O81)/(1+realdiscrt3)^(2-Half_Year)</f>
        <v>0</v>
      </c>
      <c r="P161" s="637">
        <f t="shared" si="97"/>
        <v>0</v>
      </c>
      <c r="Q161" s="637">
        <f t="shared" si="97"/>
        <v>0</v>
      </c>
      <c r="R161" s="1134">
        <f t="shared" si="97"/>
        <v>0</v>
      </c>
      <c r="S161" s="519">
        <f>NPV(realdiscrt3,S$65:S81)/(1+realdiscrt3)^(2-Half_Year)</f>
        <v>0</v>
      </c>
      <c r="T161" s="519">
        <f>NPV(realdiscrt3,T$65:T81)/(1+realdiscrt3)^(2-Half_Year)</f>
        <v>0</v>
      </c>
      <c r="U161" s="533">
        <f>NPV(realdiscrt3,U$65:U81)/(1+realdiscrt3)^(2-Half_Year)</f>
        <v>0</v>
      </c>
      <c r="V161" s="531">
        <f>NPV(realdiscrt3,V$65:V81)/(1+realdiscrt3)^(2-Half_Year)</f>
        <v>1684.8784928281727</v>
      </c>
      <c r="W161" s="532">
        <f>NPV(realdiscrt3,W$65:W81)/(1+realdiscrt3)^(2-Half_Year)</f>
        <v>0</v>
      </c>
      <c r="X161" s="534">
        <f>NPV(realdiscrt3,X$65:X81)/(1+realdiscrt3)^(2-Half_Year)</f>
        <v>2048.4361659265169</v>
      </c>
      <c r="Y161" s="531">
        <f>NPV(realdiscrt3,Y$65:Y81)/(1+realdiscrt3)^(2-Half_Year)</f>
        <v>117.02382198458015</v>
      </c>
      <c r="Z161" s="532">
        <f>NPV(realdiscrt3,Z$65:Z81)/(1+realdiscrt3)^(2-Half_Year)</f>
        <v>134.21908946950128</v>
      </c>
      <c r="AA161" s="532">
        <f>NPV(realdiscrt3,AA$65:AA81)/(1+realdiscrt3)^(2-Half_Year)</f>
        <v>181.59149210996017</v>
      </c>
      <c r="AB161" s="532">
        <f>NPV(realdiscrt3,AB$65:AB81)/(1+realdiscrt3)^(2-Half_Year)</f>
        <v>165.02988135287094</v>
      </c>
      <c r="AC161" s="532">
        <f>NPV(realdiscrt3,AC$65:AC81)/(1+realdiscrt3)^(2-Half_Year)</f>
        <v>132.40143672888109</v>
      </c>
      <c r="AD161" s="532">
        <f>NPV(realdiscrt3,AD$65:AD81)/(1+realdiscrt3)^(2-Half_Year)</f>
        <v>170.4177737028144</v>
      </c>
      <c r="AE161" s="534">
        <f>NPV(realdiscrt3,AE$65:AE81)/(1+realdiscrt3)^(2-Half_Year)</f>
        <v>160.14211725327615</v>
      </c>
      <c r="AF161" s="535">
        <f>NPV(realdiscrt3,AF$65:AF81)/(1+realdiscrt3)^(2-Half_Year)</f>
        <v>4.4106904932220949E-2</v>
      </c>
      <c r="AG161" s="530">
        <f>NPV(realdiscrt3,AG$65:AG81)/(1+realdiscrt3)^(2-Half_Year)</f>
        <v>2.0677585010180031</v>
      </c>
      <c r="AH161" s="536">
        <f>NPV(realdiscrt3,AH$65:AH81)/(1+realdiscrt3)^(2-Half_Year)</f>
        <v>2.0677585010180031</v>
      </c>
      <c r="AI161" s="536">
        <f>NPV(realdiscrt3,AI$65:AI81)/(1+realdiscrt3)^(2-Half_Year)</f>
        <v>3.7845658215290503</v>
      </c>
      <c r="AJ161" s="536">
        <f>NPV(realdiscrt3,AJ$65:AJ81)/(1+realdiscrt3)^(2-Half_Year)</f>
        <v>3.222894290744573</v>
      </c>
      <c r="AK161" s="536">
        <f>NPV(realdiscrt3,AK$65:AK81)/(1+realdiscrt3)^(2-Half_Year)</f>
        <v>2.0677585010180031</v>
      </c>
      <c r="AL161" s="536">
        <f>NPV(realdiscrt3,AL$65:AL81)/(1+realdiscrt3)^(2-Half_Year)</f>
        <v>3.7845658215290503</v>
      </c>
      <c r="AM161" s="536">
        <f>NPV(realdiscrt3,AM$65:AM81)/(1+realdiscrt3)^(2-Half_Year)</f>
        <v>3.3205638430125513</v>
      </c>
      <c r="AN161" s="518">
        <f>NPV(realdiscrt3,AN$65:AN81)/(1+realdiscrt3)^(2-Half_Year)</f>
        <v>525.35086880130518</v>
      </c>
      <c r="AO161" s="519">
        <f>NPV(realdiscrt3,AO$65:AO81)/(1+realdiscrt3)^(2-Half_Year)</f>
        <v>466.50058227138618</v>
      </c>
      <c r="AP161" s="505">
        <f>NPV(realdiscrt3,AP$65:AP81)/(1+realdiscrt3)^(2-Half_Year)</f>
        <v>446.5069382068005</v>
      </c>
      <c r="AQ161" s="533">
        <f>NPV(realdiscrt3,AQ$65:AQ81)/(1+realdiscrt3)^(2-Half_Year)</f>
        <v>0.27849669184226045</v>
      </c>
      <c r="AR161" s="519">
        <f>NPV(realdiscrt3,AR$65:AR81)/(1+realdiscrt3)^(2-Half_Year)</f>
        <v>646.72242981106479</v>
      </c>
      <c r="AS161" s="534">
        <f>NPV(realdiscrt3,AS$65:AS81)/(1+realdiscrt3)^(2-Half_Year)</f>
        <v>821.12874883159554</v>
      </c>
      <c r="AT161" s="518">
        <f>NPV(realdiscrt3,AT$65:AT81)/(1+realdiscrt3)^(2-Half_Year)</f>
        <v>455.33894457066964</v>
      </c>
      <c r="AU161" s="532">
        <f>NPV(realdiscrt3,AU$65:AU81)/(1+realdiscrt3)^(2-Half_Year)</f>
        <v>491.00416414110572</v>
      </c>
      <c r="AV161" s="531">
        <f>NPV(realdiscrt3,AV$65:AV81)/(1+realdiscrt3)^(2-Half_Year)</f>
        <v>0.21520973083653266</v>
      </c>
      <c r="AW161" s="534">
        <f>NPV(realdiscrt3,AW$65:AW81)/(1+realdiscrt3)^(2-Half_Year)</f>
        <v>0.21520973083653266</v>
      </c>
      <c r="AX161" s="523">
        <f>NPV(realdiscrt3,AX$65:AX81)/(1+realdiscrt3)^(2-Half_Year)</f>
        <v>25.610753649098257</v>
      </c>
      <c r="AY161" s="537">
        <f>NPV(realdiscrt3,AY$65:AY81)/(1+realdiscrt3)^(2-Half_Year)</f>
        <v>207.38288985158496</v>
      </c>
      <c r="AZ161" s="530">
        <f>NPV(realdiscrt3,AZ$65:AZ81)/(1+realdiscrt3)^(2-Half_Year)</f>
        <v>0.54788601348287269</v>
      </c>
      <c r="BA161" s="536">
        <f>NPV(realdiscrt3,BA$65:BA81)/(1+realdiscrt3)^(2-Half_Year)</f>
        <v>0.57976089228859373</v>
      </c>
      <c r="BB161" s="536">
        <f>NPV(realdiscrt3,BB$65:BB81)/(1+realdiscrt3)^(2-Half_Year)</f>
        <v>0.5979509957144834</v>
      </c>
      <c r="BC161" s="533">
        <f>NPV(realdiscrt3,BC$65:BC81)/(1+realdiscrt3)^(2-Half_Year)</f>
        <v>0.6493008621374039</v>
      </c>
    </row>
    <row r="162" spans="1:96" s="324" customFormat="1" ht="14.25">
      <c r="A162" s="525">
        <f t="shared" si="99"/>
        <v>18</v>
      </c>
      <c r="B162" s="526">
        <f t="shared" si="98"/>
        <v>2043</v>
      </c>
      <c r="C162" s="527">
        <f>NPV(realdiscrt3,C$65:C82)/(1+realdiscrt3)^(2-Half_Year)</f>
        <v>1.3636520878139387</v>
      </c>
      <c r="D162" s="528">
        <f>NPV(realdiscrt3,D$65:D82)/(1+realdiscrt3)^(2-Half_Year)</f>
        <v>1.3496602107073317</v>
      </c>
      <c r="E162" s="528">
        <f>NPV(realdiscrt3,E$65:E82)/(1+realdiscrt3)^(2-Half_Year)</f>
        <v>1.0387981834322455</v>
      </c>
      <c r="F162" s="529">
        <f>NPV(realdiscrt3,F$65:F82)/(1+realdiscrt3)^(2-Half_Year)</f>
        <v>0.97692406832489709</v>
      </c>
      <c r="G162" s="527">
        <f>NPV(realdiscrt3,G$65:G82)/(1+realdiscrt3)^(2-Half_Year)</f>
        <v>7.3453883936130102E-2</v>
      </c>
      <c r="H162" s="528">
        <f>NPV(realdiscrt3,H$65:H82)/(1+realdiscrt3)^(2-Half_Year)</f>
        <v>6.4061906738209703E-2</v>
      </c>
      <c r="I162" s="528">
        <f>NPV(realdiscrt3,I$65:I82)/(1+realdiscrt3)^(2-Half_Year)</f>
        <v>4.3442426470143042E-2</v>
      </c>
      <c r="J162" s="528">
        <f>NPV(realdiscrt3,J$65:J82)/(1+realdiscrt3)^(2-Half_Year)</f>
        <v>2.7471822938881851E-2</v>
      </c>
      <c r="K162" s="530">
        <f>NPV(realdiscrt3,K$65:K82)/(1+realdiscrt3)^(2-Half_Year)</f>
        <v>1.5998068343563401E-2</v>
      </c>
      <c r="L162" s="1139">
        <f>NPV(realdiscrt3,L$65:L82)/(1+realdiscrt3)^(2-Half_Year)</f>
        <v>1129.5155062136403</v>
      </c>
      <c r="M162" s="532">
        <f>NPV(realdiscrt3,M$65:M82)/(1+realdiscrt3)^(2-Half_Year)</f>
        <v>374.26389787486545</v>
      </c>
      <c r="N162" s="532">
        <f>NPV(realdiscrt3,N$65:N82)/(1+realdiscrt3)^(2-Half_Year)</f>
        <v>374.26389787486545</v>
      </c>
      <c r="O162" s="534">
        <f>NPV(realdiscrt3,O$65:O82)/(1+realdiscrt3)^(2-Half_Year)</f>
        <v>0</v>
      </c>
      <c r="P162" s="637">
        <f t="shared" si="97"/>
        <v>0</v>
      </c>
      <c r="Q162" s="637">
        <f t="shared" si="97"/>
        <v>0</v>
      </c>
      <c r="R162" s="1134">
        <f t="shared" si="97"/>
        <v>0</v>
      </c>
      <c r="S162" s="519">
        <f>NPV(realdiscrt3,S$65:S82)/(1+realdiscrt3)^(2-Half_Year)</f>
        <v>0</v>
      </c>
      <c r="T162" s="519">
        <f>NPV(realdiscrt3,T$65:T82)/(1+realdiscrt3)^(2-Half_Year)</f>
        <v>0</v>
      </c>
      <c r="U162" s="533">
        <f>NPV(realdiscrt3,U$65:U82)/(1+realdiscrt3)^(2-Half_Year)</f>
        <v>0</v>
      </c>
      <c r="V162" s="531">
        <f>NPV(realdiscrt3,V$65:V82)/(1+realdiscrt3)^(2-Half_Year)</f>
        <v>1772.4186515364543</v>
      </c>
      <c r="W162" s="532">
        <f>NPV(realdiscrt3,W$65:W82)/(1+realdiscrt3)^(2-Half_Year)</f>
        <v>0</v>
      </c>
      <c r="X162" s="534">
        <f>NPV(realdiscrt3,X$65:X82)/(1+realdiscrt3)^(2-Half_Year)</f>
        <v>2154.8654590964893</v>
      </c>
      <c r="Y162" s="531">
        <f>NPV(realdiscrt3,Y$65:Y82)/(1+realdiscrt3)^(2-Half_Year)</f>
        <v>123.57340918336688</v>
      </c>
      <c r="Z162" s="532">
        <f>NPV(realdiscrt3,Z$65:Z82)/(1+realdiscrt3)^(2-Half_Year)</f>
        <v>141.61397578100494</v>
      </c>
      <c r="AA162" s="532">
        <f>NPV(realdiscrt3,AA$65:AA82)/(1+realdiscrt3)^(2-Half_Year)</f>
        <v>191.34253237105401</v>
      </c>
      <c r="AB162" s="532">
        <f>NPV(realdiscrt3,AB$65:AB82)/(1+realdiscrt3)^(2-Half_Year)</f>
        <v>173.9572075647346</v>
      </c>
      <c r="AC162" s="532">
        <f>NPV(realdiscrt3,AC$65:AC82)/(1+realdiscrt3)^(2-Half_Year)</f>
        <v>139.70167660842321</v>
      </c>
      <c r="AD162" s="532">
        <f>NPV(realdiscrt3,AD$65:AD82)/(1+realdiscrt3)^(2-Half_Year)</f>
        <v>179.61584901404512</v>
      </c>
      <c r="AE162" s="534">
        <f>NPV(realdiscrt3,AE$65:AE82)/(1+realdiscrt3)^(2-Half_Year)</f>
        <v>168.82690286091912</v>
      </c>
      <c r="AF162" s="535">
        <f>NPV(realdiscrt3,AF$65:AF82)/(1+realdiscrt3)^(2-Half_Year)</f>
        <v>4.6573618629365016E-2</v>
      </c>
      <c r="AG162" s="530">
        <f>NPV(realdiscrt3,AG$65:AG82)/(1+realdiscrt3)^(2-Half_Year)</f>
        <v>2.0677585010180031</v>
      </c>
      <c r="AH162" s="536">
        <f>NPV(realdiscrt3,AH$65:AH82)/(1+realdiscrt3)^(2-Half_Year)</f>
        <v>2.0677585010180031</v>
      </c>
      <c r="AI162" s="536">
        <f>NPV(realdiscrt3,AI$65:AI82)/(1+realdiscrt3)^(2-Half_Year)</f>
        <v>3.7845658215290503</v>
      </c>
      <c r="AJ162" s="536">
        <f>NPV(realdiscrt3,AJ$65:AJ82)/(1+realdiscrt3)^(2-Half_Year)</f>
        <v>3.222894290744573</v>
      </c>
      <c r="AK162" s="536">
        <f>NPV(realdiscrt3,AK$65:AK82)/(1+realdiscrt3)^(2-Half_Year)</f>
        <v>2.0677585010180031</v>
      </c>
      <c r="AL162" s="536">
        <f>NPV(realdiscrt3,AL$65:AL82)/(1+realdiscrt3)^(2-Half_Year)</f>
        <v>3.7845658215290503</v>
      </c>
      <c r="AM162" s="536">
        <f>NPV(realdiscrt3,AM$65:AM82)/(1+realdiscrt3)^(2-Half_Year)</f>
        <v>3.3205638430125513</v>
      </c>
      <c r="AN162" s="518">
        <f>NPV(realdiscrt3,AN$65:AN82)/(1+realdiscrt3)^(2-Half_Year)</f>
        <v>554.43324627712991</v>
      </c>
      <c r="AO162" s="519">
        <f>NPV(realdiscrt3,AO$65:AO82)/(1+realdiscrt3)^(2-Half_Year)</f>
        <v>492.63922387708584</v>
      </c>
      <c r="AP162" s="505">
        <f>NPV(realdiscrt3,AP$65:AP82)/(1+realdiscrt3)^(2-Half_Year)</f>
        <v>471.5446250535262</v>
      </c>
      <c r="AQ162" s="533">
        <f>NPV(realdiscrt3,AQ$65:AQ82)/(1+realdiscrt3)^(2-Half_Year)</f>
        <v>0.29389071444413012</v>
      </c>
      <c r="AR162" s="519">
        <f>NPV(realdiscrt3,AR$65:AR82)/(1+realdiscrt3)^(2-Half_Year)</f>
        <v>682.52369510403503</v>
      </c>
      <c r="AS162" s="534">
        <f>NPV(realdiscrt3,AS$65:AS82)/(1+realdiscrt3)^(2-Half_Year)</f>
        <v>865.56086761223935</v>
      </c>
      <c r="AT162" s="518">
        <f>NPV(realdiscrt3,AT$65:AT82)/(1+realdiscrt3)^(2-Half_Year)</f>
        <v>480.54560140110931</v>
      </c>
      <c r="AU162" s="532">
        <f>NPV(realdiscrt3,AU$65:AU82)/(1+realdiscrt3)^(2-Half_Year)</f>
        <v>518.1851764735593</v>
      </c>
      <c r="AV162" s="531">
        <f>NPV(realdiscrt3,AV$65:AV82)/(1+realdiscrt3)^(2-Half_Year)</f>
        <v>0.22639124574884742</v>
      </c>
      <c r="AW162" s="534">
        <f>NPV(realdiscrt3,AW$65:AW82)/(1+realdiscrt3)^(2-Half_Year)</f>
        <v>0.22639124574884742</v>
      </c>
      <c r="AX162" s="523">
        <f>NPV(realdiscrt3,AX$65:AX82)/(1+realdiscrt3)^(2-Half_Year)</f>
        <v>26.941395264279347</v>
      </c>
      <c r="AY162" s="537">
        <f>NPV(realdiscrt3,AY$65:AY82)/(1+realdiscrt3)^(2-Half_Year)</f>
        <v>219.58754335935001</v>
      </c>
      <c r="AZ162" s="530">
        <f>NPV(realdiscrt3,AZ$65:AZ82)/(1+realdiscrt3)^(2-Half_Year)</f>
        <v>0.56044688907704121</v>
      </c>
      <c r="BA162" s="536">
        <f>NPV(realdiscrt3,BA$65:BA82)/(1+realdiscrt3)^(2-Half_Year)</f>
        <v>0.59128547108456619</v>
      </c>
      <c r="BB162" s="536">
        <f>NPV(realdiscrt3,BB$65:BB82)/(1+realdiscrt3)^(2-Half_Year)</f>
        <v>0.61109584501678138</v>
      </c>
      <c r="BC162" s="533">
        <f>NPV(realdiscrt3,BC$65:BC82)/(1+realdiscrt3)^(2-Half_Year)</f>
        <v>0.66272097315290202</v>
      </c>
    </row>
    <row r="163" spans="1:96" s="324" customFormat="1" ht="14.25">
      <c r="A163" s="525">
        <f t="shared" si="99"/>
        <v>19</v>
      </c>
      <c r="B163" s="526">
        <f t="shared" si="98"/>
        <v>2044</v>
      </c>
      <c r="C163" s="527">
        <f>NPV(realdiscrt3,C$65:C83)/(1+realdiscrt3)^(2-Half_Year)</f>
        <v>1.4338426517905354</v>
      </c>
      <c r="D163" s="528">
        <f>NPV(realdiscrt3,D$65:D83)/(1+realdiscrt3)^(2-Half_Year)</f>
        <v>1.4201644556621167</v>
      </c>
      <c r="E163" s="528">
        <f>NPV(realdiscrt3,E$65:E83)/(1+realdiscrt3)^(2-Half_Year)</f>
        <v>1.0950420845037778</v>
      </c>
      <c r="F163" s="529">
        <f>NPV(realdiscrt3,F$65:F83)/(1+realdiscrt3)^(2-Half_Year)</f>
        <v>1.0305171039731575</v>
      </c>
      <c r="G163" s="527">
        <f>NPV(realdiscrt3,G$65:G83)/(1+realdiscrt3)^(2-Half_Year)</f>
        <v>7.3453883936130102E-2</v>
      </c>
      <c r="H163" s="528">
        <f>NPV(realdiscrt3,H$65:H83)/(1+realdiscrt3)^(2-Half_Year)</f>
        <v>6.4061906738209703E-2</v>
      </c>
      <c r="I163" s="528">
        <f>NPV(realdiscrt3,I$65:I83)/(1+realdiscrt3)^(2-Half_Year)</f>
        <v>4.3442426470143042E-2</v>
      </c>
      <c r="J163" s="528">
        <f>NPV(realdiscrt3,J$65:J83)/(1+realdiscrt3)^(2-Half_Year)</f>
        <v>2.7471822938881851E-2</v>
      </c>
      <c r="K163" s="530">
        <f>NPV(realdiscrt3,K$65:K83)/(1+realdiscrt3)^(2-Half_Year)</f>
        <v>1.6016539909981229E-2</v>
      </c>
      <c r="L163" s="1139">
        <f>NPV(realdiscrt3,L$65:L83)/(1+realdiscrt3)^(2-Half_Year)</f>
        <v>1198.6233459855114</v>
      </c>
      <c r="M163" s="532">
        <f>NPV(realdiscrt3,M$65:M83)/(1+realdiscrt3)^(2-Half_Year)</f>
        <v>374.26389787486545</v>
      </c>
      <c r="N163" s="532">
        <f>NPV(realdiscrt3,N$65:N83)/(1+realdiscrt3)^(2-Half_Year)</f>
        <v>374.26389787486545</v>
      </c>
      <c r="O163" s="534">
        <f>NPV(realdiscrt3,O$65:O83)/(1+realdiscrt3)^(2-Half_Year)</f>
        <v>0</v>
      </c>
      <c r="P163" s="637">
        <f t="shared" si="97"/>
        <v>0</v>
      </c>
      <c r="Q163" s="637">
        <f t="shared" si="97"/>
        <v>0</v>
      </c>
      <c r="R163" s="1134">
        <f t="shared" si="97"/>
        <v>0</v>
      </c>
      <c r="S163" s="519">
        <f>NPV(realdiscrt3,S$65:S83)/(1+realdiscrt3)^(2-Half_Year)</f>
        <v>0</v>
      </c>
      <c r="T163" s="519">
        <f>NPV(realdiscrt3,T$65:T83)/(1+realdiscrt3)^(2-Half_Year)</f>
        <v>0</v>
      </c>
      <c r="U163" s="533">
        <f>NPV(realdiscrt3,U$65:U83)/(1+realdiscrt3)^(2-Half_Year)</f>
        <v>0</v>
      </c>
      <c r="V163" s="531">
        <f>NPV(realdiscrt3,V$65:V83)/(1+realdiscrt3)^(2-Half_Year)</f>
        <v>1858.7807756263874</v>
      </c>
      <c r="W163" s="532">
        <f>NPV(realdiscrt3,W$65:W83)/(1+realdiscrt3)^(2-Half_Year)</f>
        <v>0</v>
      </c>
      <c r="X163" s="534">
        <f>NPV(realdiscrt3,X$65:X83)/(1+realdiscrt3)^(2-Half_Year)</f>
        <v>2259.8625251193944</v>
      </c>
      <c r="Y163" s="531">
        <f>NPV(realdiscrt3,Y$65:Y83)/(1+realdiscrt3)^(2-Half_Year)</f>
        <v>130.08441186457364</v>
      </c>
      <c r="Z163" s="532">
        <f>NPV(realdiscrt3,Z$65:Z83)/(1+realdiscrt3)^(2-Half_Year)</f>
        <v>148.95318914418789</v>
      </c>
      <c r="AA163" s="532">
        <f>NPV(realdiscrt3,AA$65:AA83)/(1+realdiscrt3)^(2-Half_Year)</f>
        <v>200.99414663966107</v>
      </c>
      <c r="AB163" s="532">
        <f>NPV(realdiscrt3,AB$65:AB83)/(1+realdiscrt3)^(2-Half_Year)</f>
        <v>182.80032511970444</v>
      </c>
      <c r="AC163" s="532">
        <f>NPV(realdiscrt3,AC$65:AC83)/(1+realdiscrt3)^(2-Half_Year)</f>
        <v>146.94751266726078</v>
      </c>
      <c r="AD163" s="532">
        <f>NPV(realdiscrt3,AD$65:AD83)/(1+realdiscrt3)^(2-Half_Year)</f>
        <v>188.72503542574617</v>
      </c>
      <c r="AE163" s="534">
        <f>NPV(realdiscrt3,AE$65:AE83)/(1+realdiscrt3)^(2-Half_Year)</f>
        <v>177.43204470272448</v>
      </c>
      <c r="AF163" s="535">
        <f>NPV(realdiscrt3,AF$65:AF83)/(1+realdiscrt3)^(2-Half_Year)</f>
        <v>4.9012784449537453E-2</v>
      </c>
      <c r="AG163" s="530">
        <f>NPV(realdiscrt3,AG$65:AG83)/(1+realdiscrt3)^(2-Half_Year)</f>
        <v>2.0677585010180031</v>
      </c>
      <c r="AH163" s="536">
        <f>NPV(realdiscrt3,AH$65:AH83)/(1+realdiscrt3)^(2-Half_Year)</f>
        <v>2.0677585010180031</v>
      </c>
      <c r="AI163" s="536">
        <f>NPV(realdiscrt3,AI$65:AI83)/(1+realdiscrt3)^(2-Half_Year)</f>
        <v>3.7845658215290503</v>
      </c>
      <c r="AJ163" s="536">
        <f>NPV(realdiscrt3,AJ$65:AJ83)/(1+realdiscrt3)^(2-Half_Year)</f>
        <v>3.222894290744573</v>
      </c>
      <c r="AK163" s="536">
        <f>NPV(realdiscrt3,AK$65:AK83)/(1+realdiscrt3)^(2-Half_Year)</f>
        <v>2.0677585010180031</v>
      </c>
      <c r="AL163" s="536">
        <f>NPV(realdiscrt3,AL$65:AL83)/(1+realdiscrt3)^(2-Half_Year)</f>
        <v>3.7845658215290503</v>
      </c>
      <c r="AM163" s="536">
        <f>NPV(realdiscrt3,AM$65:AM83)/(1+realdiscrt3)^(2-Half_Year)</f>
        <v>3.3205638430125513</v>
      </c>
      <c r="AN163" s="518">
        <f>NPV(realdiscrt3,AN$65:AN83)/(1+realdiscrt3)^(2-Half_Year)</f>
        <v>583.30935345974888</v>
      </c>
      <c r="AO163" s="519">
        <f>NPV(realdiscrt3,AO$65:AO83)/(1+realdiscrt3)^(2-Half_Year)</f>
        <v>518.6267210179559</v>
      </c>
      <c r="AP163" s="505">
        <f>NPV(realdiscrt3,AP$65:AP83)/(1+realdiscrt3)^(2-Half_Year)</f>
        <v>496.43886327021977</v>
      </c>
      <c r="AQ163" s="533">
        <f>NPV(realdiscrt3,AQ$65:AQ83)/(1+realdiscrt3)^(2-Half_Year)</f>
        <v>0.30916729346199218</v>
      </c>
      <c r="AR163" s="519">
        <f>NPV(realdiscrt3,AR$65:AR83)/(1+realdiscrt3)^(2-Half_Year)</f>
        <v>718.07103557620064</v>
      </c>
      <c r="AS163" s="534">
        <f>NPV(realdiscrt3,AS$65:AS83)/(1+realdiscrt3)^(2-Half_Year)</f>
        <v>909.57563934569566</v>
      </c>
      <c r="AT163" s="518">
        <f>NPV(realdiscrt3,AT$65:AT83)/(1+realdiscrt3)^(2-Half_Year)</f>
        <v>505.57347695758079</v>
      </c>
      <c r="AU163" s="532">
        <f>NPV(realdiscrt3,AU$65:AU83)/(1+realdiscrt3)^(2-Half_Year)</f>
        <v>545.17340417593539</v>
      </c>
      <c r="AV163" s="531">
        <f>NPV(realdiscrt3,AV$65:AV83)/(1+realdiscrt3)^(2-Half_Year)</f>
        <v>0.23742229015886185</v>
      </c>
      <c r="AW163" s="534">
        <f>NPV(realdiscrt3,AW$65:AW83)/(1+realdiscrt3)^(2-Half_Year)</f>
        <v>0.23742229015886185</v>
      </c>
      <c r="AX163" s="523">
        <f>NPV(realdiscrt3,AX$65:AX83)/(1+realdiscrt3)^(2-Half_Year)</f>
        <v>28.254130333362873</v>
      </c>
      <c r="AY163" s="537">
        <f>NPV(realdiscrt3,AY$65:AY83)/(1+realdiscrt3)^(2-Half_Year)</f>
        <v>231.62795791039807</v>
      </c>
      <c r="AZ163" s="530">
        <f>NPV(realdiscrt3,AZ$65:AZ83)/(1+realdiscrt3)^(2-Half_Year)</f>
        <v>0.57185692083642559</v>
      </c>
      <c r="BA163" s="536">
        <f>NPV(realdiscrt3,BA$65:BA83)/(1+realdiscrt3)^(2-Half_Year)</f>
        <v>0.60164345226621008</v>
      </c>
      <c r="BB163" s="536">
        <f>NPV(realdiscrt3,BB$65:BB83)/(1+realdiscrt3)^(2-Half_Year)</f>
        <v>0.62296092849258378</v>
      </c>
      <c r="BC163" s="533">
        <f>NPV(realdiscrt3,BC$65:BC83)/(1+realdiscrt3)^(2-Half_Year)</f>
        <v>0.67480331415037631</v>
      </c>
    </row>
    <row r="164" spans="1:96" s="324" customFormat="1" ht="14.25">
      <c r="A164" s="525">
        <f t="shared" si="99"/>
        <v>20</v>
      </c>
      <c r="B164" s="526">
        <f t="shared" si="98"/>
        <v>2045</v>
      </c>
      <c r="C164" s="527">
        <f>NPV(realdiscrt3,C$65:C84)/(1+realdiscrt3)^(2-Half_Year)</f>
        <v>1.5037667389248175</v>
      </c>
      <c r="D164" s="528">
        <f>NPV(realdiscrt3,D$65:D84)/(1+realdiscrt3)^(2-Half_Year)</f>
        <v>1.4904299874011016</v>
      </c>
      <c r="E164" s="528">
        <f>NPV(realdiscrt3,E$65:E84)/(1+realdiscrt3)^(2-Half_Year)</f>
        <v>1.1514470447663756</v>
      </c>
      <c r="F164" s="529">
        <f>NPV(realdiscrt3,F$65:F84)/(1+realdiscrt3)^(2-Half_Year)</f>
        <v>1.0842943098349078</v>
      </c>
      <c r="G164" s="527">
        <f>NPV(realdiscrt3,G$65:G84)/(1+realdiscrt3)^(2-Half_Year)</f>
        <v>7.3453883936130102E-2</v>
      </c>
      <c r="H164" s="528">
        <f>NPV(realdiscrt3,H$65:H84)/(1+realdiscrt3)^(2-Half_Year)</f>
        <v>6.4061906738209703E-2</v>
      </c>
      <c r="I164" s="528">
        <f>NPV(realdiscrt3,I$65:I84)/(1+realdiscrt3)^(2-Half_Year)</f>
        <v>4.3442426470143042E-2</v>
      </c>
      <c r="J164" s="528">
        <f>NPV(realdiscrt3,J$65:J84)/(1+realdiscrt3)^(2-Half_Year)</f>
        <v>2.7471822938881851E-2</v>
      </c>
      <c r="K164" s="530">
        <f>NPV(realdiscrt3,K$65:K84)/(1+realdiscrt3)^(2-Half_Year)</f>
        <v>1.6034809065957348E-2</v>
      </c>
      <c r="L164" s="1139">
        <f>NPV(realdiscrt3,L$65:L84)/(1+realdiscrt3)^(2-Half_Year)</f>
        <v>1268.9343606195746</v>
      </c>
      <c r="M164" s="532">
        <f>NPV(realdiscrt3,M$65:M84)/(1+realdiscrt3)^(2-Half_Year)</f>
        <v>374.26389787486545</v>
      </c>
      <c r="N164" s="532">
        <f>NPV(realdiscrt3,N$65:N84)/(1+realdiscrt3)^(2-Half_Year)</f>
        <v>374.26389787486545</v>
      </c>
      <c r="O164" s="534">
        <f>NPV(realdiscrt3,O$65:O84)/(1+realdiscrt3)^(2-Half_Year)</f>
        <v>0</v>
      </c>
      <c r="P164" s="637">
        <f t="shared" si="97"/>
        <v>0</v>
      </c>
      <c r="Q164" s="637">
        <f t="shared" si="97"/>
        <v>0</v>
      </c>
      <c r="R164" s="1134">
        <f t="shared" si="97"/>
        <v>0</v>
      </c>
      <c r="S164" s="519">
        <f>NPV(realdiscrt3,S$65:S84)/(1+realdiscrt3)^(2-Half_Year)</f>
        <v>0</v>
      </c>
      <c r="T164" s="519">
        <f>NPV(realdiscrt3,T$65:T84)/(1+realdiscrt3)^(2-Half_Year)</f>
        <v>0</v>
      </c>
      <c r="U164" s="533">
        <f>NPV(realdiscrt3,U$65:U84)/(1+realdiscrt3)^(2-Half_Year)</f>
        <v>0</v>
      </c>
      <c r="V164" s="531">
        <f>NPV(realdiscrt3,V$65:V84)/(1+realdiscrt3)^(2-Half_Year)</f>
        <v>1943.9807180000291</v>
      </c>
      <c r="W164" s="532">
        <f>NPV(realdiscrt3,W$65:W84)/(1+realdiscrt3)^(2-Half_Year)</f>
        <v>0</v>
      </c>
      <c r="X164" s="534">
        <f>NPV(realdiscrt3,X$65:X84)/(1+realdiscrt3)^(2-Half_Year)</f>
        <v>2363.4466375856109</v>
      </c>
      <c r="Y164" s="531">
        <f>NPV(realdiscrt3,Y$65:Y84)/(1+realdiscrt3)^(2-Half_Year)</f>
        <v>136.55705733489185</v>
      </c>
      <c r="Z164" s="532">
        <f>NPV(realdiscrt3,Z$65:Z84)/(1+realdiscrt3)^(2-Half_Year)</f>
        <v>156.23714869695763</v>
      </c>
      <c r="AA164" s="532">
        <f>NPV(realdiscrt3,AA$65:AA84)/(1+realdiscrt3)^(2-Half_Year)</f>
        <v>210.54734870792223</v>
      </c>
      <c r="AB164" s="532">
        <f>NPV(realdiscrt3,AB$65:AB84)/(1+realdiscrt3)^(2-Half_Year)</f>
        <v>191.56002833152314</v>
      </c>
      <c r="AC164" s="532">
        <f>NPV(realdiscrt3,AC$65:AC84)/(1+realdiscrt3)^(2-Half_Year)</f>
        <v>154.13935034079816</v>
      </c>
      <c r="AD164" s="532">
        <f>NPV(realdiscrt3,AD$65:AD84)/(1+realdiscrt3)^(2-Half_Year)</f>
        <v>197.74619194767698</v>
      </c>
      <c r="AE164" s="534">
        <f>NPV(realdiscrt3,AE$65:AE84)/(1+realdiscrt3)^(2-Half_Year)</f>
        <v>185.95827315129131</v>
      </c>
      <c r="AF164" s="535">
        <f>NPV(realdiscrt3,AF$65:AF84)/(1+realdiscrt3)^(2-Half_Year)</f>
        <v>5.1424710043166656E-2</v>
      </c>
      <c r="AG164" s="530">
        <f>NPV(realdiscrt3,AG$65:AG84)/(1+realdiscrt3)^(2-Half_Year)</f>
        <v>2.0677585010180031</v>
      </c>
      <c r="AH164" s="536">
        <f>NPV(realdiscrt3,AH$65:AH84)/(1+realdiscrt3)^(2-Half_Year)</f>
        <v>2.0677585010180031</v>
      </c>
      <c r="AI164" s="536">
        <f>NPV(realdiscrt3,AI$65:AI84)/(1+realdiscrt3)^(2-Half_Year)</f>
        <v>3.7845658215290503</v>
      </c>
      <c r="AJ164" s="536">
        <f>NPV(realdiscrt3,AJ$65:AJ84)/(1+realdiscrt3)^(2-Half_Year)</f>
        <v>3.222894290744573</v>
      </c>
      <c r="AK164" s="536">
        <f>NPV(realdiscrt3,AK$65:AK84)/(1+realdiscrt3)^(2-Half_Year)</f>
        <v>2.0677585010180031</v>
      </c>
      <c r="AL164" s="536">
        <f>NPV(realdiscrt3,AL$65:AL84)/(1+realdiscrt3)^(2-Half_Year)</f>
        <v>3.7845658215290503</v>
      </c>
      <c r="AM164" s="536">
        <f>NPV(realdiscrt3,AM$65:AM84)/(1+realdiscrt3)^(2-Half_Year)</f>
        <v>3.3205638430125513</v>
      </c>
      <c r="AN164" s="518">
        <f>NPV(realdiscrt3,AN$65:AN84)/(1+realdiscrt3)^(2-Half_Year)</f>
        <v>611.98065334626028</v>
      </c>
      <c r="AO164" s="519">
        <f>NPV(realdiscrt3,AO$65:AO84)/(1+realdiscrt3)^(2-Half_Year)</f>
        <v>544.46394767396805</v>
      </c>
      <c r="AP164" s="505">
        <f>NPV(realdiscrt3,AP$65:AP84)/(1+realdiscrt3)^(2-Half_Year)</f>
        <v>521.19047471832505</v>
      </c>
      <c r="AQ164" s="533">
        <f>NPV(realdiscrt3,AQ$65:AQ84)/(1+realdiscrt3)^(2-Half_Year)</f>
        <v>0.32432732489267468</v>
      </c>
      <c r="AR164" s="519">
        <f>NPV(realdiscrt3,AR$65:AR84)/(1+realdiscrt3)^(2-Half_Year)</f>
        <v>753.3662522201829</v>
      </c>
      <c r="AS164" s="534">
        <f>NPV(realdiscrt3,AS$65:AS84)/(1+realdiscrt3)^(2-Half_Year)</f>
        <v>953.17698413666733</v>
      </c>
      <c r="AT164" s="518">
        <f>NPV(realdiscrt3,AT$65:AT84)/(1+realdiscrt3)^(2-Half_Year)</f>
        <v>530.42383926797584</v>
      </c>
      <c r="AU164" s="532">
        <f>NPV(realdiscrt3,AU$65:AU84)/(1+realdiscrt3)^(2-Half_Year)</f>
        <v>571.9702145966296</v>
      </c>
      <c r="AV164" s="531">
        <f>NPV(realdiscrt3,AV$65:AV84)/(1+realdiscrt3)^(2-Half_Year)</f>
        <v>0.24830488895964642</v>
      </c>
      <c r="AW164" s="534">
        <f>NPV(realdiscrt3,AW$65:AW84)/(1+realdiscrt3)^(2-Half_Year)</f>
        <v>0.24830488895964642</v>
      </c>
      <c r="AX164" s="523">
        <f>NPV(realdiscrt3,AX$65:AX84)/(1+realdiscrt3)^(2-Half_Year)</f>
        <v>29.549199826110705</v>
      </c>
      <c r="AY164" s="537">
        <f>NPV(realdiscrt3,AY$65:AY84)/(1+realdiscrt3)^(2-Half_Year)</f>
        <v>243.50634368094481</v>
      </c>
      <c r="AZ164" s="530">
        <f>NPV(realdiscrt3,AZ$65:AZ84)/(1+realdiscrt3)^(2-Half_Year)</f>
        <v>0.58222155057693492</v>
      </c>
      <c r="BA164" s="536">
        <f>NPV(realdiscrt3,BA$65:BA84)/(1+realdiscrt3)^(2-Half_Year)</f>
        <v>0.61095292691675263</v>
      </c>
      <c r="BB164" s="536">
        <f>NPV(realdiscrt3,BB$65:BB84)/(1+realdiscrt3)^(2-Half_Year)</f>
        <v>0.63367084251671402</v>
      </c>
      <c r="BC164" s="533">
        <f>NPV(realdiscrt3,BC$65:BC84)/(1+realdiscrt3)^(2-Half_Year)</f>
        <v>0.68568123936356262</v>
      </c>
    </row>
    <row r="165" spans="1:96" s="324" customFormat="1" ht="14.25">
      <c r="A165" s="525">
        <f t="shared" si="99"/>
        <v>21</v>
      </c>
      <c r="B165" s="526">
        <f t="shared" si="98"/>
        <v>2046</v>
      </c>
      <c r="C165" s="527">
        <f>NPV(realdiscrt3,C$65:C85)/(1+realdiscrt3)^(2-Half_Year)</f>
        <v>1.573457867564493</v>
      </c>
      <c r="D165" s="528">
        <f>NPV(realdiscrt3,D$65:D85)/(1+realdiscrt3)^(2-Half_Year)</f>
        <v>1.5604903126740932</v>
      </c>
      <c r="E165" s="528">
        <f>NPV(realdiscrt3,E$65:E85)/(1+realdiscrt3)^(2-Half_Year)</f>
        <v>1.2080494945347175</v>
      </c>
      <c r="F165" s="529">
        <f>NPV(realdiscrt3,F$65:F85)/(1+realdiscrt3)^(2-Half_Year)</f>
        <v>1.1382926315154622</v>
      </c>
      <c r="G165" s="527">
        <f>NPV(realdiscrt3,G$65:G85)/(1+realdiscrt3)^(2-Half_Year)</f>
        <v>7.3453883936130102E-2</v>
      </c>
      <c r="H165" s="528">
        <f>NPV(realdiscrt3,H$65:H85)/(1+realdiscrt3)^(2-Half_Year)</f>
        <v>6.4061906738209703E-2</v>
      </c>
      <c r="I165" s="528">
        <f>NPV(realdiscrt3,I$65:I85)/(1+realdiscrt3)^(2-Half_Year)</f>
        <v>4.3442426470143042E-2</v>
      </c>
      <c r="J165" s="528">
        <f>NPV(realdiscrt3,J$65:J85)/(1+realdiscrt3)^(2-Half_Year)</f>
        <v>2.7471822938881851E-2</v>
      </c>
      <c r="K165" s="530">
        <f>NPV(realdiscrt3,K$65:K85)/(1+realdiscrt3)^(2-Half_Year)</f>
        <v>1.6052878029494601E-2</v>
      </c>
      <c r="L165" s="1139">
        <f>NPV(realdiscrt3,L$65:L85)/(1+realdiscrt3)^(2-Half_Year)</f>
        <v>1340.4694975185241</v>
      </c>
      <c r="M165" s="532">
        <f>NPV(realdiscrt3,M$65:M85)/(1+realdiscrt3)^(2-Half_Year)</f>
        <v>374.26389787486545</v>
      </c>
      <c r="N165" s="532">
        <f>NPV(realdiscrt3,N$65:N85)/(1+realdiscrt3)^(2-Half_Year)</f>
        <v>374.26389787486545</v>
      </c>
      <c r="O165" s="534">
        <f>NPV(realdiscrt3,O$65:O85)/(1+realdiscrt3)^(2-Half_Year)</f>
        <v>0</v>
      </c>
      <c r="P165" s="637">
        <f t="shared" si="97"/>
        <v>0</v>
      </c>
      <c r="Q165" s="637">
        <f t="shared" si="97"/>
        <v>0</v>
      </c>
      <c r="R165" s="1134">
        <f t="shared" si="97"/>
        <v>0</v>
      </c>
      <c r="S165" s="519">
        <f>NPV(realdiscrt3,S$65:S85)/(1+realdiscrt3)^(2-Half_Year)</f>
        <v>0</v>
      </c>
      <c r="T165" s="519">
        <f>NPV(realdiscrt3,T$65:T85)/(1+realdiscrt3)^(2-Half_Year)</f>
        <v>0</v>
      </c>
      <c r="U165" s="533">
        <f>NPV(realdiscrt3,U$65:U85)/(1+realdiscrt3)^(2-Half_Year)</f>
        <v>0</v>
      </c>
      <c r="V165" s="531">
        <f>NPV(realdiscrt3,V$65:V85)/(1+realdiscrt3)^(2-Half_Year)</f>
        <v>2028.0341182257196</v>
      </c>
      <c r="W165" s="532">
        <f>NPV(realdiscrt3,W$65:W85)/(1+realdiscrt3)^(2-Half_Year)</f>
        <v>0</v>
      </c>
      <c r="X165" s="534">
        <f>NPV(realdiscrt3,X$65:X85)/(1+realdiscrt3)^(2-Half_Year)</f>
        <v>2465.6368107193362</v>
      </c>
      <c r="Y165" s="531">
        <f>NPV(realdiscrt3,Y$65:Y85)/(1+realdiscrt3)^(2-Half_Year)</f>
        <v>142.99157156191816</v>
      </c>
      <c r="Z165" s="532">
        <f>NPV(realdiscrt3,Z$65:Z85)/(1+realdiscrt3)^(2-Half_Year)</f>
        <v>163.46627042171093</v>
      </c>
      <c r="AA165" s="532">
        <f>NPV(realdiscrt3,AA$65:AA85)/(1+realdiscrt3)^(2-Half_Year)</f>
        <v>220.00314203089769</v>
      </c>
      <c r="AB165" s="532">
        <f>NPV(realdiscrt3,AB$65:AB85)/(1+realdiscrt3)^(2-Half_Year)</f>
        <v>200.23710402142208</v>
      </c>
      <c r="AC165" s="532">
        <f>NPV(realdiscrt3,AC$65:AC85)/(1+realdiscrt3)^(2-Half_Year)</f>
        <v>161.27759204299988</v>
      </c>
      <c r="AD165" s="532">
        <f>NPV(realdiscrt3,AD$65:AD85)/(1+realdiscrt3)^(2-Half_Year)</f>
        <v>206.68016928824792</v>
      </c>
      <c r="AE165" s="534">
        <f>NPV(realdiscrt3,AE$65:AE85)/(1+realdiscrt3)^(2-Half_Year)</f>
        <v>194.40631188134191</v>
      </c>
      <c r="AF165" s="535">
        <f>NPV(realdiscrt3,AF$65:AF85)/(1+realdiscrt3)^(2-Half_Year)</f>
        <v>5.3809699624888616E-2</v>
      </c>
      <c r="AG165" s="530">
        <f>NPV(realdiscrt3,AG$65:AG85)/(1+realdiscrt3)^(2-Half_Year)</f>
        <v>2.0677585010180031</v>
      </c>
      <c r="AH165" s="536">
        <f>NPV(realdiscrt3,AH$65:AH85)/(1+realdiscrt3)^(2-Half_Year)</f>
        <v>2.0677585010180031</v>
      </c>
      <c r="AI165" s="536">
        <f>NPV(realdiscrt3,AI$65:AI85)/(1+realdiscrt3)^(2-Half_Year)</f>
        <v>3.7845658215290503</v>
      </c>
      <c r="AJ165" s="536">
        <f>NPV(realdiscrt3,AJ$65:AJ85)/(1+realdiscrt3)^(2-Half_Year)</f>
        <v>3.222894290744573</v>
      </c>
      <c r="AK165" s="536">
        <f>NPV(realdiscrt3,AK$65:AK85)/(1+realdiscrt3)^(2-Half_Year)</f>
        <v>2.0677585010180031</v>
      </c>
      <c r="AL165" s="536">
        <f>NPV(realdiscrt3,AL$65:AL85)/(1+realdiscrt3)^(2-Half_Year)</f>
        <v>3.7845658215290503</v>
      </c>
      <c r="AM165" s="536">
        <f>NPV(realdiscrt3,AM$65:AM85)/(1+realdiscrt3)^(2-Half_Year)</f>
        <v>3.3205638430125513</v>
      </c>
      <c r="AN165" s="518">
        <f>NPV(realdiscrt3,AN$65:AN85)/(1+realdiscrt3)^(2-Half_Year)</f>
        <v>640.44859855727805</v>
      </c>
      <c r="AO165" s="519">
        <f>NPV(realdiscrt3,AO$65:AO85)/(1+realdiscrt3)^(2-Half_Year)</f>
        <v>570.15177277137911</v>
      </c>
      <c r="AP165" s="505">
        <f>NPV(realdiscrt3,AP$65:AP85)/(1+realdiscrt3)^(2-Half_Year)</f>
        <v>545.8002765505878</v>
      </c>
      <c r="AQ165" s="533">
        <f>NPV(realdiscrt3,AQ$65:AQ85)/(1+realdiscrt3)^(2-Half_Year)</f>
        <v>0.33937169789729571</v>
      </c>
      <c r="AR165" s="519">
        <f>NPV(realdiscrt3,AR$65:AR85)/(1+realdiscrt3)^(2-Half_Year)</f>
        <v>788.41113325484412</v>
      </c>
      <c r="AS165" s="534">
        <f>NPV(realdiscrt3,AS$65:AS85)/(1+realdiscrt3)^(2-Half_Year)</f>
        <v>996.36878526865326</v>
      </c>
      <c r="AT165" s="518">
        <f>NPV(realdiscrt3,AT$65:AT85)/(1+realdiscrt3)^(2-Half_Year)</f>
        <v>555.09794736654476</v>
      </c>
      <c r="AU165" s="532">
        <f>NPV(realdiscrt3,AU$65:AU85)/(1+realdiscrt3)^(2-Half_Year)</f>
        <v>598.57696538595224</v>
      </c>
      <c r="AV165" s="531">
        <f>NPV(realdiscrt3,AV$65:AV85)/(1+realdiscrt3)^(2-Half_Year)</f>
        <v>0.25904103979513038</v>
      </c>
      <c r="AW165" s="534">
        <f>NPV(realdiscrt3,AW$65:AW85)/(1+realdiscrt3)^(2-Half_Year)</f>
        <v>0.25904103979513038</v>
      </c>
      <c r="AX165" s="523">
        <f>NPV(realdiscrt3,AX$65:AX85)/(1+realdiscrt3)^(2-Half_Year)</f>
        <v>30.826841469536173</v>
      </c>
      <c r="AY165" s="537">
        <f>NPV(realdiscrt3,AY$65:AY85)/(1+realdiscrt3)^(2-Half_Year)</f>
        <v>255.2248811046953</v>
      </c>
      <c r="AZ165" s="530">
        <f>NPV(realdiscrt3,AZ$65:AZ85)/(1+realdiscrt3)^(2-Half_Year)</f>
        <v>0.59163655939752824</v>
      </c>
      <c r="BA165" s="536">
        <f>NPV(realdiscrt3,BA$65:BA85)/(1+realdiscrt3)^(2-Half_Year)</f>
        <v>0.61932003212280229</v>
      </c>
      <c r="BB165" s="536">
        <f>NPV(realdiscrt3,BB$65:BB85)/(1+realdiscrt3)^(2-Half_Year)</f>
        <v>0.64333805291925206</v>
      </c>
      <c r="BC165" s="533">
        <f>NPV(realdiscrt3,BC$65:BC85)/(1+realdiscrt3)^(2-Half_Year)</f>
        <v>0.69547480974602494</v>
      </c>
    </row>
    <row r="166" spans="1:96" s="324" customFormat="1" ht="14.25">
      <c r="A166" s="525">
        <f t="shared" si="99"/>
        <v>22</v>
      </c>
      <c r="B166" s="526">
        <f t="shared" si="98"/>
        <v>2047</v>
      </c>
      <c r="C166" s="527">
        <f>NPV(realdiscrt3,C$65:C86)/(1+realdiscrt3)^(2-Half_Year)</f>
        <v>1.6429448445258437</v>
      </c>
      <c r="D166" s="528">
        <f>NPV(realdiscrt3,D$65:D86)/(1+realdiscrt3)^(2-Half_Year)</f>
        <v>1.6303742267042467</v>
      </c>
      <c r="E166" s="528">
        <f>NPV(realdiscrt3,E$65:E86)/(1+realdiscrt3)^(2-Half_Year)</f>
        <v>1.2648811739998571</v>
      </c>
      <c r="F166" s="529">
        <f>NPV(realdiscrt3,F$65:F86)/(1+realdiscrt3)^(2-Half_Year)</f>
        <v>1.192544331086155</v>
      </c>
      <c r="G166" s="527">
        <f>NPV(realdiscrt3,G$65:G86)/(1+realdiscrt3)^(2-Half_Year)</f>
        <v>7.3453883936130102E-2</v>
      </c>
      <c r="H166" s="528">
        <f>NPV(realdiscrt3,H$65:H86)/(1+realdiscrt3)^(2-Half_Year)</f>
        <v>6.4061906738209703E-2</v>
      </c>
      <c r="I166" s="528">
        <f>NPV(realdiscrt3,I$65:I86)/(1+realdiscrt3)^(2-Half_Year)</f>
        <v>4.3442426470143042E-2</v>
      </c>
      <c r="J166" s="528">
        <f>NPV(realdiscrt3,J$65:J86)/(1+realdiscrt3)^(2-Half_Year)</f>
        <v>2.7471822938881851E-2</v>
      </c>
      <c r="K166" s="530">
        <f>NPV(realdiscrt3,K$65:K86)/(1+realdiscrt3)^(2-Half_Year)</f>
        <v>1.6070748994291083E-2</v>
      </c>
      <c r="L166" s="1139">
        <f>NPV(realdiscrt3,L$65:L86)/(1+realdiscrt3)^(2-Half_Year)</f>
        <v>1413.2500687815693</v>
      </c>
      <c r="M166" s="532">
        <f>NPV(realdiscrt3,M$65:M86)/(1+realdiscrt3)^(2-Half_Year)</f>
        <v>374.26389787486545</v>
      </c>
      <c r="N166" s="532">
        <f>NPV(realdiscrt3,N$65:N86)/(1+realdiscrt3)^(2-Half_Year)</f>
        <v>374.26389787486545</v>
      </c>
      <c r="O166" s="534">
        <f>NPV(realdiscrt3,O$65:O86)/(1+realdiscrt3)^(2-Half_Year)</f>
        <v>0</v>
      </c>
      <c r="P166" s="637">
        <f t="shared" si="97"/>
        <v>0</v>
      </c>
      <c r="Q166" s="637">
        <f t="shared" si="97"/>
        <v>0</v>
      </c>
      <c r="R166" s="1134">
        <f t="shared" si="97"/>
        <v>0</v>
      </c>
      <c r="S166" s="519">
        <f>NPV(realdiscrt3,S$65:S86)/(1+realdiscrt3)^(2-Half_Year)</f>
        <v>0</v>
      </c>
      <c r="T166" s="519">
        <f>NPV(realdiscrt3,T$65:T86)/(1+realdiscrt3)^(2-Half_Year)</f>
        <v>0</v>
      </c>
      <c r="U166" s="533">
        <f>NPV(realdiscrt3,U$65:U86)/(1+realdiscrt3)^(2-Half_Year)</f>
        <v>0</v>
      </c>
      <c r="V166" s="531">
        <f>NPV(realdiscrt3,V$65:V86)/(1+realdiscrt3)^(2-Half_Year)</f>
        <v>2110.9564054089296</v>
      </c>
      <c r="W166" s="532">
        <f>NPV(realdiscrt3,W$65:W86)/(1+realdiscrt3)^(2-Half_Year)</f>
        <v>0</v>
      </c>
      <c r="X166" s="534">
        <f>NPV(realdiscrt3,X$65:X86)/(1+realdiscrt3)^(2-Half_Year)</f>
        <v>2566.4518028688949</v>
      </c>
      <c r="Y166" s="531">
        <f>NPV(realdiscrt3,Y$65:Y86)/(1+realdiscrt3)^(2-Half_Year)</f>
        <v>149.38817918204293</v>
      </c>
      <c r="Z166" s="532">
        <f>NPV(realdiscrt3,Z$65:Z86)/(1+realdiscrt3)^(2-Half_Year)</f>
        <v>170.64096716909029</v>
      </c>
      <c r="AA166" s="532">
        <f>NPV(realdiscrt3,AA$65:AA86)/(1+realdiscrt3)^(2-Half_Year)</f>
        <v>229.36251983196851</v>
      </c>
      <c r="AB166" s="532">
        <f>NPV(realdiscrt3,AB$65:AB86)/(1+realdiscrt3)^(2-Half_Year)</f>
        <v>208.83233158879563</v>
      </c>
      <c r="AC166" s="532">
        <f>NPV(realdiscrt3,AC$65:AC86)/(1+realdiscrt3)^(2-Half_Year)</f>
        <v>168.36263718890757</v>
      </c>
      <c r="AD166" s="532">
        <f>NPV(realdiscrt3,AD$65:AD86)/(1+realdiscrt3)^(2-Half_Year)</f>
        <v>215.52780993474377</v>
      </c>
      <c r="AE166" s="534">
        <f>NPV(realdiscrt3,AE$65:AE86)/(1+realdiscrt3)^(2-Half_Year)</f>
        <v>202.77687793114453</v>
      </c>
      <c r="AF166" s="535">
        <f>NPV(realdiscrt3,AF$65:AF86)/(1+realdiscrt3)^(2-Half_Year)</f>
        <v>5.6168054011917351E-2</v>
      </c>
      <c r="AG166" s="530">
        <f>NPV(realdiscrt3,AG$65:AG86)/(1+realdiscrt3)^(2-Half_Year)</f>
        <v>2.0677585010180031</v>
      </c>
      <c r="AH166" s="536">
        <f>NPV(realdiscrt3,AH$65:AH86)/(1+realdiscrt3)^(2-Half_Year)</f>
        <v>2.0677585010180031</v>
      </c>
      <c r="AI166" s="536">
        <f>NPV(realdiscrt3,AI$65:AI86)/(1+realdiscrt3)^(2-Half_Year)</f>
        <v>3.7845658215290503</v>
      </c>
      <c r="AJ166" s="536">
        <f>NPV(realdiscrt3,AJ$65:AJ86)/(1+realdiscrt3)^(2-Half_Year)</f>
        <v>3.222894290744573</v>
      </c>
      <c r="AK166" s="536">
        <f>NPV(realdiscrt3,AK$65:AK86)/(1+realdiscrt3)^(2-Half_Year)</f>
        <v>2.0677585010180031</v>
      </c>
      <c r="AL166" s="536">
        <f>NPV(realdiscrt3,AL$65:AL86)/(1+realdiscrt3)^(2-Half_Year)</f>
        <v>3.7845658215290503</v>
      </c>
      <c r="AM166" s="536">
        <f>NPV(realdiscrt3,AM$65:AM86)/(1+realdiscrt3)^(2-Half_Year)</f>
        <v>3.3205638430125513</v>
      </c>
      <c r="AN166" s="518">
        <f>NPV(realdiscrt3,AN$65:AN86)/(1+realdiscrt3)^(2-Half_Year)</f>
        <v>668.71463141052777</v>
      </c>
      <c r="AO166" s="519">
        <f>NPV(realdiscrt3,AO$65:AO86)/(1+realdiscrt3)^(2-Half_Year)</f>
        <v>595.69106021195444</v>
      </c>
      <c r="AP166" s="505">
        <f>NPV(realdiscrt3,AP$65:AP86)/(1+realdiscrt3)^(2-Half_Year)</f>
        <v>570.26908123803412</v>
      </c>
      <c r="AQ166" s="533">
        <f>NPV(realdiscrt3,AQ$65:AQ86)/(1+realdiscrt3)^(2-Half_Year)</f>
        <v>0.35430129485341355</v>
      </c>
      <c r="AR166" s="519">
        <f>NPV(realdiscrt3,AR$65:AR86)/(1+realdiscrt3)^(2-Half_Year)</f>
        <v>823.20745421588708</v>
      </c>
      <c r="AS166" s="534">
        <f>NPV(realdiscrt3,AS$65:AS86)/(1+realdiscrt3)^(2-Half_Year)</f>
        <v>1039.1548895498058</v>
      </c>
      <c r="AT166" s="518">
        <f>NPV(realdiscrt3,AT$65:AT86)/(1+realdiscrt3)^(2-Half_Year)</f>
        <v>579.59705135768399</v>
      </c>
      <c r="AU166" s="532">
        <f>NPV(realdiscrt3,AU$65:AU86)/(1+realdiscrt3)^(2-Half_Year)</f>
        <v>624.99500456491489</v>
      </c>
      <c r="AV166" s="531">
        <f>NPV(realdiscrt3,AV$65:AV86)/(1+realdiscrt3)^(2-Half_Year)</f>
        <v>0.26963271342679579</v>
      </c>
      <c r="AW166" s="534">
        <f>NPV(realdiscrt3,AW$65:AW86)/(1+realdiscrt3)^(2-Half_Year)</f>
        <v>0.26963271342679579</v>
      </c>
      <c r="AX166" s="523">
        <f>NPV(realdiscrt3,AX$65:AX86)/(1+realdiscrt3)^(2-Half_Year)</f>
        <v>32.087289791541998</v>
      </c>
      <c r="AY166" s="537">
        <f>NPV(realdiscrt3,AY$65:AY86)/(1+realdiscrt3)^(2-Half_Year)</f>
        <v>266.78572127309133</v>
      </c>
      <c r="AZ166" s="530">
        <f>NPV(realdiscrt3,AZ$65:AZ86)/(1+realdiscrt3)^(2-Half_Year)</f>
        <v>0.60018895280772389</v>
      </c>
      <c r="BA166" s="536">
        <f>NPV(realdiscrt3,BA$65:BA86)/(1+realdiscrt3)^(2-Half_Year)</f>
        <v>0.62684016104060558</v>
      </c>
      <c r="BB166" s="536">
        <f>NPV(realdiscrt3,BB$65:BB86)/(1+realdiscrt3)^(2-Half_Year)</f>
        <v>0.65206407599995853</v>
      </c>
      <c r="BC166" s="533">
        <f>NPV(realdiscrt3,BC$65:BC86)/(1+realdiscrt3)^(2-Half_Year)</f>
        <v>0.70429211809817061</v>
      </c>
    </row>
    <row r="167" spans="1:96" s="324" customFormat="1" ht="14.25">
      <c r="A167" s="525">
        <f t="shared" si="99"/>
        <v>23</v>
      </c>
      <c r="B167" s="526">
        <f t="shared" si="98"/>
        <v>2048</v>
      </c>
      <c r="C167" s="527">
        <f>NPV(realdiscrt3,C$65:C87)/(1+realdiscrt3)^(2-Half_Year)</f>
        <v>1.7122524276015876</v>
      </c>
      <c r="D167" s="528">
        <f>NPV(realdiscrt3,D$65:D87)/(1+realdiscrt3)^(2-Half_Year)</f>
        <v>1.7001064756959252</v>
      </c>
      <c r="E167" s="528">
        <f>NPV(realdiscrt3,E$65:E87)/(1+realdiscrt3)^(2-Half_Year)</f>
        <v>1.3219697958937711</v>
      </c>
      <c r="F167" s="529">
        <f>NPV(realdiscrt3,F$65:F87)/(1+realdiscrt3)^(2-Half_Year)</f>
        <v>1.247077649820064</v>
      </c>
      <c r="G167" s="527">
        <f>NPV(realdiscrt3,G$65:G87)/(1+realdiscrt3)^(2-Half_Year)</f>
        <v>7.3453883936130102E-2</v>
      </c>
      <c r="H167" s="528">
        <f>NPV(realdiscrt3,H$65:H87)/(1+realdiscrt3)^(2-Half_Year)</f>
        <v>6.4061906738209703E-2</v>
      </c>
      <c r="I167" s="528">
        <f>NPV(realdiscrt3,I$65:I87)/(1+realdiscrt3)^(2-Half_Year)</f>
        <v>4.3442426470143042E-2</v>
      </c>
      <c r="J167" s="528">
        <f>NPV(realdiscrt3,J$65:J87)/(1+realdiscrt3)^(2-Half_Year)</f>
        <v>2.7471822938881851E-2</v>
      </c>
      <c r="K167" s="530">
        <f>NPV(realdiscrt3,K$65:K87)/(1+realdiscrt3)^(2-Half_Year)</f>
        <v>1.6088424130006457E-2</v>
      </c>
      <c r="L167" s="1139">
        <f>NPV(realdiscrt3,L$65:L87)/(1+realdiscrt3)^(2-Half_Year)</f>
        <v>1487.2977575538393</v>
      </c>
      <c r="M167" s="532">
        <f>NPV(realdiscrt3,M$65:M87)/(1+realdiscrt3)^(2-Half_Year)</f>
        <v>374.26389787486545</v>
      </c>
      <c r="N167" s="532">
        <f>NPV(realdiscrt3,N$65:N87)/(1+realdiscrt3)^(2-Half_Year)</f>
        <v>374.26389787486545</v>
      </c>
      <c r="O167" s="534">
        <f>NPV(realdiscrt3,O$65:O87)/(1+realdiscrt3)^(2-Half_Year)</f>
        <v>0</v>
      </c>
      <c r="P167" s="637">
        <f t="shared" si="97"/>
        <v>0</v>
      </c>
      <c r="Q167" s="637">
        <f t="shared" si="97"/>
        <v>0</v>
      </c>
      <c r="R167" s="1134">
        <f t="shared" si="97"/>
        <v>0</v>
      </c>
      <c r="S167" s="519">
        <f>NPV(realdiscrt3,S$65:S87)/(1+realdiscrt3)^(2-Half_Year)</f>
        <v>0</v>
      </c>
      <c r="T167" s="519">
        <f>NPV(realdiscrt3,T$65:T87)/(1+realdiscrt3)^(2-Half_Year)</f>
        <v>0</v>
      </c>
      <c r="U167" s="533">
        <f>NPV(realdiscrt3,U$65:U87)/(1+realdiscrt3)^(2-Half_Year)</f>
        <v>0</v>
      </c>
      <c r="V167" s="531">
        <f>NPV(realdiscrt3,V$65:V87)/(1+realdiscrt3)^(2-Half_Year)</f>
        <v>2192.7628010244771</v>
      </c>
      <c r="W167" s="532">
        <f>NPV(realdiscrt3,W$65:W87)/(1+realdiscrt3)^(2-Half_Year)</f>
        <v>0</v>
      </c>
      <c r="X167" s="534">
        <f>NPV(realdiscrt3,X$65:X87)/(1+realdiscrt3)^(2-Half_Year)</f>
        <v>2665.9101199500838</v>
      </c>
      <c r="Y167" s="531">
        <f>NPV(realdiscrt3,Y$65:Y87)/(1+realdiscrt3)^(2-Half_Year)</f>
        <v>155.74710350829281</v>
      </c>
      <c r="Z167" s="532">
        <f>NPV(realdiscrt3,Z$65:Z87)/(1+realdiscrt3)^(2-Half_Year)</f>
        <v>177.7616486815617</v>
      </c>
      <c r="AA167" s="532">
        <f>NPV(realdiscrt3,AA$65:AA87)/(1+realdiscrt3)^(2-Half_Year)</f>
        <v>238.62646520716336</v>
      </c>
      <c r="AB167" s="532">
        <f>NPV(realdiscrt3,AB$65:AB87)/(1+realdiscrt3)^(2-Half_Year)</f>
        <v>217.34648308120919</v>
      </c>
      <c r="AC167" s="532">
        <f>NPV(realdiscrt3,AC$65:AC87)/(1+realdiscrt3)^(2-Half_Year)</f>
        <v>175.39488221698875</v>
      </c>
      <c r="AD167" s="532">
        <f>NPV(realdiscrt3,AD$65:AD87)/(1+realdiscrt3)^(2-Half_Year)</f>
        <v>224.28994823277105</v>
      </c>
      <c r="AE167" s="534">
        <f>NPV(realdiscrt3,AE$65:AE87)/(1+realdiscrt3)^(2-Half_Year)</f>
        <v>211.07068176337299</v>
      </c>
      <c r="AF167" s="535">
        <f>NPV(realdiscrt3,AF$65:AF87)/(1+realdiscrt3)^(2-Half_Year)</f>
        <v>5.8500070661986751E-2</v>
      </c>
      <c r="AG167" s="530">
        <f>NPV(realdiscrt3,AG$65:AG87)/(1+realdiscrt3)^(2-Half_Year)</f>
        <v>2.0677585010180031</v>
      </c>
      <c r="AH167" s="536">
        <f>NPV(realdiscrt3,AH$65:AH87)/(1+realdiscrt3)^(2-Half_Year)</f>
        <v>2.0677585010180031</v>
      </c>
      <c r="AI167" s="536">
        <f>NPV(realdiscrt3,AI$65:AI87)/(1+realdiscrt3)^(2-Half_Year)</f>
        <v>3.7845658215290503</v>
      </c>
      <c r="AJ167" s="536">
        <f>NPV(realdiscrt3,AJ$65:AJ87)/(1+realdiscrt3)^(2-Half_Year)</f>
        <v>3.222894290744573</v>
      </c>
      <c r="AK167" s="536">
        <f>NPV(realdiscrt3,AK$65:AK87)/(1+realdiscrt3)^(2-Half_Year)</f>
        <v>2.0677585010180031</v>
      </c>
      <c r="AL167" s="536">
        <f>NPV(realdiscrt3,AL$65:AL87)/(1+realdiscrt3)^(2-Half_Year)</f>
        <v>3.7845658215290503</v>
      </c>
      <c r="AM167" s="536">
        <f>NPV(realdiscrt3,AM$65:AM87)/(1+realdiscrt3)^(2-Half_Year)</f>
        <v>3.3205638430125513</v>
      </c>
      <c r="AN167" s="518">
        <f>NPV(realdiscrt3,AN$65:AN87)/(1+realdiscrt3)^(2-Half_Year)</f>
        <v>696.78018399392147</v>
      </c>
      <c r="AO167" s="519">
        <f>NPV(realdiscrt3,AO$65:AO87)/(1+realdiscrt3)^(2-Half_Year)</f>
        <v>621.08266890202071</v>
      </c>
      <c r="AP167" s="505">
        <f>NPV(realdiscrt3,AP$65:AP87)/(1+realdiscrt3)^(2-Half_Year)</f>
        <v>594.59769659679284</v>
      </c>
      <c r="AQ167" s="533">
        <f>NPV(realdiscrt3,AQ$65:AQ87)/(1+realdiscrt3)^(2-Half_Year)</f>
        <v>0.36911699140678</v>
      </c>
      <c r="AR167" s="519">
        <f>NPV(realdiscrt3,AR$65:AR87)/(1+realdiscrt3)^(2-Half_Year)</f>
        <v>857.7569780458125</v>
      </c>
      <c r="AS167" s="534">
        <f>NPV(realdiscrt3,AS$65:AS87)/(1+realdiscrt3)^(2-Half_Year)</f>
        <v>1081.5391076555425</v>
      </c>
      <c r="AT167" s="518">
        <f>NPV(realdiscrt3,AT$65:AT87)/(1+realdiscrt3)^(2-Half_Year)</f>
        <v>603.92239247927353</v>
      </c>
      <c r="AU167" s="532">
        <f>NPV(realdiscrt3,AU$65:AU87)/(1+realdiscrt3)^(2-Half_Year)</f>
        <v>651.22567059352559</v>
      </c>
      <c r="AV167" s="531">
        <f>NPV(realdiscrt3,AV$65:AV87)/(1+realdiscrt3)^(2-Half_Year)</f>
        <v>0.2800818540954364</v>
      </c>
      <c r="AW167" s="534">
        <f>NPV(realdiscrt3,AW$65:AW87)/(1+realdiscrt3)^(2-Half_Year)</f>
        <v>0.2800818540954364</v>
      </c>
      <c r="AX167" s="523">
        <f>NPV(realdiscrt3,AX$65:AX87)/(1+realdiscrt3)^(2-Half_Year)</f>
        <v>33.330776163970945</v>
      </c>
      <c r="AY167" s="537">
        <f>NPV(realdiscrt3,AY$65:AY87)/(1+realdiscrt3)^(2-Half_Year)</f>
        <v>278.19098633017262</v>
      </c>
      <c r="AZ167" s="530">
        <f>NPV(realdiscrt3,AZ$65:AZ87)/(1+realdiscrt3)^(2-Half_Year)</f>
        <v>0.60795776475857111</v>
      </c>
      <c r="BA167" s="536">
        <f>NPV(realdiscrt3,BA$65:BA87)/(1+realdiscrt3)^(2-Half_Year)</f>
        <v>0.63359905047102572</v>
      </c>
      <c r="BB167" s="536">
        <f>NPV(realdiscrt3,BB$65:BB87)/(1+realdiscrt3)^(2-Half_Year)</f>
        <v>0.65994054456063367</v>
      </c>
      <c r="BC167" s="533">
        <f>NPV(realdiscrt3,BC$65:BC87)/(1+realdiscrt3)^(2-Half_Year)</f>
        <v>0.71223048210033657</v>
      </c>
    </row>
    <row r="168" spans="1:96" s="324" customFormat="1" ht="14.25">
      <c r="A168" s="525">
        <f t="shared" si="99"/>
        <v>24</v>
      </c>
      <c r="B168" s="526">
        <f t="shared" si="98"/>
        <v>2049</v>
      </c>
      <c r="C168" s="527">
        <f>NPV(realdiscrt3,C$65:C88)/(1+realdiscrt3)^(2-Half_Year)</f>
        <v>1.7814018949106851</v>
      </c>
      <c r="D168" s="528">
        <f>NPV(realdiscrt3,D$65:D88)/(1+realdiscrt3)^(2-Half_Year)</f>
        <v>1.7697083261845048</v>
      </c>
      <c r="E168" s="528">
        <f>NPV(realdiscrt3,E$65:E88)/(1+realdiscrt3)^(2-Half_Year)</f>
        <v>1.3793396149969988</v>
      </c>
      <c r="F168" s="529">
        <f>NPV(realdiscrt3,F$65:F88)/(1+realdiscrt3)^(2-Half_Year)</f>
        <v>1.3019173777715334</v>
      </c>
      <c r="G168" s="527">
        <f>NPV(realdiscrt3,G$65:G88)/(1+realdiscrt3)^(2-Half_Year)</f>
        <v>7.3453883936130102E-2</v>
      </c>
      <c r="H168" s="528">
        <f>NPV(realdiscrt3,H$65:H88)/(1+realdiscrt3)^(2-Half_Year)</f>
        <v>6.4061906738209703E-2</v>
      </c>
      <c r="I168" s="528">
        <f>NPV(realdiscrt3,I$65:I88)/(1+realdiscrt3)^(2-Half_Year)</f>
        <v>4.3442426470143042E-2</v>
      </c>
      <c r="J168" s="528">
        <f>NPV(realdiscrt3,J$65:J88)/(1+realdiscrt3)^(2-Half_Year)</f>
        <v>2.7471822938881851E-2</v>
      </c>
      <c r="K168" s="530">
        <f>NPV(realdiscrt3,K$65:K88)/(1+realdiscrt3)^(2-Half_Year)</f>
        <v>1.6105905582525375E-2</v>
      </c>
      <c r="L168" s="1139">
        <f>NPV(realdiscrt3,L$65:L88)/(1+realdiscrt3)^(2-Half_Year)</f>
        <v>1562.6346244863348</v>
      </c>
      <c r="M168" s="532">
        <f>NPV(realdiscrt3,M$65:M88)/(1+realdiscrt3)^(2-Half_Year)</f>
        <v>374.26389787486545</v>
      </c>
      <c r="N168" s="532">
        <f>NPV(realdiscrt3,N$65:N88)/(1+realdiscrt3)^(2-Half_Year)</f>
        <v>374.26389787486545</v>
      </c>
      <c r="O168" s="534">
        <f>NPV(realdiscrt3,O$65:O88)/(1+realdiscrt3)^(2-Half_Year)</f>
        <v>0</v>
      </c>
      <c r="P168" s="637">
        <f t="shared" si="97"/>
        <v>0</v>
      </c>
      <c r="Q168" s="637">
        <f t="shared" si="97"/>
        <v>0</v>
      </c>
      <c r="R168" s="1134">
        <f t="shared" si="97"/>
        <v>0</v>
      </c>
      <c r="S168" s="519">
        <f>NPV(realdiscrt3,S$65:S88)/(1+realdiscrt3)^(2-Half_Year)</f>
        <v>0</v>
      </c>
      <c r="T168" s="519">
        <f>NPV(realdiscrt3,T$65:T88)/(1+realdiscrt3)^(2-Half_Year)</f>
        <v>0</v>
      </c>
      <c r="U168" s="533">
        <f>NPV(realdiscrt3,U$65:U88)/(1+realdiscrt3)^(2-Half_Year)</f>
        <v>0</v>
      </c>
      <c r="V168" s="531">
        <f>NPV(realdiscrt3,V$65:V88)/(1+realdiscrt3)^(2-Half_Year)</f>
        <v>2273.4683217106276</v>
      </c>
      <c r="W168" s="532">
        <f>NPV(realdiscrt3,W$65:W88)/(1+realdiscrt3)^(2-Half_Year)</f>
        <v>0</v>
      </c>
      <c r="X168" s="534">
        <f>NPV(realdiscrt3,X$65:X88)/(1+realdiscrt3)^(2-Half_Year)</f>
        <v>2764.0300188431729</v>
      </c>
      <c r="Y168" s="531">
        <f>NPV(realdiscrt3,Y$65:Y88)/(1+realdiscrt3)^(2-Half_Year)</f>
        <v>162.0685665381267</v>
      </c>
      <c r="Z168" s="532">
        <f>NPV(realdiscrt3,Z$65:Z88)/(1+realdiscrt3)^(2-Half_Year)</f>
        <v>184.82872161681465</v>
      </c>
      <c r="AA168" s="532">
        <f>NPV(realdiscrt3,AA$65:AA88)/(1+realdiscrt3)^(2-Half_Year)</f>
        <v>247.79595122842173</v>
      </c>
      <c r="AB168" s="532">
        <f>NPV(realdiscrt3,AB$65:AB88)/(1+realdiscrt3)^(2-Half_Year)</f>
        <v>225.78032326374654</v>
      </c>
      <c r="AC168" s="532">
        <f>NPV(realdiscrt3,AC$65:AC88)/(1+realdiscrt3)^(2-Half_Year)</f>
        <v>182.37472061131942</v>
      </c>
      <c r="AD168" s="532">
        <f>NPV(realdiscrt3,AD$65:AD88)/(1+realdiscrt3)^(2-Half_Year)</f>
        <v>232.96741046493844</v>
      </c>
      <c r="AE168" s="534">
        <f>NPV(realdiscrt3,AE$65:AE88)/(1+realdiscrt3)^(2-Half_Year)</f>
        <v>219.28842732540815</v>
      </c>
      <c r="AF168" s="535">
        <f>NPV(realdiscrt3,AF$65:AF88)/(1+realdiscrt3)^(2-Half_Year)</f>
        <v>6.080604371086875E-2</v>
      </c>
      <c r="AG168" s="530">
        <f>NPV(realdiscrt3,AG$65:AG88)/(1+realdiscrt3)^(2-Half_Year)</f>
        <v>2.0677585010180031</v>
      </c>
      <c r="AH168" s="536">
        <f>NPV(realdiscrt3,AH$65:AH88)/(1+realdiscrt3)^(2-Half_Year)</f>
        <v>2.0677585010180031</v>
      </c>
      <c r="AI168" s="536">
        <f>NPV(realdiscrt3,AI$65:AI88)/(1+realdiscrt3)^(2-Half_Year)</f>
        <v>3.7845658215290503</v>
      </c>
      <c r="AJ168" s="536">
        <f>NPV(realdiscrt3,AJ$65:AJ88)/(1+realdiscrt3)^(2-Half_Year)</f>
        <v>3.222894290744573</v>
      </c>
      <c r="AK168" s="536">
        <f>NPV(realdiscrt3,AK$65:AK88)/(1+realdiscrt3)^(2-Half_Year)</f>
        <v>2.0677585010180031</v>
      </c>
      <c r="AL168" s="536">
        <f>NPV(realdiscrt3,AL$65:AL88)/(1+realdiscrt3)^(2-Half_Year)</f>
        <v>3.7845658215290503</v>
      </c>
      <c r="AM168" s="536">
        <f>NPV(realdiscrt3,AM$65:AM88)/(1+realdiscrt3)^(2-Half_Year)</f>
        <v>3.3205638430125513</v>
      </c>
      <c r="AN168" s="518">
        <f>NPV(realdiscrt3,AN$65:AN88)/(1+realdiscrt3)^(2-Half_Year)</f>
        <v>724.64667823811408</v>
      </c>
      <c r="AO168" s="519">
        <f>NPV(realdiscrt3,AO$65:AO88)/(1+realdiscrt3)^(2-Half_Year)</f>
        <v>646.32745278135212</v>
      </c>
      <c r="AP168" s="505">
        <f>NPV(realdiscrt3,AP$65:AP88)/(1+realdiscrt3)^(2-Half_Year)</f>
        <v>618.78692581476469</v>
      </c>
      <c r="AQ168" s="533">
        <f>NPV(realdiscrt3,AQ$65:AQ88)/(1+realdiscrt3)^(2-Half_Year)</f>
        <v>0.38381965652269845</v>
      </c>
      <c r="AR168" s="519">
        <f>NPV(realdiscrt3,AR$65:AR88)/(1+realdiscrt3)^(2-Half_Year)</f>
        <v>892.0614551832366</v>
      </c>
      <c r="AS168" s="534">
        <f>NPV(realdiscrt3,AS$65:AS88)/(1+realdiscrt3)^(2-Half_Year)</f>
        <v>1123.5252144679348</v>
      </c>
      <c r="AT168" s="518">
        <f>NPV(realdiscrt3,AT$65:AT88)/(1+realdiscrt3)^(2-Half_Year)</f>
        <v>628.07520316556236</v>
      </c>
      <c r="AU168" s="532">
        <f>NPV(realdiscrt3,AU$65:AU88)/(1+realdiscrt3)^(2-Half_Year)</f>
        <v>677.27029243860272</v>
      </c>
      <c r="AV168" s="531">
        <f>NPV(realdiscrt3,AV$65:AV88)/(1+realdiscrt3)^(2-Half_Year)</f>
        <v>0.290390379878049</v>
      </c>
      <c r="AW168" s="534">
        <f>NPV(realdiscrt3,AW$65:AW88)/(1+realdiscrt3)^(2-Half_Year)</f>
        <v>0.290390379878049</v>
      </c>
      <c r="AX168" s="523">
        <f>NPV(realdiscrt3,AX$65:AX88)/(1+realdiscrt3)^(2-Half_Year)</f>
        <v>34.557528845077186</v>
      </c>
      <c r="AY168" s="537">
        <f>NPV(realdiscrt3,AY$65:AY88)/(1+realdiscrt3)^(2-Half_Year)</f>
        <v>289.44276986212373</v>
      </c>
      <c r="AZ168" s="530">
        <f>NPV(realdiscrt3,AZ$65:AZ88)/(1+realdiscrt3)^(2-Half_Year)</f>
        <v>0.61501478800725318</v>
      </c>
      <c r="BA168" s="536">
        <f>NPV(realdiscrt3,BA$65:BA88)/(1+realdiscrt3)^(2-Half_Year)</f>
        <v>0.63967375834265461</v>
      </c>
      <c r="BB168" s="536">
        <f>NPV(realdiscrt3,BB$65:BB88)/(1+realdiscrt3)^(2-Half_Year)</f>
        <v>0.66705017014992096</v>
      </c>
      <c r="BC168" s="533">
        <f>NPV(realdiscrt3,BC$65:BC88)/(1+realdiscrt3)^(2-Half_Year)</f>
        <v>0.71937751841959485</v>
      </c>
    </row>
    <row r="169" spans="1:96" s="324" customFormat="1" ht="14.25">
      <c r="A169" s="538">
        <f t="shared" si="99"/>
        <v>25</v>
      </c>
      <c r="B169" s="539">
        <f t="shared" si="98"/>
        <v>2050</v>
      </c>
      <c r="C169" s="540">
        <f>NPV(realdiscrt3,C$65:C89)/(1+realdiscrt3)^(2-Half_Year)</f>
        <v>1.8504115341894414</v>
      </c>
      <c r="D169" s="541">
        <f>NPV(realdiscrt3,D$65:D89)/(1+realdiscrt3)^(2-Half_Year)</f>
        <v>1.8391980543274733</v>
      </c>
      <c r="E169" s="541">
        <f>NPV(realdiscrt3,E$65:E89)/(1+realdiscrt3)^(2-Half_Year)</f>
        <v>1.4370119175887346</v>
      </c>
      <c r="F169" s="542">
        <f>NPV(realdiscrt3,F$65:F89)/(1+realdiscrt3)^(2-Half_Year)</f>
        <v>1.3570853432988617</v>
      </c>
      <c r="G169" s="540">
        <f>NPV(realdiscrt3,G$65:G89)/(1+realdiscrt3)^(2-Half_Year)</f>
        <v>7.3453883936130102E-2</v>
      </c>
      <c r="H169" s="541">
        <f>NPV(realdiscrt3,H$65:H89)/(1+realdiscrt3)^(2-Half_Year)</f>
        <v>6.4061906738209703E-2</v>
      </c>
      <c r="I169" s="541">
        <f>NPV(realdiscrt3,I$65:I89)/(1+realdiscrt3)^(2-Half_Year)</f>
        <v>4.3442426470143042E-2</v>
      </c>
      <c r="J169" s="541">
        <f>NPV(realdiscrt3,J$65:J89)/(1+realdiscrt3)^(2-Half_Year)</f>
        <v>2.7471822938881851E-2</v>
      </c>
      <c r="K169" s="543">
        <f>NPV(realdiscrt3,K$65:K89)/(1+realdiscrt3)^(2-Half_Year)</f>
        <v>1.6123195474217988E-2</v>
      </c>
      <c r="L169" s="544">
        <f>NPV(realdiscrt3,L$65:L89)/(1+realdiscrt3)^(2-Half_Year)</f>
        <v>1639.283114308342</v>
      </c>
      <c r="M169" s="545">
        <f>NPV(realdiscrt3,M$65:M89)/(1+realdiscrt3)^(2-Half_Year)</f>
        <v>374.26389787486545</v>
      </c>
      <c r="N169" s="545">
        <f>NPV(realdiscrt3,N$65:N89)/(1+realdiscrt3)^(2-Half_Year)</f>
        <v>374.26389787486545</v>
      </c>
      <c r="O169" s="547">
        <f>NPV(realdiscrt3,O$65:O89)/(1+realdiscrt3)^(2-Half_Year)</f>
        <v>0</v>
      </c>
      <c r="P169" s="638">
        <f t="shared" si="97"/>
        <v>0</v>
      </c>
      <c r="Q169" s="638">
        <f t="shared" si="97"/>
        <v>0</v>
      </c>
      <c r="R169" s="1135">
        <f t="shared" si="97"/>
        <v>0</v>
      </c>
      <c r="S169" s="551">
        <f>NPV(realdiscrt3,S$65:S89)/(1+realdiscrt3)^(2-Half_Year)</f>
        <v>0</v>
      </c>
      <c r="T169" s="551">
        <f>NPV(realdiscrt3,T$65:T89)/(1+realdiscrt3)^(2-Half_Year)</f>
        <v>0</v>
      </c>
      <c r="U169" s="546">
        <f>NPV(realdiscrt3,U$65:U89)/(1+realdiscrt3)^(2-Half_Year)</f>
        <v>0</v>
      </c>
      <c r="V169" s="544">
        <f>NPV(realdiscrt3,V$65:V89)/(1+realdiscrt3)^(2-Half_Year)</f>
        <v>2353.0877820255951</v>
      </c>
      <c r="W169" s="545">
        <f>NPV(realdiscrt3,W$65:W89)/(1+realdiscrt3)^(2-Half_Year)</f>
        <v>0</v>
      </c>
      <c r="X169" s="547">
        <f>NPV(realdiscrt3,X$65:X89)/(1+realdiscrt3)^(2-Half_Year)</f>
        <v>2860.8295107441973</v>
      </c>
      <c r="Y169" s="544">
        <f>NPV(realdiscrt3,Y$65:Y89)/(1+realdiscrt3)^(2-Half_Year)</f>
        <v>168.35278896118598</v>
      </c>
      <c r="Z169" s="545">
        <f>NPV(realdiscrt3,Z$65:Z89)/(1+realdiscrt3)^(2-Half_Year)</f>
        <v>191.84258957098618</v>
      </c>
      <c r="AA169" s="545">
        <f>NPV(realdiscrt3,AA$65:AA89)/(1+realdiscrt3)^(2-Half_Year)</f>
        <v>256.87194104580379</v>
      </c>
      <c r="AB169" s="545">
        <f>NPV(realdiscrt3,AB$65:AB89)/(1+realdiscrt3)^(2-Half_Year)</f>
        <v>234.13460968770332</v>
      </c>
      <c r="AC169" s="545">
        <f>NPV(realdiscrt3,AC$65:AC89)/(1+realdiscrt3)^(2-Half_Year)</f>
        <v>189.30254292360107</v>
      </c>
      <c r="AD169" s="545">
        <f>NPV(realdiscrt3,AD$65:AD89)/(1+realdiscrt3)^(2-Half_Year)</f>
        <v>241.56101492877625</v>
      </c>
      <c r="AE169" s="547">
        <f>NPV(realdiscrt3,AE$65:AE89)/(1+realdiscrt3)^(2-Half_Year)</f>
        <v>227.4308121090863</v>
      </c>
      <c r="AF169" s="548">
        <f>NPV(realdiscrt3,AF$65:AF89)/(1+realdiscrt3)^(2-Half_Year)</f>
        <v>6.3086264009472509E-2</v>
      </c>
      <c r="AG169" s="543">
        <f>NPV(realdiscrt3,AG$65:AG89)/(1+realdiscrt3)^(2-Half_Year)</f>
        <v>2.0677585010180031</v>
      </c>
      <c r="AH169" s="549">
        <f>NPV(realdiscrt3,AH$65:AH89)/(1+realdiscrt3)^(2-Half_Year)</f>
        <v>2.0677585010180031</v>
      </c>
      <c r="AI169" s="549">
        <f>NPV(realdiscrt3,AI$65:AI89)/(1+realdiscrt3)^(2-Half_Year)</f>
        <v>3.7845658215290503</v>
      </c>
      <c r="AJ169" s="549">
        <f>NPV(realdiscrt3,AJ$65:AJ89)/(1+realdiscrt3)^(2-Half_Year)</f>
        <v>3.222894290744573</v>
      </c>
      <c r="AK169" s="549">
        <f>NPV(realdiscrt3,AK$65:AK89)/(1+realdiscrt3)^(2-Half_Year)</f>
        <v>2.0677585010180031</v>
      </c>
      <c r="AL169" s="549">
        <f>NPV(realdiscrt3,AL$65:AL89)/(1+realdiscrt3)^(2-Half_Year)</f>
        <v>3.7845658215290503</v>
      </c>
      <c r="AM169" s="549">
        <f>NPV(realdiscrt3,AM$65:AM89)/(1+realdiscrt3)^(2-Half_Year)</f>
        <v>3.3205638430125513</v>
      </c>
      <c r="AN169" s="550">
        <f>NPV(realdiscrt3,AN$65:AN89)/(1+realdiscrt3)^(2-Half_Year)</f>
        <v>752.31552598854455</v>
      </c>
      <c r="AO169" s="551">
        <f>NPV(realdiscrt3,AO$65:AO89)/(1+realdiscrt3)^(2-Half_Year)</f>
        <v>671.42626085188897</v>
      </c>
      <c r="AP169" s="551">
        <f>NPV(realdiscrt3,AP$65:AP89)/(1+realdiscrt3)^(2-Half_Year)</f>
        <v>642.8375674781397</v>
      </c>
      <c r="AQ169" s="546">
        <f>NPV(realdiscrt3,AQ$65:AQ89)/(1+realdiscrt3)^(2-Half_Year)</f>
        <v>0.39841015253698975</v>
      </c>
      <c r="AR169" s="551">
        <f>NPV(realdiscrt3,AR$65:AR89)/(1+realdiscrt3)^(2-Half_Year)</f>
        <v>926.12262365157801</v>
      </c>
      <c r="AS169" s="547">
        <f>NPV(realdiscrt3,AS$65:AS89)/(1+realdiscrt3)^(2-Half_Year)</f>
        <v>1165.1169494119147</v>
      </c>
      <c r="AT169" s="550">
        <f>NPV(realdiscrt3,AT$65:AT89)/(1+realdiscrt3)^(2-Half_Year)</f>
        <v>652.05670710961044</v>
      </c>
      <c r="AU169" s="545">
        <f>NPV(realdiscrt3,AU$65:AU89)/(1+realdiscrt3)^(2-Half_Year)</f>
        <v>703.13018964110609</v>
      </c>
      <c r="AV169" s="544">
        <f>NPV(realdiscrt3,AV$65:AV89)/(1+realdiscrt3)^(2-Half_Year)</f>
        <v>0.30056018303992105</v>
      </c>
      <c r="AW169" s="547">
        <f>NPV(realdiscrt3,AW$65:AW89)/(1+realdiscrt3)^(2-Half_Year)</f>
        <v>0.30056018303992105</v>
      </c>
      <c r="AX169" s="552">
        <f>NPV(realdiscrt3,AX$65:AX89)/(1+realdiscrt3)^(2-Half_Year)</f>
        <v>35.767773021426073</v>
      </c>
      <c r="AY169" s="553">
        <f>NPV(realdiscrt3,AY$65:AY89)/(1+realdiscrt3)^(2-Half_Year)</f>
        <v>300.54313728158002</v>
      </c>
      <c r="AZ169" s="543">
        <f>NPV(realdiscrt3,AZ$65:AZ89)/(1+realdiscrt3)^(2-Half_Year)</f>
        <v>0.62142523756473123</v>
      </c>
      <c r="BA169" s="549">
        <f>NPV(realdiscrt3,BA$65:BA89)/(1+realdiscrt3)^(2-Half_Year)</f>
        <v>0.64513354224732145</v>
      </c>
      <c r="BB169" s="549">
        <f>NPV(realdiscrt3,BB$65:BB89)/(1+realdiscrt3)^(2-Half_Year)</f>
        <v>0.67346761162517965</v>
      </c>
      <c r="BC169" s="546">
        <f>NPV(realdiscrt3,BC$65:BC89)/(1+realdiscrt3)^(2-Half_Year)</f>
        <v>0.7258121097453214</v>
      </c>
    </row>
    <row r="171" spans="1:96" ht="13.5" thickBot="1"/>
    <row r="172" spans="1:96" ht="35.25" thickTop="1" thickBot="1">
      <c r="B172" s="554" t="s">
        <v>606</v>
      </c>
      <c r="C172" s="555"/>
      <c r="D172" s="555"/>
      <c r="E172" s="555"/>
      <c r="F172" s="555"/>
      <c r="G172" s="555"/>
      <c r="H172" s="555"/>
      <c r="I172" s="555"/>
      <c r="J172" s="555"/>
      <c r="K172" s="555"/>
      <c r="L172" s="555"/>
      <c r="M172" s="555"/>
      <c r="N172" s="555"/>
      <c r="O172" s="555"/>
      <c r="P172" s="555"/>
      <c r="Q172" s="555"/>
      <c r="R172" s="555"/>
      <c r="S172" s="555"/>
      <c r="T172" s="555"/>
      <c r="U172" s="555"/>
      <c r="V172" s="555"/>
      <c r="W172" s="555"/>
      <c r="X172" s="555"/>
      <c r="Y172" s="555"/>
      <c r="Z172" s="555"/>
      <c r="AA172" s="555"/>
      <c r="AB172" s="555"/>
      <c r="AC172" s="555"/>
      <c r="AD172" s="555"/>
      <c r="AE172" s="555"/>
      <c r="AF172" s="555"/>
      <c r="AG172" s="555"/>
      <c r="AH172" s="555"/>
      <c r="AI172" s="555"/>
      <c r="AJ172" s="555"/>
      <c r="AK172" s="555"/>
      <c r="AL172" s="555"/>
      <c r="AM172" s="555"/>
      <c r="AN172" s="555"/>
      <c r="AO172" s="555"/>
      <c r="AP172" s="555"/>
      <c r="AQ172" s="555"/>
      <c r="AR172" s="555"/>
      <c r="AS172" s="555"/>
      <c r="AT172" s="555"/>
      <c r="AU172" s="555"/>
      <c r="AV172" s="555"/>
      <c r="AW172" s="555"/>
      <c r="AX172" s="555"/>
      <c r="AY172" s="555"/>
      <c r="AZ172" s="555"/>
      <c r="BA172" s="555"/>
      <c r="BB172" s="555"/>
      <c r="BC172" s="555"/>
      <c r="BD172" s="555"/>
      <c r="BE172" s="555"/>
      <c r="BF172" s="555"/>
      <c r="BG172" s="555"/>
      <c r="BH172" s="555"/>
      <c r="BI172" s="555"/>
      <c r="BJ172" s="555"/>
      <c r="BK172" s="555"/>
      <c r="BL172" s="555"/>
      <c r="BM172" s="555"/>
      <c r="BN172" s="555"/>
      <c r="BO172" s="555"/>
      <c r="BP172" s="555"/>
      <c r="BQ172" s="555"/>
      <c r="BR172" s="555"/>
      <c r="BS172" s="555"/>
      <c r="BT172" s="555"/>
      <c r="BU172" s="555"/>
      <c r="BV172" s="555"/>
      <c r="BW172" s="555"/>
      <c r="BX172" s="555"/>
      <c r="BY172" s="555"/>
      <c r="BZ172" s="555"/>
      <c r="CA172" s="555"/>
      <c r="CB172" s="555"/>
      <c r="CC172" s="555"/>
      <c r="CD172" s="555"/>
      <c r="CE172" s="555"/>
      <c r="CF172" s="555"/>
      <c r="CG172" s="555"/>
      <c r="CH172" s="555"/>
      <c r="CI172" s="555"/>
      <c r="CJ172" s="555"/>
      <c r="CK172" s="555"/>
      <c r="CL172" s="555"/>
      <c r="CM172" s="555"/>
      <c r="CN172" s="555"/>
      <c r="CO172" s="555"/>
      <c r="CP172" s="555"/>
      <c r="CQ172" s="555"/>
      <c r="CR172" s="556"/>
    </row>
    <row r="173" spans="1:96" ht="24" thickTop="1">
      <c r="B173" s="1413" t="s">
        <v>981</v>
      </c>
      <c r="C173" s="1398"/>
      <c r="D173" s="1398"/>
      <c r="E173" s="1398"/>
      <c r="F173" s="1398"/>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2"/>
      <c r="AD173" s="422"/>
      <c r="AE173" s="422"/>
      <c r="AF173" s="422"/>
      <c r="AG173" s="422"/>
      <c r="AH173" s="422"/>
      <c r="AI173" s="422"/>
      <c r="AJ173" s="422"/>
      <c r="AK173" s="422"/>
      <c r="AL173" s="422"/>
      <c r="AM173" s="422"/>
      <c r="AN173" s="422"/>
      <c r="AO173" s="422"/>
      <c r="AP173" s="422"/>
      <c r="AQ173" s="422"/>
      <c r="AR173" s="422"/>
      <c r="AS173" s="422"/>
      <c r="AT173" s="422"/>
      <c r="AU173" s="422"/>
      <c r="AV173" s="408" t="s">
        <v>618</v>
      </c>
      <c r="AW173" s="422"/>
      <c r="AX173" s="422"/>
      <c r="AY173" s="422"/>
      <c r="AZ173" s="422"/>
      <c r="BA173" s="422"/>
      <c r="BB173" s="422"/>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664"/>
      <c r="CB173" s="664"/>
      <c r="CC173" s="664"/>
      <c r="CD173" s="664"/>
      <c r="CE173" s="664"/>
      <c r="CF173" s="664"/>
      <c r="CG173" s="664"/>
      <c r="CH173" s="664"/>
      <c r="CI173" s="664"/>
      <c r="CJ173" s="664"/>
      <c r="CK173" s="422"/>
      <c r="CL173" s="664"/>
      <c r="CM173" s="664"/>
      <c r="CN173" s="664"/>
      <c r="CO173" s="664"/>
      <c r="CP173" s="664"/>
      <c r="CQ173" s="664"/>
      <c r="CR173" s="557"/>
    </row>
    <row r="174" spans="1:96" ht="14.25">
      <c r="A174" s="558"/>
      <c r="B174" s="559">
        <v>1</v>
      </c>
      <c r="C174" s="1414">
        <f>B174+1</f>
        <v>2</v>
      </c>
      <c r="D174" s="1414">
        <f>C174+1</f>
        <v>3</v>
      </c>
      <c r="E174" s="1414">
        <f>D174+1</f>
        <v>4</v>
      </c>
      <c r="F174" s="1414">
        <f>E174+1</f>
        <v>5</v>
      </c>
      <c r="G174" s="560">
        <f t="shared" ref="G174:L174" si="100">F174+1</f>
        <v>6</v>
      </c>
      <c r="H174" s="560">
        <f t="shared" si="100"/>
        <v>7</v>
      </c>
      <c r="I174" s="561">
        <f t="shared" si="100"/>
        <v>8</v>
      </c>
      <c r="J174" s="561">
        <f t="shared" si="100"/>
        <v>9</v>
      </c>
      <c r="K174" s="561">
        <f t="shared" si="100"/>
        <v>10</v>
      </c>
      <c r="L174" s="561">
        <f t="shared" si="100"/>
        <v>11</v>
      </c>
      <c r="M174" s="560">
        <f>L174+1</f>
        <v>12</v>
      </c>
      <c r="N174" s="560">
        <f t="shared" ref="N174:BW174" si="101">M174+1</f>
        <v>13</v>
      </c>
      <c r="O174" s="561">
        <f>N174+1</f>
        <v>14</v>
      </c>
      <c r="P174" s="561">
        <f>O174+1</f>
        <v>15</v>
      </c>
      <c r="Q174" s="561">
        <f t="shared" si="101"/>
        <v>16</v>
      </c>
      <c r="R174" s="561">
        <f t="shared" si="101"/>
        <v>17</v>
      </c>
      <c r="S174" s="561">
        <f t="shared" si="101"/>
        <v>18</v>
      </c>
      <c r="T174" s="561">
        <f t="shared" si="101"/>
        <v>19</v>
      </c>
      <c r="U174" s="561">
        <f t="shared" si="101"/>
        <v>20</v>
      </c>
      <c r="V174" s="560">
        <f t="shared" si="101"/>
        <v>21</v>
      </c>
      <c r="W174" s="560">
        <f t="shared" si="101"/>
        <v>22</v>
      </c>
      <c r="X174" s="560">
        <f t="shared" si="101"/>
        <v>23</v>
      </c>
      <c r="Y174" s="560">
        <f>X174+1</f>
        <v>24</v>
      </c>
      <c r="Z174" s="560">
        <f>Y174+1</f>
        <v>25</v>
      </c>
      <c r="AA174" s="560">
        <f>Z174+1</f>
        <v>26</v>
      </c>
      <c r="AB174" s="560">
        <f>AA174+1</f>
        <v>27</v>
      </c>
      <c r="AC174" s="560">
        <f t="shared" si="101"/>
        <v>28</v>
      </c>
      <c r="AD174" s="560">
        <f t="shared" si="101"/>
        <v>29</v>
      </c>
      <c r="AE174" s="561">
        <f>AD174+1</f>
        <v>30</v>
      </c>
      <c r="AF174" s="561">
        <f>AE174+1</f>
        <v>31</v>
      </c>
      <c r="AG174" s="561">
        <f t="shared" si="101"/>
        <v>32</v>
      </c>
      <c r="AH174" s="560">
        <f>AG174+1</f>
        <v>33</v>
      </c>
      <c r="AI174" s="560">
        <f>AH174+1</f>
        <v>34</v>
      </c>
      <c r="AJ174" s="560">
        <f>AI174+1</f>
        <v>35</v>
      </c>
      <c r="AK174" s="560">
        <f>AJ174+1</f>
        <v>36</v>
      </c>
      <c r="AL174" s="560">
        <f t="shared" si="101"/>
        <v>37</v>
      </c>
      <c r="AM174" s="560">
        <f t="shared" si="101"/>
        <v>38</v>
      </c>
      <c r="AN174" s="561">
        <f t="shared" si="101"/>
        <v>39</v>
      </c>
      <c r="AO174" s="561">
        <f t="shared" si="101"/>
        <v>40</v>
      </c>
      <c r="AP174" s="561">
        <f t="shared" si="101"/>
        <v>41</v>
      </c>
      <c r="AQ174" s="560">
        <f t="shared" si="101"/>
        <v>42</v>
      </c>
      <c r="AR174" s="560">
        <f t="shared" si="101"/>
        <v>43</v>
      </c>
      <c r="AS174" s="560">
        <f t="shared" si="101"/>
        <v>44</v>
      </c>
      <c r="AT174" s="560">
        <f t="shared" si="101"/>
        <v>45</v>
      </c>
      <c r="AU174" s="560">
        <f t="shared" si="101"/>
        <v>46</v>
      </c>
      <c r="AV174" s="560">
        <f t="shared" si="101"/>
        <v>47</v>
      </c>
      <c r="AW174" s="560">
        <f t="shared" si="101"/>
        <v>48</v>
      </c>
      <c r="AX174" s="560">
        <f t="shared" si="101"/>
        <v>49</v>
      </c>
      <c r="AY174" s="560">
        <f t="shared" si="101"/>
        <v>50</v>
      </c>
      <c r="AZ174" s="560">
        <f t="shared" si="101"/>
        <v>51</v>
      </c>
      <c r="BA174" s="560">
        <f t="shared" si="101"/>
        <v>52</v>
      </c>
      <c r="BB174" s="560">
        <f t="shared" si="101"/>
        <v>53</v>
      </c>
      <c r="BC174" s="560">
        <f t="shared" si="101"/>
        <v>54</v>
      </c>
      <c r="BD174" s="560">
        <f t="shared" si="101"/>
        <v>55</v>
      </c>
      <c r="BE174" s="560">
        <f t="shared" si="101"/>
        <v>56</v>
      </c>
      <c r="BF174" s="560">
        <f t="shared" si="101"/>
        <v>57</v>
      </c>
      <c r="BG174" s="560">
        <f t="shared" si="101"/>
        <v>58</v>
      </c>
      <c r="BH174" s="560">
        <f t="shared" si="101"/>
        <v>59</v>
      </c>
      <c r="BI174" s="560">
        <f t="shared" si="101"/>
        <v>60</v>
      </c>
      <c r="BJ174" s="560">
        <f t="shared" si="101"/>
        <v>61</v>
      </c>
      <c r="BK174" s="560">
        <f t="shared" si="101"/>
        <v>62</v>
      </c>
      <c r="BL174" s="560">
        <f t="shared" si="101"/>
        <v>63</v>
      </c>
      <c r="BM174" s="560">
        <f t="shared" si="101"/>
        <v>64</v>
      </c>
      <c r="BN174" s="560">
        <f t="shared" si="101"/>
        <v>65</v>
      </c>
      <c r="BO174" s="560">
        <f t="shared" si="101"/>
        <v>66</v>
      </c>
      <c r="BP174" s="560">
        <f t="shared" si="101"/>
        <v>67</v>
      </c>
      <c r="BQ174" s="560">
        <f t="shared" si="101"/>
        <v>68</v>
      </c>
      <c r="BR174" s="560">
        <f t="shared" si="101"/>
        <v>69</v>
      </c>
      <c r="BS174" s="560">
        <f t="shared" si="101"/>
        <v>70</v>
      </c>
      <c r="BT174" s="560">
        <f t="shared" si="101"/>
        <v>71</v>
      </c>
      <c r="BU174" s="560">
        <f t="shared" si="101"/>
        <v>72</v>
      </c>
      <c r="BV174" s="560">
        <f t="shared" si="101"/>
        <v>73</v>
      </c>
      <c r="BW174" s="560">
        <f t="shared" si="101"/>
        <v>74</v>
      </c>
      <c r="BX174" s="560">
        <f>BW174+1</f>
        <v>75</v>
      </c>
      <c r="BY174" s="560">
        <f>BX174+1</f>
        <v>76</v>
      </c>
      <c r="BZ174" s="560">
        <f t="shared" ref="BZ174:CJ174" si="102">BY174+1</f>
        <v>77</v>
      </c>
      <c r="CA174" s="561">
        <f t="shared" si="102"/>
        <v>78</v>
      </c>
      <c r="CB174" s="561">
        <f t="shared" si="102"/>
        <v>79</v>
      </c>
      <c r="CC174" s="561">
        <f t="shared" si="102"/>
        <v>80</v>
      </c>
      <c r="CD174" s="561">
        <f t="shared" si="102"/>
        <v>81</v>
      </c>
      <c r="CE174" s="561">
        <f t="shared" si="102"/>
        <v>82</v>
      </c>
      <c r="CF174" s="561">
        <f t="shared" si="102"/>
        <v>83</v>
      </c>
      <c r="CG174" s="561">
        <f t="shared" si="102"/>
        <v>84</v>
      </c>
      <c r="CH174" s="561">
        <f t="shared" si="102"/>
        <v>85</v>
      </c>
      <c r="CI174" s="561">
        <f t="shared" si="102"/>
        <v>86</v>
      </c>
      <c r="CJ174" s="561">
        <f t="shared" si="102"/>
        <v>87</v>
      </c>
      <c r="CK174" s="560"/>
      <c r="CL174" s="561"/>
      <c r="CM174" s="561"/>
      <c r="CN174" s="561"/>
      <c r="CO174" s="561"/>
      <c r="CP174" s="561"/>
      <c r="CQ174" s="561"/>
      <c r="CR174" s="658"/>
    </row>
    <row r="175" spans="1:96" ht="33.75" customHeight="1">
      <c r="B175" s="1415" t="s">
        <v>982</v>
      </c>
      <c r="C175" s="1416"/>
      <c r="D175" s="1261"/>
      <c r="E175" s="1261"/>
      <c r="F175" s="1416"/>
      <c r="G175" s="333"/>
      <c r="H175" s="332"/>
      <c r="I175" s="562"/>
      <c r="J175" s="562"/>
      <c r="K175" s="332"/>
      <c r="L175" s="332"/>
      <c r="M175" s="332"/>
      <c r="N175" s="332"/>
      <c r="O175" s="332"/>
      <c r="P175" s="332"/>
      <c r="Q175" s="562"/>
      <c r="R175" s="562"/>
      <c r="S175" s="562"/>
      <c r="T175" s="562"/>
      <c r="U175" s="334" t="s">
        <v>437</v>
      </c>
      <c r="V175" s="418"/>
      <c r="W175" s="332" t="str">
        <f>B175</f>
        <v>AESC 2021 Results: Avoided Cost of Electricity (2021 $)</v>
      </c>
      <c r="X175" s="332"/>
      <c r="Y175" s="562"/>
      <c r="Z175" s="562"/>
      <c r="AA175" s="562"/>
      <c r="AB175" s="332"/>
      <c r="AC175" s="562"/>
      <c r="AD175" s="562"/>
      <c r="AE175" s="562"/>
      <c r="AF175" s="562"/>
      <c r="AG175" s="562"/>
      <c r="AH175" s="562"/>
      <c r="AI175" s="332"/>
      <c r="AJ175" s="562"/>
      <c r="AK175" s="332"/>
      <c r="AL175" s="562"/>
      <c r="AM175" s="562"/>
      <c r="AN175" s="562"/>
      <c r="AO175" s="562"/>
      <c r="AP175" s="562"/>
      <c r="AQ175" s="332"/>
      <c r="AR175" s="334" t="s">
        <v>438</v>
      </c>
      <c r="AS175" s="418"/>
      <c r="AT175" s="332" t="str">
        <f>B175</f>
        <v>AESC 2021 Results: Avoided Cost of Electricity (2021 $)</v>
      </c>
      <c r="AU175" s="335"/>
      <c r="AV175" s="336"/>
      <c r="AW175" s="336"/>
      <c r="AX175" s="337"/>
      <c r="AY175" s="337"/>
      <c r="AZ175" s="336"/>
      <c r="BA175" s="336"/>
      <c r="BB175" s="336"/>
      <c r="BC175" s="336"/>
      <c r="BD175" s="336"/>
      <c r="BE175" s="337"/>
      <c r="BF175" s="337"/>
      <c r="BG175" s="337"/>
      <c r="BH175" s="337"/>
      <c r="BI175" s="337"/>
      <c r="BJ175" s="337"/>
      <c r="BK175" s="337"/>
      <c r="BL175" s="337"/>
      <c r="BM175" s="338" t="s">
        <v>439</v>
      </c>
      <c r="BN175" s="418"/>
      <c r="BO175" s="332" t="str">
        <f>B175</f>
        <v>AESC 2021 Results: Avoided Cost of Electricity (2021 $)</v>
      </c>
      <c r="BP175" s="562"/>
      <c r="BQ175" s="332"/>
      <c r="BR175" s="332"/>
      <c r="BS175" s="332"/>
      <c r="BT175" s="418"/>
      <c r="BU175" s="332"/>
      <c r="BV175" s="332"/>
      <c r="BW175" s="334"/>
      <c r="BX175" s="422"/>
      <c r="BY175" s="334" t="s">
        <v>615</v>
      </c>
      <c r="BZ175" s="337"/>
      <c r="CA175" s="1688" t="s">
        <v>673</v>
      </c>
      <c r="CB175" s="1688"/>
      <c r="CC175" s="1688"/>
      <c r="CD175" s="1688"/>
      <c r="CE175" s="1688"/>
      <c r="CF175" s="1688"/>
      <c r="CG175" s="1688"/>
      <c r="CH175" s="1688"/>
      <c r="CI175" s="1688"/>
      <c r="CJ175" s="1688"/>
      <c r="CK175" s="418"/>
      <c r="CL175" s="1688"/>
      <c r="CM175" s="1688"/>
      <c r="CN175" s="1688"/>
      <c r="CO175" s="1688"/>
      <c r="CP175" s="1688"/>
      <c r="CQ175" s="1688"/>
      <c r="CR175" s="659"/>
    </row>
    <row r="176" spans="1:96" ht="21.75" customHeight="1">
      <c r="B176" s="409" t="s">
        <v>87</v>
      </c>
      <c r="C176" s="562"/>
      <c r="D176" s="339" t="s">
        <v>383</v>
      </c>
      <c r="E176" s="562"/>
      <c r="F176" s="332"/>
      <c r="G176" s="332"/>
      <c r="H176" s="332"/>
      <c r="I176" s="562"/>
      <c r="J176" s="562"/>
      <c r="K176" s="332"/>
      <c r="L176" s="332"/>
      <c r="M176" s="332"/>
      <c r="N176" s="332"/>
      <c r="O176" s="332"/>
      <c r="P176" s="332"/>
      <c r="Q176" s="332"/>
      <c r="R176" s="332"/>
      <c r="S176" s="332"/>
      <c r="T176" s="332"/>
      <c r="U176" s="332"/>
      <c r="V176" s="418"/>
      <c r="W176" s="339" t="s">
        <v>87</v>
      </c>
      <c r="X176" s="562"/>
      <c r="Y176" s="339" t="str">
        <f>D176</f>
        <v>New Hampshire</v>
      </c>
      <c r="Z176" s="562"/>
      <c r="AA176" s="562"/>
      <c r="AB176" s="562"/>
      <c r="AC176" s="562"/>
      <c r="AD176" s="562"/>
      <c r="AE176" s="562"/>
      <c r="AF176" s="562"/>
      <c r="AG176" s="562"/>
      <c r="AH176" s="562"/>
      <c r="AI176" s="332"/>
      <c r="AJ176" s="332"/>
      <c r="AK176" s="332"/>
      <c r="AL176" s="332"/>
      <c r="AM176" s="562"/>
      <c r="AN176" s="562"/>
      <c r="AO176" s="562"/>
      <c r="AP176" s="562"/>
      <c r="AQ176" s="332"/>
      <c r="AR176" s="332"/>
      <c r="AS176" s="418"/>
      <c r="AT176" s="339" t="s">
        <v>87</v>
      </c>
      <c r="AU176" s="335"/>
      <c r="AV176" s="340" t="str">
        <f>Y176</f>
        <v>New Hampshire</v>
      </c>
      <c r="AW176" s="337"/>
      <c r="AX176" s="337"/>
      <c r="AY176" s="337"/>
      <c r="AZ176" s="337"/>
      <c r="BA176" s="337"/>
      <c r="BB176" s="337"/>
      <c r="BC176" s="337"/>
      <c r="BD176" s="337"/>
      <c r="BE176" s="337"/>
      <c r="BF176" s="337"/>
      <c r="BG176" s="337"/>
      <c r="BH176" s="337"/>
      <c r="BI176" s="337"/>
      <c r="BJ176" s="337"/>
      <c r="BK176" s="337"/>
      <c r="BL176" s="337"/>
      <c r="BM176" s="337"/>
      <c r="BN176" s="418"/>
      <c r="BO176" s="339" t="s">
        <v>87</v>
      </c>
      <c r="BP176" s="562"/>
      <c r="BQ176" s="339" t="str">
        <f>AV176</f>
        <v>New Hampshire</v>
      </c>
      <c r="BR176" s="562"/>
      <c r="BS176" s="418"/>
      <c r="BT176" s="418"/>
      <c r="BU176" s="332"/>
      <c r="BV176" s="332"/>
      <c r="BW176" s="418"/>
      <c r="BX176" s="422"/>
      <c r="BY176" s="422"/>
      <c r="BZ176" s="422"/>
      <c r="CA176" s="662"/>
      <c r="CB176" s="662"/>
      <c r="CC176" s="662"/>
      <c r="CD176" s="662"/>
      <c r="CE176" s="664"/>
      <c r="CF176" s="664"/>
      <c r="CG176" s="664"/>
      <c r="CH176" s="664"/>
      <c r="CI176" s="664"/>
      <c r="CJ176" s="664"/>
      <c r="CK176" s="418"/>
      <c r="CL176" s="664"/>
      <c r="CM176" s="664"/>
      <c r="CN176" s="664"/>
      <c r="CO176" s="664"/>
      <c r="CP176" s="664"/>
      <c r="CQ176" s="664"/>
      <c r="CR176" s="557"/>
    </row>
    <row r="177" spans="2:96" ht="13.5" customHeight="1" thickBot="1">
      <c r="B177" s="563"/>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2"/>
      <c r="AD177" s="422"/>
      <c r="AE177" s="422"/>
      <c r="AF177" s="422"/>
      <c r="AG177" s="422"/>
      <c r="AH177" s="422"/>
      <c r="AI177" s="422"/>
      <c r="AJ177" s="422"/>
      <c r="AK177" s="422"/>
      <c r="AL177" s="422"/>
      <c r="AM177" s="422"/>
      <c r="AN177" s="422"/>
      <c r="AO177" s="422"/>
      <c r="AP177" s="422"/>
      <c r="AQ177" s="422"/>
      <c r="AR177" s="422"/>
      <c r="AS177" s="422"/>
      <c r="AT177" s="422"/>
      <c r="AU177" s="341"/>
      <c r="AV177" s="341"/>
      <c r="AW177" s="341"/>
      <c r="AX177" s="341"/>
      <c r="AY177" s="341"/>
      <c r="AZ177" s="341"/>
      <c r="BA177" s="341"/>
      <c r="BB177" s="341"/>
      <c r="BC177" s="341"/>
      <c r="BD177" s="341"/>
      <c r="BE177" s="341"/>
      <c r="BF177" s="341"/>
      <c r="BG177" s="341"/>
      <c r="BH177" s="341"/>
      <c r="BI177" s="341"/>
      <c r="BJ177" s="341"/>
      <c r="BK177" s="341"/>
      <c r="BL177" s="341"/>
      <c r="BM177" s="341"/>
      <c r="BN177" s="422"/>
      <c r="BO177" s="422"/>
      <c r="BP177" s="422"/>
      <c r="BQ177" s="422"/>
      <c r="BR177" s="422"/>
      <c r="BS177" s="422"/>
      <c r="BT177" s="422"/>
      <c r="BU177" s="422"/>
      <c r="BV177" s="422"/>
      <c r="BW177" s="422"/>
      <c r="BX177" s="422"/>
      <c r="BY177" s="422"/>
      <c r="BZ177" s="422"/>
      <c r="CA177" s="663"/>
      <c r="CB177" s="663"/>
      <c r="CC177" s="663"/>
      <c r="CD177" s="663"/>
      <c r="CE177" s="664"/>
      <c r="CF177" s="664"/>
      <c r="CG177" s="664"/>
      <c r="CH177" s="664"/>
      <c r="CI177" s="664"/>
      <c r="CJ177" s="664"/>
      <c r="CK177" s="422"/>
      <c r="CL177" s="664"/>
      <c r="CM177" s="664"/>
      <c r="CN177" s="664"/>
      <c r="CO177" s="664"/>
      <c r="CP177" s="664"/>
      <c r="CQ177" s="664"/>
      <c r="CR177" s="557"/>
    </row>
    <row r="178" spans="2:96" ht="15" customHeight="1" thickBot="1">
      <c r="B178" s="564"/>
      <c r="C178" s="342"/>
      <c r="D178" s="1569" t="s">
        <v>440</v>
      </c>
      <c r="E178" s="1575"/>
      <c r="F178" s="1575"/>
      <c r="G178" s="1576"/>
      <c r="H178" s="1591" t="s">
        <v>441</v>
      </c>
      <c r="I178" s="1569" t="s">
        <v>442</v>
      </c>
      <c r="J178" s="1575"/>
      <c r="K178" s="1575"/>
      <c r="L178" s="1576"/>
      <c r="M178" s="1569" t="s">
        <v>443</v>
      </c>
      <c r="N178" s="1570"/>
      <c r="O178" s="1569" t="s">
        <v>444</v>
      </c>
      <c r="P178" s="1624"/>
      <c r="Q178" s="1570"/>
      <c r="R178" s="1569" t="s">
        <v>445</v>
      </c>
      <c r="S178" s="1616"/>
      <c r="T178" s="1616"/>
      <c r="U178" s="1617"/>
      <c r="V178" s="418"/>
      <c r="W178" s="562"/>
      <c r="X178" s="342"/>
      <c r="Y178" s="1693" t="s">
        <v>90</v>
      </c>
      <c r="Z178" s="1694"/>
      <c r="AA178" s="1694"/>
      <c r="AB178" s="1694"/>
      <c r="AC178" s="1694"/>
      <c r="AD178" s="1694"/>
      <c r="AE178" s="1694"/>
      <c r="AF178" s="1694"/>
      <c r="AG178" s="1694"/>
      <c r="AH178" s="1694"/>
      <c r="AI178" s="1694"/>
      <c r="AJ178" s="1694"/>
      <c r="AK178" s="1694"/>
      <c r="AL178" s="1694"/>
      <c r="AM178" s="1694"/>
      <c r="AN178" s="1694"/>
      <c r="AO178" s="1694"/>
      <c r="AP178" s="1695"/>
      <c r="AQ178" s="1569" t="s">
        <v>446</v>
      </c>
      <c r="AR178" s="1570"/>
      <c r="AS178" s="418"/>
      <c r="AT178" s="562"/>
      <c r="AU178" s="343"/>
      <c r="AV178" s="1604" t="s">
        <v>617</v>
      </c>
      <c r="AW178" s="1605"/>
      <c r="AX178" s="1605"/>
      <c r="AY178" s="1605"/>
      <c r="AZ178" s="1605"/>
      <c r="BA178" s="1605"/>
      <c r="BB178" s="1605"/>
      <c r="BC178" s="1605"/>
      <c r="BD178" s="1605"/>
      <c r="BE178" s="1605"/>
      <c r="BF178" s="1605"/>
      <c r="BG178" s="1605"/>
      <c r="BH178" s="1605"/>
      <c r="BI178" s="1605"/>
      <c r="BJ178" s="1605"/>
      <c r="BK178" s="1605"/>
      <c r="BL178" s="1605"/>
      <c r="BM178" s="1606"/>
      <c r="BN178" s="418"/>
      <c r="BO178" s="562"/>
      <c r="BP178" s="342"/>
      <c r="BQ178" s="1569" t="s">
        <v>518</v>
      </c>
      <c r="BR178" s="1664" t="s">
        <v>447</v>
      </c>
      <c r="BS178" s="1667"/>
      <c r="BT178" s="1667"/>
      <c r="BU178" s="1667"/>
      <c r="BV178" s="1667"/>
      <c r="BW178" s="1665"/>
      <c r="BX178" s="1664" t="s">
        <v>519</v>
      </c>
      <c r="BY178" s="1665"/>
      <c r="BZ178" s="418"/>
      <c r="CA178" s="1649" t="s">
        <v>448</v>
      </c>
      <c r="CB178" s="1650"/>
      <c r="CC178" s="1650"/>
      <c r="CD178" s="1651"/>
      <c r="CE178" s="1658" t="s">
        <v>937</v>
      </c>
      <c r="CF178" s="1659"/>
      <c r="CG178" s="1659"/>
      <c r="CH178" s="1660"/>
      <c r="CI178" s="1649" t="s">
        <v>686</v>
      </c>
      <c r="CJ178" s="1651"/>
      <c r="CK178" s="418"/>
      <c r="CL178" s="1684"/>
      <c r="CM178" s="1685"/>
      <c r="CN178" s="1685"/>
      <c r="CO178" s="1685"/>
      <c r="CP178" s="1685"/>
      <c r="CQ178" s="1686"/>
      <c r="CR178" s="660"/>
    </row>
    <row r="179" spans="2:96" ht="15" customHeight="1" thickBot="1">
      <c r="B179" s="564"/>
      <c r="C179" s="342"/>
      <c r="D179" s="1577"/>
      <c r="E179" s="1578"/>
      <c r="F179" s="1578"/>
      <c r="G179" s="1579"/>
      <c r="H179" s="1592"/>
      <c r="I179" s="1577"/>
      <c r="J179" s="1578"/>
      <c r="K179" s="1578"/>
      <c r="L179" s="1579"/>
      <c r="M179" s="1571"/>
      <c r="N179" s="1572"/>
      <c r="O179" s="1571"/>
      <c r="P179" s="1625"/>
      <c r="Q179" s="1572"/>
      <c r="R179" s="1618"/>
      <c r="S179" s="1619"/>
      <c r="T179" s="1619"/>
      <c r="U179" s="1620"/>
      <c r="V179" s="418"/>
      <c r="W179" s="562"/>
      <c r="X179" s="342"/>
      <c r="Y179" s="1613" t="s">
        <v>448</v>
      </c>
      <c r="Z179" s="1614"/>
      <c r="AA179" s="1614"/>
      <c r="AB179" s="1614"/>
      <c r="AC179" s="1614"/>
      <c r="AD179" s="1614"/>
      <c r="AE179" s="1614"/>
      <c r="AF179" s="1614"/>
      <c r="AG179" s="1615"/>
      <c r="AH179" s="1702" t="s">
        <v>937</v>
      </c>
      <c r="AI179" s="1703"/>
      <c r="AJ179" s="1703"/>
      <c r="AK179" s="1703"/>
      <c r="AL179" s="1703"/>
      <c r="AM179" s="1703"/>
      <c r="AN179" s="1703"/>
      <c r="AO179" s="1703"/>
      <c r="AP179" s="1704"/>
      <c r="AQ179" s="1571"/>
      <c r="AR179" s="1572"/>
      <c r="AS179" s="418"/>
      <c r="AT179" s="562"/>
      <c r="AU179" s="343"/>
      <c r="AV179" s="1604" t="s">
        <v>448</v>
      </c>
      <c r="AW179" s="1605"/>
      <c r="AX179" s="1605"/>
      <c r="AY179" s="1605"/>
      <c r="AZ179" s="1605"/>
      <c r="BA179" s="1605"/>
      <c r="BB179" s="1605"/>
      <c r="BC179" s="1605"/>
      <c r="BD179" s="1606"/>
      <c r="BE179" s="1604" t="s">
        <v>449</v>
      </c>
      <c r="BF179" s="1605"/>
      <c r="BG179" s="1605"/>
      <c r="BH179" s="1605"/>
      <c r="BI179" s="1605"/>
      <c r="BJ179" s="1605"/>
      <c r="BK179" s="1605"/>
      <c r="BL179" s="1605"/>
      <c r="BM179" s="1606"/>
      <c r="BN179" s="418"/>
      <c r="BO179" s="562"/>
      <c r="BP179" s="342"/>
      <c r="BQ179" s="1571"/>
      <c r="BR179" s="1569" t="s">
        <v>450</v>
      </c>
      <c r="BS179" s="1624"/>
      <c r="BT179" s="1570"/>
      <c r="BU179" s="1670" t="s">
        <v>944</v>
      </c>
      <c r="BV179" s="1671"/>
      <c r="BW179" s="1672"/>
      <c r="BX179" s="1591" t="s">
        <v>520</v>
      </c>
      <c r="BY179" s="1570" t="s">
        <v>521</v>
      </c>
      <c r="BZ179" s="418"/>
      <c r="CA179" s="1652"/>
      <c r="CB179" s="1653"/>
      <c r="CC179" s="1653"/>
      <c r="CD179" s="1654"/>
      <c r="CE179" s="1661"/>
      <c r="CF179" s="1662"/>
      <c r="CG179" s="1662"/>
      <c r="CH179" s="1663"/>
      <c r="CI179" s="1689"/>
      <c r="CJ179" s="1690"/>
      <c r="CK179" s="418"/>
      <c r="CL179" s="1649"/>
      <c r="CM179" s="1650"/>
      <c r="CN179" s="1651"/>
      <c r="CO179" s="1649"/>
      <c r="CP179" s="1650"/>
      <c r="CQ179" s="1651"/>
      <c r="CR179" s="660"/>
    </row>
    <row r="180" spans="2:96" ht="15" customHeight="1" thickBot="1">
      <c r="B180" s="564"/>
      <c r="C180" s="342"/>
      <c r="D180" s="1580"/>
      <c r="E180" s="1581"/>
      <c r="F180" s="1581"/>
      <c r="G180" s="1582"/>
      <c r="H180" s="1592"/>
      <c r="I180" s="1580"/>
      <c r="J180" s="1581"/>
      <c r="K180" s="1581"/>
      <c r="L180" s="1582"/>
      <c r="M180" s="1573"/>
      <c r="N180" s="1574"/>
      <c r="O180" s="1573"/>
      <c r="P180" s="1626"/>
      <c r="Q180" s="1574"/>
      <c r="R180" s="1621"/>
      <c r="S180" s="1622"/>
      <c r="T180" s="1622"/>
      <c r="U180" s="1623"/>
      <c r="V180" s="418"/>
      <c r="W180" s="562"/>
      <c r="X180" s="342"/>
      <c r="Y180" s="1607" t="s">
        <v>451</v>
      </c>
      <c r="Z180" s="1608"/>
      <c r="AA180" s="1608"/>
      <c r="AB180" s="1609"/>
      <c r="AC180" s="1610" t="s">
        <v>452</v>
      </c>
      <c r="AD180" s="1611"/>
      <c r="AE180" s="1610" t="s">
        <v>453</v>
      </c>
      <c r="AF180" s="1611"/>
      <c r="AG180" s="1612"/>
      <c r="AH180" s="1607" t="s">
        <v>451</v>
      </c>
      <c r="AI180" s="1608"/>
      <c r="AJ180" s="1608"/>
      <c r="AK180" s="1609"/>
      <c r="AL180" s="1610" t="s">
        <v>454</v>
      </c>
      <c r="AM180" s="1611"/>
      <c r="AN180" s="1610" t="s">
        <v>453</v>
      </c>
      <c r="AO180" s="1611"/>
      <c r="AP180" s="1612"/>
      <c r="AQ180" s="1573"/>
      <c r="AR180" s="1574"/>
      <c r="AS180" s="418"/>
      <c r="AT180" s="562"/>
      <c r="AU180" s="343"/>
      <c r="AV180" s="1676" t="s">
        <v>451</v>
      </c>
      <c r="AW180" s="1677"/>
      <c r="AX180" s="1677"/>
      <c r="AY180" s="1678"/>
      <c r="AZ180" s="1679" t="s">
        <v>609</v>
      </c>
      <c r="BA180" s="1680"/>
      <c r="BB180" s="1679" t="s">
        <v>610</v>
      </c>
      <c r="BC180" s="1680"/>
      <c r="BD180" s="1681"/>
      <c r="BE180" s="1676" t="s">
        <v>451</v>
      </c>
      <c r="BF180" s="1677"/>
      <c r="BG180" s="1677"/>
      <c r="BH180" s="1678"/>
      <c r="BI180" s="1679" t="s">
        <v>609</v>
      </c>
      <c r="BJ180" s="1680"/>
      <c r="BK180" s="1679" t="s">
        <v>610</v>
      </c>
      <c r="BL180" s="1680"/>
      <c r="BM180" s="1681"/>
      <c r="BN180" s="418"/>
      <c r="BO180" s="562"/>
      <c r="BP180" s="342"/>
      <c r="BQ180" s="1592"/>
      <c r="BR180" s="1668"/>
      <c r="BS180" s="1669"/>
      <c r="BT180" s="1666"/>
      <c r="BU180" s="1673"/>
      <c r="BV180" s="1674"/>
      <c r="BW180" s="1675"/>
      <c r="BX180" s="1593"/>
      <c r="BY180" s="1666"/>
      <c r="BZ180" s="418"/>
      <c r="CA180" s="1655" t="s">
        <v>685</v>
      </c>
      <c r="CB180" s="1656"/>
      <c r="CC180" s="1656"/>
      <c r="CD180" s="1657"/>
      <c r="CE180" s="1655" t="s">
        <v>685</v>
      </c>
      <c r="CF180" s="1656"/>
      <c r="CG180" s="1656"/>
      <c r="CH180" s="1657"/>
      <c r="CI180" s="1691"/>
      <c r="CJ180" s="1692"/>
      <c r="CK180" s="418"/>
      <c r="CL180" s="1652"/>
      <c r="CM180" s="1687"/>
      <c r="CN180" s="1654"/>
      <c r="CO180" s="1652"/>
      <c r="CP180" s="1687"/>
      <c r="CQ180" s="1654"/>
      <c r="CR180" s="660"/>
    </row>
    <row r="181" spans="2:96" ht="36" customHeight="1" thickBot="1">
      <c r="B181" s="410"/>
      <c r="C181" s="344"/>
      <c r="D181" s="345" t="s">
        <v>53</v>
      </c>
      <c r="E181" s="346" t="s">
        <v>54</v>
      </c>
      <c r="F181" s="346" t="s">
        <v>91</v>
      </c>
      <c r="G181" s="346" t="s">
        <v>56</v>
      </c>
      <c r="H181" s="1593"/>
      <c r="I181" s="347" t="s">
        <v>53</v>
      </c>
      <c r="J181" s="348" t="s">
        <v>54</v>
      </c>
      <c r="K181" s="348" t="s">
        <v>91</v>
      </c>
      <c r="L181" s="349" t="s">
        <v>56</v>
      </c>
      <c r="M181" s="345" t="s">
        <v>455</v>
      </c>
      <c r="N181" s="350" t="s">
        <v>456</v>
      </c>
      <c r="O181" s="351" t="s">
        <v>457</v>
      </c>
      <c r="P181" s="352" t="s">
        <v>458</v>
      </c>
      <c r="Q181" s="353" t="s">
        <v>459</v>
      </c>
      <c r="R181" s="345" t="s">
        <v>53</v>
      </c>
      <c r="S181" s="346" t="s">
        <v>54</v>
      </c>
      <c r="T181" s="346" t="s">
        <v>91</v>
      </c>
      <c r="U181" s="354" t="s">
        <v>56</v>
      </c>
      <c r="V181" s="418"/>
      <c r="W181" s="344"/>
      <c r="X181" s="344"/>
      <c r="Y181" s="345" t="s">
        <v>53</v>
      </c>
      <c r="Z181" s="346" t="s">
        <v>54</v>
      </c>
      <c r="AA181" s="346" t="s">
        <v>91</v>
      </c>
      <c r="AB181" s="354" t="s">
        <v>56</v>
      </c>
      <c r="AC181" s="345" t="s">
        <v>460</v>
      </c>
      <c r="AD181" s="350" t="s">
        <v>456</v>
      </c>
      <c r="AE181" s="351" t="s">
        <v>457</v>
      </c>
      <c r="AF181" s="352" t="s">
        <v>458</v>
      </c>
      <c r="AG181" s="353" t="s">
        <v>459</v>
      </c>
      <c r="AH181" s="345" t="s">
        <v>53</v>
      </c>
      <c r="AI181" s="346" t="s">
        <v>54</v>
      </c>
      <c r="AJ181" s="346" t="s">
        <v>91</v>
      </c>
      <c r="AK181" s="354" t="s">
        <v>56</v>
      </c>
      <c r="AL181" s="345" t="s">
        <v>460</v>
      </c>
      <c r="AM181" s="350" t="s">
        <v>456</v>
      </c>
      <c r="AN181" s="351" t="s">
        <v>457</v>
      </c>
      <c r="AO181" s="352" t="s">
        <v>458</v>
      </c>
      <c r="AP181" s="353" t="s">
        <v>459</v>
      </c>
      <c r="AQ181" s="345" t="s">
        <v>461</v>
      </c>
      <c r="AR181" s="1435" t="s">
        <v>942</v>
      </c>
      <c r="AS181" s="418"/>
      <c r="AT181" s="344"/>
      <c r="AU181" s="355"/>
      <c r="AV181" s="356" t="s">
        <v>53</v>
      </c>
      <c r="AW181" s="357" t="s">
        <v>54</v>
      </c>
      <c r="AX181" s="357" t="s">
        <v>91</v>
      </c>
      <c r="AY181" s="358" t="s">
        <v>56</v>
      </c>
      <c r="AZ181" s="356" t="s">
        <v>460</v>
      </c>
      <c r="BA181" s="359" t="s">
        <v>611</v>
      </c>
      <c r="BB181" s="360" t="s">
        <v>612</v>
      </c>
      <c r="BC181" s="361" t="s">
        <v>613</v>
      </c>
      <c r="BD181" s="362" t="s">
        <v>614</v>
      </c>
      <c r="BE181" s="356" t="s">
        <v>53</v>
      </c>
      <c r="BF181" s="357" t="s">
        <v>54</v>
      </c>
      <c r="BG181" s="357" t="s">
        <v>91</v>
      </c>
      <c r="BH181" s="358" t="s">
        <v>56</v>
      </c>
      <c r="BI181" s="356" t="s">
        <v>460</v>
      </c>
      <c r="BJ181" s="359" t="s">
        <v>611</v>
      </c>
      <c r="BK181" s="360" t="s">
        <v>612</v>
      </c>
      <c r="BL181" s="361" t="s">
        <v>613</v>
      </c>
      <c r="BM181" s="362" t="s">
        <v>614</v>
      </c>
      <c r="BN181" s="418"/>
      <c r="BO181" s="344"/>
      <c r="BP181" s="344"/>
      <c r="BQ181" s="1593"/>
      <c r="BR181" s="347" t="s">
        <v>460</v>
      </c>
      <c r="BS181" s="348" t="s">
        <v>462</v>
      </c>
      <c r="BT181" s="353" t="s">
        <v>463</v>
      </c>
      <c r="BU181" s="347" t="s">
        <v>460</v>
      </c>
      <c r="BV181" s="348" t="s">
        <v>462</v>
      </c>
      <c r="BW181" s="353" t="s">
        <v>463</v>
      </c>
      <c r="BX181" s="643" t="s">
        <v>463</v>
      </c>
      <c r="BY181" s="353" t="s">
        <v>463</v>
      </c>
      <c r="BZ181" s="418"/>
      <c r="CA181" s="648" t="s">
        <v>53</v>
      </c>
      <c r="CB181" s="649" t="s">
        <v>54</v>
      </c>
      <c r="CC181" s="649" t="s">
        <v>91</v>
      </c>
      <c r="CD181" s="650" t="s">
        <v>56</v>
      </c>
      <c r="CE181" s="648" t="s">
        <v>53</v>
      </c>
      <c r="CF181" s="649" t="s">
        <v>54</v>
      </c>
      <c r="CG181" s="649" t="s">
        <v>91</v>
      </c>
      <c r="CH181" s="650" t="s">
        <v>56</v>
      </c>
      <c r="CI181" s="648" t="s">
        <v>461</v>
      </c>
      <c r="CJ181" s="1474" t="s">
        <v>942</v>
      </c>
      <c r="CK181" s="418"/>
      <c r="CL181" s="1141"/>
      <c r="CM181" s="1142"/>
      <c r="CN181" s="1143"/>
      <c r="CO181" s="1141"/>
      <c r="CP181" s="1142"/>
      <c r="CQ181" s="1143"/>
      <c r="CR181" s="660"/>
    </row>
    <row r="182" spans="2:96" ht="15" customHeight="1">
      <c r="B182" s="411" t="s">
        <v>68</v>
      </c>
      <c r="C182" s="344"/>
      <c r="D182" s="363" t="s">
        <v>69</v>
      </c>
      <c r="E182" s="364" t="s">
        <v>69</v>
      </c>
      <c r="F182" s="364" t="s">
        <v>69</v>
      </c>
      <c r="G182" s="364" t="s">
        <v>69</v>
      </c>
      <c r="H182" s="365" t="s">
        <v>69</v>
      </c>
      <c r="I182" s="366" t="s">
        <v>69</v>
      </c>
      <c r="J182" s="367" t="s">
        <v>69</v>
      </c>
      <c r="K182" s="367" t="s">
        <v>69</v>
      </c>
      <c r="L182" s="368" t="s">
        <v>69</v>
      </c>
      <c r="M182" s="363" t="s">
        <v>70</v>
      </c>
      <c r="N182" s="364" t="s">
        <v>70</v>
      </c>
      <c r="O182" s="363" t="s">
        <v>70</v>
      </c>
      <c r="P182" s="369" t="s">
        <v>70</v>
      </c>
      <c r="Q182" s="370" t="s">
        <v>70</v>
      </c>
      <c r="R182" s="363" t="s">
        <v>69</v>
      </c>
      <c r="S182" s="364" t="s">
        <v>69</v>
      </c>
      <c r="T182" s="364" t="s">
        <v>69</v>
      </c>
      <c r="U182" s="370" t="s">
        <v>69</v>
      </c>
      <c r="V182" s="418"/>
      <c r="W182" s="365" t="s">
        <v>68</v>
      </c>
      <c r="X182" s="344"/>
      <c r="Y182" s="363" t="s">
        <v>69</v>
      </c>
      <c r="Z182" s="364" t="s">
        <v>69</v>
      </c>
      <c r="AA182" s="364" t="s">
        <v>69</v>
      </c>
      <c r="AB182" s="370" t="s">
        <v>69</v>
      </c>
      <c r="AC182" s="363" t="s">
        <v>70</v>
      </c>
      <c r="AD182" s="369" t="s">
        <v>70</v>
      </c>
      <c r="AE182" s="363" t="s">
        <v>70</v>
      </c>
      <c r="AF182" s="364" t="s">
        <v>70</v>
      </c>
      <c r="AG182" s="370" t="s">
        <v>70</v>
      </c>
      <c r="AH182" s="363" t="s">
        <v>69</v>
      </c>
      <c r="AI182" s="364" t="s">
        <v>69</v>
      </c>
      <c r="AJ182" s="364" t="s">
        <v>69</v>
      </c>
      <c r="AK182" s="370" t="s">
        <v>69</v>
      </c>
      <c r="AL182" s="363" t="s">
        <v>70</v>
      </c>
      <c r="AM182" s="369" t="s">
        <v>70</v>
      </c>
      <c r="AN182" s="363" t="s">
        <v>70</v>
      </c>
      <c r="AO182" s="364" t="s">
        <v>70</v>
      </c>
      <c r="AP182" s="370" t="s">
        <v>70</v>
      </c>
      <c r="AQ182" s="363" t="s">
        <v>69</v>
      </c>
      <c r="AR182" s="371" t="s">
        <v>69</v>
      </c>
      <c r="AS182" s="418"/>
      <c r="AT182" s="365" t="s">
        <v>68</v>
      </c>
      <c r="AU182" s="355"/>
      <c r="AV182" s="372" t="s">
        <v>69</v>
      </c>
      <c r="AW182" s="373" t="s">
        <v>69</v>
      </c>
      <c r="AX182" s="373" t="s">
        <v>69</v>
      </c>
      <c r="AY182" s="374" t="s">
        <v>69</v>
      </c>
      <c r="AZ182" s="372" t="s">
        <v>70</v>
      </c>
      <c r="BA182" s="375" t="s">
        <v>70</v>
      </c>
      <c r="BB182" s="372" t="s">
        <v>70</v>
      </c>
      <c r="BC182" s="373" t="s">
        <v>70</v>
      </c>
      <c r="BD182" s="374" t="s">
        <v>70</v>
      </c>
      <c r="BE182" s="372" t="s">
        <v>69</v>
      </c>
      <c r="BF182" s="373" t="s">
        <v>69</v>
      </c>
      <c r="BG182" s="373" t="s">
        <v>69</v>
      </c>
      <c r="BH182" s="374" t="s">
        <v>69</v>
      </c>
      <c r="BI182" s="372" t="s">
        <v>70</v>
      </c>
      <c r="BJ182" s="375" t="s">
        <v>70</v>
      </c>
      <c r="BK182" s="372" t="s">
        <v>70</v>
      </c>
      <c r="BL182" s="373" t="s">
        <v>70</v>
      </c>
      <c r="BM182" s="374" t="s">
        <v>70</v>
      </c>
      <c r="BN182" s="418"/>
      <c r="BO182" s="365" t="s">
        <v>68</v>
      </c>
      <c r="BP182" s="344"/>
      <c r="BQ182" s="365" t="s">
        <v>70</v>
      </c>
      <c r="BR182" s="363" t="s">
        <v>70</v>
      </c>
      <c r="BS182" s="364" t="s">
        <v>70</v>
      </c>
      <c r="BT182" s="370" t="s">
        <v>70</v>
      </c>
      <c r="BU182" s="363" t="s">
        <v>70</v>
      </c>
      <c r="BV182" s="364" t="s">
        <v>70</v>
      </c>
      <c r="BW182" s="370" t="s">
        <v>70</v>
      </c>
      <c r="BX182" s="365" t="s">
        <v>70</v>
      </c>
      <c r="BY182" s="644" t="s">
        <v>70</v>
      </c>
      <c r="BZ182" s="418"/>
      <c r="CA182" s="651" t="s">
        <v>69</v>
      </c>
      <c r="CB182" s="652" t="s">
        <v>69</v>
      </c>
      <c r="CC182" s="652" t="s">
        <v>69</v>
      </c>
      <c r="CD182" s="653" t="s">
        <v>69</v>
      </c>
      <c r="CE182" s="651" t="s">
        <v>69</v>
      </c>
      <c r="CF182" s="652" t="s">
        <v>69</v>
      </c>
      <c r="CG182" s="652" t="s">
        <v>69</v>
      </c>
      <c r="CH182" s="653" t="s">
        <v>69</v>
      </c>
      <c r="CI182" s="680" t="s">
        <v>69</v>
      </c>
      <c r="CJ182" s="1318" t="s">
        <v>69</v>
      </c>
      <c r="CK182" s="418"/>
      <c r="CL182" s="1060"/>
      <c r="CM182" s="1061"/>
      <c r="CN182" s="1062"/>
      <c r="CO182" s="1060"/>
      <c r="CP182" s="1061"/>
      <c r="CQ182" s="1062"/>
      <c r="CR182" s="660"/>
    </row>
    <row r="183" spans="2:96" ht="30.95" customHeight="1" thickBot="1">
      <c r="B183" s="412" t="s">
        <v>73</v>
      </c>
      <c r="C183" s="344"/>
      <c r="D183" s="1288" t="s">
        <v>92</v>
      </c>
      <c r="E183" s="1417" t="s">
        <v>93</v>
      </c>
      <c r="F183" s="1417" t="s">
        <v>464</v>
      </c>
      <c r="G183" s="1417" t="s">
        <v>925</v>
      </c>
      <c r="H183" s="1418" t="s">
        <v>926</v>
      </c>
      <c r="I183" s="1419" t="s">
        <v>927</v>
      </c>
      <c r="J183" s="1420" t="s">
        <v>928</v>
      </c>
      <c r="K183" s="1420" t="s">
        <v>929</v>
      </c>
      <c r="L183" s="1421" t="s">
        <v>930</v>
      </c>
      <c r="M183" s="1288" t="s">
        <v>931</v>
      </c>
      <c r="N183" s="1417" t="s">
        <v>932</v>
      </c>
      <c r="O183" s="1419" t="s">
        <v>933</v>
      </c>
      <c r="P183" s="1422" t="s">
        <v>934</v>
      </c>
      <c r="Q183" s="393" t="s">
        <v>465</v>
      </c>
      <c r="R183" s="1288" t="s">
        <v>935</v>
      </c>
      <c r="S183" s="1417" t="s">
        <v>936</v>
      </c>
      <c r="T183" s="1417" t="s">
        <v>94</v>
      </c>
      <c r="U183" s="1427" t="s">
        <v>95</v>
      </c>
      <c r="V183" s="418"/>
      <c r="W183" s="388" t="s">
        <v>73</v>
      </c>
      <c r="X183" s="344"/>
      <c r="Y183" s="377" t="s">
        <v>99</v>
      </c>
      <c r="Z183" s="378" t="s">
        <v>100</v>
      </c>
      <c r="AA183" s="378" t="s">
        <v>101</v>
      </c>
      <c r="AB183" s="379" t="s">
        <v>102</v>
      </c>
      <c r="AC183" s="387" t="s">
        <v>103</v>
      </c>
      <c r="AD183" s="395" t="s">
        <v>0</v>
      </c>
      <c r="AE183" s="387" t="s">
        <v>466</v>
      </c>
      <c r="AF183" s="392" t="s">
        <v>467</v>
      </c>
      <c r="AG183" s="393" t="s">
        <v>468</v>
      </c>
      <c r="AH183" s="1288" t="s">
        <v>96</v>
      </c>
      <c r="AI183" s="1417" t="s">
        <v>97</v>
      </c>
      <c r="AJ183" s="1417" t="s">
        <v>98</v>
      </c>
      <c r="AK183" s="1427" t="s">
        <v>99</v>
      </c>
      <c r="AL183" s="1288" t="s">
        <v>938</v>
      </c>
      <c r="AM183" s="1428" t="s">
        <v>939</v>
      </c>
      <c r="AN183" s="1288" t="s">
        <v>940</v>
      </c>
      <c r="AO183" s="1429" t="s">
        <v>941</v>
      </c>
      <c r="AP183" s="393" t="s">
        <v>469</v>
      </c>
      <c r="AQ183" s="1288" t="s">
        <v>470</v>
      </c>
      <c r="AR183" s="1427" t="s">
        <v>0</v>
      </c>
      <c r="AS183" s="418"/>
      <c r="AT183" s="388" t="s">
        <v>73</v>
      </c>
      <c r="AU183" s="355"/>
      <c r="AV183" s="401" t="s">
        <v>471</v>
      </c>
      <c r="AW183" s="402" t="s">
        <v>472</v>
      </c>
      <c r="AX183" s="402" t="s">
        <v>473</v>
      </c>
      <c r="AY183" s="403" t="s">
        <v>474</v>
      </c>
      <c r="AZ183" s="401" t="s">
        <v>475</v>
      </c>
      <c r="BA183" s="404" t="s">
        <v>476</v>
      </c>
      <c r="BB183" s="401" t="s">
        <v>477</v>
      </c>
      <c r="BC183" s="405" t="s">
        <v>478</v>
      </c>
      <c r="BD183" s="406" t="s">
        <v>479</v>
      </c>
      <c r="BE183" s="401" t="s">
        <v>480</v>
      </c>
      <c r="BF183" s="402" t="s">
        <v>481</v>
      </c>
      <c r="BG183" s="402" t="s">
        <v>482</v>
      </c>
      <c r="BH183" s="403" t="s">
        <v>483</v>
      </c>
      <c r="BI183" s="401" t="s">
        <v>484</v>
      </c>
      <c r="BJ183" s="404" t="s">
        <v>485</v>
      </c>
      <c r="BK183" s="407" t="s">
        <v>486</v>
      </c>
      <c r="BL183" s="405" t="s">
        <v>487</v>
      </c>
      <c r="BM183" s="406" t="s">
        <v>488</v>
      </c>
      <c r="BN183" s="418"/>
      <c r="BO183" s="388" t="s">
        <v>73</v>
      </c>
      <c r="BP183" s="344"/>
      <c r="BQ183" s="1418" t="s">
        <v>943</v>
      </c>
      <c r="BR183" s="389" t="s">
        <v>489</v>
      </c>
      <c r="BS183" s="390" t="s">
        <v>490</v>
      </c>
      <c r="BT183" s="391" t="s">
        <v>491</v>
      </c>
      <c r="BU183" s="1419" t="s">
        <v>945</v>
      </c>
      <c r="BV183" s="1420" t="s">
        <v>946</v>
      </c>
      <c r="BW183" s="391" t="s">
        <v>492</v>
      </c>
      <c r="BX183" s="657" t="s">
        <v>522</v>
      </c>
      <c r="BY183" s="391" t="s">
        <v>523</v>
      </c>
      <c r="BZ183" s="418"/>
      <c r="CA183" s="654"/>
      <c r="CB183" s="655"/>
      <c r="CC183" s="655"/>
      <c r="CD183" s="656"/>
      <c r="CE183" s="1471" t="s">
        <v>947</v>
      </c>
      <c r="CF183" s="1472" t="s">
        <v>948</v>
      </c>
      <c r="CG183" s="1472" t="s">
        <v>949</v>
      </c>
      <c r="CH183" s="1473" t="s">
        <v>950</v>
      </c>
      <c r="CI183" s="687"/>
      <c r="CJ183" s="1475" t="s">
        <v>951</v>
      </c>
      <c r="CK183" s="418"/>
      <c r="CL183" s="1144"/>
      <c r="CM183" s="1145"/>
      <c r="CN183" s="1146"/>
      <c r="CO183" s="1144"/>
      <c r="CP183" s="1145"/>
      <c r="CQ183" s="1146"/>
      <c r="CR183" s="660"/>
    </row>
    <row r="184" spans="2:96">
      <c r="B184" s="413">
        <v>2018</v>
      </c>
      <c r="C184" s="380"/>
      <c r="D184" s="1237"/>
      <c r="E184" s="1238"/>
      <c r="F184" s="1238"/>
      <c r="G184" s="1238"/>
      <c r="H184" s="1237"/>
      <c r="I184" s="565">
        <f t="shared" ref="I184:L186" si="103">IFERROR((D184+$H184)*(1+DistributionLosses)*(1+WholesaleRiskPremium),0)</f>
        <v>0</v>
      </c>
      <c r="J184" s="566">
        <f t="shared" si="103"/>
        <v>0</v>
      </c>
      <c r="K184" s="566">
        <f t="shared" si="103"/>
        <v>0</v>
      </c>
      <c r="L184" s="567">
        <f t="shared" si="103"/>
        <v>0</v>
      </c>
      <c r="M184" s="1247"/>
      <c r="N184" s="1248"/>
      <c r="O184" s="568">
        <f>M184*(1+DistributionLosses)</f>
        <v>0</v>
      </c>
      <c r="P184" s="569">
        <f>N184*(1+PTFlosses)*(1+DistributionLosses)*(1+WholesaleRiskPremium)</f>
        <v>0</v>
      </c>
      <c r="Q184" s="570">
        <f>O184*FCMbid+P184*(1-FCMbid)</f>
        <v>0</v>
      </c>
      <c r="R184" s="1257"/>
      <c r="S184" s="1238"/>
      <c r="T184" s="1238"/>
      <c r="U184" s="1258"/>
      <c r="V184" s="418"/>
      <c r="W184" s="394">
        <v>2018</v>
      </c>
      <c r="X184" s="380"/>
      <c r="Y184" s="1265"/>
      <c r="Z184" s="1266"/>
      <c r="AA184" s="1266"/>
      <c r="AB184" s="1267"/>
      <c r="AC184" s="1247"/>
      <c r="AD184" s="1268"/>
      <c r="AE184" s="568">
        <f t="shared" ref="AE184:AE215" si="104">IFERROR(AC184*(1+DistributionLosses),0)</f>
        <v>0</v>
      </c>
      <c r="AF184" s="569">
        <f t="shared" ref="AF184:AF215" si="105">IFERROR(AD184*(1+DistributionLosses)*(1+WholesaleRiskPremium)*(1+PTFlosses),0)</f>
        <v>0</v>
      </c>
      <c r="AG184" s="570">
        <f t="shared" ref="AG184:AG215" si="106">IF(AND(AE184=0,AF184=0,),0,IFERROR(AE184*FCMbid,0)+IFERROR(AF184*(1-FCMbid),0))</f>
        <v>0</v>
      </c>
      <c r="AH184" s="1257"/>
      <c r="AI184" s="1238"/>
      <c r="AJ184" s="1238"/>
      <c r="AK184" s="1258"/>
      <c r="AL184" s="1247"/>
      <c r="AM184" s="1268"/>
      <c r="AN184" s="1286">
        <f>IFERROR(AL184*(1+DistributionLosses),0)</f>
        <v>0</v>
      </c>
      <c r="AO184" s="1287">
        <f>IFERROR(AM184*(1+DistributionLosses)*(1+WholesaleRiskPremium)*(1+PTFlosses),0)</f>
        <v>0</v>
      </c>
      <c r="AP184" s="570">
        <f t="shared" ref="AP184:AP215" si="107">IF(AND(AN184=0,AO184=0,),0,IFERROR(AN184*FCMbid,0)+IFERROR(AO184*(1-FCMbid),0))</f>
        <v>0</v>
      </c>
      <c r="AQ184" s="1257"/>
      <c r="AR184" s="1258"/>
      <c r="AS184" s="418"/>
      <c r="AT184" s="394">
        <v>2018</v>
      </c>
      <c r="AU184" s="381"/>
      <c r="AV184" s="396">
        <v>3.479323025709094E-2</v>
      </c>
      <c r="AW184" s="397">
        <v>2.4554333821345194E-2</v>
      </c>
      <c r="AX184" s="397">
        <v>2.3783544581744476E-2</v>
      </c>
      <c r="AY184" s="398">
        <v>1.5601778341623792E-2</v>
      </c>
      <c r="AZ184" s="399">
        <v>438.03313897616209</v>
      </c>
      <c r="BA184" s="400" t="s">
        <v>493</v>
      </c>
      <c r="BB184" s="640">
        <f t="shared" ref="BB184:BB215" si="108">IFERROR(AZ184*(1+DistributionLosses),0)</f>
        <v>438.03313897616209</v>
      </c>
      <c r="BC184" s="641">
        <f t="shared" ref="BC184:BC215" si="109">IFERROR(BA184*(1+DistributionLosses)*(1+WholesaleRiskPremium)*(1+PTFlosses),0)</f>
        <v>0</v>
      </c>
      <c r="BD184" s="642">
        <f t="shared" ref="BD184:BD215" si="110">IF(AND(BB184=0,BC184=0,),0,IFERROR(BB184*FCMbid,0)+IFERROR(BC184*(1-FCMbid),0))</f>
        <v>0</v>
      </c>
      <c r="BE184" s="396" t="s">
        <v>493</v>
      </c>
      <c r="BF184" s="397" t="s">
        <v>493</v>
      </c>
      <c r="BG184" s="397" t="s">
        <v>493</v>
      </c>
      <c r="BH184" s="398" t="s">
        <v>493</v>
      </c>
      <c r="BI184" s="399" t="s">
        <v>493</v>
      </c>
      <c r="BJ184" s="400" t="s">
        <v>493</v>
      </c>
      <c r="BK184" s="640">
        <f t="shared" ref="BK184:BK215" si="111">IFERROR(BI184*(1+DistributionLosses),0)</f>
        <v>0</v>
      </c>
      <c r="BL184" s="641">
        <f t="shared" ref="BL184:BL215" si="112">IFERROR(BJ184*(1+DistributionLosses)*(1+WholesaleRiskPremium)*(1+PTFlosses),0)</f>
        <v>0</v>
      </c>
      <c r="BM184" s="642">
        <f t="shared" ref="BM184:BM215" si="113">IF(AND(BK184=0,BL184=0,),0,IFERROR(BK184*FCMbid,0)+IFERROR(BL184*(1-FCMbid),0))</f>
        <v>0</v>
      </c>
      <c r="BN184" s="418"/>
      <c r="BO184" s="394">
        <v>2018</v>
      </c>
      <c r="BP184" s="380"/>
      <c r="BQ184" s="1303"/>
      <c r="BR184" s="1305"/>
      <c r="BS184" s="1306"/>
      <c r="BT184" s="570">
        <f>IF(AND(BR184=0,BS184=0,),0,IFERROR(BR184*FCMbid,0)+IFERROR(BS184*(1-FCMbid),0))</f>
        <v>0</v>
      </c>
      <c r="BU184" s="1305"/>
      <c r="BV184" s="1306"/>
      <c r="BW184" s="570">
        <f t="shared" ref="BW184:BW215" si="114">IF(AND(BU184=0,BV184=0,),0,IFERROR(BU184*FCMbid,0)+IFERROR(BV184*(1-FCMbid),0))</f>
        <v>0</v>
      </c>
      <c r="BX184" s="570">
        <f>IFERROR(BT184*(1+DistributionLosses)*(1+WholesaleRiskPremium),0)</f>
        <v>0</v>
      </c>
      <c r="BY184" s="570">
        <f t="shared" ref="BY184:BY186" si="115">IFERROR(BW184*(1+DistributionLosses)*(1+WholesaleRiskPremium),0)</f>
        <v>0</v>
      </c>
      <c r="BZ184" s="418"/>
      <c r="CA184" s="1312">
        <f>IFERROR(Y184*(1+WholesaleRiskPremium),"-")</f>
        <v>0</v>
      </c>
      <c r="CB184" s="1313">
        <f t="shared" ref="CB184:CB216" si="116">IFERROR(Z184*(1+WholesaleRiskPremium),"-")</f>
        <v>0</v>
      </c>
      <c r="CC184" s="1313">
        <f t="shared" ref="CC184:CC216" si="117">IFERROR(AA184*(1+WholesaleRiskPremium),"-")</f>
        <v>0</v>
      </c>
      <c r="CD184" s="1314">
        <f t="shared" ref="CD184:CD216" si="118">IFERROR(AB184*(1+WholesaleRiskPremium),"-")</f>
        <v>0</v>
      </c>
      <c r="CE184" s="1312">
        <f t="shared" ref="CE184:CH186" si="119">IFERROR(AH184*(1+WholesaleRiskPremium),"-")</f>
        <v>0</v>
      </c>
      <c r="CF184" s="1313">
        <f t="shared" si="119"/>
        <v>0</v>
      </c>
      <c r="CG184" s="1313">
        <f t="shared" si="119"/>
        <v>0</v>
      </c>
      <c r="CH184" s="1314">
        <f t="shared" si="119"/>
        <v>0</v>
      </c>
      <c r="CI184" s="1312">
        <f t="shared" ref="CI184:CI216" si="120">IFERROR(AQ184*(1+WholesaleRiskPremium),"-")</f>
        <v>0</v>
      </c>
      <c r="CJ184" s="567">
        <f>IFERROR(AR184*(1+WholesaleRiskPremium),"-")</f>
        <v>0</v>
      </c>
      <c r="CK184" s="418"/>
      <c r="CL184" s="1147"/>
      <c r="CM184" s="1148"/>
      <c r="CN184" s="570"/>
      <c r="CO184" s="1147"/>
      <c r="CP184" s="1148"/>
      <c r="CQ184" s="570"/>
      <c r="CR184" s="660"/>
    </row>
    <row r="185" spans="2:96">
      <c r="B185" s="414">
        <v>2019</v>
      </c>
      <c r="C185" s="380"/>
      <c r="D185" s="1239"/>
      <c r="E185" s="1240"/>
      <c r="F185" s="1240"/>
      <c r="G185" s="1240"/>
      <c r="H185" s="1239"/>
      <c r="I185" s="565">
        <f t="shared" si="103"/>
        <v>0</v>
      </c>
      <c r="J185" s="566">
        <f t="shared" si="103"/>
        <v>0</v>
      </c>
      <c r="K185" s="566">
        <f t="shared" si="103"/>
        <v>0</v>
      </c>
      <c r="L185" s="567">
        <f t="shared" si="103"/>
        <v>0</v>
      </c>
      <c r="M185" s="1249"/>
      <c r="N185" s="1250"/>
      <c r="O185" s="571">
        <f>M185*(1+DistributionLosses)</f>
        <v>0</v>
      </c>
      <c r="P185" s="572">
        <f>N185*(1+PTFlosses)*(1+DistributionLosses)*(1+WholesaleRiskPremium)</f>
        <v>0</v>
      </c>
      <c r="Q185" s="573">
        <f>O185*FCMbid+P185*(1-FCMbid)</f>
        <v>0</v>
      </c>
      <c r="R185" s="1259"/>
      <c r="S185" s="1240"/>
      <c r="T185" s="1240"/>
      <c r="U185" s="1260"/>
      <c r="V185" s="418"/>
      <c r="W185" s="376">
        <v>2019</v>
      </c>
      <c r="X185" s="380"/>
      <c r="Y185" s="1259"/>
      <c r="Z185" s="1240"/>
      <c r="AA185" s="1240"/>
      <c r="AB185" s="1260"/>
      <c r="AC185" s="1249"/>
      <c r="AD185" s="1269"/>
      <c r="AE185" s="568">
        <f t="shared" si="104"/>
        <v>0</v>
      </c>
      <c r="AF185" s="569">
        <f t="shared" si="105"/>
        <v>0</v>
      </c>
      <c r="AG185" s="570">
        <f t="shared" si="106"/>
        <v>0</v>
      </c>
      <c r="AH185" s="1257"/>
      <c r="AI185" s="1238"/>
      <c r="AJ185" s="1238"/>
      <c r="AK185" s="1258"/>
      <c r="AL185" s="1249"/>
      <c r="AM185" s="1269"/>
      <c r="AN185" s="1286">
        <f>IFERROR(AL185*(1+DistributionLosses),0)</f>
        <v>0</v>
      </c>
      <c r="AO185" s="1287">
        <f>IFERROR(AM185*(1+DistributionLosses)*(1+WholesaleRiskPremium)*(1+PTFlosses),0)</f>
        <v>0</v>
      </c>
      <c r="AP185" s="570">
        <f t="shared" si="107"/>
        <v>0</v>
      </c>
      <c r="AQ185" s="1259"/>
      <c r="AR185" s="1260"/>
      <c r="AS185" s="418"/>
      <c r="AT185" s="376">
        <v>2019</v>
      </c>
      <c r="AU185" s="381"/>
      <c r="AV185" s="382">
        <v>5.4292565215736714E-2</v>
      </c>
      <c r="AW185" s="383">
        <v>3.8095371504749682E-2</v>
      </c>
      <c r="AX185" s="383">
        <v>3.6212127646097193E-2</v>
      </c>
      <c r="AY185" s="384">
        <v>2.6281886082141524E-2</v>
      </c>
      <c r="AZ185" s="385">
        <v>229.24283560332276</v>
      </c>
      <c r="BA185" s="386" t="s">
        <v>493</v>
      </c>
      <c r="BB185" s="640">
        <f t="shared" si="108"/>
        <v>229.24283560332276</v>
      </c>
      <c r="BC185" s="641">
        <f t="shared" si="109"/>
        <v>0</v>
      </c>
      <c r="BD185" s="642">
        <f t="shared" si="110"/>
        <v>0</v>
      </c>
      <c r="BE185" s="382">
        <v>3.5023932566929164E-2</v>
      </c>
      <c r="BF185" s="383">
        <v>2.4575182944344194E-2</v>
      </c>
      <c r="BG185" s="383">
        <v>2.3360309312007329E-2</v>
      </c>
      <c r="BH185" s="384">
        <v>1.6954347288896068E-2</v>
      </c>
      <c r="BI185" s="385">
        <v>276.1961874738829</v>
      </c>
      <c r="BJ185" s="386" t="s">
        <v>493</v>
      </c>
      <c r="BK185" s="640">
        <f t="shared" si="111"/>
        <v>276.1961874738829</v>
      </c>
      <c r="BL185" s="641">
        <f t="shared" si="112"/>
        <v>0</v>
      </c>
      <c r="BM185" s="642">
        <f t="shared" si="113"/>
        <v>0</v>
      </c>
      <c r="BN185" s="418"/>
      <c r="BO185" s="376">
        <v>2019</v>
      </c>
      <c r="BP185" s="380"/>
      <c r="BQ185" s="1304"/>
      <c r="BR185" s="1293"/>
      <c r="BS185" s="1307"/>
      <c r="BT185" s="570">
        <f t="shared" ref="BT185:BT215" si="121">IF(AND(BR185=0,BS185=0,),0,IFERROR(BR185*FCMbid,0)+IFERROR(BS185*(1-FCMbid),0))</f>
        <v>0</v>
      </c>
      <c r="BU185" s="1293"/>
      <c r="BV185" s="1307"/>
      <c r="BW185" s="570">
        <f t="shared" si="114"/>
        <v>0</v>
      </c>
      <c r="BX185" s="570">
        <f>IFERROR(BT185*(1+DistributionLosses)*(1+WholesaleRiskPremium),0)</f>
        <v>0</v>
      </c>
      <c r="BY185" s="570">
        <f t="shared" si="115"/>
        <v>0</v>
      </c>
      <c r="BZ185" s="418"/>
      <c r="CA185" s="1312">
        <f t="shared" ref="CA185:CA216" si="122">IFERROR(Y185*(1+WholesaleRiskPremium),"-")</f>
        <v>0</v>
      </c>
      <c r="CB185" s="1313">
        <f t="shared" si="116"/>
        <v>0</v>
      </c>
      <c r="CC185" s="1313">
        <f t="shared" si="117"/>
        <v>0</v>
      </c>
      <c r="CD185" s="1314">
        <f t="shared" si="118"/>
        <v>0</v>
      </c>
      <c r="CE185" s="1312">
        <f t="shared" si="119"/>
        <v>0</v>
      </c>
      <c r="CF185" s="1313">
        <f t="shared" si="119"/>
        <v>0</v>
      </c>
      <c r="CG185" s="1313">
        <f t="shared" si="119"/>
        <v>0</v>
      </c>
      <c r="CH185" s="1314">
        <f t="shared" si="119"/>
        <v>0</v>
      </c>
      <c r="CI185" s="1312">
        <f t="shared" si="120"/>
        <v>0</v>
      </c>
      <c r="CJ185" s="567">
        <f>IFERROR(AR185*(1+WholesaleRiskPremium),"-")</f>
        <v>0</v>
      </c>
      <c r="CK185" s="418"/>
      <c r="CL185" s="571"/>
      <c r="CM185" s="1149"/>
      <c r="CN185" s="570"/>
      <c r="CO185" s="571"/>
      <c r="CP185" s="1149"/>
      <c r="CQ185" s="570"/>
      <c r="CR185" s="660"/>
    </row>
    <row r="186" spans="2:96">
      <c r="B186" s="414">
        <v>2020</v>
      </c>
      <c r="C186" s="380"/>
      <c r="D186" s="1239"/>
      <c r="E186" s="1240"/>
      <c r="F186" s="1240"/>
      <c r="G186" s="1240"/>
      <c r="H186" s="1239"/>
      <c r="I186" s="565">
        <f t="shared" si="103"/>
        <v>0</v>
      </c>
      <c r="J186" s="566">
        <f t="shared" si="103"/>
        <v>0</v>
      </c>
      <c r="K186" s="566">
        <f t="shared" si="103"/>
        <v>0</v>
      </c>
      <c r="L186" s="567">
        <f t="shared" si="103"/>
        <v>0</v>
      </c>
      <c r="M186" s="1249"/>
      <c r="N186" s="1250"/>
      <c r="O186" s="571">
        <f>M186*(1+DistributionLosses)</f>
        <v>0</v>
      </c>
      <c r="P186" s="572">
        <f>N186*(1+PTFlosses)*(1+DistributionLosses)*(1+WholesaleRiskPremium)</f>
        <v>0</v>
      </c>
      <c r="Q186" s="573">
        <f>O186*FCMbid+P186*(1-FCMbid)</f>
        <v>0</v>
      </c>
      <c r="R186" s="1259"/>
      <c r="S186" s="1240"/>
      <c r="T186" s="1240"/>
      <c r="U186" s="1260"/>
      <c r="V186" s="418"/>
      <c r="W186" s="376">
        <v>2020</v>
      </c>
      <c r="X186" s="380"/>
      <c r="Y186" s="1259"/>
      <c r="Z186" s="1240"/>
      <c r="AA186" s="1240"/>
      <c r="AB186" s="1260"/>
      <c r="AC186" s="1249"/>
      <c r="AD186" s="1269"/>
      <c r="AE186" s="568">
        <f t="shared" si="104"/>
        <v>0</v>
      </c>
      <c r="AF186" s="569">
        <f t="shared" si="105"/>
        <v>0</v>
      </c>
      <c r="AG186" s="570">
        <f t="shared" si="106"/>
        <v>0</v>
      </c>
      <c r="AH186" s="1259"/>
      <c r="AI186" s="1240"/>
      <c r="AJ186" s="1240"/>
      <c r="AK186" s="1260"/>
      <c r="AL186" s="1249"/>
      <c r="AM186" s="1269"/>
      <c r="AN186" s="1286">
        <f>IFERROR(AL186*(1+DistributionLosses),0)</f>
        <v>0</v>
      </c>
      <c r="AO186" s="1287">
        <f>IFERROR(AM186*(1+DistributionLosses)*(1+WholesaleRiskPremium)*(1+PTFlosses),0)</f>
        <v>0</v>
      </c>
      <c r="AP186" s="570">
        <f t="shared" si="107"/>
        <v>0</v>
      </c>
      <c r="AQ186" s="1259"/>
      <c r="AR186" s="1260"/>
      <c r="AS186" s="418"/>
      <c r="AT186" s="376">
        <v>2020</v>
      </c>
      <c r="AU186" s="381"/>
      <c r="AV186" s="382">
        <v>6.2091837080073514E-2</v>
      </c>
      <c r="AW186" s="383">
        <v>4.4997381701998816E-2</v>
      </c>
      <c r="AX186" s="383">
        <v>4.593784958646599E-2</v>
      </c>
      <c r="AY186" s="384">
        <v>3.1999017062532199E-2</v>
      </c>
      <c r="AZ186" s="385">
        <v>279.08107187886907</v>
      </c>
      <c r="BA186" s="386" t="s">
        <v>493</v>
      </c>
      <c r="BB186" s="640">
        <f t="shared" si="108"/>
        <v>279.08107187886907</v>
      </c>
      <c r="BC186" s="641">
        <f t="shared" si="109"/>
        <v>0</v>
      </c>
      <c r="BD186" s="642">
        <f t="shared" si="110"/>
        <v>0</v>
      </c>
      <c r="BE186" s="382">
        <v>5.7496677267905305E-2</v>
      </c>
      <c r="BF186" s="383">
        <v>4.1667311764091074E-2</v>
      </c>
      <c r="BG186" s="383">
        <v>4.2538179513813223E-2</v>
      </c>
      <c r="BH186" s="384">
        <v>2.9630902280471397E-2</v>
      </c>
      <c r="BI186" s="385">
        <v>345.72729799919603</v>
      </c>
      <c r="BJ186" s="386" t="s">
        <v>493</v>
      </c>
      <c r="BK186" s="640">
        <f t="shared" si="111"/>
        <v>345.72729799919603</v>
      </c>
      <c r="BL186" s="641">
        <f t="shared" si="112"/>
        <v>0</v>
      </c>
      <c r="BM186" s="642">
        <f t="shared" si="113"/>
        <v>0</v>
      </c>
      <c r="BN186" s="418"/>
      <c r="BO186" s="376">
        <v>2020</v>
      </c>
      <c r="BP186" s="380"/>
      <c r="BQ186" s="1304"/>
      <c r="BR186" s="1293"/>
      <c r="BS186" s="1307"/>
      <c r="BT186" s="570">
        <f>IF(AND(BR186=0,BS186=0,),0,IFERROR(BR186*FCMbid,0)+IFERROR(BS186*(1-FCMbid),0))</f>
        <v>0</v>
      </c>
      <c r="BU186" s="1293"/>
      <c r="BV186" s="1307"/>
      <c r="BW186" s="570">
        <f t="shared" si="114"/>
        <v>0</v>
      </c>
      <c r="BX186" s="570">
        <f>IFERROR(BT186*(1+DistributionLosses)*(1+WholesaleRiskPremium),0)</f>
        <v>0</v>
      </c>
      <c r="BY186" s="570">
        <f t="shared" si="115"/>
        <v>0</v>
      </c>
      <c r="BZ186" s="418"/>
      <c r="CA186" s="1312">
        <f t="shared" si="122"/>
        <v>0</v>
      </c>
      <c r="CB186" s="1313">
        <f t="shared" si="116"/>
        <v>0</v>
      </c>
      <c r="CC186" s="1313">
        <f t="shared" si="117"/>
        <v>0</v>
      </c>
      <c r="CD186" s="1314">
        <f t="shared" si="118"/>
        <v>0</v>
      </c>
      <c r="CE186" s="1312">
        <f t="shared" si="119"/>
        <v>0</v>
      </c>
      <c r="CF186" s="1313">
        <f t="shared" si="119"/>
        <v>0</v>
      </c>
      <c r="CG186" s="1313">
        <f t="shared" si="119"/>
        <v>0</v>
      </c>
      <c r="CH186" s="1314">
        <f t="shared" si="119"/>
        <v>0</v>
      </c>
      <c r="CI186" s="1312">
        <f t="shared" si="120"/>
        <v>0</v>
      </c>
      <c r="CJ186" s="567">
        <f>IFERROR(AR186*(1+WholesaleRiskPremium),"-")</f>
        <v>0</v>
      </c>
      <c r="CK186" s="418"/>
      <c r="CL186" s="571"/>
      <c r="CM186" s="1149"/>
      <c r="CN186" s="570"/>
      <c r="CO186" s="571"/>
      <c r="CP186" s="1149"/>
      <c r="CQ186" s="570"/>
      <c r="CR186" s="660"/>
    </row>
    <row r="187" spans="2:96">
      <c r="B187" s="414">
        <v>2021</v>
      </c>
      <c r="C187" s="380"/>
      <c r="D187" s="1423">
        <v>4.2764847716076526E-2</v>
      </c>
      <c r="E187" s="1271">
        <v>3.6665243870245771E-2</v>
      </c>
      <c r="F187" s="1271">
        <v>3.1901937918293724E-2</v>
      </c>
      <c r="G187" s="1271">
        <v>2.6254803461187463E-2</v>
      </c>
      <c r="H187" s="1423">
        <v>1.1679237444740446E-2</v>
      </c>
      <c r="I187" s="1241">
        <f t="shared" ref="I187:I221" si="123">IFERROR((D187+$H187)*(1+EnergyLosses)*(1+WholesaleRiskPremium),0)</f>
        <v>6.4091577051313742E-2</v>
      </c>
      <c r="J187" s="1242">
        <f t="shared" ref="J187:J221" si="124">IFERROR((E187+$H187)*(1+EnergyLosses)*(1+WholesaleRiskPremium),0)</f>
        <v>5.6911123404001784E-2</v>
      </c>
      <c r="K187" s="1242">
        <f t="shared" ref="K187:K221" si="125">IFERROR((F187+$H187)*(1+EnergyLosses)*(1+WholesaleRiskPremium),0)</f>
        <v>5.1303759637363833E-2</v>
      </c>
      <c r="L187" s="1243">
        <f t="shared" ref="L187:L221" si="126">IFERROR((G187+$H187)*(1+EnergyLosses)*(1+WholesaleRiskPremium),0)</f>
        <v>4.4655952954458338E-2</v>
      </c>
      <c r="M187" s="1273">
        <v>57.209291127733678</v>
      </c>
      <c r="N187" s="1425">
        <v>0</v>
      </c>
      <c r="O187" s="1251">
        <f>M187*(1+PeakDemandLosses)</f>
        <v>66.362777708171066</v>
      </c>
      <c r="P187" s="1253">
        <f t="shared" ref="P187:P221" si="127">N187*(1+PeakDemandLosses)*(1+WholesaleRiskPremium)</f>
        <v>0</v>
      </c>
      <c r="Q187" s="1255">
        <f t="shared" ref="Q187:Q216" si="128">O187*FCMbid+P187*(1-FCMbid)</f>
        <v>0</v>
      </c>
      <c r="R187" s="1270">
        <v>6.9265296516463293E-2</v>
      </c>
      <c r="S187" s="1271">
        <v>7.2489595708646964E-2</v>
      </c>
      <c r="T187" s="1271">
        <v>7.1413278575683428E-2</v>
      </c>
      <c r="U187" s="1272">
        <v>7.3202002431176583E-2</v>
      </c>
      <c r="V187" s="418"/>
      <c r="W187" s="376">
        <v>2021</v>
      </c>
      <c r="X187" s="380"/>
      <c r="Y187" s="1270"/>
      <c r="Z187" s="1271"/>
      <c r="AA187" s="1271"/>
      <c r="AB187" s="1272"/>
      <c r="AC187" s="1273"/>
      <c r="AD187" s="1274"/>
      <c r="AE187" s="568">
        <f t="shared" si="104"/>
        <v>0</v>
      </c>
      <c r="AF187" s="569">
        <f t="shared" si="105"/>
        <v>0</v>
      </c>
      <c r="AG187" s="570">
        <f t="shared" si="106"/>
        <v>0</v>
      </c>
      <c r="AH187" s="1270">
        <v>2.7166340820225887E-3</v>
      </c>
      <c r="AI187" s="1271">
        <v>2.1080557935540391E-3</v>
      </c>
      <c r="AJ187" s="1271">
        <v>1.8340832922537778E-3</v>
      </c>
      <c r="AK187" s="1272">
        <v>1.0453376011545956E-3</v>
      </c>
      <c r="AL187" s="1273">
        <v>11.521755907662032</v>
      </c>
      <c r="AM187" s="1273">
        <v>0</v>
      </c>
      <c r="AN187" s="1280">
        <f t="shared" ref="AN187:AN221" si="129">IFERROR(AL187*(1+PeakDemandLosses),0)</f>
        <v>13.365236852887955</v>
      </c>
      <c r="AO187" s="1281">
        <f t="shared" ref="AO187:AO221" si="130">IFERROR(AM187*(1+PeakDemandLosses)*(1+WholesaleRiskPremium),0)</f>
        <v>0</v>
      </c>
      <c r="AP187" s="570">
        <f t="shared" si="107"/>
        <v>0</v>
      </c>
      <c r="AQ187" s="1289"/>
      <c r="AR187" s="1433">
        <v>1.0492801274601714E-3</v>
      </c>
      <c r="AS187" s="418"/>
      <c r="AT187" s="376">
        <v>2021</v>
      </c>
      <c r="AU187" s="381"/>
      <c r="AV187" s="382">
        <v>6.5070898312649519E-2</v>
      </c>
      <c r="AW187" s="383">
        <v>4.6964737419449266E-2</v>
      </c>
      <c r="AX187" s="383">
        <v>5.5615482526619152E-2</v>
      </c>
      <c r="AY187" s="384">
        <v>3.7558789081637241E-2</v>
      </c>
      <c r="AZ187" s="385">
        <v>46.497472263437018</v>
      </c>
      <c r="BA187" s="386" t="s">
        <v>493</v>
      </c>
      <c r="BB187" s="640">
        <f t="shared" si="108"/>
        <v>46.497472263437018</v>
      </c>
      <c r="BC187" s="641">
        <f t="shared" si="109"/>
        <v>0</v>
      </c>
      <c r="BD187" s="642">
        <f t="shared" si="110"/>
        <v>0</v>
      </c>
      <c r="BE187" s="382">
        <v>6.404022352485203E-2</v>
      </c>
      <c r="BF187" s="383">
        <v>4.6220850796873686E-2</v>
      </c>
      <c r="BG187" s="383">
        <v>5.4734574514930689E-2</v>
      </c>
      <c r="BH187" s="384">
        <v>3.6963885707464492E-2</v>
      </c>
      <c r="BI187" s="385">
        <v>62.306612833005609</v>
      </c>
      <c r="BJ187" s="386" t="s">
        <v>493</v>
      </c>
      <c r="BK187" s="640">
        <f t="shared" si="111"/>
        <v>62.306612833005609</v>
      </c>
      <c r="BL187" s="641">
        <f t="shared" si="112"/>
        <v>0</v>
      </c>
      <c r="BM187" s="642">
        <f t="shared" si="113"/>
        <v>0</v>
      </c>
      <c r="BN187" s="418"/>
      <c r="BO187" s="376">
        <v>2021</v>
      </c>
      <c r="BP187" s="380"/>
      <c r="BQ187" s="1469">
        <v>84.015984360902266</v>
      </c>
      <c r="BR187" s="1308"/>
      <c r="BS187" s="1309"/>
      <c r="BT187" s="570">
        <f t="shared" si="121"/>
        <v>0</v>
      </c>
      <c r="BU187" s="1308">
        <v>1.923498874328742</v>
      </c>
      <c r="BV187" s="1309">
        <v>27.291092103524559</v>
      </c>
      <c r="BW187" s="570">
        <f t="shared" si="114"/>
        <v>27.291092103524559</v>
      </c>
      <c r="BX187" s="570">
        <f t="shared" ref="BX187:BX215" si="131">IFERROR(BT187*(1+DistributionLosses)*(1+WholesaleRiskPremium),0)</f>
        <v>0</v>
      </c>
      <c r="BY187" s="570">
        <f t="shared" ref="BY187:BY216" si="132">IFERROR(BW187*(1+PeakDemandLosses)*(1+WholesaleRiskPremium),0)</f>
        <v>34.190280187295564</v>
      </c>
      <c r="BZ187" s="418"/>
      <c r="CA187" s="1312">
        <f t="shared" si="122"/>
        <v>0</v>
      </c>
      <c r="CB187" s="1313">
        <f t="shared" si="116"/>
        <v>0</v>
      </c>
      <c r="CC187" s="1313">
        <f t="shared" si="117"/>
        <v>0</v>
      </c>
      <c r="CD187" s="1314">
        <f t="shared" si="118"/>
        <v>0</v>
      </c>
      <c r="CE187" s="1241">
        <f t="shared" ref="CE187:CE221" si="133">IFERROR(AH187*(1+EnergyLosses)*(1+WholesaleRiskPremium),"-")</f>
        <v>3.1980216413569919E-3</v>
      </c>
      <c r="CF187" s="1242">
        <f t="shared" ref="CF187:CF221" si="134">IFERROR(AI187*(1+EnergyLosses)*(1+WholesaleRiskPremium),"-")</f>
        <v>2.4816032801718152E-3</v>
      </c>
      <c r="CG187" s="1242">
        <f t="shared" ref="CG187:CG221" si="135">IFERROR(AJ187*(1+EnergyLosses)*(1+WholesaleRiskPremium),"-")</f>
        <v>2.1590828516411475E-3</v>
      </c>
      <c r="CH187" s="1243">
        <f t="shared" ref="CH187:CH221" si="136">IFERROR(AK187*(1+EnergyLosses)*(1+WholesaleRiskPremium),"-")</f>
        <v>1.2305714240791901E-3</v>
      </c>
      <c r="CI187" s="1312">
        <f t="shared" si="120"/>
        <v>0</v>
      </c>
      <c r="CJ187" s="1243">
        <f t="shared" ref="CJ187:CJ221" si="137">IFERROR(AR187*(1+EnergyLosses)*(1+WholesaleRiskPremium),"-")</f>
        <v>1.2352125660461141E-3</v>
      </c>
      <c r="CK187" s="418"/>
      <c r="CL187" s="571"/>
      <c r="CM187" s="1149"/>
      <c r="CN187" s="570"/>
      <c r="CO187" s="571"/>
      <c r="CP187" s="1149"/>
      <c r="CQ187" s="570"/>
      <c r="CR187" s="660"/>
    </row>
    <row r="188" spans="2:96">
      <c r="B188" s="414">
        <v>2022</v>
      </c>
      <c r="C188" s="380"/>
      <c r="D188" s="1423">
        <v>4.4869976816212472E-2</v>
      </c>
      <c r="E188" s="1271">
        <v>4.1544152362967247E-2</v>
      </c>
      <c r="F188" s="1271">
        <v>2.875026583247077E-2</v>
      </c>
      <c r="G188" s="1271">
        <v>2.5306517097861792E-2</v>
      </c>
      <c r="H188" s="1423">
        <v>1.0907855330664046E-2</v>
      </c>
      <c r="I188" s="1241">
        <f t="shared" si="123"/>
        <v>6.5661664003303047E-2</v>
      </c>
      <c r="J188" s="1242">
        <f t="shared" si="124"/>
        <v>6.174650345694277E-2</v>
      </c>
      <c r="K188" s="1242">
        <f t="shared" si="125"/>
        <v>4.6685540233242312E-2</v>
      </c>
      <c r="L188" s="1243">
        <f t="shared" si="126"/>
        <v>4.2631559222860625E-2</v>
      </c>
      <c r="M188" s="1273">
        <v>47.560050582486205</v>
      </c>
      <c r="N188" s="1425">
        <v>0</v>
      </c>
      <c r="O188" s="1251">
        <f t="shared" ref="O188:O221" si="138">M188*(1+PeakDemandLosses)</f>
        <v>55.169658675683998</v>
      </c>
      <c r="P188" s="1253">
        <f t="shared" si="127"/>
        <v>0</v>
      </c>
      <c r="Q188" s="1255">
        <f t="shared" si="128"/>
        <v>0</v>
      </c>
      <c r="R188" s="1270">
        <v>5.7102656282547182E-2</v>
      </c>
      <c r="S188" s="1271">
        <v>5.8051132495819328E-2</v>
      </c>
      <c r="T188" s="1271">
        <v>5.6313888213515455E-2</v>
      </c>
      <c r="U188" s="1272">
        <v>6.2736862738227192E-2</v>
      </c>
      <c r="V188" s="418"/>
      <c r="W188" s="376">
        <v>2022</v>
      </c>
      <c r="X188" s="380"/>
      <c r="Y188" s="1270"/>
      <c r="Z188" s="1271"/>
      <c r="AA188" s="1271"/>
      <c r="AB188" s="1272"/>
      <c r="AC188" s="1273"/>
      <c r="AD188" s="1274"/>
      <c r="AE188" s="568">
        <f t="shared" si="104"/>
        <v>0</v>
      </c>
      <c r="AF188" s="569">
        <f t="shared" si="105"/>
        <v>0</v>
      </c>
      <c r="AG188" s="570">
        <f t="shared" si="106"/>
        <v>0</v>
      </c>
      <c r="AH188" s="1270">
        <v>4.6379324621915229E-3</v>
      </c>
      <c r="AI188" s="1271">
        <v>3.9134154292901633E-3</v>
      </c>
      <c r="AJ188" s="1271">
        <v>2.6057266273866735E-3</v>
      </c>
      <c r="AK188" s="1272">
        <v>1.5784583294701884E-3</v>
      </c>
      <c r="AL188" s="1273">
        <v>8.5081383487927571</v>
      </c>
      <c r="AM188" s="1273">
        <v>0</v>
      </c>
      <c r="AN188" s="1280">
        <f t="shared" si="129"/>
        <v>9.8694404845995969</v>
      </c>
      <c r="AO188" s="1281">
        <f t="shared" si="130"/>
        <v>0</v>
      </c>
      <c r="AP188" s="570">
        <f t="shared" si="107"/>
        <v>0</v>
      </c>
      <c r="AQ188" s="1289"/>
      <c r="AR188" s="1433">
        <v>1.6152550989585541E-3</v>
      </c>
      <c r="AS188" s="418"/>
      <c r="AT188" s="376">
        <v>2022</v>
      </c>
      <c r="AU188" s="381"/>
      <c r="AV188" s="382">
        <v>5.8181250833945576E-2</v>
      </c>
      <c r="AW188" s="383">
        <v>4.0604284294070529E-2</v>
      </c>
      <c r="AX188" s="383">
        <v>4.9355977528308143E-2</v>
      </c>
      <c r="AY188" s="384">
        <v>3.1755219864299473E-2</v>
      </c>
      <c r="AZ188" s="385">
        <v>31.085863631164045</v>
      </c>
      <c r="BA188" s="386" t="s">
        <v>493</v>
      </c>
      <c r="BB188" s="640">
        <f t="shared" si="108"/>
        <v>31.085863631164045</v>
      </c>
      <c r="BC188" s="641">
        <f t="shared" si="109"/>
        <v>0</v>
      </c>
      <c r="BD188" s="642">
        <f t="shared" si="110"/>
        <v>0</v>
      </c>
      <c r="BE188" s="382">
        <v>6.4096971982395584E-2</v>
      </c>
      <c r="BF188" s="383">
        <v>4.4732824328413759E-2</v>
      </c>
      <c r="BG188" s="383">
        <v>5.4374367402736275E-2</v>
      </c>
      <c r="BH188" s="384">
        <v>3.4984009603816611E-2</v>
      </c>
      <c r="BI188" s="385">
        <v>47.099793380551574</v>
      </c>
      <c r="BJ188" s="386" t="s">
        <v>493</v>
      </c>
      <c r="BK188" s="640">
        <f t="shared" si="111"/>
        <v>47.099793380551574</v>
      </c>
      <c r="BL188" s="641">
        <f t="shared" si="112"/>
        <v>0</v>
      </c>
      <c r="BM188" s="642">
        <f t="shared" si="113"/>
        <v>0</v>
      </c>
      <c r="BN188" s="418"/>
      <c r="BO188" s="376">
        <v>2022</v>
      </c>
      <c r="BP188" s="380"/>
      <c r="BQ188" s="1469">
        <v>84.015984360902266</v>
      </c>
      <c r="BR188" s="1308"/>
      <c r="BS188" s="1309"/>
      <c r="BT188" s="570">
        <f t="shared" si="121"/>
        <v>0</v>
      </c>
      <c r="BU188" s="1308">
        <v>1.2150873924486891</v>
      </c>
      <c r="BV188" s="1309">
        <v>22.815454539658614</v>
      </c>
      <c r="BW188" s="570">
        <f t="shared" si="114"/>
        <v>22.815454539658614</v>
      </c>
      <c r="BX188" s="570">
        <f t="shared" si="131"/>
        <v>0</v>
      </c>
      <c r="BY188" s="570">
        <f t="shared" si="132"/>
        <v>28.583201447284313</v>
      </c>
      <c r="BZ188" s="418"/>
      <c r="CA188" s="1312">
        <f t="shared" si="122"/>
        <v>0</v>
      </c>
      <c r="CB188" s="1313">
        <f t="shared" si="116"/>
        <v>0</v>
      </c>
      <c r="CC188" s="1313">
        <f t="shared" si="117"/>
        <v>0</v>
      </c>
      <c r="CD188" s="1314">
        <f t="shared" si="118"/>
        <v>0</v>
      </c>
      <c r="CE188" s="1241">
        <f t="shared" si="133"/>
        <v>5.4597740944918611E-3</v>
      </c>
      <c r="CF188" s="1242">
        <f t="shared" si="134"/>
        <v>4.6068726433603803E-3</v>
      </c>
      <c r="CG188" s="1242">
        <f t="shared" si="135"/>
        <v>3.0674613857595927E-3</v>
      </c>
      <c r="CH188" s="1243">
        <f t="shared" si="136"/>
        <v>1.8581611454523059E-3</v>
      </c>
      <c r="CI188" s="1312">
        <f t="shared" si="120"/>
        <v>0</v>
      </c>
      <c r="CJ188" s="1243">
        <f t="shared" si="137"/>
        <v>1.9014783024940104E-3</v>
      </c>
      <c r="CK188" s="418"/>
      <c r="CL188" s="571"/>
      <c r="CM188" s="1149"/>
      <c r="CN188" s="570"/>
      <c r="CO188" s="571"/>
      <c r="CP188" s="1149"/>
      <c r="CQ188" s="570"/>
      <c r="CR188" s="660"/>
    </row>
    <row r="189" spans="2:96">
      <c r="B189" s="414">
        <v>2023</v>
      </c>
      <c r="C189" s="380"/>
      <c r="D189" s="1423">
        <v>4.3030110215370503E-2</v>
      </c>
      <c r="E189" s="1271">
        <v>4.1941386379595907E-2</v>
      </c>
      <c r="F189" s="1271">
        <v>2.617084228878705E-2</v>
      </c>
      <c r="G189" s="1271">
        <v>2.5083354018416916E-2</v>
      </c>
      <c r="H189" s="1423">
        <v>1.0885030115710697E-2</v>
      </c>
      <c r="I189" s="1241">
        <f t="shared" si="123"/>
        <v>6.3468903197748797E-2</v>
      </c>
      <c r="J189" s="1242">
        <f t="shared" si="124"/>
        <v>6.2187257498274938E-2</v>
      </c>
      <c r="K189" s="1242">
        <f t="shared" si="125"/>
        <v>4.362217299457475E-2</v>
      </c>
      <c r="L189" s="1243">
        <f t="shared" si="126"/>
        <v>4.2341981802695029E-2</v>
      </c>
      <c r="M189" s="1273">
        <v>29.620613211469831</v>
      </c>
      <c r="N189" s="1425">
        <v>0</v>
      </c>
      <c r="O189" s="1251">
        <f t="shared" si="138"/>
        <v>34.359911325304999</v>
      </c>
      <c r="P189" s="1253">
        <f t="shared" si="127"/>
        <v>0</v>
      </c>
      <c r="Q189" s="1255">
        <f t="shared" si="128"/>
        <v>0</v>
      </c>
      <c r="R189" s="1270">
        <v>5.7767105885830956E-2</v>
      </c>
      <c r="S189" s="1271">
        <v>6.5199267558399387E-2</v>
      </c>
      <c r="T189" s="1271">
        <v>5.2337011653401301E-2</v>
      </c>
      <c r="U189" s="1272">
        <v>7.3575680267976298E-2</v>
      </c>
      <c r="V189" s="418"/>
      <c r="W189" s="376">
        <v>2023</v>
      </c>
      <c r="X189" s="380"/>
      <c r="Y189" s="1270"/>
      <c r="Z189" s="1271"/>
      <c r="AA189" s="1271"/>
      <c r="AB189" s="1272"/>
      <c r="AC189" s="1273"/>
      <c r="AD189" s="1274"/>
      <c r="AE189" s="568">
        <f t="shared" si="104"/>
        <v>0</v>
      </c>
      <c r="AF189" s="569">
        <f t="shared" si="105"/>
        <v>0</v>
      </c>
      <c r="AG189" s="570">
        <f t="shared" si="106"/>
        <v>0</v>
      </c>
      <c r="AH189" s="1270">
        <v>5.453844417310622E-3</v>
      </c>
      <c r="AI189" s="1271">
        <v>4.8239152866356282E-3</v>
      </c>
      <c r="AJ189" s="1271">
        <v>2.8854546681891069E-3</v>
      </c>
      <c r="AK189" s="1272">
        <v>1.9089780332686036E-3</v>
      </c>
      <c r="AL189" s="1273">
        <v>10.733465111153341</v>
      </c>
      <c r="AM189" s="1273">
        <v>0</v>
      </c>
      <c r="AN189" s="1280">
        <f t="shared" si="129"/>
        <v>12.450819528937876</v>
      </c>
      <c r="AO189" s="1281">
        <f t="shared" si="130"/>
        <v>0</v>
      </c>
      <c r="AP189" s="570">
        <f t="shared" si="107"/>
        <v>0</v>
      </c>
      <c r="AQ189" s="1289"/>
      <c r="AR189" s="1433">
        <v>1.9520061379332385E-3</v>
      </c>
      <c r="AS189" s="418"/>
      <c r="AT189" s="376">
        <v>2023</v>
      </c>
      <c r="AU189" s="381"/>
      <c r="AV189" s="382">
        <v>4.3215557052740834E-2</v>
      </c>
      <c r="AW189" s="383">
        <v>2.9284936664899931E-2</v>
      </c>
      <c r="AX189" s="383">
        <v>3.3423980256392365E-2</v>
      </c>
      <c r="AY189" s="384">
        <v>2.1146398812907689E-2</v>
      </c>
      <c r="AZ189" s="385" t="s">
        <v>493</v>
      </c>
      <c r="BA189" s="386">
        <v>29.811955858882932</v>
      </c>
      <c r="BB189" s="640">
        <f t="shared" si="108"/>
        <v>0</v>
      </c>
      <c r="BC189" s="641">
        <f t="shared" si="109"/>
        <v>32.196912327593566</v>
      </c>
      <c r="BD189" s="642">
        <f t="shared" si="110"/>
        <v>32.196912327593566</v>
      </c>
      <c r="BE189" s="382">
        <v>5.4311012489677853E-2</v>
      </c>
      <c r="BF189" s="383">
        <v>3.6803750071432481E-2</v>
      </c>
      <c r="BG189" s="383">
        <v>4.2005479807752273E-2</v>
      </c>
      <c r="BH189" s="384">
        <v>2.6575668772195055E-2</v>
      </c>
      <c r="BI189" s="385">
        <v>31.291175042720681</v>
      </c>
      <c r="BJ189" s="386" t="s">
        <v>493</v>
      </c>
      <c r="BK189" s="640">
        <f t="shared" si="111"/>
        <v>31.291175042720681</v>
      </c>
      <c r="BL189" s="641">
        <f t="shared" si="112"/>
        <v>0</v>
      </c>
      <c r="BM189" s="642">
        <f t="shared" si="113"/>
        <v>0</v>
      </c>
      <c r="BN189" s="418"/>
      <c r="BO189" s="376">
        <v>2023</v>
      </c>
      <c r="BP189" s="380"/>
      <c r="BQ189" s="1469">
        <v>84.015984360902266</v>
      </c>
      <c r="BR189" s="1308"/>
      <c r="BS189" s="1309"/>
      <c r="BT189" s="570">
        <f t="shared" si="121"/>
        <v>0</v>
      </c>
      <c r="BU189" s="1308">
        <v>1.2903549436119022</v>
      </c>
      <c r="BV189" s="1309">
        <v>14.294383225841713</v>
      </c>
      <c r="BW189" s="570">
        <f t="shared" si="114"/>
        <v>14.294383225841713</v>
      </c>
      <c r="BX189" s="570">
        <f t="shared" si="131"/>
        <v>0</v>
      </c>
      <c r="BY189" s="570">
        <f t="shared" si="132"/>
        <v>17.9080033053345</v>
      </c>
      <c r="BZ189" s="418"/>
      <c r="CA189" s="1312">
        <f t="shared" si="122"/>
        <v>0</v>
      </c>
      <c r="CB189" s="1313">
        <f t="shared" si="116"/>
        <v>0</v>
      </c>
      <c r="CC189" s="1313">
        <f t="shared" si="117"/>
        <v>0</v>
      </c>
      <c r="CD189" s="1314">
        <f t="shared" si="118"/>
        <v>0</v>
      </c>
      <c r="CE189" s="1241">
        <f t="shared" si="133"/>
        <v>6.4202656480580652E-3</v>
      </c>
      <c r="CF189" s="1242">
        <f t="shared" si="134"/>
        <v>5.6787130754274622E-3</v>
      </c>
      <c r="CG189" s="1242">
        <f t="shared" si="135"/>
        <v>3.3967572353922173E-3</v>
      </c>
      <c r="CH189" s="1243">
        <f t="shared" si="136"/>
        <v>2.2472489407638005E-3</v>
      </c>
      <c r="CI189" s="1312">
        <f t="shared" si="120"/>
        <v>0</v>
      </c>
      <c r="CJ189" s="1243">
        <f t="shared" si="137"/>
        <v>2.2979016255750087E-3</v>
      </c>
      <c r="CK189" s="418"/>
      <c r="CL189" s="571"/>
      <c r="CM189" s="1149"/>
      <c r="CN189" s="570"/>
      <c r="CO189" s="571"/>
      <c r="CP189" s="1149"/>
      <c r="CQ189" s="570"/>
      <c r="CR189" s="660"/>
    </row>
    <row r="190" spans="2:96">
      <c r="B190" s="414">
        <v>2024</v>
      </c>
      <c r="C190" s="380"/>
      <c r="D190" s="1423">
        <v>4.5096211364207266E-2</v>
      </c>
      <c r="E190" s="1271">
        <v>4.4092514519002958E-2</v>
      </c>
      <c r="F190" s="1271">
        <v>2.932547496158729E-2</v>
      </c>
      <c r="G190" s="1271">
        <v>2.7859333165259157E-2</v>
      </c>
      <c r="H190" s="1423">
        <v>8.7940810299941326E-3</v>
      </c>
      <c r="I190" s="1241">
        <f t="shared" si="123"/>
        <v>6.3439652206453895E-2</v>
      </c>
      <c r="J190" s="1242">
        <f t="shared" si="124"/>
        <v>6.2258100280279387E-2</v>
      </c>
      <c r="K190" s="1242">
        <f t="shared" si="125"/>
        <v>4.4874341313289656E-2</v>
      </c>
      <c r="L190" s="1243">
        <f t="shared" si="126"/>
        <v>4.3148399190652179E-2</v>
      </c>
      <c r="M190" s="1273">
        <v>32.940873738600693</v>
      </c>
      <c r="N190" s="1425">
        <v>0</v>
      </c>
      <c r="O190" s="1251">
        <f t="shared" si="138"/>
        <v>38.211413536776803</v>
      </c>
      <c r="P190" s="1253">
        <f t="shared" si="127"/>
        <v>0</v>
      </c>
      <c r="Q190" s="1255">
        <f t="shared" si="128"/>
        <v>0</v>
      </c>
      <c r="R190" s="1270">
        <v>4.7662580277873616E-2</v>
      </c>
      <c r="S190" s="1271">
        <v>5.2369388856674637E-2</v>
      </c>
      <c r="T190" s="1271">
        <v>4.6214432102937304E-2</v>
      </c>
      <c r="U190" s="1272">
        <v>5.8260534986139999E-2</v>
      </c>
      <c r="V190" s="418"/>
      <c r="W190" s="376">
        <v>2024</v>
      </c>
      <c r="X190" s="380"/>
      <c r="Y190" s="1270"/>
      <c r="Z190" s="1271"/>
      <c r="AA190" s="1271"/>
      <c r="AB190" s="1272"/>
      <c r="AC190" s="1273"/>
      <c r="AD190" s="1274"/>
      <c r="AE190" s="568">
        <f t="shared" si="104"/>
        <v>0</v>
      </c>
      <c r="AF190" s="569">
        <f t="shared" si="105"/>
        <v>0</v>
      </c>
      <c r="AG190" s="570">
        <f t="shared" si="106"/>
        <v>0</v>
      </c>
      <c r="AH190" s="1270">
        <v>5.6159482197675279E-3</v>
      </c>
      <c r="AI190" s="1271">
        <v>4.9772559427298663E-3</v>
      </c>
      <c r="AJ190" s="1271">
        <v>3.2021331931216682E-3</v>
      </c>
      <c r="AK190" s="1272">
        <v>2.0885752961059311E-3</v>
      </c>
      <c r="AL190" s="1273">
        <v>9.1894584782660118</v>
      </c>
      <c r="AM190" s="1273">
        <v>0</v>
      </c>
      <c r="AN190" s="1280">
        <f t="shared" si="129"/>
        <v>10.659771834788573</v>
      </c>
      <c r="AO190" s="1281">
        <f t="shared" si="130"/>
        <v>0</v>
      </c>
      <c r="AP190" s="570">
        <f t="shared" si="107"/>
        <v>0</v>
      </c>
      <c r="AQ190" s="1289"/>
      <c r="AR190" s="1433">
        <v>1.7495453781027944E-3</v>
      </c>
      <c r="AS190" s="418"/>
      <c r="AT190" s="376">
        <v>2024</v>
      </c>
      <c r="AU190" s="381"/>
      <c r="AV190" s="382">
        <v>3.4926710112670574E-2</v>
      </c>
      <c r="AW190" s="383">
        <v>2.5552649872496159E-2</v>
      </c>
      <c r="AX190" s="383">
        <v>2.4755287250138897E-2</v>
      </c>
      <c r="AY190" s="384">
        <v>1.8401510469076902E-2</v>
      </c>
      <c r="AZ190" s="385" t="s">
        <v>493</v>
      </c>
      <c r="BA190" s="386">
        <v>52.025564060184912</v>
      </c>
      <c r="BB190" s="640">
        <f t="shared" si="108"/>
        <v>0</v>
      </c>
      <c r="BC190" s="641">
        <f t="shared" si="109"/>
        <v>56.187609184999708</v>
      </c>
      <c r="BD190" s="642">
        <f t="shared" si="110"/>
        <v>56.187609184999708</v>
      </c>
      <c r="BE190" s="382">
        <v>4.5076239697617773E-2</v>
      </c>
      <c r="BF190" s="383">
        <v>3.2978123815448825E-2</v>
      </c>
      <c r="BG190" s="383">
        <v>3.1949051550258352E-2</v>
      </c>
      <c r="BH190" s="384">
        <v>2.3748898594414734E-2</v>
      </c>
      <c r="BI190" s="385" t="s">
        <v>493</v>
      </c>
      <c r="BJ190" s="386">
        <v>30.197259404750806</v>
      </c>
      <c r="BK190" s="640">
        <f t="shared" si="111"/>
        <v>0</v>
      </c>
      <c r="BL190" s="641">
        <f t="shared" si="112"/>
        <v>32.613040157130875</v>
      </c>
      <c r="BM190" s="642">
        <f t="shared" si="113"/>
        <v>32.613040157130875</v>
      </c>
      <c r="BN190" s="418"/>
      <c r="BO190" s="376">
        <v>2024</v>
      </c>
      <c r="BP190" s="380"/>
      <c r="BQ190" s="1469">
        <v>84.015984360902266</v>
      </c>
      <c r="BR190" s="1308"/>
      <c r="BS190" s="1309"/>
      <c r="BT190" s="570">
        <f t="shared" si="121"/>
        <v>0</v>
      </c>
      <c r="BU190" s="1308">
        <v>1.1457616078296458</v>
      </c>
      <c r="BV190" s="1309">
        <v>15.788936605147926</v>
      </c>
      <c r="BW190" s="570">
        <f t="shared" si="114"/>
        <v>15.788936605147926</v>
      </c>
      <c r="BX190" s="570">
        <f t="shared" si="131"/>
        <v>0</v>
      </c>
      <c r="BY190" s="570">
        <f t="shared" si="132"/>
        <v>19.780379778929323</v>
      </c>
      <c r="BZ190" s="418"/>
      <c r="CA190" s="1312">
        <f t="shared" si="122"/>
        <v>0</v>
      </c>
      <c r="CB190" s="1313">
        <f t="shared" si="116"/>
        <v>0</v>
      </c>
      <c r="CC190" s="1313">
        <f t="shared" si="117"/>
        <v>0</v>
      </c>
      <c r="CD190" s="1314">
        <f t="shared" si="118"/>
        <v>0</v>
      </c>
      <c r="CE190" s="1241">
        <f t="shared" si="133"/>
        <v>6.6110942443103346E-3</v>
      </c>
      <c r="CF190" s="1242">
        <f t="shared" si="134"/>
        <v>5.859225695781599E-3</v>
      </c>
      <c r="CG190" s="1242">
        <f t="shared" si="135"/>
        <v>3.7695511949428287E-3</v>
      </c>
      <c r="CH190" s="1243">
        <f t="shared" si="136"/>
        <v>2.4586708385759023E-3</v>
      </c>
      <c r="CI190" s="1312">
        <f t="shared" si="120"/>
        <v>0</v>
      </c>
      <c r="CJ190" s="1243">
        <f t="shared" si="137"/>
        <v>2.0595648191026098E-3</v>
      </c>
      <c r="CK190" s="418"/>
      <c r="CL190" s="571"/>
      <c r="CM190" s="1149"/>
      <c r="CN190" s="570"/>
      <c r="CO190" s="571"/>
      <c r="CP190" s="1149"/>
      <c r="CQ190" s="570"/>
      <c r="CR190" s="660"/>
    </row>
    <row r="191" spans="2:96">
      <c r="B191" s="414">
        <v>2025</v>
      </c>
      <c r="C191" s="380"/>
      <c r="D191" s="1423">
        <v>4.5471056536816316E-2</v>
      </c>
      <c r="E191" s="1271">
        <v>4.4502830518994188E-2</v>
      </c>
      <c r="F191" s="1271">
        <v>3.0132141184362683E-2</v>
      </c>
      <c r="G191" s="1271">
        <v>2.8356797946397141E-2</v>
      </c>
      <c r="H191" s="1423">
        <v>6.923042510065645E-3</v>
      </c>
      <c r="I191" s="1241">
        <f t="shared" si="123"/>
        <v>6.1678333397989456E-2</v>
      </c>
      <c r="J191" s="1242">
        <f t="shared" si="124"/>
        <v>6.0538537729809244E-2</v>
      </c>
      <c r="K191" s="1242">
        <f t="shared" si="125"/>
        <v>4.3621362245081036E-2</v>
      </c>
      <c r="L191" s="1243">
        <f t="shared" si="126"/>
        <v>4.1531428185347989E-2</v>
      </c>
      <c r="M191" s="1273">
        <v>32.616590846637109</v>
      </c>
      <c r="N191" s="1425">
        <v>0</v>
      </c>
      <c r="O191" s="1251">
        <f t="shared" si="138"/>
        <v>37.835245382099046</v>
      </c>
      <c r="P191" s="1253">
        <f t="shared" si="127"/>
        <v>0</v>
      </c>
      <c r="Q191" s="1255">
        <f t="shared" si="128"/>
        <v>0</v>
      </c>
      <c r="R191" s="1270">
        <v>4.8057229251057321E-2</v>
      </c>
      <c r="S191" s="1271">
        <v>5.3198088714745954E-2</v>
      </c>
      <c r="T191" s="1271">
        <v>4.9026804160721263E-2</v>
      </c>
      <c r="U191" s="1272">
        <v>5.8290980648768052E-2</v>
      </c>
      <c r="V191" s="418"/>
      <c r="W191" s="376">
        <v>2025</v>
      </c>
      <c r="X191" s="380"/>
      <c r="Y191" s="1270"/>
      <c r="Z191" s="1271"/>
      <c r="AA191" s="1271"/>
      <c r="AB191" s="1272"/>
      <c r="AC191" s="1273"/>
      <c r="AD191" s="1274"/>
      <c r="AE191" s="568">
        <f t="shared" si="104"/>
        <v>0</v>
      </c>
      <c r="AF191" s="569">
        <f t="shared" si="105"/>
        <v>0</v>
      </c>
      <c r="AG191" s="570">
        <f t="shared" si="106"/>
        <v>0</v>
      </c>
      <c r="AH191" s="1270">
        <v>5.5565318892918502E-3</v>
      </c>
      <c r="AI191" s="1271">
        <v>4.9336966462286422E-3</v>
      </c>
      <c r="AJ191" s="1271">
        <v>3.2236219162481822E-3</v>
      </c>
      <c r="AK191" s="1272">
        <v>2.0852048479089507E-3</v>
      </c>
      <c r="AL191" s="1273">
        <v>6.2585146436328447</v>
      </c>
      <c r="AM191" s="1273">
        <v>0</v>
      </c>
      <c r="AN191" s="1280">
        <f t="shared" si="129"/>
        <v>7.2598769866140991</v>
      </c>
      <c r="AO191" s="1281">
        <f t="shared" si="130"/>
        <v>0</v>
      </c>
      <c r="AP191" s="570">
        <f t="shared" si="107"/>
        <v>0</v>
      </c>
      <c r="AQ191" s="1289"/>
      <c r="AR191" s="1433">
        <v>1.5634224358384073E-3</v>
      </c>
      <c r="AS191" s="418"/>
      <c r="AT191" s="376">
        <v>2025</v>
      </c>
      <c r="AU191" s="381"/>
      <c r="AV191" s="382">
        <v>2.32716386644077E-2</v>
      </c>
      <c r="AW191" s="383">
        <v>1.7099831726952602E-2</v>
      </c>
      <c r="AX191" s="383">
        <v>1.8476441536255425E-2</v>
      </c>
      <c r="AY191" s="384">
        <v>1.347536356128674E-2</v>
      </c>
      <c r="AZ191" s="385" t="s">
        <v>493</v>
      </c>
      <c r="BA191" s="386">
        <v>854.69234223010119</v>
      </c>
      <c r="BB191" s="640">
        <f t="shared" si="108"/>
        <v>0</v>
      </c>
      <c r="BC191" s="641">
        <f t="shared" si="109"/>
        <v>923.06772960850935</v>
      </c>
      <c r="BD191" s="642">
        <f t="shared" si="110"/>
        <v>923.06772960850935</v>
      </c>
      <c r="BE191" s="382">
        <v>3.203442514229228E-2</v>
      </c>
      <c r="BF191" s="383">
        <v>2.3538663834646621E-2</v>
      </c>
      <c r="BG191" s="383">
        <v>2.5433627250080817E-2</v>
      </c>
      <c r="BH191" s="384">
        <v>1.8549425396907258E-2</v>
      </c>
      <c r="BI191" s="385" t="s">
        <v>493</v>
      </c>
      <c r="BJ191" s="386">
        <v>670.30334237002194</v>
      </c>
      <c r="BK191" s="640">
        <f t="shared" si="111"/>
        <v>0</v>
      </c>
      <c r="BL191" s="641">
        <f t="shared" si="112"/>
        <v>723.92760975962369</v>
      </c>
      <c r="BM191" s="642">
        <f t="shared" si="113"/>
        <v>723.92760975962369</v>
      </c>
      <c r="BN191" s="418"/>
      <c r="BO191" s="376">
        <v>2025</v>
      </c>
      <c r="BP191" s="380"/>
      <c r="BQ191" s="1469">
        <v>84.015984360902266</v>
      </c>
      <c r="BR191" s="1308"/>
      <c r="BS191" s="1309"/>
      <c r="BT191" s="570">
        <f t="shared" si="121"/>
        <v>0</v>
      </c>
      <c r="BU191" s="1308">
        <v>0.76900002909103382</v>
      </c>
      <c r="BV191" s="1309">
        <v>15.819989872292117</v>
      </c>
      <c r="BW191" s="570">
        <f t="shared" si="114"/>
        <v>15.819989872292117</v>
      </c>
      <c r="BX191" s="570">
        <f t="shared" si="131"/>
        <v>0</v>
      </c>
      <c r="BY191" s="570">
        <f t="shared" si="132"/>
        <v>19.819283312007563</v>
      </c>
      <c r="BZ191" s="418"/>
      <c r="CA191" s="1312">
        <f t="shared" si="122"/>
        <v>0</v>
      </c>
      <c r="CB191" s="1313">
        <f t="shared" si="116"/>
        <v>0</v>
      </c>
      <c r="CC191" s="1313">
        <f t="shared" si="117"/>
        <v>0</v>
      </c>
      <c r="CD191" s="1314">
        <f t="shared" si="118"/>
        <v>0</v>
      </c>
      <c r="CE191" s="1241">
        <f t="shared" si="133"/>
        <v>6.5411493400743667E-3</v>
      </c>
      <c r="CF191" s="1242">
        <f t="shared" si="134"/>
        <v>5.8079476919403582E-3</v>
      </c>
      <c r="CG191" s="1242">
        <f t="shared" si="135"/>
        <v>3.7948477198073609E-3</v>
      </c>
      <c r="CH191" s="1243">
        <f t="shared" si="136"/>
        <v>2.4547031469584171E-3</v>
      </c>
      <c r="CI191" s="1312">
        <f t="shared" si="120"/>
        <v>0</v>
      </c>
      <c r="CJ191" s="1243">
        <f t="shared" si="137"/>
        <v>1.8404608914689732E-3</v>
      </c>
      <c r="CK191" s="418"/>
      <c r="CL191" s="571"/>
      <c r="CM191" s="1149"/>
      <c r="CN191" s="570"/>
      <c r="CO191" s="571"/>
      <c r="CP191" s="1149"/>
      <c r="CQ191" s="570"/>
      <c r="CR191" s="660"/>
    </row>
    <row r="192" spans="2:96">
      <c r="B192" s="414">
        <v>2026</v>
      </c>
      <c r="C192" s="380"/>
      <c r="D192" s="1423">
        <v>4.6483057927126779E-2</v>
      </c>
      <c r="E192" s="1271">
        <v>4.415426868774118E-2</v>
      </c>
      <c r="F192" s="1271">
        <v>3.1397705905897702E-2</v>
      </c>
      <c r="G192" s="1271">
        <v>2.7944350223320487E-2</v>
      </c>
      <c r="H192" s="1423">
        <v>6.4664770871449753E-3</v>
      </c>
      <c r="I192" s="1241">
        <f t="shared" si="123"/>
        <v>6.2332192618800721E-2</v>
      </c>
      <c r="J192" s="1242">
        <f t="shared" si="124"/>
        <v>5.9590741926195991E-2</v>
      </c>
      <c r="K192" s="1242">
        <f t="shared" si="125"/>
        <v>4.4573716219409851E-2</v>
      </c>
      <c r="L192" s="1243">
        <f t="shared" si="126"/>
        <v>4.050842590987995E-2</v>
      </c>
      <c r="M192" s="1273">
        <v>34.521920063205243</v>
      </c>
      <c r="N192" s="1425">
        <v>11.667979319551931</v>
      </c>
      <c r="O192" s="1251">
        <f t="shared" si="138"/>
        <v>40.045427273318083</v>
      </c>
      <c r="P192" s="1253">
        <f t="shared" si="127"/>
        <v>14.617644491534659</v>
      </c>
      <c r="Q192" s="1255">
        <f t="shared" si="128"/>
        <v>14.617644491534659</v>
      </c>
      <c r="R192" s="1270">
        <v>4.4089041436076309E-2</v>
      </c>
      <c r="S192" s="1271">
        <v>5.117673464413823E-2</v>
      </c>
      <c r="T192" s="1271">
        <v>4.4994608609156543E-2</v>
      </c>
      <c r="U192" s="1272">
        <v>5.4719842702144694E-2</v>
      </c>
      <c r="V192" s="418"/>
      <c r="W192" s="376">
        <v>2026</v>
      </c>
      <c r="X192" s="380"/>
      <c r="Y192" s="1270"/>
      <c r="Z192" s="1271"/>
      <c r="AA192" s="1271"/>
      <c r="AB192" s="1272"/>
      <c r="AC192" s="1273"/>
      <c r="AD192" s="1274"/>
      <c r="AE192" s="568">
        <f t="shared" si="104"/>
        <v>0</v>
      </c>
      <c r="AF192" s="569">
        <f t="shared" si="105"/>
        <v>0</v>
      </c>
      <c r="AG192" s="570">
        <f t="shared" si="106"/>
        <v>0</v>
      </c>
      <c r="AH192" s="1270">
        <v>5.5230270299963637E-3</v>
      </c>
      <c r="AI192" s="1271">
        <v>4.7628957267795043E-3</v>
      </c>
      <c r="AJ192" s="1271">
        <v>3.2685585890645449E-3</v>
      </c>
      <c r="AK192" s="1272">
        <v>2.0007661843590664E-3</v>
      </c>
      <c r="AL192" s="1273">
        <v>3.1777901088025748</v>
      </c>
      <c r="AM192" s="1274">
        <v>6.3179617989176151</v>
      </c>
      <c r="AN192" s="1280">
        <f t="shared" si="129"/>
        <v>3.6862365262109864</v>
      </c>
      <c r="AO192" s="1281">
        <f t="shared" si="130"/>
        <v>7.9151425416839878</v>
      </c>
      <c r="AP192" s="570">
        <f t="shared" si="107"/>
        <v>7.9151425416839878</v>
      </c>
      <c r="AQ192" s="1289"/>
      <c r="AR192" s="1433">
        <v>1.1164657540374925E-3</v>
      </c>
      <c r="AS192" s="418"/>
      <c r="AT192" s="376">
        <v>2026</v>
      </c>
      <c r="AU192" s="381"/>
      <c r="AV192" s="382">
        <v>1.2165168600708411E-2</v>
      </c>
      <c r="AW192" s="383">
        <v>8.7527135951031253E-3</v>
      </c>
      <c r="AX192" s="383">
        <v>1.0487143917855862E-2</v>
      </c>
      <c r="AY192" s="384">
        <v>7.3433163561046587E-3</v>
      </c>
      <c r="AZ192" s="385" t="s">
        <v>493</v>
      </c>
      <c r="BA192" s="386">
        <v>1009.3157370315264</v>
      </c>
      <c r="BB192" s="640">
        <f t="shared" si="108"/>
        <v>0</v>
      </c>
      <c r="BC192" s="641">
        <f t="shared" si="109"/>
        <v>1090.0609959940487</v>
      </c>
      <c r="BD192" s="642">
        <f t="shared" si="110"/>
        <v>1090.0609959940487</v>
      </c>
      <c r="BE192" s="382">
        <v>2.2540995620129133E-2</v>
      </c>
      <c r="BF192" s="383">
        <v>1.6218014339725247E-2</v>
      </c>
      <c r="BG192" s="383">
        <v>1.9431762343703744E-2</v>
      </c>
      <c r="BH192" s="384">
        <v>1.3606524270492951E-2</v>
      </c>
      <c r="BI192" s="385" t="s">
        <v>493</v>
      </c>
      <c r="BJ192" s="386">
        <v>912.85121283354204</v>
      </c>
      <c r="BK192" s="640">
        <f t="shared" si="111"/>
        <v>0</v>
      </c>
      <c r="BL192" s="641">
        <f t="shared" si="112"/>
        <v>985.87930986022548</v>
      </c>
      <c r="BM192" s="642">
        <f t="shared" si="113"/>
        <v>985.87930986022548</v>
      </c>
      <c r="BN192" s="418"/>
      <c r="BO192" s="376">
        <v>2026</v>
      </c>
      <c r="BP192" s="380"/>
      <c r="BQ192" s="1469">
        <v>84.015984360902266</v>
      </c>
      <c r="BR192" s="1308"/>
      <c r="BS192" s="1309"/>
      <c r="BT192" s="570">
        <f t="shared" si="121"/>
        <v>0</v>
      </c>
      <c r="BU192" s="1308">
        <v>0.38930261079225653</v>
      </c>
      <c r="BV192" s="1309">
        <v>11.445046596161086</v>
      </c>
      <c r="BW192" s="570">
        <f t="shared" si="114"/>
        <v>11.445046596161086</v>
      </c>
      <c r="BX192" s="570">
        <f t="shared" si="131"/>
        <v>0</v>
      </c>
      <c r="BY192" s="570">
        <f t="shared" si="132"/>
        <v>14.338354375670608</v>
      </c>
      <c r="BZ192" s="418"/>
      <c r="CA192" s="1312">
        <f t="shared" si="122"/>
        <v>0</v>
      </c>
      <c r="CB192" s="1313">
        <f t="shared" si="116"/>
        <v>0</v>
      </c>
      <c r="CC192" s="1313">
        <f t="shared" si="117"/>
        <v>0</v>
      </c>
      <c r="CD192" s="1314">
        <f t="shared" si="118"/>
        <v>0</v>
      </c>
      <c r="CE192" s="1241">
        <f t="shared" si="133"/>
        <v>6.50170741971172E-3</v>
      </c>
      <c r="CF192" s="1242">
        <f t="shared" si="134"/>
        <v>5.6068808495648333E-3</v>
      </c>
      <c r="CG192" s="1242">
        <f t="shared" si="135"/>
        <v>3.847747171046783E-3</v>
      </c>
      <c r="CH192" s="1243">
        <f t="shared" si="136"/>
        <v>2.3553019522274932E-3</v>
      </c>
      <c r="CI192" s="1312">
        <f t="shared" si="120"/>
        <v>0</v>
      </c>
      <c r="CJ192" s="1243">
        <f t="shared" si="137"/>
        <v>1.3143034856529362E-3</v>
      </c>
      <c r="CK192" s="418"/>
      <c r="CL192" s="571"/>
      <c r="CM192" s="1149"/>
      <c r="CN192" s="570"/>
      <c r="CO192" s="571"/>
      <c r="CP192" s="1149"/>
      <c r="CQ192" s="570"/>
      <c r="CR192" s="660"/>
    </row>
    <row r="193" spans="1:96">
      <c r="B193" s="414">
        <v>2027</v>
      </c>
      <c r="C193" s="380"/>
      <c r="D193" s="1423">
        <v>4.7201918691137115E-2</v>
      </c>
      <c r="E193" s="1271">
        <v>4.3215339835194849E-2</v>
      </c>
      <c r="F193" s="1271">
        <v>3.2793241937832285E-2</v>
      </c>
      <c r="G193" s="1271">
        <v>2.7730825762894717E-2</v>
      </c>
      <c r="H193" s="1423">
        <v>6.0857323395316605E-3</v>
      </c>
      <c r="I193" s="1241">
        <f t="shared" si="123"/>
        <v>6.27302227933033E-2</v>
      </c>
      <c r="J193" s="1242">
        <f t="shared" si="124"/>
        <v>5.8037222164088062E-2</v>
      </c>
      <c r="K193" s="1242">
        <f t="shared" si="125"/>
        <v>4.5768328519312847E-2</v>
      </c>
      <c r="L193" s="1243">
        <f t="shared" si="126"/>
        <v>3.9808852198176335E-2</v>
      </c>
      <c r="M193" s="1273">
        <v>37.293556810406628</v>
      </c>
      <c r="N193" s="1425">
        <v>21.171153722865039</v>
      </c>
      <c r="O193" s="1251">
        <f t="shared" si="138"/>
        <v>43.260525900071684</v>
      </c>
      <c r="P193" s="1253">
        <f>N193*(1+PeakDemandLosses)*(1+WholesaleRiskPremium)</f>
        <v>26.523221384005321</v>
      </c>
      <c r="Q193" s="1255">
        <f t="shared" si="128"/>
        <v>26.523221384005321</v>
      </c>
      <c r="R193" s="1270">
        <v>3.9721099758636642E-2</v>
      </c>
      <c r="S193" s="1271">
        <v>4.8007485277724908E-2</v>
      </c>
      <c r="T193" s="1271">
        <v>4.4256135855147045E-2</v>
      </c>
      <c r="U193" s="1272">
        <v>5.4130667657155497E-2</v>
      </c>
      <c r="V193" s="418"/>
      <c r="W193" s="376">
        <v>2027</v>
      </c>
      <c r="X193" s="380"/>
      <c r="Y193" s="1270"/>
      <c r="Z193" s="1271"/>
      <c r="AA193" s="1271"/>
      <c r="AB193" s="1272"/>
      <c r="AC193" s="1273"/>
      <c r="AD193" s="1274"/>
      <c r="AE193" s="568">
        <f t="shared" si="104"/>
        <v>0</v>
      </c>
      <c r="AF193" s="569">
        <f t="shared" si="105"/>
        <v>0</v>
      </c>
      <c r="AG193" s="570">
        <f t="shared" si="106"/>
        <v>0</v>
      </c>
      <c r="AH193" s="1270">
        <v>5.4148873037887669E-3</v>
      </c>
      <c r="AI193" s="1271">
        <v>4.4945873375617333E-3</v>
      </c>
      <c r="AJ193" s="1271">
        <v>3.2792768006137357E-3</v>
      </c>
      <c r="AK193" s="1272">
        <v>1.9062308145937879E-3</v>
      </c>
      <c r="AL193" s="1273">
        <v>0</v>
      </c>
      <c r="AM193" s="1274">
        <v>13.964994672230533</v>
      </c>
      <c r="AN193" s="1280">
        <f t="shared" si="129"/>
        <v>0</v>
      </c>
      <c r="AO193" s="1281">
        <f t="shared" si="130"/>
        <v>17.495345325370412</v>
      </c>
      <c r="AP193" s="570">
        <f t="shared" si="107"/>
        <v>17.495345325370412</v>
      </c>
      <c r="AQ193" s="1289"/>
      <c r="AR193" s="1433">
        <v>6.9430996758826867E-4</v>
      </c>
      <c r="AS193" s="418"/>
      <c r="AT193" s="376">
        <v>2027</v>
      </c>
      <c r="AU193" s="381"/>
      <c r="AV193" s="382">
        <v>7.4721330673594519E-3</v>
      </c>
      <c r="AW193" s="383">
        <v>5.4591959295560155E-3</v>
      </c>
      <c r="AX193" s="383">
        <v>5.6989497035486976E-3</v>
      </c>
      <c r="AY193" s="384">
        <v>3.9898151741748003E-3</v>
      </c>
      <c r="AZ193" s="385" t="s">
        <v>493</v>
      </c>
      <c r="BA193" s="386">
        <v>988.44481328875258</v>
      </c>
      <c r="BB193" s="640">
        <f t="shared" si="108"/>
        <v>0</v>
      </c>
      <c r="BC193" s="641">
        <f t="shared" si="109"/>
        <v>1067.5203983518529</v>
      </c>
      <c r="BD193" s="642">
        <f t="shared" si="110"/>
        <v>1067.5203983518529</v>
      </c>
      <c r="BE193" s="382">
        <v>1.2605190468147358E-2</v>
      </c>
      <c r="BF193" s="383">
        <v>9.2094458001008711E-3</v>
      </c>
      <c r="BG193" s="383">
        <v>9.6139008545533325E-3</v>
      </c>
      <c r="BH193" s="384">
        <v>6.7306590701482934E-3</v>
      </c>
      <c r="BI193" s="385" t="s">
        <v>493</v>
      </c>
      <c r="BJ193" s="386">
        <v>1062.8321225575944</v>
      </c>
      <c r="BK193" s="640">
        <f t="shared" si="111"/>
        <v>0</v>
      </c>
      <c r="BL193" s="641">
        <f t="shared" si="112"/>
        <v>1147.858692362202</v>
      </c>
      <c r="BM193" s="642">
        <f t="shared" si="113"/>
        <v>1147.858692362202</v>
      </c>
      <c r="BN193" s="418"/>
      <c r="BO193" s="376">
        <v>2027</v>
      </c>
      <c r="BP193" s="380"/>
      <c r="BQ193" s="1469">
        <v>84.015984360902266</v>
      </c>
      <c r="BR193" s="1308"/>
      <c r="BS193" s="1309"/>
      <c r="BT193" s="570">
        <f t="shared" si="121"/>
        <v>0</v>
      </c>
      <c r="BU193" s="1308" t="s">
        <v>493</v>
      </c>
      <c r="BV193" s="1309">
        <v>8.4217678902350155</v>
      </c>
      <c r="BW193" s="570">
        <f t="shared" si="114"/>
        <v>8.4217678902350155</v>
      </c>
      <c r="BX193" s="570">
        <f t="shared" si="131"/>
        <v>0</v>
      </c>
      <c r="BY193" s="570">
        <f t="shared" si="132"/>
        <v>10.550790812886428</v>
      </c>
      <c r="BZ193" s="418"/>
      <c r="CA193" s="1312">
        <f t="shared" si="122"/>
        <v>0</v>
      </c>
      <c r="CB193" s="1313">
        <f t="shared" si="116"/>
        <v>0</v>
      </c>
      <c r="CC193" s="1313">
        <f t="shared" si="117"/>
        <v>0</v>
      </c>
      <c r="CD193" s="1314">
        <f t="shared" si="118"/>
        <v>0</v>
      </c>
      <c r="CE193" s="1241">
        <f t="shared" si="133"/>
        <v>6.3744053340201376E-3</v>
      </c>
      <c r="CF193" s="1242">
        <f t="shared" si="134"/>
        <v>5.2910282137776724E-3</v>
      </c>
      <c r="CG193" s="1242">
        <f t="shared" si="135"/>
        <v>3.8603646496824899E-3</v>
      </c>
      <c r="CH193" s="1243">
        <f t="shared" si="136"/>
        <v>2.2440149149398074E-3</v>
      </c>
      <c r="CI193" s="1312">
        <f t="shared" si="120"/>
        <v>0</v>
      </c>
      <c r="CJ193" s="1243">
        <f t="shared" si="137"/>
        <v>8.1734169384490999E-4</v>
      </c>
      <c r="CK193" s="418"/>
      <c r="CL193" s="571"/>
      <c r="CM193" s="1149"/>
      <c r="CN193" s="570"/>
      <c r="CO193" s="571"/>
      <c r="CP193" s="1149"/>
      <c r="CQ193" s="570"/>
      <c r="CR193" s="660"/>
    </row>
    <row r="194" spans="1:96">
      <c r="B194" s="414">
        <v>2028</v>
      </c>
      <c r="C194" s="380"/>
      <c r="D194" s="1423">
        <v>4.5560886369721318E-2</v>
      </c>
      <c r="E194" s="1271">
        <v>4.5324564877405465E-2</v>
      </c>
      <c r="F194" s="1271">
        <v>3.1508811900858247E-2</v>
      </c>
      <c r="G194" s="1271">
        <v>3.0414739386034419E-2</v>
      </c>
      <c r="H194" s="1423">
        <v>5.6308631973313586E-3</v>
      </c>
      <c r="I194" s="1241">
        <f t="shared" si="123"/>
        <v>6.0262927590334414E-2</v>
      </c>
      <c r="J194" s="1242">
        <f t="shared" si="124"/>
        <v>5.9984729929580205E-2</v>
      </c>
      <c r="K194" s="1242">
        <f t="shared" si="125"/>
        <v>4.3720825525588806E-2</v>
      </c>
      <c r="L194" s="1243">
        <f t="shared" si="126"/>
        <v>4.24328833611382E-2</v>
      </c>
      <c r="M194" s="1273">
        <v>39.579731309022719</v>
      </c>
      <c r="N194" s="1425">
        <v>31.584625584600129</v>
      </c>
      <c r="O194" s="1251">
        <f t="shared" si="138"/>
        <v>45.912488318466352</v>
      </c>
      <c r="P194" s="1253">
        <f t="shared" si="127"/>
        <v>39.569218932387038</v>
      </c>
      <c r="Q194" s="1255">
        <f t="shared" si="128"/>
        <v>39.569218932387038</v>
      </c>
      <c r="R194" s="1270">
        <v>4.0030452380813236E-2</v>
      </c>
      <c r="S194" s="1271">
        <v>4.2844998221693506E-2</v>
      </c>
      <c r="T194" s="1271">
        <v>4.4584629560656557E-2</v>
      </c>
      <c r="U194" s="1272">
        <v>4.796025961323553E-2</v>
      </c>
      <c r="V194" s="418"/>
      <c r="W194" s="376">
        <v>2028</v>
      </c>
      <c r="X194" s="380"/>
      <c r="Y194" s="1270"/>
      <c r="Z194" s="1271"/>
      <c r="AA194" s="1271"/>
      <c r="AB194" s="1272"/>
      <c r="AC194" s="1273"/>
      <c r="AD194" s="1274"/>
      <c r="AE194" s="568">
        <f t="shared" si="104"/>
        <v>0</v>
      </c>
      <c r="AF194" s="569">
        <f t="shared" si="105"/>
        <v>0</v>
      </c>
      <c r="AG194" s="570">
        <f t="shared" si="106"/>
        <v>0</v>
      </c>
      <c r="AH194" s="1270">
        <v>4.9177639846283176E-3</v>
      </c>
      <c r="AI194" s="1271">
        <v>4.3952385026502895E-3</v>
      </c>
      <c r="AJ194" s="1271">
        <v>2.9680520599712941E-3</v>
      </c>
      <c r="AK194" s="1272">
        <v>1.962384181321223E-3</v>
      </c>
      <c r="AL194" s="1273">
        <v>0</v>
      </c>
      <c r="AM194" s="1274">
        <v>18.019315607688412</v>
      </c>
      <c r="AN194" s="1280">
        <f t="shared" si="129"/>
        <v>0</v>
      </c>
      <c r="AO194" s="1281">
        <f t="shared" si="130"/>
        <v>22.574598593312043</v>
      </c>
      <c r="AP194" s="570">
        <f t="shared" si="107"/>
        <v>22.574598593312043</v>
      </c>
      <c r="AQ194" s="1289"/>
      <c r="AR194" s="1433">
        <v>4.9276471067624986E-4</v>
      </c>
      <c r="AS194" s="418"/>
      <c r="AT194" s="376">
        <v>2028</v>
      </c>
      <c r="AU194" s="381"/>
      <c r="AV194" s="382">
        <v>0</v>
      </c>
      <c r="AW194" s="383">
        <v>0</v>
      </c>
      <c r="AX194" s="383">
        <v>0</v>
      </c>
      <c r="AY194" s="384">
        <v>0</v>
      </c>
      <c r="AZ194" s="385" t="s">
        <v>493</v>
      </c>
      <c r="BA194" s="386">
        <v>757.14835211249795</v>
      </c>
      <c r="BB194" s="640">
        <f t="shared" si="108"/>
        <v>0</v>
      </c>
      <c r="BC194" s="641">
        <f t="shared" si="109"/>
        <v>817.72022028149786</v>
      </c>
      <c r="BD194" s="642">
        <f t="shared" si="110"/>
        <v>817.72022028149786</v>
      </c>
      <c r="BE194" s="382">
        <v>7.4063076875795844E-3</v>
      </c>
      <c r="BF194" s="383">
        <v>5.0853515334553928E-3</v>
      </c>
      <c r="BG194" s="383">
        <v>6.005582047814019E-3</v>
      </c>
      <c r="BH194" s="384">
        <v>4.0040225439586163E-3</v>
      </c>
      <c r="BI194" s="385" t="s">
        <v>493</v>
      </c>
      <c r="BJ194" s="386">
        <v>1044.0295023133961</v>
      </c>
      <c r="BK194" s="640">
        <f t="shared" si="111"/>
        <v>0</v>
      </c>
      <c r="BL194" s="641">
        <f t="shared" si="112"/>
        <v>1127.5518624984677</v>
      </c>
      <c r="BM194" s="642">
        <f t="shared" si="113"/>
        <v>1127.5518624984677</v>
      </c>
      <c r="BN194" s="418"/>
      <c r="BO194" s="376">
        <v>2028</v>
      </c>
      <c r="BP194" s="380"/>
      <c r="BQ194" s="1469">
        <v>84.015984360902266</v>
      </c>
      <c r="BR194" s="1308"/>
      <c r="BS194" s="1309"/>
      <c r="BT194" s="570">
        <f t="shared" si="121"/>
        <v>0</v>
      </c>
      <c r="BU194" s="1308" t="s">
        <v>493</v>
      </c>
      <c r="BV194" s="1309">
        <v>4.9400389898076078</v>
      </c>
      <c r="BW194" s="570">
        <f t="shared" si="114"/>
        <v>4.9400389898076078</v>
      </c>
      <c r="BX194" s="570">
        <f t="shared" si="131"/>
        <v>0</v>
      </c>
      <c r="BY194" s="570">
        <f t="shared" si="132"/>
        <v>6.1888808464309708</v>
      </c>
      <c r="BZ194" s="418"/>
      <c r="CA194" s="1312">
        <f t="shared" si="122"/>
        <v>0</v>
      </c>
      <c r="CB194" s="1313">
        <f t="shared" si="116"/>
        <v>0</v>
      </c>
      <c r="CC194" s="1313">
        <f t="shared" si="117"/>
        <v>0</v>
      </c>
      <c r="CD194" s="1314">
        <f t="shared" si="118"/>
        <v>0</v>
      </c>
      <c r="CE194" s="1241">
        <f t="shared" si="133"/>
        <v>5.789191762704456E-3</v>
      </c>
      <c r="CF194" s="1242">
        <f t="shared" si="134"/>
        <v>5.1740747653199219E-3</v>
      </c>
      <c r="CG194" s="1242">
        <f t="shared" si="135"/>
        <v>3.4939908849982082E-3</v>
      </c>
      <c r="CH194" s="1243">
        <f t="shared" si="136"/>
        <v>2.3101186582513444E-3</v>
      </c>
      <c r="CI194" s="1312">
        <f t="shared" si="120"/>
        <v>0</v>
      </c>
      <c r="CJ194" s="1243">
        <f t="shared" si="137"/>
        <v>5.8008261740808136E-4</v>
      </c>
      <c r="CK194" s="418"/>
      <c r="CL194" s="571"/>
      <c r="CM194" s="1149"/>
      <c r="CN194" s="570"/>
      <c r="CO194" s="571"/>
      <c r="CP194" s="1149"/>
      <c r="CQ194" s="570"/>
      <c r="CR194" s="660"/>
    </row>
    <row r="195" spans="1:96">
      <c r="B195" s="414">
        <v>2029</v>
      </c>
      <c r="C195" s="380"/>
      <c r="D195" s="1423">
        <v>4.6733871748631098E-2</v>
      </c>
      <c r="E195" s="1271">
        <v>4.7081220469846322E-2</v>
      </c>
      <c r="F195" s="1271">
        <v>3.2641547320974483E-2</v>
      </c>
      <c r="G195" s="1271">
        <v>3.1407602680693064E-2</v>
      </c>
      <c r="H195" s="1423">
        <v>5.3594437312679526E-3</v>
      </c>
      <c r="I195" s="1241">
        <f t="shared" si="123"/>
        <v>6.1324250982937173E-2</v>
      </c>
      <c r="J195" s="1242">
        <f t="shared" si="124"/>
        <v>6.1733149897551728E-2</v>
      </c>
      <c r="K195" s="1242">
        <f t="shared" si="125"/>
        <v>4.4734766666699809E-2</v>
      </c>
      <c r="L195" s="1243">
        <f t="shared" si="126"/>
        <v>4.3282167036160515E-2</v>
      </c>
      <c r="M195" s="1273">
        <v>43.111952227949743</v>
      </c>
      <c r="N195" s="1425">
        <v>44.232862985876437</v>
      </c>
      <c r="O195" s="1251">
        <f t="shared" si="138"/>
        <v>50.009864584421699</v>
      </c>
      <c r="P195" s="1253">
        <f t="shared" si="127"/>
        <v>55.414930748705999</v>
      </c>
      <c r="Q195" s="1255">
        <f t="shared" si="128"/>
        <v>55.414930748705999</v>
      </c>
      <c r="R195" s="1270">
        <v>3.8124738501519539E-2</v>
      </c>
      <c r="S195" s="1271">
        <v>3.9016498880262207E-2</v>
      </c>
      <c r="T195" s="1271">
        <v>4.089683450436396E-2</v>
      </c>
      <c r="U195" s="1272">
        <v>4.3142875722349719E-2</v>
      </c>
      <c r="V195" s="418"/>
      <c r="W195" s="376">
        <v>2029</v>
      </c>
      <c r="X195" s="380"/>
      <c r="Y195" s="1270"/>
      <c r="Z195" s="1271"/>
      <c r="AA195" s="1271"/>
      <c r="AB195" s="1272"/>
      <c r="AC195" s="1273"/>
      <c r="AD195" s="1274"/>
      <c r="AE195" s="568">
        <f t="shared" si="104"/>
        <v>0</v>
      </c>
      <c r="AF195" s="569">
        <f t="shared" si="105"/>
        <v>0</v>
      </c>
      <c r="AG195" s="570">
        <f t="shared" si="106"/>
        <v>0</v>
      </c>
      <c r="AH195" s="1430">
        <v>4.5160145428608713E-3</v>
      </c>
      <c r="AI195" s="1431">
        <v>4.1007457464402848E-3</v>
      </c>
      <c r="AJ195" s="1431">
        <v>2.7698214647074882E-3</v>
      </c>
      <c r="AK195" s="1432">
        <v>1.8234838324255242E-3</v>
      </c>
      <c r="AL195" s="1273">
        <v>0</v>
      </c>
      <c r="AM195" s="1274">
        <v>21.055067530763459</v>
      </c>
      <c r="AN195" s="1280">
        <f t="shared" si="129"/>
        <v>0</v>
      </c>
      <c r="AO195" s="1281">
        <f t="shared" si="130"/>
        <v>26.377788602540463</v>
      </c>
      <c r="AP195" s="570">
        <f t="shared" si="107"/>
        <v>26.377788602540463</v>
      </c>
      <c r="AQ195" s="1289"/>
      <c r="AR195" s="1433">
        <v>3.0830368068243062E-4</v>
      </c>
      <c r="AS195" s="418"/>
      <c r="AT195" s="376">
        <v>2029</v>
      </c>
      <c r="AU195" s="381"/>
      <c r="AV195" s="382">
        <v>0</v>
      </c>
      <c r="AW195" s="383">
        <v>0</v>
      </c>
      <c r="AX195" s="383">
        <v>0</v>
      </c>
      <c r="AY195" s="384">
        <v>0</v>
      </c>
      <c r="AZ195" s="385" t="s">
        <v>493</v>
      </c>
      <c r="BA195" s="386">
        <v>497.91952590458175</v>
      </c>
      <c r="BB195" s="640">
        <f t="shared" si="108"/>
        <v>0</v>
      </c>
      <c r="BC195" s="641">
        <f t="shared" si="109"/>
        <v>537.75308797694834</v>
      </c>
      <c r="BD195" s="642">
        <f t="shared" si="110"/>
        <v>537.75308797694834</v>
      </c>
      <c r="BE195" s="382" t="s">
        <v>493</v>
      </c>
      <c r="BF195" s="383" t="s">
        <v>493</v>
      </c>
      <c r="BG195" s="383" t="s">
        <v>493</v>
      </c>
      <c r="BH195" s="384" t="s">
        <v>493</v>
      </c>
      <c r="BI195" s="385" t="s">
        <v>493</v>
      </c>
      <c r="BJ195" s="386">
        <v>804.77690814810194</v>
      </c>
      <c r="BK195" s="640">
        <f t="shared" si="111"/>
        <v>0</v>
      </c>
      <c r="BL195" s="641">
        <f t="shared" si="112"/>
        <v>869.15906079995011</v>
      </c>
      <c r="BM195" s="642">
        <f t="shared" si="113"/>
        <v>869.15906079995011</v>
      </c>
      <c r="BN195" s="418"/>
      <c r="BO195" s="376">
        <v>2029</v>
      </c>
      <c r="BP195" s="380"/>
      <c r="BQ195" s="1469">
        <v>84.015984360902266</v>
      </c>
      <c r="BR195" s="1308"/>
      <c r="BS195" s="1309"/>
      <c r="BT195" s="570">
        <f t="shared" si="121"/>
        <v>0</v>
      </c>
      <c r="BU195" s="1308" t="s">
        <v>493</v>
      </c>
      <c r="BV195" s="1309">
        <v>1.5502012035804009</v>
      </c>
      <c r="BW195" s="570">
        <f t="shared" si="114"/>
        <v>1.5502012035804009</v>
      </c>
      <c r="BX195" s="570">
        <f t="shared" si="131"/>
        <v>0</v>
      </c>
      <c r="BY195" s="570">
        <f t="shared" si="132"/>
        <v>1.9420920678455265</v>
      </c>
      <c r="BZ195" s="418"/>
      <c r="CA195" s="1312">
        <f t="shared" si="122"/>
        <v>0</v>
      </c>
      <c r="CB195" s="1313">
        <f t="shared" si="116"/>
        <v>0</v>
      </c>
      <c r="CC195" s="1313">
        <f t="shared" si="117"/>
        <v>0</v>
      </c>
      <c r="CD195" s="1314">
        <f t="shared" si="118"/>
        <v>0</v>
      </c>
      <c r="CE195" s="1241">
        <f t="shared" si="133"/>
        <v>5.3162523198558185E-3</v>
      </c>
      <c r="CF195" s="1242">
        <f t="shared" si="134"/>
        <v>4.8273978927095042E-3</v>
      </c>
      <c r="CG195" s="1242">
        <f t="shared" si="135"/>
        <v>3.2606338282536555E-3</v>
      </c>
      <c r="CH195" s="1243">
        <f t="shared" si="136"/>
        <v>2.1466051675313271E-3</v>
      </c>
      <c r="CI195" s="1312">
        <f t="shared" si="120"/>
        <v>0</v>
      </c>
      <c r="CJ195" s="1243">
        <f t="shared" si="137"/>
        <v>3.6293509289935742E-4</v>
      </c>
      <c r="CK195" s="418"/>
      <c r="CL195" s="571"/>
      <c r="CM195" s="1149"/>
      <c r="CN195" s="570"/>
      <c r="CO195" s="571"/>
      <c r="CP195" s="1149"/>
      <c r="CQ195" s="570"/>
      <c r="CR195" s="660"/>
    </row>
    <row r="196" spans="1:96">
      <c r="B196" s="414">
        <v>2030</v>
      </c>
      <c r="C196" s="380"/>
      <c r="D196" s="1423">
        <v>4.6728468990510606E-2</v>
      </c>
      <c r="E196" s="1271">
        <v>4.6912095424807905E-2</v>
      </c>
      <c r="F196" s="1271">
        <v>3.3323251522619071E-2</v>
      </c>
      <c r="G196" s="1271">
        <v>3.1927889067453648E-2</v>
      </c>
      <c r="H196" s="1423">
        <v>8.1480926669687433E-3</v>
      </c>
      <c r="I196" s="1241">
        <f t="shared" si="123"/>
        <v>6.460068838318471E-2</v>
      </c>
      <c r="J196" s="1242">
        <f t="shared" si="124"/>
        <v>6.4816853421639481E-2</v>
      </c>
      <c r="K196" s="1242">
        <f t="shared" si="125"/>
        <v>4.8820066379982777E-2</v>
      </c>
      <c r="L196" s="1243">
        <f t="shared" si="126"/>
        <v>4.7177445697762048E-2</v>
      </c>
      <c r="M196" s="1273">
        <v>41.026903433426739</v>
      </c>
      <c r="N196" s="1425">
        <v>46.770669914106477</v>
      </c>
      <c r="O196" s="1251">
        <f t="shared" si="138"/>
        <v>47.591207982775011</v>
      </c>
      <c r="P196" s="1253">
        <f t="shared" si="127"/>
        <v>58.594295268392592</v>
      </c>
      <c r="Q196" s="1255">
        <f t="shared" si="128"/>
        <v>58.594295268392592</v>
      </c>
      <c r="R196" s="1270">
        <v>3.5262700712825452E-2</v>
      </c>
      <c r="S196" s="1271">
        <v>3.7088725276273479E-2</v>
      </c>
      <c r="T196" s="1271">
        <v>4.0576644247456106E-2</v>
      </c>
      <c r="U196" s="1272">
        <v>4.2124942247271271E-2</v>
      </c>
      <c r="V196" s="418"/>
      <c r="W196" s="376">
        <v>2030</v>
      </c>
      <c r="X196" s="380"/>
      <c r="Y196" s="1270"/>
      <c r="Z196" s="1271"/>
      <c r="AA196" s="1271"/>
      <c r="AB196" s="1272"/>
      <c r="AC196" s="1273"/>
      <c r="AD196" s="1274"/>
      <c r="AE196" s="568">
        <f t="shared" si="104"/>
        <v>0</v>
      </c>
      <c r="AF196" s="569">
        <f t="shared" si="105"/>
        <v>0</v>
      </c>
      <c r="AG196" s="570">
        <f t="shared" si="106"/>
        <v>0</v>
      </c>
      <c r="AH196" s="1270">
        <v>3.761189296229323E-3</v>
      </c>
      <c r="AI196" s="1271">
        <v>3.4028340898494508E-3</v>
      </c>
      <c r="AJ196" s="1271">
        <v>2.3405425258331489E-3</v>
      </c>
      <c r="AK196" s="1272">
        <v>1.535249305836088E-3</v>
      </c>
      <c r="AL196" s="1273">
        <v>0</v>
      </c>
      <c r="AM196" s="1274">
        <v>19.710184412775405</v>
      </c>
      <c r="AN196" s="1280">
        <f t="shared" si="129"/>
        <v>0</v>
      </c>
      <c r="AO196" s="1281">
        <f t="shared" si="130"/>
        <v>24.692919032325026</v>
      </c>
      <c r="AP196" s="570">
        <f t="shared" si="107"/>
        <v>24.692919032325026</v>
      </c>
      <c r="AQ196" s="1289"/>
      <c r="AR196" s="1433">
        <v>1.4741205009757862E-4</v>
      </c>
      <c r="AS196" s="418"/>
      <c r="AT196" s="376">
        <v>2030</v>
      </c>
      <c r="AU196" s="381"/>
      <c r="AV196" s="382" t="s">
        <v>493</v>
      </c>
      <c r="AW196" s="383" t="s">
        <v>493</v>
      </c>
      <c r="AX196" s="383" t="s">
        <v>493</v>
      </c>
      <c r="AY196" s="384" t="s">
        <v>493</v>
      </c>
      <c r="AZ196" s="385" t="s">
        <v>493</v>
      </c>
      <c r="BA196" s="386">
        <v>242.38385856298197</v>
      </c>
      <c r="BB196" s="640">
        <f t="shared" si="108"/>
        <v>0</v>
      </c>
      <c r="BC196" s="641">
        <f t="shared" si="109"/>
        <v>261.77456724802056</v>
      </c>
      <c r="BD196" s="642">
        <f t="shared" si="110"/>
        <v>261.77456724802056</v>
      </c>
      <c r="BE196" s="382" t="s">
        <v>493</v>
      </c>
      <c r="BF196" s="383" t="s">
        <v>493</v>
      </c>
      <c r="BG196" s="383" t="s">
        <v>493</v>
      </c>
      <c r="BH196" s="384" t="s">
        <v>493</v>
      </c>
      <c r="BI196" s="385" t="s">
        <v>493</v>
      </c>
      <c r="BJ196" s="386">
        <v>443.51089013651938</v>
      </c>
      <c r="BK196" s="640">
        <f t="shared" si="111"/>
        <v>0</v>
      </c>
      <c r="BL196" s="641">
        <f t="shared" si="112"/>
        <v>478.99176134744096</v>
      </c>
      <c r="BM196" s="642">
        <f t="shared" si="113"/>
        <v>478.99176134744096</v>
      </c>
      <c r="BN196" s="418"/>
      <c r="BO196" s="376">
        <v>2030</v>
      </c>
      <c r="BP196" s="380"/>
      <c r="BQ196" s="1469">
        <v>84.015984360902266</v>
      </c>
      <c r="BR196" s="1308"/>
      <c r="BS196" s="1309"/>
      <c r="BT196" s="570">
        <f t="shared" si="121"/>
        <v>0</v>
      </c>
      <c r="BU196" s="1308" t="s">
        <v>493</v>
      </c>
      <c r="BV196" s="1309">
        <v>0</v>
      </c>
      <c r="BW196" s="570">
        <f t="shared" si="114"/>
        <v>0</v>
      </c>
      <c r="BX196" s="570">
        <f t="shared" si="131"/>
        <v>0</v>
      </c>
      <c r="BY196" s="570">
        <f t="shared" si="132"/>
        <v>0</v>
      </c>
      <c r="BZ196" s="418"/>
      <c r="CA196" s="1312">
        <f t="shared" si="122"/>
        <v>0</v>
      </c>
      <c r="CB196" s="1313">
        <f t="shared" si="116"/>
        <v>0</v>
      </c>
      <c r="CC196" s="1313">
        <f t="shared" si="117"/>
        <v>0</v>
      </c>
      <c r="CD196" s="1314">
        <f t="shared" si="118"/>
        <v>0</v>
      </c>
      <c r="CE196" s="1241">
        <f t="shared" si="133"/>
        <v>4.4276720395211595E-3</v>
      </c>
      <c r="CF196" s="1242">
        <f t="shared" si="134"/>
        <v>4.0058162905707746E-3</v>
      </c>
      <c r="CG196" s="1242">
        <f t="shared" si="135"/>
        <v>2.7552866614107834E-3</v>
      </c>
      <c r="CH196" s="1243">
        <f t="shared" si="136"/>
        <v>1.807295482830243E-3</v>
      </c>
      <c r="CI196" s="1312">
        <f t="shared" si="120"/>
        <v>0</v>
      </c>
      <c r="CJ196" s="1243">
        <f t="shared" si="137"/>
        <v>1.735334653748696E-4</v>
      </c>
      <c r="CK196" s="418"/>
      <c r="CL196" s="571"/>
      <c r="CM196" s="1149"/>
      <c r="CN196" s="570"/>
      <c r="CO196" s="571"/>
      <c r="CP196" s="1149"/>
      <c r="CQ196" s="570"/>
      <c r="CR196" s="660"/>
    </row>
    <row r="197" spans="1:96">
      <c r="B197" s="414">
        <v>2031</v>
      </c>
      <c r="C197" s="380"/>
      <c r="D197" s="1423">
        <v>4.7658742000505461E-2</v>
      </c>
      <c r="E197" s="1271">
        <v>4.7788590539335533E-2</v>
      </c>
      <c r="F197" s="1271">
        <v>3.4358399699839864E-2</v>
      </c>
      <c r="G197" s="1271">
        <v>3.2415211823130959E-2</v>
      </c>
      <c r="H197" s="1423">
        <v>7.901701066927053E-3</v>
      </c>
      <c r="I197" s="1241">
        <f t="shared" si="123"/>
        <v>6.5405753578981554E-2</v>
      </c>
      <c r="J197" s="1242">
        <f t="shared" si="124"/>
        <v>6.5558611278892329E-2</v>
      </c>
      <c r="K197" s="1242">
        <f t="shared" si="125"/>
        <v>4.974859062263802E-2</v>
      </c>
      <c r="L197" s="1243">
        <f t="shared" si="126"/>
        <v>4.7461069854176294E-2</v>
      </c>
      <c r="M197" s="1273">
        <v>44.070055599460559</v>
      </c>
      <c r="N197" s="1425">
        <v>35.167904368369534</v>
      </c>
      <c r="O197" s="1251">
        <f t="shared" si="138"/>
        <v>51.121264495374248</v>
      </c>
      <c r="P197" s="1253">
        <f t="shared" si="127"/>
        <v>44.058350592693351</v>
      </c>
      <c r="Q197" s="1255">
        <f t="shared" si="128"/>
        <v>44.058350592693351</v>
      </c>
      <c r="R197" s="1270">
        <v>3.2225215076469624E-2</v>
      </c>
      <c r="S197" s="1271">
        <v>3.4436224914575618E-2</v>
      </c>
      <c r="T197" s="1271">
        <v>3.5965993918755823E-2</v>
      </c>
      <c r="U197" s="1272">
        <v>3.8193177420421449E-2</v>
      </c>
      <c r="V197" s="418"/>
      <c r="W197" s="376">
        <v>2031</v>
      </c>
      <c r="X197" s="380"/>
      <c r="Y197" s="1270"/>
      <c r="Z197" s="1271"/>
      <c r="AA197" s="1271"/>
      <c r="AB197" s="1272"/>
      <c r="AC197" s="1273"/>
      <c r="AD197" s="1274"/>
      <c r="AE197" s="568">
        <f t="shared" si="104"/>
        <v>0</v>
      </c>
      <c r="AF197" s="569">
        <f t="shared" si="105"/>
        <v>0</v>
      </c>
      <c r="AG197" s="570">
        <f t="shared" si="106"/>
        <v>0</v>
      </c>
      <c r="AH197" s="1270">
        <v>2.6253344167494826E-3</v>
      </c>
      <c r="AI197" s="1271">
        <v>2.3767116946839442E-3</v>
      </c>
      <c r="AJ197" s="1271">
        <v>1.6607949414923768E-3</v>
      </c>
      <c r="AK197" s="1272">
        <v>1.0739599528844586E-3</v>
      </c>
      <c r="AL197" s="1273">
        <v>0</v>
      </c>
      <c r="AM197" s="1274">
        <v>4.4796966801573168</v>
      </c>
      <c r="AN197" s="1280">
        <f t="shared" si="129"/>
        <v>0</v>
      </c>
      <c r="AO197" s="1281">
        <f t="shared" si="130"/>
        <v>5.6121640009010862</v>
      </c>
      <c r="AP197" s="570">
        <f t="shared" si="107"/>
        <v>5.6121640009010862</v>
      </c>
      <c r="AQ197" s="1289"/>
      <c r="AR197" s="1433">
        <v>3.2031485525171383E-5</v>
      </c>
      <c r="AS197" s="418"/>
      <c r="AT197" s="376">
        <v>2031</v>
      </c>
      <c r="AU197" s="381"/>
      <c r="AV197" s="382" t="s">
        <v>493</v>
      </c>
      <c r="AW197" s="383" t="s">
        <v>493</v>
      </c>
      <c r="AX197" s="383" t="s">
        <v>493</v>
      </c>
      <c r="AY197" s="384" t="s">
        <v>493</v>
      </c>
      <c r="AZ197" s="385" t="s">
        <v>493</v>
      </c>
      <c r="BA197" s="386">
        <v>113.23387171335879</v>
      </c>
      <c r="BB197" s="640">
        <f t="shared" si="108"/>
        <v>0</v>
      </c>
      <c r="BC197" s="641">
        <f t="shared" si="109"/>
        <v>122.29258145042751</v>
      </c>
      <c r="BD197" s="642">
        <f t="shared" si="110"/>
        <v>122.29258145042751</v>
      </c>
      <c r="BE197" s="382" t="s">
        <v>493</v>
      </c>
      <c r="BF197" s="383" t="s">
        <v>493</v>
      </c>
      <c r="BG197" s="383" t="s">
        <v>493</v>
      </c>
      <c r="BH197" s="384" t="s">
        <v>493</v>
      </c>
      <c r="BI197" s="385" t="s">
        <v>493</v>
      </c>
      <c r="BJ197" s="386">
        <v>256.01419100206851</v>
      </c>
      <c r="BK197" s="640">
        <f t="shared" si="111"/>
        <v>0</v>
      </c>
      <c r="BL197" s="641">
        <f t="shared" si="112"/>
        <v>276.49532628223403</v>
      </c>
      <c r="BM197" s="642">
        <f t="shared" si="113"/>
        <v>276.49532628223403</v>
      </c>
      <c r="BN197" s="418"/>
      <c r="BO197" s="376">
        <v>2031</v>
      </c>
      <c r="BP197" s="380"/>
      <c r="BQ197" s="1469">
        <v>84.015984360902266</v>
      </c>
      <c r="BR197" s="1308"/>
      <c r="BS197" s="1309"/>
      <c r="BT197" s="570">
        <f t="shared" si="121"/>
        <v>0</v>
      </c>
      <c r="BU197" s="1308" t="s">
        <v>493</v>
      </c>
      <c r="BV197" s="1309">
        <v>0</v>
      </c>
      <c r="BW197" s="570">
        <f t="shared" si="114"/>
        <v>0</v>
      </c>
      <c r="BX197" s="570">
        <f t="shared" si="131"/>
        <v>0</v>
      </c>
      <c r="BY197" s="570">
        <f t="shared" si="132"/>
        <v>0</v>
      </c>
      <c r="BZ197" s="418"/>
      <c r="CA197" s="1312">
        <f t="shared" si="122"/>
        <v>0</v>
      </c>
      <c r="CB197" s="1313">
        <f t="shared" si="116"/>
        <v>0</v>
      </c>
      <c r="CC197" s="1313">
        <f t="shared" si="117"/>
        <v>0</v>
      </c>
      <c r="CD197" s="1314">
        <f t="shared" si="118"/>
        <v>0</v>
      </c>
      <c r="CE197" s="1241">
        <f t="shared" si="133"/>
        <v>3.0905436753974913E-3</v>
      </c>
      <c r="CF197" s="1242">
        <f t="shared" si="134"/>
        <v>2.7978650069819394E-3</v>
      </c>
      <c r="CG197" s="1242">
        <f t="shared" si="135"/>
        <v>1.9550878051248265E-3</v>
      </c>
      <c r="CH197" s="1243">
        <f t="shared" si="136"/>
        <v>1.2642656565355849E-3</v>
      </c>
      <c r="CI197" s="1312">
        <f t="shared" si="120"/>
        <v>0</v>
      </c>
      <c r="CJ197" s="1243">
        <f t="shared" si="137"/>
        <v>3.7707464760231761E-5</v>
      </c>
      <c r="CK197" s="418"/>
      <c r="CL197" s="571"/>
      <c r="CM197" s="1149"/>
      <c r="CN197" s="570"/>
      <c r="CO197" s="571"/>
      <c r="CP197" s="1149"/>
      <c r="CQ197" s="570"/>
      <c r="CR197" s="660"/>
    </row>
    <row r="198" spans="1:96">
      <c r="B198" s="414">
        <v>2032</v>
      </c>
      <c r="C198" s="380"/>
      <c r="D198" s="1423">
        <v>5.0073292083966034E-2</v>
      </c>
      <c r="E198" s="1271">
        <v>4.7099625686170286E-2</v>
      </c>
      <c r="F198" s="1271">
        <v>3.7008393096004427E-2</v>
      </c>
      <c r="G198" s="1271">
        <v>3.1406230654063776E-2</v>
      </c>
      <c r="H198" s="1423">
        <v>7.6724198573008698E-3</v>
      </c>
      <c r="I198" s="1241">
        <f t="shared" si="123"/>
        <v>6.7978252097259412E-2</v>
      </c>
      <c r="J198" s="1242">
        <f t="shared" si="124"/>
        <v>6.4477652013774256E-2</v>
      </c>
      <c r="K198" s="1242">
        <f t="shared" si="125"/>
        <v>5.2598253008631003E-2</v>
      </c>
      <c r="L198" s="1243">
        <f t="shared" si="126"/>
        <v>4.6003387381978469E-2</v>
      </c>
      <c r="M198" s="1273">
        <v>46.822987385823822</v>
      </c>
      <c r="N198" s="1425">
        <v>26.689102809919582</v>
      </c>
      <c r="O198" s="1251">
        <f t="shared" si="138"/>
        <v>54.314665367555627</v>
      </c>
      <c r="P198" s="1253">
        <f t="shared" si="127"/>
        <v>33.436108000267254</v>
      </c>
      <c r="Q198" s="1255">
        <f t="shared" si="128"/>
        <v>33.436108000267254</v>
      </c>
      <c r="R198" s="1270">
        <v>2.9122434529596331E-2</v>
      </c>
      <c r="S198" s="1271">
        <v>3.2539698108203112E-2</v>
      </c>
      <c r="T198" s="1271">
        <v>3.1026386079288603E-2</v>
      </c>
      <c r="U198" s="1272">
        <v>3.5014375991922364E-2</v>
      </c>
      <c r="V198" s="418"/>
      <c r="W198" s="376">
        <v>2032</v>
      </c>
      <c r="X198" s="380"/>
      <c r="Y198" s="1270"/>
      <c r="Z198" s="1271"/>
      <c r="AA198" s="1271"/>
      <c r="AB198" s="1272"/>
      <c r="AC198" s="1273"/>
      <c r="AD198" s="1274"/>
      <c r="AE198" s="568">
        <f t="shared" si="104"/>
        <v>0</v>
      </c>
      <c r="AF198" s="569">
        <f t="shared" si="105"/>
        <v>0</v>
      </c>
      <c r="AG198" s="570">
        <f t="shared" si="106"/>
        <v>0</v>
      </c>
      <c r="AH198" s="1270">
        <v>0</v>
      </c>
      <c r="AI198" s="1271">
        <v>0</v>
      </c>
      <c r="AJ198" s="1271">
        <v>0</v>
      </c>
      <c r="AK198" s="1272">
        <v>0</v>
      </c>
      <c r="AL198" s="1273">
        <v>0</v>
      </c>
      <c r="AM198" s="1274">
        <v>0</v>
      </c>
      <c r="AN198" s="1280">
        <f t="shared" si="129"/>
        <v>0</v>
      </c>
      <c r="AO198" s="1281">
        <f t="shared" si="130"/>
        <v>0</v>
      </c>
      <c r="AP198" s="570">
        <f t="shared" si="107"/>
        <v>0</v>
      </c>
      <c r="AQ198" s="1289"/>
      <c r="AR198" s="1433">
        <v>1.4995554420161995E-5</v>
      </c>
      <c r="AS198" s="418"/>
      <c r="AT198" s="376">
        <v>2032</v>
      </c>
      <c r="AU198" s="381"/>
      <c r="AV198" s="382" t="s">
        <v>493</v>
      </c>
      <c r="AW198" s="383" t="s">
        <v>493</v>
      </c>
      <c r="AX198" s="383" t="s">
        <v>493</v>
      </c>
      <c r="AY198" s="384" t="s">
        <v>493</v>
      </c>
      <c r="AZ198" s="385" t="s">
        <v>493</v>
      </c>
      <c r="BA198" s="386">
        <v>32.808650931697684</v>
      </c>
      <c r="BB198" s="640">
        <f t="shared" si="108"/>
        <v>0</v>
      </c>
      <c r="BC198" s="641">
        <f t="shared" si="109"/>
        <v>35.4333430062335</v>
      </c>
      <c r="BD198" s="642">
        <f t="shared" si="110"/>
        <v>35.4333430062335</v>
      </c>
      <c r="BE198" s="382" t="s">
        <v>493</v>
      </c>
      <c r="BF198" s="383" t="s">
        <v>493</v>
      </c>
      <c r="BG198" s="383" t="s">
        <v>493</v>
      </c>
      <c r="BH198" s="384" t="s">
        <v>493</v>
      </c>
      <c r="BI198" s="385" t="s">
        <v>493</v>
      </c>
      <c r="BJ198" s="386">
        <v>120.35686919328563</v>
      </c>
      <c r="BK198" s="640">
        <f t="shared" si="111"/>
        <v>0</v>
      </c>
      <c r="BL198" s="641">
        <f t="shared" si="112"/>
        <v>129.9854187287485</v>
      </c>
      <c r="BM198" s="642">
        <f t="shared" si="113"/>
        <v>129.9854187287485</v>
      </c>
      <c r="BN198" s="418"/>
      <c r="BO198" s="376">
        <v>2032</v>
      </c>
      <c r="BP198" s="380"/>
      <c r="BQ198" s="1469">
        <v>84.015984360902266</v>
      </c>
      <c r="BR198" s="1308"/>
      <c r="BS198" s="1309"/>
      <c r="BT198" s="570">
        <f t="shared" si="121"/>
        <v>0</v>
      </c>
      <c r="BU198" s="1308" t="s">
        <v>493</v>
      </c>
      <c r="BV198" s="1309">
        <v>0</v>
      </c>
      <c r="BW198" s="570">
        <f t="shared" si="114"/>
        <v>0</v>
      </c>
      <c r="BX198" s="570">
        <f t="shared" si="131"/>
        <v>0</v>
      </c>
      <c r="BY198" s="570">
        <f t="shared" si="132"/>
        <v>0</v>
      </c>
      <c r="BZ198" s="418"/>
      <c r="CA198" s="1312">
        <f t="shared" si="122"/>
        <v>0</v>
      </c>
      <c r="CB198" s="1313">
        <f t="shared" si="116"/>
        <v>0</v>
      </c>
      <c r="CC198" s="1313">
        <f t="shared" si="117"/>
        <v>0</v>
      </c>
      <c r="CD198" s="1314">
        <f t="shared" si="118"/>
        <v>0</v>
      </c>
      <c r="CE198" s="1241">
        <f t="shared" si="133"/>
        <v>0</v>
      </c>
      <c r="CF198" s="1242">
        <f t="shared" si="134"/>
        <v>0</v>
      </c>
      <c r="CG198" s="1242">
        <f t="shared" si="135"/>
        <v>0</v>
      </c>
      <c r="CH198" s="1243">
        <f t="shared" si="136"/>
        <v>0</v>
      </c>
      <c r="CI198" s="1312">
        <f t="shared" si="120"/>
        <v>0</v>
      </c>
      <c r="CJ198" s="1243">
        <f t="shared" si="137"/>
        <v>1.7652766663414705E-5</v>
      </c>
      <c r="CK198" s="418"/>
      <c r="CL198" s="571"/>
      <c r="CM198" s="1149"/>
      <c r="CN198" s="570"/>
      <c r="CO198" s="571"/>
      <c r="CP198" s="1149"/>
      <c r="CQ198" s="570"/>
      <c r="CR198" s="660"/>
    </row>
    <row r="199" spans="1:96">
      <c r="B199" s="414">
        <v>2033</v>
      </c>
      <c r="C199" s="380"/>
      <c r="D199" s="1423">
        <v>4.9499345325976649E-2</v>
      </c>
      <c r="E199" s="1271">
        <v>4.7841384407192072E-2</v>
      </c>
      <c r="F199" s="1271">
        <v>3.6801874844311182E-2</v>
      </c>
      <c r="G199" s="1271">
        <v>3.3082630447288444E-2</v>
      </c>
      <c r="H199" s="1423">
        <v>4.5597418988067746E-3</v>
      </c>
      <c r="I199" s="1241">
        <f t="shared" si="123"/>
        <v>6.3638357481015054E-2</v>
      </c>
      <c r="J199" s="1242">
        <f t="shared" si="124"/>
        <v>6.168660588742185E-2</v>
      </c>
      <c r="K199" s="1242">
        <f t="shared" si="125"/>
        <v>4.869089522999847E-2</v>
      </c>
      <c r="L199" s="1243">
        <f t="shared" si="126"/>
        <v>4.4312600725823291E-2</v>
      </c>
      <c r="M199" s="1273">
        <v>46.343645895376085</v>
      </c>
      <c r="N199" s="1425">
        <v>15.849526896218626</v>
      </c>
      <c r="O199" s="1251">
        <f t="shared" si="138"/>
        <v>53.758629238636253</v>
      </c>
      <c r="P199" s="1253">
        <f t="shared" si="127"/>
        <v>19.856287295582696</v>
      </c>
      <c r="Q199" s="1255">
        <f t="shared" si="128"/>
        <v>19.856287295582696</v>
      </c>
      <c r="R199" s="1270">
        <v>2.7006863070966437E-2</v>
      </c>
      <c r="S199" s="1271">
        <v>2.9063175073806697E-2</v>
      </c>
      <c r="T199" s="1271">
        <v>3.0534762717463734E-2</v>
      </c>
      <c r="U199" s="1272">
        <v>3.2640899629869866E-2</v>
      </c>
      <c r="V199" s="418"/>
      <c r="W199" s="376">
        <v>2033</v>
      </c>
      <c r="X199" s="380"/>
      <c r="Y199" s="1270"/>
      <c r="Z199" s="1271"/>
      <c r="AA199" s="1271"/>
      <c r="AB199" s="1272"/>
      <c r="AC199" s="1273"/>
      <c r="AD199" s="1274"/>
      <c r="AE199" s="568">
        <f t="shared" si="104"/>
        <v>0</v>
      </c>
      <c r="AF199" s="569">
        <f t="shared" si="105"/>
        <v>0</v>
      </c>
      <c r="AG199" s="570">
        <f t="shared" si="106"/>
        <v>0</v>
      </c>
      <c r="AH199" s="1270">
        <v>0</v>
      </c>
      <c r="AI199" s="1271">
        <v>0</v>
      </c>
      <c r="AJ199" s="1271">
        <v>0</v>
      </c>
      <c r="AK199" s="1272">
        <v>0</v>
      </c>
      <c r="AL199" s="1273">
        <v>0</v>
      </c>
      <c r="AM199" s="1274">
        <v>0</v>
      </c>
      <c r="AN199" s="1280">
        <f t="shared" si="129"/>
        <v>0</v>
      </c>
      <c r="AO199" s="1281">
        <f t="shared" si="130"/>
        <v>0</v>
      </c>
      <c r="AP199" s="570">
        <f t="shared" si="107"/>
        <v>0</v>
      </c>
      <c r="AQ199" s="1289"/>
      <c r="AR199" s="1433">
        <v>1.5025087034493022E-5</v>
      </c>
      <c r="AS199" s="418"/>
      <c r="AT199" s="376">
        <v>2033</v>
      </c>
      <c r="AU199" s="381"/>
      <c r="AV199" s="382" t="s">
        <v>493</v>
      </c>
      <c r="AW199" s="383" t="s">
        <v>493</v>
      </c>
      <c r="AX199" s="383" t="s">
        <v>493</v>
      </c>
      <c r="AY199" s="384" t="s">
        <v>493</v>
      </c>
      <c r="AZ199" s="385" t="s">
        <v>493</v>
      </c>
      <c r="BA199" s="386" t="s">
        <v>493</v>
      </c>
      <c r="BB199" s="640">
        <f t="shared" si="108"/>
        <v>0</v>
      </c>
      <c r="BC199" s="641">
        <f t="shared" si="109"/>
        <v>0</v>
      </c>
      <c r="BD199" s="642">
        <f t="shared" si="110"/>
        <v>0</v>
      </c>
      <c r="BE199" s="382" t="s">
        <v>493</v>
      </c>
      <c r="BF199" s="383" t="s">
        <v>493</v>
      </c>
      <c r="BG199" s="383" t="s">
        <v>493</v>
      </c>
      <c r="BH199" s="384" t="s">
        <v>493</v>
      </c>
      <c r="BI199" s="385" t="s">
        <v>493</v>
      </c>
      <c r="BJ199" s="386">
        <v>29.223585784189648</v>
      </c>
      <c r="BK199" s="640">
        <f t="shared" si="111"/>
        <v>0</v>
      </c>
      <c r="BL199" s="641">
        <f t="shared" si="112"/>
        <v>31.561472646924823</v>
      </c>
      <c r="BM199" s="642">
        <f t="shared" si="113"/>
        <v>31.561472646924823</v>
      </c>
      <c r="BN199" s="418"/>
      <c r="BO199" s="376">
        <v>2033</v>
      </c>
      <c r="BP199" s="380"/>
      <c r="BQ199" s="1469">
        <v>84.015984360902266</v>
      </c>
      <c r="BR199" s="1308" t="s">
        <v>493</v>
      </c>
      <c r="BS199" s="1309" t="s">
        <v>493</v>
      </c>
      <c r="BT199" s="570">
        <f t="shared" si="121"/>
        <v>0</v>
      </c>
      <c r="BU199" s="1308" t="s">
        <v>493</v>
      </c>
      <c r="BV199" s="1309">
        <v>0</v>
      </c>
      <c r="BW199" s="570">
        <f t="shared" si="114"/>
        <v>0</v>
      </c>
      <c r="BX199" s="570">
        <f t="shared" si="131"/>
        <v>0</v>
      </c>
      <c r="BY199" s="570">
        <f t="shared" si="132"/>
        <v>0</v>
      </c>
      <c r="BZ199" s="418"/>
      <c r="CA199" s="1312">
        <f t="shared" si="122"/>
        <v>0</v>
      </c>
      <c r="CB199" s="1313">
        <f t="shared" si="116"/>
        <v>0</v>
      </c>
      <c r="CC199" s="1313">
        <f t="shared" si="117"/>
        <v>0</v>
      </c>
      <c r="CD199" s="1314">
        <f t="shared" si="118"/>
        <v>0</v>
      </c>
      <c r="CE199" s="1241">
        <f t="shared" si="133"/>
        <v>0</v>
      </c>
      <c r="CF199" s="1242">
        <f t="shared" si="134"/>
        <v>0</v>
      </c>
      <c r="CG199" s="1242">
        <f t="shared" si="135"/>
        <v>0</v>
      </c>
      <c r="CH199" s="1243">
        <f t="shared" si="136"/>
        <v>0</v>
      </c>
      <c r="CI199" s="1312">
        <f t="shared" si="120"/>
        <v>0</v>
      </c>
      <c r="CJ199" s="1243">
        <f t="shared" si="137"/>
        <v>1.7687532457005189E-5</v>
      </c>
      <c r="CK199" s="418"/>
      <c r="CL199" s="571"/>
      <c r="CM199" s="1149"/>
      <c r="CN199" s="570"/>
      <c r="CO199" s="571"/>
      <c r="CP199" s="1149"/>
      <c r="CQ199" s="570"/>
      <c r="CR199" s="660"/>
    </row>
    <row r="200" spans="1:96">
      <c r="B200" s="414">
        <v>2034</v>
      </c>
      <c r="C200" s="380"/>
      <c r="D200" s="1423">
        <v>4.9424120144774819E-2</v>
      </c>
      <c r="E200" s="1271">
        <v>4.9464169509551584E-2</v>
      </c>
      <c r="F200" s="1271">
        <v>3.6412560705015362E-2</v>
      </c>
      <c r="G200" s="1271">
        <v>3.461805069203952E-2</v>
      </c>
      <c r="H200" s="1423">
        <v>4.6795355515733099E-3</v>
      </c>
      <c r="I200" s="1241">
        <f t="shared" si="123"/>
        <v>6.3690823485741024E-2</v>
      </c>
      <c r="J200" s="1242">
        <f t="shared" si="124"/>
        <v>6.3737969597956232E-2</v>
      </c>
      <c r="K200" s="1242">
        <f t="shared" si="125"/>
        <v>4.8373615713256199E-2</v>
      </c>
      <c r="L200" s="1243">
        <f t="shared" si="126"/>
        <v>4.6261118525981033E-2</v>
      </c>
      <c r="M200" s="1273">
        <v>56.052455259473845</v>
      </c>
      <c r="N200" s="1425">
        <v>6.3899798995800197</v>
      </c>
      <c r="O200" s="1251">
        <f t="shared" si="138"/>
        <v>65.020848100989653</v>
      </c>
      <c r="P200" s="1253">
        <f t="shared" si="127"/>
        <v>8.0053668181938491</v>
      </c>
      <c r="Q200" s="1255">
        <f t="shared" si="128"/>
        <v>8.0053668181938491</v>
      </c>
      <c r="R200" s="1270">
        <v>2.5524951191141568E-2</v>
      </c>
      <c r="S200" s="1271">
        <v>2.6087483464489532E-2</v>
      </c>
      <c r="T200" s="1271">
        <v>2.8293341136940875E-2</v>
      </c>
      <c r="U200" s="1272">
        <v>2.8971461457947552E-2</v>
      </c>
      <c r="V200" s="418"/>
      <c r="W200" s="376">
        <v>2034</v>
      </c>
      <c r="X200" s="380"/>
      <c r="Y200" s="1270"/>
      <c r="Z200" s="1271"/>
      <c r="AA200" s="1271"/>
      <c r="AB200" s="1272"/>
      <c r="AC200" s="1273"/>
      <c r="AD200" s="1274"/>
      <c r="AE200" s="568">
        <f t="shared" si="104"/>
        <v>0</v>
      </c>
      <c r="AF200" s="569">
        <f t="shared" si="105"/>
        <v>0</v>
      </c>
      <c r="AG200" s="570">
        <f t="shared" si="106"/>
        <v>0</v>
      </c>
      <c r="AH200" s="1270">
        <v>0</v>
      </c>
      <c r="AI200" s="1271">
        <v>0</v>
      </c>
      <c r="AJ200" s="1271">
        <v>0</v>
      </c>
      <c r="AK200" s="1272">
        <v>0</v>
      </c>
      <c r="AL200" s="1273">
        <v>0</v>
      </c>
      <c r="AM200" s="1274">
        <v>0</v>
      </c>
      <c r="AN200" s="1280">
        <f t="shared" si="129"/>
        <v>0</v>
      </c>
      <c r="AO200" s="1281">
        <f t="shared" si="130"/>
        <v>0</v>
      </c>
      <c r="AP200" s="570">
        <f t="shared" si="107"/>
        <v>0</v>
      </c>
      <c r="AQ200" s="1289"/>
      <c r="AR200" s="1433">
        <v>1.5062358859858934E-5</v>
      </c>
      <c r="AS200" s="418"/>
      <c r="AT200" s="376">
        <v>2034</v>
      </c>
      <c r="AU200" s="381"/>
      <c r="AV200" s="382" t="s">
        <v>493</v>
      </c>
      <c r="AW200" s="383" t="s">
        <v>493</v>
      </c>
      <c r="AX200" s="383" t="s">
        <v>493</v>
      </c>
      <c r="AY200" s="384" t="s">
        <v>493</v>
      </c>
      <c r="AZ200" s="385" t="s">
        <v>493</v>
      </c>
      <c r="BA200" s="386" t="s">
        <v>493</v>
      </c>
      <c r="BB200" s="640">
        <f t="shared" si="108"/>
        <v>0</v>
      </c>
      <c r="BC200" s="641">
        <f t="shared" si="109"/>
        <v>0</v>
      </c>
      <c r="BD200" s="642">
        <f t="shared" si="110"/>
        <v>0</v>
      </c>
      <c r="BE200" s="382" t="s">
        <v>493</v>
      </c>
      <c r="BF200" s="383" t="s">
        <v>493</v>
      </c>
      <c r="BG200" s="383" t="s">
        <v>493</v>
      </c>
      <c r="BH200" s="384" t="s">
        <v>493</v>
      </c>
      <c r="BI200" s="385" t="s">
        <v>493</v>
      </c>
      <c r="BJ200" s="386" t="s">
        <v>493</v>
      </c>
      <c r="BK200" s="640">
        <f t="shared" si="111"/>
        <v>0</v>
      </c>
      <c r="BL200" s="641">
        <f t="shared" si="112"/>
        <v>0</v>
      </c>
      <c r="BM200" s="642">
        <f t="shared" si="113"/>
        <v>0</v>
      </c>
      <c r="BN200" s="418"/>
      <c r="BO200" s="376">
        <v>2034</v>
      </c>
      <c r="BP200" s="380"/>
      <c r="BQ200" s="1469">
        <v>84.015984360902266</v>
      </c>
      <c r="BR200" s="1308" t="s">
        <v>493</v>
      </c>
      <c r="BS200" s="1309" t="s">
        <v>493</v>
      </c>
      <c r="BT200" s="570">
        <f t="shared" si="121"/>
        <v>0</v>
      </c>
      <c r="BU200" s="1308" t="s">
        <v>493</v>
      </c>
      <c r="BV200" s="1309" t="s">
        <v>493</v>
      </c>
      <c r="BW200" s="570">
        <f t="shared" si="114"/>
        <v>0</v>
      </c>
      <c r="BX200" s="570">
        <f t="shared" si="131"/>
        <v>0</v>
      </c>
      <c r="BY200" s="570">
        <f t="shared" si="132"/>
        <v>0</v>
      </c>
      <c r="BZ200" s="418"/>
      <c r="CA200" s="1312">
        <f t="shared" si="122"/>
        <v>0</v>
      </c>
      <c r="CB200" s="1313">
        <f t="shared" si="116"/>
        <v>0</v>
      </c>
      <c r="CC200" s="1313">
        <f t="shared" si="117"/>
        <v>0</v>
      </c>
      <c r="CD200" s="1314">
        <f t="shared" si="118"/>
        <v>0</v>
      </c>
      <c r="CE200" s="1241">
        <f t="shared" si="133"/>
        <v>0</v>
      </c>
      <c r="CF200" s="1242">
        <f t="shared" si="134"/>
        <v>0</v>
      </c>
      <c r="CG200" s="1242">
        <f t="shared" si="135"/>
        <v>0</v>
      </c>
      <c r="CH200" s="1243">
        <f t="shared" si="136"/>
        <v>0</v>
      </c>
      <c r="CI200" s="1312">
        <f t="shared" si="120"/>
        <v>0</v>
      </c>
      <c r="CJ200" s="1243">
        <f t="shared" si="137"/>
        <v>1.773140884982594E-5</v>
      </c>
      <c r="CK200" s="418"/>
      <c r="CL200" s="571"/>
      <c r="CM200" s="1149"/>
      <c r="CN200" s="570"/>
      <c r="CO200" s="571"/>
      <c r="CP200" s="1149"/>
      <c r="CQ200" s="570"/>
      <c r="CR200" s="660"/>
    </row>
    <row r="201" spans="1:96">
      <c r="B201" s="414">
        <v>2035</v>
      </c>
      <c r="C201" s="380"/>
      <c r="D201" s="1423">
        <v>5.0283244295601277E-2</v>
      </c>
      <c r="E201" s="1271">
        <v>5.0329530844537097E-2</v>
      </c>
      <c r="F201" s="1271">
        <v>3.7361829771299426E-2</v>
      </c>
      <c r="G201" s="1271">
        <v>3.5287071459019E-2</v>
      </c>
      <c r="H201" s="1423">
        <v>4.8476340709586799E-3</v>
      </c>
      <c r="I201" s="1241">
        <f t="shared" si="123"/>
        <v>6.4900070013114389E-2</v>
      </c>
      <c r="J201" s="1242">
        <f t="shared" si="124"/>
        <v>6.495455853852164E-2</v>
      </c>
      <c r="K201" s="1242">
        <f t="shared" si="125"/>
        <v>4.9688980835106249E-2</v>
      </c>
      <c r="L201" s="1243">
        <f t="shared" si="126"/>
        <v>4.7246575349889734E-2</v>
      </c>
      <c r="M201" s="1273">
        <v>43.914176500771944</v>
      </c>
      <c r="N201" s="1425">
        <v>0</v>
      </c>
      <c r="O201" s="1251">
        <f t="shared" si="138"/>
        <v>50.940444740895451</v>
      </c>
      <c r="P201" s="1253">
        <f t="shared" si="127"/>
        <v>0</v>
      </c>
      <c r="Q201" s="1255">
        <f t="shared" si="128"/>
        <v>0</v>
      </c>
      <c r="R201" s="1270">
        <v>2.3328361917335359E-2</v>
      </c>
      <c r="S201" s="1271">
        <v>2.3303677166350841E-2</v>
      </c>
      <c r="T201" s="1271">
        <v>2.5682302784265656E-2</v>
      </c>
      <c r="U201" s="1272">
        <v>2.6766778780001159E-2</v>
      </c>
      <c r="V201" s="418"/>
      <c r="W201" s="376">
        <v>2035</v>
      </c>
      <c r="X201" s="380"/>
      <c r="Y201" s="1270"/>
      <c r="Z201" s="1271"/>
      <c r="AA201" s="1271"/>
      <c r="AB201" s="1272"/>
      <c r="AC201" s="1273"/>
      <c r="AD201" s="1274"/>
      <c r="AE201" s="568">
        <f t="shared" si="104"/>
        <v>0</v>
      </c>
      <c r="AF201" s="569">
        <f t="shared" si="105"/>
        <v>0</v>
      </c>
      <c r="AG201" s="570">
        <f t="shared" si="106"/>
        <v>0</v>
      </c>
      <c r="AH201" s="1270">
        <v>0</v>
      </c>
      <c r="AI201" s="1271">
        <v>0</v>
      </c>
      <c r="AJ201" s="1271">
        <v>0</v>
      </c>
      <c r="AK201" s="1272">
        <v>0</v>
      </c>
      <c r="AL201" s="1273">
        <v>0</v>
      </c>
      <c r="AM201" s="1274">
        <v>0</v>
      </c>
      <c r="AN201" s="1280">
        <f t="shared" si="129"/>
        <v>0</v>
      </c>
      <c r="AO201" s="1281">
        <f t="shared" si="130"/>
        <v>0</v>
      </c>
      <c r="AP201" s="570">
        <f t="shared" si="107"/>
        <v>0</v>
      </c>
      <c r="AQ201" s="1289"/>
      <c r="AR201" s="1433">
        <v>1.5108256680857475E-5</v>
      </c>
      <c r="AS201" s="418"/>
      <c r="AT201" s="376">
        <v>2035</v>
      </c>
      <c r="AU201" s="381"/>
      <c r="AV201" s="382" t="s">
        <v>493</v>
      </c>
      <c r="AW201" s="383" t="s">
        <v>493</v>
      </c>
      <c r="AX201" s="383" t="s">
        <v>493</v>
      </c>
      <c r="AY201" s="384" t="s">
        <v>493</v>
      </c>
      <c r="AZ201" s="385" t="s">
        <v>493</v>
      </c>
      <c r="BA201" s="386" t="s">
        <v>493</v>
      </c>
      <c r="BB201" s="640">
        <f t="shared" si="108"/>
        <v>0</v>
      </c>
      <c r="BC201" s="641">
        <f t="shared" si="109"/>
        <v>0</v>
      </c>
      <c r="BD201" s="642">
        <f t="shared" si="110"/>
        <v>0</v>
      </c>
      <c r="BE201" s="382" t="s">
        <v>493</v>
      </c>
      <c r="BF201" s="383" t="s">
        <v>493</v>
      </c>
      <c r="BG201" s="383" t="s">
        <v>493</v>
      </c>
      <c r="BH201" s="384" t="s">
        <v>493</v>
      </c>
      <c r="BI201" s="385" t="s">
        <v>493</v>
      </c>
      <c r="BJ201" s="386" t="s">
        <v>493</v>
      </c>
      <c r="BK201" s="640">
        <f t="shared" si="111"/>
        <v>0</v>
      </c>
      <c r="BL201" s="641">
        <f t="shared" si="112"/>
        <v>0</v>
      </c>
      <c r="BM201" s="642">
        <f t="shared" si="113"/>
        <v>0</v>
      </c>
      <c r="BN201" s="418"/>
      <c r="BO201" s="376">
        <v>2035</v>
      </c>
      <c r="BP201" s="380"/>
      <c r="BQ201" s="1469">
        <v>84.015984360902266</v>
      </c>
      <c r="BR201" s="1308" t="s">
        <v>493</v>
      </c>
      <c r="BS201" s="1309" t="s">
        <v>493</v>
      </c>
      <c r="BT201" s="570">
        <f t="shared" si="121"/>
        <v>0</v>
      </c>
      <c r="BU201" s="1308" t="s">
        <v>493</v>
      </c>
      <c r="BV201" s="1309" t="s">
        <v>493</v>
      </c>
      <c r="BW201" s="570">
        <f t="shared" si="114"/>
        <v>0</v>
      </c>
      <c r="BX201" s="570">
        <f t="shared" si="131"/>
        <v>0</v>
      </c>
      <c r="BY201" s="570">
        <f t="shared" si="132"/>
        <v>0</v>
      </c>
      <c r="BZ201" s="418"/>
      <c r="CA201" s="1312">
        <f t="shared" si="122"/>
        <v>0</v>
      </c>
      <c r="CB201" s="1313">
        <f t="shared" si="116"/>
        <v>0</v>
      </c>
      <c r="CC201" s="1313">
        <f t="shared" si="117"/>
        <v>0</v>
      </c>
      <c r="CD201" s="1314">
        <f t="shared" si="118"/>
        <v>0</v>
      </c>
      <c r="CE201" s="1241">
        <f t="shared" si="133"/>
        <v>0</v>
      </c>
      <c r="CF201" s="1242">
        <f t="shared" si="134"/>
        <v>0</v>
      </c>
      <c r="CG201" s="1242">
        <f t="shared" si="135"/>
        <v>0</v>
      </c>
      <c r="CH201" s="1243">
        <f t="shared" si="136"/>
        <v>0</v>
      </c>
      <c r="CI201" s="1312">
        <f t="shared" si="120"/>
        <v>0</v>
      </c>
      <c r="CJ201" s="1243">
        <f t="shared" si="137"/>
        <v>1.7785439764705422E-5</v>
      </c>
      <c r="CK201" s="418"/>
      <c r="CL201" s="571"/>
      <c r="CM201" s="1149"/>
      <c r="CN201" s="570"/>
      <c r="CO201" s="571"/>
      <c r="CP201" s="1149"/>
      <c r="CQ201" s="570"/>
      <c r="CR201" s="660"/>
    </row>
    <row r="202" spans="1:96">
      <c r="B202" s="414">
        <v>2036</v>
      </c>
      <c r="C202" s="380"/>
      <c r="D202" s="1423">
        <v>5.0948164347891997E-2</v>
      </c>
      <c r="E202" s="1271">
        <v>5.101574287243401E-2</v>
      </c>
      <c r="F202" s="1271">
        <v>3.814872072896807E-2</v>
      </c>
      <c r="G202" s="1271">
        <v>3.6059568359005645E-2</v>
      </c>
      <c r="H202" s="1423">
        <v>4.2228143009079497E-3</v>
      </c>
      <c r="I202" s="1241">
        <f t="shared" si="123"/>
        <v>6.4947276065367307E-2</v>
      </c>
      <c r="J202" s="1242">
        <f t="shared" si="124"/>
        <v>6.5026829504458164E-2</v>
      </c>
      <c r="K202" s="1242">
        <f t="shared" si="125"/>
        <v>4.9879771037170055E-2</v>
      </c>
      <c r="L202" s="1243">
        <f t="shared" si="126"/>
        <v>4.742042086725029E-2</v>
      </c>
      <c r="M202" s="1273">
        <v>45.288173415183145</v>
      </c>
      <c r="N202" s="1425">
        <v>0</v>
      </c>
      <c r="O202" s="1251">
        <f t="shared" si="138"/>
        <v>52.534281161612448</v>
      </c>
      <c r="P202" s="1253">
        <f t="shared" si="127"/>
        <v>0</v>
      </c>
      <c r="Q202" s="1255">
        <f t="shared" si="128"/>
        <v>0</v>
      </c>
      <c r="R202" s="1270">
        <v>2.1480045533522136E-2</v>
      </c>
      <c r="S202" s="1271">
        <v>2.1230417052941594E-2</v>
      </c>
      <c r="T202" s="1271">
        <v>2.3498122449561145E-2</v>
      </c>
      <c r="U202" s="1272">
        <v>2.4427279631491175E-2</v>
      </c>
      <c r="V202" s="418"/>
      <c r="W202" s="376">
        <v>2036</v>
      </c>
      <c r="X202" s="380"/>
      <c r="Y202" s="1270"/>
      <c r="Z202" s="1271"/>
      <c r="AA202" s="1271"/>
      <c r="AB202" s="1272"/>
      <c r="AC202" s="1273"/>
      <c r="AD202" s="1274"/>
      <c r="AE202" s="568">
        <f t="shared" si="104"/>
        <v>0</v>
      </c>
      <c r="AF202" s="569">
        <f t="shared" si="105"/>
        <v>0</v>
      </c>
      <c r="AG202" s="570">
        <f t="shared" si="106"/>
        <v>0</v>
      </c>
      <c r="AH202" s="1270">
        <v>0</v>
      </c>
      <c r="AI202" s="1271">
        <v>0</v>
      </c>
      <c r="AJ202" s="1271">
        <v>0</v>
      </c>
      <c r="AK202" s="1272">
        <v>0</v>
      </c>
      <c r="AL202" s="1273">
        <v>0</v>
      </c>
      <c r="AM202" s="1274">
        <v>0</v>
      </c>
      <c r="AN202" s="1280">
        <f t="shared" si="129"/>
        <v>0</v>
      </c>
      <c r="AO202" s="1281">
        <f t="shared" si="130"/>
        <v>0</v>
      </c>
      <c r="AP202" s="570">
        <f t="shared" si="107"/>
        <v>0</v>
      </c>
      <c r="AQ202" s="1289"/>
      <c r="AR202" s="1433">
        <v>1.514652921155341E-5</v>
      </c>
      <c r="AS202" s="418"/>
      <c r="AT202" s="376">
        <v>2036</v>
      </c>
      <c r="AU202" s="381"/>
      <c r="AV202" s="382" t="s">
        <v>493</v>
      </c>
      <c r="AW202" s="383" t="s">
        <v>493</v>
      </c>
      <c r="AX202" s="383" t="s">
        <v>493</v>
      </c>
      <c r="AY202" s="384" t="s">
        <v>493</v>
      </c>
      <c r="AZ202" s="385" t="s">
        <v>493</v>
      </c>
      <c r="BA202" s="386" t="s">
        <v>493</v>
      </c>
      <c r="BB202" s="640">
        <f t="shared" si="108"/>
        <v>0</v>
      </c>
      <c r="BC202" s="641">
        <f t="shared" si="109"/>
        <v>0</v>
      </c>
      <c r="BD202" s="642">
        <f t="shared" si="110"/>
        <v>0</v>
      </c>
      <c r="BE202" s="382" t="s">
        <v>493</v>
      </c>
      <c r="BF202" s="383" t="s">
        <v>493</v>
      </c>
      <c r="BG202" s="383" t="s">
        <v>493</v>
      </c>
      <c r="BH202" s="384" t="s">
        <v>493</v>
      </c>
      <c r="BI202" s="385" t="s">
        <v>493</v>
      </c>
      <c r="BJ202" s="386" t="s">
        <v>493</v>
      </c>
      <c r="BK202" s="640">
        <f t="shared" si="111"/>
        <v>0</v>
      </c>
      <c r="BL202" s="641">
        <f t="shared" si="112"/>
        <v>0</v>
      </c>
      <c r="BM202" s="642">
        <f t="shared" si="113"/>
        <v>0</v>
      </c>
      <c r="BN202" s="418"/>
      <c r="BO202" s="376">
        <v>2036</v>
      </c>
      <c r="BP202" s="380"/>
      <c r="BQ202" s="1469">
        <v>84.015984360902266</v>
      </c>
      <c r="BR202" s="1308" t="s">
        <v>493</v>
      </c>
      <c r="BS202" s="1309" t="s">
        <v>493</v>
      </c>
      <c r="BT202" s="570">
        <f t="shared" si="121"/>
        <v>0</v>
      </c>
      <c r="BU202" s="1308" t="s">
        <v>493</v>
      </c>
      <c r="BV202" s="1309" t="s">
        <v>493</v>
      </c>
      <c r="BW202" s="570">
        <f t="shared" si="114"/>
        <v>0</v>
      </c>
      <c r="BX202" s="570">
        <f t="shared" si="131"/>
        <v>0</v>
      </c>
      <c r="BY202" s="570">
        <f t="shared" si="132"/>
        <v>0</v>
      </c>
      <c r="BZ202" s="418"/>
      <c r="CA202" s="1312">
        <f t="shared" si="122"/>
        <v>0</v>
      </c>
      <c r="CB202" s="1313">
        <f t="shared" si="116"/>
        <v>0</v>
      </c>
      <c r="CC202" s="1313">
        <f t="shared" si="117"/>
        <v>0</v>
      </c>
      <c r="CD202" s="1314">
        <f t="shared" si="118"/>
        <v>0</v>
      </c>
      <c r="CE202" s="1241">
        <f t="shared" si="133"/>
        <v>0</v>
      </c>
      <c r="CF202" s="1242">
        <f t="shared" si="134"/>
        <v>0</v>
      </c>
      <c r="CG202" s="1242">
        <f t="shared" si="135"/>
        <v>0</v>
      </c>
      <c r="CH202" s="1243">
        <f t="shared" si="136"/>
        <v>0</v>
      </c>
      <c r="CI202" s="1312">
        <f t="shared" si="120"/>
        <v>0</v>
      </c>
      <c r="CJ202" s="1243">
        <f t="shared" si="137"/>
        <v>1.7830494187840678E-5</v>
      </c>
      <c r="CK202" s="418"/>
      <c r="CL202" s="571"/>
      <c r="CM202" s="1149"/>
      <c r="CN202" s="570"/>
      <c r="CO202" s="571"/>
      <c r="CP202" s="1149"/>
      <c r="CQ202" s="570"/>
      <c r="CR202" s="660"/>
    </row>
    <row r="203" spans="1:96">
      <c r="A203" s="574"/>
      <c r="B203" s="414">
        <v>2037</v>
      </c>
      <c r="C203" s="380"/>
      <c r="D203" s="1423">
        <v>5.1621876964825904E-2</v>
      </c>
      <c r="E203" s="1271">
        <v>5.1711310976958871E-2</v>
      </c>
      <c r="F203" s="1271">
        <v>3.8952184680600098E-2</v>
      </c>
      <c r="G203" s="1271">
        <v>3.6848976593251974E-2</v>
      </c>
      <c r="H203" s="1423">
        <v>3.6785286098185554E-3</v>
      </c>
      <c r="I203" s="1241">
        <f t="shared" si="123"/>
        <v>6.5099637442471464E-2</v>
      </c>
      <c r="J203" s="1242">
        <f t="shared" si="124"/>
        <v>6.5204919161554395E-2</v>
      </c>
      <c r="K203" s="1242">
        <f t="shared" si="125"/>
        <v>5.0184875685480849E-2</v>
      </c>
      <c r="L203" s="1243">
        <f t="shared" si="126"/>
        <v>4.7708979125054639E-2</v>
      </c>
      <c r="M203" s="1273">
        <v>46.705160262942599</v>
      </c>
      <c r="N203" s="1425">
        <v>0</v>
      </c>
      <c r="O203" s="1251">
        <f t="shared" si="138"/>
        <v>54.177985905013408</v>
      </c>
      <c r="P203" s="1253">
        <f t="shared" si="127"/>
        <v>0</v>
      </c>
      <c r="Q203" s="1255">
        <f t="shared" si="128"/>
        <v>0</v>
      </c>
      <c r="R203" s="1270">
        <v>1.9778172070423965E-2</v>
      </c>
      <c r="S203" s="1271">
        <v>1.9341608838139162E-2</v>
      </c>
      <c r="T203" s="1271">
        <v>2.149969818877975E-2</v>
      </c>
      <c r="U203" s="1272">
        <v>2.2292259935322623E-2</v>
      </c>
      <c r="V203" s="418"/>
      <c r="W203" s="376">
        <v>2037</v>
      </c>
      <c r="X203" s="380"/>
      <c r="Y203" s="1270"/>
      <c r="Z203" s="1271"/>
      <c r="AA203" s="1271"/>
      <c r="AB203" s="1272"/>
      <c r="AC203" s="1273"/>
      <c r="AD203" s="1274"/>
      <c r="AE203" s="568">
        <f t="shared" si="104"/>
        <v>0</v>
      </c>
      <c r="AF203" s="569">
        <f t="shared" si="105"/>
        <v>0</v>
      </c>
      <c r="AG203" s="570">
        <f t="shared" si="106"/>
        <v>0</v>
      </c>
      <c r="AH203" s="1270">
        <v>0</v>
      </c>
      <c r="AI203" s="1271">
        <v>0</v>
      </c>
      <c r="AJ203" s="1271">
        <v>0</v>
      </c>
      <c r="AK203" s="1272">
        <v>0</v>
      </c>
      <c r="AL203" s="1273">
        <v>0</v>
      </c>
      <c r="AM203" s="1274">
        <v>0</v>
      </c>
      <c r="AN203" s="1280">
        <f t="shared" si="129"/>
        <v>0</v>
      </c>
      <c r="AO203" s="1281">
        <f t="shared" si="130"/>
        <v>0</v>
      </c>
      <c r="AP203" s="570">
        <f t="shared" si="107"/>
        <v>0</v>
      </c>
      <c r="AQ203" s="1289"/>
      <c r="AR203" s="1433">
        <v>1.5184898694971077E-5</v>
      </c>
      <c r="AS203" s="418"/>
      <c r="AT203" s="376">
        <v>2037</v>
      </c>
      <c r="AU203" s="381"/>
      <c r="AV203" s="382" t="s">
        <v>493</v>
      </c>
      <c r="AW203" s="383" t="s">
        <v>493</v>
      </c>
      <c r="AX203" s="383" t="s">
        <v>493</v>
      </c>
      <c r="AY203" s="384" t="s">
        <v>493</v>
      </c>
      <c r="AZ203" s="385" t="s">
        <v>493</v>
      </c>
      <c r="BA203" s="386" t="s">
        <v>493</v>
      </c>
      <c r="BB203" s="640">
        <f t="shared" si="108"/>
        <v>0</v>
      </c>
      <c r="BC203" s="641">
        <f t="shared" si="109"/>
        <v>0</v>
      </c>
      <c r="BD203" s="642">
        <f t="shared" si="110"/>
        <v>0</v>
      </c>
      <c r="BE203" s="382" t="s">
        <v>493</v>
      </c>
      <c r="BF203" s="383" t="s">
        <v>493</v>
      </c>
      <c r="BG203" s="383" t="s">
        <v>493</v>
      </c>
      <c r="BH203" s="384" t="s">
        <v>493</v>
      </c>
      <c r="BI203" s="385" t="s">
        <v>493</v>
      </c>
      <c r="BJ203" s="386" t="s">
        <v>493</v>
      </c>
      <c r="BK203" s="640">
        <f t="shared" si="111"/>
        <v>0</v>
      </c>
      <c r="BL203" s="641">
        <f t="shared" si="112"/>
        <v>0</v>
      </c>
      <c r="BM203" s="642">
        <f t="shared" si="113"/>
        <v>0</v>
      </c>
      <c r="BN203" s="418"/>
      <c r="BO203" s="376">
        <v>2037</v>
      </c>
      <c r="BP203" s="380"/>
      <c r="BQ203" s="1469">
        <v>84.015984360902266</v>
      </c>
      <c r="BR203" s="1308" t="s">
        <v>493</v>
      </c>
      <c r="BS203" s="1309" t="s">
        <v>493</v>
      </c>
      <c r="BT203" s="570">
        <f t="shared" si="121"/>
        <v>0</v>
      </c>
      <c r="BU203" s="1308" t="s">
        <v>493</v>
      </c>
      <c r="BV203" s="1309" t="s">
        <v>493</v>
      </c>
      <c r="BW203" s="570">
        <f t="shared" si="114"/>
        <v>0</v>
      </c>
      <c r="BX203" s="570">
        <f t="shared" si="131"/>
        <v>0</v>
      </c>
      <c r="BY203" s="570">
        <f t="shared" si="132"/>
        <v>0</v>
      </c>
      <c r="BZ203" s="418"/>
      <c r="CA203" s="1312">
        <f t="shared" si="122"/>
        <v>0</v>
      </c>
      <c r="CB203" s="1313">
        <f t="shared" si="116"/>
        <v>0</v>
      </c>
      <c r="CC203" s="1313">
        <f t="shared" si="117"/>
        <v>0</v>
      </c>
      <c r="CD203" s="1314">
        <f t="shared" si="118"/>
        <v>0</v>
      </c>
      <c r="CE203" s="1241">
        <f t="shared" si="133"/>
        <v>0</v>
      </c>
      <c r="CF203" s="1242">
        <f t="shared" si="134"/>
        <v>0</v>
      </c>
      <c r="CG203" s="1242">
        <f t="shared" si="135"/>
        <v>0</v>
      </c>
      <c r="CH203" s="1243">
        <f t="shared" si="136"/>
        <v>0</v>
      </c>
      <c r="CI203" s="1312">
        <f t="shared" si="120"/>
        <v>0</v>
      </c>
      <c r="CJ203" s="1243">
        <f t="shared" si="137"/>
        <v>1.7875662743719958E-5</v>
      </c>
      <c r="CK203" s="418"/>
      <c r="CL203" s="571"/>
      <c r="CM203" s="1149"/>
      <c r="CN203" s="570"/>
      <c r="CO203" s="571"/>
      <c r="CP203" s="1149"/>
      <c r="CQ203" s="570"/>
      <c r="CR203" s="660"/>
    </row>
    <row r="204" spans="1:96">
      <c r="A204" s="322"/>
      <c r="B204" s="414">
        <v>2038</v>
      </c>
      <c r="C204" s="380"/>
      <c r="D204" s="1423">
        <v>5.2304498414806604E-2</v>
      </c>
      <c r="E204" s="1271">
        <v>5.2416362722430457E-2</v>
      </c>
      <c r="F204" s="1271">
        <v>3.9772570675992346E-2</v>
      </c>
      <c r="G204" s="1271">
        <v>3.7655666381012531E-2</v>
      </c>
      <c r="H204" s="1423">
        <v>3.2043968237827087E-3</v>
      </c>
      <c r="I204" s="1241">
        <f t="shared" si="123"/>
        <v>6.5345071474867344E-2</v>
      </c>
      <c r="J204" s="1242">
        <f t="shared" si="124"/>
        <v>6.5476758137802155E-2</v>
      </c>
      <c r="K204" s="1242">
        <f t="shared" si="125"/>
        <v>5.05924861407352E-2</v>
      </c>
      <c r="L204" s="1243">
        <f t="shared" si="126"/>
        <v>4.8100466404684961E-2</v>
      </c>
      <c r="M204" s="1273">
        <v>48.166482123031123</v>
      </c>
      <c r="N204" s="1425">
        <v>0</v>
      </c>
      <c r="O204" s="1251">
        <f t="shared" si="138"/>
        <v>55.873119262716102</v>
      </c>
      <c r="P204" s="1253">
        <f t="shared" si="127"/>
        <v>0</v>
      </c>
      <c r="Q204" s="1255">
        <f t="shared" si="128"/>
        <v>0</v>
      </c>
      <c r="R204" s="1270">
        <v>1.8211138790968685E-2</v>
      </c>
      <c r="S204" s="1271">
        <v>1.7620842375103016E-2</v>
      </c>
      <c r="T204" s="1271">
        <v>1.9671232167625889E-2</v>
      </c>
      <c r="U204" s="1272">
        <v>2.0343847555719573E-2</v>
      </c>
      <c r="V204" s="418"/>
      <c r="W204" s="376">
        <v>2038</v>
      </c>
      <c r="X204" s="380"/>
      <c r="Y204" s="1270"/>
      <c r="Z204" s="1271"/>
      <c r="AA204" s="1271"/>
      <c r="AB204" s="1272"/>
      <c r="AC204" s="1273"/>
      <c r="AD204" s="1274"/>
      <c r="AE204" s="568">
        <f t="shared" si="104"/>
        <v>0</v>
      </c>
      <c r="AF204" s="569">
        <f t="shared" si="105"/>
        <v>0</v>
      </c>
      <c r="AG204" s="570">
        <f t="shared" si="106"/>
        <v>0</v>
      </c>
      <c r="AH204" s="1270">
        <v>0</v>
      </c>
      <c r="AI204" s="1271">
        <v>0</v>
      </c>
      <c r="AJ204" s="1271">
        <v>0</v>
      </c>
      <c r="AK204" s="1272">
        <v>0</v>
      </c>
      <c r="AL204" s="1273">
        <v>0</v>
      </c>
      <c r="AM204" s="1274">
        <v>0</v>
      </c>
      <c r="AN204" s="1280">
        <f t="shared" si="129"/>
        <v>0</v>
      </c>
      <c r="AO204" s="1281">
        <f t="shared" si="130"/>
        <v>0</v>
      </c>
      <c r="AP204" s="570">
        <f t="shared" si="107"/>
        <v>0</v>
      </c>
      <c r="AQ204" s="1289"/>
      <c r="AR204" s="1433">
        <v>1.5223365376713007E-5</v>
      </c>
      <c r="AS204" s="418"/>
      <c r="AT204" s="376">
        <v>2038</v>
      </c>
      <c r="AU204" s="381"/>
      <c r="AV204" s="382" t="s">
        <v>493</v>
      </c>
      <c r="AW204" s="383" t="s">
        <v>493</v>
      </c>
      <c r="AX204" s="383" t="s">
        <v>493</v>
      </c>
      <c r="AY204" s="384" t="s">
        <v>493</v>
      </c>
      <c r="AZ204" s="385" t="s">
        <v>493</v>
      </c>
      <c r="BA204" s="386" t="s">
        <v>493</v>
      </c>
      <c r="BB204" s="640">
        <f t="shared" si="108"/>
        <v>0</v>
      </c>
      <c r="BC204" s="641">
        <f t="shared" si="109"/>
        <v>0</v>
      </c>
      <c r="BD204" s="642">
        <f t="shared" si="110"/>
        <v>0</v>
      </c>
      <c r="BE204" s="382" t="s">
        <v>493</v>
      </c>
      <c r="BF204" s="383" t="s">
        <v>493</v>
      </c>
      <c r="BG204" s="383" t="s">
        <v>493</v>
      </c>
      <c r="BH204" s="384" t="s">
        <v>493</v>
      </c>
      <c r="BI204" s="385" t="s">
        <v>493</v>
      </c>
      <c r="BJ204" s="386" t="s">
        <v>493</v>
      </c>
      <c r="BK204" s="640">
        <f t="shared" si="111"/>
        <v>0</v>
      </c>
      <c r="BL204" s="641">
        <f t="shared" si="112"/>
        <v>0</v>
      </c>
      <c r="BM204" s="642">
        <f t="shared" si="113"/>
        <v>0</v>
      </c>
      <c r="BN204" s="418"/>
      <c r="BO204" s="376">
        <v>2038</v>
      </c>
      <c r="BP204" s="380"/>
      <c r="BQ204" s="1469">
        <v>84.015984360902266</v>
      </c>
      <c r="BR204" s="1308" t="s">
        <v>493</v>
      </c>
      <c r="BS204" s="1309" t="s">
        <v>493</v>
      </c>
      <c r="BT204" s="570">
        <f t="shared" si="121"/>
        <v>0</v>
      </c>
      <c r="BU204" s="1308" t="s">
        <v>493</v>
      </c>
      <c r="BV204" s="1309" t="s">
        <v>493</v>
      </c>
      <c r="BW204" s="570">
        <f t="shared" si="114"/>
        <v>0</v>
      </c>
      <c r="BX204" s="570">
        <f t="shared" si="131"/>
        <v>0</v>
      </c>
      <c r="BY204" s="570">
        <f t="shared" si="132"/>
        <v>0</v>
      </c>
      <c r="BZ204" s="418"/>
      <c r="CA204" s="1312">
        <f t="shared" si="122"/>
        <v>0</v>
      </c>
      <c r="CB204" s="1313">
        <f t="shared" si="116"/>
        <v>0</v>
      </c>
      <c r="CC204" s="1313">
        <f t="shared" si="117"/>
        <v>0</v>
      </c>
      <c r="CD204" s="1314">
        <f t="shared" si="118"/>
        <v>0</v>
      </c>
      <c r="CE204" s="1241">
        <f t="shared" si="133"/>
        <v>0</v>
      </c>
      <c r="CF204" s="1242">
        <f t="shared" si="134"/>
        <v>0</v>
      </c>
      <c r="CG204" s="1242">
        <f t="shared" si="135"/>
        <v>0</v>
      </c>
      <c r="CH204" s="1243">
        <f t="shared" si="136"/>
        <v>0</v>
      </c>
      <c r="CI204" s="1312">
        <f t="shared" si="120"/>
        <v>0</v>
      </c>
      <c r="CJ204" s="1243">
        <f t="shared" si="137"/>
        <v>1.7920945721466557E-5</v>
      </c>
      <c r="CK204" s="418"/>
      <c r="CL204" s="571"/>
      <c r="CM204" s="1149"/>
      <c r="CN204" s="570"/>
      <c r="CO204" s="571"/>
      <c r="CP204" s="1149"/>
      <c r="CQ204" s="570"/>
      <c r="CR204" s="660"/>
    </row>
    <row r="205" spans="1:96">
      <c r="A205" s="322"/>
      <c r="B205" s="414">
        <v>2039</v>
      </c>
      <c r="C205" s="380"/>
      <c r="D205" s="1423">
        <v>5.2996146503711948E-2</v>
      </c>
      <c r="E205" s="1271">
        <v>5.3131027412428124E-2</v>
      </c>
      <c r="F205" s="1271">
        <v>4.0610235116405186E-2</v>
      </c>
      <c r="G205" s="1271">
        <v>3.8480016046301309E-2</v>
      </c>
      <c r="H205" s="1423">
        <v>2.7913766870975056E-3</v>
      </c>
      <c r="I205" s="1241">
        <f t="shared" si="123"/>
        <v>6.5673072300220903E-2</v>
      </c>
      <c r="J205" s="1242">
        <f t="shared" si="124"/>
        <v>6.5831854105961582E-2</v>
      </c>
      <c r="K205" s="1242">
        <f t="shared" si="125"/>
        <v>5.1092377415083372E-2</v>
      </c>
      <c r="L205" s="1243">
        <f t="shared" si="126"/>
        <v>4.8584683525757094E-2</v>
      </c>
      <c r="M205" s="1273">
        <v>49.673526159571892</v>
      </c>
      <c r="N205" s="1425">
        <v>0</v>
      </c>
      <c r="O205" s="1251">
        <f t="shared" si="138"/>
        <v>57.62129034510339</v>
      </c>
      <c r="P205" s="1253">
        <f t="shared" si="127"/>
        <v>0</v>
      </c>
      <c r="Q205" s="1255">
        <f t="shared" si="128"/>
        <v>0</v>
      </c>
      <c r="R205" s="1270">
        <v>1.6768262248049861E-2</v>
      </c>
      <c r="S205" s="1271">
        <v>1.6053167479841271E-2</v>
      </c>
      <c r="T205" s="1271">
        <v>1.7998270096395336E-2</v>
      </c>
      <c r="U205" s="1272">
        <v>1.8565732436780304E-2</v>
      </c>
      <c r="V205" s="418"/>
      <c r="W205" s="376">
        <v>2039</v>
      </c>
      <c r="X205" s="380"/>
      <c r="Y205" s="1270"/>
      <c r="Z205" s="1271"/>
      <c r="AA205" s="1271"/>
      <c r="AB205" s="1272"/>
      <c r="AC205" s="1273"/>
      <c r="AD205" s="1274"/>
      <c r="AE205" s="568">
        <f t="shared" si="104"/>
        <v>0</v>
      </c>
      <c r="AF205" s="569">
        <f t="shared" si="105"/>
        <v>0</v>
      </c>
      <c r="AG205" s="570">
        <f t="shared" si="106"/>
        <v>0</v>
      </c>
      <c r="AH205" s="1270">
        <v>0</v>
      </c>
      <c r="AI205" s="1271">
        <v>0</v>
      </c>
      <c r="AJ205" s="1271">
        <v>0</v>
      </c>
      <c r="AK205" s="1272">
        <v>0</v>
      </c>
      <c r="AL205" s="1273">
        <v>0</v>
      </c>
      <c r="AM205" s="1274">
        <v>0</v>
      </c>
      <c r="AN205" s="1280">
        <f t="shared" si="129"/>
        <v>0</v>
      </c>
      <c r="AO205" s="1281">
        <f t="shared" si="130"/>
        <v>0</v>
      </c>
      <c r="AP205" s="570">
        <f t="shared" si="107"/>
        <v>0</v>
      </c>
      <c r="AQ205" s="1289"/>
      <c r="AR205" s="1433">
        <v>1.5261929503003892E-5</v>
      </c>
      <c r="AS205" s="418"/>
      <c r="AT205" s="376">
        <v>2039</v>
      </c>
      <c r="AU205" s="381"/>
      <c r="AV205" s="382" t="s">
        <v>493</v>
      </c>
      <c r="AW205" s="383" t="s">
        <v>493</v>
      </c>
      <c r="AX205" s="383" t="s">
        <v>493</v>
      </c>
      <c r="AY205" s="384" t="s">
        <v>493</v>
      </c>
      <c r="AZ205" s="385" t="s">
        <v>493</v>
      </c>
      <c r="BA205" s="386" t="s">
        <v>493</v>
      </c>
      <c r="BB205" s="640">
        <f t="shared" si="108"/>
        <v>0</v>
      </c>
      <c r="BC205" s="641">
        <f t="shared" si="109"/>
        <v>0</v>
      </c>
      <c r="BD205" s="642">
        <f t="shared" si="110"/>
        <v>0</v>
      </c>
      <c r="BE205" s="382" t="s">
        <v>493</v>
      </c>
      <c r="BF205" s="383" t="s">
        <v>493</v>
      </c>
      <c r="BG205" s="383" t="s">
        <v>493</v>
      </c>
      <c r="BH205" s="384" t="s">
        <v>493</v>
      </c>
      <c r="BI205" s="385" t="s">
        <v>493</v>
      </c>
      <c r="BJ205" s="386" t="s">
        <v>493</v>
      </c>
      <c r="BK205" s="640">
        <f t="shared" si="111"/>
        <v>0</v>
      </c>
      <c r="BL205" s="641">
        <f t="shared" si="112"/>
        <v>0</v>
      </c>
      <c r="BM205" s="642">
        <f t="shared" si="113"/>
        <v>0</v>
      </c>
      <c r="BN205" s="418"/>
      <c r="BO205" s="376">
        <v>2039</v>
      </c>
      <c r="BP205" s="380"/>
      <c r="BQ205" s="1469">
        <v>84.015984360902266</v>
      </c>
      <c r="BR205" s="1308" t="s">
        <v>493</v>
      </c>
      <c r="BS205" s="1309" t="s">
        <v>493</v>
      </c>
      <c r="BT205" s="570">
        <f t="shared" si="121"/>
        <v>0</v>
      </c>
      <c r="BU205" s="1308" t="s">
        <v>493</v>
      </c>
      <c r="BV205" s="1309" t="s">
        <v>493</v>
      </c>
      <c r="BW205" s="570">
        <f t="shared" si="114"/>
        <v>0</v>
      </c>
      <c r="BX205" s="570">
        <f t="shared" si="131"/>
        <v>0</v>
      </c>
      <c r="BY205" s="570">
        <f t="shared" si="132"/>
        <v>0</v>
      </c>
      <c r="BZ205" s="418"/>
      <c r="CA205" s="1312">
        <f t="shared" si="122"/>
        <v>0</v>
      </c>
      <c r="CB205" s="1313">
        <f t="shared" si="116"/>
        <v>0</v>
      </c>
      <c r="CC205" s="1313">
        <f t="shared" si="117"/>
        <v>0</v>
      </c>
      <c r="CD205" s="1314">
        <f t="shared" si="118"/>
        <v>0</v>
      </c>
      <c r="CE205" s="1241">
        <f t="shared" si="133"/>
        <v>0</v>
      </c>
      <c r="CF205" s="1242">
        <f t="shared" si="134"/>
        <v>0</v>
      </c>
      <c r="CG205" s="1242">
        <f t="shared" si="135"/>
        <v>0</v>
      </c>
      <c r="CH205" s="1243">
        <f t="shared" si="136"/>
        <v>0</v>
      </c>
      <c r="CI205" s="1312">
        <f t="shared" si="120"/>
        <v>0</v>
      </c>
      <c r="CJ205" s="1243">
        <f t="shared" si="137"/>
        <v>1.7966343410936183E-5</v>
      </c>
      <c r="CK205" s="418"/>
      <c r="CL205" s="571"/>
      <c r="CM205" s="1149"/>
      <c r="CN205" s="570"/>
      <c r="CO205" s="571"/>
      <c r="CP205" s="1149"/>
      <c r="CQ205" s="570"/>
      <c r="CR205" s="660"/>
    </row>
    <row r="206" spans="1:96">
      <c r="A206" s="322"/>
      <c r="B206" s="414">
        <v>2040</v>
      </c>
      <c r="C206" s="380"/>
      <c r="D206" s="1423">
        <v>5.3696940595224806E-2</v>
      </c>
      <c r="E206" s="1271">
        <v>5.3855436113505573E-2</v>
      </c>
      <c r="F206" s="1271">
        <v>4.1465541909394339E-2</v>
      </c>
      <c r="G206" s="1271">
        <v>3.9322412195319408E-2</v>
      </c>
      <c r="H206" s="1423">
        <v>2.4315914157203053E-3</v>
      </c>
      <c r="I206" s="1241">
        <f t="shared" si="123"/>
        <v>6.6074507883284589E-2</v>
      </c>
      <c r="J206" s="1242">
        <f t="shared" si="124"/>
        <v>6.6261088807404708E-2</v>
      </c>
      <c r="K206" s="1242">
        <f t="shared" si="125"/>
        <v>5.1675705350324966E-2</v>
      </c>
      <c r="L206" s="1243">
        <f t="shared" si="126"/>
        <v>4.9152813050915949E-2</v>
      </c>
      <c r="M206" s="1273">
        <v>51.227722938600095</v>
      </c>
      <c r="N206" s="1425">
        <v>0</v>
      </c>
      <c r="O206" s="1251">
        <f t="shared" si="138"/>
        <v>59.424158608776104</v>
      </c>
      <c r="P206" s="1253">
        <f t="shared" si="127"/>
        <v>0</v>
      </c>
      <c r="Q206" s="1255">
        <f t="shared" si="128"/>
        <v>0</v>
      </c>
      <c r="R206" s="1270">
        <v>1.5439705448778141E-2</v>
      </c>
      <c r="S206" s="1271">
        <v>1.4624964042578965E-2</v>
      </c>
      <c r="T206" s="1271">
        <v>1.6467586966713865E-2</v>
      </c>
      <c r="U206" s="1272">
        <v>1.6943030071871014E-2</v>
      </c>
      <c r="V206" s="418"/>
      <c r="W206" s="376">
        <v>2040</v>
      </c>
      <c r="X206" s="380"/>
      <c r="Y206" s="1270"/>
      <c r="Z206" s="1271"/>
      <c r="AA206" s="1271"/>
      <c r="AB206" s="1272"/>
      <c r="AC206" s="1273"/>
      <c r="AD206" s="1274"/>
      <c r="AE206" s="568">
        <f t="shared" si="104"/>
        <v>0</v>
      </c>
      <c r="AF206" s="569">
        <f t="shared" si="105"/>
        <v>0</v>
      </c>
      <c r="AG206" s="570">
        <f t="shared" si="106"/>
        <v>0</v>
      </c>
      <c r="AH206" s="1270">
        <v>0</v>
      </c>
      <c r="AI206" s="1271">
        <v>0</v>
      </c>
      <c r="AJ206" s="1271">
        <v>0</v>
      </c>
      <c r="AK206" s="1272">
        <v>0</v>
      </c>
      <c r="AL206" s="1273">
        <v>0</v>
      </c>
      <c r="AM206" s="1274">
        <v>0</v>
      </c>
      <c r="AN206" s="1280">
        <f t="shared" si="129"/>
        <v>0</v>
      </c>
      <c r="AO206" s="1281">
        <f t="shared" si="130"/>
        <v>0</v>
      </c>
      <c r="AP206" s="570">
        <f t="shared" si="107"/>
        <v>0</v>
      </c>
      <c r="AQ206" s="1289"/>
      <c r="AR206" s="1433">
        <v>1.5300591320692162E-5</v>
      </c>
      <c r="AS206" s="418"/>
      <c r="AT206" s="376">
        <v>2040</v>
      </c>
      <c r="AU206" s="381"/>
      <c r="AV206" s="382" t="s">
        <v>493</v>
      </c>
      <c r="AW206" s="383" t="s">
        <v>493</v>
      </c>
      <c r="AX206" s="383" t="s">
        <v>493</v>
      </c>
      <c r="AY206" s="384" t="s">
        <v>493</v>
      </c>
      <c r="AZ206" s="385" t="s">
        <v>493</v>
      </c>
      <c r="BA206" s="386" t="s">
        <v>493</v>
      </c>
      <c r="BB206" s="640">
        <f t="shared" si="108"/>
        <v>0</v>
      </c>
      <c r="BC206" s="641">
        <f t="shared" si="109"/>
        <v>0</v>
      </c>
      <c r="BD206" s="642">
        <f t="shared" si="110"/>
        <v>0</v>
      </c>
      <c r="BE206" s="382" t="s">
        <v>493</v>
      </c>
      <c r="BF206" s="383" t="s">
        <v>493</v>
      </c>
      <c r="BG206" s="383" t="s">
        <v>493</v>
      </c>
      <c r="BH206" s="384" t="s">
        <v>493</v>
      </c>
      <c r="BI206" s="385" t="s">
        <v>493</v>
      </c>
      <c r="BJ206" s="386" t="s">
        <v>493</v>
      </c>
      <c r="BK206" s="640">
        <f t="shared" si="111"/>
        <v>0</v>
      </c>
      <c r="BL206" s="641">
        <f t="shared" si="112"/>
        <v>0</v>
      </c>
      <c r="BM206" s="642">
        <f t="shared" si="113"/>
        <v>0</v>
      </c>
      <c r="BN206" s="418"/>
      <c r="BO206" s="376">
        <v>2040</v>
      </c>
      <c r="BP206" s="380"/>
      <c r="BQ206" s="1469">
        <v>84.015984360902266</v>
      </c>
      <c r="BR206" s="1308" t="s">
        <v>493</v>
      </c>
      <c r="BS206" s="1309" t="s">
        <v>493</v>
      </c>
      <c r="BT206" s="570">
        <f t="shared" si="121"/>
        <v>0</v>
      </c>
      <c r="BU206" s="1308" t="s">
        <v>493</v>
      </c>
      <c r="BV206" s="1309" t="s">
        <v>493</v>
      </c>
      <c r="BW206" s="570">
        <f t="shared" si="114"/>
        <v>0</v>
      </c>
      <c r="BX206" s="570">
        <f t="shared" si="131"/>
        <v>0</v>
      </c>
      <c r="BY206" s="570">
        <f t="shared" si="132"/>
        <v>0</v>
      </c>
      <c r="BZ206" s="418"/>
      <c r="CA206" s="1312">
        <f t="shared" si="122"/>
        <v>0</v>
      </c>
      <c r="CB206" s="1313">
        <f t="shared" si="116"/>
        <v>0</v>
      </c>
      <c r="CC206" s="1313">
        <f t="shared" si="117"/>
        <v>0</v>
      </c>
      <c r="CD206" s="1314">
        <f t="shared" si="118"/>
        <v>0</v>
      </c>
      <c r="CE206" s="1241">
        <f t="shared" si="133"/>
        <v>0</v>
      </c>
      <c r="CF206" s="1242">
        <f t="shared" si="134"/>
        <v>0</v>
      </c>
      <c r="CG206" s="1242">
        <f t="shared" si="135"/>
        <v>0</v>
      </c>
      <c r="CH206" s="1243">
        <f t="shared" si="136"/>
        <v>0</v>
      </c>
      <c r="CI206" s="1312">
        <f t="shared" si="120"/>
        <v>0</v>
      </c>
      <c r="CJ206" s="1243">
        <f t="shared" si="137"/>
        <v>1.8011856102718814E-5</v>
      </c>
      <c r="CK206" s="418"/>
      <c r="CL206" s="571"/>
      <c r="CM206" s="1149"/>
      <c r="CN206" s="570"/>
      <c r="CO206" s="571"/>
      <c r="CP206" s="1149"/>
      <c r="CQ206" s="570"/>
      <c r="CR206" s="660"/>
    </row>
    <row r="207" spans="1:96">
      <c r="A207" s="322"/>
      <c r="B207" s="414">
        <v>2041</v>
      </c>
      <c r="C207" s="380"/>
      <c r="D207" s="1423">
        <v>5.4407001631432687E-2</v>
      </c>
      <c r="E207" s="1271">
        <v>5.4589721679227918E-2</v>
      </c>
      <c r="F207" s="1271">
        <v>4.2338862626903666E-2</v>
      </c>
      <c r="G207" s="1271">
        <v>4.0183249897766865E-2</v>
      </c>
      <c r="H207" s="1423">
        <v>2.1181794776514674E-3</v>
      </c>
      <c r="I207" s="1241">
        <f t="shared" si="123"/>
        <v>6.654144320161387E-2</v>
      </c>
      <c r="J207" s="1242">
        <f t="shared" si="124"/>
        <v>6.6756541241878423E-2</v>
      </c>
      <c r="K207" s="1242">
        <f t="shared" si="125"/>
        <v>5.2334829965482305E-2</v>
      </c>
      <c r="L207" s="1243">
        <f t="shared" si="126"/>
        <v>4.9797242660742466E-2</v>
      </c>
      <c r="M207" s="1273">
        <v>52.830547786032021</v>
      </c>
      <c r="N207" s="1425">
        <v>0</v>
      </c>
      <c r="O207" s="1251">
        <f t="shared" si="138"/>
        <v>61.283435431797137</v>
      </c>
      <c r="P207" s="1253">
        <f t="shared" si="127"/>
        <v>0</v>
      </c>
      <c r="Q207" s="1255">
        <f t="shared" si="128"/>
        <v>0</v>
      </c>
      <c r="R207" s="1270">
        <v>1.4216410789541022E-2</v>
      </c>
      <c r="S207" s="1271">
        <v>1.3323823694938649E-2</v>
      </c>
      <c r="T207" s="1271">
        <v>1.5067082505923505E-2</v>
      </c>
      <c r="U207" s="1272">
        <v>1.5462156906216242E-2</v>
      </c>
      <c r="V207" s="418"/>
      <c r="W207" s="376">
        <v>2041</v>
      </c>
      <c r="X207" s="380"/>
      <c r="Y207" s="1270"/>
      <c r="Z207" s="1271"/>
      <c r="AA207" s="1271"/>
      <c r="AB207" s="1272"/>
      <c r="AC207" s="1273"/>
      <c r="AD207" s="1274"/>
      <c r="AE207" s="568">
        <f t="shared" si="104"/>
        <v>0</v>
      </c>
      <c r="AF207" s="569">
        <f t="shared" si="105"/>
        <v>0</v>
      </c>
      <c r="AG207" s="570">
        <f t="shared" si="106"/>
        <v>0</v>
      </c>
      <c r="AH207" s="1270">
        <v>0</v>
      </c>
      <c r="AI207" s="1271">
        <v>0</v>
      </c>
      <c r="AJ207" s="1271">
        <v>0</v>
      </c>
      <c r="AK207" s="1272">
        <v>0</v>
      </c>
      <c r="AL207" s="1273">
        <v>0</v>
      </c>
      <c r="AM207" s="1274">
        <v>0</v>
      </c>
      <c r="AN207" s="1280">
        <f t="shared" si="129"/>
        <v>0</v>
      </c>
      <c r="AO207" s="1281">
        <f t="shared" si="130"/>
        <v>0</v>
      </c>
      <c r="AP207" s="570">
        <f t="shared" si="107"/>
        <v>0</v>
      </c>
      <c r="AQ207" s="1289"/>
      <c r="AR207" s="1433">
        <v>1.5339351077251573E-5</v>
      </c>
      <c r="AS207" s="418"/>
      <c r="AT207" s="376">
        <v>2041</v>
      </c>
      <c r="AU207" s="381"/>
      <c r="AV207" s="382" t="s">
        <v>493</v>
      </c>
      <c r="AW207" s="383" t="s">
        <v>493</v>
      </c>
      <c r="AX207" s="383" t="s">
        <v>493</v>
      </c>
      <c r="AY207" s="384" t="s">
        <v>493</v>
      </c>
      <c r="AZ207" s="385" t="s">
        <v>493</v>
      </c>
      <c r="BA207" s="386" t="s">
        <v>493</v>
      </c>
      <c r="BB207" s="640">
        <f t="shared" si="108"/>
        <v>0</v>
      </c>
      <c r="BC207" s="641">
        <f t="shared" si="109"/>
        <v>0</v>
      </c>
      <c r="BD207" s="642">
        <f t="shared" si="110"/>
        <v>0</v>
      </c>
      <c r="BE207" s="382" t="s">
        <v>493</v>
      </c>
      <c r="BF207" s="383" t="s">
        <v>493</v>
      </c>
      <c r="BG207" s="383" t="s">
        <v>493</v>
      </c>
      <c r="BH207" s="384" t="s">
        <v>493</v>
      </c>
      <c r="BI207" s="385" t="s">
        <v>493</v>
      </c>
      <c r="BJ207" s="386" t="s">
        <v>493</v>
      </c>
      <c r="BK207" s="640">
        <f t="shared" si="111"/>
        <v>0</v>
      </c>
      <c r="BL207" s="641">
        <f t="shared" si="112"/>
        <v>0</v>
      </c>
      <c r="BM207" s="642">
        <f t="shared" si="113"/>
        <v>0</v>
      </c>
      <c r="BN207" s="418"/>
      <c r="BO207" s="376">
        <v>2041</v>
      </c>
      <c r="BP207" s="380"/>
      <c r="BQ207" s="1469">
        <v>84.015984360902266</v>
      </c>
      <c r="BR207" s="1308" t="s">
        <v>493</v>
      </c>
      <c r="BS207" s="1309" t="s">
        <v>493</v>
      </c>
      <c r="BT207" s="570">
        <f t="shared" si="121"/>
        <v>0</v>
      </c>
      <c r="BU207" s="1308" t="s">
        <v>493</v>
      </c>
      <c r="BV207" s="1309" t="s">
        <v>493</v>
      </c>
      <c r="BW207" s="570">
        <f t="shared" si="114"/>
        <v>0</v>
      </c>
      <c r="BX207" s="570">
        <f t="shared" si="131"/>
        <v>0</v>
      </c>
      <c r="BY207" s="570">
        <f t="shared" si="132"/>
        <v>0</v>
      </c>
      <c r="BZ207" s="418"/>
      <c r="CA207" s="1312">
        <f t="shared" si="122"/>
        <v>0</v>
      </c>
      <c r="CB207" s="1313">
        <f t="shared" si="116"/>
        <v>0</v>
      </c>
      <c r="CC207" s="1313">
        <f t="shared" si="117"/>
        <v>0</v>
      </c>
      <c r="CD207" s="1314">
        <f t="shared" si="118"/>
        <v>0</v>
      </c>
      <c r="CE207" s="1241">
        <f t="shared" si="133"/>
        <v>0</v>
      </c>
      <c r="CF207" s="1242">
        <f t="shared" si="134"/>
        <v>0</v>
      </c>
      <c r="CG207" s="1242">
        <f t="shared" si="135"/>
        <v>0</v>
      </c>
      <c r="CH207" s="1243">
        <f t="shared" si="136"/>
        <v>0</v>
      </c>
      <c r="CI207" s="1312">
        <f t="shared" si="120"/>
        <v>0</v>
      </c>
      <c r="CJ207" s="1243">
        <f t="shared" si="137"/>
        <v>1.8057484088140555E-5</v>
      </c>
      <c r="CK207" s="418"/>
      <c r="CL207" s="571"/>
      <c r="CM207" s="1149"/>
      <c r="CN207" s="570"/>
      <c r="CO207" s="571"/>
      <c r="CP207" s="1149"/>
      <c r="CQ207" s="570"/>
      <c r="CR207" s="660"/>
    </row>
    <row r="208" spans="1:96">
      <c r="A208" s="322"/>
      <c r="B208" s="414">
        <v>2042</v>
      </c>
      <c r="C208" s="380"/>
      <c r="D208" s="1423">
        <v>5.5126452153699768E-2</v>
      </c>
      <c r="E208" s="1271">
        <v>5.5334018774536468E-2</v>
      </c>
      <c r="F208" s="1271">
        <v>4.3230576666687608E-2</v>
      </c>
      <c r="G208" s="1271">
        <v>4.1062932872123745E-2</v>
      </c>
      <c r="H208" s="1423">
        <v>1.8451637353781175E-3</v>
      </c>
      <c r="I208" s="1241">
        <f t="shared" si="123"/>
        <v>6.7066986224622496E-2</v>
      </c>
      <c r="J208" s="1242">
        <f t="shared" si="124"/>
        <v>6.7311333650671462E-2</v>
      </c>
      <c r="K208" s="1242">
        <f t="shared" si="125"/>
        <v>5.3063161601311783E-2</v>
      </c>
      <c r="L208" s="1243">
        <f t="shared" si="126"/>
        <v>5.0511411326351202E-2</v>
      </c>
      <c r="M208" s="1273">
        <v>54.483522188122549</v>
      </c>
      <c r="N208" s="1425">
        <v>0</v>
      </c>
      <c r="O208" s="1251">
        <f t="shared" si="138"/>
        <v>63.200885738222155</v>
      </c>
      <c r="P208" s="1253">
        <f t="shared" si="127"/>
        <v>0</v>
      </c>
      <c r="Q208" s="1255">
        <f t="shared" si="128"/>
        <v>0</v>
      </c>
      <c r="R208" s="1270">
        <v>1.3090038304647356E-2</v>
      </c>
      <c r="S208" s="1271">
        <v>1.213844200484639E-2</v>
      </c>
      <c r="T208" s="1271">
        <v>1.3785685522668156E-2</v>
      </c>
      <c r="U208" s="1272">
        <v>1.411071662968779E-2</v>
      </c>
      <c r="V208" s="418"/>
      <c r="W208" s="376">
        <v>2042</v>
      </c>
      <c r="X208" s="380"/>
      <c r="Y208" s="1270"/>
      <c r="Z208" s="1271"/>
      <c r="AA208" s="1271"/>
      <c r="AB208" s="1272"/>
      <c r="AC208" s="1273"/>
      <c r="AD208" s="1274"/>
      <c r="AE208" s="568">
        <f t="shared" si="104"/>
        <v>0</v>
      </c>
      <c r="AF208" s="569">
        <f t="shared" si="105"/>
        <v>0</v>
      </c>
      <c r="AG208" s="570">
        <f t="shared" si="106"/>
        <v>0</v>
      </c>
      <c r="AH208" s="1270">
        <v>0</v>
      </c>
      <c r="AI208" s="1271">
        <v>0</v>
      </c>
      <c r="AJ208" s="1271">
        <v>0</v>
      </c>
      <c r="AK208" s="1272">
        <v>0</v>
      </c>
      <c r="AL208" s="1273">
        <v>0</v>
      </c>
      <c r="AM208" s="1274">
        <v>0</v>
      </c>
      <c r="AN208" s="1280">
        <f t="shared" si="129"/>
        <v>0</v>
      </c>
      <c r="AO208" s="1281">
        <f t="shared" si="130"/>
        <v>0</v>
      </c>
      <c r="AP208" s="570">
        <f t="shared" si="107"/>
        <v>0</v>
      </c>
      <c r="AQ208" s="1289"/>
      <c r="AR208" s="1433">
        <v>1.5378209020782786E-5</v>
      </c>
      <c r="AS208" s="418"/>
      <c r="AT208" s="376">
        <v>2042</v>
      </c>
      <c r="AU208" s="381"/>
      <c r="AV208" s="382" t="s">
        <v>493</v>
      </c>
      <c r="AW208" s="383" t="s">
        <v>493</v>
      </c>
      <c r="AX208" s="383" t="s">
        <v>493</v>
      </c>
      <c r="AY208" s="384" t="s">
        <v>493</v>
      </c>
      <c r="AZ208" s="385" t="s">
        <v>493</v>
      </c>
      <c r="BA208" s="386" t="s">
        <v>493</v>
      </c>
      <c r="BB208" s="640">
        <f t="shared" si="108"/>
        <v>0</v>
      </c>
      <c r="BC208" s="641">
        <f t="shared" si="109"/>
        <v>0</v>
      </c>
      <c r="BD208" s="642">
        <f t="shared" si="110"/>
        <v>0</v>
      </c>
      <c r="BE208" s="382" t="s">
        <v>493</v>
      </c>
      <c r="BF208" s="383" t="s">
        <v>493</v>
      </c>
      <c r="BG208" s="383" t="s">
        <v>493</v>
      </c>
      <c r="BH208" s="384" t="s">
        <v>493</v>
      </c>
      <c r="BI208" s="385" t="s">
        <v>493</v>
      </c>
      <c r="BJ208" s="386" t="s">
        <v>493</v>
      </c>
      <c r="BK208" s="640">
        <f t="shared" si="111"/>
        <v>0</v>
      </c>
      <c r="BL208" s="641">
        <f t="shared" si="112"/>
        <v>0</v>
      </c>
      <c r="BM208" s="642">
        <f t="shared" si="113"/>
        <v>0</v>
      </c>
      <c r="BN208" s="418"/>
      <c r="BO208" s="376">
        <v>2042</v>
      </c>
      <c r="BP208" s="380"/>
      <c r="BQ208" s="1469">
        <v>84.015984360902266</v>
      </c>
      <c r="BR208" s="1308" t="s">
        <v>493</v>
      </c>
      <c r="BS208" s="1309" t="s">
        <v>493</v>
      </c>
      <c r="BT208" s="570">
        <f t="shared" si="121"/>
        <v>0</v>
      </c>
      <c r="BU208" s="1308" t="s">
        <v>493</v>
      </c>
      <c r="BV208" s="1309" t="s">
        <v>493</v>
      </c>
      <c r="BW208" s="570">
        <f t="shared" si="114"/>
        <v>0</v>
      </c>
      <c r="BX208" s="570">
        <f t="shared" si="131"/>
        <v>0</v>
      </c>
      <c r="BY208" s="570">
        <f t="shared" si="132"/>
        <v>0</v>
      </c>
      <c r="BZ208" s="418"/>
      <c r="CA208" s="1312">
        <f t="shared" si="122"/>
        <v>0</v>
      </c>
      <c r="CB208" s="1313">
        <f t="shared" si="116"/>
        <v>0</v>
      </c>
      <c r="CC208" s="1313">
        <f t="shared" si="117"/>
        <v>0</v>
      </c>
      <c r="CD208" s="1314">
        <f t="shared" si="118"/>
        <v>0</v>
      </c>
      <c r="CE208" s="1241">
        <f t="shared" si="133"/>
        <v>0</v>
      </c>
      <c r="CF208" s="1242">
        <f t="shared" si="134"/>
        <v>0</v>
      </c>
      <c r="CG208" s="1242">
        <f t="shared" si="135"/>
        <v>0</v>
      </c>
      <c r="CH208" s="1243">
        <f t="shared" si="136"/>
        <v>0</v>
      </c>
      <c r="CI208" s="1312">
        <f t="shared" si="120"/>
        <v>0</v>
      </c>
      <c r="CJ208" s="1243">
        <f t="shared" si="137"/>
        <v>1.8103227659265496E-5</v>
      </c>
      <c r="CK208" s="418"/>
      <c r="CL208" s="571"/>
      <c r="CM208" s="1149"/>
      <c r="CN208" s="570"/>
      <c r="CO208" s="571"/>
      <c r="CP208" s="1149"/>
      <c r="CQ208" s="570"/>
      <c r="CR208" s="660"/>
    </row>
    <row r="209" spans="1:96">
      <c r="A209" s="322"/>
      <c r="B209" s="414">
        <v>2043</v>
      </c>
      <c r="C209" s="380"/>
      <c r="D209" s="1423">
        <v>5.585541632381491E-2</v>
      </c>
      <c r="E209" s="1271">
        <v>5.6088463900445723E-2</v>
      </c>
      <c r="F209" s="1271">
        <v>4.4141071417133401E-2</v>
      </c>
      <c r="G209" s="1271">
        <v>4.1961873674987334E-2</v>
      </c>
      <c r="H209" s="1423">
        <v>1.6073374547700802E-3</v>
      </c>
      <c r="I209" s="1241">
        <f t="shared" si="123"/>
        <v>6.7645153748150263E-2</v>
      </c>
      <c r="J209" s="1242">
        <f t="shared" si="124"/>
        <v>6.7919497355360056E-2</v>
      </c>
      <c r="K209" s="1242">
        <f t="shared" si="125"/>
        <v>5.385502692400479E-2</v>
      </c>
      <c r="L209" s="1243">
        <f t="shared" si="126"/>
        <v>5.128967534195044E-2</v>
      </c>
      <c r="M209" s="1273">
        <v>56.188215235740522</v>
      </c>
      <c r="N209" s="1425">
        <v>0</v>
      </c>
      <c r="O209" s="1251">
        <f t="shared" si="138"/>
        <v>65.178329673459004</v>
      </c>
      <c r="P209" s="1253">
        <f t="shared" si="127"/>
        <v>0</v>
      </c>
      <c r="Q209" s="1255">
        <f t="shared" si="128"/>
        <v>0</v>
      </c>
      <c r="R209" s="1270">
        <v>1.2052908807558948E-2</v>
      </c>
      <c r="S209" s="1271">
        <v>1.1058520262542225E-2</v>
      </c>
      <c r="T209" s="1271">
        <v>1.261326638751647E-2</v>
      </c>
      <c r="U209" s="1272">
        <v>1.2877396407955124E-2</v>
      </c>
      <c r="V209" s="418"/>
      <c r="W209" s="376">
        <v>2043</v>
      </c>
      <c r="X209" s="380"/>
      <c r="Y209" s="1270"/>
      <c r="Z209" s="1271"/>
      <c r="AA209" s="1271"/>
      <c r="AB209" s="1272"/>
      <c r="AC209" s="1273"/>
      <c r="AD209" s="1274"/>
      <c r="AE209" s="568">
        <f t="shared" si="104"/>
        <v>0</v>
      </c>
      <c r="AF209" s="569">
        <f t="shared" si="105"/>
        <v>0</v>
      </c>
      <c r="AG209" s="570">
        <f t="shared" si="106"/>
        <v>0</v>
      </c>
      <c r="AH209" s="1270">
        <v>0</v>
      </c>
      <c r="AI209" s="1271">
        <v>0</v>
      </c>
      <c r="AJ209" s="1271">
        <v>0</v>
      </c>
      <c r="AK209" s="1272">
        <v>0</v>
      </c>
      <c r="AL209" s="1273">
        <v>0</v>
      </c>
      <c r="AM209" s="1274">
        <v>0</v>
      </c>
      <c r="AN209" s="1280">
        <f t="shared" si="129"/>
        <v>0</v>
      </c>
      <c r="AO209" s="1281">
        <f t="shared" si="130"/>
        <v>0</v>
      </c>
      <c r="AP209" s="570">
        <f t="shared" si="107"/>
        <v>0</v>
      </c>
      <c r="AQ209" s="1289"/>
      <c r="AR209" s="1433">
        <v>1.5417165400014951E-5</v>
      </c>
      <c r="AS209" s="418"/>
      <c r="AT209" s="376">
        <v>2043</v>
      </c>
      <c r="AU209" s="381"/>
      <c r="AV209" s="382" t="s">
        <v>493</v>
      </c>
      <c r="AW209" s="383" t="s">
        <v>493</v>
      </c>
      <c r="AX209" s="383" t="s">
        <v>493</v>
      </c>
      <c r="AY209" s="384" t="s">
        <v>493</v>
      </c>
      <c r="AZ209" s="385" t="s">
        <v>493</v>
      </c>
      <c r="BA209" s="386" t="s">
        <v>493</v>
      </c>
      <c r="BB209" s="640">
        <f t="shared" si="108"/>
        <v>0</v>
      </c>
      <c r="BC209" s="641">
        <f t="shared" si="109"/>
        <v>0</v>
      </c>
      <c r="BD209" s="642">
        <f t="shared" si="110"/>
        <v>0</v>
      </c>
      <c r="BE209" s="382" t="s">
        <v>493</v>
      </c>
      <c r="BF209" s="383" t="s">
        <v>493</v>
      </c>
      <c r="BG209" s="383" t="s">
        <v>493</v>
      </c>
      <c r="BH209" s="384" t="s">
        <v>493</v>
      </c>
      <c r="BI209" s="385" t="s">
        <v>493</v>
      </c>
      <c r="BJ209" s="386" t="s">
        <v>493</v>
      </c>
      <c r="BK209" s="640">
        <f t="shared" si="111"/>
        <v>0</v>
      </c>
      <c r="BL209" s="641">
        <f t="shared" si="112"/>
        <v>0</v>
      </c>
      <c r="BM209" s="642">
        <f t="shared" si="113"/>
        <v>0</v>
      </c>
      <c r="BN209" s="418"/>
      <c r="BO209" s="376">
        <v>2043</v>
      </c>
      <c r="BP209" s="380"/>
      <c r="BQ209" s="1469">
        <v>84.015984360902266</v>
      </c>
      <c r="BR209" s="1308" t="s">
        <v>493</v>
      </c>
      <c r="BS209" s="1309" t="s">
        <v>493</v>
      </c>
      <c r="BT209" s="570">
        <f t="shared" si="121"/>
        <v>0</v>
      </c>
      <c r="BU209" s="1308" t="s">
        <v>493</v>
      </c>
      <c r="BV209" s="1309" t="s">
        <v>493</v>
      </c>
      <c r="BW209" s="570">
        <f t="shared" si="114"/>
        <v>0</v>
      </c>
      <c r="BX209" s="570">
        <f t="shared" si="131"/>
        <v>0</v>
      </c>
      <c r="BY209" s="570">
        <f t="shared" si="132"/>
        <v>0</v>
      </c>
      <c r="BZ209" s="418"/>
      <c r="CA209" s="1312">
        <f t="shared" si="122"/>
        <v>0</v>
      </c>
      <c r="CB209" s="1313">
        <f t="shared" si="116"/>
        <v>0</v>
      </c>
      <c r="CC209" s="1313">
        <f t="shared" si="117"/>
        <v>0</v>
      </c>
      <c r="CD209" s="1314">
        <f t="shared" si="118"/>
        <v>0</v>
      </c>
      <c r="CE209" s="1241">
        <f t="shared" si="133"/>
        <v>0</v>
      </c>
      <c r="CF209" s="1242">
        <f t="shared" si="134"/>
        <v>0</v>
      </c>
      <c r="CG209" s="1242">
        <f t="shared" si="135"/>
        <v>0</v>
      </c>
      <c r="CH209" s="1243">
        <f t="shared" si="136"/>
        <v>0</v>
      </c>
      <c r="CI209" s="1312">
        <f t="shared" si="120"/>
        <v>0</v>
      </c>
      <c r="CJ209" s="1243">
        <f t="shared" si="137"/>
        <v>1.8149087108897601E-5</v>
      </c>
      <c r="CK209" s="418"/>
      <c r="CL209" s="571"/>
      <c r="CM209" s="1149"/>
      <c r="CN209" s="570"/>
      <c r="CO209" s="571"/>
      <c r="CP209" s="1149"/>
      <c r="CQ209" s="570"/>
      <c r="CR209" s="660"/>
    </row>
    <row r="210" spans="1:96">
      <c r="A210" s="322"/>
      <c r="B210" s="414">
        <v>2044</v>
      </c>
      <c r="C210" s="380"/>
      <c r="D210" s="1423">
        <v>5.6594019945419329E-2</v>
      </c>
      <c r="E210" s="1271">
        <v>5.6853195419077102E-2</v>
      </c>
      <c r="F210" s="1271">
        <v>4.5070742425554679E-2</v>
      </c>
      <c r="G210" s="1271">
        <v>4.288049389455429E-2</v>
      </c>
      <c r="H210" s="1423">
        <v>1.4001650064823829E-3</v>
      </c>
      <c r="I210" s="1241">
        <f t="shared" si="123"/>
        <v>6.8270754525378702E-2</v>
      </c>
      <c r="J210" s="1242">
        <f t="shared" si="124"/>
        <v>6.8575855892968635E-2</v>
      </c>
      <c r="K210" s="1242">
        <f t="shared" si="125"/>
        <v>5.4705552228994037E-2</v>
      </c>
      <c r="L210" s="1243">
        <f t="shared" si="126"/>
        <v>5.2127191658300376E-2</v>
      </c>
      <c r="M210" s="1273">
        <v>57.946245113832916</v>
      </c>
      <c r="N210" s="1425">
        <v>0</v>
      </c>
      <c r="O210" s="1251">
        <f t="shared" si="138"/>
        <v>67.217644332046177</v>
      </c>
      <c r="P210" s="1253">
        <f t="shared" si="127"/>
        <v>0</v>
      </c>
      <c r="Q210" s="1255">
        <f t="shared" si="128"/>
        <v>0</v>
      </c>
      <c r="R210" s="1270">
        <v>1.1097951537067384E-2</v>
      </c>
      <c r="S210" s="1271">
        <v>1.0074676004402471E-2</v>
      </c>
      <c r="T210" s="1271">
        <v>1.1540556956768646E-2</v>
      </c>
      <c r="U210" s="1272">
        <v>1.1751872183353778E-2</v>
      </c>
      <c r="V210" s="418"/>
      <c r="W210" s="376">
        <v>2044</v>
      </c>
      <c r="X210" s="380"/>
      <c r="Y210" s="1270"/>
      <c r="Z210" s="1271"/>
      <c r="AA210" s="1271"/>
      <c r="AB210" s="1272"/>
      <c r="AC210" s="1273"/>
      <c r="AD210" s="1274"/>
      <c r="AE210" s="568">
        <f t="shared" si="104"/>
        <v>0</v>
      </c>
      <c r="AF210" s="569">
        <f t="shared" si="105"/>
        <v>0</v>
      </c>
      <c r="AG210" s="570">
        <f t="shared" si="106"/>
        <v>0</v>
      </c>
      <c r="AH210" s="1270">
        <v>0</v>
      </c>
      <c r="AI210" s="1271">
        <v>0</v>
      </c>
      <c r="AJ210" s="1271">
        <v>0</v>
      </c>
      <c r="AK210" s="1272">
        <v>0</v>
      </c>
      <c r="AL210" s="1273">
        <v>0</v>
      </c>
      <c r="AM210" s="1274">
        <v>0</v>
      </c>
      <c r="AN210" s="1280">
        <f t="shared" si="129"/>
        <v>0</v>
      </c>
      <c r="AO210" s="1281">
        <f t="shared" si="130"/>
        <v>0</v>
      </c>
      <c r="AP210" s="570">
        <f t="shared" si="107"/>
        <v>0</v>
      </c>
      <c r="AQ210" s="1289"/>
      <c r="AR210" s="1433">
        <v>1.5456220464307311E-5</v>
      </c>
      <c r="AS210" s="418"/>
      <c r="AT210" s="376">
        <v>2044</v>
      </c>
      <c r="AU210" s="381"/>
      <c r="AV210" s="382" t="s">
        <v>493</v>
      </c>
      <c r="AW210" s="383" t="s">
        <v>493</v>
      </c>
      <c r="AX210" s="383" t="s">
        <v>493</v>
      </c>
      <c r="AY210" s="384" t="s">
        <v>493</v>
      </c>
      <c r="AZ210" s="385" t="s">
        <v>493</v>
      </c>
      <c r="BA210" s="386" t="s">
        <v>493</v>
      </c>
      <c r="BB210" s="640">
        <f t="shared" si="108"/>
        <v>0</v>
      </c>
      <c r="BC210" s="641">
        <f t="shared" si="109"/>
        <v>0</v>
      </c>
      <c r="BD210" s="642">
        <f t="shared" si="110"/>
        <v>0</v>
      </c>
      <c r="BE210" s="382" t="s">
        <v>493</v>
      </c>
      <c r="BF210" s="383" t="s">
        <v>493</v>
      </c>
      <c r="BG210" s="383" t="s">
        <v>493</v>
      </c>
      <c r="BH210" s="384" t="s">
        <v>493</v>
      </c>
      <c r="BI210" s="385" t="s">
        <v>493</v>
      </c>
      <c r="BJ210" s="386" t="s">
        <v>493</v>
      </c>
      <c r="BK210" s="640">
        <f t="shared" si="111"/>
        <v>0</v>
      </c>
      <c r="BL210" s="641">
        <f t="shared" si="112"/>
        <v>0</v>
      </c>
      <c r="BM210" s="642">
        <f t="shared" si="113"/>
        <v>0</v>
      </c>
      <c r="BN210" s="418"/>
      <c r="BO210" s="376">
        <v>2044</v>
      </c>
      <c r="BP210" s="380"/>
      <c r="BQ210" s="1469">
        <v>84.015984360902266</v>
      </c>
      <c r="BR210" s="1308" t="s">
        <v>493</v>
      </c>
      <c r="BS210" s="1309" t="s">
        <v>493</v>
      </c>
      <c r="BT210" s="570">
        <f t="shared" si="121"/>
        <v>0</v>
      </c>
      <c r="BU210" s="1308" t="s">
        <v>493</v>
      </c>
      <c r="BV210" s="1309" t="s">
        <v>493</v>
      </c>
      <c r="BW210" s="570">
        <f t="shared" si="114"/>
        <v>0</v>
      </c>
      <c r="BX210" s="570">
        <f t="shared" si="131"/>
        <v>0</v>
      </c>
      <c r="BY210" s="570">
        <f t="shared" si="132"/>
        <v>0</v>
      </c>
      <c r="BZ210" s="418"/>
      <c r="CA210" s="1312">
        <f t="shared" si="122"/>
        <v>0</v>
      </c>
      <c r="CB210" s="1313">
        <f t="shared" si="116"/>
        <v>0</v>
      </c>
      <c r="CC210" s="1313">
        <f t="shared" si="117"/>
        <v>0</v>
      </c>
      <c r="CD210" s="1314">
        <f t="shared" si="118"/>
        <v>0</v>
      </c>
      <c r="CE210" s="1241">
        <f t="shared" si="133"/>
        <v>0</v>
      </c>
      <c r="CF210" s="1242">
        <f t="shared" si="134"/>
        <v>0</v>
      </c>
      <c r="CG210" s="1242">
        <f t="shared" si="135"/>
        <v>0</v>
      </c>
      <c r="CH210" s="1243">
        <f t="shared" si="136"/>
        <v>0</v>
      </c>
      <c r="CI210" s="1312">
        <f t="shared" si="120"/>
        <v>0</v>
      </c>
      <c r="CJ210" s="1243">
        <f t="shared" si="137"/>
        <v>1.819506273058257E-5</v>
      </c>
      <c r="CK210" s="418"/>
      <c r="CL210" s="571"/>
      <c r="CM210" s="1149"/>
      <c r="CN210" s="570"/>
      <c r="CO210" s="571"/>
      <c r="CP210" s="1149"/>
      <c r="CQ210" s="570"/>
      <c r="CR210" s="660"/>
    </row>
    <row r="211" spans="1:96">
      <c r="A211" s="322"/>
      <c r="B211" s="414">
        <v>2045</v>
      </c>
      <c r="C211" s="380"/>
      <c r="D211" s="1423">
        <v>5.7342390485717626E-2</v>
      </c>
      <c r="E211" s="1271">
        <v>5.7628353579033981E-2</v>
      </c>
      <c r="F211" s="1271">
        <v>4.6019993570029553E-2</v>
      </c>
      <c r="G211" s="1271">
        <v>4.3819224348338459E-2</v>
      </c>
      <c r="H211" s="1423">
        <v>1.219695366122258E-3</v>
      </c>
      <c r="I211" s="1241">
        <f t="shared" si="123"/>
        <v>6.893928746478592E-2</v>
      </c>
      <c r="J211" s="1242">
        <f t="shared" si="124"/>
        <v>6.9275923218237931E-2</v>
      </c>
      <c r="K211" s="1242">
        <f t="shared" si="125"/>
        <v>5.5610561815637921E-2</v>
      </c>
      <c r="L211" s="1243">
        <f t="shared" si="126"/>
        <v>5.3019816287863168E-2</v>
      </c>
      <c r="M211" s="1273">
        <v>59.759280637491706</v>
      </c>
      <c r="N211" s="1425">
        <v>0</v>
      </c>
      <c r="O211" s="1251">
        <f t="shared" si="138"/>
        <v>69.320765539490381</v>
      </c>
      <c r="P211" s="1253">
        <f t="shared" si="127"/>
        <v>0</v>
      </c>
      <c r="Q211" s="1255">
        <f t="shared" si="128"/>
        <v>0</v>
      </c>
      <c r="R211" s="1270">
        <v>1.021865595148733E-2</v>
      </c>
      <c r="S211" s="1271">
        <v>9.1783614971963235E-3</v>
      </c>
      <c r="T211" s="1271">
        <v>1.055907730643315E-2</v>
      </c>
      <c r="U211" s="1272">
        <v>1.0724722252750394E-2</v>
      </c>
      <c r="V211" s="418"/>
      <c r="W211" s="376">
        <v>2045</v>
      </c>
      <c r="X211" s="380"/>
      <c r="Y211" s="1270"/>
      <c r="Z211" s="1271"/>
      <c r="AA211" s="1271"/>
      <c r="AB211" s="1272"/>
      <c r="AC211" s="1273"/>
      <c r="AD211" s="1274"/>
      <c r="AE211" s="568">
        <f t="shared" si="104"/>
        <v>0</v>
      </c>
      <c r="AF211" s="569">
        <f t="shared" si="105"/>
        <v>0</v>
      </c>
      <c r="AG211" s="570">
        <f t="shared" si="106"/>
        <v>0</v>
      </c>
      <c r="AH211" s="1270">
        <v>0</v>
      </c>
      <c r="AI211" s="1271">
        <v>0</v>
      </c>
      <c r="AJ211" s="1271">
        <v>0</v>
      </c>
      <c r="AK211" s="1272">
        <v>0</v>
      </c>
      <c r="AL211" s="1273">
        <v>0</v>
      </c>
      <c r="AM211" s="1274">
        <v>0</v>
      </c>
      <c r="AN211" s="1280">
        <f t="shared" si="129"/>
        <v>0</v>
      </c>
      <c r="AO211" s="1281">
        <f t="shared" si="130"/>
        <v>0</v>
      </c>
      <c r="AP211" s="570">
        <f t="shared" si="107"/>
        <v>0</v>
      </c>
      <c r="AQ211" s="1289"/>
      <c r="AR211" s="1433">
        <v>1.5495374463650785E-5</v>
      </c>
      <c r="AS211" s="418"/>
      <c r="AT211" s="376">
        <v>2045</v>
      </c>
      <c r="AU211" s="381"/>
      <c r="AV211" s="382" t="s">
        <v>493</v>
      </c>
      <c r="AW211" s="383" t="s">
        <v>493</v>
      </c>
      <c r="AX211" s="383" t="s">
        <v>493</v>
      </c>
      <c r="AY211" s="384" t="s">
        <v>493</v>
      </c>
      <c r="AZ211" s="385" t="s">
        <v>493</v>
      </c>
      <c r="BA211" s="386" t="s">
        <v>493</v>
      </c>
      <c r="BB211" s="640">
        <f t="shared" si="108"/>
        <v>0</v>
      </c>
      <c r="BC211" s="641">
        <f t="shared" si="109"/>
        <v>0</v>
      </c>
      <c r="BD211" s="642">
        <f t="shared" si="110"/>
        <v>0</v>
      </c>
      <c r="BE211" s="382" t="s">
        <v>493</v>
      </c>
      <c r="BF211" s="383" t="s">
        <v>493</v>
      </c>
      <c r="BG211" s="383" t="s">
        <v>493</v>
      </c>
      <c r="BH211" s="384" t="s">
        <v>493</v>
      </c>
      <c r="BI211" s="385" t="s">
        <v>493</v>
      </c>
      <c r="BJ211" s="386" t="s">
        <v>493</v>
      </c>
      <c r="BK211" s="640">
        <f t="shared" si="111"/>
        <v>0</v>
      </c>
      <c r="BL211" s="641">
        <f t="shared" si="112"/>
        <v>0</v>
      </c>
      <c r="BM211" s="642">
        <f t="shared" si="113"/>
        <v>0</v>
      </c>
      <c r="BN211" s="418"/>
      <c r="BO211" s="376">
        <v>2045</v>
      </c>
      <c r="BP211" s="380"/>
      <c r="BQ211" s="1469">
        <v>84.015984360902266</v>
      </c>
      <c r="BR211" s="1308" t="s">
        <v>493</v>
      </c>
      <c r="BS211" s="1309" t="s">
        <v>493</v>
      </c>
      <c r="BT211" s="570">
        <f t="shared" si="121"/>
        <v>0</v>
      </c>
      <c r="BU211" s="1308" t="s">
        <v>493</v>
      </c>
      <c r="BV211" s="1309" t="s">
        <v>493</v>
      </c>
      <c r="BW211" s="570">
        <f t="shared" si="114"/>
        <v>0</v>
      </c>
      <c r="BX211" s="570">
        <f t="shared" si="131"/>
        <v>0</v>
      </c>
      <c r="BY211" s="570">
        <f t="shared" si="132"/>
        <v>0</v>
      </c>
      <c r="BZ211" s="418"/>
      <c r="CA211" s="1312">
        <f t="shared" si="122"/>
        <v>0</v>
      </c>
      <c r="CB211" s="1313">
        <f t="shared" si="116"/>
        <v>0</v>
      </c>
      <c r="CC211" s="1313">
        <f t="shared" si="117"/>
        <v>0</v>
      </c>
      <c r="CD211" s="1314">
        <f t="shared" si="118"/>
        <v>0</v>
      </c>
      <c r="CE211" s="1241">
        <f t="shared" si="133"/>
        <v>0</v>
      </c>
      <c r="CF211" s="1242">
        <f t="shared" si="134"/>
        <v>0</v>
      </c>
      <c r="CG211" s="1242">
        <f t="shared" si="135"/>
        <v>0</v>
      </c>
      <c r="CH211" s="1243">
        <f t="shared" si="136"/>
        <v>0</v>
      </c>
      <c r="CI211" s="1312">
        <f t="shared" si="120"/>
        <v>0</v>
      </c>
      <c r="CJ211" s="1243">
        <f t="shared" si="137"/>
        <v>1.8241154818609705E-5</v>
      </c>
      <c r="CK211" s="418"/>
      <c r="CL211" s="571"/>
      <c r="CM211" s="1149"/>
      <c r="CN211" s="570"/>
      <c r="CO211" s="571"/>
      <c r="CP211" s="1149"/>
      <c r="CQ211" s="570"/>
      <c r="CR211" s="660"/>
    </row>
    <row r="212" spans="1:96">
      <c r="A212" s="322"/>
      <c r="B212" s="414">
        <v>2046</v>
      </c>
      <c r="C212" s="380"/>
      <c r="D212" s="1423">
        <v>5.8100657097475882E-2</v>
      </c>
      <c r="E212" s="1271">
        <v>5.8414080541122709E-2</v>
      </c>
      <c r="F212" s="1271">
        <v>4.6989237234857852E-2</v>
      </c>
      <c r="G212" s="1271">
        <v>4.4778505285217082E-2</v>
      </c>
      <c r="H212" s="1423">
        <v>1.0624867635262009E-3</v>
      </c>
      <c r="I212" s="1241">
        <f t="shared" si="123"/>
        <v>6.9646852953171662E-2</v>
      </c>
      <c r="J212" s="1242">
        <f t="shared" si="124"/>
        <v>7.0015815031032699E-2</v>
      </c>
      <c r="K212" s="1242">
        <f t="shared" si="125"/>
        <v>5.6566489490897716E-2</v>
      </c>
      <c r="L212" s="1243">
        <f t="shared" si="126"/>
        <v>5.3964015839780603E-2</v>
      </c>
      <c r="M212" s="1273">
        <v>61.629042836081567</v>
      </c>
      <c r="N212" s="1425">
        <v>0</v>
      </c>
      <c r="O212" s="1251">
        <f t="shared" si="138"/>
        <v>71.489689689854615</v>
      </c>
      <c r="P212" s="1253">
        <f t="shared" si="127"/>
        <v>0</v>
      </c>
      <c r="Q212" s="1255">
        <f t="shared" si="128"/>
        <v>0</v>
      </c>
      <c r="R212" s="1270">
        <v>9.4090273422171109E-3</v>
      </c>
      <c r="S212" s="1271">
        <v>8.3617894745601148E-3</v>
      </c>
      <c r="T212" s="1271">
        <v>9.6610686971948245E-3</v>
      </c>
      <c r="U212" s="1272">
        <v>9.7873483989693033E-3</v>
      </c>
      <c r="V212" s="418"/>
      <c r="W212" s="376">
        <v>2046</v>
      </c>
      <c r="X212" s="380"/>
      <c r="Y212" s="1270"/>
      <c r="Z212" s="1271"/>
      <c r="AA212" s="1271"/>
      <c r="AB212" s="1272"/>
      <c r="AC212" s="1273"/>
      <c r="AD212" s="1274"/>
      <c r="AE212" s="568">
        <f t="shared" si="104"/>
        <v>0</v>
      </c>
      <c r="AF212" s="569">
        <f t="shared" si="105"/>
        <v>0</v>
      </c>
      <c r="AG212" s="570">
        <f t="shared" si="106"/>
        <v>0</v>
      </c>
      <c r="AH212" s="1270">
        <v>0</v>
      </c>
      <c r="AI212" s="1271">
        <v>0</v>
      </c>
      <c r="AJ212" s="1271">
        <v>0</v>
      </c>
      <c r="AK212" s="1272">
        <v>0</v>
      </c>
      <c r="AL212" s="1273">
        <v>0</v>
      </c>
      <c r="AM212" s="1274">
        <v>0</v>
      </c>
      <c r="AN212" s="1280">
        <f t="shared" si="129"/>
        <v>0</v>
      </c>
      <c r="AO212" s="1281">
        <f t="shared" si="130"/>
        <v>0</v>
      </c>
      <c r="AP212" s="570">
        <f t="shared" si="107"/>
        <v>0</v>
      </c>
      <c r="AQ212" s="1289"/>
      <c r="AR212" s="1433">
        <v>1.5534627648669573E-5</v>
      </c>
      <c r="AS212" s="418"/>
      <c r="AT212" s="376">
        <v>2046</v>
      </c>
      <c r="AU212" s="381"/>
      <c r="AV212" s="382" t="s">
        <v>493</v>
      </c>
      <c r="AW212" s="383" t="s">
        <v>493</v>
      </c>
      <c r="AX212" s="383" t="s">
        <v>493</v>
      </c>
      <c r="AY212" s="384" t="s">
        <v>493</v>
      </c>
      <c r="AZ212" s="385" t="s">
        <v>493</v>
      </c>
      <c r="BA212" s="386" t="s">
        <v>493</v>
      </c>
      <c r="BB212" s="640">
        <f t="shared" si="108"/>
        <v>0</v>
      </c>
      <c r="BC212" s="641">
        <f t="shared" si="109"/>
        <v>0</v>
      </c>
      <c r="BD212" s="642">
        <f t="shared" si="110"/>
        <v>0</v>
      </c>
      <c r="BE212" s="382" t="s">
        <v>493</v>
      </c>
      <c r="BF212" s="383" t="s">
        <v>493</v>
      </c>
      <c r="BG212" s="383" t="s">
        <v>493</v>
      </c>
      <c r="BH212" s="384" t="s">
        <v>493</v>
      </c>
      <c r="BI212" s="385" t="s">
        <v>493</v>
      </c>
      <c r="BJ212" s="386" t="s">
        <v>493</v>
      </c>
      <c r="BK212" s="640">
        <f t="shared" si="111"/>
        <v>0</v>
      </c>
      <c r="BL212" s="641">
        <f t="shared" si="112"/>
        <v>0</v>
      </c>
      <c r="BM212" s="642">
        <f t="shared" si="113"/>
        <v>0</v>
      </c>
      <c r="BN212" s="418"/>
      <c r="BO212" s="376">
        <v>2046</v>
      </c>
      <c r="BP212" s="380"/>
      <c r="BQ212" s="1469">
        <v>84.015984360902266</v>
      </c>
      <c r="BR212" s="1308" t="s">
        <v>493</v>
      </c>
      <c r="BS212" s="1309" t="s">
        <v>493</v>
      </c>
      <c r="BT212" s="570">
        <f t="shared" si="121"/>
        <v>0</v>
      </c>
      <c r="BU212" s="1308" t="s">
        <v>493</v>
      </c>
      <c r="BV212" s="1309" t="s">
        <v>493</v>
      </c>
      <c r="BW212" s="570">
        <f t="shared" si="114"/>
        <v>0</v>
      </c>
      <c r="BX212" s="570">
        <f t="shared" si="131"/>
        <v>0</v>
      </c>
      <c r="BY212" s="570">
        <f t="shared" si="132"/>
        <v>0</v>
      </c>
      <c r="BZ212" s="418"/>
      <c r="CA212" s="1312">
        <f t="shared" si="122"/>
        <v>0</v>
      </c>
      <c r="CB212" s="1313">
        <f t="shared" si="116"/>
        <v>0</v>
      </c>
      <c r="CC212" s="1313">
        <f t="shared" si="117"/>
        <v>0</v>
      </c>
      <c r="CD212" s="1314">
        <f t="shared" si="118"/>
        <v>0</v>
      </c>
      <c r="CE212" s="1241">
        <f t="shared" si="133"/>
        <v>0</v>
      </c>
      <c r="CF212" s="1242">
        <f t="shared" si="134"/>
        <v>0</v>
      </c>
      <c r="CG212" s="1242">
        <f t="shared" si="135"/>
        <v>0</v>
      </c>
      <c r="CH212" s="1243">
        <f t="shared" si="136"/>
        <v>0</v>
      </c>
      <c r="CI212" s="1312">
        <f t="shared" si="120"/>
        <v>0</v>
      </c>
      <c r="CJ212" s="1243">
        <f t="shared" si="137"/>
        <v>1.8287363668013827E-5</v>
      </c>
      <c r="CK212" s="418"/>
      <c r="CL212" s="571"/>
      <c r="CM212" s="1149"/>
      <c r="CN212" s="570"/>
      <c r="CO212" s="571"/>
      <c r="CP212" s="1149"/>
      <c r="CQ212" s="570"/>
      <c r="CR212" s="660"/>
    </row>
    <row r="213" spans="1:96">
      <c r="A213" s="322"/>
      <c r="B213" s="414">
        <v>2047</v>
      </c>
      <c r="C213" s="380"/>
      <c r="D213" s="1423">
        <v>5.8868950641310688E-2</v>
      </c>
      <c r="E213" s="1271">
        <v>5.9210520404424323E-2</v>
      </c>
      <c r="F213" s="1271">
        <v>4.7978894489713715E-2</v>
      </c>
      <c r="G213" s="1271">
        <v>4.5758786591900143E-2</v>
      </c>
      <c r="H213" s="1423">
        <v>9.255410441193939E-4</v>
      </c>
      <c r="I213" s="1241">
        <f t="shared" si="123"/>
        <v>7.0390075612088293E-2</v>
      </c>
      <c r="J213" s="1242">
        <f t="shared" si="124"/>
        <v>7.0792171537225668E-2</v>
      </c>
      <c r="K213" s="1242">
        <f t="shared" si="125"/>
        <v>5.7570301510428343E-2</v>
      </c>
      <c r="L213" s="1243">
        <f t="shared" si="126"/>
        <v>5.4956790493122201E-2</v>
      </c>
      <c r="M213" s="1273">
        <v>63.557306586932121</v>
      </c>
      <c r="N213" s="1425">
        <v>0</v>
      </c>
      <c r="O213" s="1251">
        <f t="shared" si="138"/>
        <v>73.726475640841258</v>
      </c>
      <c r="P213" s="1253">
        <f t="shared" si="127"/>
        <v>0</v>
      </c>
      <c r="Q213" s="1255">
        <f t="shared" si="128"/>
        <v>0</v>
      </c>
      <c r="R213" s="1270">
        <v>8.6635459640564232E-3</v>
      </c>
      <c r="S213" s="1271">
        <v>7.6178654804806237E-3</v>
      </c>
      <c r="T213" s="1271">
        <v>8.8394322404527059E-3</v>
      </c>
      <c r="U213" s="1272">
        <v>8.9319039155760626E-3</v>
      </c>
      <c r="V213" s="418"/>
      <c r="W213" s="376">
        <v>2047</v>
      </c>
      <c r="X213" s="380"/>
      <c r="Y213" s="1270"/>
      <c r="Z213" s="1271"/>
      <c r="AA213" s="1271"/>
      <c r="AB213" s="1272"/>
      <c r="AC213" s="1273"/>
      <c r="AD213" s="1274"/>
      <c r="AE213" s="568">
        <f t="shared" si="104"/>
        <v>0</v>
      </c>
      <c r="AF213" s="569">
        <f t="shared" si="105"/>
        <v>0</v>
      </c>
      <c r="AG213" s="570">
        <f t="shared" si="106"/>
        <v>0</v>
      </c>
      <c r="AH213" s="1270">
        <v>0</v>
      </c>
      <c r="AI213" s="1271">
        <v>0</v>
      </c>
      <c r="AJ213" s="1271">
        <v>0</v>
      </c>
      <c r="AK213" s="1272">
        <v>0</v>
      </c>
      <c r="AL213" s="1273">
        <v>0</v>
      </c>
      <c r="AM213" s="1274">
        <v>0</v>
      </c>
      <c r="AN213" s="1280">
        <f t="shared" si="129"/>
        <v>0</v>
      </c>
      <c r="AO213" s="1281">
        <f t="shared" si="130"/>
        <v>0</v>
      </c>
      <c r="AP213" s="570">
        <f t="shared" si="107"/>
        <v>0</v>
      </c>
      <c r="AQ213" s="1289"/>
      <c r="AR213" s="1433">
        <v>1.5573980270622767E-5</v>
      </c>
      <c r="AS213" s="418"/>
      <c r="AT213" s="376">
        <v>2047</v>
      </c>
      <c r="AU213" s="381"/>
      <c r="AV213" s="382" t="s">
        <v>493</v>
      </c>
      <c r="AW213" s="383" t="s">
        <v>493</v>
      </c>
      <c r="AX213" s="383" t="s">
        <v>493</v>
      </c>
      <c r="AY213" s="384" t="s">
        <v>493</v>
      </c>
      <c r="AZ213" s="385" t="s">
        <v>493</v>
      </c>
      <c r="BA213" s="386" t="s">
        <v>493</v>
      </c>
      <c r="BB213" s="640">
        <f t="shared" si="108"/>
        <v>0</v>
      </c>
      <c r="BC213" s="641">
        <f t="shared" si="109"/>
        <v>0</v>
      </c>
      <c r="BD213" s="642">
        <f t="shared" si="110"/>
        <v>0</v>
      </c>
      <c r="BE213" s="382" t="s">
        <v>493</v>
      </c>
      <c r="BF213" s="383" t="s">
        <v>493</v>
      </c>
      <c r="BG213" s="383" t="s">
        <v>493</v>
      </c>
      <c r="BH213" s="384" t="s">
        <v>493</v>
      </c>
      <c r="BI213" s="385" t="s">
        <v>493</v>
      </c>
      <c r="BJ213" s="386" t="s">
        <v>493</v>
      </c>
      <c r="BK213" s="640">
        <f t="shared" si="111"/>
        <v>0</v>
      </c>
      <c r="BL213" s="641">
        <f t="shared" si="112"/>
        <v>0</v>
      </c>
      <c r="BM213" s="642">
        <f t="shared" si="113"/>
        <v>0</v>
      </c>
      <c r="BN213" s="418"/>
      <c r="BO213" s="376">
        <v>2047</v>
      </c>
      <c r="BP213" s="380"/>
      <c r="BQ213" s="1469">
        <v>84.015984360902266</v>
      </c>
      <c r="BR213" s="1308" t="s">
        <v>493</v>
      </c>
      <c r="BS213" s="1309" t="s">
        <v>493</v>
      </c>
      <c r="BT213" s="570">
        <f t="shared" si="121"/>
        <v>0</v>
      </c>
      <c r="BU213" s="1308" t="s">
        <v>493</v>
      </c>
      <c r="BV213" s="1309" t="s">
        <v>493</v>
      </c>
      <c r="BW213" s="570">
        <f t="shared" si="114"/>
        <v>0</v>
      </c>
      <c r="BX213" s="570">
        <f t="shared" si="131"/>
        <v>0</v>
      </c>
      <c r="BY213" s="570">
        <f t="shared" si="132"/>
        <v>0</v>
      </c>
      <c r="BZ213" s="418"/>
      <c r="CA213" s="1312">
        <f t="shared" si="122"/>
        <v>0</v>
      </c>
      <c r="CB213" s="1313">
        <f t="shared" si="116"/>
        <v>0</v>
      </c>
      <c r="CC213" s="1313">
        <f t="shared" si="117"/>
        <v>0</v>
      </c>
      <c r="CD213" s="1314">
        <f t="shared" si="118"/>
        <v>0</v>
      </c>
      <c r="CE213" s="1241">
        <f t="shared" si="133"/>
        <v>0</v>
      </c>
      <c r="CF213" s="1242">
        <f t="shared" si="134"/>
        <v>0</v>
      </c>
      <c r="CG213" s="1242">
        <f t="shared" si="135"/>
        <v>0</v>
      </c>
      <c r="CH213" s="1243">
        <f t="shared" si="136"/>
        <v>0</v>
      </c>
      <c r="CI213" s="1312">
        <f t="shared" si="120"/>
        <v>0</v>
      </c>
      <c r="CJ213" s="1243">
        <f t="shared" si="137"/>
        <v>1.8333689574577126E-5</v>
      </c>
      <c r="CK213" s="418"/>
      <c r="CL213" s="571"/>
      <c r="CM213" s="1149"/>
      <c r="CN213" s="570"/>
      <c r="CO213" s="571"/>
      <c r="CP213" s="1149"/>
      <c r="CQ213" s="570"/>
      <c r="CR213" s="660"/>
    </row>
    <row r="214" spans="1:96">
      <c r="A214" s="322"/>
      <c r="B214" s="414">
        <v>2048</v>
      </c>
      <c r="C214" s="380"/>
      <c r="D214" s="1423">
        <v>5.9647403708272886E-2</v>
      </c>
      <c r="E214" s="1271">
        <v>6.0017819232721696E-2</v>
      </c>
      <c r="F214" s="1271">
        <v>4.8989395272571401E-2</v>
      </c>
      <c r="G214" s="1271">
        <v>4.6760528003919714E-2</v>
      </c>
      <c r="H214" s="1423">
        <v>8.0624649055074406E-4</v>
      </c>
      <c r="I214" s="1241">
        <f t="shared" si="123"/>
        <v>7.1166037014055189E-2</v>
      </c>
      <c r="J214" s="1242">
        <f t="shared" si="124"/>
        <v>7.1602090169436333E-2</v>
      </c>
      <c r="K214" s="1242">
        <f t="shared" si="125"/>
        <v>5.8619429483547397E-2</v>
      </c>
      <c r="L214" s="1243">
        <f t="shared" si="126"/>
        <v>5.5995606934890634E-2</v>
      </c>
      <c r="M214" s="1273">
        <v>65.545902300145514</v>
      </c>
      <c r="N214" s="1425">
        <v>0</v>
      </c>
      <c r="O214" s="1251">
        <f t="shared" si="138"/>
        <v>76.033246668168786</v>
      </c>
      <c r="P214" s="1253">
        <f t="shared" si="127"/>
        <v>0</v>
      </c>
      <c r="Q214" s="1255">
        <f t="shared" si="128"/>
        <v>0</v>
      </c>
      <c r="R214" s="1270">
        <v>7.9771294036469608E-3</v>
      </c>
      <c r="S214" s="1271">
        <v>6.9401262319811205E-3</v>
      </c>
      <c r="T214" s="1271">
        <v>8.0876727805736532E-3</v>
      </c>
      <c r="U214" s="1272">
        <v>8.1512279225172419E-3</v>
      </c>
      <c r="V214" s="418"/>
      <c r="W214" s="376">
        <v>2048</v>
      </c>
      <c r="X214" s="380"/>
      <c r="Y214" s="1270"/>
      <c r="Z214" s="1271"/>
      <c r="AA214" s="1271"/>
      <c r="AB214" s="1272"/>
      <c r="AC214" s="1273"/>
      <c r="AD214" s="1274"/>
      <c r="AE214" s="568">
        <f t="shared" si="104"/>
        <v>0</v>
      </c>
      <c r="AF214" s="569">
        <f t="shared" si="105"/>
        <v>0</v>
      </c>
      <c r="AG214" s="570">
        <f t="shared" si="106"/>
        <v>0</v>
      </c>
      <c r="AH214" s="1270">
        <v>0</v>
      </c>
      <c r="AI214" s="1271">
        <v>0</v>
      </c>
      <c r="AJ214" s="1271">
        <v>0</v>
      </c>
      <c r="AK214" s="1272">
        <v>0</v>
      </c>
      <c r="AL214" s="1273">
        <v>0</v>
      </c>
      <c r="AM214" s="1274">
        <v>0</v>
      </c>
      <c r="AN214" s="1280">
        <f t="shared" si="129"/>
        <v>0</v>
      </c>
      <c r="AO214" s="1281">
        <f t="shared" si="130"/>
        <v>0</v>
      </c>
      <c r="AP214" s="570">
        <f t="shared" si="107"/>
        <v>0</v>
      </c>
      <c r="AQ214" s="1289"/>
      <c r="AR214" s="1433">
        <v>1.5613432581405949E-5</v>
      </c>
      <c r="AS214" s="418"/>
      <c r="AT214" s="376">
        <v>2048</v>
      </c>
      <c r="AU214" s="381"/>
      <c r="AV214" s="382" t="s">
        <v>493</v>
      </c>
      <c r="AW214" s="383" t="s">
        <v>493</v>
      </c>
      <c r="AX214" s="383" t="s">
        <v>493</v>
      </c>
      <c r="AY214" s="384" t="s">
        <v>493</v>
      </c>
      <c r="AZ214" s="385" t="s">
        <v>493</v>
      </c>
      <c r="BA214" s="386" t="s">
        <v>493</v>
      </c>
      <c r="BB214" s="640">
        <f t="shared" si="108"/>
        <v>0</v>
      </c>
      <c r="BC214" s="641">
        <f t="shared" si="109"/>
        <v>0</v>
      </c>
      <c r="BD214" s="642">
        <f t="shared" si="110"/>
        <v>0</v>
      </c>
      <c r="BE214" s="382" t="s">
        <v>493</v>
      </c>
      <c r="BF214" s="383" t="s">
        <v>493</v>
      </c>
      <c r="BG214" s="383" t="s">
        <v>493</v>
      </c>
      <c r="BH214" s="384" t="s">
        <v>493</v>
      </c>
      <c r="BI214" s="385" t="s">
        <v>493</v>
      </c>
      <c r="BJ214" s="386" t="s">
        <v>493</v>
      </c>
      <c r="BK214" s="640">
        <f t="shared" si="111"/>
        <v>0</v>
      </c>
      <c r="BL214" s="641">
        <f t="shared" si="112"/>
        <v>0</v>
      </c>
      <c r="BM214" s="642">
        <f t="shared" si="113"/>
        <v>0</v>
      </c>
      <c r="BN214" s="418"/>
      <c r="BO214" s="376">
        <v>2048</v>
      </c>
      <c r="BP214" s="380"/>
      <c r="BQ214" s="1469">
        <v>84.015984360902266</v>
      </c>
      <c r="BR214" s="1308" t="s">
        <v>493</v>
      </c>
      <c r="BS214" s="1309" t="s">
        <v>493</v>
      </c>
      <c r="BT214" s="570">
        <f t="shared" si="121"/>
        <v>0</v>
      </c>
      <c r="BU214" s="1308" t="s">
        <v>493</v>
      </c>
      <c r="BV214" s="1309" t="s">
        <v>493</v>
      </c>
      <c r="BW214" s="570">
        <f t="shared" si="114"/>
        <v>0</v>
      </c>
      <c r="BX214" s="570">
        <f t="shared" si="131"/>
        <v>0</v>
      </c>
      <c r="BY214" s="570">
        <f t="shared" si="132"/>
        <v>0</v>
      </c>
      <c r="BZ214" s="418"/>
      <c r="CA214" s="1312">
        <f t="shared" si="122"/>
        <v>0</v>
      </c>
      <c r="CB214" s="1313">
        <f t="shared" si="116"/>
        <v>0</v>
      </c>
      <c r="CC214" s="1313">
        <f t="shared" si="117"/>
        <v>0</v>
      </c>
      <c r="CD214" s="1314">
        <f t="shared" si="118"/>
        <v>0</v>
      </c>
      <c r="CE214" s="1241">
        <f t="shared" si="133"/>
        <v>0</v>
      </c>
      <c r="CF214" s="1242">
        <f t="shared" si="134"/>
        <v>0</v>
      </c>
      <c r="CG214" s="1242">
        <f t="shared" si="135"/>
        <v>0</v>
      </c>
      <c r="CH214" s="1243">
        <f t="shared" si="136"/>
        <v>0</v>
      </c>
      <c r="CI214" s="1312">
        <f t="shared" si="120"/>
        <v>0</v>
      </c>
      <c r="CJ214" s="1243">
        <f t="shared" si="137"/>
        <v>1.8380132834831083E-5</v>
      </c>
      <c r="CK214" s="418"/>
      <c r="CL214" s="571"/>
      <c r="CM214" s="1149"/>
      <c r="CN214" s="570"/>
      <c r="CO214" s="571"/>
      <c r="CP214" s="1149"/>
      <c r="CQ214" s="570"/>
      <c r="CR214" s="660"/>
    </row>
    <row r="215" spans="1:96">
      <c r="A215" s="322"/>
      <c r="B215" s="414">
        <v>2049</v>
      </c>
      <c r="C215" s="380"/>
      <c r="D215" s="1423">
        <v>6.043615064272994E-2</v>
      </c>
      <c r="E215" s="1271">
        <v>6.0836125081287072E-2</v>
      </c>
      <c r="F215" s="1271">
        <v>5.0021178576483735E-2</v>
      </c>
      <c r="G215" s="1271">
        <v>4.778419932123823E-2</v>
      </c>
      <c r="H215" s="1423">
        <v>7.0232801414427321E-4</v>
      </c>
      <c r="I215" s="1241">
        <f t="shared" si="123"/>
        <v>7.1972217074872336E-2</v>
      </c>
      <c r="J215" s="1242">
        <f t="shared" si="124"/>
        <v>7.2443066983941776E-2</v>
      </c>
      <c r="K215" s="1242">
        <f t="shared" si="125"/>
        <v>5.9711711958487297E-2</v>
      </c>
      <c r="L215" s="1243">
        <f t="shared" si="126"/>
        <v>5.7078339979212286E-2</v>
      </c>
      <c r="M215" s="1273">
        <v>67.596717656118656</v>
      </c>
      <c r="N215" s="1425">
        <v>0</v>
      </c>
      <c r="O215" s="1251">
        <f t="shared" si="138"/>
        <v>78.412192481097634</v>
      </c>
      <c r="P215" s="1253">
        <f t="shared" si="127"/>
        <v>0</v>
      </c>
      <c r="Q215" s="1255">
        <f t="shared" si="128"/>
        <v>0</v>
      </c>
      <c r="R215" s="1270">
        <v>7.3450979294780692E-3</v>
      </c>
      <c r="S215" s="1271">
        <v>6.3226834654992667E-3</v>
      </c>
      <c r="T215" s="1271">
        <v>7.3998475497428573E-3</v>
      </c>
      <c r="U215" s="1272">
        <v>7.4387854227761854E-3</v>
      </c>
      <c r="V215" s="418"/>
      <c r="W215" s="376">
        <v>2049</v>
      </c>
      <c r="X215" s="380"/>
      <c r="Y215" s="1270"/>
      <c r="Z215" s="1271"/>
      <c r="AA215" s="1271"/>
      <c r="AB215" s="1272"/>
      <c r="AC215" s="1273"/>
      <c r="AD215" s="1274"/>
      <c r="AE215" s="568">
        <f t="shared" si="104"/>
        <v>0</v>
      </c>
      <c r="AF215" s="569">
        <f t="shared" si="105"/>
        <v>0</v>
      </c>
      <c r="AG215" s="570">
        <f t="shared" si="106"/>
        <v>0</v>
      </c>
      <c r="AH215" s="1270">
        <v>0</v>
      </c>
      <c r="AI215" s="1271">
        <v>0</v>
      </c>
      <c r="AJ215" s="1271">
        <v>0</v>
      </c>
      <c r="AK215" s="1272">
        <v>0</v>
      </c>
      <c r="AL215" s="1273">
        <v>0</v>
      </c>
      <c r="AM215" s="1274">
        <v>0</v>
      </c>
      <c r="AN215" s="1280">
        <f t="shared" si="129"/>
        <v>0</v>
      </c>
      <c r="AO215" s="1281">
        <f t="shared" si="130"/>
        <v>0</v>
      </c>
      <c r="AP215" s="570">
        <f t="shared" si="107"/>
        <v>0</v>
      </c>
      <c r="AQ215" s="1289"/>
      <c r="AR215" s="1433">
        <v>1.5652984833552808E-5</v>
      </c>
      <c r="AS215" s="418"/>
      <c r="AT215" s="376">
        <v>2049</v>
      </c>
      <c r="AU215" s="381"/>
      <c r="AV215" s="382" t="s">
        <v>493</v>
      </c>
      <c r="AW215" s="383" t="s">
        <v>493</v>
      </c>
      <c r="AX215" s="383" t="s">
        <v>493</v>
      </c>
      <c r="AY215" s="384" t="s">
        <v>493</v>
      </c>
      <c r="AZ215" s="385" t="s">
        <v>493</v>
      </c>
      <c r="BA215" s="386" t="s">
        <v>493</v>
      </c>
      <c r="BB215" s="640">
        <f t="shared" si="108"/>
        <v>0</v>
      </c>
      <c r="BC215" s="641">
        <f t="shared" si="109"/>
        <v>0</v>
      </c>
      <c r="BD215" s="642">
        <f t="shared" si="110"/>
        <v>0</v>
      </c>
      <c r="BE215" s="382" t="s">
        <v>493</v>
      </c>
      <c r="BF215" s="383" t="s">
        <v>493</v>
      </c>
      <c r="BG215" s="383" t="s">
        <v>493</v>
      </c>
      <c r="BH215" s="384" t="s">
        <v>493</v>
      </c>
      <c r="BI215" s="385" t="s">
        <v>493</v>
      </c>
      <c r="BJ215" s="386" t="s">
        <v>493</v>
      </c>
      <c r="BK215" s="640">
        <f t="shared" si="111"/>
        <v>0</v>
      </c>
      <c r="BL215" s="641">
        <f t="shared" si="112"/>
        <v>0</v>
      </c>
      <c r="BM215" s="642">
        <f t="shared" si="113"/>
        <v>0</v>
      </c>
      <c r="BN215" s="418"/>
      <c r="BO215" s="376">
        <v>2049</v>
      </c>
      <c r="BP215" s="380"/>
      <c r="BQ215" s="1469">
        <v>84.015984360902266</v>
      </c>
      <c r="BR215" s="1308" t="s">
        <v>493</v>
      </c>
      <c r="BS215" s="1309" t="s">
        <v>493</v>
      </c>
      <c r="BT215" s="570">
        <f t="shared" si="121"/>
        <v>0</v>
      </c>
      <c r="BU215" s="1308" t="s">
        <v>493</v>
      </c>
      <c r="BV215" s="1309" t="s">
        <v>493</v>
      </c>
      <c r="BW215" s="570">
        <f t="shared" si="114"/>
        <v>0</v>
      </c>
      <c r="BX215" s="570">
        <f t="shared" si="131"/>
        <v>0</v>
      </c>
      <c r="BY215" s="570">
        <f t="shared" si="132"/>
        <v>0</v>
      </c>
      <c r="BZ215" s="418"/>
      <c r="CA215" s="1312">
        <f t="shared" si="122"/>
        <v>0</v>
      </c>
      <c r="CB215" s="1313">
        <f t="shared" si="116"/>
        <v>0</v>
      </c>
      <c r="CC215" s="1313">
        <f t="shared" si="117"/>
        <v>0</v>
      </c>
      <c r="CD215" s="1314">
        <f t="shared" si="118"/>
        <v>0</v>
      </c>
      <c r="CE215" s="1241">
        <f t="shared" si="133"/>
        <v>0</v>
      </c>
      <c r="CF215" s="1242">
        <f t="shared" si="134"/>
        <v>0</v>
      </c>
      <c r="CG215" s="1242">
        <f t="shared" si="135"/>
        <v>0</v>
      </c>
      <c r="CH215" s="1243">
        <f t="shared" si="136"/>
        <v>0</v>
      </c>
      <c r="CI215" s="1312">
        <f t="shared" si="120"/>
        <v>0</v>
      </c>
      <c r="CJ215" s="1243">
        <f t="shared" si="137"/>
        <v>1.8426693746058368E-5</v>
      </c>
      <c r="CK215" s="418"/>
      <c r="CL215" s="571"/>
      <c r="CM215" s="1149"/>
      <c r="CN215" s="570"/>
      <c r="CO215" s="571"/>
      <c r="CP215" s="1149"/>
      <c r="CQ215" s="570"/>
      <c r="CR215" s="660"/>
    </row>
    <row r="216" spans="1:96" ht="13.5" thickBot="1">
      <c r="A216" s="322"/>
      <c r="B216" s="1233">
        <v>2050</v>
      </c>
      <c r="C216" s="1234"/>
      <c r="D216" s="1423">
        <v>6.1235327565550911E-2</v>
      </c>
      <c r="E216" s="1271">
        <v>6.1665588024034761E-2</v>
      </c>
      <c r="F216" s="1271">
        <v>5.1074692640294392E-2</v>
      </c>
      <c r="G216" s="1271">
        <v>4.8830280628576805E-2</v>
      </c>
      <c r="H216" s="1423">
        <v>6.1180376625874196E-4</v>
      </c>
      <c r="I216" s="1241">
        <f t="shared" si="123"/>
        <v>7.2806443003806343E-2</v>
      </c>
      <c r="J216" s="1242">
        <f t="shared" si="124"/>
        <v>7.3312945615533531E-2</v>
      </c>
      <c r="K216" s="1242">
        <f t="shared" si="125"/>
        <v>6.0845343569794361E-2</v>
      </c>
      <c r="L216" s="1243">
        <f t="shared" si="126"/>
        <v>5.8203221749600416E-2</v>
      </c>
      <c r="M216" s="1273">
        <v>69.711699397429456</v>
      </c>
      <c r="N216" s="1425">
        <v>0</v>
      </c>
      <c r="O216" s="1251">
        <f t="shared" si="138"/>
        <v>80.865571301018164</v>
      </c>
      <c r="P216" s="1253">
        <f t="shared" si="127"/>
        <v>0</v>
      </c>
      <c r="Q216" s="1255">
        <f t="shared" si="128"/>
        <v>0</v>
      </c>
      <c r="R216" s="1270">
        <v>6.7631425872266915E-3</v>
      </c>
      <c r="S216" s="1271">
        <v>5.7601727790888057E-3</v>
      </c>
      <c r="T216" s="1271">
        <v>6.7705191895203552E-3</v>
      </c>
      <c r="U216" s="1272">
        <v>6.7886125982622369E-3</v>
      </c>
      <c r="V216" s="1261"/>
      <c r="W216" s="1262">
        <v>2050</v>
      </c>
      <c r="X216" s="1234"/>
      <c r="Y216" s="1270"/>
      <c r="Z216" s="1271"/>
      <c r="AA216" s="1271"/>
      <c r="AB216" s="1272"/>
      <c r="AC216" s="1273"/>
      <c r="AD216" s="1274"/>
      <c r="AE216" s="1280">
        <f>IFERROR(AC216*(1+DistributionLosses),0)</f>
        <v>0</v>
      </c>
      <c r="AF216" s="1281">
        <f>IFERROR(AD216*(1+DistributionLosses)*(1+WholesaleRiskPremium)*(1+PTFlosses),0)</f>
        <v>0</v>
      </c>
      <c r="AG216" s="1282">
        <f>IF(AND(AE216=0,AF216=0,),0,IFERROR(AE216*FCMbid,0)+IFERROR(AF216*(1-FCMbid),0))</f>
        <v>0</v>
      </c>
      <c r="AH216" s="1270">
        <v>0</v>
      </c>
      <c r="AI216" s="1271">
        <v>0</v>
      </c>
      <c r="AJ216" s="1271">
        <v>0</v>
      </c>
      <c r="AK216" s="1272">
        <v>0</v>
      </c>
      <c r="AL216" s="1273">
        <v>0</v>
      </c>
      <c r="AM216" s="1274">
        <v>0</v>
      </c>
      <c r="AN216" s="1280">
        <f t="shared" si="129"/>
        <v>0</v>
      </c>
      <c r="AO216" s="1281">
        <f t="shared" si="130"/>
        <v>0</v>
      </c>
      <c r="AP216" s="1282">
        <f>IF(AND(AN216=0,AO216=0,),0,IFERROR(AN216*FCMbid,0)+IFERROR(AO216*(1-FCMbid),0))</f>
        <v>0</v>
      </c>
      <c r="AQ216" s="1289"/>
      <c r="AR216" s="1433">
        <v>1.5692637280236758E-5</v>
      </c>
      <c r="AS216" s="1261"/>
      <c r="AT216" s="1262">
        <v>2050</v>
      </c>
      <c r="AU216" s="1291"/>
      <c r="AV216" s="1259" t="s">
        <v>493</v>
      </c>
      <c r="AW216" s="1240" t="s">
        <v>493</v>
      </c>
      <c r="AX216" s="1240" t="s">
        <v>493</v>
      </c>
      <c r="AY216" s="1260" t="s">
        <v>493</v>
      </c>
      <c r="AZ216" s="1293" t="s">
        <v>493</v>
      </c>
      <c r="BA216" s="1269" t="s">
        <v>493</v>
      </c>
      <c r="BB216" s="1286">
        <f>IFERROR(AZ216*(1+DistributionLosses),0)</f>
        <v>0</v>
      </c>
      <c r="BC216" s="1287">
        <f>IFERROR(BA216*(1+DistributionLosses)*(1+WholesaleRiskPremium)*(1+PTFlosses),0)</f>
        <v>0</v>
      </c>
      <c r="BD216" s="1294">
        <f>IF(AND(BB216=0,BC216=0,),0,IFERROR(BB216*FCMbid,0)+IFERROR(BC216*(1-FCMbid),0))</f>
        <v>0</v>
      </c>
      <c r="BE216" s="1259" t="s">
        <v>493</v>
      </c>
      <c r="BF216" s="1240" t="s">
        <v>493</v>
      </c>
      <c r="BG216" s="1240" t="s">
        <v>493</v>
      </c>
      <c r="BH216" s="1260" t="s">
        <v>493</v>
      </c>
      <c r="BI216" s="1293" t="s">
        <v>493</v>
      </c>
      <c r="BJ216" s="1269" t="s">
        <v>493</v>
      </c>
      <c r="BK216" s="1286">
        <f>IFERROR(BI216*(1+DistributionLosses),0)</f>
        <v>0</v>
      </c>
      <c r="BL216" s="1287">
        <f>IFERROR(BJ216*(1+DistributionLosses)*(1+WholesaleRiskPremium)*(1+PTFlosses),0)</f>
        <v>0</v>
      </c>
      <c r="BM216" s="1294">
        <f>IF(AND(BK216=0,BL216=0,),0,IFERROR(BK216*FCMbid,0)+IFERROR(BL216*(1-FCMbid),0))</f>
        <v>0</v>
      </c>
      <c r="BN216" s="1261"/>
      <c r="BO216" s="1262">
        <v>2050</v>
      </c>
      <c r="BP216" s="1234"/>
      <c r="BQ216" s="1469">
        <v>84.015984360902266</v>
      </c>
      <c r="BR216" s="1308" t="s">
        <v>493</v>
      </c>
      <c r="BS216" s="1309" t="s">
        <v>493</v>
      </c>
      <c r="BT216" s="1282">
        <f>IF(AND(BR216=0,BS216=0,),0,IFERROR(BR216*FCMbid,0)+IFERROR(BS216*(1-FCMbid),0))</f>
        <v>0</v>
      </c>
      <c r="BU216" s="1308" t="s">
        <v>493</v>
      </c>
      <c r="BV216" s="1309" t="s">
        <v>493</v>
      </c>
      <c r="BW216" s="1282">
        <f>IF(AND(BU216=0,BV216=0,),0,IFERROR(BU216*FCMbid,0)+IFERROR(BV216*(1-FCMbid),0))</f>
        <v>0</v>
      </c>
      <c r="BX216" s="1294">
        <f>IFERROR(BT216*(1+DistributionLosses)*(1+WholesaleRiskPremium),0)</f>
        <v>0</v>
      </c>
      <c r="BY216" s="1282">
        <f t="shared" si="132"/>
        <v>0</v>
      </c>
      <c r="BZ216" s="1261"/>
      <c r="CA216" s="1312">
        <f t="shared" si="122"/>
        <v>0</v>
      </c>
      <c r="CB216" s="1313">
        <f t="shared" si="116"/>
        <v>0</v>
      </c>
      <c r="CC216" s="1313">
        <f t="shared" si="117"/>
        <v>0</v>
      </c>
      <c r="CD216" s="1314">
        <f t="shared" si="118"/>
        <v>0</v>
      </c>
      <c r="CE216" s="1241">
        <f t="shared" si="133"/>
        <v>0</v>
      </c>
      <c r="CF216" s="1242">
        <f t="shared" si="134"/>
        <v>0</v>
      </c>
      <c r="CG216" s="1242">
        <f t="shared" si="135"/>
        <v>0</v>
      </c>
      <c r="CH216" s="1243">
        <f t="shared" si="136"/>
        <v>0</v>
      </c>
      <c r="CI216" s="1312">
        <f t="shared" si="120"/>
        <v>0</v>
      </c>
      <c r="CJ216" s="1243">
        <f t="shared" si="137"/>
        <v>1.8473372606294713E-5</v>
      </c>
      <c r="CK216" s="576"/>
      <c r="CL216" s="575"/>
      <c r="CM216" s="1150"/>
      <c r="CN216" s="577"/>
      <c r="CO216" s="575"/>
      <c r="CP216" s="1150"/>
      <c r="CQ216" s="577"/>
      <c r="CR216" s="661"/>
    </row>
    <row r="217" spans="1:96" ht="13.5" thickTop="1">
      <c r="A217" s="322"/>
      <c r="B217" s="1233">
        <v>2051</v>
      </c>
      <c r="C217" s="1234"/>
      <c r="D217" s="1423">
        <v>6.2045072397598024E-2</v>
      </c>
      <c r="E217" s="1271">
        <v>6.2506360181044079E-2</v>
      </c>
      <c r="F217" s="1271">
        <v>5.2150395143366821E-2</v>
      </c>
      <c r="G217" s="1271">
        <v>4.989926252056695E-2</v>
      </c>
      <c r="H217" s="1423">
        <v>5.3294734208265732E-4</v>
      </c>
      <c r="I217" s="1241">
        <f t="shared" si="123"/>
        <v>7.3666844837552106E-2</v>
      </c>
      <c r="J217" s="1242">
        <f t="shared" si="124"/>
        <v>7.4209872816224806E-2</v>
      </c>
      <c r="K217" s="1242">
        <f t="shared" si="125"/>
        <v>6.2018830773871138E-2</v>
      </c>
      <c r="L217" s="1243">
        <f t="shared" si="126"/>
        <v>5.936879745031113E-2</v>
      </c>
      <c r="M217" s="1273">
        <v>71.89285517678799</v>
      </c>
      <c r="N217" s="1425">
        <v>0</v>
      </c>
      <c r="O217" s="1251">
        <f t="shared" si="138"/>
        <v>83.39571200507406</v>
      </c>
      <c r="P217" s="1253">
        <f t="shared" si="127"/>
        <v>0</v>
      </c>
      <c r="Q217" s="1255"/>
      <c r="R217" s="1270">
        <v>6.2272958229175803E-3</v>
      </c>
      <c r="S217" s="1271">
        <v>5.2477070259811989E-3</v>
      </c>
      <c r="T217" s="1271">
        <v>6.1947127677321259E-3</v>
      </c>
      <c r="U217" s="1272">
        <v>6.1952668870082226E-3</v>
      </c>
      <c r="V217" s="1261"/>
      <c r="W217" s="1262">
        <v>2051</v>
      </c>
      <c r="X217" s="1234"/>
      <c r="Y217" s="1270"/>
      <c r="Z217" s="1271"/>
      <c r="AA217" s="1271"/>
      <c r="AB217" s="1272"/>
      <c r="AC217" s="1273"/>
      <c r="AD217" s="1274"/>
      <c r="AE217" s="1280"/>
      <c r="AF217" s="1281"/>
      <c r="AG217" s="1282"/>
      <c r="AH217" s="1270">
        <v>0</v>
      </c>
      <c r="AI217" s="1271">
        <v>0</v>
      </c>
      <c r="AJ217" s="1271">
        <v>0</v>
      </c>
      <c r="AK217" s="1272">
        <v>0</v>
      </c>
      <c r="AL217" s="1273">
        <v>0</v>
      </c>
      <c r="AM217" s="1274">
        <v>0</v>
      </c>
      <c r="AN217" s="1280">
        <f t="shared" si="129"/>
        <v>0</v>
      </c>
      <c r="AO217" s="1281">
        <f t="shared" si="130"/>
        <v>0</v>
      </c>
      <c r="AP217" s="1282"/>
      <c r="AQ217" s="1289"/>
      <c r="AR217" s="1433">
        <v>1.5732390175272555E-5</v>
      </c>
      <c r="AS217" s="1261"/>
      <c r="AT217" s="1262"/>
      <c r="AU217" s="1291"/>
      <c r="AV217" s="1259"/>
      <c r="AW217" s="1240"/>
      <c r="AX217" s="1240"/>
      <c r="AY217" s="1260"/>
      <c r="AZ217" s="1293"/>
      <c r="BA217" s="1269"/>
      <c r="BB217" s="1286"/>
      <c r="BC217" s="1287"/>
      <c r="BD217" s="1294"/>
      <c r="BE217" s="1259"/>
      <c r="BF217" s="1240"/>
      <c r="BG217" s="1240"/>
      <c r="BH217" s="1260"/>
      <c r="BI217" s="1293"/>
      <c r="BJ217" s="1269"/>
      <c r="BK217" s="1286"/>
      <c r="BL217" s="1287"/>
      <c r="BM217" s="1294"/>
      <c r="BN217" s="1261"/>
      <c r="BO217" s="1262">
        <v>2051</v>
      </c>
      <c r="BP217" s="1234"/>
      <c r="BQ217" s="1469">
        <v>84.015984360902266</v>
      </c>
      <c r="BR217" s="1308"/>
      <c r="BS217" s="1309"/>
      <c r="BT217" s="1282"/>
      <c r="BU217" s="1308"/>
      <c r="BV217" s="1309"/>
      <c r="BW217" s="1282"/>
      <c r="BX217" s="1294"/>
      <c r="BY217" s="1282"/>
      <c r="BZ217" s="1261"/>
      <c r="CA217" s="1312"/>
      <c r="CB217" s="1313"/>
      <c r="CC217" s="1313"/>
      <c r="CD217" s="1314"/>
      <c r="CE217" s="1241">
        <f t="shared" si="133"/>
        <v>0</v>
      </c>
      <c r="CF217" s="1242">
        <f t="shared" si="134"/>
        <v>0</v>
      </c>
      <c r="CG217" s="1242">
        <f t="shared" si="135"/>
        <v>0</v>
      </c>
      <c r="CH217" s="1243">
        <f t="shared" si="136"/>
        <v>0</v>
      </c>
      <c r="CI217" s="1312"/>
      <c r="CJ217" s="1243">
        <f t="shared" si="137"/>
        <v>1.8520169714330855E-5</v>
      </c>
      <c r="CK217" s="418"/>
      <c r="CL217" s="1232"/>
      <c r="CM217" s="1232"/>
      <c r="CN217" s="1232"/>
      <c r="CO217" s="1232"/>
      <c r="CP217" s="1232"/>
      <c r="CQ217" s="1232"/>
      <c r="CR217" s="418"/>
    </row>
    <row r="218" spans="1:96">
      <c r="A218" s="322"/>
      <c r="B218" s="1233">
        <v>2052</v>
      </c>
      <c r="C218" s="1234"/>
      <c r="D218" s="1423">
        <v>6.2865524883528839E-2</v>
      </c>
      <c r="E218" s="1271">
        <v>6.3358595746457552E-2</v>
      </c>
      <c r="F218" s="1271">
        <v>5.3248753404414456E-2</v>
      </c>
      <c r="G218" s="1271">
        <v>5.0991646331831217E-2</v>
      </c>
      <c r="H218" s="1423">
        <v>4.6425485604618976E-4</v>
      </c>
      <c r="I218" s="1241">
        <f t="shared" si="123"/>
        <v>7.4551816709427746E-2</v>
      </c>
      <c r="J218" s="1242">
        <f t="shared" si="124"/>
        <v>7.5132259729267417E-2</v>
      </c>
      <c r="K218" s="1242">
        <f t="shared" si="125"/>
        <v>6.3230953324214273E-2</v>
      </c>
      <c r="L218" s="1243">
        <f t="shared" si="126"/>
        <v>6.0573886878369287E-2</v>
      </c>
      <c r="M218" s="1273">
        <v>74.14225546280683</v>
      </c>
      <c r="N218" s="1425">
        <v>0</v>
      </c>
      <c r="O218" s="1251">
        <f t="shared" si="138"/>
        <v>86.005016336855917</v>
      </c>
      <c r="P218" s="1253">
        <f t="shared" si="127"/>
        <v>0</v>
      </c>
      <c r="Q218" s="1255"/>
      <c r="R218" s="1270">
        <v>5.7339044336234563E-3</v>
      </c>
      <c r="S218" s="1271">
        <v>4.7808338545859913E-3</v>
      </c>
      <c r="T218" s="1271">
        <v>5.6678764509080406E-3</v>
      </c>
      <c r="U218" s="1272">
        <v>5.6537814237750854E-3</v>
      </c>
      <c r="V218" s="1261"/>
      <c r="W218" s="1262">
        <v>2052</v>
      </c>
      <c r="X218" s="1234"/>
      <c r="Y218" s="1270"/>
      <c r="Z218" s="1271"/>
      <c r="AA218" s="1271"/>
      <c r="AB218" s="1272"/>
      <c r="AC218" s="1273"/>
      <c r="AD218" s="1274"/>
      <c r="AE218" s="1280"/>
      <c r="AF218" s="1281"/>
      <c r="AG218" s="1282"/>
      <c r="AH218" s="1270">
        <v>0</v>
      </c>
      <c r="AI218" s="1271">
        <v>0</v>
      </c>
      <c r="AJ218" s="1271">
        <v>0</v>
      </c>
      <c r="AK218" s="1272">
        <v>0</v>
      </c>
      <c r="AL218" s="1273">
        <v>0</v>
      </c>
      <c r="AM218" s="1274">
        <v>0</v>
      </c>
      <c r="AN218" s="1280">
        <f t="shared" si="129"/>
        <v>0</v>
      </c>
      <c r="AO218" s="1281">
        <f t="shared" si="130"/>
        <v>0</v>
      </c>
      <c r="AP218" s="1282"/>
      <c r="AQ218" s="1289"/>
      <c r="AR218" s="1433">
        <v>1.5772243773117927E-5</v>
      </c>
      <c r="AS218" s="1261"/>
      <c r="AT218" s="1262"/>
      <c r="AU218" s="1291"/>
      <c r="AV218" s="1259"/>
      <c r="AW218" s="1240"/>
      <c r="AX218" s="1240"/>
      <c r="AY218" s="1260"/>
      <c r="AZ218" s="1293"/>
      <c r="BA218" s="1269"/>
      <c r="BB218" s="1286"/>
      <c r="BC218" s="1287"/>
      <c r="BD218" s="1294"/>
      <c r="BE218" s="1259"/>
      <c r="BF218" s="1240"/>
      <c r="BG218" s="1240"/>
      <c r="BH218" s="1260"/>
      <c r="BI218" s="1293"/>
      <c r="BJ218" s="1269"/>
      <c r="BK218" s="1286"/>
      <c r="BL218" s="1287"/>
      <c r="BM218" s="1294"/>
      <c r="BN218" s="1261"/>
      <c r="BO218" s="1262">
        <v>2052</v>
      </c>
      <c r="BP218" s="1234"/>
      <c r="BQ218" s="1469">
        <v>84.015984360902266</v>
      </c>
      <c r="BR218" s="1308"/>
      <c r="BS218" s="1309"/>
      <c r="BT218" s="1282"/>
      <c r="BU218" s="1308"/>
      <c r="BV218" s="1309"/>
      <c r="BW218" s="1282"/>
      <c r="BX218" s="1294"/>
      <c r="BY218" s="1282"/>
      <c r="BZ218" s="1261"/>
      <c r="CA218" s="1312"/>
      <c r="CB218" s="1313"/>
      <c r="CC218" s="1313"/>
      <c r="CD218" s="1314"/>
      <c r="CE218" s="1241">
        <f t="shared" si="133"/>
        <v>0</v>
      </c>
      <c r="CF218" s="1242">
        <f t="shared" si="134"/>
        <v>0</v>
      </c>
      <c r="CG218" s="1242">
        <f t="shared" si="135"/>
        <v>0</v>
      </c>
      <c r="CH218" s="1243">
        <f t="shared" si="136"/>
        <v>0</v>
      </c>
      <c r="CI218" s="1312"/>
      <c r="CJ218" s="1243">
        <f t="shared" si="137"/>
        <v>1.8567085369714428E-5</v>
      </c>
      <c r="CK218" s="418"/>
      <c r="CL218" s="1232"/>
      <c r="CM218" s="1232"/>
      <c r="CN218" s="1232"/>
      <c r="CO218" s="1232"/>
      <c r="CP218" s="1232"/>
      <c r="CQ218" s="1232"/>
      <c r="CR218" s="418"/>
    </row>
    <row r="219" spans="1:96">
      <c r="A219" s="322"/>
      <c r="B219" s="1233">
        <v>2053</v>
      </c>
      <c r="C219" s="1234"/>
      <c r="D219" s="1423">
        <v>6.3696826615913207E-2</v>
      </c>
      <c r="E219" s="1271">
        <v>6.4222451016759483E-2</v>
      </c>
      <c r="F219" s="1271">
        <v>5.4370244584518501E-2</v>
      </c>
      <c r="G219" s="1271">
        <v>5.2107944372100777E-2</v>
      </c>
      <c r="H219" s="1423">
        <v>4.0441626093904115E-4</v>
      </c>
      <c r="I219" s="1241">
        <f t="shared" si="123"/>
        <v>7.545998311463048E-2</v>
      </c>
      <c r="J219" s="1242">
        <f t="shared" si="124"/>
        <v>7.6078748159306708E-2</v>
      </c>
      <c r="K219" s="1242">
        <f t="shared" si="125"/>
        <v>6.4480730747272633E-2</v>
      </c>
      <c r="L219" s="1243">
        <f t="shared" si="126"/>
        <v>6.1817550937214479E-2</v>
      </c>
      <c r="M219" s="1273">
        <v>76.462035505399513</v>
      </c>
      <c r="N219" s="1425">
        <v>0</v>
      </c>
      <c r="O219" s="1251">
        <f t="shared" si="138"/>
        <v>88.695961186263432</v>
      </c>
      <c r="P219" s="1253">
        <f t="shared" si="127"/>
        <v>0</v>
      </c>
      <c r="Q219" s="1255"/>
      <c r="R219" s="1270">
        <v>5.2796046612931039E-3</v>
      </c>
      <c r="S219" s="1271">
        <v>4.3554970260333732E-3</v>
      </c>
      <c r="T219" s="1271">
        <v>5.1858455213765744E-3</v>
      </c>
      <c r="U219" s="1272">
        <v>5.1596234626884131E-3</v>
      </c>
      <c r="V219" s="1261"/>
      <c r="W219" s="1262">
        <v>2053</v>
      </c>
      <c r="X219" s="1234"/>
      <c r="Y219" s="1270"/>
      <c r="Z219" s="1271"/>
      <c r="AA219" s="1271"/>
      <c r="AB219" s="1272"/>
      <c r="AC219" s="1273"/>
      <c r="AD219" s="1274"/>
      <c r="AE219" s="1280"/>
      <c r="AF219" s="1281"/>
      <c r="AG219" s="1282"/>
      <c r="AH219" s="1270">
        <v>0</v>
      </c>
      <c r="AI219" s="1271">
        <v>0</v>
      </c>
      <c r="AJ219" s="1271">
        <v>0</v>
      </c>
      <c r="AK219" s="1272">
        <v>0</v>
      </c>
      <c r="AL219" s="1273">
        <v>0</v>
      </c>
      <c r="AM219" s="1274">
        <v>0</v>
      </c>
      <c r="AN219" s="1280">
        <f t="shared" si="129"/>
        <v>0</v>
      </c>
      <c r="AO219" s="1281">
        <f t="shared" si="130"/>
        <v>0</v>
      </c>
      <c r="AP219" s="1282"/>
      <c r="AQ219" s="1289"/>
      <c r="AR219" s="1433">
        <v>1.5812198328875194E-5</v>
      </c>
      <c r="AS219" s="1261"/>
      <c r="AT219" s="1262"/>
      <c r="AU219" s="1291"/>
      <c r="AV219" s="1259"/>
      <c r="AW219" s="1240"/>
      <c r="AX219" s="1240"/>
      <c r="AY219" s="1260"/>
      <c r="AZ219" s="1293"/>
      <c r="BA219" s="1269"/>
      <c r="BB219" s="1286"/>
      <c r="BC219" s="1287"/>
      <c r="BD219" s="1294"/>
      <c r="BE219" s="1259"/>
      <c r="BF219" s="1240"/>
      <c r="BG219" s="1240"/>
      <c r="BH219" s="1260"/>
      <c r="BI219" s="1293"/>
      <c r="BJ219" s="1269"/>
      <c r="BK219" s="1286"/>
      <c r="BL219" s="1287"/>
      <c r="BM219" s="1294"/>
      <c r="BN219" s="1261"/>
      <c r="BO219" s="1262">
        <v>2053</v>
      </c>
      <c r="BP219" s="1234"/>
      <c r="BQ219" s="1469">
        <v>84.015984360902266</v>
      </c>
      <c r="BR219" s="1308"/>
      <c r="BS219" s="1309"/>
      <c r="BT219" s="1282"/>
      <c r="BU219" s="1308"/>
      <c r="BV219" s="1309"/>
      <c r="BW219" s="1282"/>
      <c r="BX219" s="1294"/>
      <c r="BY219" s="1282"/>
      <c r="BZ219" s="1261"/>
      <c r="CA219" s="1312"/>
      <c r="CB219" s="1313"/>
      <c r="CC219" s="1313"/>
      <c r="CD219" s="1314"/>
      <c r="CE219" s="1241">
        <f t="shared" si="133"/>
        <v>0</v>
      </c>
      <c r="CF219" s="1242">
        <f t="shared" si="134"/>
        <v>0</v>
      </c>
      <c r="CG219" s="1242">
        <f t="shared" si="135"/>
        <v>0</v>
      </c>
      <c r="CH219" s="1243">
        <f t="shared" si="136"/>
        <v>0</v>
      </c>
      <c r="CI219" s="1312"/>
      <c r="CJ219" s="1243">
        <f t="shared" si="137"/>
        <v>1.861411987275188E-5</v>
      </c>
      <c r="CK219" s="418"/>
      <c r="CL219" s="1232"/>
      <c r="CM219" s="1232"/>
      <c r="CN219" s="1232"/>
      <c r="CO219" s="1232"/>
      <c r="CP219" s="1232"/>
      <c r="CQ219" s="1232"/>
      <c r="CR219" s="418"/>
    </row>
    <row r="220" spans="1:96">
      <c r="A220" s="322"/>
      <c r="B220" s="1233">
        <v>2054</v>
      </c>
      <c r="C220" s="1234"/>
      <c r="D220" s="1423">
        <v>6.4539121059669122E-2</v>
      </c>
      <c r="E220" s="1271">
        <v>6.5098084419440094E-2</v>
      </c>
      <c r="F220" s="1271">
        <v>5.5515355894421622E-2</v>
      </c>
      <c r="G220" s="1271">
        <v>5.3248680166480114E-2</v>
      </c>
      <c r="H220" s="1423">
        <v>3.5229036375581264E-4</v>
      </c>
      <c r="I220" s="1241">
        <f t="shared" si="123"/>
        <v>7.6390169527655843E-2</v>
      </c>
      <c r="J220" s="1242">
        <f t="shared" si="124"/>
        <v>7.7048181194778229E-2</v>
      </c>
      <c r="K220" s="1242">
        <f t="shared" si="125"/>
        <v>6.576739317512649E-2</v>
      </c>
      <c r="L220" s="1243">
        <f t="shared" si="126"/>
        <v>6.3099062508193748E-2</v>
      </c>
      <c r="M220" s="1273">
        <v>78.854397362672913</v>
      </c>
      <c r="N220" s="1425">
        <v>0</v>
      </c>
      <c r="O220" s="1251">
        <f t="shared" si="138"/>
        <v>91.471100940700566</v>
      </c>
      <c r="P220" s="1253">
        <f t="shared" si="127"/>
        <v>0</v>
      </c>
      <c r="Q220" s="1255"/>
      <c r="R220" s="1270">
        <v>4.8612992599064231E-3</v>
      </c>
      <c r="S220" s="1271">
        <v>3.9680011731820257E-3</v>
      </c>
      <c r="T220" s="1271">
        <v>4.7448094545661798E-3</v>
      </c>
      <c r="U220" s="1272">
        <v>4.7086564338649634E-3</v>
      </c>
      <c r="V220" s="1261"/>
      <c r="W220" s="1262">
        <v>2054</v>
      </c>
      <c r="X220" s="1234"/>
      <c r="Y220" s="1270"/>
      <c r="Z220" s="1271"/>
      <c r="AA220" s="1271"/>
      <c r="AB220" s="1272"/>
      <c r="AC220" s="1273"/>
      <c r="AD220" s="1274"/>
      <c r="AE220" s="1280"/>
      <c r="AF220" s="1281"/>
      <c r="AG220" s="1282"/>
      <c r="AH220" s="1270">
        <v>0</v>
      </c>
      <c r="AI220" s="1271">
        <v>0</v>
      </c>
      <c r="AJ220" s="1271">
        <v>0</v>
      </c>
      <c r="AK220" s="1272">
        <v>0</v>
      </c>
      <c r="AL220" s="1273">
        <v>0</v>
      </c>
      <c r="AM220" s="1274">
        <v>0</v>
      </c>
      <c r="AN220" s="1280">
        <f t="shared" si="129"/>
        <v>0</v>
      </c>
      <c r="AO220" s="1281">
        <f t="shared" si="130"/>
        <v>0</v>
      </c>
      <c r="AP220" s="1282"/>
      <c r="AQ220" s="1289"/>
      <c r="AR220" s="1433">
        <v>1.585225409829291E-5</v>
      </c>
      <c r="AS220" s="1261"/>
      <c r="AT220" s="1262"/>
      <c r="AU220" s="1291"/>
      <c r="AV220" s="1259"/>
      <c r="AW220" s="1240"/>
      <c r="AX220" s="1240"/>
      <c r="AY220" s="1260"/>
      <c r="AZ220" s="1293"/>
      <c r="BA220" s="1269"/>
      <c r="BB220" s="1286"/>
      <c r="BC220" s="1287"/>
      <c r="BD220" s="1294"/>
      <c r="BE220" s="1259"/>
      <c r="BF220" s="1240"/>
      <c r="BG220" s="1240"/>
      <c r="BH220" s="1260"/>
      <c r="BI220" s="1293"/>
      <c r="BJ220" s="1269"/>
      <c r="BK220" s="1286"/>
      <c r="BL220" s="1287"/>
      <c r="BM220" s="1294"/>
      <c r="BN220" s="1261"/>
      <c r="BO220" s="1262">
        <v>2054</v>
      </c>
      <c r="BP220" s="1234"/>
      <c r="BQ220" s="1469">
        <v>84.015984360902266</v>
      </c>
      <c r="BR220" s="1308"/>
      <c r="BS220" s="1309"/>
      <c r="BT220" s="1282"/>
      <c r="BU220" s="1308"/>
      <c r="BV220" s="1309"/>
      <c r="BW220" s="1282"/>
      <c r="BX220" s="1294"/>
      <c r="BY220" s="1282"/>
      <c r="BZ220" s="1261"/>
      <c r="CA220" s="1312"/>
      <c r="CB220" s="1313"/>
      <c r="CC220" s="1313"/>
      <c r="CD220" s="1314"/>
      <c r="CE220" s="1241">
        <f t="shared" si="133"/>
        <v>0</v>
      </c>
      <c r="CF220" s="1242">
        <f t="shared" si="134"/>
        <v>0</v>
      </c>
      <c r="CG220" s="1242">
        <f t="shared" si="135"/>
        <v>0</v>
      </c>
      <c r="CH220" s="1243">
        <f t="shared" si="136"/>
        <v>0</v>
      </c>
      <c r="CI220" s="1312"/>
      <c r="CJ220" s="1243">
        <f t="shared" si="137"/>
        <v>1.8661273524510417E-5</v>
      </c>
      <c r="CK220" s="418"/>
      <c r="CL220" s="1232"/>
      <c r="CM220" s="1232"/>
      <c r="CN220" s="1232"/>
      <c r="CO220" s="1232"/>
      <c r="CP220" s="1232"/>
      <c r="CQ220" s="1232"/>
      <c r="CR220" s="418"/>
    </row>
    <row r="221" spans="1:96" ht="13.5" thickBot="1">
      <c r="A221" s="322"/>
      <c r="B221" s="1235">
        <v>2055</v>
      </c>
      <c r="C221" s="1236"/>
      <c r="D221" s="1424">
        <v>6.539255357682168E-2</v>
      </c>
      <c r="E221" s="1276">
        <v>6.5985656542050436E-2</v>
      </c>
      <c r="F221" s="1276">
        <v>5.668458480618746E-2</v>
      </c>
      <c r="G221" s="1276">
        <v>5.4414388700971511E-2</v>
      </c>
      <c r="H221" s="1424">
        <v>3.0688306179140016E-4</v>
      </c>
      <c r="I221" s="1244">
        <f t="shared" si="123"/>
        <v>7.7341376810975332E-2</v>
      </c>
      <c r="J221" s="1245">
        <f t="shared" si="124"/>
        <v>7.8039577621642625E-2</v>
      </c>
      <c r="K221" s="1245">
        <f t="shared" si="125"/>
        <v>6.7090355974184723E-2</v>
      </c>
      <c r="L221" s="1246">
        <f t="shared" si="126"/>
        <v>6.4417881119124498E-2</v>
      </c>
      <c r="M221" s="1278">
        <v>81.321611991237404</v>
      </c>
      <c r="N221" s="1426">
        <v>0</v>
      </c>
      <c r="O221" s="1252">
        <f t="shared" si="138"/>
        <v>94.333069909835388</v>
      </c>
      <c r="P221" s="1254">
        <f t="shared" si="127"/>
        <v>0</v>
      </c>
      <c r="Q221" s="1256"/>
      <c r="R221" s="1275">
        <v>4.4761363796088907E-3</v>
      </c>
      <c r="S221" s="1276">
        <v>3.6149796949151419E-3</v>
      </c>
      <c r="T221" s="1276">
        <v>4.341281796254608E-3</v>
      </c>
      <c r="U221" s="1277">
        <v>4.2971053164072405E-3</v>
      </c>
      <c r="V221" s="1263"/>
      <c r="W221" s="1264">
        <v>2055</v>
      </c>
      <c r="X221" s="1236"/>
      <c r="Y221" s="1275"/>
      <c r="Z221" s="1276"/>
      <c r="AA221" s="1276"/>
      <c r="AB221" s="1277"/>
      <c r="AC221" s="1278"/>
      <c r="AD221" s="1279"/>
      <c r="AE221" s="1283"/>
      <c r="AF221" s="1284"/>
      <c r="AG221" s="1285"/>
      <c r="AH221" s="1275">
        <v>0</v>
      </c>
      <c r="AI221" s="1276">
        <v>0</v>
      </c>
      <c r="AJ221" s="1276">
        <v>0</v>
      </c>
      <c r="AK221" s="1277">
        <v>0</v>
      </c>
      <c r="AL221" s="1278">
        <v>0</v>
      </c>
      <c r="AM221" s="1279">
        <v>0</v>
      </c>
      <c r="AN221" s="1283">
        <f t="shared" si="129"/>
        <v>0</v>
      </c>
      <c r="AO221" s="1284">
        <f t="shared" si="130"/>
        <v>0</v>
      </c>
      <c r="AP221" s="1285"/>
      <c r="AQ221" s="1290"/>
      <c r="AR221" s="1434">
        <v>1.5892411337767494E-5</v>
      </c>
      <c r="AS221" s="1263"/>
      <c r="AT221" s="1264"/>
      <c r="AU221" s="1292"/>
      <c r="AV221" s="1295"/>
      <c r="AW221" s="1296"/>
      <c r="AX221" s="1296"/>
      <c r="AY221" s="1297"/>
      <c r="AZ221" s="1298"/>
      <c r="BA221" s="1299"/>
      <c r="BB221" s="1300"/>
      <c r="BC221" s="1301"/>
      <c r="BD221" s="1302"/>
      <c r="BE221" s="1295"/>
      <c r="BF221" s="1296"/>
      <c r="BG221" s="1296"/>
      <c r="BH221" s="1297"/>
      <c r="BI221" s="1298"/>
      <c r="BJ221" s="1299"/>
      <c r="BK221" s="1300"/>
      <c r="BL221" s="1301"/>
      <c r="BM221" s="1302"/>
      <c r="BN221" s="1263"/>
      <c r="BO221" s="1264">
        <v>2055</v>
      </c>
      <c r="BP221" s="1236"/>
      <c r="BQ221" s="1470">
        <v>84.015984360902266</v>
      </c>
      <c r="BR221" s="1310"/>
      <c r="BS221" s="1311"/>
      <c r="BT221" s="1285"/>
      <c r="BU221" s="1310"/>
      <c r="BV221" s="1311"/>
      <c r="BW221" s="1285"/>
      <c r="BX221" s="1302"/>
      <c r="BY221" s="1285"/>
      <c r="BZ221" s="1263"/>
      <c r="CA221" s="1315"/>
      <c r="CB221" s="1316"/>
      <c r="CC221" s="1316"/>
      <c r="CD221" s="1317"/>
      <c r="CE221" s="1244">
        <f t="shared" si="133"/>
        <v>0</v>
      </c>
      <c r="CF221" s="1245">
        <f t="shared" si="134"/>
        <v>0</v>
      </c>
      <c r="CG221" s="1245">
        <f t="shared" si="135"/>
        <v>0</v>
      </c>
      <c r="CH221" s="1246">
        <f t="shared" si="136"/>
        <v>0</v>
      </c>
      <c r="CI221" s="1315"/>
      <c r="CJ221" s="1246">
        <f t="shared" si="137"/>
        <v>1.8708546626819897E-5</v>
      </c>
      <c r="CK221" s="418"/>
      <c r="CL221" s="1232"/>
      <c r="CM221" s="1232"/>
      <c r="CN221" s="1232"/>
      <c r="CO221" s="1232"/>
      <c r="CP221" s="1232"/>
      <c r="CQ221" s="1232"/>
      <c r="CR221" s="418"/>
    </row>
    <row r="222" spans="1:96" ht="13.5" thickTop="1">
      <c r="A222" s="322"/>
      <c r="B222" s="325"/>
      <c r="BX222" s="201"/>
      <c r="BY222" s="201"/>
      <c r="BZ222" s="201"/>
    </row>
    <row r="223" spans="1:96" ht="13.5" thickBot="1">
      <c r="A223" s="322"/>
      <c r="B223" s="325"/>
      <c r="BX223" s="201"/>
      <c r="BY223" s="201"/>
      <c r="BZ223" s="201"/>
    </row>
    <row r="224" spans="1:96" ht="35.25" thickTop="1" thickBot="1">
      <c r="A224" s="322"/>
      <c r="B224" s="578" t="s">
        <v>607</v>
      </c>
      <c r="C224" s="579"/>
      <c r="D224" s="579"/>
      <c r="E224" s="579"/>
      <c r="F224" s="579"/>
      <c r="G224" s="579"/>
      <c r="H224" s="579"/>
      <c r="I224" s="579"/>
      <c r="J224" s="579"/>
      <c r="K224" s="579"/>
      <c r="L224" s="579"/>
      <c r="M224" s="579"/>
      <c r="N224" s="579"/>
      <c r="O224" s="579"/>
      <c r="P224" s="579"/>
      <c r="Q224" s="579"/>
      <c r="R224" s="579"/>
      <c r="S224" s="579"/>
      <c r="T224" s="579"/>
      <c r="U224" s="579"/>
      <c r="V224" s="579"/>
      <c r="W224" s="579"/>
      <c r="X224" s="579"/>
      <c r="Y224" s="579"/>
      <c r="Z224" s="579"/>
      <c r="AA224" s="579"/>
      <c r="AB224" s="579"/>
      <c r="AC224" s="579"/>
      <c r="AD224" s="579"/>
      <c r="AE224" s="579"/>
      <c r="AF224" s="579"/>
      <c r="AG224" s="580"/>
      <c r="BX224" s="201"/>
      <c r="BY224" s="201"/>
      <c r="BZ224" s="201"/>
    </row>
    <row r="225" spans="1:78" ht="24" thickTop="1">
      <c r="A225" s="322"/>
      <c r="B225" s="1410" t="s">
        <v>979</v>
      </c>
      <c r="C225" s="1398"/>
      <c r="D225" s="1398"/>
      <c r="E225" s="1398"/>
      <c r="F225" s="1398"/>
      <c r="G225" s="1398"/>
      <c r="H225" s="1398"/>
      <c r="I225" s="1398"/>
      <c r="J225" s="1398"/>
      <c r="K225" s="1398"/>
      <c r="L225" s="1398"/>
      <c r="M225" s="1402"/>
      <c r="N225" s="422"/>
      <c r="O225" s="422"/>
      <c r="P225" s="1401" t="str">
        <f>B225</f>
        <v>AESC 2021 Appendix C Workbooks - May, 2021 FINAL</v>
      </c>
      <c r="Q225" s="1398"/>
      <c r="R225" s="1398"/>
      <c r="S225" s="1398"/>
      <c r="T225" s="1398"/>
      <c r="U225" s="1398"/>
      <c r="V225" s="1398"/>
      <c r="W225" s="1398"/>
      <c r="X225" s="1398"/>
      <c r="Y225" s="1398"/>
      <c r="Z225" s="1398"/>
      <c r="AA225" s="1398"/>
      <c r="AB225" s="1398"/>
      <c r="AC225" s="1402"/>
      <c r="AD225" s="1398"/>
      <c r="AE225" s="1398"/>
      <c r="AF225" s="1398"/>
      <c r="AG225" s="1403"/>
      <c r="BW225" s="201"/>
      <c r="BX225" s="201"/>
      <c r="BY225" s="201"/>
    </row>
    <row r="226" spans="1:78" s="323" customFormat="1">
      <c r="A226" s="322"/>
      <c r="B226" s="1411">
        <v>1</v>
      </c>
      <c r="C226" s="1405">
        <f>B226+1</f>
        <v>2</v>
      </c>
      <c r="D226" s="1406">
        <f t="shared" ref="D226:M226" si="139">C226+1</f>
        <v>3</v>
      </c>
      <c r="E226" s="1406">
        <f t="shared" si="139"/>
        <v>4</v>
      </c>
      <c r="F226" s="1406">
        <f t="shared" si="139"/>
        <v>5</v>
      </c>
      <c r="G226" s="1406">
        <f t="shared" si="139"/>
        <v>6</v>
      </c>
      <c r="H226" s="1405">
        <f t="shared" si="139"/>
        <v>7</v>
      </c>
      <c r="I226" s="1406">
        <f t="shared" si="139"/>
        <v>8</v>
      </c>
      <c r="J226" s="1406">
        <f t="shared" si="139"/>
        <v>9</v>
      </c>
      <c r="K226" s="1406">
        <f t="shared" si="139"/>
        <v>10</v>
      </c>
      <c r="L226" s="1405">
        <f t="shared" si="139"/>
        <v>11</v>
      </c>
      <c r="M226" s="1407">
        <f t="shared" si="139"/>
        <v>12</v>
      </c>
      <c r="N226" s="416">
        <f t="shared" ref="N226:AG226" si="140">M226+1</f>
        <v>13</v>
      </c>
      <c r="O226" s="416">
        <f t="shared" si="140"/>
        <v>14</v>
      </c>
      <c r="P226" s="1404">
        <f t="shared" si="140"/>
        <v>15</v>
      </c>
      <c r="Q226" s="1405">
        <f t="shared" si="140"/>
        <v>16</v>
      </c>
      <c r="R226" s="1406">
        <f t="shared" si="140"/>
        <v>17</v>
      </c>
      <c r="S226" s="1405">
        <f t="shared" si="140"/>
        <v>18</v>
      </c>
      <c r="T226" s="1406">
        <f t="shared" si="140"/>
        <v>19</v>
      </c>
      <c r="U226" s="1406">
        <f t="shared" si="140"/>
        <v>20</v>
      </c>
      <c r="V226" s="1406">
        <f t="shared" si="140"/>
        <v>21</v>
      </c>
      <c r="W226" s="1406">
        <f t="shared" si="140"/>
        <v>22</v>
      </c>
      <c r="X226" s="1405">
        <f t="shared" si="140"/>
        <v>23</v>
      </c>
      <c r="Y226" s="1406">
        <f t="shared" si="140"/>
        <v>24</v>
      </c>
      <c r="Z226" s="1406">
        <f t="shared" si="140"/>
        <v>25</v>
      </c>
      <c r="AA226" s="1406">
        <f t="shared" si="140"/>
        <v>26</v>
      </c>
      <c r="AB226" s="1405">
        <f t="shared" si="140"/>
        <v>27</v>
      </c>
      <c r="AC226" s="1407">
        <f t="shared" si="140"/>
        <v>28</v>
      </c>
      <c r="AD226" s="1405">
        <f t="shared" si="140"/>
        <v>29</v>
      </c>
      <c r="AE226" s="1405">
        <f t="shared" si="140"/>
        <v>30</v>
      </c>
      <c r="AF226" s="1405">
        <f t="shared" si="140"/>
        <v>31</v>
      </c>
      <c r="AG226" s="1408">
        <f t="shared" si="140"/>
        <v>32</v>
      </c>
      <c r="AH226" s="321"/>
      <c r="AI226" s="321"/>
      <c r="AJ226" s="321"/>
      <c r="AK226" s="321"/>
      <c r="AL226" s="321"/>
      <c r="AM226" s="321"/>
      <c r="AN226" s="321"/>
      <c r="AO226" s="321"/>
      <c r="AP226" s="321"/>
      <c r="AQ226" s="321"/>
      <c r="AR226" s="321"/>
      <c r="AS226" s="321"/>
      <c r="AT226" s="321"/>
      <c r="AU226" s="321"/>
      <c r="AV226" s="321"/>
      <c r="AW226" s="321"/>
      <c r="AX226" s="321"/>
      <c r="AY226" s="321"/>
      <c r="AZ226" s="321"/>
      <c r="BA226" s="321"/>
      <c r="BB226" s="321"/>
      <c r="BC226" s="321"/>
      <c r="BD226" s="321"/>
      <c r="BE226" s="321"/>
      <c r="BF226" s="321"/>
      <c r="BG226" s="321"/>
      <c r="BH226" s="321"/>
      <c r="BI226" s="321"/>
      <c r="BJ226" s="321"/>
      <c r="BK226" s="321"/>
      <c r="BL226" s="321"/>
      <c r="BM226" s="321"/>
      <c r="BN226" s="321"/>
      <c r="BO226" s="321"/>
      <c r="BP226" s="321"/>
      <c r="BQ226" s="321"/>
      <c r="BR226" s="321"/>
      <c r="BS226" s="321"/>
      <c r="BT226" s="321"/>
      <c r="BU226" s="321"/>
      <c r="BV226" s="321"/>
      <c r="BW226" s="201"/>
      <c r="BX226" s="201"/>
      <c r="BY226" s="201"/>
    </row>
    <row r="227" spans="1:78" ht="18">
      <c r="A227" s="322"/>
      <c r="B227" s="581" t="s">
        <v>980</v>
      </c>
      <c r="C227" s="1261"/>
      <c r="D227" s="1261"/>
      <c r="E227" s="1261"/>
      <c r="F227" s="1261"/>
      <c r="G227" s="1261"/>
      <c r="H227" s="1261"/>
      <c r="I227" s="1261"/>
      <c r="J227" s="1261"/>
      <c r="K227" s="1261"/>
      <c r="L227" s="1261"/>
      <c r="M227" s="1412"/>
      <c r="N227" s="418"/>
      <c r="O227" s="418"/>
      <c r="P227" s="582" t="s">
        <v>978</v>
      </c>
      <c r="Q227" s="1398"/>
      <c r="R227" s="1398"/>
      <c r="S227" s="1398"/>
      <c r="T227" s="1398"/>
      <c r="U227" s="1398"/>
      <c r="V227" s="1398"/>
      <c r="W227" s="1398"/>
      <c r="X227" s="1398"/>
      <c r="Y227" s="1398"/>
      <c r="Z227" s="1398"/>
      <c r="AA227" s="1398"/>
      <c r="AB227" s="1398"/>
      <c r="AC227" s="1402"/>
      <c r="AD227" s="1398"/>
      <c r="AE227" s="1398"/>
      <c r="AF227" s="1398"/>
      <c r="AG227" s="1403"/>
      <c r="BX227" s="201"/>
      <c r="BY227" s="201"/>
      <c r="BZ227" s="201"/>
    </row>
    <row r="228" spans="1:78">
      <c r="A228" s="322"/>
      <c r="B228" s="434"/>
      <c r="C228" s="417"/>
      <c r="D228" s="418"/>
      <c r="E228" s="418"/>
      <c r="F228" s="418"/>
      <c r="G228" s="418"/>
      <c r="H228" s="418"/>
      <c r="I228" s="418"/>
      <c r="J228" s="418"/>
      <c r="K228" s="418"/>
      <c r="L228" s="418"/>
      <c r="M228" s="430"/>
      <c r="N228" s="418"/>
      <c r="O228" s="418"/>
      <c r="P228" s="1409"/>
      <c r="Q228" s="1398"/>
      <c r="R228" s="1398"/>
      <c r="S228" s="1398"/>
      <c r="T228" s="1398"/>
      <c r="U228" s="1398"/>
      <c r="V228" s="1398"/>
      <c r="W228" s="1398"/>
      <c r="X228" s="1398"/>
      <c r="Y228" s="1398"/>
      <c r="Z228" s="1398"/>
      <c r="AA228" s="1398"/>
      <c r="AB228" s="1398"/>
      <c r="AC228" s="1402"/>
      <c r="AD228" s="1398"/>
      <c r="AE228" s="1398"/>
      <c r="AF228" s="1398"/>
      <c r="AG228" s="1403"/>
      <c r="BX228" s="201"/>
      <c r="BY228" s="201"/>
      <c r="BZ228" s="201"/>
    </row>
    <row r="229" spans="1:78" ht="18.75" thickBot="1">
      <c r="A229" s="322"/>
      <c r="B229" s="437"/>
      <c r="C229" s="419"/>
      <c r="D229" s="419"/>
      <c r="E229" s="419"/>
      <c r="F229" s="419"/>
      <c r="G229" s="419"/>
      <c r="H229" s="419"/>
      <c r="I229" s="419"/>
      <c r="J229" s="419"/>
      <c r="K229" s="419"/>
      <c r="L229" s="419"/>
      <c r="M229" s="583"/>
      <c r="N229" s="418"/>
      <c r="O229" s="422"/>
      <c r="P229" s="431"/>
      <c r="Q229" s="419"/>
      <c r="R229" s="1699" t="s">
        <v>494</v>
      </c>
      <c r="S229" s="429"/>
      <c r="T229" s="1696" t="s">
        <v>495</v>
      </c>
      <c r="U229" s="1697"/>
      <c r="V229" s="1697"/>
      <c r="W229" s="1697"/>
      <c r="X229" s="1697"/>
      <c r="Y229" s="1697"/>
      <c r="Z229" s="1697"/>
      <c r="AA229" s="1697"/>
      <c r="AB229" s="1697"/>
      <c r="AC229" s="1698"/>
      <c r="AD229" s="422"/>
      <c r="AE229" s="422"/>
      <c r="AF229" s="422"/>
      <c r="AG229" s="435"/>
      <c r="AH229" s="584"/>
      <c r="AI229" s="584"/>
      <c r="AJ229" s="584"/>
      <c r="AK229" s="584"/>
      <c r="AL229" s="584"/>
      <c r="AM229" s="584"/>
      <c r="AN229" s="584"/>
      <c r="AO229" s="584"/>
      <c r="AP229" s="584"/>
      <c r="AQ229" s="584"/>
      <c r="AR229" s="584"/>
      <c r="AS229" s="584"/>
      <c r="AT229" s="584"/>
      <c r="AU229" s="584"/>
      <c r="AV229" s="584"/>
      <c r="AW229" s="584"/>
      <c r="AX229" s="584"/>
      <c r="AY229" s="584"/>
      <c r="AZ229" s="584"/>
      <c r="BA229" s="584"/>
      <c r="BB229" s="584"/>
      <c r="BC229" s="584"/>
      <c r="BD229" s="584"/>
      <c r="BE229" s="584"/>
      <c r="BF229" s="584"/>
      <c r="BG229" s="584"/>
      <c r="BH229" s="584"/>
      <c r="BI229" s="584"/>
      <c r="BJ229" s="584"/>
      <c r="BK229" s="584"/>
      <c r="BL229" s="584"/>
      <c r="BM229" s="584"/>
      <c r="BN229" s="584"/>
      <c r="BO229" s="584"/>
      <c r="BP229" s="584"/>
      <c r="BQ229" s="584"/>
      <c r="BW229" s="201"/>
      <c r="BX229" s="201"/>
      <c r="BY229" s="201"/>
    </row>
    <row r="230" spans="1:78" ht="18">
      <c r="A230" s="322"/>
      <c r="B230" s="437"/>
      <c r="C230" s="419"/>
      <c r="D230" s="1583" t="s">
        <v>64</v>
      </c>
      <c r="E230" s="1584"/>
      <c r="F230" s="1584"/>
      <c r="G230" s="1585"/>
      <c r="H230" s="423"/>
      <c r="I230" s="1586" t="s">
        <v>65</v>
      </c>
      <c r="J230" s="1584"/>
      <c r="K230" s="1585"/>
      <c r="L230" s="423"/>
      <c r="M230" s="1587" t="s">
        <v>104</v>
      </c>
      <c r="N230" s="418"/>
      <c r="O230" s="422"/>
      <c r="P230" s="431"/>
      <c r="Q230" s="419"/>
      <c r="R230" s="1699"/>
      <c r="S230" s="429"/>
      <c r="T230" s="1705" t="s">
        <v>64</v>
      </c>
      <c r="U230" s="1706"/>
      <c r="V230" s="1706"/>
      <c r="W230" s="1707"/>
      <c r="X230" s="429"/>
      <c r="Y230" s="1705" t="s">
        <v>65</v>
      </c>
      <c r="Z230" s="1706"/>
      <c r="AA230" s="1707"/>
      <c r="AB230" s="429"/>
      <c r="AC230" s="1708" t="s">
        <v>104</v>
      </c>
      <c r="AD230" s="422"/>
      <c r="AE230" s="1709" t="s">
        <v>976</v>
      </c>
      <c r="AF230" s="1710"/>
      <c r="AG230" s="1711"/>
      <c r="AH230" s="584"/>
      <c r="AI230" s="584"/>
      <c r="AJ230" s="584"/>
      <c r="AK230" s="584"/>
      <c r="AL230" s="584"/>
      <c r="AM230" s="584"/>
      <c r="AN230" s="584"/>
      <c r="AO230" s="584"/>
      <c r="AP230" s="584"/>
      <c r="AQ230" s="584"/>
      <c r="AR230" s="584"/>
      <c r="AS230" s="584"/>
      <c r="AT230" s="584"/>
      <c r="AU230" s="584"/>
      <c r="AV230" s="584"/>
      <c r="AW230" s="584"/>
      <c r="AX230" s="584"/>
      <c r="AY230" s="584"/>
      <c r="AZ230" s="584"/>
      <c r="BA230" s="584"/>
      <c r="BB230" s="584"/>
      <c r="BC230" s="584"/>
      <c r="BD230" s="584"/>
      <c r="BE230" s="584"/>
      <c r="BF230" s="584"/>
      <c r="BG230" s="584"/>
      <c r="BH230" s="584"/>
      <c r="BI230" s="584"/>
      <c r="BJ230" s="584"/>
      <c r="BK230" s="584"/>
      <c r="BL230" s="584"/>
      <c r="BM230" s="584"/>
      <c r="BN230" s="584"/>
      <c r="BO230" s="584"/>
      <c r="BP230" s="584"/>
      <c r="BQ230" s="584"/>
      <c r="BW230" s="201"/>
      <c r="BX230" s="201"/>
      <c r="BY230" s="201"/>
    </row>
    <row r="231" spans="1:78" ht="18">
      <c r="A231" s="322"/>
      <c r="B231" s="436" t="s">
        <v>74</v>
      </c>
      <c r="C231" s="419"/>
      <c r="D231" s="424" t="s">
        <v>105</v>
      </c>
      <c r="E231" s="425" t="s">
        <v>34</v>
      </c>
      <c r="F231" s="425" t="s">
        <v>71</v>
      </c>
      <c r="G231" s="426" t="s">
        <v>72</v>
      </c>
      <c r="H231" s="427"/>
      <c r="I231" s="428" t="s">
        <v>105</v>
      </c>
      <c r="J231" s="425" t="s">
        <v>71</v>
      </c>
      <c r="K231" s="426" t="s">
        <v>72</v>
      </c>
      <c r="L231" s="429"/>
      <c r="M231" s="1588"/>
      <c r="N231" s="418"/>
      <c r="O231" s="422"/>
      <c r="P231" s="1700" t="s">
        <v>74</v>
      </c>
      <c r="Q231" s="1701"/>
      <c r="R231" s="1699"/>
      <c r="S231" s="429"/>
      <c r="T231" s="428" t="s">
        <v>105</v>
      </c>
      <c r="U231" s="425" t="s">
        <v>34</v>
      </c>
      <c r="V231" s="425" t="s">
        <v>71</v>
      </c>
      <c r="W231" s="426" t="s">
        <v>72</v>
      </c>
      <c r="X231" s="427"/>
      <c r="Y231" s="428" t="s">
        <v>105</v>
      </c>
      <c r="Z231" s="425" t="s">
        <v>71</v>
      </c>
      <c r="AA231" s="426" t="s">
        <v>72</v>
      </c>
      <c r="AB231" s="429"/>
      <c r="AC231" s="1588"/>
      <c r="AD231" s="422"/>
      <c r="AE231" s="1712"/>
      <c r="AF231" s="1713"/>
      <c r="AG231" s="1714"/>
      <c r="AH231" s="584"/>
      <c r="AI231" s="584"/>
      <c r="AJ231" s="584"/>
      <c r="AK231" s="584"/>
      <c r="AL231" s="584"/>
      <c r="AM231" s="584"/>
      <c r="AN231" s="584"/>
      <c r="AO231" s="584"/>
      <c r="AP231" s="584"/>
      <c r="AQ231" s="584"/>
      <c r="AR231" s="584"/>
      <c r="AS231" s="584"/>
      <c r="AT231" s="584"/>
      <c r="AU231" s="584"/>
      <c r="AV231" s="584"/>
      <c r="AW231" s="584"/>
      <c r="AX231" s="584"/>
      <c r="AY231" s="584"/>
      <c r="AZ231" s="584"/>
      <c r="BA231" s="584"/>
      <c r="BB231" s="584"/>
      <c r="BC231" s="584"/>
      <c r="BD231" s="584"/>
      <c r="BE231" s="584"/>
      <c r="BF231" s="584"/>
      <c r="BG231" s="584"/>
      <c r="BH231" s="584"/>
      <c r="BI231" s="584"/>
      <c r="BJ231" s="584"/>
      <c r="BK231" s="584"/>
      <c r="BL231" s="584"/>
      <c r="BM231" s="584"/>
      <c r="BN231" s="584"/>
      <c r="BO231" s="584"/>
      <c r="BP231" s="584"/>
      <c r="BQ231" s="584"/>
      <c r="BW231" s="201"/>
      <c r="BX231" s="201"/>
      <c r="BY231" s="201"/>
    </row>
    <row r="232" spans="1:78" ht="13.5" thickBot="1">
      <c r="A232" s="322"/>
      <c r="B232" s="437"/>
      <c r="C232" s="419"/>
      <c r="D232" s="420"/>
      <c r="E232" s="421"/>
      <c r="F232" s="421"/>
      <c r="G232" s="421"/>
      <c r="H232" s="421"/>
      <c r="I232" s="421"/>
      <c r="J232" s="421"/>
      <c r="K232" s="421"/>
      <c r="L232" s="419"/>
      <c r="M232" s="432"/>
      <c r="N232" s="418"/>
      <c r="O232" s="422"/>
      <c r="P232" s="431"/>
      <c r="Q232" s="419"/>
      <c r="R232" s="419">
        <v>1</v>
      </c>
      <c r="S232" s="419"/>
      <c r="T232" s="421">
        <v>2</v>
      </c>
      <c r="U232" s="421">
        <v>3</v>
      </c>
      <c r="V232" s="421">
        <v>4</v>
      </c>
      <c r="W232" s="421">
        <v>5</v>
      </c>
      <c r="X232" s="421"/>
      <c r="Y232" s="421">
        <v>6</v>
      </c>
      <c r="Z232" s="421">
        <v>7</v>
      </c>
      <c r="AA232" s="421">
        <v>8</v>
      </c>
      <c r="AB232" s="419"/>
      <c r="AC232" s="432">
        <v>9</v>
      </c>
      <c r="AD232" s="422"/>
      <c r="AE232" s="439" t="s">
        <v>74</v>
      </c>
      <c r="AF232" s="1357"/>
      <c r="AG232" s="1358" t="s">
        <v>977</v>
      </c>
      <c r="AH232" s="585"/>
      <c r="AI232" s="585"/>
      <c r="AJ232" s="585"/>
      <c r="AK232" s="585"/>
      <c r="AL232" s="585"/>
      <c r="AM232" s="585"/>
      <c r="AN232" s="585"/>
      <c r="AO232" s="585"/>
      <c r="AP232" s="585"/>
      <c r="AQ232" s="585"/>
      <c r="AR232" s="585"/>
      <c r="AS232" s="585"/>
      <c r="AT232" s="585"/>
      <c r="AU232" s="585"/>
      <c r="AV232" s="585"/>
      <c r="AW232" s="585"/>
      <c r="AX232" s="585"/>
      <c r="AY232" s="585"/>
      <c r="AZ232" s="585"/>
      <c r="BA232" s="585"/>
      <c r="BB232" s="585"/>
      <c r="BC232" s="585"/>
      <c r="BD232" s="585"/>
      <c r="BE232" s="585"/>
      <c r="BF232" s="585"/>
      <c r="BG232" s="585"/>
      <c r="BH232" s="585"/>
      <c r="BI232" s="585"/>
      <c r="BJ232" s="585"/>
      <c r="BK232" s="585"/>
      <c r="BL232" s="585"/>
      <c r="BM232" s="585"/>
      <c r="BN232" s="585"/>
      <c r="BO232" s="585"/>
      <c r="BP232" s="585"/>
      <c r="BQ232" s="585"/>
      <c r="BW232" s="201"/>
      <c r="BX232" s="201"/>
      <c r="BY232" s="201"/>
    </row>
    <row r="233" spans="1:78">
      <c r="A233" s="322"/>
      <c r="B233" s="437">
        <v>2018</v>
      </c>
      <c r="C233" s="419"/>
      <c r="D233" s="1370"/>
      <c r="E233" s="1371"/>
      <c r="F233" s="1371"/>
      <c r="G233" s="1372"/>
      <c r="H233" s="1373"/>
      <c r="I233" s="1374"/>
      <c r="J233" s="1371"/>
      <c r="K233" s="1372"/>
      <c r="L233" s="1373"/>
      <c r="M233" s="1375"/>
      <c r="N233" s="433"/>
      <c r="O233" s="422"/>
      <c r="P233" s="1562">
        <v>2018</v>
      </c>
      <c r="Q233" s="1563"/>
      <c r="R233" s="1389"/>
      <c r="S233" s="1390"/>
      <c r="T233" s="1391"/>
      <c r="U233" s="1392"/>
      <c r="V233" s="1392"/>
      <c r="W233" s="586"/>
      <c r="X233" s="1392"/>
      <c r="Y233" s="1391"/>
      <c r="Z233" s="1392"/>
      <c r="AA233" s="586"/>
      <c r="AB233" s="1392"/>
      <c r="AC233" s="1393"/>
      <c r="AD233" s="422"/>
      <c r="AE233" s="1359"/>
      <c r="AF233" s="1360"/>
      <c r="AG233" s="1361"/>
      <c r="AH233" s="585"/>
      <c r="AI233" s="585"/>
      <c r="AJ233" s="585"/>
      <c r="AK233" s="585"/>
      <c r="AL233" s="585"/>
      <c r="AM233" s="585"/>
      <c r="AN233" s="585"/>
      <c r="AO233" s="585"/>
      <c r="AP233" s="585"/>
      <c r="AQ233" s="585"/>
      <c r="AR233" s="585"/>
      <c r="AS233" s="585"/>
      <c r="AT233" s="585"/>
      <c r="AU233" s="585"/>
      <c r="AV233" s="585"/>
      <c r="AW233" s="585"/>
      <c r="AX233" s="585"/>
      <c r="AY233" s="585"/>
      <c r="AZ233" s="585"/>
      <c r="BA233" s="585"/>
      <c r="BB233" s="585"/>
      <c r="BC233" s="585"/>
      <c r="BD233" s="585"/>
      <c r="BE233" s="585"/>
      <c r="BF233" s="585"/>
      <c r="BG233" s="585"/>
      <c r="BH233" s="585"/>
      <c r="BI233" s="585"/>
      <c r="BJ233" s="585"/>
      <c r="BK233" s="585"/>
      <c r="BL233" s="585"/>
      <c r="BM233" s="585"/>
      <c r="BN233" s="585"/>
      <c r="BO233" s="585"/>
      <c r="BP233" s="585"/>
      <c r="BQ233" s="585"/>
      <c r="BW233" s="201"/>
      <c r="BX233" s="201"/>
      <c r="BY233" s="201"/>
    </row>
    <row r="234" spans="1:78">
      <c r="A234" s="322"/>
      <c r="B234" s="437">
        <v>2019</v>
      </c>
      <c r="C234" s="419"/>
      <c r="D234" s="1376"/>
      <c r="E234" s="1373"/>
      <c r="F234" s="1373"/>
      <c r="G234" s="1377"/>
      <c r="H234" s="1373"/>
      <c r="I234" s="1378"/>
      <c r="J234" s="1373"/>
      <c r="K234" s="1377"/>
      <c r="L234" s="1373"/>
      <c r="M234" s="1379"/>
      <c r="N234" s="433"/>
      <c r="O234" s="422"/>
      <c r="P234" s="1562">
        <v>2019</v>
      </c>
      <c r="Q234" s="1563"/>
      <c r="R234" s="1394"/>
      <c r="S234" s="1386"/>
      <c r="T234" s="1378"/>
      <c r="U234" s="1373"/>
      <c r="V234" s="1373"/>
      <c r="W234" s="1377"/>
      <c r="X234" s="1373"/>
      <c r="Y234" s="1378"/>
      <c r="Z234" s="1373"/>
      <c r="AA234" s="1377"/>
      <c r="AB234" s="1373"/>
      <c r="AC234" s="1379"/>
      <c r="AD234" s="422"/>
      <c r="AE234" s="1359"/>
      <c r="AF234" s="1360"/>
      <c r="AG234" s="1361"/>
      <c r="AH234" s="585"/>
      <c r="AI234" s="585"/>
      <c r="AJ234" s="585"/>
      <c r="AK234" s="585"/>
      <c r="AL234" s="585"/>
      <c r="AM234" s="585"/>
      <c r="AN234" s="585"/>
      <c r="AO234" s="585"/>
      <c r="AP234" s="585"/>
      <c r="AQ234" s="585"/>
      <c r="AR234" s="585"/>
      <c r="AS234" s="585"/>
      <c r="AT234" s="585"/>
      <c r="AU234" s="585"/>
      <c r="AV234" s="585"/>
      <c r="AW234" s="585"/>
      <c r="AX234" s="585"/>
      <c r="AY234" s="585"/>
      <c r="AZ234" s="585"/>
      <c r="BA234" s="585"/>
      <c r="BB234" s="585"/>
      <c r="BC234" s="585"/>
      <c r="BD234" s="585"/>
      <c r="BE234" s="585"/>
      <c r="BF234" s="585"/>
      <c r="BG234" s="585"/>
      <c r="BH234" s="585"/>
      <c r="BI234" s="585"/>
      <c r="BJ234" s="585"/>
      <c r="BK234" s="585"/>
      <c r="BL234" s="585"/>
      <c r="BM234" s="585"/>
      <c r="BN234" s="585"/>
      <c r="BO234" s="585"/>
      <c r="BP234" s="585"/>
      <c r="BQ234" s="585"/>
      <c r="BW234" s="201"/>
      <c r="BX234" s="201"/>
      <c r="BY234" s="201"/>
    </row>
    <row r="235" spans="1:78">
      <c r="A235" s="322"/>
      <c r="B235" s="437">
        <v>2020</v>
      </c>
      <c r="C235" s="419"/>
      <c r="D235" s="1376"/>
      <c r="E235" s="1373"/>
      <c r="F235" s="1373"/>
      <c r="G235" s="1377"/>
      <c r="H235" s="1373"/>
      <c r="I235" s="1378"/>
      <c r="J235" s="1373"/>
      <c r="K235" s="1377"/>
      <c r="L235" s="1373"/>
      <c r="M235" s="1379"/>
      <c r="N235" s="433"/>
      <c r="O235" s="422"/>
      <c r="P235" s="1562">
        <v>2020</v>
      </c>
      <c r="Q235" s="1563"/>
      <c r="R235" s="1394"/>
      <c r="S235" s="1386"/>
      <c r="T235" s="1378"/>
      <c r="U235" s="1373"/>
      <c r="V235" s="1373"/>
      <c r="W235" s="1377"/>
      <c r="X235" s="1373"/>
      <c r="Y235" s="1378"/>
      <c r="Z235" s="1373"/>
      <c r="AA235" s="1377"/>
      <c r="AB235" s="1373"/>
      <c r="AC235" s="1379"/>
      <c r="AD235" s="422"/>
      <c r="AE235" s="1359"/>
      <c r="AF235" s="1360"/>
      <c r="AG235" s="1361"/>
      <c r="AH235" s="585"/>
      <c r="AI235" s="585"/>
      <c r="AJ235" s="585"/>
      <c r="AK235" s="585"/>
      <c r="AL235" s="585"/>
      <c r="AM235" s="585"/>
      <c r="AN235" s="585"/>
      <c r="AO235" s="585"/>
      <c r="AP235" s="585"/>
      <c r="AQ235" s="585"/>
      <c r="AR235" s="585"/>
      <c r="AS235" s="585"/>
      <c r="AT235" s="585"/>
      <c r="AU235" s="585"/>
      <c r="AV235" s="585"/>
      <c r="AW235" s="585"/>
      <c r="AX235" s="585"/>
      <c r="AY235" s="585"/>
      <c r="AZ235" s="585"/>
      <c r="BA235" s="585"/>
      <c r="BB235" s="585"/>
      <c r="BC235" s="585"/>
      <c r="BD235" s="585"/>
      <c r="BE235" s="585"/>
      <c r="BF235" s="585"/>
      <c r="BG235" s="585"/>
      <c r="BH235" s="585"/>
      <c r="BI235" s="585"/>
      <c r="BJ235" s="585"/>
      <c r="BK235" s="585"/>
      <c r="BL235" s="585"/>
      <c r="BM235" s="585"/>
      <c r="BN235" s="585"/>
      <c r="BO235" s="585"/>
      <c r="BP235" s="585"/>
      <c r="BQ235" s="585"/>
      <c r="BW235" s="201"/>
      <c r="BX235" s="201"/>
      <c r="BY235" s="201"/>
    </row>
    <row r="236" spans="1:78">
      <c r="A236" s="322"/>
      <c r="B236" s="437">
        <v>2021</v>
      </c>
      <c r="C236" s="419"/>
      <c r="D236" s="1376">
        <v>5.2384827629283492</v>
      </c>
      <c r="E236" s="1373">
        <v>6.0876349179777174</v>
      </c>
      <c r="F236" s="1373">
        <v>8.4277636803169766</v>
      </c>
      <c r="G236" s="1377">
        <v>7.6097491991165169</v>
      </c>
      <c r="H236" s="1373"/>
      <c r="I236" s="1378">
        <v>5.9901773750675016</v>
      </c>
      <c r="J236" s="1373">
        <v>7.8886607988033282</v>
      </c>
      <c r="K236" s="1377">
        <v>7.3755571707666183</v>
      </c>
      <c r="L236" s="1373"/>
      <c r="M236" s="1379">
        <v>7.469239712929733</v>
      </c>
      <c r="N236" s="433"/>
      <c r="O236" s="422"/>
      <c r="P236" s="1562">
        <v>2021</v>
      </c>
      <c r="Q236" s="1563"/>
      <c r="R236" s="1395">
        <v>1.0096580291239173E-3</v>
      </c>
      <c r="S236" s="1386"/>
      <c r="T236" s="1378">
        <v>0.16223839525739586</v>
      </c>
      <c r="U236" s="1373">
        <v>0.16223839525739586</v>
      </c>
      <c r="V236" s="1373">
        <v>0.29981905585320595</v>
      </c>
      <c r="W236" s="1377">
        <v>0.25480809899161377</v>
      </c>
      <c r="X236" s="1373"/>
      <c r="Y236" s="1378">
        <v>0.16223839525739586</v>
      </c>
      <c r="Z236" s="1373">
        <v>0.29981905585320595</v>
      </c>
      <c r="AA236" s="1377">
        <v>0.26263509353001402</v>
      </c>
      <c r="AB236" s="1373"/>
      <c r="AC236" s="1379">
        <v>0.25950410418327752</v>
      </c>
      <c r="AD236" s="422"/>
      <c r="AE236" s="1359">
        <v>2021</v>
      </c>
      <c r="AF236" s="1360"/>
      <c r="AG236" s="1361">
        <v>6</v>
      </c>
      <c r="AH236" s="585"/>
      <c r="AI236" s="585"/>
      <c r="AJ236" s="585"/>
      <c r="AK236" s="585"/>
      <c r="AL236" s="585"/>
      <c r="AM236" s="585"/>
      <c r="AN236" s="585"/>
      <c r="AO236" s="585"/>
      <c r="AP236" s="585"/>
      <c r="AQ236" s="585"/>
      <c r="AR236" s="585"/>
      <c r="AS236" s="585"/>
      <c r="AT236" s="585"/>
      <c r="AU236" s="585"/>
      <c r="AV236" s="585"/>
      <c r="AW236" s="585"/>
      <c r="AX236" s="585"/>
      <c r="AY236" s="585"/>
      <c r="AZ236" s="585"/>
      <c r="BA236" s="585"/>
      <c r="BB236" s="585"/>
      <c r="BC236" s="585"/>
      <c r="BD236" s="585"/>
      <c r="BE236" s="585"/>
      <c r="BF236" s="585"/>
      <c r="BG236" s="585"/>
      <c r="BH236" s="585"/>
      <c r="BI236" s="585"/>
      <c r="BJ236" s="585"/>
      <c r="BK236" s="585"/>
      <c r="BL236" s="585"/>
      <c r="BM236" s="585"/>
      <c r="BN236" s="585"/>
      <c r="BO236" s="585"/>
      <c r="BP236" s="585"/>
      <c r="BQ236" s="585"/>
      <c r="BW236" s="201"/>
      <c r="BX236" s="201"/>
      <c r="BY236" s="201"/>
    </row>
    <row r="237" spans="1:78">
      <c r="A237" s="322"/>
      <c r="B237" s="437">
        <v>2022</v>
      </c>
      <c r="C237" s="419"/>
      <c r="D237" s="1376">
        <v>5.0252687310656032</v>
      </c>
      <c r="E237" s="1373">
        <v>5.9390380739667874</v>
      </c>
      <c r="F237" s="1373">
        <v>8.425721669627011</v>
      </c>
      <c r="G237" s="1377">
        <v>7.5557715214850134</v>
      </c>
      <c r="H237" s="1373"/>
      <c r="I237" s="1378">
        <v>5.8485142474004705</v>
      </c>
      <c r="J237" s="1373">
        <v>7.836306416933283</v>
      </c>
      <c r="K237" s="1377">
        <v>7.299065290032523</v>
      </c>
      <c r="L237" s="1373"/>
      <c r="M237" s="1379">
        <v>7.4017540643730886</v>
      </c>
      <c r="N237" s="433"/>
      <c r="O237" s="422"/>
      <c r="P237" s="1562">
        <v>2022</v>
      </c>
      <c r="Q237" s="1563"/>
      <c r="R237" s="1395">
        <v>1.7889064251467156E-3</v>
      </c>
      <c r="S237" s="1386"/>
      <c r="T237" s="1378">
        <v>0.24951409986010076</v>
      </c>
      <c r="U237" s="1373">
        <v>0.24951409986010076</v>
      </c>
      <c r="V237" s="1373">
        <v>0.46094259697926576</v>
      </c>
      <c r="W237" s="1377">
        <v>0.39177154545262538</v>
      </c>
      <c r="X237" s="1373"/>
      <c r="Y237" s="1378">
        <v>0.24951409986010076</v>
      </c>
      <c r="Z237" s="1373">
        <v>0.46094259697926576</v>
      </c>
      <c r="AA237" s="1377">
        <v>0.40379975992003198</v>
      </c>
      <c r="AB237" s="1373"/>
      <c r="AC237" s="1379">
        <v>0.39898817979525403</v>
      </c>
      <c r="AD237" s="422"/>
      <c r="AE237" s="1359">
        <v>2022</v>
      </c>
      <c r="AF237" s="1360"/>
      <c r="AG237" s="1361">
        <v>6.2941176470588234</v>
      </c>
      <c r="AH237" s="585"/>
      <c r="AI237" s="585"/>
      <c r="AJ237" s="585"/>
      <c r="AK237" s="585"/>
      <c r="AL237" s="585"/>
      <c r="AM237" s="585"/>
      <c r="AN237" s="585"/>
      <c r="AO237" s="585"/>
      <c r="AP237" s="585"/>
      <c r="AQ237" s="585"/>
      <c r="AR237" s="585"/>
      <c r="AS237" s="585"/>
      <c r="AT237" s="585"/>
      <c r="AU237" s="585"/>
      <c r="AV237" s="585"/>
      <c r="AW237" s="585"/>
      <c r="AX237" s="585"/>
      <c r="AY237" s="585"/>
      <c r="AZ237" s="585"/>
      <c r="BA237" s="585"/>
      <c r="BB237" s="585"/>
      <c r="BC237" s="585"/>
      <c r="BD237" s="585"/>
      <c r="BE237" s="585"/>
      <c r="BF237" s="585"/>
      <c r="BG237" s="585"/>
      <c r="BH237" s="585"/>
      <c r="BI237" s="585"/>
      <c r="BJ237" s="585"/>
      <c r="BK237" s="585"/>
      <c r="BL237" s="585"/>
      <c r="BM237" s="585"/>
      <c r="BN237" s="585"/>
      <c r="BO237" s="585"/>
      <c r="BP237" s="585"/>
      <c r="BQ237" s="585"/>
      <c r="BW237" s="201"/>
      <c r="BX237" s="201"/>
      <c r="BY237" s="201"/>
    </row>
    <row r="238" spans="1:78">
      <c r="A238" s="322"/>
      <c r="B238" s="437">
        <v>2023</v>
      </c>
      <c r="C238" s="419"/>
      <c r="D238" s="1376">
        <v>4.8218298109387296</v>
      </c>
      <c r="E238" s="1373">
        <v>5.7211388016268545</v>
      </c>
      <c r="F238" s="1373">
        <v>8.1757137362213115</v>
      </c>
      <c r="G238" s="1377">
        <v>7.3171608878238583</v>
      </c>
      <c r="H238" s="1373"/>
      <c r="I238" s="1378">
        <v>5.6303903570291185</v>
      </c>
      <c r="J238" s="1373">
        <v>7.5959336276955902</v>
      </c>
      <c r="K238" s="1377">
        <v>7.0647057167046521</v>
      </c>
      <c r="L238" s="1373"/>
      <c r="M238" s="1379">
        <v>7.1656939628858396</v>
      </c>
      <c r="N238" s="433"/>
      <c r="O238" s="422"/>
      <c r="P238" s="1562">
        <v>2023</v>
      </c>
      <c r="Q238" s="1563"/>
      <c r="R238" s="1395">
        <v>2.2679155734726666E-3</v>
      </c>
      <c r="S238" s="1386"/>
      <c r="T238" s="1378">
        <v>0.30142715467652076</v>
      </c>
      <c r="U238" s="1373">
        <v>0.30142715467652076</v>
      </c>
      <c r="V238" s="1373">
        <v>0.5566528766932739</v>
      </c>
      <c r="W238" s="1377">
        <v>0.47315310344087935</v>
      </c>
      <c r="X238" s="1373"/>
      <c r="Y238" s="1378">
        <v>0.30142715467652076</v>
      </c>
      <c r="Z238" s="1373">
        <v>0.5566528766932739</v>
      </c>
      <c r="AA238" s="1377">
        <v>0.48767295182388115</v>
      </c>
      <c r="AB238" s="1373"/>
      <c r="AC238" s="1379">
        <v>0.48186465716104881</v>
      </c>
      <c r="AD238" s="422"/>
      <c r="AE238" s="1359">
        <v>2023</v>
      </c>
      <c r="AF238" s="1360"/>
      <c r="AG238" s="1361">
        <v>6.6032295271049595</v>
      </c>
      <c r="AH238" s="585"/>
      <c r="AI238" s="585"/>
      <c r="AJ238" s="585"/>
      <c r="AK238" s="585"/>
      <c r="AL238" s="585"/>
      <c r="AM238" s="585"/>
      <c r="AN238" s="585"/>
      <c r="AO238" s="585"/>
      <c r="AP238" s="585"/>
      <c r="AQ238" s="585"/>
      <c r="AR238" s="585"/>
      <c r="AS238" s="585"/>
      <c r="AT238" s="585"/>
      <c r="AU238" s="585"/>
      <c r="AV238" s="585"/>
      <c r="AW238" s="585"/>
      <c r="AX238" s="585"/>
      <c r="AY238" s="585"/>
      <c r="AZ238" s="585"/>
      <c r="BA238" s="585"/>
      <c r="BB238" s="585"/>
      <c r="BC238" s="585"/>
      <c r="BD238" s="585"/>
      <c r="BE238" s="585"/>
      <c r="BF238" s="585"/>
      <c r="BG238" s="585"/>
      <c r="BH238" s="585"/>
      <c r="BI238" s="585"/>
      <c r="BJ238" s="585"/>
      <c r="BK238" s="585"/>
      <c r="BL238" s="585"/>
      <c r="BM238" s="585"/>
      <c r="BN238" s="585"/>
      <c r="BO238" s="585"/>
      <c r="BP238" s="585"/>
      <c r="BQ238" s="585"/>
      <c r="BW238" s="201"/>
      <c r="BX238" s="201"/>
      <c r="BY238" s="201"/>
    </row>
    <row r="239" spans="1:78">
      <c r="A239" s="322"/>
      <c r="B239" s="437">
        <v>2024</v>
      </c>
      <c r="C239" s="419"/>
      <c r="D239" s="1376">
        <v>5.1421490273176111</v>
      </c>
      <c r="E239" s="1373">
        <v>6.0431379016509217</v>
      </c>
      <c r="F239" s="1373">
        <v>8.5015675703990183</v>
      </c>
      <c r="G239" s="1377">
        <v>7.6416499087509804</v>
      </c>
      <c r="H239" s="1373"/>
      <c r="I239" s="1378">
        <v>5.9526025146964656</v>
      </c>
      <c r="J239" s="1373">
        <v>7.9196479139094951</v>
      </c>
      <c r="K239" s="1377">
        <v>7.3880140222302977</v>
      </c>
      <c r="L239" s="1373"/>
      <c r="M239" s="1379">
        <v>7.4894745834649088</v>
      </c>
      <c r="N239" s="433"/>
      <c r="O239" s="422"/>
      <c r="P239" s="1562">
        <v>2024</v>
      </c>
      <c r="Q239" s="1563"/>
      <c r="R239" s="1395">
        <v>2.2874525136133556E-3</v>
      </c>
      <c r="S239" s="1386"/>
      <c r="T239" s="1378">
        <v>0.26990856991849022</v>
      </c>
      <c r="U239" s="1373">
        <v>0.26990856991849022</v>
      </c>
      <c r="V239" s="1373">
        <v>0.49771596780263666</v>
      </c>
      <c r="W239" s="1377">
        <v>0.42318638701337885</v>
      </c>
      <c r="X239" s="1373"/>
      <c r="Y239" s="1378">
        <v>0.26990856991849022</v>
      </c>
      <c r="Z239" s="1373">
        <v>0.49771596780263666</v>
      </c>
      <c r="AA239" s="1377">
        <v>0.43614640080692141</v>
      </c>
      <c r="AB239" s="1373"/>
      <c r="AC239" s="1379">
        <v>0.43096207814998577</v>
      </c>
      <c r="AD239" s="422"/>
      <c r="AE239" s="1359">
        <v>2024</v>
      </c>
      <c r="AF239" s="1360"/>
      <c r="AG239" s="1361">
        <v>6.9260691589207761</v>
      </c>
      <c r="AH239" s="585"/>
      <c r="AI239" s="585"/>
      <c r="AJ239" s="585"/>
      <c r="AK239" s="585"/>
      <c r="AL239" s="585"/>
      <c r="AM239" s="585"/>
      <c r="AN239" s="585"/>
      <c r="AO239" s="585"/>
      <c r="AP239" s="585"/>
      <c r="AQ239" s="585"/>
      <c r="AR239" s="585"/>
      <c r="AS239" s="585"/>
      <c r="AT239" s="585"/>
      <c r="AU239" s="585"/>
      <c r="AV239" s="585"/>
      <c r="AW239" s="585"/>
      <c r="AX239" s="585"/>
      <c r="AY239" s="585"/>
      <c r="AZ239" s="585"/>
      <c r="BA239" s="585"/>
      <c r="BB239" s="585"/>
      <c r="BC239" s="585"/>
      <c r="BD239" s="585"/>
      <c r="BE239" s="585"/>
      <c r="BF239" s="585"/>
      <c r="BG239" s="585"/>
      <c r="BH239" s="585"/>
      <c r="BI239" s="585"/>
      <c r="BJ239" s="585"/>
      <c r="BK239" s="585"/>
      <c r="BL239" s="585"/>
      <c r="BM239" s="585"/>
      <c r="BN239" s="585"/>
      <c r="BO239" s="585"/>
      <c r="BP239" s="585"/>
      <c r="BQ239" s="585"/>
      <c r="BW239" s="201"/>
      <c r="BX239" s="201"/>
      <c r="BY239" s="201"/>
    </row>
    <row r="240" spans="1:78">
      <c r="A240" s="322"/>
      <c r="B240" s="437">
        <v>2025</v>
      </c>
      <c r="C240" s="419"/>
      <c r="D240" s="1376">
        <v>5.2110397419047487</v>
      </c>
      <c r="E240" s="1373">
        <v>6.1066897227038366</v>
      </c>
      <c r="F240" s="1373">
        <v>8.5532961949446413</v>
      </c>
      <c r="G240" s="1377">
        <v>7.6975761774338167</v>
      </c>
      <c r="H240" s="1373"/>
      <c r="I240" s="1378">
        <v>6.0161243591764828</v>
      </c>
      <c r="J240" s="1373">
        <v>7.9744959569077407</v>
      </c>
      <c r="K240" s="1377">
        <v>7.445206335899293</v>
      </c>
      <c r="L240" s="1373"/>
      <c r="M240" s="1379">
        <v>7.54616044815854</v>
      </c>
      <c r="N240" s="433"/>
      <c r="O240" s="422"/>
      <c r="P240" s="1562">
        <v>2025</v>
      </c>
      <c r="Q240" s="1563"/>
      <c r="R240" s="1395">
        <v>2.2994598091588417E-3</v>
      </c>
      <c r="S240" s="1386"/>
      <c r="T240" s="1378">
        <v>0.24093936882745481</v>
      </c>
      <c r="U240" s="1373">
        <v>0.24093936882745481</v>
      </c>
      <c r="V240" s="1373">
        <v>0.44344296341806322</v>
      </c>
      <c r="W240" s="1377">
        <v>0.37719178741002468</v>
      </c>
      <c r="X240" s="1373"/>
      <c r="Y240" s="1378">
        <v>0.24093936882745481</v>
      </c>
      <c r="Z240" s="1373">
        <v>0.44344296341806322</v>
      </c>
      <c r="AA240" s="1377">
        <v>0.38871226217735821</v>
      </c>
      <c r="AB240" s="1373"/>
      <c r="AC240" s="1379">
        <v>0.38410379035731268</v>
      </c>
      <c r="AD240" s="422"/>
      <c r="AE240" s="1359">
        <v>2025</v>
      </c>
      <c r="AF240" s="1360"/>
      <c r="AG240" s="1361">
        <v>7.2614250485684</v>
      </c>
      <c r="AH240" s="585"/>
      <c r="AI240" s="585"/>
      <c r="AJ240" s="585"/>
      <c r="AK240" s="585"/>
      <c r="AL240" s="585"/>
      <c r="AM240" s="585"/>
      <c r="AN240" s="585"/>
      <c r="AO240" s="585"/>
      <c r="AP240" s="585"/>
      <c r="AQ240" s="585"/>
      <c r="AR240" s="585"/>
      <c r="AS240" s="585"/>
      <c r="AT240" s="585"/>
      <c r="AU240" s="585"/>
      <c r="AV240" s="585"/>
      <c r="AW240" s="585"/>
      <c r="AX240" s="585"/>
      <c r="AY240" s="585"/>
      <c r="AZ240" s="585"/>
      <c r="BA240" s="585"/>
      <c r="BB240" s="585"/>
      <c r="BC240" s="585"/>
      <c r="BD240" s="585"/>
      <c r="BE240" s="585"/>
      <c r="BF240" s="585"/>
      <c r="BG240" s="585"/>
      <c r="BH240" s="585"/>
      <c r="BI240" s="585"/>
      <c r="BJ240" s="585"/>
      <c r="BK240" s="585"/>
      <c r="BL240" s="585"/>
      <c r="BM240" s="585"/>
      <c r="BN240" s="585"/>
      <c r="BO240" s="585"/>
      <c r="BP240" s="585"/>
      <c r="BQ240" s="585"/>
      <c r="BW240" s="201"/>
      <c r="BX240" s="201"/>
      <c r="BY240" s="201"/>
    </row>
    <row r="241" spans="1:77">
      <c r="A241" s="322"/>
      <c r="B241" s="437">
        <v>2026</v>
      </c>
      <c r="C241" s="419"/>
      <c r="D241" s="1376">
        <v>5.3148612758137084</v>
      </c>
      <c r="E241" s="1373">
        <v>6.2064222878805708</v>
      </c>
      <c r="F241" s="1373">
        <v>8.644002017187125</v>
      </c>
      <c r="G241" s="1377">
        <v>7.7914875988296188</v>
      </c>
      <c r="H241" s="1373"/>
      <c r="I241" s="1378">
        <v>6.1158833668722554</v>
      </c>
      <c r="J241" s="1373">
        <v>8.0673808640058606</v>
      </c>
      <c r="K241" s="1377">
        <v>7.539949108023805</v>
      </c>
      <c r="L241" s="1373"/>
      <c r="M241" s="1379">
        <v>7.6405706596479046</v>
      </c>
      <c r="N241" s="433"/>
      <c r="O241" s="422"/>
      <c r="P241" s="1562">
        <v>2026</v>
      </c>
      <c r="Q241" s="1563"/>
      <c r="R241" s="1395">
        <v>2.3005844479129286E-3</v>
      </c>
      <c r="S241" s="1386"/>
      <c r="T241" s="1378">
        <v>0.17140027592085957</v>
      </c>
      <c r="U241" s="1373">
        <v>0.17140027592085957</v>
      </c>
      <c r="V241" s="1373">
        <v>0.3133684881231778</v>
      </c>
      <c r="W241" s="1377">
        <v>0.26692209771130826</v>
      </c>
      <c r="X241" s="1373"/>
      <c r="Y241" s="1378">
        <v>0.17140027592085957</v>
      </c>
      <c r="Z241" s="1373">
        <v>0.3133684881231778</v>
      </c>
      <c r="AA241" s="1377">
        <v>0.27499870104147017</v>
      </c>
      <c r="AB241" s="1373"/>
      <c r="AC241" s="1379">
        <v>0.27176786206994813</v>
      </c>
      <c r="AD241" s="422"/>
      <c r="AE241" s="1359">
        <v>2026</v>
      </c>
      <c r="AF241" s="1360"/>
      <c r="AG241" s="1361">
        <v>7.6171961106695907</v>
      </c>
      <c r="AH241" s="585"/>
      <c r="AI241" s="585"/>
      <c r="AJ241" s="585"/>
      <c r="AK241" s="585"/>
      <c r="AL241" s="585"/>
      <c r="AM241" s="585"/>
      <c r="AN241" s="585"/>
      <c r="AO241" s="585"/>
      <c r="AP241" s="585"/>
      <c r="AQ241" s="585"/>
      <c r="AR241" s="585"/>
      <c r="AS241" s="585"/>
      <c r="AT241" s="585"/>
      <c r="AU241" s="585"/>
      <c r="AV241" s="585"/>
      <c r="AW241" s="585"/>
      <c r="AX241" s="585"/>
      <c r="AY241" s="585"/>
      <c r="AZ241" s="585"/>
      <c r="BA241" s="585"/>
      <c r="BB241" s="585"/>
      <c r="BC241" s="585"/>
      <c r="BD241" s="585"/>
      <c r="BE241" s="585"/>
      <c r="BF241" s="585"/>
      <c r="BG241" s="585"/>
      <c r="BH241" s="585"/>
      <c r="BI241" s="585"/>
      <c r="BJ241" s="585"/>
      <c r="BK241" s="585"/>
      <c r="BL241" s="585"/>
      <c r="BM241" s="585"/>
      <c r="BN241" s="585"/>
      <c r="BO241" s="585"/>
      <c r="BP241" s="585"/>
      <c r="BQ241" s="585"/>
      <c r="BW241" s="201"/>
      <c r="BX241" s="201"/>
      <c r="BY241" s="201"/>
    </row>
    <row r="242" spans="1:77">
      <c r="A242" s="322"/>
      <c r="B242" s="437">
        <v>2027</v>
      </c>
      <c r="C242" s="419"/>
      <c r="D242" s="1376">
        <v>5.3770334904303354</v>
      </c>
      <c r="E242" s="1373">
        <v>6.263510595347582</v>
      </c>
      <c r="F242" s="1373">
        <v>8.6898275374922367</v>
      </c>
      <c r="G242" s="1377">
        <v>7.8413116795734759</v>
      </c>
      <c r="H242" s="1373"/>
      <c r="I242" s="1378">
        <v>6.172941506809817</v>
      </c>
      <c r="J242" s="1373">
        <v>8.1161831355804352</v>
      </c>
      <c r="K242" s="1377">
        <v>7.5909826953721602</v>
      </c>
      <c r="L242" s="1373"/>
      <c r="M242" s="1379">
        <v>7.6911204147570889</v>
      </c>
      <c r="N242" s="433"/>
      <c r="O242" s="422"/>
      <c r="P242" s="1562">
        <v>2027</v>
      </c>
      <c r="Q242" s="1563"/>
      <c r="R242" s="1395">
        <v>2.3015209500724648E-3</v>
      </c>
      <c r="S242" s="1386"/>
      <c r="T242" s="1378">
        <v>0.10571991929255121</v>
      </c>
      <c r="U242" s="1373">
        <v>0.10571991929255121</v>
      </c>
      <c r="V242" s="1373">
        <v>0.19062440910994455</v>
      </c>
      <c r="W242" s="1377">
        <v>0.16284701429314302</v>
      </c>
      <c r="X242" s="1373"/>
      <c r="Y242" s="1378">
        <v>0.10571991929255121</v>
      </c>
      <c r="Z242" s="1373">
        <v>0.19062440910994455</v>
      </c>
      <c r="AA242" s="1377">
        <v>0.16767724969983824</v>
      </c>
      <c r="AB242" s="1373"/>
      <c r="AC242" s="1379">
        <v>0.16574503733832519</v>
      </c>
      <c r="AD242" s="422"/>
      <c r="AE242" s="1359">
        <v>2027</v>
      </c>
      <c r="AF242" s="1360"/>
      <c r="AG242" s="1361">
        <v>7.9917424396757273</v>
      </c>
      <c r="AH242" s="585"/>
      <c r="AI242" s="585"/>
      <c r="AJ242" s="585"/>
      <c r="AK242" s="585"/>
      <c r="AL242" s="585"/>
      <c r="AM242" s="585"/>
      <c r="AN242" s="585"/>
      <c r="AO242" s="585"/>
      <c r="AP242" s="585"/>
      <c r="AQ242" s="585"/>
      <c r="AR242" s="585"/>
      <c r="AS242" s="585"/>
      <c r="AT242" s="585"/>
      <c r="AU242" s="585"/>
      <c r="AV242" s="585"/>
      <c r="AW242" s="585"/>
      <c r="AX242" s="585"/>
      <c r="AY242" s="585"/>
      <c r="AZ242" s="585"/>
      <c r="BA242" s="585"/>
      <c r="BB242" s="585"/>
      <c r="BC242" s="585"/>
      <c r="BD242" s="585"/>
      <c r="BE242" s="585"/>
      <c r="BF242" s="585"/>
      <c r="BG242" s="585"/>
      <c r="BH242" s="585"/>
      <c r="BI242" s="585"/>
      <c r="BJ242" s="585"/>
      <c r="BK242" s="585"/>
      <c r="BL242" s="585"/>
      <c r="BM242" s="585"/>
      <c r="BN242" s="585"/>
      <c r="BO242" s="585"/>
      <c r="BP242" s="585"/>
      <c r="BQ242" s="585"/>
      <c r="BW242" s="201"/>
      <c r="BX242" s="201"/>
      <c r="BY242" s="201"/>
    </row>
    <row r="243" spans="1:77">
      <c r="A243" s="322"/>
      <c r="B243" s="437">
        <v>2028</v>
      </c>
      <c r="C243" s="419"/>
      <c r="D243" s="1376">
        <v>5.5223763683224529</v>
      </c>
      <c r="E243" s="1373">
        <v>6.4059196869271187</v>
      </c>
      <c r="F243" s="1373">
        <v>8.8258054591037549</v>
      </c>
      <c r="G243" s="1377">
        <v>7.9795747238481471</v>
      </c>
      <c r="H243" s="1373"/>
      <c r="I243" s="1378">
        <v>6.315433854746634</v>
      </c>
      <c r="J243" s="1373">
        <v>8.2534526901913967</v>
      </c>
      <c r="K243" s="1377">
        <v>7.729663815746866</v>
      </c>
      <c r="L243" s="1373"/>
      <c r="M243" s="1379">
        <v>7.8296342944612007</v>
      </c>
      <c r="N243" s="433"/>
      <c r="O243" s="422"/>
      <c r="P243" s="1562">
        <v>2028</v>
      </c>
      <c r="Q243" s="1563"/>
      <c r="R243" s="1395">
        <v>2.3064877561685781E-3</v>
      </c>
      <c r="S243" s="1386"/>
      <c r="T243" s="1378">
        <v>7.4358339529666334E-2</v>
      </c>
      <c r="U243" s="1373">
        <v>7.4358339529666334E-2</v>
      </c>
      <c r="V243" s="1373">
        <v>0.13224460999674262</v>
      </c>
      <c r="W243" s="1377">
        <v>0.11330650916492135</v>
      </c>
      <c r="X243" s="1373"/>
      <c r="Y243" s="1378">
        <v>7.4358339529666334E-2</v>
      </c>
      <c r="Z243" s="1373">
        <v>0.13224460999674262</v>
      </c>
      <c r="AA243" s="1377">
        <v>0.11659967203266795</v>
      </c>
      <c r="AB243" s="1373"/>
      <c r="AC243" s="1379">
        <v>0.11528232629984593</v>
      </c>
      <c r="AD243" s="422"/>
      <c r="AE243" s="1359">
        <v>2028</v>
      </c>
      <c r="AF243" s="1360"/>
      <c r="AG243" s="1361">
        <v>8.3834945200519879</v>
      </c>
      <c r="AH243" s="585"/>
      <c r="AI243" s="585"/>
      <c r="AJ243" s="585"/>
      <c r="AK243" s="585"/>
      <c r="AL243" s="585"/>
      <c r="AM243" s="585"/>
      <c r="AN243" s="585"/>
      <c r="AO243" s="585"/>
      <c r="AP243" s="585"/>
      <c r="AQ243" s="585"/>
      <c r="AR243" s="585"/>
      <c r="AS243" s="585"/>
      <c r="AT243" s="585"/>
      <c r="AU243" s="585"/>
      <c r="AV243" s="585"/>
      <c r="AW243" s="585"/>
      <c r="AX243" s="585"/>
      <c r="AY243" s="585"/>
      <c r="AZ243" s="585"/>
      <c r="BA243" s="585"/>
      <c r="BB243" s="585"/>
      <c r="BC243" s="585"/>
      <c r="BD243" s="585"/>
      <c r="BE243" s="585"/>
      <c r="BF243" s="585"/>
      <c r="BG243" s="585"/>
      <c r="BH243" s="585"/>
      <c r="BI243" s="585"/>
      <c r="BJ243" s="585"/>
      <c r="BK243" s="585"/>
      <c r="BL243" s="585"/>
      <c r="BM243" s="585"/>
      <c r="BN243" s="585"/>
      <c r="BO243" s="585"/>
      <c r="BP243" s="585"/>
      <c r="BQ243" s="585"/>
      <c r="BW243" s="201"/>
      <c r="BX243" s="201"/>
      <c r="BY243" s="201"/>
    </row>
    <row r="244" spans="1:77">
      <c r="A244" s="322"/>
      <c r="B244" s="437">
        <v>2029</v>
      </c>
      <c r="C244" s="419"/>
      <c r="D244" s="1376">
        <v>5.6512329275304118</v>
      </c>
      <c r="E244" s="1373">
        <v>6.531374931174029</v>
      </c>
      <c r="F244" s="1373">
        <v>8.943782783650855</v>
      </c>
      <c r="G244" s="1377">
        <v>8.1002084860106827</v>
      </c>
      <c r="H244" s="1373"/>
      <c r="I244" s="1378">
        <v>6.4409471117456176</v>
      </c>
      <c r="J244" s="1373">
        <v>8.3730912627185958</v>
      </c>
      <c r="K244" s="1377">
        <v>7.8508901408340073</v>
      </c>
      <c r="L244" s="1373"/>
      <c r="M244" s="1379">
        <v>7.9506235798781209</v>
      </c>
      <c r="N244" s="433"/>
      <c r="O244" s="422"/>
      <c r="P244" s="1562">
        <v>2029</v>
      </c>
      <c r="Q244" s="1563"/>
      <c r="R244" s="1395">
        <v>2.3121736621371926E-3</v>
      </c>
      <c r="S244" s="1386"/>
      <c r="T244" s="1378">
        <v>4.5654021803988247E-2</v>
      </c>
      <c r="U244" s="1373">
        <v>4.5654021803988247E-2</v>
      </c>
      <c r="V244" s="1373">
        <v>7.9068773209579835E-2</v>
      </c>
      <c r="W244" s="1377">
        <v>6.8136786638614694E-2</v>
      </c>
      <c r="X244" s="1373"/>
      <c r="Y244" s="1378">
        <v>4.5654021803988247E-2</v>
      </c>
      <c r="Z244" s="1373">
        <v>7.9068773209579835E-2</v>
      </c>
      <c r="AA244" s="1377">
        <v>7.0037759316176701E-2</v>
      </c>
      <c r="AB244" s="1373"/>
      <c r="AC244" s="1379">
        <v>6.9277323727179818E-2</v>
      </c>
      <c r="AD244" s="422"/>
      <c r="AE244" s="1359">
        <v>2029</v>
      </c>
      <c r="AF244" s="1360"/>
      <c r="AG244" s="1361">
        <v>8.7909508232581466</v>
      </c>
      <c r="AH244" s="585"/>
      <c r="AI244" s="585"/>
      <c r="AJ244" s="585"/>
      <c r="AK244" s="585"/>
      <c r="AL244" s="585"/>
      <c r="AM244" s="585"/>
      <c r="AN244" s="585"/>
      <c r="AO244" s="585"/>
      <c r="AP244" s="585"/>
      <c r="AQ244" s="585"/>
      <c r="AR244" s="585"/>
      <c r="AS244" s="585"/>
      <c r="AT244" s="585"/>
      <c r="AU244" s="585"/>
      <c r="AV244" s="585"/>
      <c r="AW244" s="585"/>
      <c r="AX244" s="585"/>
      <c r="AY244" s="585"/>
      <c r="AZ244" s="585"/>
      <c r="BA244" s="585"/>
      <c r="BB244" s="585"/>
      <c r="BC244" s="585"/>
      <c r="BD244" s="585"/>
      <c r="BE244" s="585"/>
      <c r="BF244" s="585"/>
      <c r="BG244" s="585"/>
      <c r="BH244" s="585"/>
      <c r="BI244" s="585"/>
      <c r="BJ244" s="585"/>
      <c r="BK244" s="585"/>
      <c r="BL244" s="585"/>
      <c r="BM244" s="585"/>
      <c r="BN244" s="585"/>
      <c r="BO244" s="585"/>
      <c r="BP244" s="585"/>
      <c r="BQ244" s="585"/>
      <c r="BW244" s="201"/>
      <c r="BX244" s="201"/>
      <c r="BY244" s="201"/>
    </row>
    <row r="245" spans="1:77">
      <c r="A245" s="322"/>
      <c r="B245" s="437">
        <v>2030</v>
      </c>
      <c r="C245" s="419"/>
      <c r="D245" s="1376">
        <v>5.7142963025708946</v>
      </c>
      <c r="E245" s="1373">
        <v>6.5897427450387802</v>
      </c>
      <c r="F245" s="1373">
        <v>8.991751863964792</v>
      </c>
      <c r="G245" s="1377">
        <v>8.1518694705835735</v>
      </c>
      <c r="H245" s="1373"/>
      <c r="I245" s="1378">
        <v>6.4992921047932111</v>
      </c>
      <c r="J245" s="1373">
        <v>8.4237884137790875</v>
      </c>
      <c r="K245" s="1377">
        <v>7.9036542762153363</v>
      </c>
      <c r="L245" s="1373"/>
      <c r="M245" s="1379">
        <v>8.0029464279412945</v>
      </c>
      <c r="N245" s="433"/>
      <c r="O245" s="422"/>
      <c r="P245" s="1562">
        <v>2030</v>
      </c>
      <c r="Q245" s="1563"/>
      <c r="R245" s="1395">
        <v>2.3202969822085306E-3</v>
      </c>
      <c r="S245" s="1386"/>
      <c r="T245" s="1378">
        <v>2.061421743355037E-2</v>
      </c>
      <c r="U245" s="1373">
        <v>2.061421743355037E-2</v>
      </c>
      <c r="V245" s="1373">
        <v>3.3162780622228119E-2</v>
      </c>
      <c r="W245" s="1377">
        <v>2.905738649259898E-2</v>
      </c>
      <c r="X245" s="1373"/>
      <c r="Y245" s="1378">
        <v>2.061421743355037E-2</v>
      </c>
      <c r="Z245" s="1373">
        <v>3.3162780622228119E-2</v>
      </c>
      <c r="AA245" s="1377">
        <v>2.9771277057720619E-2</v>
      </c>
      <c r="AB245" s="1373"/>
      <c r="AC245" s="1379">
        <v>2.9485703362330203E-2</v>
      </c>
      <c r="AD245" s="422"/>
      <c r="AE245" s="1359">
        <v>2030</v>
      </c>
      <c r="AF245" s="1360"/>
      <c r="AG245" s="1361">
        <v>9.221043029916693</v>
      </c>
      <c r="AH245" s="585"/>
      <c r="AI245" s="585"/>
      <c r="AJ245" s="585"/>
      <c r="AK245" s="585"/>
      <c r="AL245" s="585"/>
      <c r="AM245" s="585"/>
      <c r="AN245" s="585"/>
      <c r="AO245" s="585"/>
      <c r="AP245" s="585"/>
      <c r="AQ245" s="585"/>
      <c r="AR245" s="585"/>
      <c r="AS245" s="585"/>
      <c r="AT245" s="585"/>
      <c r="AU245" s="585"/>
      <c r="AV245" s="585"/>
      <c r="AW245" s="585"/>
      <c r="AX245" s="585"/>
      <c r="AY245" s="585"/>
      <c r="AZ245" s="585"/>
      <c r="BA245" s="585"/>
      <c r="BB245" s="585"/>
      <c r="BC245" s="585"/>
      <c r="BD245" s="585"/>
      <c r="BE245" s="585"/>
      <c r="BF245" s="585"/>
      <c r="BG245" s="585"/>
      <c r="BH245" s="585"/>
      <c r="BI245" s="585"/>
      <c r="BJ245" s="585"/>
      <c r="BK245" s="585"/>
      <c r="BL245" s="585"/>
      <c r="BM245" s="585"/>
      <c r="BN245" s="585"/>
      <c r="BO245" s="585"/>
      <c r="BP245" s="585"/>
      <c r="BQ245" s="585"/>
      <c r="BW245" s="201"/>
      <c r="BX245" s="201"/>
      <c r="BY245" s="201"/>
    </row>
    <row r="246" spans="1:77">
      <c r="A246" s="322"/>
      <c r="B246" s="437">
        <v>2031</v>
      </c>
      <c r="C246" s="419"/>
      <c r="D246" s="1376">
        <v>5.7335889088197334</v>
      </c>
      <c r="E246" s="1373">
        <v>6.6035754230903478</v>
      </c>
      <c r="F246" s="1373">
        <v>8.9934566985081599</v>
      </c>
      <c r="G246" s="1377">
        <v>8.1578790890029111</v>
      </c>
      <c r="H246" s="1373"/>
      <c r="I246" s="1378">
        <v>6.5130504545849819</v>
      </c>
      <c r="J246" s="1373">
        <v>8.4288670533126808</v>
      </c>
      <c r="K246" s="1377">
        <v>7.9110787833862757</v>
      </c>
      <c r="L246" s="1373"/>
      <c r="M246" s="1379">
        <v>8.0098049449883941</v>
      </c>
      <c r="N246" s="433"/>
      <c r="O246" s="422"/>
      <c r="P246" s="1562">
        <v>2031</v>
      </c>
      <c r="Q246" s="1563"/>
      <c r="R246" s="1395">
        <v>2.3264553200701252E-3</v>
      </c>
      <c r="S246" s="1386"/>
      <c r="T246" s="1378">
        <v>2.657035283641941E-3</v>
      </c>
      <c r="U246" s="1373">
        <v>2.657035283641941E-3</v>
      </c>
      <c r="V246" s="1373">
        <v>1.1324769645170961E-3</v>
      </c>
      <c r="W246" s="1377">
        <v>1.6312522170702861E-3</v>
      </c>
      <c r="X246" s="1373"/>
      <c r="Y246" s="1378">
        <v>2.657035283641941E-3</v>
      </c>
      <c r="Z246" s="1373">
        <v>1.1324769645170961E-3</v>
      </c>
      <c r="AA246" s="1377">
        <v>1.5445197534697569E-3</v>
      </c>
      <c r="AB246" s="1373"/>
      <c r="AC246" s="1379">
        <v>1.5792148613067649E-3</v>
      </c>
      <c r="AD246" s="422"/>
      <c r="AE246" s="1359">
        <v>2031</v>
      </c>
      <c r="AF246" s="1360"/>
      <c r="AG246" s="1361">
        <v>9.6726065188961936</v>
      </c>
      <c r="AH246" s="585"/>
      <c r="AI246" s="585"/>
      <c r="AJ246" s="585"/>
      <c r="AK246" s="585"/>
      <c r="AL246" s="585"/>
      <c r="AM246" s="585"/>
      <c r="AN246" s="585"/>
      <c r="AO246" s="585"/>
      <c r="AP246" s="585"/>
      <c r="AQ246" s="585"/>
      <c r="AR246" s="585"/>
      <c r="AS246" s="585"/>
      <c r="AT246" s="585"/>
      <c r="AU246" s="585"/>
      <c r="AV246" s="585"/>
      <c r="AW246" s="585"/>
      <c r="AX246" s="585"/>
      <c r="AY246" s="585"/>
      <c r="AZ246" s="585"/>
      <c r="BA246" s="585"/>
      <c r="BB246" s="585"/>
      <c r="BC246" s="585"/>
      <c r="BD246" s="585"/>
      <c r="BE246" s="585"/>
      <c r="BF246" s="585"/>
      <c r="BG246" s="585"/>
      <c r="BH246" s="585"/>
      <c r="BI246" s="585"/>
      <c r="BJ246" s="585"/>
      <c r="BK246" s="585"/>
      <c r="BL246" s="585"/>
      <c r="BM246" s="585"/>
      <c r="BN246" s="585"/>
      <c r="BO246" s="585"/>
      <c r="BP246" s="585"/>
      <c r="BQ246" s="585"/>
      <c r="BW246" s="201"/>
      <c r="BX246" s="201"/>
      <c r="BY246" s="201"/>
    </row>
    <row r="247" spans="1:77">
      <c r="A247" s="322"/>
      <c r="B247" s="437">
        <v>2032</v>
      </c>
      <c r="C247" s="419"/>
      <c r="D247" s="1376">
        <v>5.8035113986061768</v>
      </c>
      <c r="E247" s="1373">
        <v>6.6695785443159901</v>
      </c>
      <c r="F247" s="1373">
        <v>9.0507854221783752</v>
      </c>
      <c r="G247" s="1377">
        <v>8.2182876691919269</v>
      </c>
      <c r="H247" s="1373"/>
      <c r="I247" s="1378">
        <v>6.5790542951796924</v>
      </c>
      <c r="J247" s="1373">
        <v>8.4883878007732907</v>
      </c>
      <c r="K247" s="1377">
        <v>7.972351718180426</v>
      </c>
      <c r="L247" s="1373"/>
      <c r="M247" s="1379">
        <v>8.0707321167892019</v>
      </c>
      <c r="N247" s="433"/>
      <c r="O247" s="422"/>
      <c r="P247" s="1562">
        <v>2032</v>
      </c>
      <c r="Q247" s="1563"/>
      <c r="R247" s="1395">
        <v>2.3330233776265169E-3</v>
      </c>
      <c r="S247" s="1386"/>
      <c r="T247" s="1378">
        <v>0</v>
      </c>
      <c r="U247" s="1373">
        <v>0</v>
      </c>
      <c r="V247" s="1373">
        <v>0</v>
      </c>
      <c r="W247" s="1377">
        <v>0</v>
      </c>
      <c r="X247" s="1373"/>
      <c r="Y247" s="1378">
        <v>0</v>
      </c>
      <c r="Z247" s="1373">
        <v>0</v>
      </c>
      <c r="AA247" s="1377">
        <v>0</v>
      </c>
      <c r="AB247" s="1373"/>
      <c r="AC247" s="1379">
        <v>0</v>
      </c>
      <c r="AD247" s="422"/>
      <c r="AE247" s="1359">
        <v>2032</v>
      </c>
      <c r="AF247" s="1360"/>
      <c r="AG247" s="1361">
        <v>10.146283513247896</v>
      </c>
      <c r="AH247" s="585"/>
      <c r="AI247" s="585"/>
      <c r="AJ247" s="585"/>
      <c r="AK247" s="585"/>
      <c r="AL247" s="585"/>
      <c r="AM247" s="585"/>
      <c r="AN247" s="585"/>
      <c r="AO247" s="585"/>
      <c r="AP247" s="585"/>
      <c r="AQ247" s="585"/>
      <c r="AR247" s="585"/>
      <c r="AS247" s="585"/>
      <c r="AT247" s="585"/>
      <c r="AU247" s="585"/>
      <c r="AV247" s="585"/>
      <c r="AW247" s="585"/>
      <c r="AX247" s="585"/>
      <c r="AY247" s="585"/>
      <c r="AZ247" s="585"/>
      <c r="BA247" s="585"/>
      <c r="BB247" s="585"/>
      <c r="BC247" s="585"/>
      <c r="BD247" s="585"/>
      <c r="BE247" s="585"/>
      <c r="BF247" s="585"/>
      <c r="BG247" s="585"/>
      <c r="BH247" s="585"/>
      <c r="BI247" s="585"/>
      <c r="BJ247" s="585"/>
      <c r="BK247" s="585"/>
      <c r="BL247" s="585"/>
      <c r="BM247" s="585"/>
      <c r="BN247" s="585"/>
      <c r="BO247" s="585"/>
      <c r="BP247" s="585"/>
      <c r="BQ247" s="585"/>
      <c r="BW247" s="201"/>
      <c r="BX247" s="201"/>
      <c r="BY247" s="201"/>
    </row>
    <row r="248" spans="1:77">
      <c r="A248" s="322"/>
      <c r="B248" s="437">
        <v>2033</v>
      </c>
      <c r="C248" s="419"/>
      <c r="D248" s="1376">
        <v>5.8716103673510567</v>
      </c>
      <c r="E248" s="1373">
        <v>6.7334848291212799</v>
      </c>
      <c r="F248" s="1373">
        <v>9.1054136891948829</v>
      </c>
      <c r="G248" s="1377">
        <v>8.2762101447405421</v>
      </c>
      <c r="H248" s="1373"/>
      <c r="I248" s="1378">
        <v>6.6429512634098522</v>
      </c>
      <c r="J248" s="1373">
        <v>8.5454050694371428</v>
      </c>
      <c r="K248" s="1377">
        <v>8.0312283651054432</v>
      </c>
      <c r="L248" s="1373"/>
      <c r="M248" s="1379">
        <v>8.1292270718144959</v>
      </c>
      <c r="N248" s="433"/>
      <c r="O248" s="422"/>
      <c r="P248" s="1562">
        <v>2033</v>
      </c>
      <c r="Q248" s="1563"/>
      <c r="R248" s="1395">
        <v>2.3376180913467432E-3</v>
      </c>
      <c r="S248" s="1386"/>
      <c r="T248" s="1378">
        <v>0</v>
      </c>
      <c r="U248" s="1373">
        <v>0</v>
      </c>
      <c r="V248" s="1373">
        <v>0</v>
      </c>
      <c r="W248" s="1377">
        <v>0</v>
      </c>
      <c r="X248" s="1373"/>
      <c r="Y248" s="1378">
        <v>0</v>
      </c>
      <c r="Z248" s="1373">
        <v>0</v>
      </c>
      <c r="AA248" s="1377">
        <v>0</v>
      </c>
      <c r="AB248" s="1373"/>
      <c r="AC248" s="1379">
        <v>0</v>
      </c>
      <c r="AD248" s="422"/>
      <c r="AE248" s="1359">
        <v>2033</v>
      </c>
      <c r="AF248" s="1360"/>
      <c r="AG248" s="1361">
        <v>10.643156932941592</v>
      </c>
      <c r="AH248" s="585"/>
      <c r="AI248" s="585"/>
      <c r="AJ248" s="585"/>
      <c r="AK248" s="585"/>
      <c r="AL248" s="585"/>
      <c r="AM248" s="585"/>
      <c r="AN248" s="585"/>
      <c r="AO248" s="585"/>
      <c r="AP248" s="585"/>
      <c r="AQ248" s="585"/>
      <c r="AR248" s="585"/>
      <c r="AS248" s="585"/>
      <c r="AT248" s="585"/>
      <c r="AU248" s="585"/>
      <c r="AV248" s="585"/>
      <c r="AW248" s="585"/>
      <c r="AX248" s="585"/>
      <c r="AY248" s="585"/>
      <c r="AZ248" s="585"/>
      <c r="BA248" s="585"/>
      <c r="BB248" s="585"/>
      <c r="BC248" s="585"/>
      <c r="BD248" s="585"/>
      <c r="BE248" s="585"/>
      <c r="BF248" s="585"/>
      <c r="BG248" s="585"/>
      <c r="BH248" s="585"/>
      <c r="BI248" s="585"/>
      <c r="BJ248" s="585"/>
      <c r="BK248" s="585"/>
      <c r="BL248" s="585"/>
      <c r="BM248" s="585"/>
      <c r="BN248" s="585"/>
      <c r="BO248" s="585"/>
      <c r="BP248" s="585"/>
      <c r="BQ248" s="585"/>
      <c r="BW248" s="201"/>
      <c r="BX248" s="201"/>
      <c r="BY248" s="201"/>
    </row>
    <row r="249" spans="1:77">
      <c r="A249" s="322"/>
      <c r="B249" s="437">
        <v>2034</v>
      </c>
      <c r="C249" s="419"/>
      <c r="D249" s="1376">
        <v>5.9001179347479971</v>
      </c>
      <c r="E249" s="1373">
        <v>6.7570083445275708</v>
      </c>
      <c r="F249" s="1373">
        <v>9.1178744507789489</v>
      </c>
      <c r="G249" s="1377">
        <v>8.2925978598584624</v>
      </c>
      <c r="H249" s="1373"/>
      <c r="I249" s="1378">
        <v>6.6664160481195625</v>
      </c>
      <c r="J249" s="1373">
        <v>8.5609073009026861</v>
      </c>
      <c r="K249" s="1377">
        <v>8.0488826379883278</v>
      </c>
      <c r="L249" s="1373"/>
      <c r="M249" s="1379">
        <v>8.1463746905979466</v>
      </c>
      <c r="N249" s="433"/>
      <c r="O249" s="422"/>
      <c r="P249" s="1562">
        <v>2034</v>
      </c>
      <c r="Q249" s="1563"/>
      <c r="R249" s="1395">
        <v>2.3434168792720879E-3</v>
      </c>
      <c r="S249" s="1386"/>
      <c r="T249" s="1378">
        <v>0</v>
      </c>
      <c r="U249" s="1373">
        <v>0</v>
      </c>
      <c r="V249" s="1373">
        <v>0</v>
      </c>
      <c r="W249" s="1377">
        <v>0</v>
      </c>
      <c r="X249" s="1373"/>
      <c r="Y249" s="1378">
        <v>0</v>
      </c>
      <c r="Z249" s="1373">
        <v>0</v>
      </c>
      <c r="AA249" s="1377">
        <v>0</v>
      </c>
      <c r="AB249" s="1373"/>
      <c r="AC249" s="1379">
        <v>0</v>
      </c>
      <c r="AD249" s="422"/>
      <c r="AE249" s="1359">
        <v>2034</v>
      </c>
      <c r="AF249" s="1360"/>
      <c r="AG249" s="1361">
        <v>11.164362729596347</v>
      </c>
      <c r="AH249" s="585"/>
      <c r="AI249" s="585"/>
      <c r="AJ249" s="585"/>
      <c r="AK249" s="585"/>
      <c r="AL249" s="585"/>
      <c r="AM249" s="585"/>
      <c r="AN249" s="585"/>
      <c r="AO249" s="585"/>
      <c r="AP249" s="585"/>
      <c r="AQ249" s="585"/>
      <c r="AR249" s="585"/>
      <c r="AS249" s="585"/>
      <c r="AT249" s="585"/>
      <c r="AU249" s="585"/>
      <c r="AV249" s="585"/>
      <c r="AW249" s="585"/>
      <c r="AX249" s="585"/>
      <c r="AY249" s="585"/>
      <c r="AZ249" s="585"/>
      <c r="BA249" s="585"/>
      <c r="BB249" s="585"/>
      <c r="BC249" s="585"/>
      <c r="BD249" s="585"/>
      <c r="BE249" s="585"/>
      <c r="BF249" s="585"/>
      <c r="BG249" s="585"/>
      <c r="BH249" s="585"/>
      <c r="BI249" s="585"/>
      <c r="BJ249" s="585"/>
      <c r="BK249" s="585"/>
      <c r="BL249" s="585"/>
      <c r="BM249" s="585"/>
      <c r="BN249" s="585"/>
      <c r="BO249" s="585"/>
      <c r="BP249" s="585"/>
      <c r="BQ249" s="585"/>
      <c r="BW249" s="201"/>
      <c r="BX249" s="201"/>
      <c r="BY249" s="201"/>
    </row>
    <row r="250" spans="1:77">
      <c r="A250" s="322"/>
      <c r="B250" s="437">
        <v>2035</v>
      </c>
      <c r="C250" s="419"/>
      <c r="D250" s="1376">
        <v>5.9121059093201609</v>
      </c>
      <c r="E250" s="1373">
        <v>6.7637453392486693</v>
      </c>
      <c r="F250" s="1373">
        <v>9.1129446817191457</v>
      </c>
      <c r="G250" s="1377">
        <v>8.2918091295572918</v>
      </c>
      <c r="H250" s="1373"/>
      <c r="I250" s="1378">
        <v>6.6730747663403296</v>
      </c>
      <c r="J250" s="1373">
        <v>8.5592512530913396</v>
      </c>
      <c r="K250" s="1377">
        <v>8.0494738242397155</v>
      </c>
      <c r="L250" s="1373"/>
      <c r="M250" s="1379">
        <v>8.1464138764609029</v>
      </c>
      <c r="N250" s="433"/>
      <c r="O250" s="422"/>
      <c r="P250" s="1562">
        <v>2035</v>
      </c>
      <c r="Q250" s="1563"/>
      <c r="R250" s="1395">
        <v>2.3505577082385543E-3</v>
      </c>
      <c r="S250" s="1386"/>
      <c r="T250" s="1378">
        <v>0</v>
      </c>
      <c r="U250" s="1373">
        <v>0</v>
      </c>
      <c r="V250" s="1373">
        <v>0</v>
      </c>
      <c r="W250" s="1377">
        <v>0</v>
      </c>
      <c r="X250" s="1373"/>
      <c r="Y250" s="1378">
        <v>0</v>
      </c>
      <c r="Z250" s="1373">
        <v>0</v>
      </c>
      <c r="AA250" s="1377">
        <v>0</v>
      </c>
      <c r="AB250" s="1373"/>
      <c r="AC250" s="1379">
        <v>0</v>
      </c>
      <c r="AD250" s="422"/>
      <c r="AE250" s="1359">
        <v>2035</v>
      </c>
      <c r="AF250" s="1360"/>
      <c r="AG250" s="1361">
        <v>11.71109248349218</v>
      </c>
      <c r="AH250" s="585"/>
      <c r="AI250" s="585"/>
      <c r="AJ250" s="585"/>
      <c r="AK250" s="585"/>
      <c r="AL250" s="585"/>
      <c r="AM250" s="585"/>
      <c r="AN250" s="585"/>
      <c r="AO250" s="585"/>
      <c r="AP250" s="585"/>
      <c r="AQ250" s="585"/>
      <c r="AR250" s="585"/>
      <c r="AS250" s="585"/>
      <c r="AT250" s="585"/>
      <c r="AU250" s="585"/>
      <c r="AV250" s="585"/>
      <c r="AW250" s="585"/>
      <c r="AX250" s="585"/>
      <c r="AY250" s="585"/>
      <c r="AZ250" s="585"/>
      <c r="BA250" s="585"/>
      <c r="BB250" s="585"/>
      <c r="BC250" s="585"/>
      <c r="BD250" s="585"/>
      <c r="BE250" s="585"/>
      <c r="BF250" s="585"/>
      <c r="BG250" s="585"/>
      <c r="BH250" s="585"/>
      <c r="BI250" s="585"/>
      <c r="BJ250" s="585"/>
      <c r="BK250" s="585"/>
      <c r="BL250" s="585"/>
      <c r="BM250" s="585"/>
      <c r="BN250" s="585"/>
      <c r="BO250" s="585"/>
      <c r="BP250" s="585"/>
      <c r="BQ250" s="585"/>
      <c r="BW250" s="201"/>
      <c r="BX250" s="201"/>
      <c r="BY250" s="201"/>
    </row>
    <row r="251" spans="1:77">
      <c r="A251" s="322"/>
      <c r="B251" s="437">
        <v>2036</v>
      </c>
      <c r="C251" s="419"/>
      <c r="D251" s="1376">
        <v>5.9574466979079403</v>
      </c>
      <c r="E251" s="1373">
        <v>6.8043911957060876</v>
      </c>
      <c r="F251" s="1373">
        <v>9.1430639098568136</v>
      </c>
      <c r="G251" s="1377">
        <v>8.3256337966359837</v>
      </c>
      <c r="H251" s="1373"/>
      <c r="I251" s="1378">
        <v>6.7136914489593948</v>
      </c>
      <c r="J251" s="1373">
        <v>8.5921612305000785</v>
      </c>
      <c r="K251" s="1377">
        <v>8.0844492330039337</v>
      </c>
      <c r="L251" s="1373"/>
      <c r="M251" s="1379">
        <v>8.1809286145922862</v>
      </c>
      <c r="N251" s="433"/>
      <c r="O251" s="422"/>
      <c r="P251" s="1562">
        <v>2036</v>
      </c>
      <c r="Q251" s="1563"/>
      <c r="R251" s="1395">
        <v>2.3560120783103497E-3</v>
      </c>
      <c r="S251" s="1386"/>
      <c r="T251" s="1378">
        <v>0</v>
      </c>
      <c r="U251" s="1373">
        <v>0</v>
      </c>
      <c r="V251" s="1373">
        <v>0</v>
      </c>
      <c r="W251" s="1377">
        <v>0</v>
      </c>
      <c r="X251" s="1373"/>
      <c r="Y251" s="1378">
        <v>0</v>
      </c>
      <c r="Z251" s="1373">
        <v>0</v>
      </c>
      <c r="AA251" s="1377">
        <v>0</v>
      </c>
      <c r="AB251" s="1373"/>
      <c r="AC251" s="1379">
        <v>0</v>
      </c>
      <c r="AD251" s="422"/>
      <c r="AE251" s="1359">
        <v>2036</v>
      </c>
      <c r="AF251" s="1360"/>
      <c r="AG251" s="1361">
        <v>11.71109248349218</v>
      </c>
      <c r="AH251" s="585"/>
      <c r="AI251" s="585"/>
      <c r="AJ251" s="585"/>
      <c r="AK251" s="585"/>
      <c r="AL251" s="585"/>
      <c r="AM251" s="585"/>
      <c r="AN251" s="585"/>
      <c r="AO251" s="585"/>
      <c r="AP251" s="585"/>
      <c r="AQ251" s="585"/>
      <c r="AR251" s="585"/>
      <c r="AS251" s="585"/>
      <c r="AT251" s="585"/>
      <c r="AU251" s="585"/>
      <c r="AV251" s="585"/>
      <c r="AW251" s="585"/>
      <c r="AX251" s="585"/>
      <c r="AY251" s="585"/>
      <c r="AZ251" s="585"/>
      <c r="BA251" s="585"/>
      <c r="BB251" s="585"/>
      <c r="BC251" s="585"/>
      <c r="BD251" s="585"/>
      <c r="BE251" s="585"/>
      <c r="BF251" s="585"/>
      <c r="BG251" s="585"/>
      <c r="BH251" s="585"/>
      <c r="BI251" s="585"/>
      <c r="BJ251" s="585"/>
      <c r="BK251" s="585"/>
      <c r="BL251" s="585"/>
      <c r="BM251" s="585"/>
      <c r="BN251" s="585"/>
      <c r="BO251" s="585"/>
      <c r="BP251" s="585"/>
      <c r="BQ251" s="585"/>
      <c r="BW251" s="201"/>
      <c r="BX251" s="201"/>
      <c r="BY251" s="201"/>
    </row>
    <row r="252" spans="1:77">
      <c r="A252" s="322"/>
      <c r="B252" s="437">
        <v>2037</v>
      </c>
      <c r="C252" s="419"/>
      <c r="D252" s="1376">
        <v>6.0031352115096643</v>
      </c>
      <c r="E252" s="1373">
        <v>6.8452813082027708</v>
      </c>
      <c r="F252" s="1373">
        <v>9.1732826851699869</v>
      </c>
      <c r="G252" s="1377">
        <v>8.3595964442307604</v>
      </c>
      <c r="H252" s="1373"/>
      <c r="I252" s="1378">
        <v>6.7545553511833258</v>
      </c>
      <c r="J252" s="1373">
        <v>8.6251977454505973</v>
      </c>
      <c r="K252" s="1377">
        <v>8.1195766118527715</v>
      </c>
      <c r="L252" s="1373"/>
      <c r="M252" s="1379">
        <v>8.2155895848162626</v>
      </c>
      <c r="N252" s="433"/>
      <c r="O252" s="422"/>
      <c r="P252" s="1562">
        <v>2037</v>
      </c>
      <c r="Q252" s="1563"/>
      <c r="R252" s="1395">
        <v>2.3614791050179623E-3</v>
      </c>
      <c r="S252" s="1386"/>
      <c r="T252" s="1378">
        <v>0</v>
      </c>
      <c r="U252" s="1373">
        <v>0</v>
      </c>
      <c r="V252" s="1373">
        <v>0</v>
      </c>
      <c r="W252" s="1377">
        <v>0</v>
      </c>
      <c r="X252" s="1373"/>
      <c r="Y252" s="1378">
        <v>0</v>
      </c>
      <c r="Z252" s="1373">
        <v>0</v>
      </c>
      <c r="AA252" s="1377">
        <v>0</v>
      </c>
      <c r="AB252" s="1373"/>
      <c r="AC252" s="1379">
        <v>0</v>
      </c>
      <c r="AD252" s="422"/>
      <c r="AE252" s="1359">
        <v>2037</v>
      </c>
      <c r="AF252" s="1360"/>
      <c r="AG252" s="1361">
        <v>11.71109248349218</v>
      </c>
      <c r="AH252" s="585"/>
      <c r="AI252" s="585"/>
      <c r="AJ252" s="585"/>
      <c r="AK252" s="585"/>
      <c r="AL252" s="585"/>
      <c r="AM252" s="585"/>
      <c r="AN252" s="585"/>
      <c r="AO252" s="585"/>
      <c r="AP252" s="585"/>
      <c r="AQ252" s="585"/>
      <c r="AR252" s="585"/>
      <c r="AS252" s="585"/>
      <c r="AT252" s="585"/>
      <c r="AU252" s="585"/>
      <c r="AV252" s="585"/>
      <c r="AW252" s="585"/>
      <c r="AX252" s="585"/>
      <c r="AY252" s="585"/>
      <c r="AZ252" s="585"/>
      <c r="BA252" s="585"/>
      <c r="BB252" s="585"/>
      <c r="BC252" s="585"/>
      <c r="BD252" s="585"/>
      <c r="BE252" s="585"/>
      <c r="BF252" s="585"/>
      <c r="BG252" s="585"/>
      <c r="BH252" s="585"/>
      <c r="BI252" s="585"/>
      <c r="BJ252" s="585"/>
      <c r="BK252" s="585"/>
      <c r="BL252" s="585"/>
      <c r="BM252" s="585"/>
      <c r="BN252" s="585"/>
      <c r="BO252" s="585"/>
      <c r="BP252" s="585"/>
      <c r="BQ252" s="585"/>
      <c r="BW252" s="201"/>
      <c r="BX252" s="201"/>
      <c r="BY252" s="201"/>
    </row>
    <row r="253" spans="1:77">
      <c r="A253" s="322"/>
      <c r="B253" s="437">
        <v>2038</v>
      </c>
      <c r="C253" s="419"/>
      <c r="D253" s="1376">
        <v>6.0491741168783628</v>
      </c>
      <c r="E253" s="1373">
        <v>6.886417144563926</v>
      </c>
      <c r="F253" s="1373">
        <v>9.2036013366724152</v>
      </c>
      <c r="G253" s="1377">
        <v>8.3936976352037149</v>
      </c>
      <c r="H253" s="1373"/>
      <c r="I253" s="1378">
        <v>6.795667977751779</v>
      </c>
      <c r="J253" s="1373">
        <v>8.6583612844746636</v>
      </c>
      <c r="K253" s="1377">
        <v>8.1548566211046509</v>
      </c>
      <c r="L253" s="1373"/>
      <c r="M253" s="1379">
        <v>8.2503974066891725</v>
      </c>
      <c r="N253" s="433"/>
      <c r="O253" s="422"/>
      <c r="P253" s="1562">
        <v>2038</v>
      </c>
      <c r="Q253" s="1563"/>
      <c r="R253" s="1395">
        <v>2.3669588177305818E-3</v>
      </c>
      <c r="S253" s="1386"/>
      <c r="T253" s="1378">
        <v>0</v>
      </c>
      <c r="U253" s="1373">
        <v>0</v>
      </c>
      <c r="V253" s="1373">
        <v>0</v>
      </c>
      <c r="W253" s="1377">
        <v>0</v>
      </c>
      <c r="X253" s="1373"/>
      <c r="Y253" s="1378">
        <v>0</v>
      </c>
      <c r="Z253" s="1373">
        <v>0</v>
      </c>
      <c r="AA253" s="1377">
        <v>0</v>
      </c>
      <c r="AB253" s="1373"/>
      <c r="AC253" s="1379">
        <v>0</v>
      </c>
      <c r="AD253" s="422"/>
      <c r="AE253" s="1359">
        <v>2038</v>
      </c>
      <c r="AF253" s="1360"/>
      <c r="AG253" s="1361">
        <v>11.71109248349218</v>
      </c>
      <c r="AH253" s="585"/>
      <c r="AI253" s="585"/>
      <c r="AJ253" s="585"/>
      <c r="AK253" s="585"/>
      <c r="AL253" s="585"/>
      <c r="AM253" s="585"/>
      <c r="AN253" s="585"/>
      <c r="AO253" s="585"/>
      <c r="AP253" s="585"/>
      <c r="AQ253" s="585"/>
      <c r="AR253" s="585"/>
      <c r="AS253" s="585"/>
      <c r="AT253" s="585"/>
      <c r="AU253" s="585"/>
      <c r="AV253" s="585"/>
      <c r="AW253" s="585"/>
      <c r="AX253" s="585"/>
      <c r="AY253" s="585"/>
      <c r="AZ253" s="585"/>
      <c r="BA253" s="585"/>
      <c r="BB253" s="585"/>
      <c r="BC253" s="585"/>
      <c r="BD253" s="585"/>
      <c r="BE253" s="585"/>
      <c r="BF253" s="585"/>
      <c r="BG253" s="585"/>
      <c r="BH253" s="585"/>
      <c r="BI253" s="585"/>
      <c r="BJ253" s="585"/>
      <c r="BK253" s="585"/>
      <c r="BL253" s="585"/>
      <c r="BM253" s="585"/>
      <c r="BN253" s="585"/>
      <c r="BO253" s="585"/>
      <c r="BP253" s="585"/>
      <c r="BQ253" s="585"/>
      <c r="BW253" s="201"/>
      <c r="BX253" s="201"/>
      <c r="BY253" s="201"/>
    </row>
    <row r="254" spans="1:77">
      <c r="A254" s="322"/>
      <c r="B254" s="437">
        <v>2039</v>
      </c>
      <c r="C254" s="419"/>
      <c r="D254" s="1376">
        <v>6.0955661012187763</v>
      </c>
      <c r="E254" s="1373">
        <v>6.9278001814354688</v>
      </c>
      <c r="F254" s="1373">
        <v>9.2340201944652716</v>
      </c>
      <c r="G254" s="1377">
        <v>8.427937934713011</v>
      </c>
      <c r="H254" s="1373"/>
      <c r="I254" s="1378">
        <v>6.8370308425632373</v>
      </c>
      <c r="J254" s="1373">
        <v>8.6916523359747409</v>
      </c>
      <c r="K254" s="1377">
        <v>8.190289923947109</v>
      </c>
      <c r="L254" s="1373"/>
      <c r="M254" s="1379">
        <v>8.2853527023922968</v>
      </c>
      <c r="N254" s="433"/>
      <c r="O254" s="422"/>
      <c r="P254" s="1562">
        <v>2039</v>
      </c>
      <c r="Q254" s="1563"/>
      <c r="R254" s="1395">
        <v>2.3724512458855478E-3</v>
      </c>
      <c r="S254" s="1386"/>
      <c r="T254" s="1378">
        <v>0</v>
      </c>
      <c r="U254" s="1373">
        <v>0</v>
      </c>
      <c r="V254" s="1373">
        <v>0</v>
      </c>
      <c r="W254" s="1377">
        <v>0</v>
      </c>
      <c r="X254" s="1373"/>
      <c r="Y254" s="1378">
        <v>0</v>
      </c>
      <c r="Z254" s="1373">
        <v>0</v>
      </c>
      <c r="AA254" s="1377">
        <v>0</v>
      </c>
      <c r="AB254" s="1373"/>
      <c r="AC254" s="1379">
        <v>0</v>
      </c>
      <c r="AD254" s="422"/>
      <c r="AE254" s="1359">
        <v>2039</v>
      </c>
      <c r="AF254" s="1360"/>
      <c r="AG254" s="1361">
        <v>11.71109248349218</v>
      </c>
      <c r="AH254" s="585"/>
      <c r="AI254" s="585"/>
      <c r="AJ254" s="585"/>
      <c r="AK254" s="585"/>
      <c r="AL254" s="585"/>
      <c r="AM254" s="585"/>
      <c r="AN254" s="585"/>
      <c r="AO254" s="585"/>
      <c r="AP254" s="585"/>
      <c r="AQ254" s="585"/>
      <c r="AR254" s="585"/>
      <c r="AS254" s="585"/>
      <c r="AT254" s="585"/>
      <c r="AU254" s="585"/>
      <c r="AV254" s="585"/>
      <c r="AW254" s="585"/>
      <c r="AX254" s="585"/>
      <c r="AY254" s="585"/>
      <c r="AZ254" s="585"/>
      <c r="BA254" s="585"/>
      <c r="BB254" s="585"/>
      <c r="BC254" s="585"/>
      <c r="BD254" s="585"/>
      <c r="BE254" s="585"/>
      <c r="BF254" s="585"/>
      <c r="BG254" s="585"/>
      <c r="BH254" s="585"/>
      <c r="BI254" s="585"/>
      <c r="BJ254" s="585"/>
      <c r="BK254" s="585"/>
      <c r="BL254" s="585"/>
      <c r="BM254" s="585"/>
      <c r="BN254" s="585"/>
      <c r="BO254" s="585"/>
      <c r="BP254" s="585"/>
      <c r="BQ254" s="585"/>
      <c r="BW254" s="201"/>
      <c r="BX254" s="201"/>
      <c r="BY254" s="201"/>
    </row>
    <row r="255" spans="1:77">
      <c r="A255" s="322"/>
      <c r="B255" s="437">
        <v>2040</v>
      </c>
      <c r="C255" s="419"/>
      <c r="D255" s="1376">
        <v>6.1423138723442054</v>
      </c>
      <c r="E255" s="1373">
        <v>6.9694319043370268</v>
      </c>
      <c r="F255" s="1373">
        <v>9.2645395897407461</v>
      </c>
      <c r="G255" s="1377">
        <v>8.462317910222259</v>
      </c>
      <c r="H255" s="1373"/>
      <c r="I255" s="1378">
        <v>6.8786454687307552</v>
      </c>
      <c r="J255" s="1373">
        <v>8.7250713902311787</v>
      </c>
      <c r="K255" s="1377">
        <v>8.2258771864492708</v>
      </c>
      <c r="L255" s="1373"/>
      <c r="M255" s="1379">
        <v>8.3204560967429728</v>
      </c>
      <c r="N255" s="433"/>
      <c r="O255" s="422"/>
      <c r="P255" s="1562">
        <v>2040</v>
      </c>
      <c r="Q255" s="1563"/>
      <c r="R255" s="1395">
        <v>2.3779564189885089E-3</v>
      </c>
      <c r="S255" s="1386"/>
      <c r="T255" s="1378">
        <v>0</v>
      </c>
      <c r="U255" s="1373">
        <v>0</v>
      </c>
      <c r="V255" s="1373">
        <v>0</v>
      </c>
      <c r="W255" s="1377">
        <v>0</v>
      </c>
      <c r="X255" s="1373"/>
      <c r="Y255" s="1378">
        <v>0</v>
      </c>
      <c r="Z255" s="1373">
        <v>0</v>
      </c>
      <c r="AA255" s="1377">
        <v>0</v>
      </c>
      <c r="AB255" s="1373"/>
      <c r="AC255" s="1379">
        <v>0</v>
      </c>
      <c r="AD255" s="422"/>
      <c r="AE255" s="1359">
        <v>2040</v>
      </c>
      <c r="AF255" s="1360"/>
      <c r="AG255" s="1361">
        <v>11.71109248349218</v>
      </c>
      <c r="AH255" s="585"/>
      <c r="AI255" s="585"/>
      <c r="AJ255" s="585"/>
      <c r="AK255" s="585"/>
      <c r="AL255" s="585"/>
      <c r="AM255" s="585"/>
      <c r="AN255" s="585"/>
      <c r="AO255" s="585"/>
      <c r="AP255" s="585"/>
      <c r="AQ255" s="585"/>
      <c r="AR255" s="585"/>
      <c r="AS255" s="585"/>
      <c r="AT255" s="585"/>
      <c r="AU255" s="585"/>
      <c r="AV255" s="585"/>
      <c r="AW255" s="585"/>
      <c r="AX255" s="585"/>
      <c r="AY255" s="585"/>
      <c r="AZ255" s="585"/>
      <c r="BA255" s="585"/>
      <c r="BB255" s="585"/>
      <c r="BC255" s="585"/>
      <c r="BD255" s="585"/>
      <c r="BE255" s="585"/>
      <c r="BF255" s="585"/>
      <c r="BG255" s="585"/>
      <c r="BH255" s="585"/>
      <c r="BI255" s="585"/>
      <c r="BJ255" s="585"/>
      <c r="BK255" s="585"/>
      <c r="BL255" s="585"/>
      <c r="BM255" s="585"/>
      <c r="BN255" s="585"/>
      <c r="BO255" s="585"/>
      <c r="BP255" s="585"/>
      <c r="BQ255" s="585"/>
      <c r="BW255" s="201"/>
      <c r="BX255" s="201"/>
      <c r="BY255" s="201"/>
    </row>
    <row r="256" spans="1:77">
      <c r="A256" s="322"/>
      <c r="B256" s="437">
        <v>2041</v>
      </c>
      <c r="C256" s="419"/>
      <c r="D256" s="1376">
        <v>6.1894201588345581</v>
      </c>
      <c r="E256" s="1373">
        <v>7.0113138077152675</v>
      </c>
      <c r="F256" s="1373">
        <v>9.2951598547856573</v>
      </c>
      <c r="G256" s="1377">
        <v>8.4968381315099144</v>
      </c>
      <c r="H256" s="1373"/>
      <c r="I256" s="1378">
        <v>6.9205133886380468</v>
      </c>
      <c r="J256" s="1373">
        <v>8.7586189394094358</v>
      </c>
      <c r="K256" s="1377">
        <v>8.2616190775743696</v>
      </c>
      <c r="L256" s="1373"/>
      <c r="M256" s="1379">
        <v>8.3557082172057644</v>
      </c>
      <c r="N256" s="433"/>
      <c r="O256" s="422"/>
      <c r="P256" s="1562">
        <v>2041</v>
      </c>
      <c r="Q256" s="1563"/>
      <c r="R256" s="1395">
        <v>2.3834743666135789E-3</v>
      </c>
      <c r="S256" s="1386"/>
      <c r="T256" s="1378">
        <v>0</v>
      </c>
      <c r="U256" s="1373">
        <v>0</v>
      </c>
      <c r="V256" s="1373">
        <v>0</v>
      </c>
      <c r="W256" s="1377">
        <v>0</v>
      </c>
      <c r="X256" s="1373"/>
      <c r="Y256" s="1378">
        <v>0</v>
      </c>
      <c r="Z256" s="1373">
        <v>0</v>
      </c>
      <c r="AA256" s="1377">
        <v>0</v>
      </c>
      <c r="AB256" s="1373"/>
      <c r="AC256" s="1379">
        <v>0</v>
      </c>
      <c r="AD256" s="422"/>
      <c r="AE256" s="1359">
        <v>2041</v>
      </c>
      <c r="AF256" s="1360"/>
      <c r="AG256" s="1361">
        <v>11.71109248349218</v>
      </c>
      <c r="AH256" s="585"/>
      <c r="AI256" s="585"/>
      <c r="AJ256" s="585"/>
      <c r="AK256" s="585"/>
      <c r="AL256" s="585"/>
      <c r="AM256" s="585"/>
      <c r="AN256" s="585"/>
      <c r="AO256" s="585"/>
      <c r="AP256" s="585"/>
      <c r="AQ256" s="585"/>
      <c r="AR256" s="585"/>
      <c r="AS256" s="585"/>
      <c r="AT256" s="585"/>
      <c r="AU256" s="585"/>
      <c r="AV256" s="585"/>
      <c r="AW256" s="585"/>
      <c r="AX256" s="585"/>
      <c r="AY256" s="585"/>
      <c r="AZ256" s="585"/>
      <c r="BA256" s="585"/>
      <c r="BB256" s="585"/>
      <c r="BC256" s="585"/>
      <c r="BD256" s="585"/>
      <c r="BE256" s="585"/>
      <c r="BF256" s="585"/>
      <c r="BG256" s="585"/>
      <c r="BH256" s="585"/>
      <c r="BI256" s="585"/>
      <c r="BJ256" s="585"/>
      <c r="BK256" s="585"/>
      <c r="BL256" s="585"/>
      <c r="BM256" s="585"/>
      <c r="BN256" s="585"/>
      <c r="BO256" s="585"/>
      <c r="BP256" s="585"/>
      <c r="BQ256" s="585"/>
      <c r="BW256" s="201"/>
      <c r="BX256" s="201"/>
      <c r="BY256" s="201"/>
    </row>
    <row r="257" spans="1:79">
      <c r="A257" s="322"/>
      <c r="B257" s="437">
        <v>2042</v>
      </c>
      <c r="C257" s="419"/>
      <c r="D257" s="1376">
        <v>6.2368877101956137</v>
      </c>
      <c r="E257" s="1373">
        <v>7.0534473949975416</v>
      </c>
      <c r="F257" s="1373">
        <v>9.3258813229850617</v>
      </c>
      <c r="G257" s="1377">
        <v>8.5314991706787211</v>
      </c>
      <c r="H257" s="1373"/>
      <c r="I257" s="1378">
        <v>6.9626361439959128</v>
      </c>
      <c r="J257" s="1373">
        <v>8.792295477567329</v>
      </c>
      <c r="K257" s="1377">
        <v>8.2975162691923217</v>
      </c>
      <c r="L257" s="1373"/>
      <c r="M257" s="1379">
        <v>8.3911096939036796</v>
      </c>
      <c r="N257" s="433"/>
      <c r="O257" s="422"/>
      <c r="P257" s="1562">
        <v>2042</v>
      </c>
      <c r="Q257" s="1563"/>
      <c r="R257" s="1395">
        <v>2.3890051184034984E-3</v>
      </c>
      <c r="S257" s="1386"/>
      <c r="T257" s="1378">
        <v>0</v>
      </c>
      <c r="U257" s="1373">
        <v>0</v>
      </c>
      <c r="V257" s="1373">
        <v>0</v>
      </c>
      <c r="W257" s="1377">
        <v>0</v>
      </c>
      <c r="X257" s="1373"/>
      <c r="Y257" s="1378">
        <v>0</v>
      </c>
      <c r="Z257" s="1373">
        <v>0</v>
      </c>
      <c r="AA257" s="1377">
        <v>0</v>
      </c>
      <c r="AB257" s="1373"/>
      <c r="AC257" s="1379">
        <v>0</v>
      </c>
      <c r="AD257" s="422"/>
      <c r="AE257" s="1359">
        <v>2042</v>
      </c>
      <c r="AF257" s="1360"/>
      <c r="AG257" s="1361">
        <v>11.71109248349218</v>
      </c>
      <c r="AH257" s="585"/>
      <c r="AI257" s="585"/>
      <c r="AJ257" s="585"/>
      <c r="AK257" s="585"/>
      <c r="AL257" s="585"/>
      <c r="AM257" s="585"/>
      <c r="AN257" s="585"/>
      <c r="AO257" s="585"/>
      <c r="AP257" s="585"/>
      <c r="AQ257" s="585"/>
      <c r="AR257" s="585"/>
      <c r="AS257" s="585"/>
      <c r="AT257" s="585"/>
      <c r="AU257" s="585"/>
      <c r="AV257" s="585"/>
      <c r="AW257" s="585"/>
      <c r="AX257" s="585"/>
      <c r="AY257" s="585"/>
      <c r="AZ257" s="585"/>
      <c r="BA257" s="585"/>
      <c r="BB257" s="585"/>
      <c r="BC257" s="585"/>
      <c r="BD257" s="585"/>
      <c r="BE257" s="585"/>
      <c r="BF257" s="585"/>
      <c r="BG257" s="585"/>
      <c r="BH257" s="585"/>
      <c r="BI257" s="585"/>
      <c r="BJ257" s="585"/>
      <c r="BK257" s="585"/>
      <c r="BL257" s="585"/>
      <c r="BM257" s="585"/>
      <c r="BN257" s="585"/>
      <c r="BO257" s="585"/>
      <c r="BP257" s="585"/>
      <c r="BQ257" s="585"/>
      <c r="BW257" s="201"/>
      <c r="BX257" s="201"/>
      <c r="BY257" s="201"/>
    </row>
    <row r="258" spans="1:79">
      <c r="A258" s="322"/>
      <c r="B258" s="437">
        <v>2043</v>
      </c>
      <c r="C258" s="419"/>
      <c r="D258" s="1376">
        <v>6.2847192970195067</v>
      </c>
      <c r="E258" s="1373">
        <v>7.0958341786458554</v>
      </c>
      <c r="F258" s="1373">
        <v>9.3567043288258915</v>
      </c>
      <c r="G258" s="1377">
        <v>8.5663016021651952</v>
      </c>
      <c r="H258" s="1373"/>
      <c r="I258" s="1378">
        <v>7.0050152858990096</v>
      </c>
      <c r="J258" s="1373">
        <v>8.826101500662304</v>
      </c>
      <c r="K258" s="1377">
        <v>8.3335694360923522</v>
      </c>
      <c r="L258" s="1373"/>
      <c r="M258" s="1379">
        <v>8.4266611596294325</v>
      </c>
      <c r="N258" s="433"/>
      <c r="O258" s="422"/>
      <c r="P258" s="1562">
        <v>2043</v>
      </c>
      <c r="Q258" s="1563"/>
      <c r="R258" s="1395">
        <v>2.3945487040697919E-3</v>
      </c>
      <c r="S258" s="1386"/>
      <c r="T258" s="1378">
        <v>0</v>
      </c>
      <c r="U258" s="1373">
        <v>0</v>
      </c>
      <c r="V258" s="1373">
        <v>0</v>
      </c>
      <c r="W258" s="1377">
        <v>0</v>
      </c>
      <c r="X258" s="1373"/>
      <c r="Y258" s="1378">
        <v>0</v>
      </c>
      <c r="Z258" s="1373">
        <v>0</v>
      </c>
      <c r="AA258" s="1377">
        <v>0</v>
      </c>
      <c r="AB258" s="1373"/>
      <c r="AC258" s="1379">
        <v>0</v>
      </c>
      <c r="AD258" s="422"/>
      <c r="AE258" s="1359">
        <v>2043</v>
      </c>
      <c r="AF258" s="1360"/>
      <c r="AG258" s="1361">
        <v>11.71109248349218</v>
      </c>
      <c r="AH258" s="585"/>
      <c r="AI258" s="585"/>
      <c r="AJ258" s="585"/>
      <c r="AK258" s="585"/>
      <c r="AL258" s="585"/>
      <c r="AM258" s="585"/>
      <c r="AN258" s="585"/>
      <c r="AO258" s="585"/>
      <c r="AP258" s="585"/>
      <c r="AQ258" s="585"/>
      <c r="AR258" s="585"/>
      <c r="AS258" s="585"/>
      <c r="AT258" s="585"/>
      <c r="AU258" s="585"/>
      <c r="AV258" s="585"/>
      <c r="AW258" s="585"/>
      <c r="AX258" s="585"/>
      <c r="AY258" s="585"/>
      <c r="AZ258" s="585"/>
      <c r="BA258" s="585"/>
      <c r="BB258" s="585"/>
      <c r="BC258" s="585"/>
      <c r="BD258" s="585"/>
      <c r="BE258" s="585"/>
      <c r="BF258" s="585"/>
      <c r="BG258" s="585"/>
      <c r="BH258" s="585"/>
      <c r="BI258" s="585"/>
      <c r="BJ258" s="585"/>
      <c r="BK258" s="585"/>
      <c r="BL258" s="585"/>
      <c r="BM258" s="585"/>
      <c r="BN258" s="585"/>
      <c r="BO258" s="585"/>
      <c r="BP258" s="585"/>
      <c r="BQ258" s="585"/>
      <c r="BW258" s="201"/>
      <c r="BX258" s="201"/>
      <c r="BY258" s="201"/>
    </row>
    <row r="259" spans="1:79">
      <c r="A259" s="322"/>
      <c r="B259" s="1385">
        <v>2044</v>
      </c>
      <c r="C259" s="1386"/>
      <c r="D259" s="1376">
        <v>6.3329177111464396</v>
      </c>
      <c r="E259" s="1373">
        <v>7.1384756802111582</v>
      </c>
      <c r="F259" s="1373">
        <v>9.3876292079005932</v>
      </c>
      <c r="G259" s="1377">
        <v>8.6012460027491446</v>
      </c>
      <c r="H259" s="1373"/>
      <c r="I259" s="1378">
        <v>7.0476523748829676</v>
      </c>
      <c r="J259" s="1373">
        <v>8.8600375065587453</v>
      </c>
      <c r="K259" s="1377">
        <v>8.3697792559956863</v>
      </c>
      <c r="L259" s="1373"/>
      <c r="M259" s="1379">
        <v>8.4623632498567538</v>
      </c>
      <c r="N259" s="433"/>
      <c r="O259" s="422"/>
      <c r="P259" s="1562">
        <v>2044</v>
      </c>
      <c r="Q259" s="1563"/>
      <c r="R259" s="1395">
        <v>2.4001051533929282E-3</v>
      </c>
      <c r="S259" s="1386"/>
      <c r="T259" s="1378">
        <v>0</v>
      </c>
      <c r="U259" s="1373">
        <v>0</v>
      </c>
      <c r="V259" s="1373">
        <v>0</v>
      </c>
      <c r="W259" s="1377">
        <v>0</v>
      </c>
      <c r="X259" s="1373"/>
      <c r="Y259" s="1378">
        <v>0</v>
      </c>
      <c r="Z259" s="1373">
        <v>0</v>
      </c>
      <c r="AA259" s="1377">
        <v>0</v>
      </c>
      <c r="AB259" s="1373"/>
      <c r="AC259" s="1379">
        <v>0</v>
      </c>
      <c r="AD259" s="422"/>
      <c r="AE259" s="1359">
        <v>2044</v>
      </c>
      <c r="AF259" s="1360"/>
      <c r="AG259" s="1361">
        <v>11.71109248349218</v>
      </c>
      <c r="AH259" s="327"/>
      <c r="AI259" s="326"/>
      <c r="AJ259" s="326"/>
      <c r="AK259" s="326"/>
      <c r="AL259" s="326"/>
      <c r="AM259" s="326"/>
      <c r="AN259" s="326"/>
      <c r="AO259" s="326"/>
      <c r="AP259" s="326"/>
      <c r="AQ259" s="326"/>
      <c r="AR259" s="326"/>
      <c r="AS259" s="328"/>
      <c r="BW259" s="201"/>
      <c r="BX259" s="201"/>
      <c r="BY259" s="201"/>
    </row>
    <row r="260" spans="1:79">
      <c r="A260" s="322"/>
      <c r="B260" s="1385">
        <v>2045</v>
      </c>
      <c r="C260" s="1386"/>
      <c r="D260" s="1376">
        <v>6.3814857658276374</v>
      </c>
      <c r="E260" s="1373">
        <v>7.1813734303879659</v>
      </c>
      <c r="F260" s="1373">
        <v>9.4186562969107772</v>
      </c>
      <c r="G260" s="1377">
        <v>8.6363329515632259</v>
      </c>
      <c r="H260" s="1373"/>
      <c r="I260" s="1378">
        <v>7.090548980981854</v>
      </c>
      <c r="J260" s="1373">
        <v>8.8941039950353069</v>
      </c>
      <c r="K260" s="1377">
        <v>8.406146409568283</v>
      </c>
      <c r="L260" s="1373"/>
      <c r="M260" s="1379">
        <v>8.4982166027517501</v>
      </c>
      <c r="N260" s="433"/>
      <c r="O260" s="422"/>
      <c r="P260" s="1562">
        <v>2045</v>
      </c>
      <c r="Q260" s="1563"/>
      <c r="R260" s="1395">
        <v>2.4056744962224811E-3</v>
      </c>
      <c r="S260" s="1386"/>
      <c r="T260" s="1378">
        <v>0</v>
      </c>
      <c r="U260" s="1373">
        <v>0</v>
      </c>
      <c r="V260" s="1373">
        <v>0</v>
      </c>
      <c r="W260" s="1377">
        <v>0</v>
      </c>
      <c r="X260" s="1373"/>
      <c r="Y260" s="1378">
        <v>0</v>
      </c>
      <c r="Z260" s="1373">
        <v>0</v>
      </c>
      <c r="AA260" s="1377">
        <v>0</v>
      </c>
      <c r="AB260" s="1373"/>
      <c r="AC260" s="1379">
        <v>0</v>
      </c>
      <c r="AD260" s="422"/>
      <c r="AE260" s="1359">
        <v>2045</v>
      </c>
      <c r="AF260" s="1360"/>
      <c r="AG260" s="1361">
        <v>11.71109248349218</v>
      </c>
      <c r="AH260" s="327"/>
      <c r="AI260" s="326"/>
      <c r="AJ260" s="326"/>
      <c r="AK260" s="326"/>
      <c r="AL260" s="326"/>
      <c r="AM260" s="326"/>
      <c r="AN260" s="326"/>
      <c r="AO260" s="326"/>
      <c r="AP260" s="326"/>
      <c r="AQ260" s="326"/>
      <c r="AR260" s="326"/>
      <c r="AS260" s="328"/>
      <c r="BW260" s="201"/>
      <c r="BX260" s="201"/>
      <c r="BY260" s="201"/>
    </row>
    <row r="261" spans="1:79">
      <c r="A261" s="322"/>
      <c r="B261" s="1385">
        <v>2046</v>
      </c>
      <c r="C261" s="1386"/>
      <c r="D261" s="1376">
        <v>6.4304262958895535</v>
      </c>
      <c r="E261" s="1373">
        <v>7.2245289690693042</v>
      </c>
      <c r="F261" s="1373">
        <v>9.449785933670892</v>
      </c>
      <c r="G261" s="1377">
        <v>8.6715630301025453</v>
      </c>
      <c r="H261" s="1373"/>
      <c r="I261" s="1378">
        <v>7.133706683785987</v>
      </c>
      <c r="J261" s="1373">
        <v>8.9283014677922701</v>
      </c>
      <c r="K261" s="1377">
        <v>8.4426715804336325</v>
      </c>
      <c r="L261" s="1373"/>
      <c r="M261" s="1379">
        <v>8.5342218591843118</v>
      </c>
      <c r="N261" s="1397"/>
      <c r="O261" s="1398"/>
      <c r="P261" s="1562">
        <v>2046</v>
      </c>
      <c r="Q261" s="1563"/>
      <c r="R261" s="1395">
        <v>2.4112567624772884E-3</v>
      </c>
      <c r="S261" s="1386"/>
      <c r="T261" s="1378">
        <v>0</v>
      </c>
      <c r="U261" s="1373">
        <v>0</v>
      </c>
      <c r="V261" s="1373">
        <v>0</v>
      </c>
      <c r="W261" s="1377">
        <v>0</v>
      </c>
      <c r="X261" s="1373"/>
      <c r="Y261" s="1378">
        <v>0</v>
      </c>
      <c r="Z261" s="1373">
        <v>0</v>
      </c>
      <c r="AA261" s="1377">
        <v>0</v>
      </c>
      <c r="AB261" s="1373"/>
      <c r="AC261" s="1379">
        <v>0</v>
      </c>
      <c r="AD261" s="422"/>
      <c r="AE261" s="1359">
        <v>2046</v>
      </c>
      <c r="AF261" s="1360"/>
      <c r="AG261" s="1361">
        <v>11.71109248349218</v>
      </c>
      <c r="AH261" s="327"/>
      <c r="AI261" s="326"/>
      <c r="AJ261" s="326"/>
      <c r="AK261" s="326"/>
      <c r="AL261" s="326"/>
      <c r="AM261" s="326"/>
      <c r="AN261" s="326"/>
      <c r="AO261" s="326"/>
      <c r="AP261" s="326"/>
      <c r="AQ261" s="326"/>
      <c r="AR261" s="326"/>
      <c r="AS261" s="328"/>
      <c r="BW261" s="201"/>
      <c r="BX261" s="201"/>
      <c r="BY261" s="201"/>
    </row>
    <row r="262" spans="1:79">
      <c r="A262" s="322"/>
      <c r="B262" s="1385">
        <v>2047</v>
      </c>
      <c r="C262" s="1386"/>
      <c r="D262" s="1376">
        <v>6.4797421578993317</v>
      </c>
      <c r="E262" s="1373">
        <v>7.2679438454019891</v>
      </c>
      <c r="F262" s="1373">
        <v>9.4810184571118938</v>
      </c>
      <c r="G262" s="1377">
        <v>8.7069368222342955</v>
      </c>
      <c r="H262" s="1373"/>
      <c r="I262" s="1378">
        <v>7.1771270725001006</v>
      </c>
      <c r="J262" s="1373">
        <v>8.9626304284589331</v>
      </c>
      <c r="K262" s="1377">
        <v>8.4793554551856065</v>
      </c>
      <c r="L262" s="1373"/>
      <c r="M262" s="1379">
        <v>8.5703796627395672</v>
      </c>
      <c r="N262" s="1397"/>
      <c r="O262" s="1398"/>
      <c r="P262" s="1562">
        <v>2047</v>
      </c>
      <c r="Q262" s="1563"/>
      <c r="R262" s="1395">
        <v>2.4168519821456142E-3</v>
      </c>
      <c r="S262" s="1386"/>
      <c r="T262" s="1378">
        <v>0</v>
      </c>
      <c r="U262" s="1373">
        <v>0</v>
      </c>
      <c r="V262" s="1373">
        <v>0</v>
      </c>
      <c r="W262" s="1377">
        <v>0</v>
      </c>
      <c r="X262" s="1373"/>
      <c r="Y262" s="1378">
        <v>0</v>
      </c>
      <c r="Z262" s="1373">
        <v>0</v>
      </c>
      <c r="AA262" s="1377">
        <v>0</v>
      </c>
      <c r="AB262" s="1373"/>
      <c r="AC262" s="1379">
        <v>0</v>
      </c>
      <c r="AD262" s="422"/>
      <c r="AE262" s="1359">
        <v>2047</v>
      </c>
      <c r="AF262" s="1360"/>
      <c r="AG262" s="1361">
        <v>11.71109248349218</v>
      </c>
      <c r="AH262" s="327"/>
      <c r="AI262" s="326"/>
      <c r="AJ262" s="326"/>
      <c r="AK262" s="326"/>
      <c r="AL262" s="326"/>
      <c r="AM262" s="326"/>
      <c r="AN262" s="326"/>
      <c r="AO262" s="326"/>
      <c r="AP262" s="326"/>
      <c r="AQ262" s="326"/>
      <c r="AR262" s="326"/>
      <c r="AS262" s="328"/>
      <c r="BW262" s="201"/>
      <c r="BX262" s="201"/>
      <c r="BY262" s="201"/>
    </row>
    <row r="263" spans="1:79">
      <c r="A263" s="322"/>
      <c r="B263" s="1385">
        <v>2048</v>
      </c>
      <c r="C263" s="1386"/>
      <c r="D263" s="1376">
        <v>6.5294362303315383</v>
      </c>
      <c r="E263" s="1373">
        <v>7.3116196178422337</v>
      </c>
      <c r="F263" s="1373">
        <v>9.512354207284945</v>
      </c>
      <c r="G263" s="1377">
        <v>8.7424549142074284</v>
      </c>
      <c r="H263" s="1373"/>
      <c r="I263" s="1378">
        <v>7.2208117460018642</v>
      </c>
      <c r="J263" s="1373">
        <v>8.9970913826010293</v>
      </c>
      <c r="K263" s="1377">
        <v>8.5161987234013683</v>
      </c>
      <c r="L263" s="1373"/>
      <c r="M263" s="1379">
        <v>8.6066906597293862</v>
      </c>
      <c r="N263" s="1397"/>
      <c r="O263" s="1398"/>
      <c r="P263" s="1562">
        <v>2048</v>
      </c>
      <c r="Q263" s="1563"/>
      <c r="R263" s="1395">
        <v>2.4224601852853079E-3</v>
      </c>
      <c r="S263" s="1386"/>
      <c r="T263" s="1378">
        <v>0</v>
      </c>
      <c r="U263" s="1373">
        <v>0</v>
      </c>
      <c r="V263" s="1373">
        <v>0</v>
      </c>
      <c r="W263" s="1377">
        <v>0</v>
      </c>
      <c r="X263" s="1373"/>
      <c r="Y263" s="1378">
        <v>0</v>
      </c>
      <c r="Z263" s="1373">
        <v>0</v>
      </c>
      <c r="AA263" s="1377">
        <v>0</v>
      </c>
      <c r="AB263" s="1373"/>
      <c r="AC263" s="1379">
        <v>0</v>
      </c>
      <c r="AD263" s="1398"/>
      <c r="AE263" s="1359">
        <v>2048</v>
      </c>
      <c r="AF263" s="1360"/>
      <c r="AG263" s="1361">
        <v>11.71109248349218</v>
      </c>
      <c r="AH263" s="327"/>
      <c r="AI263" s="326"/>
      <c r="AJ263" s="326"/>
      <c r="AK263" s="326"/>
      <c r="AL263" s="326"/>
      <c r="AM263" s="326"/>
      <c r="AN263" s="326"/>
      <c r="AO263" s="326"/>
      <c r="AP263" s="326"/>
      <c r="AQ263" s="326"/>
      <c r="AR263" s="326"/>
      <c r="AS263" s="328"/>
      <c r="BW263" s="201"/>
      <c r="BX263" s="201"/>
      <c r="BY263" s="201"/>
    </row>
    <row r="264" spans="1:79">
      <c r="A264" s="322"/>
      <c r="B264" s="1385">
        <v>2049</v>
      </c>
      <c r="C264" s="1386"/>
      <c r="D264" s="1376">
        <v>6.5795114137361761</v>
      </c>
      <c r="E264" s="1373">
        <v>7.3555578542115931</v>
      </c>
      <c r="F264" s="1373">
        <v>9.5437935253651087</v>
      </c>
      <c r="G264" s="1377">
        <v>8.7781178946623726</v>
      </c>
      <c r="H264" s="1373"/>
      <c r="I264" s="1378">
        <v>7.2647623129007597</v>
      </c>
      <c r="J264" s="1373">
        <v>9.0316848377281733</v>
      </c>
      <c r="K264" s="1377">
        <v>8.5532020776543281</v>
      </c>
      <c r="L264" s="1373"/>
      <c r="M264" s="1379">
        <v>8.6431554992039352</v>
      </c>
      <c r="N264" s="1397"/>
      <c r="O264" s="1398"/>
      <c r="P264" s="1562">
        <v>2049</v>
      </c>
      <c r="Q264" s="1563"/>
      <c r="R264" s="1395">
        <v>2.4280814020239678E-3</v>
      </c>
      <c r="S264" s="1386"/>
      <c r="T264" s="1378">
        <v>0</v>
      </c>
      <c r="U264" s="1373">
        <v>0</v>
      </c>
      <c r="V264" s="1373">
        <v>0</v>
      </c>
      <c r="W264" s="1377">
        <v>0</v>
      </c>
      <c r="X264" s="1373"/>
      <c r="Y264" s="1378">
        <v>0</v>
      </c>
      <c r="Z264" s="1373">
        <v>0</v>
      </c>
      <c r="AA264" s="1377">
        <v>0</v>
      </c>
      <c r="AB264" s="1373"/>
      <c r="AC264" s="1379">
        <v>0</v>
      </c>
      <c r="AD264" s="1398"/>
      <c r="AE264" s="1359">
        <v>2049</v>
      </c>
      <c r="AF264" s="1360"/>
      <c r="AG264" s="1361">
        <v>11.71109248349218</v>
      </c>
      <c r="AH264" s="327"/>
      <c r="AI264" s="326"/>
      <c r="AJ264" s="326"/>
      <c r="AK264" s="326"/>
      <c r="AL264" s="326"/>
      <c r="AM264" s="326"/>
      <c r="AN264" s="326"/>
      <c r="AO264" s="326"/>
      <c r="AP264" s="326"/>
      <c r="AQ264" s="326"/>
      <c r="AR264" s="326"/>
      <c r="AS264" s="328"/>
      <c r="BW264" s="201"/>
      <c r="BX264" s="201"/>
      <c r="BY264" s="201"/>
    </row>
    <row r="265" spans="1:79">
      <c r="A265" s="322"/>
      <c r="B265" s="1385">
        <v>2050</v>
      </c>
      <c r="C265" s="1386"/>
      <c r="D265" s="1376">
        <v>6.6299706309079802</v>
      </c>
      <c r="E265" s="1373">
        <v>7.3997601317532444</v>
      </c>
      <c r="F265" s="1373">
        <v>9.5753367536550709</v>
      </c>
      <c r="G265" s="1377">
        <v>8.8139263546407935</v>
      </c>
      <c r="H265" s="1373"/>
      <c r="I265" s="1378">
        <v>7.3089803915973146</v>
      </c>
      <c r="J265" s="1373">
        <v>9.0664113033013312</v>
      </c>
      <c r="K265" s="1377">
        <v>8.5903662135271688</v>
      </c>
      <c r="L265" s="1373"/>
      <c r="M265" s="1379">
        <v>8.6797748329632771</v>
      </c>
      <c r="N265" s="1397"/>
      <c r="O265" s="1398"/>
      <c r="P265" s="1562">
        <v>2050</v>
      </c>
      <c r="Q265" s="1563"/>
      <c r="R265" s="1395">
        <v>2.4337156625591017E-3</v>
      </c>
      <c r="S265" s="1386"/>
      <c r="T265" s="1378">
        <v>0</v>
      </c>
      <c r="U265" s="1373">
        <v>0</v>
      </c>
      <c r="V265" s="1373">
        <v>0</v>
      </c>
      <c r="W265" s="1377">
        <v>0</v>
      </c>
      <c r="X265" s="1373"/>
      <c r="Y265" s="1378">
        <v>0</v>
      </c>
      <c r="Z265" s="1373">
        <v>0</v>
      </c>
      <c r="AA265" s="1377">
        <v>0</v>
      </c>
      <c r="AB265" s="1373"/>
      <c r="AC265" s="1379">
        <v>0</v>
      </c>
      <c r="AD265" s="1398"/>
      <c r="AE265" s="1359">
        <v>2050</v>
      </c>
      <c r="AF265" s="1360"/>
      <c r="AG265" s="1361">
        <v>11.71109248349218</v>
      </c>
      <c r="AH265" s="327"/>
      <c r="AI265" s="326"/>
      <c r="AJ265" s="326"/>
      <c r="AK265" s="326"/>
      <c r="AL265" s="326"/>
      <c r="AM265" s="326"/>
      <c r="AN265" s="326"/>
      <c r="AO265" s="326"/>
      <c r="AP265" s="326"/>
      <c r="AQ265" s="326"/>
      <c r="AR265" s="326"/>
      <c r="AS265" s="328"/>
      <c r="BW265" s="201"/>
      <c r="BX265" s="201"/>
      <c r="BY265" s="201"/>
    </row>
    <row r="266" spans="1:79">
      <c r="A266" s="322"/>
      <c r="B266" s="1385">
        <v>2051</v>
      </c>
      <c r="C266" s="1386"/>
      <c r="D266" s="1376">
        <v>6.6808168270570194</v>
      </c>
      <c r="E266" s="1373">
        <v>7.4442280371886049</v>
      </c>
      <c r="F266" s="1373">
        <v>9.6069842355888593</v>
      </c>
      <c r="G266" s="1377">
        <v>8.8498808875953827</v>
      </c>
      <c r="H266" s="1373"/>
      <c r="I266" s="1378">
        <v>7.3534676103426975</v>
      </c>
      <c r="J266" s="1373">
        <v>9.1012712907403284</v>
      </c>
      <c r="K266" s="1377">
        <v>8.6276918296249168</v>
      </c>
      <c r="L266" s="1373"/>
      <c r="M266" s="1379">
        <v>8.7165493155690204</v>
      </c>
      <c r="N266" s="1397"/>
      <c r="O266" s="1398"/>
      <c r="P266" s="1562">
        <v>2051</v>
      </c>
      <c r="Q266" s="1563"/>
      <c r="R266" s="1395">
        <v>2.4393629971582891E-3</v>
      </c>
      <c r="S266" s="1386"/>
      <c r="T266" s="1378">
        <v>0</v>
      </c>
      <c r="U266" s="1373">
        <v>0</v>
      </c>
      <c r="V266" s="1373">
        <v>0</v>
      </c>
      <c r="W266" s="1377">
        <v>0</v>
      </c>
      <c r="X266" s="1373"/>
      <c r="Y266" s="1378">
        <v>0</v>
      </c>
      <c r="Z266" s="1373">
        <v>0</v>
      </c>
      <c r="AA266" s="1377">
        <v>0</v>
      </c>
      <c r="AB266" s="1373"/>
      <c r="AC266" s="1379">
        <v>0</v>
      </c>
      <c r="AD266" s="1398"/>
      <c r="AE266" s="1359">
        <v>2051</v>
      </c>
      <c r="AF266" s="1360"/>
      <c r="AG266" s="1361">
        <v>11.71109248349218</v>
      </c>
      <c r="AH266" s="1329"/>
      <c r="AI266" s="326"/>
      <c r="AJ266" s="326"/>
      <c r="AK266" s="326"/>
      <c r="AL266" s="326"/>
      <c r="AM266" s="326"/>
      <c r="AN266" s="326"/>
      <c r="AO266" s="326"/>
      <c r="AP266" s="326"/>
      <c r="AQ266" s="326"/>
      <c r="AR266" s="326"/>
      <c r="AS266" s="328"/>
      <c r="BW266" s="201"/>
      <c r="BX266" s="201"/>
      <c r="BY266" s="201"/>
    </row>
    <row r="267" spans="1:79">
      <c r="A267" s="322"/>
      <c r="B267" s="1385">
        <v>2052</v>
      </c>
      <c r="C267" s="1386"/>
      <c r="D267" s="1376">
        <v>6.7320529699805993</v>
      </c>
      <c r="E267" s="1373">
        <v>7.4889631667742895</v>
      </c>
      <c r="F267" s="1373">
        <v>9.6387363157355903</v>
      </c>
      <c r="G267" s="1377">
        <v>8.885982089399695</v>
      </c>
      <c r="H267" s="1373"/>
      <c r="I267" s="1378">
        <v>7.3982256072986736</v>
      </c>
      <c r="J267" s="1373">
        <v>9.1362653134313767</v>
      </c>
      <c r="K267" s="1377">
        <v>8.6651796275880759</v>
      </c>
      <c r="L267" s="1373"/>
      <c r="M267" s="1379">
        <v>8.7534796043560235</v>
      </c>
      <c r="N267" s="1397"/>
      <c r="O267" s="1398"/>
      <c r="P267" s="1562">
        <v>2052</v>
      </c>
      <c r="Q267" s="1563"/>
      <c r="R267" s="1395">
        <v>2.4450234361593449E-3</v>
      </c>
      <c r="S267" s="1386"/>
      <c r="T267" s="1378">
        <v>0</v>
      </c>
      <c r="U267" s="1373">
        <v>0</v>
      </c>
      <c r="V267" s="1373">
        <v>0</v>
      </c>
      <c r="W267" s="1377">
        <v>0</v>
      </c>
      <c r="X267" s="1373"/>
      <c r="Y267" s="1378">
        <v>0</v>
      </c>
      <c r="Z267" s="1373">
        <v>0</v>
      </c>
      <c r="AA267" s="1377">
        <v>0</v>
      </c>
      <c r="AB267" s="1373"/>
      <c r="AC267" s="1379">
        <v>0</v>
      </c>
      <c r="AD267" s="1398"/>
      <c r="AE267" s="1359">
        <v>2052</v>
      </c>
      <c r="AF267" s="1360"/>
      <c r="AG267" s="1361">
        <v>11.71109248349218</v>
      </c>
      <c r="AH267" s="1329"/>
      <c r="AI267" s="326"/>
      <c r="AJ267" s="326"/>
      <c r="AK267" s="326"/>
      <c r="AL267" s="326"/>
      <c r="AM267" s="326"/>
      <c r="AN267" s="326"/>
      <c r="AO267" s="326"/>
      <c r="AP267" s="326"/>
      <c r="AQ267" s="326"/>
      <c r="AR267" s="326"/>
      <c r="AS267" s="328"/>
      <c r="BW267" s="201"/>
      <c r="BX267" s="201"/>
      <c r="BY267" s="201"/>
    </row>
    <row r="268" spans="1:79">
      <c r="A268" s="322"/>
      <c r="B268" s="1385">
        <v>2053</v>
      </c>
      <c r="C268" s="1386"/>
      <c r="D268" s="1376">
        <v>6.7836820502364912</v>
      </c>
      <c r="E268" s="1373">
        <v>7.5339671263594115</v>
      </c>
      <c r="F268" s="1373">
        <v>9.6705933398032151</v>
      </c>
      <c r="G268" s="1377">
        <v>8.9222305583580255</v>
      </c>
      <c r="H268" s="1373"/>
      <c r="I268" s="1378">
        <v>7.4432560305979294</v>
      </c>
      <c r="J268" s="1373">
        <v>9.1713938867346414</v>
      </c>
      <c r="K268" s="1377">
        <v>8.7028303121058173</v>
      </c>
      <c r="L268" s="1373"/>
      <c r="M268" s="1379">
        <v>8.7905663594441421</v>
      </c>
      <c r="N268" s="1397"/>
      <c r="O268" s="1398"/>
      <c r="P268" s="1562">
        <v>2053</v>
      </c>
      <c r="Q268" s="1563"/>
      <c r="R268" s="1395">
        <v>2.450697009970481E-3</v>
      </c>
      <c r="S268" s="1386"/>
      <c r="T268" s="1378">
        <v>0</v>
      </c>
      <c r="U268" s="1373">
        <v>0</v>
      </c>
      <c r="V268" s="1373">
        <v>0</v>
      </c>
      <c r="W268" s="1377">
        <v>0</v>
      </c>
      <c r="X268" s="1373"/>
      <c r="Y268" s="1378">
        <v>0</v>
      </c>
      <c r="Z268" s="1373">
        <v>0</v>
      </c>
      <c r="AA268" s="1377">
        <v>0</v>
      </c>
      <c r="AB268" s="1373"/>
      <c r="AC268" s="1379">
        <v>0</v>
      </c>
      <c r="AD268" s="1398"/>
      <c r="AE268" s="1359">
        <v>2053</v>
      </c>
      <c r="AF268" s="1360"/>
      <c r="AG268" s="1361">
        <v>11.71109248349218</v>
      </c>
      <c r="AH268" s="1329"/>
      <c r="AI268" s="326"/>
      <c r="AJ268" s="326"/>
      <c r="AK268" s="326"/>
      <c r="AL268" s="326"/>
      <c r="AM268" s="326"/>
      <c r="AN268" s="326"/>
      <c r="AO268" s="326"/>
      <c r="AP268" s="326"/>
      <c r="AQ268" s="326"/>
      <c r="AR268" s="326"/>
      <c r="AS268" s="328"/>
      <c r="BW268" s="201"/>
      <c r="BX268" s="201"/>
      <c r="BY268" s="201"/>
    </row>
    <row r="269" spans="1:79">
      <c r="A269" s="322"/>
      <c r="B269" s="1385">
        <v>2054</v>
      </c>
      <c r="C269" s="1386"/>
      <c r="D269" s="1376">
        <v>6.8357070813174809</v>
      </c>
      <c r="E269" s="1373">
        <v>7.5792415314432269</v>
      </c>
      <c r="F269" s="1373">
        <v>9.7025556546422855</v>
      </c>
      <c r="G269" s="1377">
        <v>8.958626895215323</v>
      </c>
      <c r="H269" s="1373"/>
      <c r="I269" s="1378">
        <v>7.4885605384047613</v>
      </c>
      <c r="J269" s="1373">
        <v>9.2066575279918226</v>
      </c>
      <c r="K269" s="1377">
        <v>8.7406445909292252</v>
      </c>
      <c r="L269" s="1373"/>
      <c r="M269" s="1379">
        <v>8.8278102437500259</v>
      </c>
      <c r="N269" s="1397"/>
      <c r="O269" s="1398"/>
      <c r="P269" s="1562">
        <v>2054</v>
      </c>
      <c r="Q269" s="1563"/>
      <c r="R269" s="1395">
        <v>2.4563837490704705E-3</v>
      </c>
      <c r="S269" s="1386"/>
      <c r="T269" s="1378">
        <v>0</v>
      </c>
      <c r="U269" s="1373">
        <v>0</v>
      </c>
      <c r="V269" s="1373">
        <v>0</v>
      </c>
      <c r="W269" s="1377">
        <v>0</v>
      </c>
      <c r="X269" s="1373"/>
      <c r="Y269" s="1378">
        <v>0</v>
      </c>
      <c r="Z269" s="1373">
        <v>0</v>
      </c>
      <c r="AA269" s="1377">
        <v>0</v>
      </c>
      <c r="AB269" s="1373"/>
      <c r="AC269" s="1379">
        <v>0</v>
      </c>
      <c r="AD269" s="1398"/>
      <c r="AE269" s="1359">
        <v>2054</v>
      </c>
      <c r="AF269" s="1360"/>
      <c r="AG269" s="1361">
        <v>11.71109248349218</v>
      </c>
      <c r="AH269" s="1329"/>
      <c r="AI269" s="326"/>
      <c r="AJ269" s="326"/>
      <c r="AK269" s="326"/>
      <c r="AL269" s="326"/>
      <c r="AM269" s="326"/>
      <c r="AN269" s="326"/>
      <c r="AO269" s="326"/>
      <c r="AP269" s="326"/>
      <c r="AQ269" s="326"/>
      <c r="AR269" s="326"/>
      <c r="AS269" s="328"/>
      <c r="BW269" s="201"/>
      <c r="BX269" s="201"/>
      <c r="BY269" s="201"/>
    </row>
    <row r="270" spans="1:79" ht="13.5" thickBot="1">
      <c r="A270" s="322"/>
      <c r="B270" s="1387">
        <v>2055</v>
      </c>
      <c r="C270" s="1388"/>
      <c r="D270" s="1380">
        <v>6.8881310998272642</v>
      </c>
      <c r="E270" s="1381">
        <v>7.6247880072331284</v>
      </c>
      <c r="F270" s="1381">
        <v>9.7346236082497306</v>
      </c>
      <c r="G270" s="1382">
        <v>8.9951717031671485</v>
      </c>
      <c r="H270" s="1381"/>
      <c r="I270" s="1383">
        <v>7.5341407989761331</v>
      </c>
      <c r="J270" s="1381">
        <v>9.2420567565337794</v>
      </c>
      <c r="K270" s="1382">
        <v>8.7786231748846024</v>
      </c>
      <c r="L270" s="1381"/>
      <c r="M270" s="1384">
        <v>8.8652119229989754</v>
      </c>
      <c r="N270" s="1399"/>
      <c r="O270" s="1400"/>
      <c r="P270" s="1682">
        <v>2055</v>
      </c>
      <c r="Q270" s="1683"/>
      <c r="R270" s="1396">
        <v>2.4620836840088113E-3</v>
      </c>
      <c r="S270" s="1388"/>
      <c r="T270" s="1383">
        <v>0</v>
      </c>
      <c r="U270" s="1381">
        <v>0</v>
      </c>
      <c r="V270" s="1381">
        <v>0</v>
      </c>
      <c r="W270" s="1382">
        <v>0</v>
      </c>
      <c r="X270" s="1381"/>
      <c r="Y270" s="1383">
        <v>0</v>
      </c>
      <c r="Z270" s="1381">
        <v>0</v>
      </c>
      <c r="AA270" s="1382">
        <v>0</v>
      </c>
      <c r="AB270" s="1381"/>
      <c r="AC270" s="1384">
        <v>0</v>
      </c>
      <c r="AD270" s="1400"/>
      <c r="AE270" s="1363">
        <v>2055</v>
      </c>
      <c r="AF270" s="1364"/>
      <c r="AG270" s="1365">
        <v>11.71109248349218</v>
      </c>
      <c r="AH270" s="1329"/>
      <c r="AI270" s="326"/>
      <c r="AJ270" s="326"/>
      <c r="AK270" s="326"/>
      <c r="AL270" s="326"/>
      <c r="AM270" s="326"/>
      <c r="AN270" s="326"/>
      <c r="AO270" s="326"/>
      <c r="AP270" s="326"/>
      <c r="AQ270" s="326"/>
      <c r="AR270" s="326"/>
      <c r="AS270" s="328"/>
      <c r="BW270" s="201"/>
      <c r="BX270" s="201"/>
      <c r="BY270" s="201"/>
    </row>
    <row r="271" spans="1:79" ht="13.5" thickTop="1">
      <c r="A271" s="322"/>
      <c r="B271" s="322"/>
      <c r="AE271" s="1362"/>
      <c r="AF271" s="1362"/>
      <c r="AG271" s="326"/>
      <c r="AH271" s="1329"/>
      <c r="AI271" s="326"/>
      <c r="AJ271" s="326"/>
      <c r="AK271" s="326"/>
      <c r="AL271" s="326"/>
      <c r="AM271" s="326"/>
      <c r="AN271" s="326"/>
      <c r="AO271" s="326"/>
      <c r="AP271" s="326"/>
      <c r="AQ271" s="326"/>
      <c r="AR271" s="326"/>
      <c r="AS271" s="328"/>
      <c r="BW271" s="201"/>
      <c r="BX271" s="201"/>
      <c r="BY271" s="201"/>
    </row>
    <row r="272" spans="1:79" ht="13.5" thickBot="1">
      <c r="A272" s="322"/>
      <c r="B272" s="322"/>
      <c r="P272" s="330"/>
      <c r="Q272" s="330"/>
      <c r="R272" s="330"/>
      <c r="S272" s="330"/>
      <c r="T272" s="330"/>
      <c r="U272" s="330"/>
      <c r="V272" s="330"/>
      <c r="W272" s="330"/>
      <c r="X272" s="330"/>
      <c r="Y272" s="330"/>
      <c r="Z272" s="330"/>
      <c r="AA272" s="330"/>
      <c r="AB272" s="330"/>
      <c r="AC272" s="330"/>
      <c r="AD272" s="330"/>
      <c r="AG272" s="1362"/>
      <c r="AH272" s="1362"/>
      <c r="AI272" s="326"/>
      <c r="AJ272" s="327"/>
      <c r="AK272" s="326"/>
      <c r="AL272" s="326"/>
      <c r="AM272" s="326"/>
      <c r="AN272" s="326"/>
      <c r="AO272" s="326"/>
      <c r="AP272" s="326"/>
      <c r="AQ272" s="326"/>
      <c r="AR272" s="326"/>
      <c r="AS272" s="326"/>
      <c r="AT272" s="326"/>
      <c r="AU272" s="328"/>
      <c r="BY272" s="201"/>
      <c r="BZ272" s="201"/>
      <c r="CA272" s="201"/>
    </row>
    <row r="273" spans="1:79" ht="35.25" thickTop="1" thickBot="1">
      <c r="A273" s="322"/>
      <c r="B273" s="587" t="s">
        <v>608</v>
      </c>
      <c r="C273" s="588"/>
      <c r="D273" s="588"/>
      <c r="E273" s="588"/>
      <c r="F273" s="588"/>
      <c r="G273" s="588"/>
      <c r="H273" s="588"/>
      <c r="I273" s="588"/>
      <c r="J273" s="588"/>
      <c r="K273" s="588"/>
      <c r="L273" s="588"/>
      <c r="M273" s="588"/>
      <c r="N273" s="588"/>
      <c r="O273" s="588"/>
      <c r="P273" s="588"/>
      <c r="Q273" s="588"/>
      <c r="R273" s="588"/>
      <c r="S273" s="588"/>
      <c r="T273" s="588"/>
      <c r="U273" s="588"/>
      <c r="V273" s="588"/>
      <c r="W273" s="589"/>
      <c r="X273" s="330"/>
      <c r="Y273" s="330"/>
      <c r="Z273" s="330"/>
      <c r="AA273" s="330"/>
      <c r="AB273" s="330"/>
      <c r="AC273" s="330"/>
      <c r="AD273" s="330"/>
      <c r="AG273" s="1329"/>
      <c r="AH273" s="1329"/>
      <c r="AI273" s="326"/>
      <c r="AJ273" s="327"/>
      <c r="AK273" s="326"/>
      <c r="AL273" s="326"/>
      <c r="AM273" s="326"/>
      <c r="AN273" s="326"/>
      <c r="AO273" s="326"/>
      <c r="AP273" s="326"/>
      <c r="AQ273" s="326"/>
      <c r="AR273" s="326"/>
      <c r="AS273" s="326"/>
      <c r="AT273" s="326"/>
      <c r="AU273" s="328"/>
      <c r="BY273" s="201"/>
      <c r="BZ273" s="201"/>
      <c r="CA273" s="201"/>
    </row>
    <row r="274" spans="1:79" ht="24" thickTop="1">
      <c r="A274" s="322"/>
      <c r="B274" s="1436" t="s">
        <v>983</v>
      </c>
      <c r="C274" s="1398"/>
      <c r="D274" s="1398"/>
      <c r="E274" s="1398"/>
      <c r="F274" s="1398"/>
      <c r="G274" s="1398"/>
      <c r="H274" s="1398"/>
      <c r="I274" s="1398"/>
      <c r="J274" s="1398"/>
      <c r="K274" s="1398"/>
      <c r="L274" s="1398"/>
      <c r="M274" s="1398"/>
      <c r="N274" s="1402"/>
      <c r="O274" s="1446"/>
      <c r="P274" s="1401" t="str">
        <f>B274</f>
        <v>AESC 2021 Appendix D Workbooks - May, 2021 FINAL</v>
      </c>
      <c r="Q274" s="1405"/>
      <c r="R274" s="1405"/>
      <c r="S274" s="1405"/>
      <c r="T274" s="1405"/>
      <c r="U274" s="1405"/>
      <c r="V274" s="1405"/>
      <c r="W274" s="1447"/>
      <c r="X274" s="330"/>
      <c r="Y274" s="330"/>
      <c r="Z274" s="330"/>
      <c r="AA274" s="330"/>
      <c r="AB274" s="330"/>
      <c r="AC274" s="330"/>
      <c r="AD274" s="330"/>
      <c r="AG274" s="1362"/>
      <c r="AH274" s="1362"/>
      <c r="AI274" s="326"/>
      <c r="AJ274" s="327"/>
      <c r="AK274" s="326"/>
      <c r="AL274" s="326"/>
      <c r="AM274" s="326"/>
      <c r="AN274" s="326"/>
      <c r="AO274" s="326"/>
      <c r="AP274" s="326"/>
      <c r="AQ274" s="326"/>
      <c r="AR274" s="326"/>
      <c r="AS274" s="326"/>
      <c r="AT274" s="326"/>
      <c r="AU274" s="328"/>
      <c r="BY274" s="201"/>
      <c r="BZ274" s="201"/>
      <c r="CA274" s="201"/>
    </row>
    <row r="275" spans="1:79" s="321" customFormat="1">
      <c r="A275" s="327"/>
      <c r="B275" s="1437">
        <v>1</v>
      </c>
      <c r="C275" s="1438">
        <f>B275+1</f>
        <v>2</v>
      </c>
      <c r="D275" s="1405">
        <f t="shared" ref="D275:L275" si="141">C275+1</f>
        <v>3</v>
      </c>
      <c r="E275" s="1405">
        <f t="shared" si="141"/>
        <v>4</v>
      </c>
      <c r="F275" s="1438">
        <f t="shared" si="141"/>
        <v>5</v>
      </c>
      <c r="G275" s="1405">
        <f t="shared" si="141"/>
        <v>6</v>
      </c>
      <c r="H275" s="1405">
        <f t="shared" si="141"/>
        <v>7</v>
      </c>
      <c r="I275" s="1438">
        <f t="shared" si="141"/>
        <v>8</v>
      </c>
      <c r="J275" s="1438">
        <f t="shared" si="141"/>
        <v>9</v>
      </c>
      <c r="K275" s="1438">
        <f t="shared" si="141"/>
        <v>10</v>
      </c>
      <c r="L275" s="1438">
        <f t="shared" si="141"/>
        <v>11</v>
      </c>
      <c r="M275" s="1438">
        <f>L275+1</f>
        <v>12</v>
      </c>
      <c r="N275" s="1407">
        <f t="shared" ref="N275:W275" si="142">M275+1</f>
        <v>13</v>
      </c>
      <c r="O275" s="1448">
        <f t="shared" si="142"/>
        <v>14</v>
      </c>
      <c r="P275" s="1404">
        <f t="shared" si="142"/>
        <v>15</v>
      </c>
      <c r="Q275" s="1405">
        <f t="shared" si="142"/>
        <v>16</v>
      </c>
      <c r="R275" s="1405">
        <f t="shared" si="142"/>
        <v>17</v>
      </c>
      <c r="S275" s="1405">
        <f t="shared" si="142"/>
        <v>18</v>
      </c>
      <c r="T275" s="1405">
        <f t="shared" si="142"/>
        <v>19</v>
      </c>
      <c r="U275" s="1438">
        <f t="shared" si="142"/>
        <v>20</v>
      </c>
      <c r="V275" s="1405">
        <f t="shared" si="142"/>
        <v>21</v>
      </c>
      <c r="W275" s="1447">
        <f t="shared" si="142"/>
        <v>22</v>
      </c>
      <c r="X275" s="323"/>
      <c r="Y275" s="323"/>
      <c r="Z275" s="323"/>
      <c r="AA275" s="323"/>
      <c r="AB275" s="323"/>
      <c r="AC275" s="323"/>
      <c r="AF275" s="1362"/>
      <c r="AG275" s="1362"/>
      <c r="AH275" s="326"/>
      <c r="AI275" s="327"/>
      <c r="AJ275" s="326"/>
      <c r="AK275" s="326"/>
      <c r="AL275" s="326"/>
      <c r="AM275" s="326"/>
      <c r="AN275" s="326"/>
      <c r="AO275" s="326"/>
      <c r="AP275" s="326"/>
      <c r="AQ275" s="326"/>
      <c r="AR275" s="326"/>
      <c r="AS275" s="326"/>
      <c r="AT275" s="326"/>
      <c r="BX275" s="329"/>
      <c r="BY275" s="329"/>
      <c r="BZ275" s="329"/>
    </row>
    <row r="276" spans="1:79" ht="18">
      <c r="A276" s="322"/>
      <c r="B276" s="590" t="s">
        <v>984</v>
      </c>
      <c r="C276" s="1261"/>
      <c r="D276" s="1261"/>
      <c r="E276" s="1261"/>
      <c r="F276" s="1261"/>
      <c r="G276" s="1261"/>
      <c r="H276" s="1261"/>
      <c r="I276" s="1261"/>
      <c r="J276" s="1261"/>
      <c r="K276" s="1261"/>
      <c r="L276" s="1261"/>
      <c r="M276" s="1261"/>
      <c r="N276" s="1412"/>
      <c r="O276" s="1446"/>
      <c r="P276" s="582" t="s">
        <v>985</v>
      </c>
      <c r="Q276" s="1398"/>
      <c r="R276" s="1398"/>
      <c r="S276" s="1398"/>
      <c r="T276" s="1398"/>
      <c r="U276" s="1398"/>
      <c r="V276" s="1398"/>
      <c r="W276" s="1449"/>
      <c r="AE276" s="323"/>
      <c r="AF276" s="1329"/>
      <c r="AG276" s="1329"/>
      <c r="AH276" s="326"/>
      <c r="AI276" s="327"/>
      <c r="AJ276" s="326"/>
      <c r="AK276" s="326"/>
      <c r="AL276" s="326"/>
      <c r="AM276" s="326"/>
      <c r="AN276" s="326"/>
      <c r="AO276" s="326"/>
      <c r="AP276" s="326"/>
      <c r="AQ276" s="326"/>
      <c r="AR276" s="326"/>
      <c r="AS276" s="326"/>
      <c r="AT276" s="328"/>
      <c r="AU276" s="323"/>
      <c r="BX276" s="201"/>
      <c r="BY276" s="201"/>
      <c r="BZ276" s="201"/>
    </row>
    <row r="277" spans="1:79">
      <c r="A277" s="322"/>
      <c r="B277" s="1439"/>
      <c r="C277" s="1261"/>
      <c r="D277" s="1261"/>
      <c r="E277" s="1261"/>
      <c r="F277" s="1261"/>
      <c r="G277" s="1261"/>
      <c r="H277" s="1261"/>
      <c r="I277" s="1261"/>
      <c r="J277" s="1261"/>
      <c r="K277" s="1261"/>
      <c r="L277" s="1261"/>
      <c r="M277" s="1261"/>
      <c r="N277" s="1412"/>
      <c r="O277" s="1446"/>
      <c r="P277" s="1409"/>
      <c r="Q277" s="1398"/>
      <c r="R277" s="1398"/>
      <c r="S277" s="1398"/>
      <c r="T277" s="1398"/>
      <c r="U277" s="1398"/>
      <c r="V277" s="1398"/>
      <c r="W277" s="1449"/>
      <c r="AE277" s="323"/>
      <c r="AF277" s="1329"/>
      <c r="AG277" s="1329"/>
      <c r="AH277" s="326"/>
      <c r="AI277" s="327"/>
      <c r="AJ277" s="326"/>
      <c r="AK277" s="326"/>
      <c r="AL277" s="326"/>
      <c r="AM277" s="326"/>
      <c r="AN277" s="326"/>
      <c r="AO277" s="326"/>
      <c r="AP277" s="326"/>
      <c r="AQ277" s="326"/>
      <c r="AR277" s="326"/>
      <c r="AS277" s="326"/>
      <c r="AT277" s="328"/>
      <c r="AU277" s="323"/>
      <c r="BX277" s="201"/>
      <c r="BY277" s="201"/>
      <c r="BZ277" s="201"/>
    </row>
    <row r="278" spans="1:79" ht="12.75" customHeight="1">
      <c r="A278" s="322"/>
      <c r="B278" s="1544" t="s">
        <v>74</v>
      </c>
      <c r="C278" s="1547" t="s">
        <v>106</v>
      </c>
      <c r="D278" s="1548"/>
      <c r="E278" s="1548"/>
      <c r="F278" s="1548"/>
      <c r="G278" s="1548"/>
      <c r="H278" s="1548"/>
      <c r="I278" s="1549"/>
      <c r="J278" s="1547" t="s">
        <v>107</v>
      </c>
      <c r="K278" s="1548"/>
      <c r="L278" s="1548"/>
      <c r="M278" s="1548"/>
      <c r="N278" s="1556"/>
      <c r="O278" s="1446"/>
      <c r="P278" s="1409"/>
      <c r="Q278" s="1398"/>
      <c r="R278" s="1398"/>
      <c r="S278" s="1398"/>
      <c r="T278" s="1398"/>
      <c r="U278" s="1398"/>
      <c r="V278" s="1398"/>
      <c r="W278" s="1449"/>
      <c r="AE278" s="323"/>
      <c r="AF278" s="327"/>
      <c r="AG278" s="327"/>
      <c r="AH278" s="326"/>
      <c r="AI278" s="327"/>
      <c r="AJ278" s="326"/>
      <c r="AK278" s="326"/>
      <c r="AL278" s="326"/>
      <c r="AM278" s="326"/>
      <c r="AN278" s="326"/>
      <c r="AO278" s="326"/>
      <c r="AP278" s="326"/>
      <c r="AQ278" s="326"/>
      <c r="AR278" s="326"/>
      <c r="AS278" s="326"/>
      <c r="AT278" s="328"/>
      <c r="AU278" s="323"/>
      <c r="BX278" s="201"/>
      <c r="BY278" s="201"/>
      <c r="BZ278" s="201"/>
    </row>
    <row r="279" spans="1:79" ht="12.75" customHeight="1">
      <c r="A279" s="322"/>
      <c r="B279" s="1545"/>
      <c r="C279" s="1550"/>
      <c r="D279" s="1551"/>
      <c r="E279" s="1551"/>
      <c r="F279" s="1551"/>
      <c r="G279" s="1551"/>
      <c r="H279" s="1551"/>
      <c r="I279" s="1552"/>
      <c r="J279" s="1550"/>
      <c r="K279" s="1551"/>
      <c r="L279" s="1551"/>
      <c r="M279" s="1551"/>
      <c r="N279" s="1557"/>
      <c r="O279" s="1446"/>
      <c r="P279" s="1409"/>
      <c r="Q279" s="1398"/>
      <c r="R279" s="1398"/>
      <c r="S279" s="1398"/>
      <c r="T279" s="1398"/>
      <c r="U279" s="1398"/>
      <c r="V279" s="1398"/>
      <c r="W279" s="1449"/>
      <c r="AE279" s="323"/>
      <c r="AF279" s="327"/>
      <c r="AG279" s="327"/>
      <c r="AH279" s="326"/>
      <c r="AI279" s="327"/>
      <c r="AJ279" s="326"/>
      <c r="AK279" s="326"/>
      <c r="AL279" s="326"/>
      <c r="AM279" s="326"/>
      <c r="AN279" s="326"/>
      <c r="AO279" s="326"/>
      <c r="AP279" s="326"/>
      <c r="AQ279" s="326"/>
      <c r="AR279" s="326"/>
      <c r="AS279" s="326"/>
      <c r="AT279" s="328"/>
      <c r="AU279" s="323"/>
      <c r="BX279" s="201"/>
      <c r="BY279" s="201"/>
      <c r="BZ279" s="201"/>
    </row>
    <row r="280" spans="1:79" ht="13.5" customHeight="1" thickBot="1">
      <c r="A280" s="322"/>
      <c r="B280" s="1545"/>
      <c r="C280" s="1553"/>
      <c r="D280" s="1554"/>
      <c r="E280" s="1554"/>
      <c r="F280" s="1554"/>
      <c r="G280" s="1554"/>
      <c r="H280" s="1554"/>
      <c r="I280" s="1555"/>
      <c r="J280" s="1553"/>
      <c r="K280" s="1554"/>
      <c r="L280" s="1554"/>
      <c r="M280" s="1554"/>
      <c r="N280" s="1558"/>
      <c r="O280" s="1446"/>
      <c r="P280" s="1409"/>
      <c r="Q280" s="1398"/>
      <c r="R280" s="1398"/>
      <c r="S280" s="1398"/>
      <c r="T280" s="1398"/>
      <c r="U280" s="1398"/>
      <c r="V280" s="1398"/>
      <c r="W280" s="1449"/>
      <c r="AE280" s="323"/>
      <c r="AF280" s="327"/>
      <c r="AG280" s="327"/>
      <c r="AH280" s="326"/>
      <c r="AI280" s="327"/>
      <c r="AJ280" s="326"/>
      <c r="AK280" s="326"/>
      <c r="AL280" s="326"/>
      <c r="AM280" s="326"/>
      <c r="AN280" s="326"/>
      <c r="AO280" s="326"/>
      <c r="AP280" s="326"/>
      <c r="AQ280" s="326"/>
      <c r="AR280" s="326"/>
      <c r="AS280" s="326"/>
      <c r="AT280" s="328"/>
      <c r="AU280" s="323"/>
      <c r="BX280" s="201"/>
      <c r="BY280" s="201"/>
      <c r="BZ280" s="201"/>
    </row>
    <row r="281" spans="1:79" ht="20.25" customHeight="1">
      <c r="A281" s="322"/>
      <c r="B281" s="1545"/>
      <c r="C281" s="440" t="s">
        <v>58</v>
      </c>
      <c r="D281" s="1559" t="s">
        <v>66</v>
      </c>
      <c r="E281" s="1560"/>
      <c r="F281" s="1561"/>
      <c r="G281" s="1559" t="s">
        <v>67</v>
      </c>
      <c r="H281" s="1560"/>
      <c r="I281" s="1561"/>
      <c r="J281" s="1559" t="s">
        <v>58</v>
      </c>
      <c r="K281" s="1560"/>
      <c r="L281" s="1560"/>
      <c r="M281" s="1561"/>
      <c r="N281" s="452" t="s">
        <v>67</v>
      </c>
      <c r="O281" s="1446"/>
      <c r="P281" s="1409"/>
      <c r="Q281" s="1398"/>
      <c r="R281" s="1398"/>
      <c r="S281" s="1398"/>
      <c r="T281" s="1398"/>
      <c r="U281" s="1398"/>
      <c r="V281" s="1398"/>
      <c r="W281" s="1449"/>
      <c r="AE281" s="323"/>
      <c r="AF281" s="327"/>
      <c r="AG281" s="327"/>
      <c r="AH281" s="326"/>
      <c r="AI281" s="327"/>
      <c r="AJ281" s="326"/>
      <c r="AK281" s="326"/>
      <c r="AL281" s="326"/>
      <c r="AM281" s="326"/>
      <c r="AN281" s="326"/>
      <c r="AO281" s="326"/>
      <c r="AP281" s="326"/>
      <c r="AQ281" s="326"/>
      <c r="AR281" s="326"/>
      <c r="AS281" s="326"/>
      <c r="AT281" s="328"/>
      <c r="AU281" s="323"/>
      <c r="BX281" s="201"/>
      <c r="BY281" s="201"/>
      <c r="BZ281" s="201"/>
    </row>
    <row r="282" spans="1:79" ht="22.5" customHeight="1" thickBot="1">
      <c r="A282" s="322"/>
      <c r="B282" s="1545"/>
      <c r="C282" s="441" t="s">
        <v>108</v>
      </c>
      <c r="D282" s="1440" t="s">
        <v>108</v>
      </c>
      <c r="E282" s="1440" t="s">
        <v>109</v>
      </c>
      <c r="F282" s="442" t="s">
        <v>110</v>
      </c>
      <c r="G282" s="1441" t="s">
        <v>108</v>
      </c>
      <c r="H282" s="1440" t="s">
        <v>109</v>
      </c>
      <c r="I282" s="442" t="s">
        <v>110</v>
      </c>
      <c r="J282" s="1441" t="s">
        <v>111</v>
      </c>
      <c r="K282" s="1440" t="s">
        <v>404</v>
      </c>
      <c r="L282" s="1440" t="s">
        <v>63</v>
      </c>
      <c r="M282" s="442" t="s">
        <v>28</v>
      </c>
      <c r="N282" s="453" t="s">
        <v>63</v>
      </c>
      <c r="O282" s="1446"/>
      <c r="P282" s="1409"/>
      <c r="Q282" s="1398"/>
      <c r="R282" s="1398"/>
      <c r="S282" s="1398"/>
      <c r="T282" s="1398"/>
      <c r="U282" s="1398"/>
      <c r="V282" s="1398"/>
      <c r="W282" s="1449"/>
      <c r="AE282" s="323"/>
      <c r="AF282" s="327"/>
      <c r="AG282" s="327"/>
      <c r="AH282" s="326"/>
      <c r="AI282" s="327"/>
      <c r="AJ282" s="326"/>
      <c r="AK282" s="326"/>
      <c r="AL282" s="326"/>
      <c r="AM282" s="326"/>
      <c r="AN282" s="326"/>
      <c r="AO282" s="326"/>
      <c r="AP282" s="326"/>
      <c r="AQ282" s="326"/>
      <c r="AR282" s="326"/>
      <c r="AS282" s="326"/>
      <c r="AT282" s="328"/>
      <c r="AU282" s="323"/>
      <c r="BX282" s="201"/>
      <c r="BY282" s="201"/>
      <c r="BZ282" s="201"/>
    </row>
    <row r="283" spans="1:79" ht="15.75" thickBot="1">
      <c r="A283" s="322"/>
      <c r="B283" s="1545"/>
      <c r="C283" s="441" t="s">
        <v>75</v>
      </c>
      <c r="D283" s="1440" t="s">
        <v>75</v>
      </c>
      <c r="E283" s="1440" t="s">
        <v>75</v>
      </c>
      <c r="F283" s="442" t="s">
        <v>75</v>
      </c>
      <c r="G283" s="1441" t="s">
        <v>75</v>
      </c>
      <c r="H283" s="1440" t="s">
        <v>75</v>
      </c>
      <c r="I283" s="442" t="s">
        <v>75</v>
      </c>
      <c r="J283" s="1441" t="s">
        <v>75</v>
      </c>
      <c r="K283" s="1440" t="s">
        <v>75</v>
      </c>
      <c r="L283" s="1440" t="s">
        <v>75</v>
      </c>
      <c r="M283" s="442" t="s">
        <v>75</v>
      </c>
      <c r="N283" s="453" t="s">
        <v>75</v>
      </c>
      <c r="O283" s="1446"/>
      <c r="P283" s="1564" t="s">
        <v>74</v>
      </c>
      <c r="Q283" s="1566" t="s">
        <v>496</v>
      </c>
      <c r="R283" s="1567"/>
      <c r="S283" s="1567"/>
      <c r="T283" s="1567"/>
      <c r="U283" s="1567"/>
      <c r="V283" s="1567"/>
      <c r="W283" s="1568"/>
      <c r="AE283" s="323"/>
      <c r="AF283" s="327"/>
      <c r="AG283" s="327"/>
      <c r="AH283" s="326"/>
      <c r="AI283" s="327"/>
      <c r="AJ283" s="326"/>
      <c r="AK283" s="326"/>
      <c r="AL283" s="326"/>
      <c r="AM283" s="326"/>
      <c r="AN283" s="326"/>
      <c r="AO283" s="326"/>
      <c r="AP283" s="326"/>
      <c r="AQ283" s="326"/>
      <c r="AR283" s="326"/>
      <c r="AS283" s="326"/>
      <c r="AT283" s="328"/>
      <c r="AU283" s="323"/>
      <c r="BX283" s="201"/>
      <c r="BY283" s="201"/>
      <c r="BZ283" s="201"/>
    </row>
    <row r="284" spans="1:79" ht="15.75" thickBot="1">
      <c r="A284" s="322"/>
      <c r="B284" s="1546"/>
      <c r="C284" s="441"/>
      <c r="D284" s="1442"/>
      <c r="E284" s="1442"/>
      <c r="F284" s="442"/>
      <c r="G284" s="1443"/>
      <c r="H284" s="1442"/>
      <c r="I284" s="443"/>
      <c r="J284" s="1441"/>
      <c r="K284" s="1442"/>
      <c r="L284" s="1440"/>
      <c r="M284" s="443"/>
      <c r="N284" s="454"/>
      <c r="O284" s="1446"/>
      <c r="P284" s="1565"/>
      <c r="Q284" s="591" t="s">
        <v>497</v>
      </c>
      <c r="R284" s="592" t="s">
        <v>498</v>
      </c>
      <c r="S284" s="592" t="s">
        <v>499</v>
      </c>
      <c r="T284" s="592" t="s">
        <v>500</v>
      </c>
      <c r="U284" s="592" t="s">
        <v>258</v>
      </c>
      <c r="V284" s="592" t="s">
        <v>501</v>
      </c>
      <c r="W284" s="593" t="s">
        <v>502</v>
      </c>
      <c r="AE284" s="323"/>
      <c r="AF284" s="327"/>
      <c r="AG284" s="327"/>
      <c r="AH284" s="326"/>
      <c r="AI284" s="327"/>
      <c r="AJ284" s="326"/>
      <c r="AK284" s="326"/>
      <c r="AL284" s="326"/>
      <c r="AM284" s="326"/>
      <c r="AN284" s="326"/>
      <c r="AO284" s="326"/>
      <c r="AP284" s="326"/>
      <c r="AQ284" s="326"/>
      <c r="AR284" s="326"/>
      <c r="AS284" s="326"/>
      <c r="AT284" s="328"/>
      <c r="AU284" s="323"/>
      <c r="BX284" s="201"/>
      <c r="BY284" s="201"/>
      <c r="BZ284" s="201"/>
    </row>
    <row r="285" spans="1:79">
      <c r="A285" s="322"/>
      <c r="B285" s="455"/>
      <c r="C285" s="445"/>
      <c r="D285" s="446"/>
      <c r="E285" s="446"/>
      <c r="F285" s="447"/>
      <c r="G285" s="448"/>
      <c r="H285" s="446"/>
      <c r="I285" s="447"/>
      <c r="J285" s="448"/>
      <c r="K285" s="446"/>
      <c r="L285" s="446"/>
      <c r="M285" s="447"/>
      <c r="N285" s="449"/>
      <c r="O285" s="1446"/>
      <c r="P285" s="1450"/>
      <c r="Q285" s="1451"/>
      <c r="R285" s="1452"/>
      <c r="S285" s="1452"/>
      <c r="T285" s="1452"/>
      <c r="U285" s="1453"/>
      <c r="V285" s="1452"/>
      <c r="W285" s="1454"/>
      <c r="AE285" s="323"/>
      <c r="AF285" s="327"/>
      <c r="AG285" s="327"/>
      <c r="AH285" s="326"/>
      <c r="AI285" s="327"/>
      <c r="AJ285" s="326"/>
      <c r="AK285" s="326"/>
      <c r="AL285" s="326"/>
      <c r="AM285" s="326"/>
      <c r="AN285" s="326"/>
      <c r="AO285" s="326"/>
      <c r="AP285" s="326"/>
      <c r="AQ285" s="326"/>
      <c r="AR285" s="326"/>
      <c r="AS285" s="326"/>
      <c r="AT285" s="328"/>
      <c r="AU285" s="323"/>
      <c r="BX285" s="201"/>
      <c r="BY285" s="201"/>
      <c r="BZ285" s="201"/>
    </row>
    <row r="286" spans="1:79">
      <c r="A286" s="322"/>
      <c r="B286" s="455"/>
      <c r="C286" s="450"/>
      <c r="D286" s="1444"/>
      <c r="E286" s="1444"/>
      <c r="F286" s="444"/>
      <c r="G286" s="1445"/>
      <c r="H286" s="1444"/>
      <c r="I286" s="444"/>
      <c r="J286" s="1445"/>
      <c r="K286" s="1444"/>
      <c r="L286" s="1444"/>
      <c r="M286" s="444"/>
      <c r="N286" s="451"/>
      <c r="O286" s="1446"/>
      <c r="P286" s="1455"/>
      <c r="Q286" s="1456"/>
      <c r="R286" s="1457"/>
      <c r="S286" s="1457"/>
      <c r="T286" s="1457"/>
      <c r="U286" s="1458"/>
      <c r="V286" s="1457"/>
      <c r="W286" s="1459"/>
      <c r="AE286" s="323"/>
      <c r="AF286" s="327"/>
      <c r="AG286" s="327"/>
      <c r="AH286" s="326"/>
      <c r="AI286" s="327"/>
      <c r="AJ286" s="326"/>
      <c r="AK286" s="326"/>
      <c r="AL286" s="326"/>
      <c r="AM286" s="326"/>
      <c r="AN286" s="326"/>
      <c r="AO286" s="326"/>
      <c r="AP286" s="326"/>
      <c r="AQ286" s="326"/>
      <c r="AR286" s="326"/>
      <c r="AS286" s="326"/>
      <c r="AT286" s="328"/>
      <c r="AU286" s="323"/>
      <c r="BX286" s="201"/>
      <c r="BY286" s="201"/>
      <c r="BZ286" s="201"/>
    </row>
    <row r="287" spans="1:79">
      <c r="A287" s="322"/>
      <c r="B287" s="455"/>
      <c r="C287" s="450"/>
      <c r="D287" s="1444"/>
      <c r="E287" s="1444"/>
      <c r="F287" s="444"/>
      <c r="G287" s="1445"/>
      <c r="H287" s="1444"/>
      <c r="I287" s="444"/>
      <c r="J287" s="1445"/>
      <c r="K287" s="1444"/>
      <c r="L287" s="1444"/>
      <c r="M287" s="444"/>
      <c r="N287" s="451"/>
      <c r="O287" s="1446"/>
      <c r="P287" s="1455"/>
      <c r="Q287" s="1456"/>
      <c r="R287" s="1457"/>
      <c r="S287" s="1457"/>
      <c r="T287" s="1457"/>
      <c r="U287" s="1458"/>
      <c r="V287" s="1457"/>
      <c r="W287" s="1459"/>
      <c r="AE287" s="323"/>
      <c r="AF287" s="327"/>
      <c r="AG287" s="327"/>
      <c r="AH287" s="326"/>
      <c r="AI287" s="327"/>
      <c r="AJ287" s="326"/>
      <c r="AK287" s="326"/>
      <c r="AL287" s="326"/>
      <c r="AM287" s="326"/>
      <c r="AN287" s="326"/>
      <c r="AO287" s="326"/>
      <c r="AP287" s="326"/>
      <c r="AQ287" s="326"/>
      <c r="AR287" s="326"/>
      <c r="AS287" s="326"/>
      <c r="AT287" s="328"/>
      <c r="AU287" s="323"/>
      <c r="BX287" s="201"/>
      <c r="BY287" s="201"/>
      <c r="BZ287" s="201"/>
    </row>
    <row r="288" spans="1:79">
      <c r="A288" s="322"/>
      <c r="B288" s="455">
        <v>2021</v>
      </c>
      <c r="C288" s="450">
        <v>19.137931158777739</v>
      </c>
      <c r="D288" s="1444">
        <v>20.871905828468044</v>
      </c>
      <c r="E288" s="1444">
        <v>14.635898861183829</v>
      </c>
      <c r="F288" s="444">
        <v>20.618884726503836</v>
      </c>
      <c r="G288" s="1445">
        <v>19.972807133349203</v>
      </c>
      <c r="H288" s="1444">
        <v>14.635898861183829</v>
      </c>
      <c r="I288" s="444">
        <v>19.523670478876063</v>
      </c>
      <c r="J288" s="1445">
        <v>16.587476851398964</v>
      </c>
      <c r="K288" s="1444">
        <v>17.88672</v>
      </c>
      <c r="L288" s="1444">
        <v>23.55935827954773</v>
      </c>
      <c r="M288" s="444">
        <v>33.886814743623795</v>
      </c>
      <c r="N288" s="451">
        <v>16.846692813484704</v>
      </c>
      <c r="O288" s="1446"/>
      <c r="P288" s="1455">
        <v>2021</v>
      </c>
      <c r="Q288" s="1456">
        <v>8.5169640793048867E-2</v>
      </c>
      <c r="R288" s="1457">
        <v>1.9114744263120386E-2</v>
      </c>
      <c r="S288" s="1457">
        <v>3.5513140996273743E-2</v>
      </c>
      <c r="T288" s="1457">
        <v>1.1273669071262014E-2</v>
      </c>
      <c r="U288" s="1458">
        <v>9.4373760396133516E-3</v>
      </c>
      <c r="V288" s="1457">
        <v>5.0133442980567003E-3</v>
      </c>
      <c r="W288" s="1459">
        <v>4.8173661247226697E-3</v>
      </c>
      <c r="AE288" s="323"/>
      <c r="AF288" s="327"/>
      <c r="AG288" s="327"/>
      <c r="AH288" s="326"/>
      <c r="AI288" s="327"/>
      <c r="AJ288" s="326"/>
      <c r="AK288" s="326"/>
      <c r="AL288" s="326"/>
      <c r="AM288" s="326"/>
      <c r="AN288" s="326"/>
      <c r="AO288" s="326"/>
      <c r="AP288" s="326"/>
      <c r="AQ288" s="326"/>
      <c r="AR288" s="326"/>
      <c r="AS288" s="326"/>
      <c r="AT288" s="328"/>
      <c r="AU288" s="323"/>
      <c r="BX288" s="201"/>
      <c r="BY288" s="201"/>
      <c r="BZ288" s="201"/>
    </row>
    <row r="289" spans="1:78">
      <c r="A289" s="322"/>
      <c r="B289" s="455">
        <v>2022</v>
      </c>
      <c r="C289" s="450">
        <v>19.340940119999999</v>
      </c>
      <c r="D289" s="1444">
        <v>20.1598206</v>
      </c>
      <c r="E289" s="1444">
        <v>14.15270535475377</v>
      </c>
      <c r="F289" s="444">
        <v>19.91608660051088</v>
      </c>
      <c r="G289" s="1445">
        <v>19.313419500000002</v>
      </c>
      <c r="H289" s="1444">
        <v>14.15270535475377</v>
      </c>
      <c r="I289" s="444">
        <v>18.879110763989505</v>
      </c>
      <c r="J289" s="1445">
        <v>16.76343142125101</v>
      </c>
      <c r="K289" s="1444">
        <v>18.07645651941516</v>
      </c>
      <c r="L289" s="1444">
        <v>23.809268304393878</v>
      </c>
      <c r="M289" s="444">
        <v>34.089823704846054</v>
      </c>
      <c r="N289" s="451">
        <v>16.290511560149692</v>
      </c>
      <c r="O289" s="1446"/>
      <c r="P289" s="1455">
        <v>2022</v>
      </c>
      <c r="Q289" s="1456">
        <v>9.1601140370199799E-2</v>
      </c>
      <c r="R289" s="1457">
        <v>2.0558174909309519E-2</v>
      </c>
      <c r="S289" s="1457">
        <v>3.8194880042888069E-2</v>
      </c>
      <c r="T289" s="1457">
        <v>1.2124988827804637E-2</v>
      </c>
      <c r="U289" s="1458">
        <v>1.0150029978775453E-2</v>
      </c>
      <c r="V289" s="1457">
        <v>5.3919219394889424E-3</v>
      </c>
      <c r="W289" s="1459">
        <v>5.181144671933164E-3</v>
      </c>
      <c r="AE289" s="323"/>
      <c r="AF289" s="327"/>
      <c r="AG289" s="327"/>
      <c r="AH289" s="326"/>
      <c r="AI289" s="327"/>
      <c r="AJ289" s="326"/>
      <c r="AK289" s="326"/>
      <c r="AL289" s="326"/>
      <c r="AM289" s="326"/>
      <c r="AN289" s="326"/>
      <c r="AO289" s="326"/>
      <c r="AP289" s="326"/>
      <c r="AQ289" s="326"/>
      <c r="AR289" s="326"/>
      <c r="AS289" s="326"/>
      <c r="AT289" s="328"/>
      <c r="AU289" s="323"/>
      <c r="BX289" s="201"/>
      <c r="BY289" s="201"/>
      <c r="BZ289" s="201"/>
    </row>
    <row r="290" spans="1:78">
      <c r="A290" s="322"/>
      <c r="B290" s="455">
        <v>2023</v>
      </c>
      <c r="C290" s="450">
        <v>21.384072540000002</v>
      </c>
      <c r="D290" s="1444">
        <v>21.189953279999997</v>
      </c>
      <c r="E290" s="1444">
        <v>14.95814463655549</v>
      </c>
      <c r="F290" s="444">
        <v>20.937102521739686</v>
      </c>
      <c r="G290" s="1445">
        <v>20.412558240000003</v>
      </c>
      <c r="H290" s="1444">
        <v>14.95814463655549</v>
      </c>
      <c r="I290" s="444">
        <v>19.953532723158975</v>
      </c>
      <c r="J290" s="1445">
        <v>18.534281751933108</v>
      </c>
      <c r="K290" s="1444">
        <v>19.986011800822936</v>
      </c>
      <c r="L290" s="1444">
        <v>26.324424634301675</v>
      </c>
      <c r="M290" s="444">
        <v>36.132956124846061</v>
      </c>
      <c r="N290" s="451">
        <v>17.217614725395929</v>
      </c>
      <c r="O290" s="1446"/>
      <c r="P290" s="1455">
        <v>2023</v>
      </c>
      <c r="Q290" s="1456">
        <v>0.10057573980138176</v>
      </c>
      <c r="R290" s="1457">
        <v>2.2572357091993914E-2</v>
      </c>
      <c r="S290" s="1457">
        <v>4.1937014118093134E-2</v>
      </c>
      <c r="T290" s="1457">
        <v>1.3312931656871254E-2</v>
      </c>
      <c r="U290" s="1458">
        <v>1.1144476695332193E-2</v>
      </c>
      <c r="V290" s="1457">
        <v>5.9201941790653139E-3</v>
      </c>
      <c r="W290" s="1459">
        <v>5.68876606002595E-3</v>
      </c>
      <c r="AE290" s="323"/>
      <c r="AF290" s="327"/>
      <c r="AG290" s="327"/>
      <c r="AH290" s="326"/>
      <c r="AI290" s="327"/>
      <c r="AJ290" s="326"/>
      <c r="AK290" s="326"/>
      <c r="AL290" s="326"/>
      <c r="AM290" s="326"/>
      <c r="AN290" s="326"/>
      <c r="AO290" s="326"/>
      <c r="AP290" s="326"/>
      <c r="AQ290" s="326"/>
      <c r="AR290" s="326"/>
      <c r="AS290" s="326"/>
      <c r="AT290" s="328"/>
      <c r="AU290" s="323"/>
      <c r="BX290" s="201"/>
      <c r="BY290" s="201"/>
      <c r="BZ290" s="201"/>
    </row>
    <row r="291" spans="1:78">
      <c r="A291" s="322"/>
      <c r="B291" s="455">
        <v>2024</v>
      </c>
      <c r="C291" s="450">
        <v>22.506292860000002</v>
      </c>
      <c r="D291" s="1444">
        <v>21.46921296</v>
      </c>
      <c r="E291" s="1444">
        <v>15.171979536023288</v>
      </c>
      <c r="F291" s="444">
        <v>21.213707642475583</v>
      </c>
      <c r="G291" s="1445">
        <v>20.70436698</v>
      </c>
      <c r="H291" s="1444">
        <v>15.171979536023288</v>
      </c>
      <c r="I291" s="444">
        <v>20.238779441087935</v>
      </c>
      <c r="J291" s="1445">
        <v>19.506947157913089</v>
      </c>
      <c r="K291" s="1444">
        <v>21.034862926663873</v>
      </c>
      <c r="L291" s="1444">
        <v>27.705910980350232</v>
      </c>
      <c r="M291" s="444">
        <v>37.255176444846057</v>
      </c>
      <c r="N291" s="451">
        <v>17.463749991723191</v>
      </c>
      <c r="O291" s="1446"/>
      <c r="P291" s="1455">
        <v>2024</v>
      </c>
      <c r="Q291" s="1456">
        <v>0.1060679110230419</v>
      </c>
      <c r="R291" s="1457">
        <v>2.3804972932260218E-2</v>
      </c>
      <c r="S291" s="1457">
        <v>4.4227081906971388E-2</v>
      </c>
      <c r="T291" s="1457">
        <v>1.403991512491423E-2</v>
      </c>
      <c r="U291" s="1458">
        <v>1.1753046657705213E-2</v>
      </c>
      <c r="V291" s="1457">
        <v>6.2434800943477944E-3</v>
      </c>
      <c r="W291" s="1459">
        <v>5.9994143068430438E-3</v>
      </c>
      <c r="AE291" s="323"/>
      <c r="AF291" s="327"/>
      <c r="AG291" s="327"/>
      <c r="AH291" s="326"/>
      <c r="AI291" s="327"/>
      <c r="AJ291" s="326"/>
      <c r="AK291" s="326"/>
      <c r="AL291" s="326"/>
      <c r="AM291" s="326"/>
      <c r="AN291" s="326"/>
      <c r="AO291" s="326"/>
      <c r="AP291" s="326"/>
      <c r="AQ291" s="326"/>
      <c r="AR291" s="326"/>
      <c r="AS291" s="326"/>
      <c r="AT291" s="328"/>
      <c r="AU291" s="323"/>
      <c r="BX291" s="201"/>
      <c r="BY291" s="201"/>
      <c r="BZ291" s="201"/>
    </row>
    <row r="292" spans="1:78">
      <c r="A292" s="322"/>
      <c r="B292" s="455">
        <v>2025</v>
      </c>
      <c r="C292" s="450">
        <v>23.418634919999999</v>
      </c>
      <c r="D292" s="1444">
        <v>21.54224292</v>
      </c>
      <c r="E292" s="1444">
        <v>15.233330741716719</v>
      </c>
      <c r="F292" s="444">
        <v>21.286263746160198</v>
      </c>
      <c r="G292" s="1445">
        <v>20.788089599999999</v>
      </c>
      <c r="H292" s="1444">
        <v>15.233330741716719</v>
      </c>
      <c r="I292" s="444">
        <v>20.320619356408542</v>
      </c>
      <c r="J292" s="1445">
        <v>20.297704145972716</v>
      </c>
      <c r="K292" s="1444">
        <v>21.887557339453544</v>
      </c>
      <c r="L292" s="1444">
        <v>28.829030991949921</v>
      </c>
      <c r="M292" s="444">
        <v>38.167518504846058</v>
      </c>
      <c r="N292" s="451">
        <v>17.534368470701295</v>
      </c>
      <c r="O292" s="1446"/>
      <c r="P292" s="1455">
        <v>2025</v>
      </c>
      <c r="Q292" s="1456">
        <v>0.11059582388410036</v>
      </c>
      <c r="R292" s="1457">
        <v>2.482117888991044E-2</v>
      </c>
      <c r="S292" s="1457">
        <v>4.6115083386798393E-2</v>
      </c>
      <c r="T292" s="1457">
        <v>1.4639262388842696E-2</v>
      </c>
      <c r="U292" s="1458">
        <v>1.2254770228997975E-2</v>
      </c>
      <c r="V292" s="1457">
        <v>6.510006827497263E-3</v>
      </c>
      <c r="W292" s="1459">
        <v>6.2555221620535732E-3</v>
      </c>
      <c r="AE292" s="323"/>
      <c r="AF292" s="327"/>
      <c r="AG292" s="327"/>
      <c r="AH292" s="326"/>
      <c r="AI292" s="327"/>
      <c r="AJ292" s="326"/>
      <c r="AK292" s="326"/>
      <c r="AL292" s="326"/>
      <c r="AM292" s="326"/>
      <c r="AN292" s="326"/>
      <c r="AO292" s="326"/>
      <c r="AP292" s="326"/>
      <c r="AQ292" s="326"/>
      <c r="AR292" s="326"/>
      <c r="AS292" s="326"/>
      <c r="AT292" s="328"/>
      <c r="AU292" s="323"/>
      <c r="BX292" s="201"/>
      <c r="BY292" s="201"/>
      <c r="BZ292" s="201"/>
    </row>
    <row r="293" spans="1:78">
      <c r="A293" s="322"/>
      <c r="B293" s="455">
        <v>2026</v>
      </c>
      <c r="C293" s="450">
        <v>24.27368766</v>
      </c>
      <c r="D293" s="1444">
        <v>21.539616419999998</v>
      </c>
      <c r="E293" s="1444">
        <v>15.244092485111343</v>
      </c>
      <c r="F293" s="444">
        <v>21.284180463657361</v>
      </c>
      <c r="G293" s="1445">
        <v>20.802775560000001</v>
      </c>
      <c r="H293" s="1444">
        <v>15.244092485111343</v>
      </c>
      <c r="I293" s="444">
        <v>20.334975067240361</v>
      </c>
      <c r="J293" s="1445">
        <v>21.038806588750088</v>
      </c>
      <c r="K293" s="1444">
        <v>22.686707927817853</v>
      </c>
      <c r="L293" s="1444">
        <v>29.881626159235264</v>
      </c>
      <c r="M293" s="444">
        <v>39.022571244846056</v>
      </c>
      <c r="N293" s="451">
        <v>17.546755805898563</v>
      </c>
      <c r="O293" s="1446"/>
      <c r="P293" s="1455">
        <v>2026</v>
      </c>
      <c r="Q293" s="1456">
        <v>0.11314718200321805</v>
      </c>
      <c r="R293" s="1457">
        <v>2.5393783840647197E-2</v>
      </c>
      <c r="S293" s="1457">
        <v>4.717892185990382E-2</v>
      </c>
      <c r="T293" s="1457">
        <v>1.4976978585005848E-2</v>
      </c>
      <c r="U293" s="1458">
        <v>1.2537478078386951E-2</v>
      </c>
      <c r="V293" s="1457">
        <v>6.6601875322610596E-3</v>
      </c>
      <c r="W293" s="1459">
        <v>6.3998321070131746E-3</v>
      </c>
      <c r="AE293" s="323"/>
      <c r="AF293" s="327"/>
      <c r="AG293" s="327"/>
      <c r="AH293" s="326"/>
      <c r="AI293" s="327"/>
      <c r="AJ293" s="326"/>
      <c r="AK293" s="326"/>
      <c r="AL293" s="326"/>
      <c r="AM293" s="326"/>
      <c r="AN293" s="326"/>
      <c r="AO293" s="326"/>
      <c r="AP293" s="326"/>
      <c r="AQ293" s="326"/>
      <c r="AR293" s="326"/>
      <c r="AS293" s="326"/>
      <c r="AT293" s="328"/>
      <c r="AU293" s="323"/>
      <c r="BX293" s="201"/>
      <c r="BY293" s="201"/>
      <c r="BZ293" s="201"/>
    </row>
    <row r="294" spans="1:78">
      <c r="A294" s="322"/>
      <c r="B294" s="455">
        <v>2027</v>
      </c>
      <c r="C294" s="450">
        <v>24.56284848</v>
      </c>
      <c r="D294" s="1444">
        <v>21.849360839999999</v>
      </c>
      <c r="E294" s="1444">
        <v>15.466424363250493</v>
      </c>
      <c r="F294" s="444">
        <v>21.590378188186502</v>
      </c>
      <c r="G294" s="1445">
        <v>21.106179660000002</v>
      </c>
      <c r="H294" s="1444">
        <v>15.466424363250493</v>
      </c>
      <c r="I294" s="444">
        <v>20.631556395582997</v>
      </c>
      <c r="J294" s="1445">
        <v>21.289431819256347</v>
      </c>
      <c r="K294" s="1444">
        <v>22.956963818039206</v>
      </c>
      <c r="L294" s="1444">
        <v>30.237591665760942</v>
      </c>
      <c r="M294" s="444">
        <v>39.311732064846055</v>
      </c>
      <c r="N294" s="451">
        <v>17.802671543577581</v>
      </c>
      <c r="O294" s="1446"/>
      <c r="P294" s="1455">
        <v>2027</v>
      </c>
      <c r="Q294" s="1456">
        <v>0.11618782353940475</v>
      </c>
      <c r="R294" s="1457">
        <v>2.607619936827936E-2</v>
      </c>
      <c r="S294" s="1457">
        <v>4.844677658593359E-2</v>
      </c>
      <c r="T294" s="1457">
        <v>1.5379459869699727E-2</v>
      </c>
      <c r="U294" s="1458">
        <v>1.2874401861456417E-2</v>
      </c>
      <c r="V294" s="1457">
        <v>6.8391689482437366E-3</v>
      </c>
      <c r="W294" s="1459">
        <v>6.5718169057919183E-3</v>
      </c>
      <c r="AE294" s="323"/>
      <c r="AF294" s="327"/>
      <c r="AG294" s="327"/>
      <c r="AH294" s="326"/>
      <c r="AI294" s="327"/>
      <c r="AJ294" s="326"/>
      <c r="AK294" s="326"/>
      <c r="AL294" s="326"/>
      <c r="AM294" s="326"/>
      <c r="AN294" s="326"/>
      <c r="AO294" s="326"/>
      <c r="AP294" s="326"/>
      <c r="AQ294" s="326"/>
      <c r="AR294" s="326"/>
      <c r="AS294" s="326"/>
      <c r="AT294" s="328"/>
      <c r="AU294" s="323"/>
      <c r="BX294" s="201"/>
      <c r="BY294" s="201"/>
      <c r="BZ294" s="201"/>
    </row>
    <row r="295" spans="1:78">
      <c r="A295" s="322"/>
      <c r="B295" s="455">
        <v>2028</v>
      </c>
      <c r="C295" s="450">
        <v>25.02114774</v>
      </c>
      <c r="D295" s="1444">
        <v>22.31547432</v>
      </c>
      <c r="E295" s="1444">
        <v>15.805593435356192</v>
      </c>
      <c r="F295" s="444">
        <v>22.051340998191726</v>
      </c>
      <c r="G295" s="1445">
        <v>21.569025060000001</v>
      </c>
      <c r="H295" s="1444">
        <v>15.805593435356192</v>
      </c>
      <c r="I295" s="444">
        <v>21.083993602427853</v>
      </c>
      <c r="J295" s="1445">
        <v>21.686654920499272</v>
      </c>
      <c r="K295" s="1444">
        <v>23.385300113734754</v>
      </c>
      <c r="L295" s="1444">
        <v>30.801771585524079</v>
      </c>
      <c r="M295" s="444">
        <v>39.770031324846059</v>
      </c>
      <c r="N295" s="451">
        <v>18.193073064098691</v>
      </c>
      <c r="O295" s="1446"/>
      <c r="P295" s="1455">
        <v>2028</v>
      </c>
      <c r="Q295" s="1456">
        <v>0.1192956815396433</v>
      </c>
      <c r="R295" s="1457">
        <v>2.677370038304824E-2</v>
      </c>
      <c r="S295" s="1457">
        <v>4.9742658526155142E-2</v>
      </c>
      <c r="T295" s="1457">
        <v>1.579083841126595E-2</v>
      </c>
      <c r="U295" s="1458">
        <v>1.3218773686356324E-2</v>
      </c>
      <c r="V295" s="1457">
        <v>7.0221069298952625E-3</v>
      </c>
      <c r="W295" s="1459">
        <v>6.7476036029223774E-3</v>
      </c>
      <c r="AE295" s="323"/>
      <c r="AF295" s="327"/>
      <c r="AG295" s="327"/>
      <c r="AH295" s="326"/>
      <c r="AI295" s="327"/>
      <c r="AJ295" s="326"/>
      <c r="AK295" s="326"/>
      <c r="AL295" s="326"/>
      <c r="AM295" s="326"/>
      <c r="AN295" s="326"/>
      <c r="AO295" s="326"/>
      <c r="AP295" s="326"/>
      <c r="AQ295" s="326"/>
      <c r="AR295" s="326"/>
      <c r="AS295" s="326"/>
      <c r="AT295" s="328"/>
      <c r="AU295" s="323"/>
      <c r="BX295" s="201"/>
      <c r="BY295" s="201"/>
      <c r="BZ295" s="201"/>
    </row>
    <row r="296" spans="1:78">
      <c r="A296" s="322"/>
      <c r="B296" s="455">
        <v>2029</v>
      </c>
      <c r="C296" s="450">
        <v>25.238533199999999</v>
      </c>
      <c r="D296" s="1444">
        <v>22.533264720000002</v>
      </c>
      <c r="E296" s="1444">
        <v>15.965425281603997</v>
      </c>
      <c r="F296" s="444">
        <v>22.266779775235634</v>
      </c>
      <c r="G296" s="1445">
        <v>21.787138800000001</v>
      </c>
      <c r="H296" s="1444">
        <v>15.965425281603997</v>
      </c>
      <c r="I296" s="444">
        <v>21.297202529858236</v>
      </c>
      <c r="J296" s="1445">
        <v>21.875070076540151</v>
      </c>
      <c r="K296" s="1444">
        <v>23.588473216555105</v>
      </c>
      <c r="L296" s="1444">
        <v>31.06937950481348</v>
      </c>
      <c r="M296" s="444">
        <v>39.987416784846054</v>
      </c>
      <c r="N296" s="451">
        <v>18.377047963152556</v>
      </c>
      <c r="O296" s="1446"/>
      <c r="P296" s="1455">
        <v>2029</v>
      </c>
      <c r="Q296" s="1456">
        <v>0.12088025076449163</v>
      </c>
      <c r="R296" s="1457">
        <v>2.7129327519879599E-2</v>
      </c>
      <c r="S296" s="1457">
        <v>5.0403375534896919E-2</v>
      </c>
      <c r="T296" s="1457">
        <v>1.6000583443593296E-2</v>
      </c>
      <c r="U296" s="1458">
        <v>1.3394354744306647E-2</v>
      </c>
      <c r="V296" s="1457">
        <v>7.1153794976118795E-3</v>
      </c>
      <c r="W296" s="1459">
        <v>6.8372300242032979E-3</v>
      </c>
      <c r="AE296" s="323"/>
      <c r="AF296" s="327"/>
      <c r="AG296" s="327"/>
      <c r="AH296" s="326"/>
      <c r="AI296" s="327"/>
      <c r="AJ296" s="326"/>
      <c r="AK296" s="326"/>
      <c r="AL296" s="326"/>
      <c r="AM296" s="326"/>
      <c r="AN296" s="326"/>
      <c r="AO296" s="326"/>
      <c r="AP296" s="326"/>
      <c r="AQ296" s="326"/>
      <c r="AR296" s="326"/>
      <c r="AS296" s="326"/>
      <c r="AT296" s="328"/>
      <c r="AU296" s="323"/>
      <c r="BX296" s="201"/>
      <c r="BY296" s="201"/>
      <c r="BZ296" s="201"/>
    </row>
    <row r="297" spans="1:78">
      <c r="A297" s="322"/>
      <c r="B297" s="455">
        <v>2030</v>
      </c>
      <c r="C297" s="450">
        <v>25.660157340000001</v>
      </c>
      <c r="D297" s="1444">
        <v>22.948126260000002</v>
      </c>
      <c r="E297" s="1444">
        <v>16.270645306273682</v>
      </c>
      <c r="F297" s="444">
        <v>22.677192696564195</v>
      </c>
      <c r="G297" s="1445">
        <v>22.2036558</v>
      </c>
      <c r="H297" s="1444">
        <v>16.270645306273682</v>
      </c>
      <c r="I297" s="444">
        <v>21.704353142316304</v>
      </c>
      <c r="J297" s="1445">
        <v>22.24050564030188</v>
      </c>
      <c r="K297" s="1444">
        <v>23.982532160275465</v>
      </c>
      <c r="L297" s="1444">
        <v>31.588411269070317</v>
      </c>
      <c r="M297" s="444">
        <v>40.409040924846053</v>
      </c>
      <c r="N297" s="451">
        <v>18.728372336524078</v>
      </c>
      <c r="O297" s="1446"/>
      <c r="P297" s="1455">
        <f>P296+1</f>
        <v>2030</v>
      </c>
      <c r="Q297" s="1456">
        <v>0.12349204827432388</v>
      </c>
      <c r="R297" s="1457">
        <v>2.7715496969493759E-2</v>
      </c>
      <c r="S297" s="1457">
        <v>5.1492415389435775E-2</v>
      </c>
      <c r="T297" s="1457">
        <v>1.634629983423232E-2</v>
      </c>
      <c r="U297" s="1458">
        <v>1.368375968966159E-2</v>
      </c>
      <c r="V297" s="1457">
        <v>7.2691178488797021E-3</v>
      </c>
      <c r="W297" s="1459">
        <v>6.9849585426207152E-3</v>
      </c>
      <c r="AE297" s="323"/>
      <c r="AF297" s="327"/>
      <c r="AG297" s="327"/>
      <c r="AH297" s="326"/>
      <c r="AI297" s="327"/>
      <c r="AJ297" s="326"/>
      <c r="AK297" s="326"/>
      <c r="AL297" s="326"/>
      <c r="AM297" s="326"/>
      <c r="AN297" s="326"/>
      <c r="AO297" s="326"/>
      <c r="AP297" s="326"/>
      <c r="AQ297" s="326"/>
      <c r="AR297" s="326"/>
      <c r="AS297" s="326"/>
      <c r="AT297" s="328"/>
      <c r="AU297" s="323"/>
      <c r="BX297" s="201"/>
      <c r="BY297" s="201"/>
      <c r="BZ297" s="201"/>
    </row>
    <row r="298" spans="1:78">
      <c r="A298" s="322"/>
      <c r="B298" s="455">
        <v>2031</v>
      </c>
      <c r="C298" s="450">
        <v>25.882744800000001</v>
      </c>
      <c r="D298" s="1444">
        <v>23.177216219999998</v>
      </c>
      <c r="E298" s="1444">
        <v>16.436996386157265</v>
      </c>
      <c r="F298" s="444">
        <v>22.903737075607282</v>
      </c>
      <c r="G298" s="1445">
        <v>22.430665980000001</v>
      </c>
      <c r="H298" s="1444">
        <v>16.436996386157265</v>
      </c>
      <c r="I298" s="444">
        <v>21.926258451874418</v>
      </c>
      <c r="J298" s="1445">
        <v>22.433429541507795</v>
      </c>
      <c r="K298" s="1444">
        <v>24.19056716361516</v>
      </c>
      <c r="L298" s="1444">
        <v>31.862423003942155</v>
      </c>
      <c r="M298" s="444">
        <v>40.631628384846053</v>
      </c>
      <c r="N298" s="451">
        <v>18.919851217908167</v>
      </c>
      <c r="O298" s="1446"/>
      <c r="P298" s="1455">
        <f t="shared" ref="P298:P317" si="143">P297+1</f>
        <v>2031</v>
      </c>
      <c r="Q298" s="1456">
        <v>0.1245948473065758</v>
      </c>
      <c r="R298" s="1457">
        <v>2.7962999733140884E-2</v>
      </c>
      <c r="S298" s="1457">
        <v>5.1952248930569066E-2</v>
      </c>
      <c r="T298" s="1457">
        <v>1.6492274282708927E-2</v>
      </c>
      <c r="U298" s="1458">
        <v>1.3805957330353441E-2</v>
      </c>
      <c r="V298" s="1457">
        <v>7.3340319566387886E-3</v>
      </c>
      <c r="W298" s="1459">
        <v>7.0473350731646948E-3</v>
      </c>
      <c r="AE298" s="323"/>
      <c r="AF298" s="327"/>
      <c r="AG298" s="327"/>
      <c r="AH298" s="326"/>
      <c r="AI298" s="327"/>
      <c r="AJ298" s="326"/>
      <c r="AK298" s="326"/>
      <c r="AL298" s="326"/>
      <c r="AM298" s="326"/>
      <c r="AN298" s="326"/>
      <c r="AO298" s="326"/>
      <c r="AP298" s="326"/>
      <c r="AQ298" s="326"/>
      <c r="AR298" s="326"/>
      <c r="AS298" s="326"/>
      <c r="AT298" s="328"/>
      <c r="AU298" s="323"/>
      <c r="BX298" s="201"/>
      <c r="BY298" s="201"/>
      <c r="BZ298" s="201"/>
    </row>
    <row r="299" spans="1:78">
      <c r="A299" s="322"/>
      <c r="B299" s="455">
        <v>2032</v>
      </c>
      <c r="C299" s="450">
        <v>26.155103160000003</v>
      </c>
      <c r="D299" s="1444">
        <v>23.454342060000002</v>
      </c>
      <c r="E299" s="1444">
        <v>16.638689007430479</v>
      </c>
      <c r="F299" s="444">
        <v>23.177802271796736</v>
      </c>
      <c r="G299" s="1445">
        <v>22.705904820000001</v>
      </c>
      <c r="H299" s="1444">
        <v>16.638689007430479</v>
      </c>
      <c r="I299" s="444">
        <v>22.195307883898195</v>
      </c>
      <c r="J299" s="1445">
        <v>22.669491525130983</v>
      </c>
      <c r="K299" s="1444">
        <v>24.445119115159038</v>
      </c>
      <c r="L299" s="1444">
        <v>32.197704186136555</v>
      </c>
      <c r="M299" s="444">
        <v>40.903986744846058</v>
      </c>
      <c r="N299" s="451">
        <v>19.152010080548841</v>
      </c>
      <c r="O299" s="1446"/>
      <c r="P299" s="1455">
        <f t="shared" si="143"/>
        <v>2032</v>
      </c>
      <c r="Q299" s="1456">
        <v>0.12614083265377554</v>
      </c>
      <c r="R299" s="1457">
        <v>2.8309967435142344E-2</v>
      </c>
      <c r="S299" s="1457">
        <v>5.2596877639837468E-2</v>
      </c>
      <c r="T299" s="1457">
        <v>1.6696912074192629E-2</v>
      </c>
      <c r="U299" s="1458">
        <v>1.3977263031979072E-2</v>
      </c>
      <c r="V299" s="1457">
        <v>7.4250333598746658E-3</v>
      </c>
      <c r="W299" s="1459">
        <v>7.1347791127493428E-3</v>
      </c>
      <c r="AE299" s="323"/>
      <c r="AF299" s="327"/>
      <c r="AG299" s="327"/>
      <c r="AH299" s="326"/>
      <c r="AI299" s="327"/>
      <c r="AJ299" s="326"/>
      <c r="AK299" s="326"/>
      <c r="AL299" s="326"/>
      <c r="AM299" s="326"/>
      <c r="AN299" s="326"/>
      <c r="AO299" s="326"/>
      <c r="AP299" s="326"/>
      <c r="AQ299" s="326"/>
      <c r="AR299" s="326"/>
      <c r="AS299" s="326"/>
      <c r="AT299" s="328"/>
      <c r="AU299" s="323"/>
      <c r="BX299" s="201"/>
      <c r="BY299" s="201"/>
      <c r="BZ299" s="201"/>
    </row>
    <row r="300" spans="1:78">
      <c r="A300" s="322"/>
      <c r="B300" s="455">
        <v>2033</v>
      </c>
      <c r="C300" s="450">
        <v>26.279560500000002</v>
      </c>
      <c r="D300" s="1444">
        <v>23.61072132</v>
      </c>
      <c r="E300" s="1444">
        <v>16.745585154921933</v>
      </c>
      <c r="F300" s="444">
        <v>23.332173793235629</v>
      </c>
      <c r="G300" s="1445">
        <v>22.851780120000001</v>
      </c>
      <c r="H300" s="1444">
        <v>16.745585154921933</v>
      </c>
      <c r="I300" s="444">
        <v>22.337902826571614</v>
      </c>
      <c r="J300" s="1445">
        <v>22.777362811170686</v>
      </c>
      <c r="K300" s="1444">
        <v>24.561439608427388</v>
      </c>
      <c r="L300" s="1444">
        <v>32.350914846121327</v>
      </c>
      <c r="M300" s="444">
        <v>41.028444084846058</v>
      </c>
      <c r="N300" s="451">
        <v>19.275053193706007</v>
      </c>
      <c r="O300" s="1446"/>
      <c r="P300" s="1455">
        <f t="shared" si="143"/>
        <v>2033</v>
      </c>
      <c r="Q300" s="1456">
        <v>0.12652695680946996</v>
      </c>
      <c r="R300" s="1457">
        <v>2.8396625831505037E-2</v>
      </c>
      <c r="S300" s="1457">
        <v>5.2757879628991818E-2</v>
      </c>
      <c r="T300" s="1457">
        <v>1.6748022257483137E-2</v>
      </c>
      <c r="U300" s="1458">
        <v>1.4020048217185157E-2</v>
      </c>
      <c r="V300" s="1457">
        <v>7.4477618029709126E-3</v>
      </c>
      <c r="W300" s="1459">
        <v>7.1566190713338706E-3</v>
      </c>
      <c r="AE300" s="323"/>
      <c r="AF300" s="327"/>
      <c r="AG300" s="327"/>
      <c r="AH300" s="326"/>
      <c r="AI300" s="327"/>
      <c r="AJ300" s="326"/>
      <c r="AK300" s="326"/>
      <c r="AL300" s="326"/>
      <c r="AM300" s="326"/>
      <c r="AN300" s="326"/>
      <c r="AO300" s="326"/>
      <c r="AP300" s="326"/>
      <c r="AQ300" s="326"/>
      <c r="AR300" s="326"/>
      <c r="AS300" s="326"/>
      <c r="AT300" s="328"/>
      <c r="AU300" s="323"/>
      <c r="BX300" s="201"/>
      <c r="BY300" s="201"/>
      <c r="BZ300" s="201"/>
    </row>
    <row r="301" spans="1:78">
      <c r="A301" s="322"/>
      <c r="B301" s="455">
        <v>2034</v>
      </c>
      <c r="C301" s="450">
        <v>26.391311699999999</v>
      </c>
      <c r="D301" s="1444">
        <v>23.733750660000002</v>
      </c>
      <c r="E301" s="1444">
        <v>16.832808494652134</v>
      </c>
      <c r="F301" s="444">
        <v>23.453750332798954</v>
      </c>
      <c r="G301" s="1445">
        <v>22.970809020000001</v>
      </c>
      <c r="H301" s="1444">
        <v>16.832808494652134</v>
      </c>
      <c r="I301" s="444">
        <v>22.45425507518382</v>
      </c>
      <c r="J301" s="1445">
        <v>22.874221266127858</v>
      </c>
      <c r="K301" s="1444">
        <v>24.665884671348785</v>
      </c>
      <c r="L301" s="1444">
        <v>32.488483872633459</v>
      </c>
      <c r="M301" s="444">
        <v>41.140195284846058</v>
      </c>
      <c r="N301" s="451">
        <v>19.375451865802468</v>
      </c>
      <c r="O301" s="1446"/>
      <c r="P301" s="1455">
        <f t="shared" si="143"/>
        <v>2034</v>
      </c>
      <c r="Q301" s="1456">
        <v>0.12697703004599817</v>
      </c>
      <c r="R301" s="1457">
        <v>2.8497636411516952E-2</v>
      </c>
      <c r="S301" s="1457">
        <v>5.2945546433250334E-2</v>
      </c>
      <c r="T301" s="1457">
        <v>1.68075972031939E-2</v>
      </c>
      <c r="U301" s="1458">
        <v>1.4069919395916598E-2</v>
      </c>
      <c r="V301" s="1457">
        <v>7.4742544836144684E-3</v>
      </c>
      <c r="W301" s="1459">
        <v>7.1820761185059229E-3</v>
      </c>
      <c r="AE301" s="323"/>
      <c r="AF301" s="327"/>
      <c r="AG301" s="327"/>
      <c r="AH301" s="326"/>
      <c r="AI301" s="327"/>
      <c r="AJ301" s="326"/>
      <c r="AK301" s="326"/>
      <c r="AL301" s="326"/>
      <c r="AM301" s="326"/>
      <c r="AN301" s="326"/>
      <c r="AO301" s="326"/>
      <c r="AP301" s="326"/>
      <c r="AQ301" s="326"/>
      <c r="AR301" s="326"/>
      <c r="AS301" s="326"/>
      <c r="AT301" s="328"/>
      <c r="AU301" s="323"/>
      <c r="BX301" s="201"/>
      <c r="BY301" s="201"/>
      <c r="BZ301" s="201"/>
    </row>
    <row r="302" spans="1:78">
      <c r="A302" s="322"/>
      <c r="B302" s="455">
        <v>2035</v>
      </c>
      <c r="C302" s="450">
        <v>26.506955219999998</v>
      </c>
      <c r="D302" s="1444">
        <v>23.85526428</v>
      </c>
      <c r="E302" s="1444">
        <v>16.920565511614161</v>
      </c>
      <c r="F302" s="444">
        <v>23.573894305050956</v>
      </c>
      <c r="G302" s="1445">
        <v>23.090566200000001</v>
      </c>
      <c r="H302" s="1444">
        <v>16.920565511614161</v>
      </c>
      <c r="I302" s="444">
        <v>22.571319226666837</v>
      </c>
      <c r="J302" s="1445">
        <v>22.974453323349696</v>
      </c>
      <c r="K302" s="1444">
        <v>24.773967579835244</v>
      </c>
      <c r="L302" s="1444">
        <v>32.630844459981397</v>
      </c>
      <c r="M302" s="444">
        <v>41.25583880484605</v>
      </c>
      <c r="N302" s="451">
        <v>19.476464828587279</v>
      </c>
      <c r="O302" s="1446"/>
      <c r="P302" s="1455">
        <f t="shared" si="143"/>
        <v>2035</v>
      </c>
      <c r="Q302" s="1456">
        <v>0.12717261155988904</v>
      </c>
      <c r="R302" s="1457">
        <v>2.8541531050331991E-2</v>
      </c>
      <c r="S302" s="1457">
        <v>5.3027097955769341E-2</v>
      </c>
      <c r="T302" s="1457">
        <v>1.6833485785598745E-2</v>
      </c>
      <c r="U302" s="1458">
        <v>1.409159115918574E-2</v>
      </c>
      <c r="V302" s="1457">
        <v>7.4857670068368305E-3</v>
      </c>
      <c r="W302" s="1459">
        <v>7.1931386021663775E-3</v>
      </c>
      <c r="AE302" s="323"/>
      <c r="AF302" s="327"/>
      <c r="AG302" s="327"/>
      <c r="AH302" s="326"/>
      <c r="AI302" s="327"/>
      <c r="AJ302" s="326"/>
      <c r="AK302" s="326"/>
      <c r="AL302" s="326"/>
      <c r="AM302" s="326"/>
      <c r="AN302" s="326"/>
      <c r="AO302" s="326"/>
      <c r="AP302" s="326"/>
      <c r="AQ302" s="326"/>
      <c r="AR302" s="326"/>
      <c r="AS302" s="326"/>
      <c r="AT302" s="328"/>
      <c r="AU302" s="323"/>
      <c r="BX302" s="201"/>
      <c r="BY302" s="201"/>
      <c r="BZ302" s="201"/>
    </row>
    <row r="303" spans="1:78">
      <c r="A303" s="322"/>
      <c r="B303" s="455">
        <v>2036</v>
      </c>
      <c r="C303" s="450">
        <v>26.677958755431366</v>
      </c>
      <c r="D303" s="1444">
        <v>24.040804195970459</v>
      </c>
      <c r="E303" s="1444">
        <v>17.053107344405809</v>
      </c>
      <c r="F303" s="444">
        <v>23.757283860567526</v>
      </c>
      <c r="G303" s="1445">
        <v>23.271438757849456</v>
      </c>
      <c r="H303" s="1444">
        <v>17.053107344405809</v>
      </c>
      <c r="I303" s="444">
        <v>22.748124429588358</v>
      </c>
      <c r="J303" s="1445">
        <v>23.122667733880387</v>
      </c>
      <c r="K303" s="1444">
        <v>24.933791143411398</v>
      </c>
      <c r="L303" s="1444">
        <v>32.841354860759445</v>
      </c>
      <c r="M303" s="444">
        <v>41.425796394535368</v>
      </c>
      <c r="N303" s="451">
        <v>19.629027480403565</v>
      </c>
      <c r="O303" s="1446"/>
      <c r="P303" s="1455">
        <f t="shared" si="143"/>
        <v>2036</v>
      </c>
      <c r="Q303" s="1456">
        <v>0.12792387168226704</v>
      </c>
      <c r="R303" s="1457">
        <v>2.8710137433787683E-2</v>
      </c>
      <c r="S303" s="1457">
        <v>5.33403504997799E-2</v>
      </c>
      <c r="T303" s="1457">
        <v>1.693292800382654E-2</v>
      </c>
      <c r="U303" s="1458">
        <v>1.4174835895366731E-2</v>
      </c>
      <c r="V303" s="1457">
        <v>7.5299884643398969E-3</v>
      </c>
      <c r="W303" s="1459">
        <v>7.235631385166281E-3</v>
      </c>
      <c r="AE303" s="323"/>
      <c r="AF303" s="327"/>
      <c r="AG303" s="327"/>
      <c r="AH303" s="326"/>
      <c r="AI303" s="327"/>
      <c r="AJ303" s="326"/>
      <c r="AK303" s="326"/>
      <c r="AL303" s="326"/>
      <c r="AM303" s="326"/>
      <c r="AN303" s="326"/>
      <c r="AO303" s="326"/>
      <c r="AP303" s="326"/>
      <c r="AQ303" s="326"/>
      <c r="AR303" s="326"/>
      <c r="AS303" s="326"/>
      <c r="AT303" s="328"/>
      <c r="AU303" s="323"/>
      <c r="BX303" s="201"/>
      <c r="BY303" s="201"/>
      <c r="BZ303" s="201"/>
    </row>
    <row r="304" spans="1:78">
      <c r="A304" s="322"/>
      <c r="B304" s="455">
        <v>2037</v>
      </c>
      <c r="C304" s="450">
        <v>26.850065480908039</v>
      </c>
      <c r="D304" s="1444">
        <v>24.227787192177392</v>
      </c>
      <c r="E304" s="1444">
        <v>17.186687401211174</v>
      </c>
      <c r="F304" s="444">
        <v>23.942100067473863</v>
      </c>
      <c r="G304" s="1445">
        <v>23.453728122974212</v>
      </c>
      <c r="H304" s="1444">
        <v>17.186687401211174</v>
      </c>
      <c r="I304" s="444">
        <v>22.926314579462524</v>
      </c>
      <c r="J304" s="1445">
        <v>23.271838315649621</v>
      </c>
      <c r="K304" s="1444">
        <v>25.094645772011425</v>
      </c>
      <c r="L304" s="1444">
        <v>33.053223321053544</v>
      </c>
      <c r="M304" s="444">
        <v>41.596454141660089</v>
      </c>
      <c r="N304" s="451">
        <v>19.782785182909702</v>
      </c>
      <c r="O304" s="1446"/>
      <c r="P304" s="1455">
        <f t="shared" si="143"/>
        <v>2037</v>
      </c>
      <c r="Q304" s="1456">
        <v>0.1286795698024541</v>
      </c>
      <c r="R304" s="1457">
        <v>2.8879739843437342E-2</v>
      </c>
      <c r="S304" s="1457">
        <v>5.3655453553437635E-2</v>
      </c>
      <c r="T304" s="1457">
        <v>1.7032957667512276E-2</v>
      </c>
      <c r="U304" s="1458">
        <v>1.4258572391919107E-2</v>
      </c>
      <c r="V304" s="1457">
        <v>7.5744711559024673E-3</v>
      </c>
      <c r="W304" s="1459">
        <v>7.2783751902452719E-3</v>
      </c>
      <c r="AE304" s="323"/>
      <c r="AF304" s="327"/>
      <c r="AG304" s="327"/>
      <c r="AH304" s="326"/>
      <c r="AI304" s="327"/>
      <c r="AJ304" s="326"/>
      <c r="AK304" s="326"/>
      <c r="AL304" s="326"/>
      <c r="AM304" s="326"/>
      <c r="AN304" s="326"/>
      <c r="AO304" s="326"/>
      <c r="AP304" s="326"/>
      <c r="AQ304" s="326"/>
      <c r="AR304" s="326"/>
      <c r="AS304" s="326"/>
      <c r="AT304" s="328"/>
      <c r="AU304" s="323"/>
      <c r="BX304" s="201"/>
      <c r="BY304" s="201"/>
      <c r="BZ304" s="201"/>
    </row>
    <row r="305" spans="1:78">
      <c r="A305" s="322"/>
      <c r="B305" s="455">
        <v>2038</v>
      </c>
      <c r="C305" s="450">
        <v>27.023282513407295</v>
      </c>
      <c r="D305" s="1444">
        <v>24.41622449251598</v>
      </c>
      <c r="E305" s="1444">
        <v>17.321313814625675</v>
      </c>
      <c r="F305" s="444">
        <v>24.128354024189299</v>
      </c>
      <c r="G305" s="1445">
        <v>23.637445393480469</v>
      </c>
      <c r="H305" s="1444">
        <v>17.321313814625675</v>
      </c>
      <c r="I305" s="444">
        <v>23.105900524827895</v>
      </c>
      <c r="J305" s="1445">
        <v>23.421971237176596</v>
      </c>
      <c r="K305" s="1444">
        <v>25.256538117314591</v>
      </c>
      <c r="L305" s="1444">
        <v>33.266458602072845</v>
      </c>
      <c r="M305" s="444">
        <v>41.767814930589395</v>
      </c>
      <c r="N305" s="451">
        <v>19.937747297152669</v>
      </c>
      <c r="O305" s="1446"/>
      <c r="P305" s="1455">
        <f t="shared" si="143"/>
        <v>2038</v>
      </c>
      <c r="Q305" s="1456">
        <v>0.12943973213750071</v>
      </c>
      <c r="R305" s="1457">
        <v>2.9050344163211093E-2</v>
      </c>
      <c r="S305" s="1457">
        <v>5.3972418048452507E-2</v>
      </c>
      <c r="T305" s="1457">
        <v>1.7133578246934195E-2</v>
      </c>
      <c r="U305" s="1458">
        <v>1.4342803553870548E-2</v>
      </c>
      <c r="V305" s="1457">
        <v>7.6192166247399332E-3</v>
      </c>
      <c r="W305" s="1459">
        <v>7.3213715002924369E-3</v>
      </c>
      <c r="AE305" s="323"/>
      <c r="AF305" s="327"/>
      <c r="AG305" s="327"/>
      <c r="AH305" s="326"/>
      <c r="AI305" s="327"/>
      <c r="AJ305" s="326"/>
      <c r="AK305" s="326"/>
      <c r="AL305" s="326"/>
      <c r="AM305" s="326"/>
      <c r="AN305" s="326"/>
      <c r="AO305" s="326"/>
      <c r="AP305" s="326"/>
      <c r="AQ305" s="326"/>
      <c r="AR305" s="326"/>
      <c r="AS305" s="326"/>
      <c r="AT305" s="328"/>
      <c r="AU305" s="323"/>
      <c r="BX305" s="201"/>
      <c r="BY305" s="201"/>
      <c r="BZ305" s="201"/>
    </row>
    <row r="306" spans="1:78">
      <c r="A306" s="322"/>
      <c r="B306" s="455">
        <v>2039</v>
      </c>
      <c r="C306" s="450">
        <v>27.197617015819954</v>
      </c>
      <c r="D306" s="1444">
        <v>24.606127408177883</v>
      </c>
      <c r="E306" s="1444">
        <v>17.456994780948815</v>
      </c>
      <c r="F306" s="444">
        <v>24.316056915471645</v>
      </c>
      <c r="G306" s="1445">
        <v>23.822601754407888</v>
      </c>
      <c r="H306" s="1444">
        <v>17.456994780948815</v>
      </c>
      <c r="I306" s="444">
        <v>23.286893199201582</v>
      </c>
      <c r="J306" s="1445">
        <v>23.573072706775299</v>
      </c>
      <c r="K306" s="1444">
        <v>25.419474873911938</v>
      </c>
      <c r="L306" s="1444">
        <v>33.481069521547425</v>
      </c>
      <c r="M306" s="444">
        <v>41.939881657574922</v>
      </c>
      <c r="N306" s="451">
        <v>20.093923257506212</v>
      </c>
      <c r="O306" s="1446"/>
      <c r="P306" s="1455">
        <f t="shared" si="143"/>
        <v>2039</v>
      </c>
      <c r="Q306" s="1456">
        <v>0.13020438505933207</v>
      </c>
      <c r="R306" s="1457">
        <v>2.9221956311797821E-2</v>
      </c>
      <c r="S306" s="1457">
        <v>5.4291254981112508E-2</v>
      </c>
      <c r="T306" s="1457">
        <v>1.7234793232870874E-2</v>
      </c>
      <c r="U306" s="1458">
        <v>1.442753230340991E-2</v>
      </c>
      <c r="V306" s="1457">
        <v>7.6642264231840838E-3</v>
      </c>
      <c r="W306" s="1459">
        <v>7.3646218069568893E-3</v>
      </c>
      <c r="AE306" s="323"/>
      <c r="AF306" s="327"/>
      <c r="AG306" s="327"/>
      <c r="AH306" s="326"/>
      <c r="AI306" s="327"/>
      <c r="AJ306" s="326"/>
      <c r="AK306" s="326"/>
      <c r="AL306" s="326"/>
      <c r="AM306" s="326"/>
      <c r="AN306" s="326"/>
      <c r="AO306" s="326"/>
      <c r="AP306" s="326"/>
      <c r="AQ306" s="326"/>
      <c r="AR306" s="326"/>
      <c r="AS306" s="326"/>
      <c r="AT306" s="328"/>
      <c r="AU306" s="323"/>
      <c r="BX306" s="201"/>
      <c r="BY306" s="201"/>
      <c r="BZ306" s="201"/>
    </row>
    <row r="307" spans="1:78">
      <c r="A307" s="322"/>
      <c r="B307" s="455">
        <v>2040</v>
      </c>
      <c r="C307" s="450">
        <v>27.373076197246586</v>
      </c>
      <c r="D307" s="1444">
        <v>24.79750733833021</v>
      </c>
      <c r="E307" s="1444">
        <v>17.593738560683189</v>
      </c>
      <c r="F307" s="444">
        <v>24.505220013088845</v>
      </c>
      <c r="G307" s="1445">
        <v>24.009208478410553</v>
      </c>
      <c r="H307" s="1444">
        <v>17.593738560683189</v>
      </c>
      <c r="I307" s="444">
        <v>23.46930362174491</v>
      </c>
      <c r="J307" s="1445">
        <v>23.725148972811233</v>
      </c>
      <c r="K307" s="1444">
        <v>25.583462779583126</v>
      </c>
      <c r="L307" s="1444">
        <v>33.697064954092923</v>
      </c>
      <c r="M307" s="444">
        <v>42.112657230799712</v>
      </c>
      <c r="N307" s="451">
        <v>20.251322572245225</v>
      </c>
      <c r="O307" s="1446"/>
      <c r="P307" s="1455">
        <f t="shared" si="143"/>
        <v>2040</v>
      </c>
      <c r="Q307" s="1456">
        <v>0.13097355509566305</v>
      </c>
      <c r="R307" s="1457">
        <v>2.9394582242850499E-2</v>
      </c>
      <c r="S307" s="1457">
        <v>5.4611975412665166E-2</v>
      </c>
      <c r="T307" s="1457">
        <v>1.7336606136722332E-2</v>
      </c>
      <c r="U307" s="1458">
        <v>1.4512761579988601E-2</v>
      </c>
      <c r="V307" s="1457">
        <v>7.7095021127369613E-3</v>
      </c>
      <c r="W307" s="1459">
        <v>7.4081276106995183E-3</v>
      </c>
      <c r="AE307" s="323"/>
      <c r="AF307" s="327"/>
      <c r="AG307" s="327"/>
      <c r="AH307" s="326"/>
      <c r="AI307" s="327"/>
      <c r="AJ307" s="326"/>
      <c r="AK307" s="326"/>
      <c r="AL307" s="326"/>
      <c r="AM307" s="326"/>
      <c r="AN307" s="326"/>
      <c r="AO307" s="326"/>
      <c r="AP307" s="326"/>
      <c r="AQ307" s="326"/>
      <c r="AR307" s="326"/>
      <c r="AS307" s="326"/>
      <c r="AT307" s="328"/>
      <c r="AU307" s="323"/>
      <c r="BX307" s="201"/>
      <c r="BY307" s="201"/>
      <c r="BZ307" s="201"/>
    </row>
    <row r="308" spans="1:78">
      <c r="A308" s="322"/>
      <c r="B308" s="455">
        <v>2041</v>
      </c>
      <c r="C308" s="450">
        <v>27.549667313295615</v>
      </c>
      <c r="D308" s="1444">
        <v>24.990375770799766</v>
      </c>
      <c r="E308" s="1444">
        <v>17.731553479037395</v>
      </c>
      <c r="F308" s="444">
        <v>24.695854676495866</v>
      </c>
      <c r="G308" s="1445">
        <v>24.19727692644328</v>
      </c>
      <c r="H308" s="1444">
        <v>17.731553479037395</v>
      </c>
      <c r="I308" s="444">
        <v>23.65314289793427</v>
      </c>
      <c r="J308" s="1445">
        <v>23.878206323959791</v>
      </c>
      <c r="K308" s="1444">
        <v>25.748508615575055</v>
      </c>
      <c r="L308" s="1444">
        <v>33.914453831577525</v>
      </c>
      <c r="M308" s="444">
        <v>42.286144570427346</v>
      </c>
      <c r="N308" s="451">
        <v>20.409954824124629</v>
      </c>
      <c r="O308" s="1446"/>
      <c r="P308" s="1455">
        <f t="shared" si="143"/>
        <v>2041</v>
      </c>
      <c r="Q308" s="1456">
        <v>0.13174726893091848</v>
      </c>
      <c r="R308" s="1457">
        <v>2.9568227945192746E-2</v>
      </c>
      <c r="S308" s="1457">
        <v>5.4934590469701262E-2</v>
      </c>
      <c r="T308" s="1457">
        <v>1.7439020490631858E-2</v>
      </c>
      <c r="U308" s="1458">
        <v>1.4598494340422562E-2</v>
      </c>
      <c r="V308" s="1457">
        <v>7.7550452641250329E-3</v>
      </c>
      <c r="W308" s="1459">
        <v>7.4518904208450429E-3</v>
      </c>
      <c r="AE308" s="323"/>
      <c r="AF308" s="327"/>
      <c r="AG308" s="327"/>
      <c r="AH308" s="326"/>
      <c r="AI308" s="327"/>
      <c r="AJ308" s="326"/>
      <c r="AK308" s="326"/>
      <c r="AL308" s="326"/>
      <c r="AM308" s="326"/>
      <c r="AN308" s="326"/>
      <c r="AO308" s="326"/>
      <c r="AP308" s="326"/>
      <c r="AQ308" s="326"/>
      <c r="AR308" s="326"/>
      <c r="AS308" s="326"/>
      <c r="AT308" s="328"/>
      <c r="AU308" s="323"/>
      <c r="BX308" s="201"/>
      <c r="BY308" s="201"/>
      <c r="BZ308" s="201"/>
    </row>
    <row r="309" spans="1:78">
      <c r="A309" s="322"/>
      <c r="B309" s="455">
        <v>2042</v>
      </c>
      <c r="C309" s="450">
        <v>27.727397666383357</v>
      </c>
      <c r="D309" s="1444">
        <v>25.184744282762626</v>
      </c>
      <c r="E309" s="1444">
        <v>17.870447926432881</v>
      </c>
      <c r="F309" s="444">
        <v>24.88797235351684</v>
      </c>
      <c r="G309" s="1445">
        <v>24.386818548453284</v>
      </c>
      <c r="H309" s="1444">
        <v>17.870447926432881</v>
      </c>
      <c r="I309" s="444">
        <v>23.838422220237248</v>
      </c>
      <c r="J309" s="1445">
        <v>24.032251089466314</v>
      </c>
      <c r="K309" s="1444">
        <v>25.914619206882282</v>
      </c>
      <c r="L309" s="1444">
        <v>34.133245143491308</v>
      </c>
      <c r="M309" s="444">
        <v>42.460346608651321</v>
      </c>
      <c r="N309" s="451">
        <v>20.569829670962783</v>
      </c>
      <c r="O309" s="1446"/>
      <c r="P309" s="1455">
        <f t="shared" si="143"/>
        <v>2042</v>
      </c>
      <c r="Q309" s="1456">
        <v>0.13252555340715885</v>
      </c>
      <c r="R309" s="1457">
        <v>2.9742899443026587E-2</v>
      </c>
      <c r="S309" s="1457">
        <v>5.5259111344540875E-2</v>
      </c>
      <c r="T309" s="1457">
        <v>1.7542039847608534E-2</v>
      </c>
      <c r="U309" s="1458">
        <v>1.4684733558994837E-2</v>
      </c>
      <c r="V309" s="1457">
        <v>7.8008574573536832E-3</v>
      </c>
      <c r="W309" s="1459">
        <v>7.4959117556343746E-3</v>
      </c>
      <c r="AE309" s="323"/>
      <c r="AF309" s="327"/>
      <c r="AG309" s="327"/>
      <c r="AH309" s="326"/>
      <c r="AI309" s="327"/>
      <c r="AJ309" s="326"/>
      <c r="AK309" s="326"/>
      <c r="AL309" s="326"/>
      <c r="AM309" s="326"/>
      <c r="AN309" s="326"/>
      <c r="AO309" s="326"/>
      <c r="AP309" s="326"/>
      <c r="AQ309" s="326"/>
      <c r="AR309" s="326"/>
      <c r="AS309" s="326"/>
      <c r="AT309" s="328"/>
      <c r="AU309" s="323"/>
      <c r="BX309" s="201"/>
      <c r="BY309" s="201"/>
      <c r="BZ309" s="201"/>
    </row>
    <row r="310" spans="1:78">
      <c r="A310" s="322"/>
      <c r="B310" s="455">
        <v>2043</v>
      </c>
      <c r="C310" s="450">
        <v>27.906274606035993</v>
      </c>
      <c r="D310" s="1444">
        <v>25.380624541439065</v>
      </c>
      <c r="E310" s="1444">
        <v>18.01043035901478</v>
      </c>
      <c r="F310" s="444">
        <v>25.081584581032519</v>
      </c>
      <c r="G310" s="1445">
        <v>24.57784488407728</v>
      </c>
      <c r="H310" s="1444">
        <v>18.01043035901478</v>
      </c>
      <c r="I310" s="444">
        <v>24.025152868794045</v>
      </c>
      <c r="J310" s="1445">
        <v>24.187289639407815</v>
      </c>
      <c r="K310" s="1444">
        <v>26.081801422529249</v>
      </c>
      <c r="L310" s="1444">
        <v>34.353447937317988</v>
      </c>
      <c r="M310" s="444">
        <v>42.6352662897446</v>
      </c>
      <c r="N310" s="451">
        <v>20.730956846229478</v>
      </c>
      <c r="O310" s="1446"/>
      <c r="P310" s="1455">
        <f t="shared" si="143"/>
        <v>2043</v>
      </c>
      <c r="Q310" s="1456">
        <v>0.13330843552501162</v>
      </c>
      <c r="R310" s="1457">
        <v>2.9918602796141443E-2</v>
      </c>
      <c r="S310" s="1457">
        <v>5.5585549295621629E-2</v>
      </c>
      <c r="T310" s="1457">
        <v>1.7645667781650512E-2</v>
      </c>
      <c r="U310" s="1458">
        <v>1.4771482227558771E-2</v>
      </c>
      <c r="V310" s="1457">
        <v>7.8469402817620288E-3</v>
      </c>
      <c r="W310" s="1459">
        <v>7.5401931422772886E-3</v>
      </c>
      <c r="AE310" s="323"/>
      <c r="AF310" s="327"/>
      <c r="AG310" s="327"/>
      <c r="AH310" s="326"/>
      <c r="AI310" s="327"/>
      <c r="AJ310" s="326"/>
      <c r="AK310" s="326"/>
      <c r="AL310" s="326"/>
      <c r="AM310" s="326"/>
      <c r="AN310" s="326"/>
      <c r="AO310" s="326"/>
      <c r="AP310" s="326"/>
      <c r="AQ310" s="326"/>
      <c r="AR310" s="326"/>
      <c r="AS310" s="326"/>
      <c r="AT310" s="328"/>
      <c r="AU310" s="323"/>
      <c r="BX310" s="201"/>
      <c r="BY310" s="201"/>
      <c r="BZ310" s="201"/>
    </row>
    <row r="311" spans="1:78">
      <c r="A311" s="322"/>
      <c r="B311" s="455">
        <v>2044</v>
      </c>
      <c r="C311" s="450">
        <v>28.086305529193481</v>
      </c>
      <c r="D311" s="1444">
        <v>25.578028304793907</v>
      </c>
      <c r="E311" s="1444">
        <v>18.151509299166733</v>
      </c>
      <c r="F311" s="444">
        <v>25.276702985673083</v>
      </c>
      <c r="G311" s="1445">
        <v>24.770367563344028</v>
      </c>
      <c r="H311" s="1444">
        <v>18.151509299166733</v>
      </c>
      <c r="I311" s="444">
        <v>24.213346212104224</v>
      </c>
      <c r="J311" s="1445">
        <v>24.343328384956397</v>
      </c>
      <c r="K311" s="1444">
        <v>26.250062175854332</v>
      </c>
      <c r="L311" s="1444">
        <v>34.575071318909032</v>
      </c>
      <c r="M311" s="444">
        <v>42.810906570109374</v>
      </c>
      <c r="N311" s="451">
        <v>20.893346159638529</v>
      </c>
      <c r="O311" s="1446"/>
      <c r="P311" s="1455">
        <f t="shared" si="143"/>
        <v>2044</v>
      </c>
      <c r="Q311" s="1456">
        <v>0.13409594244460787</v>
      </c>
      <c r="R311" s="1457">
        <v>3.009534410012437E-2</v>
      </c>
      <c r="S311" s="1457">
        <v>5.591391564788932E-2</v>
      </c>
      <c r="T311" s="1457">
        <v>1.7749907887868992E-2</v>
      </c>
      <c r="U311" s="1458">
        <v>1.4858743355641796E-2</v>
      </c>
      <c r="V311" s="1457">
        <v>7.8932953360780558E-3</v>
      </c>
      <c r="W311" s="1459">
        <v>7.584736117005407E-3</v>
      </c>
      <c r="AE311" s="323"/>
      <c r="AF311" s="327"/>
      <c r="AG311" s="327"/>
      <c r="AH311" s="326"/>
      <c r="AI311" s="327"/>
      <c r="AJ311" s="326"/>
      <c r="AK311" s="326"/>
      <c r="AL311" s="326"/>
      <c r="AM311" s="326"/>
      <c r="AN311" s="326"/>
      <c r="AO311" s="326"/>
      <c r="AP311" s="326"/>
      <c r="AQ311" s="326"/>
      <c r="AR311" s="326"/>
      <c r="AS311" s="326"/>
      <c r="AT311" s="328"/>
      <c r="AU311" s="323"/>
      <c r="BX311" s="201"/>
      <c r="BY311" s="201"/>
      <c r="BZ311" s="201"/>
    </row>
    <row r="312" spans="1:78">
      <c r="A312" s="322"/>
      <c r="B312" s="455">
        <v>2045</v>
      </c>
      <c r="C312" s="450">
        <v>28.267497880515442</v>
      </c>
      <c r="D312" s="1444">
        <v>25.776967422242304</v>
      </c>
      <c r="E312" s="1444">
        <v>18.293693336029737</v>
      </c>
      <c r="F312" s="444">
        <v>25.473339284516321</v>
      </c>
      <c r="G312" s="1445">
        <v>24.964398307382396</v>
      </c>
      <c r="H312" s="1444">
        <v>18.293693336029737</v>
      </c>
      <c r="I312" s="444">
        <v>24.403013707718848</v>
      </c>
      <c r="J312" s="1445">
        <v>24.50037377864437</v>
      </c>
      <c r="K312" s="1444">
        <v>26.419408424795719</v>
      </c>
      <c r="L312" s="1444">
        <v>34.798124452860236</v>
      </c>
      <c r="M312" s="444">
        <v>42.987270418327043</v>
      </c>
      <c r="N312" s="451">
        <v>21.057007497744994</v>
      </c>
      <c r="O312" s="1446"/>
      <c r="P312" s="1455">
        <f t="shared" si="143"/>
        <v>2045</v>
      </c>
      <c r="Q312" s="1456">
        <v>0.13488810148652461</v>
      </c>
      <c r="R312" s="1457">
        <v>3.0273129486571522E-2</v>
      </c>
      <c r="S312" s="1457">
        <v>5.6244221793190774E-2</v>
      </c>
      <c r="T312" s="1457">
        <v>1.7854763782612956E-2</v>
      </c>
      <c r="U312" s="1458">
        <v>1.494651997054984E-2</v>
      </c>
      <c r="V312" s="1457">
        <v>7.9399242284740844E-3</v>
      </c>
      <c r="W312" s="1459">
        <v>7.6295422251254951E-3</v>
      </c>
      <c r="AE312" s="323"/>
      <c r="AF312" s="327"/>
      <c r="AG312" s="327"/>
      <c r="AH312" s="326"/>
      <c r="AI312" s="327"/>
      <c r="AJ312" s="326"/>
      <c r="AK312" s="326"/>
      <c r="AL312" s="326"/>
      <c r="AM312" s="326"/>
      <c r="AN312" s="326"/>
      <c r="AO312" s="326"/>
      <c r="AP312" s="326"/>
      <c r="AQ312" s="326"/>
      <c r="AR312" s="326"/>
      <c r="AS312" s="326"/>
      <c r="AT312" s="328"/>
      <c r="AU312" s="323"/>
      <c r="BX312" s="201"/>
      <c r="BY312" s="201"/>
      <c r="BZ312" s="201"/>
    </row>
    <row r="313" spans="1:78" ht="12.75" customHeight="1">
      <c r="A313" s="322"/>
      <c r="B313" s="455">
        <v>2046</v>
      </c>
      <c r="C313" s="450">
        <v>28.449859152689005</v>
      </c>
      <c r="D313" s="1444">
        <v>25.977453835361015</v>
      </c>
      <c r="E313" s="1444">
        <v>18.436991126025084</v>
      </c>
      <c r="F313" s="444">
        <v>25.67150528579127</v>
      </c>
      <c r="G313" s="1445">
        <v>25.159948929134966</v>
      </c>
      <c r="H313" s="1444">
        <v>18.436991126025084</v>
      </c>
      <c r="I313" s="444">
        <v>24.594166902938046</v>
      </c>
      <c r="J313" s="1445">
        <v>24.658432314631071</v>
      </c>
      <c r="K313" s="1444">
        <v>26.589847172179145</v>
      </c>
      <c r="L313" s="1444">
        <v>35.022616562890661</v>
      </c>
      <c r="M313" s="444">
        <v>43.164360815208362</v>
      </c>
      <c r="N313" s="451">
        <v>21.2219508245471</v>
      </c>
      <c r="O313" s="1446"/>
      <c r="P313" s="1455">
        <f t="shared" si="143"/>
        <v>2046</v>
      </c>
      <c r="Q313" s="1456">
        <v>0.1356849401327325</v>
      </c>
      <c r="R313" s="1457">
        <v>3.0451965123300877E-2</v>
      </c>
      <c r="S313" s="1457">
        <v>5.6576479190669077E-2</v>
      </c>
      <c r="T313" s="1457">
        <v>1.7960239103594622E-2</v>
      </c>
      <c r="U313" s="1458">
        <v>1.5034815117472356E-2</v>
      </c>
      <c r="V313" s="1457">
        <v>7.9868285766225584E-3</v>
      </c>
      <c r="W313" s="1459">
        <v>7.6746130210730698E-3</v>
      </c>
      <c r="AE313" s="323"/>
      <c r="AF313" s="327"/>
      <c r="AG313" s="327"/>
      <c r="AH313" s="326"/>
      <c r="AI313" s="327"/>
      <c r="AJ313" s="326"/>
      <c r="AK313" s="326"/>
      <c r="AL313" s="326"/>
      <c r="AM313" s="326"/>
      <c r="AN313" s="326"/>
      <c r="AO313" s="326"/>
      <c r="AP313" s="326"/>
      <c r="AQ313" s="326"/>
      <c r="AR313" s="326"/>
      <c r="AS313" s="326"/>
      <c r="AT313" s="328"/>
      <c r="AU313" s="323"/>
      <c r="BX313" s="201"/>
      <c r="BY313" s="201"/>
      <c r="BZ313" s="201"/>
    </row>
    <row r="314" spans="1:78" ht="12.75" customHeight="1">
      <c r="A314" s="322"/>
      <c r="B314" s="455">
        <v>2047</v>
      </c>
      <c r="C314" s="450">
        <v>28.633396886738652</v>
      </c>
      <c r="D314" s="1444">
        <v>26.17949957860521</v>
      </c>
      <c r="E314" s="1444">
        <v>18.581411393381362</v>
      </c>
      <c r="F314" s="444">
        <v>25.871212889587294</v>
      </c>
      <c r="G314" s="1445">
        <v>25.35703133407722</v>
      </c>
      <c r="H314" s="1444">
        <v>18.581411393381362</v>
      </c>
      <c r="I314" s="444">
        <v>24.786817435514021</v>
      </c>
      <c r="J314" s="1445">
        <v>24.817510528971415</v>
      </c>
      <c r="K314" s="1444">
        <v>26.761385466007461</v>
      </c>
      <c r="L314" s="1444">
        <v>35.248556932224091</v>
      </c>
      <c r="M314" s="444">
        <v>43.342180753843842</v>
      </c>
      <c r="N314" s="451">
        <v>21.388186182092866</v>
      </c>
      <c r="O314" s="1446"/>
      <c r="P314" s="1455">
        <f t="shared" si="143"/>
        <v>2047</v>
      </c>
      <c r="Q314" s="1456">
        <v>0.13648648602754934</v>
      </c>
      <c r="R314" s="1457">
        <v>3.063185721456621E-2</v>
      </c>
      <c r="S314" s="1457">
        <v>5.6910699367161109E-2</v>
      </c>
      <c r="T314" s="1457">
        <v>1.806633751001565E-2</v>
      </c>
      <c r="U314" s="1458">
        <v>1.5123631859587964E-2</v>
      </c>
      <c r="V314" s="1457">
        <v>8.0340100077521698E-3</v>
      </c>
      <c r="W314" s="1459">
        <v>7.7199500684663287E-3</v>
      </c>
      <c r="AE314" s="323"/>
      <c r="AF314" s="327"/>
      <c r="AG314" s="327"/>
      <c r="AH314" s="326"/>
      <c r="AI314" s="327"/>
      <c r="AJ314" s="326"/>
      <c r="AK314" s="326"/>
      <c r="AL314" s="326"/>
      <c r="AM314" s="326"/>
      <c r="AN314" s="326"/>
      <c r="AO314" s="326"/>
      <c r="AP314" s="326"/>
      <c r="AQ314" s="326"/>
      <c r="AR314" s="326"/>
      <c r="AS314" s="326"/>
      <c r="AT314" s="328"/>
      <c r="AU314" s="323"/>
      <c r="BX314" s="201"/>
      <c r="BY314" s="201"/>
      <c r="BZ314" s="201"/>
    </row>
    <row r="315" spans="1:78" ht="12.75" customHeight="1">
      <c r="A315" s="322"/>
      <c r="B315" s="455">
        <v>2048</v>
      </c>
      <c r="C315" s="450">
        <v>28.818118672338056</v>
      </c>
      <c r="D315" s="1444">
        <v>26.383116780030868</v>
      </c>
      <c r="E315" s="1444">
        <v>18.726962930665618</v>
      </c>
      <c r="F315" s="444">
        <v>26.072474088568718</v>
      </c>
      <c r="G315" s="1445">
        <v>25.555657520942372</v>
      </c>
      <c r="H315" s="1444">
        <v>18.726962930665618</v>
      </c>
      <c r="I315" s="444">
        <v>24.980977034359583</v>
      </c>
      <c r="J315" s="1445">
        <v>24.977614999886175</v>
      </c>
      <c r="K315" s="1444">
        <v>26.934030399752096</v>
      </c>
      <c r="L315" s="1444">
        <v>35.475954903972891</v>
      </c>
      <c r="M315" s="444">
        <v>43.520733239654326</v>
      </c>
      <c r="N315" s="451">
        <v>21.555723691091476</v>
      </c>
      <c r="O315" s="1446"/>
      <c r="P315" s="1455">
        <f t="shared" si="143"/>
        <v>2048</v>
      </c>
      <c r="Q315" s="1456">
        <v>0.13729276697859918</v>
      </c>
      <c r="R315" s="1457">
        <v>3.0812812001272342E-2</v>
      </c>
      <c r="S315" s="1457">
        <v>5.7246893917597443E-2</v>
      </c>
      <c r="T315" s="1457">
        <v>1.8173062682694086E-2</v>
      </c>
      <c r="U315" s="1458">
        <v>1.5212973278170717E-2</v>
      </c>
      <c r="V315" s="1457">
        <v>8.0814701587043104E-3</v>
      </c>
      <c r="W315" s="1459">
        <v>7.7655549401603949E-3</v>
      </c>
      <c r="AE315" s="323"/>
      <c r="AF315" s="327"/>
      <c r="AG315" s="327"/>
      <c r="AH315" s="326"/>
      <c r="AI315" s="327"/>
      <c r="AJ315" s="326"/>
      <c r="AK315" s="326"/>
      <c r="AL315" s="326"/>
      <c r="AM315" s="326"/>
      <c r="AN315" s="326"/>
      <c r="AO315" s="326"/>
      <c r="AP315" s="326"/>
      <c r="AQ315" s="326"/>
      <c r="AR315" s="326"/>
      <c r="AS315" s="326"/>
      <c r="AT315" s="328"/>
      <c r="AU315" s="323"/>
      <c r="BX315" s="201"/>
      <c r="BY315" s="201"/>
      <c r="BZ315" s="201"/>
    </row>
    <row r="316" spans="1:78">
      <c r="A316" s="322"/>
      <c r="B316" s="455">
        <v>2049</v>
      </c>
      <c r="C316" s="450">
        <v>29.004032148123922</v>
      </c>
      <c r="D316" s="1444">
        <v>26.58831766202276</v>
      </c>
      <c r="E316" s="1444">
        <v>18.873654599318655</v>
      </c>
      <c r="F316" s="444">
        <v>26.275300968694985</v>
      </c>
      <c r="G316" s="1445">
        <v>25.75583958245187</v>
      </c>
      <c r="H316" s="1444">
        <v>18.873654599318655</v>
      </c>
      <c r="I316" s="444">
        <v>25.176657520262225</v>
      </c>
      <c r="J316" s="1445">
        <v>25.138752348034007</v>
      </c>
      <c r="K316" s="1444">
        <v>27.10778911264638</v>
      </c>
      <c r="L316" s="1444">
        <v>35.704819881524365</v>
      </c>
      <c r="M316" s="444">
        <v>43.700021290441811</v>
      </c>
      <c r="N316" s="451">
        <v>21.724573551529453</v>
      </c>
      <c r="O316" s="1446"/>
      <c r="P316" s="1455">
        <f t="shared" si="143"/>
        <v>2049</v>
      </c>
      <c r="Q316" s="1456">
        <v>0.13810381095777691</v>
      </c>
      <c r="R316" s="1457">
        <v>3.0994835761191636E-2</v>
      </c>
      <c r="S316" s="1457">
        <v>5.75850745054046E-2</v>
      </c>
      <c r="T316" s="1457">
        <v>1.8280418324192055E-2</v>
      </c>
      <c r="U316" s="1458">
        <v>1.5302842472697005E-2</v>
      </c>
      <c r="V316" s="1457">
        <v>8.1292106759898539E-3</v>
      </c>
      <c r="W316" s="1459">
        <v>7.8114292183018843E-3</v>
      </c>
      <c r="AE316" s="323"/>
      <c r="AF316" s="327"/>
      <c r="AG316" s="327"/>
      <c r="AH316" s="326"/>
      <c r="AI316" s="327"/>
      <c r="AJ316" s="326"/>
      <c r="AK316" s="326"/>
      <c r="AL316" s="326"/>
      <c r="AM316" s="326"/>
      <c r="AN316" s="326"/>
      <c r="AO316" s="326"/>
      <c r="AP316" s="326"/>
      <c r="AQ316" s="326"/>
      <c r="AR316" s="326"/>
      <c r="AS316" s="326"/>
      <c r="AT316" s="328"/>
      <c r="AU316" s="323"/>
      <c r="BX316" s="201"/>
      <c r="BY316" s="201"/>
      <c r="BZ316" s="201"/>
    </row>
    <row r="317" spans="1:78">
      <c r="A317" s="322"/>
      <c r="B317" s="455">
        <v>2050</v>
      </c>
      <c r="C317" s="450">
        <v>29.191145002011872</v>
      </c>
      <c r="D317" s="1444">
        <v>26.795114542028131</v>
      </c>
      <c r="E317" s="1444">
        <v>19.021495330194536</v>
      </c>
      <c r="F317" s="444">
        <v>26.479705709946437</v>
      </c>
      <c r="G317" s="1445">
        <v>25.957589706051625</v>
      </c>
      <c r="H317" s="1444">
        <v>19.021495330194536</v>
      </c>
      <c r="I317" s="444">
        <v>25.373870806603794</v>
      </c>
      <c r="J317" s="1445">
        <v>25.300929236785226</v>
      </c>
      <c r="K317" s="1444">
        <v>27.282668789980761</v>
      </c>
      <c r="L317" s="1444">
        <v>35.935161328929617</v>
      </c>
      <c r="M317" s="444">
        <v>43.880047936440413</v>
      </c>
      <c r="N317" s="451">
        <v>21.89474604329164</v>
      </c>
      <c r="O317" s="1446"/>
      <c r="P317" s="1455">
        <f t="shared" si="143"/>
        <v>2050</v>
      </c>
      <c r="Q317" s="1456">
        <v>0.13891964610221874</v>
      </c>
      <c r="R317" s="1457">
        <v>3.1177934809181809E-2</v>
      </c>
      <c r="S317" s="1457">
        <v>5.7925252862909692E-2</v>
      </c>
      <c r="T317" s="1457">
        <v>1.8388408158944217E-2</v>
      </c>
      <c r="U317" s="1458">
        <v>1.5393242560953081E-2</v>
      </c>
      <c r="V317" s="1457">
        <v>8.1772332158462826E-3</v>
      </c>
      <c r="W317" s="1459">
        <v>7.8575744943837934E-3</v>
      </c>
      <c r="AE317" s="323"/>
      <c r="AF317" s="327"/>
      <c r="AG317" s="327"/>
      <c r="AH317" s="326"/>
      <c r="AI317" s="327"/>
      <c r="AJ317" s="326"/>
      <c r="AK317" s="326"/>
      <c r="AL317" s="326"/>
      <c r="AM317" s="326"/>
      <c r="AN317" s="326"/>
      <c r="AO317" s="326"/>
      <c r="AP317" s="326"/>
      <c r="AQ317" s="326"/>
      <c r="AR317" s="326"/>
      <c r="AS317" s="326"/>
      <c r="AT317" s="328"/>
      <c r="AU317" s="323"/>
      <c r="BX317" s="201"/>
      <c r="BY317" s="201"/>
      <c r="BZ317" s="201"/>
    </row>
    <row r="318" spans="1:78">
      <c r="A318" s="322"/>
      <c r="B318" s="455">
        <v>2051</v>
      </c>
      <c r="C318" s="450">
        <v>29.379464971514345</v>
      </c>
      <c r="D318" s="1444">
        <v>27.003519833296053</v>
      </c>
      <c r="E318" s="1444">
        <v>19.170494124104309</v>
      </c>
      <c r="F318" s="444">
        <v>26.685700587055738</v>
      </c>
      <c r="G318" s="1445">
        <v>26.160920174654002</v>
      </c>
      <c r="H318" s="1444">
        <v>19.170494124104309</v>
      </c>
      <c r="I318" s="444">
        <v>25.5726289000858</v>
      </c>
      <c r="J318" s="1445">
        <v>25.464152372497345</v>
      </c>
      <c r="K318" s="1444">
        <v>27.458676663399945</v>
      </c>
      <c r="L318" s="1444">
        <v>36.166988771294896</v>
      </c>
      <c r="M318" s="444">
        <v>44.060816220367613</v>
      </c>
      <c r="N318" s="451">
        <v>22.066251526787077</v>
      </c>
      <c r="O318" s="1446"/>
      <c r="P318" s="1455">
        <v>2051</v>
      </c>
      <c r="Q318" s="1456">
        <v>0.13974030071527835</v>
      </c>
      <c r="R318" s="1457">
        <v>3.1362115497404995E-2</v>
      </c>
      <c r="S318" s="1457">
        <v>5.8267440791747442E-2</v>
      </c>
      <c r="T318" s="1457">
        <v>1.8497035933386984E-2</v>
      </c>
      <c r="U318" s="1458">
        <v>1.5484176679143221E-2</v>
      </c>
      <c r="V318" s="1457">
        <v>8.2255394442951445E-3</v>
      </c>
      <c r="W318" s="1459">
        <v>7.9039923693007136E-3</v>
      </c>
      <c r="AE318" s="323"/>
      <c r="AF318" s="327"/>
      <c r="AG318" s="327"/>
      <c r="AH318" s="326"/>
      <c r="AI318" s="327"/>
      <c r="AJ318" s="326"/>
      <c r="AK318" s="326"/>
      <c r="AL318" s="326"/>
      <c r="AM318" s="326"/>
      <c r="AN318" s="326"/>
      <c r="AO318" s="326"/>
      <c r="AP318" s="326"/>
      <c r="AQ318" s="326"/>
      <c r="AR318" s="326"/>
      <c r="AS318" s="326"/>
      <c r="AT318" s="328"/>
      <c r="AU318" s="323"/>
      <c r="BX318" s="201"/>
      <c r="BY318" s="201"/>
      <c r="BZ318" s="201"/>
    </row>
    <row r="319" spans="1:78">
      <c r="A319" s="322"/>
      <c r="B319" s="455">
        <v>2052</v>
      </c>
      <c r="C319" s="450">
        <v>29.568999844060563</v>
      </c>
      <c r="D319" s="1444">
        <v>27.213546045622564</v>
      </c>
      <c r="E319" s="1444">
        <v>19.320660052363994</v>
      </c>
      <c r="F319" s="444">
        <v>26.89329797024498</v>
      </c>
      <c r="G319" s="1445">
        <v>26.365843367385633</v>
      </c>
      <c r="H319" s="1444">
        <v>19.320660052363994</v>
      </c>
      <c r="I319" s="444">
        <v>25.772943901460405</v>
      </c>
      <c r="J319" s="1445">
        <v>25.628428504792414</v>
      </c>
      <c r="K319" s="1444">
        <v>27.635820011201936</v>
      </c>
      <c r="L319" s="1444">
        <v>36.400311795175497</v>
      </c>
      <c r="M319" s="444">
        <v>44.242329197475669</v>
      </c>
      <c r="N319" s="451">
        <v>22.239100443579748</v>
      </c>
      <c r="O319" s="1446"/>
      <c r="P319" s="1455">
        <v>2052</v>
      </c>
      <c r="Q319" s="1456">
        <v>0.14056580326750878</v>
      </c>
      <c r="R319" s="1457">
        <v>3.1547384215548119E-2</v>
      </c>
      <c r="S319" s="1457">
        <v>5.86116501632696E-2</v>
      </c>
      <c r="T319" s="1457">
        <v>1.8606305416088473E-2</v>
      </c>
      <c r="U319" s="1458">
        <v>1.5575647981998534E-2</v>
      </c>
      <c r="V319" s="1457">
        <v>8.2741310371998514E-3</v>
      </c>
      <c r="W319" s="1459">
        <v>7.9506844534043674E-3</v>
      </c>
      <c r="AE319" s="323"/>
      <c r="AF319" s="327"/>
      <c r="AG319" s="327"/>
      <c r="AH319" s="326"/>
      <c r="AI319" s="327"/>
      <c r="AJ319" s="326"/>
      <c r="AK319" s="326"/>
      <c r="AL319" s="326"/>
      <c r="AM319" s="326"/>
      <c r="AN319" s="326"/>
      <c r="AO319" s="326"/>
      <c r="AP319" s="326"/>
      <c r="AQ319" s="326"/>
      <c r="AR319" s="326"/>
      <c r="AS319" s="326"/>
      <c r="AT319" s="328"/>
      <c r="AU319" s="323"/>
      <c r="BX319" s="201"/>
      <c r="BY319" s="201"/>
      <c r="BZ319" s="201"/>
    </row>
    <row r="320" spans="1:78">
      <c r="B320" s="455">
        <v>2053</v>
      </c>
      <c r="C320" s="450">
        <v>29.759757457318567</v>
      </c>
      <c r="D320" s="1444">
        <v>27.425205786101575</v>
      </c>
      <c r="E320" s="1444">
        <v>19.472002257346862</v>
      </c>
      <c r="F320" s="444">
        <v>27.102510325968538</v>
      </c>
      <c r="G320" s="1445">
        <v>26.572371760341071</v>
      </c>
      <c r="H320" s="1444">
        <v>19.472002257346862</v>
      </c>
      <c r="I320" s="444">
        <v>25.974828006267142</v>
      </c>
      <c r="J320" s="1445">
        <v>25.793764426836105</v>
      </c>
      <c r="K320" s="1444">
        <v>27.814106158638996</v>
      </c>
      <c r="L320" s="1444">
        <v>36.635140048972168</v>
      </c>
      <c r="M320" s="444">
        <v>44.424589935603265</v>
      </c>
      <c r="N320" s="451">
        <v>22.413303317024283</v>
      </c>
      <c r="O320" s="1446"/>
      <c r="P320" s="1455">
        <v>2053</v>
      </c>
      <c r="Q320" s="1456">
        <v>0.14139618239765017</v>
      </c>
      <c r="R320" s="1457">
        <v>3.1733747391044585E-2</v>
      </c>
      <c r="S320" s="1457">
        <v>5.8957892918956804E-2</v>
      </c>
      <c r="T320" s="1457">
        <v>1.8716220397879266E-2</v>
      </c>
      <c r="U320" s="1458">
        <v>1.5667659642886401E-2</v>
      </c>
      <c r="V320" s="1457">
        <v>8.3230096803238174E-3</v>
      </c>
      <c r="W320" s="1459">
        <v>7.9976523665594781E-3</v>
      </c>
    </row>
    <row r="321" spans="2:23">
      <c r="B321" s="455">
        <v>2054</v>
      </c>
      <c r="C321" s="450">
        <v>29.951745699519307</v>
      </c>
      <c r="D321" s="1444">
        <v>27.638511759881624</v>
      </c>
      <c r="E321" s="1444">
        <v>19.624529953040035</v>
      </c>
      <c r="F321" s="444">
        <v>27.313350217661682</v>
      </c>
      <c r="G321" s="1445">
        <v>26.780517927342359</v>
      </c>
      <c r="H321" s="1444">
        <v>19.624529953040035</v>
      </c>
      <c r="I321" s="444">
        <v>26.178293505575393</v>
      </c>
      <c r="J321" s="1445">
        <v>25.960166975618652</v>
      </c>
      <c r="K321" s="1444">
        <v>27.993542478220579</v>
      </c>
      <c r="L321" s="1444">
        <v>36.871483243330104</v>
      </c>
      <c r="M321" s="444">
        <v>44.607601515227351</v>
      </c>
      <c r="N321" s="451">
        <v>22.588870752906644</v>
      </c>
      <c r="O321" s="1446"/>
      <c r="P321" s="1455">
        <v>2054</v>
      </c>
      <c r="Q321" s="1456">
        <v>0.14223146691362329</v>
      </c>
      <c r="R321" s="1457">
        <v>3.192121148929724E-2</v>
      </c>
      <c r="S321" s="1457">
        <v>5.9306181070832853E-2</v>
      </c>
      <c r="T321" s="1457">
        <v>1.8826784691983921E-2</v>
      </c>
      <c r="U321" s="1458">
        <v>1.5760214853920568E-2</v>
      </c>
      <c r="V321" s="1457">
        <v>8.3721770693889457E-3</v>
      </c>
      <c r="W321" s="1459">
        <v>8.0448977381999652E-3</v>
      </c>
    </row>
    <row r="322" spans="2:23" ht="13.5" thickBot="1">
      <c r="B322" s="456">
        <v>2055</v>
      </c>
      <c r="C322" s="457">
        <v>30.144972509782846</v>
      </c>
      <c r="D322" s="458">
        <v>27.853476770928523</v>
      </c>
      <c r="E322" s="458">
        <v>19.778252425605459</v>
      </c>
      <c r="F322" s="459">
        <v>27.525830306495038</v>
      </c>
      <c r="G322" s="460">
        <v>26.990294540704557</v>
      </c>
      <c r="H322" s="458">
        <v>19.778252425605459</v>
      </c>
      <c r="I322" s="459">
        <v>26.383352786732701</v>
      </c>
      <c r="J322" s="460">
        <v>26.127643032237554</v>
      </c>
      <c r="K322" s="458">
        <v>28.174136390018191</v>
      </c>
      <c r="L322" s="458">
        <v>37.109351151540494</v>
      </c>
      <c r="M322" s="459">
        <v>44.791367029515214</v>
      </c>
      <c r="N322" s="461">
        <v>22.765813440089818</v>
      </c>
      <c r="O322" s="1460"/>
      <c r="P322" s="1461">
        <v>2055</v>
      </c>
      <c r="Q322" s="1462">
        <v>0.14307168579352897</v>
      </c>
      <c r="R322" s="1463">
        <v>3.2109783013902687E-2</v>
      </c>
      <c r="S322" s="1463">
        <v>5.9656526701881436E-2</v>
      </c>
      <c r="T322" s="1463">
        <v>1.8938002134153246E-2</v>
      </c>
      <c r="U322" s="1464">
        <v>1.5853316826071891E-2</v>
      </c>
      <c r="V322" s="1463">
        <v>8.4216349101344564E-3</v>
      </c>
      <c r="W322" s="1465">
        <v>8.0924222073854735E-3</v>
      </c>
    </row>
    <row r="323" spans="2:23" ht="13.5" thickTop="1"/>
  </sheetData>
  <mergeCells count="120">
    <mergeCell ref="P266:Q266"/>
    <mergeCell ref="P267:Q267"/>
    <mergeCell ref="P268:Q268"/>
    <mergeCell ref="P269:Q269"/>
    <mergeCell ref="P270:Q270"/>
    <mergeCell ref="CL178:CQ178"/>
    <mergeCell ref="CL179:CN180"/>
    <mergeCell ref="CO179:CQ180"/>
    <mergeCell ref="CL175:CQ175"/>
    <mergeCell ref="CI178:CJ180"/>
    <mergeCell ref="CA175:CJ175"/>
    <mergeCell ref="Y178:AP178"/>
    <mergeCell ref="P236:Q236"/>
    <mergeCell ref="T229:AC229"/>
    <mergeCell ref="R229:R231"/>
    <mergeCell ref="P231:Q231"/>
    <mergeCell ref="AH179:AP179"/>
    <mergeCell ref="AN180:AP180"/>
    <mergeCell ref="Y230:AA230"/>
    <mergeCell ref="AC230:AC231"/>
    <mergeCell ref="AE230:AG231"/>
    <mergeCell ref="T230:W230"/>
    <mergeCell ref="P260:Q260"/>
    <mergeCell ref="P261:Q261"/>
    <mergeCell ref="AY9:AY10"/>
    <mergeCell ref="AV9:AW9"/>
    <mergeCell ref="AZ9:BC9"/>
    <mergeCell ref="CA178:CD179"/>
    <mergeCell ref="CA180:CD180"/>
    <mergeCell ref="CE178:CH179"/>
    <mergeCell ref="CE180:CH180"/>
    <mergeCell ref="BX178:BY178"/>
    <mergeCell ref="BX179:BX180"/>
    <mergeCell ref="BY179:BY180"/>
    <mergeCell ref="BQ178:BQ181"/>
    <mergeCell ref="BR178:BW178"/>
    <mergeCell ref="BR179:BT180"/>
    <mergeCell ref="BU179:BW180"/>
    <mergeCell ref="BE179:BM179"/>
    <mergeCell ref="AV180:AY180"/>
    <mergeCell ref="AZ180:BA180"/>
    <mergeCell ref="BB180:BD180"/>
    <mergeCell ref="BE180:BH180"/>
    <mergeCell ref="BI180:BJ180"/>
    <mergeCell ref="BK180:BM180"/>
    <mergeCell ref="A9:B10"/>
    <mergeCell ref="C9:F9"/>
    <mergeCell ref="G9:J9"/>
    <mergeCell ref="P9:R9"/>
    <mergeCell ref="S9:U9"/>
    <mergeCell ref="AV178:BM178"/>
    <mergeCell ref="AV179:BD179"/>
    <mergeCell ref="Y180:AB180"/>
    <mergeCell ref="AC180:AD180"/>
    <mergeCell ref="AE180:AG180"/>
    <mergeCell ref="AH180:AK180"/>
    <mergeCell ref="Y179:AG179"/>
    <mergeCell ref="R178:U180"/>
    <mergeCell ref="AL180:AM180"/>
    <mergeCell ref="O178:Q180"/>
    <mergeCell ref="K9:K10"/>
    <mergeCell ref="Y9:AE9"/>
    <mergeCell ref="AT9:AU9"/>
    <mergeCell ref="AG9:AM9"/>
    <mergeCell ref="AN9:AQ9"/>
    <mergeCell ref="AR9:AS9"/>
    <mergeCell ref="L9:O9"/>
    <mergeCell ref="V9:X9"/>
    <mergeCell ref="AQ178:AR180"/>
    <mergeCell ref="M178:N180"/>
    <mergeCell ref="D178:G180"/>
    <mergeCell ref="D230:G230"/>
    <mergeCell ref="I230:K230"/>
    <mergeCell ref="M230:M231"/>
    <mergeCell ref="A12:B12"/>
    <mergeCell ref="A38:B38"/>
    <mergeCell ref="A144:B144"/>
    <mergeCell ref="A118:B118"/>
    <mergeCell ref="A92:B92"/>
    <mergeCell ref="A64:B64"/>
    <mergeCell ref="H178:H181"/>
    <mergeCell ref="I178:L180"/>
    <mergeCell ref="P255:Q255"/>
    <mergeCell ref="P256:Q256"/>
    <mergeCell ref="P257:Q257"/>
    <mergeCell ref="P250:Q250"/>
    <mergeCell ref="P251:Q251"/>
    <mergeCell ref="P259:Q259"/>
    <mergeCell ref="P243:Q243"/>
    <mergeCell ref="P244:Q244"/>
    <mergeCell ref="P237:Q237"/>
    <mergeCell ref="P238:Q238"/>
    <mergeCell ref="P239:Q239"/>
    <mergeCell ref="P240:Q240"/>
    <mergeCell ref="P241:Q241"/>
    <mergeCell ref="P242:Q242"/>
    <mergeCell ref="B278:B284"/>
    <mergeCell ref="C278:I280"/>
    <mergeCell ref="J278:N280"/>
    <mergeCell ref="D281:F281"/>
    <mergeCell ref="G281:I281"/>
    <mergeCell ref="J281:M281"/>
    <mergeCell ref="P258:Q258"/>
    <mergeCell ref="P233:Q233"/>
    <mergeCell ref="P234:Q234"/>
    <mergeCell ref="P235:Q235"/>
    <mergeCell ref="P283:P284"/>
    <mergeCell ref="Q283:W283"/>
    <mergeCell ref="P245:Q245"/>
    <mergeCell ref="P246:Q246"/>
    <mergeCell ref="P247:Q247"/>
    <mergeCell ref="P248:Q248"/>
    <mergeCell ref="P263:Q263"/>
    <mergeCell ref="P264:Q264"/>
    <mergeCell ref="P265:Q265"/>
    <mergeCell ref="P252:Q252"/>
    <mergeCell ref="P253:Q253"/>
    <mergeCell ref="P249:Q249"/>
    <mergeCell ref="P262:Q262"/>
    <mergeCell ref="P254:Q254"/>
  </mergeCells>
  <phoneticPr fontId="28" type="noConversion"/>
  <dataValidations disablePrompts="1" count="1">
    <dataValidation allowBlank="1" showInputMessage="1" showErrorMessage="1" sqref="AB175" xr:uid="{00000000-0002-0000-0200-000001000000}"/>
  </dataValidations>
  <pageMargins left="0" right="0" top="1" bottom="1" header="0.5" footer="0.5"/>
  <pageSetup scale="1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2F237-4F3F-48BE-8E85-D475FA62D657}">
  <sheetPr>
    <tabColor theme="1" tint="0.34998626667073579"/>
  </sheetPr>
  <dimension ref="A1:J14"/>
  <sheetViews>
    <sheetView showGridLines="0" workbookViewId="0"/>
  </sheetViews>
  <sheetFormatPr defaultColWidth="9.140625" defaultRowHeight="12.75"/>
  <cols>
    <col min="1" max="1" width="32.85546875" style="869" bestFit="1" customWidth="1"/>
    <col min="2" max="3" width="8.140625" style="869" bestFit="1" customWidth="1"/>
    <col min="4" max="5" width="8.7109375" style="869" bestFit="1" customWidth="1"/>
    <col min="6" max="8" width="15" style="869" bestFit="1" customWidth="1"/>
    <col min="9" max="9" width="11.7109375" style="869" bestFit="1" customWidth="1"/>
    <col min="10" max="10" width="10" style="869" bestFit="1" customWidth="1"/>
    <col min="11" max="16384" width="9.140625" style="869"/>
  </cols>
  <sheetData>
    <row r="1" spans="1:10">
      <c r="A1" s="858">
        <v>1</v>
      </c>
      <c r="B1" s="858">
        <f>A1+1</f>
        <v>2</v>
      </c>
      <c r="C1" s="858">
        <f t="shared" ref="C1:J1" si="0">B1+1</f>
        <v>3</v>
      </c>
      <c r="D1" s="858">
        <f t="shared" si="0"/>
        <v>4</v>
      </c>
      <c r="E1" s="858">
        <f t="shared" si="0"/>
        <v>5</v>
      </c>
      <c r="F1" s="858">
        <f t="shared" si="0"/>
        <v>6</v>
      </c>
      <c r="G1" s="858">
        <f t="shared" si="0"/>
        <v>7</v>
      </c>
      <c r="H1" s="858">
        <f t="shared" si="0"/>
        <v>8</v>
      </c>
      <c r="I1" s="858">
        <f t="shared" si="0"/>
        <v>9</v>
      </c>
      <c r="J1" s="858">
        <f t="shared" si="0"/>
        <v>10</v>
      </c>
    </row>
    <row r="2" spans="1:10">
      <c r="A2" s="883"/>
      <c r="B2" s="1715" t="s">
        <v>35</v>
      </c>
      <c r="C2" s="1716"/>
      <c r="D2" s="1716"/>
      <c r="E2" s="1716"/>
      <c r="F2" s="1717" t="s">
        <v>36</v>
      </c>
      <c r="G2" s="1718"/>
      <c r="H2" s="1719"/>
      <c r="I2" s="859"/>
      <c r="J2" s="860"/>
    </row>
    <row r="3" spans="1:10">
      <c r="A3" s="884" t="s">
        <v>383</v>
      </c>
      <c r="B3" s="879" t="s">
        <v>38</v>
      </c>
      <c r="C3" s="861" t="s">
        <v>38</v>
      </c>
      <c r="D3" s="861" t="s">
        <v>37</v>
      </c>
      <c r="E3" s="861" t="s">
        <v>37</v>
      </c>
      <c r="F3" s="862" t="s">
        <v>38</v>
      </c>
      <c r="G3" s="863" t="s">
        <v>37</v>
      </c>
      <c r="H3" s="864" t="s">
        <v>39</v>
      </c>
      <c r="I3" s="865" t="s">
        <v>40</v>
      </c>
      <c r="J3" s="866" t="s">
        <v>41</v>
      </c>
    </row>
    <row r="4" spans="1:10">
      <c r="A4" s="884" t="s">
        <v>26</v>
      </c>
      <c r="B4" s="879" t="s">
        <v>42</v>
      </c>
      <c r="C4" s="861" t="s">
        <v>43</v>
      </c>
      <c r="D4" s="861" t="s">
        <v>42</v>
      </c>
      <c r="E4" s="861" t="s">
        <v>43</v>
      </c>
      <c r="F4" s="862" t="s">
        <v>36</v>
      </c>
      <c r="G4" s="863" t="s">
        <v>36</v>
      </c>
      <c r="H4" s="864" t="s">
        <v>36</v>
      </c>
      <c r="I4" s="867"/>
      <c r="J4" s="868"/>
    </row>
    <row r="5" spans="1:10">
      <c r="A5" s="885"/>
      <c r="B5" s="874"/>
      <c r="C5" s="874"/>
      <c r="D5" s="874"/>
      <c r="E5" s="874"/>
      <c r="F5" s="875"/>
      <c r="G5" s="876"/>
      <c r="H5" s="877"/>
      <c r="I5" s="876"/>
      <c r="J5" s="878"/>
    </row>
    <row r="6" spans="1:10">
      <c r="A6" s="880" t="s">
        <v>55</v>
      </c>
      <c r="B6" s="886">
        <v>0</v>
      </c>
      <c r="C6" s="887">
        <v>0</v>
      </c>
      <c r="D6" s="887">
        <v>1</v>
      </c>
      <c r="E6" s="887">
        <v>0</v>
      </c>
      <c r="F6" s="888"/>
      <c r="G6" s="889"/>
      <c r="H6" s="890"/>
      <c r="I6" s="887">
        <v>1</v>
      </c>
      <c r="J6" s="891">
        <v>0</v>
      </c>
    </row>
    <row r="7" spans="1:10">
      <c r="A7" s="881" t="s">
        <v>794</v>
      </c>
      <c r="B7" s="892">
        <v>0</v>
      </c>
      <c r="C7" s="893">
        <v>0</v>
      </c>
      <c r="D7" s="893">
        <v>0</v>
      </c>
      <c r="E7" s="893">
        <v>1</v>
      </c>
      <c r="F7" s="888"/>
      <c r="G7" s="889"/>
      <c r="H7" s="894"/>
      <c r="I7" s="895">
        <v>0</v>
      </c>
      <c r="J7" s="896">
        <v>0</v>
      </c>
    </row>
    <row r="8" spans="1:10">
      <c r="A8" s="881" t="s">
        <v>53</v>
      </c>
      <c r="B8" s="892">
        <v>1</v>
      </c>
      <c r="C8" s="893">
        <v>0</v>
      </c>
      <c r="D8" s="893">
        <v>0</v>
      </c>
      <c r="E8" s="893">
        <v>0</v>
      </c>
      <c r="F8" s="888"/>
      <c r="G8" s="889"/>
      <c r="H8" s="894"/>
      <c r="I8" s="895">
        <v>0</v>
      </c>
      <c r="J8" s="896">
        <v>1</v>
      </c>
    </row>
    <row r="9" spans="1:10">
      <c r="A9" s="881" t="s">
        <v>795</v>
      </c>
      <c r="B9" s="892">
        <v>0</v>
      </c>
      <c r="C9" s="893">
        <v>1</v>
      </c>
      <c r="D9" s="893">
        <v>0</v>
      </c>
      <c r="E9" s="893">
        <v>0</v>
      </c>
      <c r="F9" s="888"/>
      <c r="G9" s="889"/>
      <c r="H9" s="894"/>
      <c r="I9" s="895">
        <v>0</v>
      </c>
      <c r="J9" s="896">
        <v>0</v>
      </c>
    </row>
    <row r="10" spans="1:10">
      <c r="A10" s="881"/>
      <c r="B10" s="892"/>
      <c r="C10" s="893"/>
      <c r="D10" s="893"/>
      <c r="E10" s="893"/>
      <c r="F10" s="888"/>
      <c r="G10" s="889"/>
      <c r="H10" s="894"/>
      <c r="I10" s="895"/>
      <c r="J10" s="896"/>
    </row>
    <row r="11" spans="1:10">
      <c r="A11" s="882"/>
      <c r="B11" s="897"/>
      <c r="C11" s="897"/>
      <c r="D11" s="897"/>
      <c r="E11" s="897"/>
      <c r="F11" s="898"/>
      <c r="G11" s="899"/>
      <c r="H11" s="900"/>
      <c r="I11" s="871"/>
      <c r="J11" s="872"/>
    </row>
    <row r="14" spans="1:10">
      <c r="C14" s="870"/>
      <c r="D14" s="870"/>
      <c r="E14" s="870"/>
      <c r="H14" s="873"/>
    </row>
  </sheetData>
  <mergeCells count="2">
    <mergeCell ref="B2:E2"/>
    <mergeCell ref="F2:H2"/>
  </mergeCells>
  <hyperlinks>
    <hyperlink ref="D4" location="Manager!A1" display="Back to Manager" xr:uid="{F0F1C5D9-6CF6-44FE-84CE-E43EE7C10989}"/>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18A07-2B9E-4242-B428-2838FCBBA7AC}">
  <sheetPr>
    <tabColor theme="1" tint="0.34998626667073579"/>
  </sheetPr>
  <dimension ref="B1:BC244"/>
  <sheetViews>
    <sheetView showGridLines="0" zoomScale="80" zoomScaleNormal="80" workbookViewId="0">
      <pane xSplit="3" topLeftCell="D1" activePane="topRight" state="frozen"/>
      <selection pane="topRight" activeCell="AD122" sqref="AD122"/>
    </sheetView>
  </sheetViews>
  <sheetFormatPr defaultColWidth="9.140625" defaultRowHeight="12.75"/>
  <cols>
    <col min="1" max="1" width="2.7109375" style="907" customWidth="1"/>
    <col min="2" max="2" width="16.28515625" style="907" customWidth="1"/>
    <col min="3" max="3" width="15.42578125" style="907" bestFit="1" customWidth="1"/>
    <col min="4" max="4" width="9.42578125" style="907" bestFit="1" customWidth="1"/>
    <col min="5" max="5" width="9.85546875" style="907" bestFit="1" customWidth="1"/>
    <col min="6" max="6" width="10" style="907" bestFit="1" customWidth="1"/>
    <col min="7" max="23" width="10.42578125" style="907" bestFit="1" customWidth="1"/>
    <col min="24" max="28" width="9.85546875" style="907" customWidth="1"/>
    <col min="29" max="29" width="2.7109375" style="907" customWidth="1"/>
    <col min="30" max="49" width="12.28515625" style="907" bestFit="1" customWidth="1"/>
    <col min="50" max="54" width="12.140625" style="907" customWidth="1"/>
    <col min="55" max="55" width="2.7109375" style="907" customWidth="1"/>
    <col min="56" max="16384" width="9.140625" style="907"/>
  </cols>
  <sheetData>
    <row r="1" spans="2:55" ht="21">
      <c r="B1" s="906" t="s">
        <v>987</v>
      </c>
      <c r="I1" s="943"/>
    </row>
    <row r="4" spans="2:55" s="908" customFormat="1" ht="34.5" thickBot="1">
      <c r="B4" s="1720" t="s">
        <v>952</v>
      </c>
      <c r="C4" s="1721"/>
      <c r="D4" s="1721"/>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2"/>
      <c r="AD4" s="1720" t="s">
        <v>871</v>
      </c>
      <c r="AE4" s="1721"/>
      <c r="AF4" s="1721"/>
      <c r="AG4" s="1721"/>
      <c r="AH4" s="1721"/>
      <c r="AI4" s="1721"/>
      <c r="AJ4" s="1721"/>
      <c r="AK4" s="1721"/>
      <c r="AL4" s="1721"/>
      <c r="AM4" s="1721"/>
      <c r="AN4" s="1721"/>
      <c r="AO4" s="1721"/>
      <c r="AP4" s="1721"/>
      <c r="AQ4" s="1721"/>
      <c r="AR4" s="1721"/>
      <c r="AS4" s="1721"/>
      <c r="AT4" s="1721"/>
      <c r="AU4" s="1721"/>
      <c r="AV4" s="1721"/>
      <c r="AW4" s="1721"/>
      <c r="AX4" s="1721"/>
      <c r="AY4" s="1721"/>
      <c r="AZ4" s="1721"/>
      <c r="BA4" s="1721"/>
      <c r="BB4" s="1722"/>
    </row>
    <row r="5" spans="2:55" ht="16.5" thickTop="1">
      <c r="B5" s="909"/>
      <c r="C5" s="910" t="s">
        <v>801</v>
      </c>
      <c r="D5" s="911" t="s">
        <v>802</v>
      </c>
      <c r="E5" s="911"/>
      <c r="F5" s="911"/>
      <c r="G5" s="911"/>
      <c r="H5" s="911"/>
      <c r="I5" s="911"/>
      <c r="J5" s="911"/>
      <c r="K5" s="911"/>
      <c r="L5" s="912"/>
      <c r="M5" s="913"/>
      <c r="N5" s="913"/>
      <c r="O5" s="913"/>
      <c r="P5" s="913"/>
      <c r="Q5" s="913"/>
      <c r="R5" s="913"/>
      <c r="S5" s="913"/>
      <c r="T5" s="913"/>
      <c r="U5" s="913"/>
      <c r="V5" s="913"/>
      <c r="W5" s="913"/>
      <c r="X5" s="913"/>
      <c r="Y5" s="913"/>
      <c r="Z5" s="913"/>
      <c r="AA5" s="913"/>
      <c r="AB5" s="914"/>
      <c r="AD5" s="915" t="s">
        <v>802</v>
      </c>
      <c r="AE5" s="911"/>
      <c r="AF5" s="911"/>
      <c r="AG5" s="911"/>
      <c r="AH5" s="911"/>
      <c r="AI5" s="911"/>
      <c r="AJ5" s="911"/>
      <c r="AK5" s="911"/>
      <c r="AL5" s="912"/>
      <c r="AM5" s="913"/>
      <c r="AN5" s="913"/>
      <c r="AO5" s="913"/>
      <c r="AP5" s="913"/>
      <c r="AQ5" s="913"/>
      <c r="AR5" s="913"/>
      <c r="AS5" s="913"/>
      <c r="AT5" s="913"/>
      <c r="AU5" s="913"/>
      <c r="AV5" s="913"/>
      <c r="AW5" s="913"/>
      <c r="AX5" s="913"/>
      <c r="AY5" s="913"/>
      <c r="AZ5" s="913"/>
      <c r="BA5" s="913"/>
      <c r="BB5" s="914"/>
    </row>
    <row r="6" spans="2:55" ht="15.75">
      <c r="B6" s="916"/>
      <c r="C6" s="917"/>
      <c r="D6" s="918">
        <v>1</v>
      </c>
      <c r="E6" s="918">
        <v>2</v>
      </c>
      <c r="F6" s="918">
        <v>3</v>
      </c>
      <c r="G6" s="918">
        <v>4</v>
      </c>
      <c r="H6" s="918">
        <v>5</v>
      </c>
      <c r="I6" s="918">
        <v>6</v>
      </c>
      <c r="J6" s="918">
        <v>7</v>
      </c>
      <c r="K6" s="918">
        <v>8</v>
      </c>
      <c r="L6" s="918">
        <v>9</v>
      </c>
      <c r="M6" s="918">
        <v>10</v>
      </c>
      <c r="N6" s="918">
        <v>11</v>
      </c>
      <c r="O6" s="918">
        <v>12</v>
      </c>
      <c r="P6" s="918">
        <v>13</v>
      </c>
      <c r="Q6" s="918">
        <v>14</v>
      </c>
      <c r="R6" s="918">
        <v>15</v>
      </c>
      <c r="S6" s="918">
        <v>16</v>
      </c>
      <c r="T6" s="918">
        <v>17</v>
      </c>
      <c r="U6" s="918">
        <v>18</v>
      </c>
      <c r="V6" s="918">
        <v>19</v>
      </c>
      <c r="W6" s="918">
        <v>20</v>
      </c>
      <c r="X6" s="918">
        <v>21</v>
      </c>
      <c r="Y6" s="918">
        <v>22</v>
      </c>
      <c r="Z6" s="918">
        <v>23</v>
      </c>
      <c r="AA6" s="918">
        <v>24</v>
      </c>
      <c r="AB6" s="919">
        <v>25</v>
      </c>
      <c r="AD6" s="920">
        <v>1</v>
      </c>
      <c r="AE6" s="918">
        <v>2</v>
      </c>
      <c r="AF6" s="918">
        <v>3</v>
      </c>
      <c r="AG6" s="918">
        <v>4</v>
      </c>
      <c r="AH6" s="918">
        <v>5</v>
      </c>
      <c r="AI6" s="918">
        <v>6</v>
      </c>
      <c r="AJ6" s="918">
        <v>7</v>
      </c>
      <c r="AK6" s="918">
        <v>8</v>
      </c>
      <c r="AL6" s="918">
        <v>9</v>
      </c>
      <c r="AM6" s="918">
        <v>10</v>
      </c>
      <c r="AN6" s="918">
        <v>11</v>
      </c>
      <c r="AO6" s="918">
        <v>12</v>
      </c>
      <c r="AP6" s="918">
        <v>13</v>
      </c>
      <c r="AQ6" s="918">
        <v>14</v>
      </c>
      <c r="AR6" s="918">
        <v>15</v>
      </c>
      <c r="AS6" s="918">
        <v>16</v>
      </c>
      <c r="AT6" s="918">
        <v>17</v>
      </c>
      <c r="AU6" s="918">
        <v>18</v>
      </c>
      <c r="AV6" s="918">
        <v>19</v>
      </c>
      <c r="AW6" s="918">
        <v>20</v>
      </c>
      <c r="AX6" s="918">
        <v>21</v>
      </c>
      <c r="AY6" s="918">
        <v>22</v>
      </c>
      <c r="AZ6" s="918">
        <v>23</v>
      </c>
      <c r="BA6" s="918">
        <v>24</v>
      </c>
      <c r="BB6" s="919">
        <v>25</v>
      </c>
      <c r="BC6" s="921"/>
    </row>
    <row r="7" spans="2:55" s="908" customFormat="1" ht="33.75">
      <c r="B7" s="1723">
        <f>Year1</f>
        <v>2024</v>
      </c>
      <c r="C7" s="1724"/>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t="str">
        <f>Year1&amp;"$"</f>
        <v>2024$</v>
      </c>
      <c r="AE7" s="922"/>
      <c r="AF7" s="922"/>
      <c r="AG7" s="922"/>
      <c r="AH7" s="922"/>
      <c r="AI7" s="922"/>
      <c r="AJ7" s="922"/>
      <c r="AK7" s="922"/>
      <c r="AL7" s="922"/>
      <c r="AM7" s="922"/>
      <c r="AN7" s="922"/>
      <c r="AO7" s="922"/>
      <c r="AP7" s="922"/>
      <c r="AQ7" s="922"/>
      <c r="AR7" s="922"/>
      <c r="AS7" s="922"/>
      <c r="AT7" s="922"/>
      <c r="AU7" s="922"/>
      <c r="AV7" s="922"/>
      <c r="AW7" s="922"/>
      <c r="AX7" s="922"/>
      <c r="AY7" s="922"/>
      <c r="AZ7" s="922"/>
      <c r="BA7" s="922"/>
      <c r="BB7" s="923"/>
    </row>
    <row r="8" spans="2:55" s="928" customFormat="1" ht="31.5" customHeight="1" thickBot="1">
      <c r="B8" s="924"/>
      <c r="C8" s="925"/>
      <c r="D8" s="926" t="s">
        <v>832</v>
      </c>
      <c r="E8" s="925"/>
      <c r="F8" s="925"/>
      <c r="G8" s="925"/>
      <c r="H8" s="925"/>
      <c r="I8" s="925"/>
      <c r="J8" s="925"/>
      <c r="K8" s="925"/>
      <c r="L8" s="925"/>
      <c r="M8" s="925"/>
      <c r="N8" s="925"/>
      <c r="O8" s="925"/>
      <c r="P8" s="925"/>
      <c r="Q8" s="925"/>
      <c r="R8" s="925"/>
      <c r="S8" s="925"/>
      <c r="T8" s="925"/>
      <c r="U8" s="925"/>
      <c r="V8" s="925"/>
      <c r="W8" s="925"/>
      <c r="X8" s="925"/>
      <c r="Y8" s="925"/>
      <c r="Z8" s="925"/>
      <c r="AA8" s="925"/>
      <c r="AB8" s="927"/>
      <c r="AC8" s="907"/>
      <c r="AD8" s="926" t="s">
        <v>831</v>
      </c>
      <c r="AE8" s="929"/>
      <c r="AF8" s="929"/>
      <c r="AG8" s="929"/>
      <c r="AH8" s="929"/>
      <c r="AI8" s="929"/>
      <c r="AJ8" s="929"/>
      <c r="AK8" s="929"/>
      <c r="AL8" s="929"/>
      <c r="AM8" s="929"/>
      <c r="AN8" s="929"/>
      <c r="AO8" s="929"/>
      <c r="AP8" s="929"/>
      <c r="AQ8" s="929"/>
      <c r="AR8" s="929"/>
      <c r="AS8" s="929"/>
      <c r="AT8" s="929"/>
      <c r="AU8" s="929"/>
      <c r="AV8" s="929"/>
      <c r="AW8" s="929"/>
      <c r="AX8" s="929"/>
      <c r="AY8" s="929"/>
      <c r="AZ8" s="929"/>
      <c r="BA8" s="929"/>
      <c r="BB8" s="930"/>
    </row>
    <row r="9" spans="2:55" s="934" customFormat="1" ht="15.75" thickTop="1">
      <c r="B9" s="909">
        <v>2018</v>
      </c>
      <c r="C9" s="1218"/>
      <c r="D9" s="932">
        <v>0</v>
      </c>
      <c r="E9" s="932">
        <v>0</v>
      </c>
      <c r="F9" s="932">
        <v>0</v>
      </c>
      <c r="G9" s="932">
        <v>0</v>
      </c>
      <c r="H9" s="932">
        <v>0</v>
      </c>
      <c r="I9" s="932">
        <v>0</v>
      </c>
      <c r="J9" s="932">
        <v>0</v>
      </c>
      <c r="K9" s="932">
        <v>0</v>
      </c>
      <c r="L9" s="932">
        <v>0</v>
      </c>
      <c r="M9" s="932">
        <v>0</v>
      </c>
      <c r="N9" s="932">
        <v>0</v>
      </c>
      <c r="O9" s="932">
        <v>0</v>
      </c>
      <c r="P9" s="932">
        <v>0</v>
      </c>
      <c r="Q9" s="932">
        <v>0</v>
      </c>
      <c r="R9" s="932">
        <v>0</v>
      </c>
      <c r="S9" s="932">
        <v>0</v>
      </c>
      <c r="T9" s="932">
        <v>0</v>
      </c>
      <c r="U9" s="932">
        <v>0</v>
      </c>
      <c r="V9" s="932">
        <v>0</v>
      </c>
      <c r="W9" s="932">
        <v>0</v>
      </c>
      <c r="X9" s="932">
        <v>0</v>
      </c>
      <c r="Y9" s="932">
        <v>0</v>
      </c>
      <c r="Z9" s="932">
        <v>0</v>
      </c>
      <c r="AA9" s="932">
        <v>0</v>
      </c>
      <c r="AB9" s="933">
        <v>0</v>
      </c>
      <c r="AD9" s="935">
        <f t="shared" ref="AD9:AD41" si="0">D9*(1+WholesaleRiskPremium)*(1+PeakDemandLosses)*(1+Inflation1)^(Year1-Real_Year)</f>
        <v>0</v>
      </c>
      <c r="AE9" s="936">
        <f t="shared" ref="AE9:AE41" si="1">E9*(1+WholesaleRiskPremium)*(1+PeakDemandLosses)*(1+Inflation1)^(Year1-Real_Year)</f>
        <v>0</v>
      </c>
      <c r="AF9" s="936">
        <f t="shared" ref="AF9:AF41" si="2">F9*(1+WholesaleRiskPremium)*(1+PeakDemandLosses)*(1+Inflation1)^(Year1-Real_Year)</f>
        <v>0</v>
      </c>
      <c r="AG9" s="936">
        <f t="shared" ref="AG9:AG41" si="3">G9*(1+WholesaleRiskPremium)*(1+PeakDemandLosses)*(1+Inflation1)^(Year1-Real_Year)</f>
        <v>0</v>
      </c>
      <c r="AH9" s="936">
        <f t="shared" ref="AH9:AH41" si="4">H9*(1+WholesaleRiskPremium)*(1+PeakDemandLosses)*(1+Inflation1)^(Year1-Real_Year)</f>
        <v>0</v>
      </c>
      <c r="AI9" s="936">
        <f t="shared" ref="AI9:AI41" si="5">I9*(1+WholesaleRiskPremium)*(1+PeakDemandLosses)*(1+Inflation1)^(Year1-Real_Year)</f>
        <v>0</v>
      </c>
      <c r="AJ9" s="936">
        <f t="shared" ref="AJ9:AJ41" si="6">J9*(1+WholesaleRiskPremium)*(1+PeakDemandLosses)*(1+Inflation1)^(Year1-Real_Year)</f>
        <v>0</v>
      </c>
      <c r="AK9" s="936">
        <f t="shared" ref="AK9:AK41" si="7">K9*(1+WholesaleRiskPremium)*(1+PeakDemandLosses)*(1+Inflation1)^(Year1-Real_Year)</f>
        <v>0</v>
      </c>
      <c r="AL9" s="936">
        <f t="shared" ref="AL9:AL41" si="8">L9*(1+WholesaleRiskPremium)*(1+PeakDemandLosses)*(1+Inflation1)^(Year1-Real_Year)</f>
        <v>0</v>
      </c>
      <c r="AM9" s="936">
        <f t="shared" ref="AM9:AM41" si="9">M9*(1+WholesaleRiskPremium)*(1+PeakDemandLosses)*(1+Inflation1)^(Year1-Real_Year)</f>
        <v>0</v>
      </c>
      <c r="AN9" s="936">
        <f t="shared" ref="AN9:AN41" si="10">N9*(1+WholesaleRiskPremium)*(1+PeakDemandLosses)*(1+Inflation1)^(Year1-Real_Year)</f>
        <v>0</v>
      </c>
      <c r="AO9" s="936">
        <f t="shared" ref="AO9:AO41" si="11">O9*(1+WholesaleRiskPremium)*(1+PeakDemandLosses)*(1+Inflation1)^(Year1-Real_Year)</f>
        <v>0</v>
      </c>
      <c r="AP9" s="936">
        <f t="shared" ref="AP9:AP41" si="12">P9*(1+WholesaleRiskPremium)*(1+PeakDemandLosses)*(1+Inflation1)^(Year1-Real_Year)</f>
        <v>0</v>
      </c>
      <c r="AQ9" s="936">
        <f t="shared" ref="AQ9:AQ41" si="13">Q9*(1+WholesaleRiskPremium)*(1+PeakDemandLosses)*(1+Inflation1)^(Year1-Real_Year)</f>
        <v>0</v>
      </c>
      <c r="AR9" s="936">
        <f t="shared" ref="AR9:AR41" si="14">R9*(1+WholesaleRiskPremium)*(1+PeakDemandLosses)*(1+Inflation1)^(Year1-Real_Year)</f>
        <v>0</v>
      </c>
      <c r="AS9" s="936">
        <f t="shared" ref="AS9:AS41" si="15">S9*(1+WholesaleRiskPremium)*(1+PeakDemandLosses)*(1+Inflation1)^(Year1-Real_Year)</f>
        <v>0</v>
      </c>
      <c r="AT9" s="936">
        <f t="shared" ref="AT9:AT41" si="16">T9*(1+WholesaleRiskPremium)*(1+PeakDemandLosses)*(1+Inflation1)^(Year1-Real_Year)</f>
        <v>0</v>
      </c>
      <c r="AU9" s="936">
        <f t="shared" ref="AU9:AU41" si="17">U9*(1+WholesaleRiskPremium)*(1+PeakDemandLosses)*(1+Inflation1)^(Year1-Real_Year)</f>
        <v>0</v>
      </c>
      <c r="AV9" s="936">
        <f t="shared" ref="AV9:AV41" si="18">V9*(1+WholesaleRiskPremium)*(1+PeakDemandLosses)*(1+Inflation1)^(Year1-Real_Year)</f>
        <v>0</v>
      </c>
      <c r="AW9" s="936">
        <f t="shared" ref="AW9:AW41" si="19">W9*(1+WholesaleRiskPremium)*(1+PeakDemandLosses)*(1+Inflation1)^(Year1-Real_Year)</f>
        <v>0</v>
      </c>
      <c r="AX9" s="936">
        <f t="shared" ref="AX9:AX41" si="20">X9*(1+WholesaleRiskPremium)*(1+PeakDemandLosses)*(1+Inflation1)^(Year1-Real_Year)</f>
        <v>0</v>
      </c>
      <c r="AY9" s="936">
        <f t="shared" ref="AY9:AY41" si="21">Y9*(1+WholesaleRiskPremium)*(1+PeakDemandLosses)*(1+Inflation1)^(Year1-Real_Year)</f>
        <v>0</v>
      </c>
      <c r="AZ9" s="936">
        <f t="shared" ref="AZ9:AZ41" si="22">Z9*(1+WholesaleRiskPremium)*(1+PeakDemandLosses)*(1+Inflation1)^(Year1-Real_Year)</f>
        <v>0</v>
      </c>
      <c r="BA9" s="936">
        <f t="shared" ref="BA9:BA41" si="23">AA9*(1+WholesaleRiskPremium)*(1+PeakDemandLosses)*(1+Inflation1)^(Year1-Real_Year)</f>
        <v>0</v>
      </c>
      <c r="BB9" s="937">
        <f t="shared" ref="BB9:BB41" si="24">AB9*(1+WholesaleRiskPremium)*(1+PeakDemandLosses)*(1+Inflation1)^(Year1-Real_Year)</f>
        <v>0</v>
      </c>
      <c r="BC9" s="938"/>
    </row>
    <row r="10" spans="2:55" s="934" customFormat="1" ht="15">
      <c r="B10" s="909">
        <v>2019</v>
      </c>
      <c r="C10" s="1218"/>
      <c r="D10" s="932">
        <v>0</v>
      </c>
      <c r="E10" s="932">
        <v>0</v>
      </c>
      <c r="F10" s="932">
        <v>0</v>
      </c>
      <c r="G10" s="932">
        <v>0</v>
      </c>
      <c r="H10" s="932">
        <v>0</v>
      </c>
      <c r="I10" s="932">
        <v>0</v>
      </c>
      <c r="J10" s="932">
        <v>0</v>
      </c>
      <c r="K10" s="932">
        <v>0</v>
      </c>
      <c r="L10" s="932">
        <v>0</v>
      </c>
      <c r="M10" s="932">
        <v>0</v>
      </c>
      <c r="N10" s="932">
        <v>0</v>
      </c>
      <c r="O10" s="932">
        <v>0</v>
      </c>
      <c r="P10" s="932">
        <v>0</v>
      </c>
      <c r="Q10" s="932">
        <v>0</v>
      </c>
      <c r="R10" s="932">
        <v>0</v>
      </c>
      <c r="S10" s="932">
        <v>0</v>
      </c>
      <c r="T10" s="932">
        <v>0</v>
      </c>
      <c r="U10" s="932">
        <v>0</v>
      </c>
      <c r="V10" s="932">
        <v>0</v>
      </c>
      <c r="W10" s="932">
        <v>0</v>
      </c>
      <c r="X10" s="932">
        <v>0</v>
      </c>
      <c r="Y10" s="932">
        <v>0</v>
      </c>
      <c r="Z10" s="932">
        <v>0</v>
      </c>
      <c r="AA10" s="932">
        <v>0</v>
      </c>
      <c r="AB10" s="933">
        <v>0</v>
      </c>
      <c r="AD10" s="935">
        <f t="shared" si="0"/>
        <v>0</v>
      </c>
      <c r="AE10" s="936">
        <f t="shared" si="1"/>
        <v>0</v>
      </c>
      <c r="AF10" s="936">
        <f t="shared" si="2"/>
        <v>0</v>
      </c>
      <c r="AG10" s="936">
        <f t="shared" si="3"/>
        <v>0</v>
      </c>
      <c r="AH10" s="936">
        <f t="shared" si="4"/>
        <v>0</v>
      </c>
      <c r="AI10" s="936">
        <f t="shared" si="5"/>
        <v>0</v>
      </c>
      <c r="AJ10" s="936">
        <f t="shared" si="6"/>
        <v>0</v>
      </c>
      <c r="AK10" s="936">
        <f t="shared" si="7"/>
        <v>0</v>
      </c>
      <c r="AL10" s="936">
        <f t="shared" si="8"/>
        <v>0</v>
      </c>
      <c r="AM10" s="936">
        <f t="shared" si="9"/>
        <v>0</v>
      </c>
      <c r="AN10" s="936">
        <f t="shared" si="10"/>
        <v>0</v>
      </c>
      <c r="AO10" s="936">
        <f t="shared" si="11"/>
        <v>0</v>
      </c>
      <c r="AP10" s="936">
        <f t="shared" si="12"/>
        <v>0</v>
      </c>
      <c r="AQ10" s="936">
        <f t="shared" si="13"/>
        <v>0</v>
      </c>
      <c r="AR10" s="936">
        <f t="shared" si="14"/>
        <v>0</v>
      </c>
      <c r="AS10" s="936">
        <f t="shared" si="15"/>
        <v>0</v>
      </c>
      <c r="AT10" s="936">
        <f t="shared" si="16"/>
        <v>0</v>
      </c>
      <c r="AU10" s="936">
        <f t="shared" si="17"/>
        <v>0</v>
      </c>
      <c r="AV10" s="936">
        <f t="shared" si="18"/>
        <v>0</v>
      </c>
      <c r="AW10" s="936">
        <f t="shared" si="19"/>
        <v>0</v>
      </c>
      <c r="AX10" s="936">
        <f t="shared" si="20"/>
        <v>0</v>
      </c>
      <c r="AY10" s="936">
        <f t="shared" si="21"/>
        <v>0</v>
      </c>
      <c r="AZ10" s="936">
        <f t="shared" si="22"/>
        <v>0</v>
      </c>
      <c r="BA10" s="936">
        <f t="shared" si="23"/>
        <v>0</v>
      </c>
      <c r="BB10" s="937">
        <f t="shared" si="24"/>
        <v>0</v>
      </c>
      <c r="BC10" s="938"/>
    </row>
    <row r="11" spans="2:55" s="934" customFormat="1" ht="15">
      <c r="B11" s="909">
        <v>2020</v>
      </c>
      <c r="C11" s="1218"/>
      <c r="D11" s="932">
        <v>0</v>
      </c>
      <c r="E11" s="932">
        <v>0</v>
      </c>
      <c r="F11" s="932">
        <v>0</v>
      </c>
      <c r="G11" s="932">
        <v>0</v>
      </c>
      <c r="H11" s="932">
        <v>0</v>
      </c>
      <c r="I11" s="932">
        <v>0</v>
      </c>
      <c r="J11" s="932">
        <v>0</v>
      </c>
      <c r="K11" s="932">
        <v>0</v>
      </c>
      <c r="L11" s="932">
        <v>0</v>
      </c>
      <c r="M11" s="932">
        <v>0</v>
      </c>
      <c r="N11" s="932">
        <v>0</v>
      </c>
      <c r="O11" s="932">
        <v>0</v>
      </c>
      <c r="P11" s="932">
        <v>0</v>
      </c>
      <c r="Q11" s="932">
        <v>0</v>
      </c>
      <c r="R11" s="932">
        <v>0</v>
      </c>
      <c r="S11" s="932">
        <v>0</v>
      </c>
      <c r="T11" s="932">
        <v>0</v>
      </c>
      <c r="U11" s="932">
        <v>0</v>
      </c>
      <c r="V11" s="932">
        <v>0</v>
      </c>
      <c r="W11" s="932">
        <v>0</v>
      </c>
      <c r="X11" s="932">
        <v>0</v>
      </c>
      <c r="Y11" s="932">
        <v>0</v>
      </c>
      <c r="Z11" s="932">
        <v>0</v>
      </c>
      <c r="AA11" s="932">
        <v>0</v>
      </c>
      <c r="AB11" s="933">
        <v>0</v>
      </c>
      <c r="AD11" s="935">
        <f t="shared" si="0"/>
        <v>0</v>
      </c>
      <c r="AE11" s="936">
        <f t="shared" si="1"/>
        <v>0</v>
      </c>
      <c r="AF11" s="936">
        <f t="shared" si="2"/>
        <v>0</v>
      </c>
      <c r="AG11" s="936">
        <f t="shared" si="3"/>
        <v>0</v>
      </c>
      <c r="AH11" s="936">
        <f t="shared" si="4"/>
        <v>0</v>
      </c>
      <c r="AI11" s="936">
        <f t="shared" si="5"/>
        <v>0</v>
      </c>
      <c r="AJ11" s="936">
        <f t="shared" si="6"/>
        <v>0</v>
      </c>
      <c r="AK11" s="936">
        <f t="shared" si="7"/>
        <v>0</v>
      </c>
      <c r="AL11" s="936">
        <f t="shared" si="8"/>
        <v>0</v>
      </c>
      <c r="AM11" s="936">
        <f t="shared" si="9"/>
        <v>0</v>
      </c>
      <c r="AN11" s="936">
        <f t="shared" si="10"/>
        <v>0</v>
      </c>
      <c r="AO11" s="936">
        <f t="shared" si="11"/>
        <v>0</v>
      </c>
      <c r="AP11" s="936">
        <f t="shared" si="12"/>
        <v>0</v>
      </c>
      <c r="AQ11" s="936">
        <f t="shared" si="13"/>
        <v>0</v>
      </c>
      <c r="AR11" s="936">
        <f t="shared" si="14"/>
        <v>0</v>
      </c>
      <c r="AS11" s="936">
        <f t="shared" si="15"/>
        <v>0</v>
      </c>
      <c r="AT11" s="936">
        <f t="shared" si="16"/>
        <v>0</v>
      </c>
      <c r="AU11" s="936">
        <f t="shared" si="17"/>
        <v>0</v>
      </c>
      <c r="AV11" s="936">
        <f t="shared" si="18"/>
        <v>0</v>
      </c>
      <c r="AW11" s="936">
        <f t="shared" si="19"/>
        <v>0</v>
      </c>
      <c r="AX11" s="936">
        <f t="shared" si="20"/>
        <v>0</v>
      </c>
      <c r="AY11" s="936">
        <f t="shared" si="21"/>
        <v>0</v>
      </c>
      <c r="AZ11" s="936">
        <f t="shared" si="22"/>
        <v>0</v>
      </c>
      <c r="BA11" s="936">
        <f t="shared" si="23"/>
        <v>0</v>
      </c>
      <c r="BB11" s="937">
        <f t="shared" si="24"/>
        <v>0</v>
      </c>
      <c r="BC11" s="938"/>
    </row>
    <row r="12" spans="2:55" s="934" customFormat="1" ht="15">
      <c r="B12" s="909">
        <v>2021</v>
      </c>
      <c r="C12" s="1218"/>
      <c r="D12" s="932">
        <v>0</v>
      </c>
      <c r="E12" s="932">
        <v>0</v>
      </c>
      <c r="F12" s="932">
        <v>0</v>
      </c>
      <c r="G12" s="932">
        <v>0</v>
      </c>
      <c r="H12" s="932">
        <v>0</v>
      </c>
      <c r="I12" s="932">
        <v>0</v>
      </c>
      <c r="J12" s="932">
        <v>0</v>
      </c>
      <c r="K12" s="932">
        <v>0</v>
      </c>
      <c r="L12" s="932">
        <v>0</v>
      </c>
      <c r="M12" s="932">
        <v>0</v>
      </c>
      <c r="N12" s="932">
        <v>0</v>
      </c>
      <c r="O12" s="932">
        <v>0</v>
      </c>
      <c r="P12" s="932">
        <v>0</v>
      </c>
      <c r="Q12" s="932">
        <v>0</v>
      </c>
      <c r="R12" s="932">
        <v>0</v>
      </c>
      <c r="S12" s="932">
        <v>0</v>
      </c>
      <c r="T12" s="932">
        <v>0</v>
      </c>
      <c r="U12" s="932">
        <v>0</v>
      </c>
      <c r="V12" s="932">
        <v>0</v>
      </c>
      <c r="W12" s="932">
        <v>0</v>
      </c>
      <c r="X12" s="932">
        <v>0</v>
      </c>
      <c r="Y12" s="932">
        <v>0</v>
      </c>
      <c r="Z12" s="932">
        <v>0</v>
      </c>
      <c r="AA12" s="932">
        <v>0</v>
      </c>
      <c r="AB12" s="933">
        <v>0</v>
      </c>
      <c r="AD12" s="935">
        <f t="shared" si="0"/>
        <v>0</v>
      </c>
      <c r="AE12" s="936">
        <f t="shared" si="1"/>
        <v>0</v>
      </c>
      <c r="AF12" s="936">
        <f t="shared" si="2"/>
        <v>0</v>
      </c>
      <c r="AG12" s="936">
        <f t="shared" si="3"/>
        <v>0</v>
      </c>
      <c r="AH12" s="936">
        <f t="shared" si="4"/>
        <v>0</v>
      </c>
      <c r="AI12" s="936">
        <f t="shared" si="5"/>
        <v>0</v>
      </c>
      <c r="AJ12" s="936">
        <f t="shared" si="6"/>
        <v>0</v>
      </c>
      <c r="AK12" s="936">
        <f t="shared" si="7"/>
        <v>0</v>
      </c>
      <c r="AL12" s="936">
        <f t="shared" si="8"/>
        <v>0</v>
      </c>
      <c r="AM12" s="936">
        <f t="shared" si="9"/>
        <v>0</v>
      </c>
      <c r="AN12" s="936">
        <f t="shared" si="10"/>
        <v>0</v>
      </c>
      <c r="AO12" s="936">
        <f t="shared" si="11"/>
        <v>0</v>
      </c>
      <c r="AP12" s="936">
        <f t="shared" si="12"/>
        <v>0</v>
      </c>
      <c r="AQ12" s="936">
        <f t="shared" si="13"/>
        <v>0</v>
      </c>
      <c r="AR12" s="936">
        <f t="shared" si="14"/>
        <v>0</v>
      </c>
      <c r="AS12" s="936">
        <f t="shared" si="15"/>
        <v>0</v>
      </c>
      <c r="AT12" s="936">
        <f t="shared" si="16"/>
        <v>0</v>
      </c>
      <c r="AU12" s="936">
        <f t="shared" si="17"/>
        <v>0</v>
      </c>
      <c r="AV12" s="936">
        <f t="shared" si="18"/>
        <v>0</v>
      </c>
      <c r="AW12" s="936">
        <f t="shared" si="19"/>
        <v>0</v>
      </c>
      <c r="AX12" s="936">
        <f t="shared" si="20"/>
        <v>0</v>
      </c>
      <c r="AY12" s="936">
        <f t="shared" si="21"/>
        <v>0</v>
      </c>
      <c r="AZ12" s="936">
        <f t="shared" si="22"/>
        <v>0</v>
      </c>
      <c r="BA12" s="936">
        <f t="shared" si="23"/>
        <v>0</v>
      </c>
      <c r="BB12" s="937">
        <f t="shared" si="24"/>
        <v>0</v>
      </c>
      <c r="BC12" s="938"/>
    </row>
    <row r="13" spans="2:55" s="934" customFormat="1" ht="15">
      <c r="B13" s="909">
        <v>2022</v>
      </c>
      <c r="C13" s="1218"/>
      <c r="D13" s="932">
        <v>0</v>
      </c>
      <c r="E13" s="932">
        <v>0</v>
      </c>
      <c r="F13" s="932">
        <v>0</v>
      </c>
      <c r="G13" s="932">
        <v>0</v>
      </c>
      <c r="H13" s="932">
        <v>0</v>
      </c>
      <c r="I13" s="932">
        <v>0</v>
      </c>
      <c r="J13" s="932">
        <v>0</v>
      </c>
      <c r="K13" s="932">
        <v>0</v>
      </c>
      <c r="L13" s="932">
        <v>0</v>
      </c>
      <c r="M13" s="932">
        <v>0</v>
      </c>
      <c r="N13" s="932">
        <v>0</v>
      </c>
      <c r="O13" s="932">
        <v>0</v>
      </c>
      <c r="P13" s="932">
        <v>0</v>
      </c>
      <c r="Q13" s="932">
        <v>0</v>
      </c>
      <c r="R13" s="932">
        <v>0</v>
      </c>
      <c r="S13" s="932">
        <v>0</v>
      </c>
      <c r="T13" s="932">
        <v>0</v>
      </c>
      <c r="U13" s="932">
        <v>0</v>
      </c>
      <c r="V13" s="932">
        <v>0</v>
      </c>
      <c r="W13" s="932">
        <v>0</v>
      </c>
      <c r="X13" s="932">
        <v>0</v>
      </c>
      <c r="Y13" s="932">
        <v>0</v>
      </c>
      <c r="Z13" s="932">
        <v>0</v>
      </c>
      <c r="AA13" s="932">
        <v>0</v>
      </c>
      <c r="AB13" s="933">
        <v>0</v>
      </c>
      <c r="AD13" s="935">
        <f t="shared" si="0"/>
        <v>0</v>
      </c>
      <c r="AE13" s="936">
        <f t="shared" si="1"/>
        <v>0</v>
      </c>
      <c r="AF13" s="936">
        <f t="shared" si="2"/>
        <v>0</v>
      </c>
      <c r="AG13" s="936">
        <f t="shared" si="3"/>
        <v>0</v>
      </c>
      <c r="AH13" s="936">
        <f t="shared" si="4"/>
        <v>0</v>
      </c>
      <c r="AI13" s="936">
        <f t="shared" si="5"/>
        <v>0</v>
      </c>
      <c r="AJ13" s="936">
        <f t="shared" si="6"/>
        <v>0</v>
      </c>
      <c r="AK13" s="936">
        <f t="shared" si="7"/>
        <v>0</v>
      </c>
      <c r="AL13" s="936">
        <f t="shared" si="8"/>
        <v>0</v>
      </c>
      <c r="AM13" s="936">
        <f t="shared" si="9"/>
        <v>0</v>
      </c>
      <c r="AN13" s="936">
        <f t="shared" si="10"/>
        <v>0</v>
      </c>
      <c r="AO13" s="936">
        <f t="shared" si="11"/>
        <v>0</v>
      </c>
      <c r="AP13" s="936">
        <f t="shared" si="12"/>
        <v>0</v>
      </c>
      <c r="AQ13" s="936">
        <f t="shared" si="13"/>
        <v>0</v>
      </c>
      <c r="AR13" s="936">
        <f t="shared" si="14"/>
        <v>0</v>
      </c>
      <c r="AS13" s="936">
        <f t="shared" si="15"/>
        <v>0</v>
      </c>
      <c r="AT13" s="936">
        <f t="shared" si="16"/>
        <v>0</v>
      </c>
      <c r="AU13" s="936">
        <f t="shared" si="17"/>
        <v>0</v>
      </c>
      <c r="AV13" s="936">
        <f t="shared" si="18"/>
        <v>0</v>
      </c>
      <c r="AW13" s="936">
        <f t="shared" si="19"/>
        <v>0</v>
      </c>
      <c r="AX13" s="936">
        <f t="shared" si="20"/>
        <v>0</v>
      </c>
      <c r="AY13" s="936">
        <f t="shared" si="21"/>
        <v>0</v>
      </c>
      <c r="AZ13" s="936">
        <f t="shared" si="22"/>
        <v>0</v>
      </c>
      <c r="BA13" s="936">
        <f t="shared" si="23"/>
        <v>0</v>
      </c>
      <c r="BB13" s="937">
        <f t="shared" si="24"/>
        <v>0</v>
      </c>
      <c r="BC13" s="938"/>
    </row>
    <row r="14" spans="2:55" s="934" customFormat="1" ht="15">
      <c r="B14" s="909">
        <v>2023</v>
      </c>
      <c r="C14" s="1218"/>
      <c r="D14" s="932">
        <v>0</v>
      </c>
      <c r="E14" s="932">
        <v>0</v>
      </c>
      <c r="F14" s="932">
        <v>0</v>
      </c>
      <c r="G14" s="932">
        <v>0</v>
      </c>
      <c r="H14" s="932">
        <v>0</v>
      </c>
      <c r="I14" s="932">
        <v>0</v>
      </c>
      <c r="J14" s="932">
        <v>0</v>
      </c>
      <c r="K14" s="932">
        <v>0</v>
      </c>
      <c r="L14" s="932">
        <v>0</v>
      </c>
      <c r="M14" s="932">
        <v>0</v>
      </c>
      <c r="N14" s="932">
        <v>0</v>
      </c>
      <c r="O14" s="932">
        <v>0</v>
      </c>
      <c r="P14" s="932">
        <v>0</v>
      </c>
      <c r="Q14" s="932">
        <v>0</v>
      </c>
      <c r="R14" s="932">
        <v>0</v>
      </c>
      <c r="S14" s="932">
        <v>0</v>
      </c>
      <c r="T14" s="932">
        <v>0</v>
      </c>
      <c r="U14" s="932">
        <v>0</v>
      </c>
      <c r="V14" s="932">
        <v>0</v>
      </c>
      <c r="W14" s="932">
        <v>0</v>
      </c>
      <c r="X14" s="932">
        <v>0</v>
      </c>
      <c r="Y14" s="932">
        <v>0</v>
      </c>
      <c r="Z14" s="932">
        <v>0</v>
      </c>
      <c r="AA14" s="932">
        <v>0</v>
      </c>
      <c r="AB14" s="933">
        <v>0</v>
      </c>
      <c r="AD14" s="935">
        <f t="shared" si="0"/>
        <v>0</v>
      </c>
      <c r="AE14" s="936">
        <f t="shared" si="1"/>
        <v>0</v>
      </c>
      <c r="AF14" s="936">
        <f t="shared" si="2"/>
        <v>0</v>
      </c>
      <c r="AG14" s="936">
        <f t="shared" si="3"/>
        <v>0</v>
      </c>
      <c r="AH14" s="936">
        <f t="shared" si="4"/>
        <v>0</v>
      </c>
      <c r="AI14" s="936">
        <f t="shared" si="5"/>
        <v>0</v>
      </c>
      <c r="AJ14" s="936">
        <f t="shared" si="6"/>
        <v>0</v>
      </c>
      <c r="AK14" s="936">
        <f t="shared" si="7"/>
        <v>0</v>
      </c>
      <c r="AL14" s="936">
        <f t="shared" si="8"/>
        <v>0</v>
      </c>
      <c r="AM14" s="936">
        <f t="shared" si="9"/>
        <v>0</v>
      </c>
      <c r="AN14" s="936">
        <f t="shared" si="10"/>
        <v>0</v>
      </c>
      <c r="AO14" s="936">
        <f t="shared" si="11"/>
        <v>0</v>
      </c>
      <c r="AP14" s="936">
        <f t="shared" si="12"/>
        <v>0</v>
      </c>
      <c r="AQ14" s="936">
        <f t="shared" si="13"/>
        <v>0</v>
      </c>
      <c r="AR14" s="936">
        <f t="shared" si="14"/>
        <v>0</v>
      </c>
      <c r="AS14" s="936">
        <f t="shared" si="15"/>
        <v>0</v>
      </c>
      <c r="AT14" s="936">
        <f t="shared" si="16"/>
        <v>0</v>
      </c>
      <c r="AU14" s="936">
        <f t="shared" si="17"/>
        <v>0</v>
      </c>
      <c r="AV14" s="936">
        <f t="shared" si="18"/>
        <v>0</v>
      </c>
      <c r="AW14" s="936">
        <f t="shared" si="19"/>
        <v>0</v>
      </c>
      <c r="AX14" s="936">
        <f t="shared" si="20"/>
        <v>0</v>
      </c>
      <c r="AY14" s="936">
        <f t="shared" si="21"/>
        <v>0</v>
      </c>
      <c r="AZ14" s="936">
        <f t="shared" si="22"/>
        <v>0</v>
      </c>
      <c r="BA14" s="936">
        <f t="shared" si="23"/>
        <v>0</v>
      </c>
      <c r="BB14" s="937">
        <f t="shared" si="24"/>
        <v>0</v>
      </c>
      <c r="BC14" s="938"/>
    </row>
    <row r="15" spans="2:55" s="934" customFormat="1" ht="15">
      <c r="B15" s="909">
        <v>2024</v>
      </c>
      <c r="C15" s="1218" t="s">
        <v>803</v>
      </c>
      <c r="D15" s="932">
        <v>0</v>
      </c>
      <c r="E15" s="932">
        <v>0</v>
      </c>
      <c r="F15" s="932">
        <v>0</v>
      </c>
      <c r="G15" s="932">
        <v>0</v>
      </c>
      <c r="H15" s="932">
        <v>0</v>
      </c>
      <c r="I15" s="932">
        <v>0</v>
      </c>
      <c r="J15" s="932">
        <v>0</v>
      </c>
      <c r="K15" s="932">
        <v>0</v>
      </c>
      <c r="L15" s="932">
        <v>0</v>
      </c>
      <c r="M15" s="932">
        <v>0</v>
      </c>
      <c r="N15" s="932">
        <v>0</v>
      </c>
      <c r="O15" s="932">
        <v>0</v>
      </c>
      <c r="P15" s="932">
        <v>0</v>
      </c>
      <c r="Q15" s="932">
        <v>0</v>
      </c>
      <c r="R15" s="932">
        <v>0</v>
      </c>
      <c r="S15" s="932">
        <v>0</v>
      </c>
      <c r="T15" s="932">
        <v>0</v>
      </c>
      <c r="U15" s="932">
        <v>0</v>
      </c>
      <c r="V15" s="932">
        <v>0</v>
      </c>
      <c r="W15" s="932">
        <v>0</v>
      </c>
      <c r="X15" s="932">
        <v>0</v>
      </c>
      <c r="Y15" s="932">
        <v>0</v>
      </c>
      <c r="Z15" s="932">
        <v>0</v>
      </c>
      <c r="AA15" s="932">
        <v>0</v>
      </c>
      <c r="AB15" s="933">
        <v>0</v>
      </c>
      <c r="AD15" s="935">
        <f t="shared" si="0"/>
        <v>0</v>
      </c>
      <c r="AE15" s="936">
        <f t="shared" si="1"/>
        <v>0</v>
      </c>
      <c r="AF15" s="936">
        <f t="shared" si="2"/>
        <v>0</v>
      </c>
      <c r="AG15" s="936">
        <f t="shared" si="3"/>
        <v>0</v>
      </c>
      <c r="AH15" s="936">
        <f t="shared" si="4"/>
        <v>0</v>
      </c>
      <c r="AI15" s="936">
        <f t="shared" si="5"/>
        <v>0</v>
      </c>
      <c r="AJ15" s="936">
        <f t="shared" si="6"/>
        <v>0</v>
      </c>
      <c r="AK15" s="936">
        <f t="shared" si="7"/>
        <v>0</v>
      </c>
      <c r="AL15" s="936">
        <f t="shared" si="8"/>
        <v>0</v>
      </c>
      <c r="AM15" s="936">
        <f t="shared" si="9"/>
        <v>0</v>
      </c>
      <c r="AN15" s="936">
        <f t="shared" si="10"/>
        <v>0</v>
      </c>
      <c r="AO15" s="936">
        <f t="shared" si="11"/>
        <v>0</v>
      </c>
      <c r="AP15" s="936">
        <f t="shared" si="12"/>
        <v>0</v>
      </c>
      <c r="AQ15" s="936">
        <f t="shared" si="13"/>
        <v>0</v>
      </c>
      <c r="AR15" s="936">
        <f t="shared" si="14"/>
        <v>0</v>
      </c>
      <c r="AS15" s="936">
        <f t="shared" si="15"/>
        <v>0</v>
      </c>
      <c r="AT15" s="936">
        <f t="shared" si="16"/>
        <v>0</v>
      </c>
      <c r="AU15" s="936">
        <f t="shared" si="17"/>
        <v>0</v>
      </c>
      <c r="AV15" s="936">
        <f t="shared" si="18"/>
        <v>0</v>
      </c>
      <c r="AW15" s="936">
        <f t="shared" si="19"/>
        <v>0</v>
      </c>
      <c r="AX15" s="936">
        <f t="shared" si="20"/>
        <v>0</v>
      </c>
      <c r="AY15" s="936">
        <f t="shared" si="21"/>
        <v>0</v>
      </c>
      <c r="AZ15" s="936">
        <f t="shared" si="22"/>
        <v>0</v>
      </c>
      <c r="BA15" s="936">
        <f t="shared" si="23"/>
        <v>0</v>
      </c>
      <c r="BB15" s="937">
        <f t="shared" si="24"/>
        <v>0</v>
      </c>
      <c r="BC15" s="938"/>
    </row>
    <row r="16" spans="2:55" s="934" customFormat="1" ht="15">
      <c r="B16" s="909">
        <v>2025</v>
      </c>
      <c r="C16" s="1218" t="s">
        <v>804</v>
      </c>
      <c r="D16" s="932">
        <v>0</v>
      </c>
      <c r="E16" s="932">
        <v>0</v>
      </c>
      <c r="F16" s="932">
        <v>0</v>
      </c>
      <c r="G16" s="932">
        <v>0</v>
      </c>
      <c r="H16" s="932">
        <v>0</v>
      </c>
      <c r="I16" s="932">
        <v>0</v>
      </c>
      <c r="J16" s="932">
        <v>0</v>
      </c>
      <c r="K16" s="932">
        <v>0</v>
      </c>
      <c r="L16" s="932">
        <v>0</v>
      </c>
      <c r="M16" s="932">
        <v>0</v>
      </c>
      <c r="N16" s="932">
        <v>0</v>
      </c>
      <c r="O16" s="932">
        <v>0</v>
      </c>
      <c r="P16" s="932">
        <v>0</v>
      </c>
      <c r="Q16" s="932">
        <v>0</v>
      </c>
      <c r="R16" s="932">
        <v>0</v>
      </c>
      <c r="S16" s="932">
        <v>0</v>
      </c>
      <c r="T16" s="932">
        <v>0</v>
      </c>
      <c r="U16" s="932">
        <v>0</v>
      </c>
      <c r="V16" s="932">
        <v>0</v>
      </c>
      <c r="W16" s="932">
        <v>0</v>
      </c>
      <c r="X16" s="932">
        <v>0</v>
      </c>
      <c r="Y16" s="932">
        <v>0</v>
      </c>
      <c r="Z16" s="932">
        <v>0</v>
      </c>
      <c r="AA16" s="932">
        <v>0</v>
      </c>
      <c r="AB16" s="933">
        <v>0</v>
      </c>
      <c r="AD16" s="935">
        <f t="shared" si="0"/>
        <v>0</v>
      </c>
      <c r="AE16" s="936">
        <f t="shared" si="1"/>
        <v>0</v>
      </c>
      <c r="AF16" s="936">
        <f t="shared" si="2"/>
        <v>0</v>
      </c>
      <c r="AG16" s="936">
        <f t="shared" si="3"/>
        <v>0</v>
      </c>
      <c r="AH16" s="936">
        <f t="shared" si="4"/>
        <v>0</v>
      </c>
      <c r="AI16" s="936">
        <f t="shared" si="5"/>
        <v>0</v>
      </c>
      <c r="AJ16" s="936">
        <f t="shared" si="6"/>
        <v>0</v>
      </c>
      <c r="AK16" s="936">
        <f t="shared" si="7"/>
        <v>0</v>
      </c>
      <c r="AL16" s="936">
        <f t="shared" si="8"/>
        <v>0</v>
      </c>
      <c r="AM16" s="936">
        <f t="shared" si="9"/>
        <v>0</v>
      </c>
      <c r="AN16" s="936">
        <f t="shared" si="10"/>
        <v>0</v>
      </c>
      <c r="AO16" s="936">
        <f t="shared" si="11"/>
        <v>0</v>
      </c>
      <c r="AP16" s="936">
        <f t="shared" si="12"/>
        <v>0</v>
      </c>
      <c r="AQ16" s="936">
        <f t="shared" si="13"/>
        <v>0</v>
      </c>
      <c r="AR16" s="936">
        <f t="shared" si="14"/>
        <v>0</v>
      </c>
      <c r="AS16" s="936">
        <f t="shared" si="15"/>
        <v>0</v>
      </c>
      <c r="AT16" s="936">
        <f t="shared" si="16"/>
        <v>0</v>
      </c>
      <c r="AU16" s="936">
        <f t="shared" si="17"/>
        <v>0</v>
      </c>
      <c r="AV16" s="936">
        <f t="shared" si="18"/>
        <v>0</v>
      </c>
      <c r="AW16" s="936">
        <f t="shared" si="19"/>
        <v>0</v>
      </c>
      <c r="AX16" s="936">
        <f t="shared" si="20"/>
        <v>0</v>
      </c>
      <c r="AY16" s="936">
        <f t="shared" si="21"/>
        <v>0</v>
      </c>
      <c r="AZ16" s="936">
        <f t="shared" si="22"/>
        <v>0</v>
      </c>
      <c r="BA16" s="936">
        <f t="shared" si="23"/>
        <v>0</v>
      </c>
      <c r="BB16" s="937">
        <f t="shared" si="24"/>
        <v>0</v>
      </c>
      <c r="BC16" s="938"/>
    </row>
    <row r="17" spans="2:55" s="934" customFormat="1" ht="15">
      <c r="B17" s="909">
        <v>2026</v>
      </c>
      <c r="C17" s="1218" t="s">
        <v>805</v>
      </c>
      <c r="D17" s="932">
        <v>0</v>
      </c>
      <c r="E17" s="932">
        <v>0</v>
      </c>
      <c r="F17" s="932">
        <v>0</v>
      </c>
      <c r="G17" s="932">
        <v>0</v>
      </c>
      <c r="H17" s="932">
        <v>0</v>
      </c>
      <c r="I17" s="932">
        <v>0</v>
      </c>
      <c r="J17" s="932">
        <v>0</v>
      </c>
      <c r="K17" s="932">
        <v>0</v>
      </c>
      <c r="L17" s="932">
        <v>0</v>
      </c>
      <c r="M17" s="932">
        <v>0</v>
      </c>
      <c r="N17" s="932">
        <v>0</v>
      </c>
      <c r="O17" s="932">
        <v>0</v>
      </c>
      <c r="P17" s="932">
        <v>0</v>
      </c>
      <c r="Q17" s="932">
        <v>0</v>
      </c>
      <c r="R17" s="932">
        <v>0</v>
      </c>
      <c r="S17" s="932">
        <v>0</v>
      </c>
      <c r="T17" s="932">
        <v>0</v>
      </c>
      <c r="U17" s="932">
        <v>0</v>
      </c>
      <c r="V17" s="932">
        <v>0</v>
      </c>
      <c r="W17" s="932">
        <v>0</v>
      </c>
      <c r="X17" s="932">
        <v>0</v>
      </c>
      <c r="Y17" s="932">
        <v>0</v>
      </c>
      <c r="Z17" s="932">
        <v>0</v>
      </c>
      <c r="AA17" s="932">
        <v>0</v>
      </c>
      <c r="AB17" s="933">
        <v>0</v>
      </c>
      <c r="AD17" s="935">
        <f t="shared" si="0"/>
        <v>0</v>
      </c>
      <c r="AE17" s="936">
        <f t="shared" si="1"/>
        <v>0</v>
      </c>
      <c r="AF17" s="936">
        <f t="shared" si="2"/>
        <v>0</v>
      </c>
      <c r="AG17" s="936">
        <f t="shared" si="3"/>
        <v>0</v>
      </c>
      <c r="AH17" s="936">
        <f t="shared" si="4"/>
        <v>0</v>
      </c>
      <c r="AI17" s="936">
        <f t="shared" si="5"/>
        <v>0</v>
      </c>
      <c r="AJ17" s="936">
        <f t="shared" si="6"/>
        <v>0</v>
      </c>
      <c r="AK17" s="936">
        <f t="shared" si="7"/>
        <v>0</v>
      </c>
      <c r="AL17" s="936">
        <f t="shared" si="8"/>
        <v>0</v>
      </c>
      <c r="AM17" s="936">
        <f t="shared" si="9"/>
        <v>0</v>
      </c>
      <c r="AN17" s="936">
        <f t="shared" si="10"/>
        <v>0</v>
      </c>
      <c r="AO17" s="936">
        <f t="shared" si="11"/>
        <v>0</v>
      </c>
      <c r="AP17" s="936">
        <f t="shared" si="12"/>
        <v>0</v>
      </c>
      <c r="AQ17" s="936">
        <f t="shared" si="13"/>
        <v>0</v>
      </c>
      <c r="AR17" s="936">
        <f t="shared" si="14"/>
        <v>0</v>
      </c>
      <c r="AS17" s="936">
        <f t="shared" si="15"/>
        <v>0</v>
      </c>
      <c r="AT17" s="936">
        <f t="shared" si="16"/>
        <v>0</v>
      </c>
      <c r="AU17" s="936">
        <f t="shared" si="17"/>
        <v>0</v>
      </c>
      <c r="AV17" s="936">
        <f t="shared" si="18"/>
        <v>0</v>
      </c>
      <c r="AW17" s="936">
        <f t="shared" si="19"/>
        <v>0</v>
      </c>
      <c r="AX17" s="936">
        <f t="shared" si="20"/>
        <v>0</v>
      </c>
      <c r="AY17" s="936">
        <f t="shared" si="21"/>
        <v>0</v>
      </c>
      <c r="AZ17" s="936">
        <f t="shared" si="22"/>
        <v>0</v>
      </c>
      <c r="BA17" s="936">
        <f t="shared" si="23"/>
        <v>0</v>
      </c>
      <c r="BB17" s="937">
        <f t="shared" si="24"/>
        <v>0</v>
      </c>
      <c r="BC17" s="938"/>
    </row>
    <row r="18" spans="2:55" s="934" customFormat="1" ht="15">
      <c r="B18" s="909">
        <v>2027</v>
      </c>
      <c r="C18" s="1218" t="s">
        <v>806</v>
      </c>
      <c r="D18" s="932">
        <v>0</v>
      </c>
      <c r="E18" s="932">
        <v>0</v>
      </c>
      <c r="F18" s="932">
        <v>0</v>
      </c>
      <c r="G18" s="932">
        <v>0</v>
      </c>
      <c r="H18" s="932">
        <v>0</v>
      </c>
      <c r="I18" s="932">
        <v>0</v>
      </c>
      <c r="J18" s="932">
        <v>0</v>
      </c>
      <c r="K18" s="932">
        <v>0</v>
      </c>
      <c r="L18" s="932">
        <v>0</v>
      </c>
      <c r="M18" s="932">
        <v>0</v>
      </c>
      <c r="N18" s="932">
        <v>0</v>
      </c>
      <c r="O18" s="932">
        <v>0</v>
      </c>
      <c r="P18" s="932">
        <v>0</v>
      </c>
      <c r="Q18" s="932">
        <v>0</v>
      </c>
      <c r="R18" s="932">
        <v>0</v>
      </c>
      <c r="S18" s="932">
        <v>0</v>
      </c>
      <c r="T18" s="932">
        <v>0</v>
      </c>
      <c r="U18" s="932">
        <v>0</v>
      </c>
      <c r="V18" s="932">
        <v>0</v>
      </c>
      <c r="W18" s="932">
        <v>0</v>
      </c>
      <c r="X18" s="932">
        <v>0</v>
      </c>
      <c r="Y18" s="932">
        <v>0</v>
      </c>
      <c r="Z18" s="932">
        <v>0</v>
      </c>
      <c r="AA18" s="932">
        <v>0</v>
      </c>
      <c r="AB18" s="933">
        <v>0</v>
      </c>
      <c r="AD18" s="935">
        <f t="shared" si="0"/>
        <v>0</v>
      </c>
      <c r="AE18" s="936">
        <f t="shared" si="1"/>
        <v>0</v>
      </c>
      <c r="AF18" s="936">
        <f t="shared" si="2"/>
        <v>0</v>
      </c>
      <c r="AG18" s="936">
        <f t="shared" si="3"/>
        <v>0</v>
      </c>
      <c r="AH18" s="936">
        <f t="shared" si="4"/>
        <v>0</v>
      </c>
      <c r="AI18" s="936">
        <f t="shared" si="5"/>
        <v>0</v>
      </c>
      <c r="AJ18" s="936">
        <f t="shared" si="6"/>
        <v>0</v>
      </c>
      <c r="AK18" s="936">
        <f t="shared" si="7"/>
        <v>0</v>
      </c>
      <c r="AL18" s="936">
        <f t="shared" si="8"/>
        <v>0</v>
      </c>
      <c r="AM18" s="936">
        <f t="shared" si="9"/>
        <v>0</v>
      </c>
      <c r="AN18" s="936">
        <f t="shared" si="10"/>
        <v>0</v>
      </c>
      <c r="AO18" s="936">
        <f t="shared" si="11"/>
        <v>0</v>
      </c>
      <c r="AP18" s="936">
        <f t="shared" si="12"/>
        <v>0</v>
      </c>
      <c r="AQ18" s="936">
        <f t="shared" si="13"/>
        <v>0</v>
      </c>
      <c r="AR18" s="936">
        <f t="shared" si="14"/>
        <v>0</v>
      </c>
      <c r="AS18" s="936">
        <f t="shared" si="15"/>
        <v>0</v>
      </c>
      <c r="AT18" s="936">
        <f t="shared" si="16"/>
        <v>0</v>
      </c>
      <c r="AU18" s="936">
        <f t="shared" si="17"/>
        <v>0</v>
      </c>
      <c r="AV18" s="936">
        <f t="shared" si="18"/>
        <v>0</v>
      </c>
      <c r="AW18" s="936">
        <f t="shared" si="19"/>
        <v>0</v>
      </c>
      <c r="AX18" s="936">
        <f t="shared" si="20"/>
        <v>0</v>
      </c>
      <c r="AY18" s="936">
        <f t="shared" si="21"/>
        <v>0</v>
      </c>
      <c r="AZ18" s="936">
        <f t="shared" si="22"/>
        <v>0</v>
      </c>
      <c r="BA18" s="936">
        <f t="shared" si="23"/>
        <v>0</v>
      </c>
      <c r="BB18" s="937">
        <f t="shared" si="24"/>
        <v>0</v>
      </c>
      <c r="BC18" s="938"/>
    </row>
    <row r="19" spans="2:55" s="934" customFormat="1" ht="15">
      <c r="B19" s="909">
        <v>2028</v>
      </c>
      <c r="C19" s="1218" t="s">
        <v>807</v>
      </c>
      <c r="D19" s="932">
        <v>0</v>
      </c>
      <c r="E19" s="932">
        <v>0</v>
      </c>
      <c r="F19" s="932">
        <v>0</v>
      </c>
      <c r="G19" s="932">
        <v>0</v>
      </c>
      <c r="H19" s="932">
        <v>0</v>
      </c>
      <c r="I19" s="932">
        <v>0</v>
      </c>
      <c r="J19" s="932">
        <v>0</v>
      </c>
      <c r="K19" s="932">
        <v>0</v>
      </c>
      <c r="L19" s="932">
        <v>0</v>
      </c>
      <c r="M19" s="932">
        <v>0</v>
      </c>
      <c r="N19" s="932">
        <v>0</v>
      </c>
      <c r="O19" s="932">
        <v>0</v>
      </c>
      <c r="P19" s="932">
        <v>0</v>
      </c>
      <c r="Q19" s="932">
        <v>0</v>
      </c>
      <c r="R19" s="932">
        <v>0</v>
      </c>
      <c r="S19" s="932">
        <v>0</v>
      </c>
      <c r="T19" s="932">
        <v>0</v>
      </c>
      <c r="U19" s="932">
        <v>0</v>
      </c>
      <c r="V19" s="932">
        <v>0</v>
      </c>
      <c r="W19" s="932">
        <v>0</v>
      </c>
      <c r="X19" s="932">
        <v>0</v>
      </c>
      <c r="Y19" s="932">
        <v>0</v>
      </c>
      <c r="Z19" s="932">
        <v>0</v>
      </c>
      <c r="AA19" s="932">
        <v>0</v>
      </c>
      <c r="AB19" s="933">
        <v>0</v>
      </c>
      <c r="AD19" s="935">
        <f t="shared" si="0"/>
        <v>0</v>
      </c>
      <c r="AE19" s="936">
        <f t="shared" si="1"/>
        <v>0</v>
      </c>
      <c r="AF19" s="936">
        <f t="shared" si="2"/>
        <v>0</v>
      </c>
      <c r="AG19" s="936">
        <f t="shared" si="3"/>
        <v>0</v>
      </c>
      <c r="AH19" s="936">
        <f t="shared" si="4"/>
        <v>0</v>
      </c>
      <c r="AI19" s="936">
        <f t="shared" si="5"/>
        <v>0</v>
      </c>
      <c r="AJ19" s="936">
        <f t="shared" si="6"/>
        <v>0</v>
      </c>
      <c r="AK19" s="936">
        <f t="shared" si="7"/>
        <v>0</v>
      </c>
      <c r="AL19" s="936">
        <f t="shared" si="8"/>
        <v>0</v>
      </c>
      <c r="AM19" s="936">
        <f t="shared" si="9"/>
        <v>0</v>
      </c>
      <c r="AN19" s="936">
        <f t="shared" si="10"/>
        <v>0</v>
      </c>
      <c r="AO19" s="936">
        <f t="shared" si="11"/>
        <v>0</v>
      </c>
      <c r="AP19" s="936">
        <f t="shared" si="12"/>
        <v>0</v>
      </c>
      <c r="AQ19" s="936">
        <f t="shared" si="13"/>
        <v>0</v>
      </c>
      <c r="AR19" s="936">
        <f t="shared" si="14"/>
        <v>0</v>
      </c>
      <c r="AS19" s="936">
        <f t="shared" si="15"/>
        <v>0</v>
      </c>
      <c r="AT19" s="936">
        <f t="shared" si="16"/>
        <v>0</v>
      </c>
      <c r="AU19" s="936">
        <f t="shared" si="17"/>
        <v>0</v>
      </c>
      <c r="AV19" s="936">
        <f t="shared" si="18"/>
        <v>0</v>
      </c>
      <c r="AW19" s="936">
        <f t="shared" si="19"/>
        <v>0</v>
      </c>
      <c r="AX19" s="936">
        <f t="shared" si="20"/>
        <v>0</v>
      </c>
      <c r="AY19" s="936">
        <f t="shared" si="21"/>
        <v>0</v>
      </c>
      <c r="AZ19" s="936">
        <f t="shared" si="22"/>
        <v>0</v>
      </c>
      <c r="BA19" s="936">
        <f t="shared" si="23"/>
        <v>0</v>
      </c>
      <c r="BB19" s="937">
        <f t="shared" si="24"/>
        <v>0</v>
      </c>
      <c r="BC19" s="938"/>
    </row>
    <row r="20" spans="2:55" s="934" customFormat="1" ht="15">
      <c r="B20" s="909">
        <v>2029</v>
      </c>
      <c r="C20" s="1218" t="s">
        <v>808</v>
      </c>
      <c r="D20" s="932">
        <v>14.744287661958815</v>
      </c>
      <c r="E20" s="932">
        <v>14.744287661958815</v>
      </c>
      <c r="F20" s="932">
        <v>14.744287661958815</v>
      </c>
      <c r="G20" s="932">
        <v>14.744287661958815</v>
      </c>
      <c r="H20" s="932">
        <v>14.744287661958815</v>
      </c>
      <c r="I20" s="932">
        <v>14.744287661958815</v>
      </c>
      <c r="J20" s="932">
        <v>14.744287661958815</v>
      </c>
      <c r="K20" s="932">
        <v>14.744287661958815</v>
      </c>
      <c r="L20" s="932">
        <v>14.744287661958815</v>
      </c>
      <c r="M20" s="932">
        <v>14.744287661958815</v>
      </c>
      <c r="N20" s="932">
        <v>14.744287661958815</v>
      </c>
      <c r="O20" s="932">
        <v>14.744287661958815</v>
      </c>
      <c r="P20" s="932">
        <v>14.744287661958815</v>
      </c>
      <c r="Q20" s="932">
        <v>14.744287661958815</v>
      </c>
      <c r="R20" s="932">
        <v>14.744287661958815</v>
      </c>
      <c r="S20" s="932">
        <v>14.744287661958815</v>
      </c>
      <c r="T20" s="932">
        <v>14.744287661958815</v>
      </c>
      <c r="U20" s="932">
        <v>14.744287661958815</v>
      </c>
      <c r="V20" s="932">
        <v>14.744287661958815</v>
      </c>
      <c r="W20" s="932">
        <v>14.744287661958815</v>
      </c>
      <c r="X20" s="932">
        <v>14.744287661958815</v>
      </c>
      <c r="Y20" s="932">
        <v>14.744287661958815</v>
      </c>
      <c r="Z20" s="932">
        <v>14.744287661958815</v>
      </c>
      <c r="AA20" s="932">
        <v>14.744287661958815</v>
      </c>
      <c r="AB20" s="933">
        <v>14.744287661958815</v>
      </c>
      <c r="AD20" s="935">
        <f t="shared" si="0"/>
        <v>22.187344859275065</v>
      </c>
      <c r="AE20" s="936">
        <f t="shared" si="1"/>
        <v>22.187344859275065</v>
      </c>
      <c r="AF20" s="936">
        <f t="shared" si="2"/>
        <v>22.187344859275065</v>
      </c>
      <c r="AG20" s="936">
        <f t="shared" si="3"/>
        <v>22.187344859275065</v>
      </c>
      <c r="AH20" s="936">
        <f t="shared" si="4"/>
        <v>22.187344859275065</v>
      </c>
      <c r="AI20" s="936">
        <f t="shared" si="5"/>
        <v>22.187344859275065</v>
      </c>
      <c r="AJ20" s="936">
        <f t="shared" si="6"/>
        <v>22.187344859275065</v>
      </c>
      <c r="AK20" s="936">
        <f t="shared" si="7"/>
        <v>22.187344859275065</v>
      </c>
      <c r="AL20" s="936">
        <f t="shared" si="8"/>
        <v>22.187344859275065</v>
      </c>
      <c r="AM20" s="936">
        <f t="shared" si="9"/>
        <v>22.187344859275065</v>
      </c>
      <c r="AN20" s="936">
        <f t="shared" si="10"/>
        <v>22.187344859275065</v>
      </c>
      <c r="AO20" s="936">
        <f t="shared" si="11"/>
        <v>22.187344859275065</v>
      </c>
      <c r="AP20" s="936">
        <f t="shared" si="12"/>
        <v>22.187344859275065</v>
      </c>
      <c r="AQ20" s="936">
        <f t="shared" si="13"/>
        <v>22.187344859275065</v>
      </c>
      <c r="AR20" s="936">
        <f t="shared" si="14"/>
        <v>22.187344859275065</v>
      </c>
      <c r="AS20" s="936">
        <f t="shared" si="15"/>
        <v>22.187344859275065</v>
      </c>
      <c r="AT20" s="936">
        <f t="shared" si="16"/>
        <v>22.187344859275065</v>
      </c>
      <c r="AU20" s="936">
        <f t="shared" si="17"/>
        <v>22.187344859275065</v>
      </c>
      <c r="AV20" s="936">
        <f t="shared" si="18"/>
        <v>22.187344859275065</v>
      </c>
      <c r="AW20" s="936">
        <f t="shared" si="19"/>
        <v>22.187344859275065</v>
      </c>
      <c r="AX20" s="936">
        <f t="shared" si="20"/>
        <v>22.187344859275065</v>
      </c>
      <c r="AY20" s="936">
        <f t="shared" si="21"/>
        <v>22.187344859275065</v>
      </c>
      <c r="AZ20" s="936">
        <f t="shared" si="22"/>
        <v>22.187344859275065</v>
      </c>
      <c r="BA20" s="936">
        <f t="shared" si="23"/>
        <v>22.187344859275065</v>
      </c>
      <c r="BB20" s="937">
        <f t="shared" si="24"/>
        <v>22.187344859275065</v>
      </c>
      <c r="BC20" s="938"/>
    </row>
    <row r="21" spans="2:55" s="934" customFormat="1" ht="15">
      <c r="B21" s="909">
        <v>2030</v>
      </c>
      <c r="C21" s="1218" t="s">
        <v>809</v>
      </c>
      <c r="D21" s="932">
        <v>9.3541339828212973</v>
      </c>
      <c r="E21" s="932">
        <v>23.385334957053242</v>
      </c>
      <c r="F21" s="932">
        <v>23.385334957053242</v>
      </c>
      <c r="G21" s="932">
        <v>23.385334957053242</v>
      </c>
      <c r="H21" s="932">
        <v>23.385334957053242</v>
      </c>
      <c r="I21" s="932">
        <v>23.385334957053242</v>
      </c>
      <c r="J21" s="932">
        <v>23.385334957053242</v>
      </c>
      <c r="K21" s="932">
        <v>23.385334957053242</v>
      </c>
      <c r="L21" s="932">
        <v>23.385334957053242</v>
      </c>
      <c r="M21" s="932">
        <v>23.385334957053242</v>
      </c>
      <c r="N21" s="932">
        <v>23.385334957053242</v>
      </c>
      <c r="O21" s="932">
        <v>23.385334957053242</v>
      </c>
      <c r="P21" s="932">
        <v>23.385334957053242</v>
      </c>
      <c r="Q21" s="932">
        <v>23.385334957053242</v>
      </c>
      <c r="R21" s="932">
        <v>23.385334957053242</v>
      </c>
      <c r="S21" s="932">
        <v>23.385334957053242</v>
      </c>
      <c r="T21" s="932">
        <v>23.385334957053242</v>
      </c>
      <c r="U21" s="932">
        <v>23.385334957053242</v>
      </c>
      <c r="V21" s="932">
        <v>23.385334957053242</v>
      </c>
      <c r="W21" s="932">
        <v>23.385334957053242</v>
      </c>
      <c r="X21" s="932">
        <v>23.385334957053242</v>
      </c>
      <c r="Y21" s="932">
        <v>23.385334957053242</v>
      </c>
      <c r="Z21" s="932">
        <v>23.385334957053242</v>
      </c>
      <c r="AA21" s="932">
        <v>23.385334957053242</v>
      </c>
      <c r="AB21" s="933">
        <v>23.385334957053242</v>
      </c>
      <c r="AD21" s="935">
        <f t="shared" si="0"/>
        <v>14.076190135125703</v>
      </c>
      <c r="AE21" s="936">
        <f t="shared" si="1"/>
        <v>35.190475337814256</v>
      </c>
      <c r="AF21" s="936">
        <f t="shared" si="2"/>
        <v>35.190475337814256</v>
      </c>
      <c r="AG21" s="936">
        <f t="shared" si="3"/>
        <v>35.190475337814256</v>
      </c>
      <c r="AH21" s="936">
        <f t="shared" si="4"/>
        <v>35.190475337814256</v>
      </c>
      <c r="AI21" s="936">
        <f t="shared" si="5"/>
        <v>35.190475337814256</v>
      </c>
      <c r="AJ21" s="936">
        <f t="shared" si="6"/>
        <v>35.190475337814256</v>
      </c>
      <c r="AK21" s="936">
        <f t="shared" si="7"/>
        <v>35.190475337814256</v>
      </c>
      <c r="AL21" s="936">
        <f t="shared" si="8"/>
        <v>35.190475337814256</v>
      </c>
      <c r="AM21" s="936">
        <f t="shared" si="9"/>
        <v>35.190475337814256</v>
      </c>
      <c r="AN21" s="936">
        <f t="shared" si="10"/>
        <v>35.190475337814256</v>
      </c>
      <c r="AO21" s="936">
        <f t="shared" si="11"/>
        <v>35.190475337814256</v>
      </c>
      <c r="AP21" s="936">
        <f t="shared" si="12"/>
        <v>35.190475337814256</v>
      </c>
      <c r="AQ21" s="936">
        <f t="shared" si="13"/>
        <v>35.190475337814256</v>
      </c>
      <c r="AR21" s="936">
        <f t="shared" si="14"/>
        <v>35.190475337814256</v>
      </c>
      <c r="AS21" s="936">
        <f t="shared" si="15"/>
        <v>35.190475337814256</v>
      </c>
      <c r="AT21" s="936">
        <f t="shared" si="16"/>
        <v>35.190475337814256</v>
      </c>
      <c r="AU21" s="936">
        <f t="shared" si="17"/>
        <v>35.190475337814256</v>
      </c>
      <c r="AV21" s="936">
        <f t="shared" si="18"/>
        <v>35.190475337814256</v>
      </c>
      <c r="AW21" s="936">
        <f t="shared" si="19"/>
        <v>35.190475337814256</v>
      </c>
      <c r="AX21" s="936">
        <f t="shared" si="20"/>
        <v>35.190475337814256</v>
      </c>
      <c r="AY21" s="936">
        <f t="shared" si="21"/>
        <v>35.190475337814256</v>
      </c>
      <c r="AZ21" s="936">
        <f t="shared" si="22"/>
        <v>35.190475337814256</v>
      </c>
      <c r="BA21" s="936">
        <f t="shared" si="23"/>
        <v>35.190475337814256</v>
      </c>
      <c r="BB21" s="937">
        <f t="shared" si="24"/>
        <v>35.190475337814256</v>
      </c>
      <c r="BC21" s="938"/>
    </row>
    <row r="22" spans="2:55" s="934" customFormat="1" ht="15">
      <c r="B22" s="909">
        <v>2031</v>
      </c>
      <c r="C22" s="1218" t="s">
        <v>810</v>
      </c>
      <c r="D22" s="932">
        <v>10.047972676677009</v>
      </c>
      <c r="E22" s="932">
        <v>20.095945353354018</v>
      </c>
      <c r="F22" s="932">
        <v>35.167904368369527</v>
      </c>
      <c r="G22" s="932">
        <v>35.167904368369527</v>
      </c>
      <c r="H22" s="932">
        <v>35.167904368369527</v>
      </c>
      <c r="I22" s="932">
        <v>35.167904368369527</v>
      </c>
      <c r="J22" s="932">
        <v>35.167904368369527</v>
      </c>
      <c r="K22" s="932">
        <v>35.167904368369527</v>
      </c>
      <c r="L22" s="932">
        <v>35.167904368369527</v>
      </c>
      <c r="M22" s="932">
        <v>35.167904368369527</v>
      </c>
      <c r="N22" s="932">
        <v>35.167904368369527</v>
      </c>
      <c r="O22" s="932">
        <v>35.167904368369527</v>
      </c>
      <c r="P22" s="932">
        <v>35.167904368369527</v>
      </c>
      <c r="Q22" s="932">
        <v>35.167904368369527</v>
      </c>
      <c r="R22" s="932">
        <v>35.167904368369527</v>
      </c>
      <c r="S22" s="932">
        <v>35.167904368369527</v>
      </c>
      <c r="T22" s="932">
        <v>35.167904368369527</v>
      </c>
      <c r="U22" s="932">
        <v>35.167904368369527</v>
      </c>
      <c r="V22" s="932">
        <v>35.167904368369527</v>
      </c>
      <c r="W22" s="932">
        <v>35.167904368369527</v>
      </c>
      <c r="X22" s="932">
        <v>35.167904368369527</v>
      </c>
      <c r="Y22" s="932">
        <v>35.167904368369527</v>
      </c>
      <c r="Z22" s="932">
        <v>35.167904368369527</v>
      </c>
      <c r="AA22" s="932">
        <v>35.167904368369527</v>
      </c>
      <c r="AB22" s="933">
        <v>35.167904368369527</v>
      </c>
      <c r="AD22" s="935">
        <f t="shared" si="0"/>
        <v>15.120285226745779</v>
      </c>
      <c r="AE22" s="936">
        <f t="shared" si="1"/>
        <v>30.240570453491557</v>
      </c>
      <c r="AF22" s="936">
        <f t="shared" si="2"/>
        <v>52.920998293610225</v>
      </c>
      <c r="AG22" s="936">
        <f t="shared" si="3"/>
        <v>52.920998293610225</v>
      </c>
      <c r="AH22" s="936">
        <f t="shared" si="4"/>
        <v>52.920998293610225</v>
      </c>
      <c r="AI22" s="936">
        <f t="shared" si="5"/>
        <v>52.920998293610225</v>
      </c>
      <c r="AJ22" s="936">
        <f t="shared" si="6"/>
        <v>52.920998293610225</v>
      </c>
      <c r="AK22" s="936">
        <f t="shared" si="7"/>
        <v>52.920998293610225</v>
      </c>
      <c r="AL22" s="936">
        <f t="shared" si="8"/>
        <v>52.920998293610225</v>
      </c>
      <c r="AM22" s="936">
        <f t="shared" si="9"/>
        <v>52.920998293610225</v>
      </c>
      <c r="AN22" s="936">
        <f t="shared" si="10"/>
        <v>52.920998293610225</v>
      </c>
      <c r="AO22" s="936">
        <f t="shared" si="11"/>
        <v>52.920998293610225</v>
      </c>
      <c r="AP22" s="936">
        <f t="shared" si="12"/>
        <v>52.920998293610225</v>
      </c>
      <c r="AQ22" s="936">
        <f t="shared" si="13"/>
        <v>52.920998293610225</v>
      </c>
      <c r="AR22" s="936">
        <f t="shared" si="14"/>
        <v>52.920998293610225</v>
      </c>
      <c r="AS22" s="936">
        <f t="shared" si="15"/>
        <v>52.920998293610225</v>
      </c>
      <c r="AT22" s="936">
        <f t="shared" si="16"/>
        <v>52.920998293610225</v>
      </c>
      <c r="AU22" s="936">
        <f t="shared" si="17"/>
        <v>52.920998293610225</v>
      </c>
      <c r="AV22" s="936">
        <f t="shared" si="18"/>
        <v>52.920998293610225</v>
      </c>
      <c r="AW22" s="936">
        <f t="shared" si="19"/>
        <v>52.920998293610225</v>
      </c>
      <c r="AX22" s="936">
        <f t="shared" si="20"/>
        <v>52.920998293610225</v>
      </c>
      <c r="AY22" s="936">
        <f t="shared" si="21"/>
        <v>52.920998293610225</v>
      </c>
      <c r="AZ22" s="936">
        <f t="shared" si="22"/>
        <v>52.920998293610225</v>
      </c>
      <c r="BA22" s="936">
        <f t="shared" si="23"/>
        <v>52.920998293610225</v>
      </c>
      <c r="BB22" s="937">
        <f t="shared" si="24"/>
        <v>52.920998293610225</v>
      </c>
      <c r="BC22" s="938"/>
    </row>
    <row r="23" spans="2:55" s="934" customFormat="1" ht="15">
      <c r="B23" s="909">
        <v>2032</v>
      </c>
      <c r="C23" s="1218" t="s">
        <v>811</v>
      </c>
      <c r="D23" s="932">
        <v>10.675641123967834</v>
      </c>
      <c r="E23" s="932">
        <v>21.351282247935668</v>
      </c>
      <c r="F23" s="932">
        <v>32.0269233719035</v>
      </c>
      <c r="G23" s="932">
        <v>48.040385057855246</v>
      </c>
      <c r="H23" s="932">
        <v>48.040385057855246</v>
      </c>
      <c r="I23" s="932">
        <v>48.040385057855246</v>
      </c>
      <c r="J23" s="932">
        <v>48.040385057855246</v>
      </c>
      <c r="K23" s="932">
        <v>48.040385057855246</v>
      </c>
      <c r="L23" s="932">
        <v>48.040385057855246</v>
      </c>
      <c r="M23" s="932">
        <v>48.040385057855246</v>
      </c>
      <c r="N23" s="932">
        <v>48.040385057855246</v>
      </c>
      <c r="O23" s="932">
        <v>48.040385057855246</v>
      </c>
      <c r="P23" s="932">
        <v>48.040385057855246</v>
      </c>
      <c r="Q23" s="932">
        <v>48.040385057855246</v>
      </c>
      <c r="R23" s="932">
        <v>48.040385057855246</v>
      </c>
      <c r="S23" s="932">
        <v>48.040385057855246</v>
      </c>
      <c r="T23" s="932">
        <v>48.040385057855246</v>
      </c>
      <c r="U23" s="932">
        <v>48.040385057855246</v>
      </c>
      <c r="V23" s="932">
        <v>48.040385057855246</v>
      </c>
      <c r="W23" s="932">
        <v>48.040385057855246</v>
      </c>
      <c r="X23" s="932">
        <v>48.040385057855246</v>
      </c>
      <c r="Y23" s="932">
        <v>48.040385057855246</v>
      </c>
      <c r="Z23" s="932">
        <v>48.040385057855246</v>
      </c>
      <c r="AA23" s="932">
        <v>48.040385057855246</v>
      </c>
      <c r="AB23" s="933">
        <v>48.040385057855246</v>
      </c>
      <c r="AD23" s="935">
        <f t="shared" si="0"/>
        <v>16.064806699509631</v>
      </c>
      <c r="AE23" s="936">
        <f t="shared" si="1"/>
        <v>32.129613399019263</v>
      </c>
      <c r="AF23" s="936">
        <f t="shared" si="2"/>
        <v>48.194420098528894</v>
      </c>
      <c r="AG23" s="936">
        <f t="shared" si="3"/>
        <v>72.291630147793342</v>
      </c>
      <c r="AH23" s="936">
        <f t="shared" si="4"/>
        <v>72.291630147793342</v>
      </c>
      <c r="AI23" s="936">
        <f t="shared" si="5"/>
        <v>72.291630147793342</v>
      </c>
      <c r="AJ23" s="936">
        <f t="shared" si="6"/>
        <v>72.291630147793342</v>
      </c>
      <c r="AK23" s="936">
        <f t="shared" si="7"/>
        <v>72.291630147793342</v>
      </c>
      <c r="AL23" s="936">
        <f t="shared" si="8"/>
        <v>72.291630147793342</v>
      </c>
      <c r="AM23" s="936">
        <f t="shared" si="9"/>
        <v>72.291630147793342</v>
      </c>
      <c r="AN23" s="936">
        <f t="shared" si="10"/>
        <v>72.291630147793342</v>
      </c>
      <c r="AO23" s="936">
        <f t="shared" si="11"/>
        <v>72.291630147793342</v>
      </c>
      <c r="AP23" s="936">
        <f t="shared" si="12"/>
        <v>72.291630147793342</v>
      </c>
      <c r="AQ23" s="936">
        <f t="shared" si="13"/>
        <v>72.291630147793342</v>
      </c>
      <c r="AR23" s="936">
        <f t="shared" si="14"/>
        <v>72.291630147793342</v>
      </c>
      <c r="AS23" s="936">
        <f t="shared" si="15"/>
        <v>72.291630147793342</v>
      </c>
      <c r="AT23" s="936">
        <f t="shared" si="16"/>
        <v>72.291630147793342</v>
      </c>
      <c r="AU23" s="936">
        <f t="shared" si="17"/>
        <v>72.291630147793342</v>
      </c>
      <c r="AV23" s="936">
        <f t="shared" si="18"/>
        <v>72.291630147793342</v>
      </c>
      <c r="AW23" s="936">
        <f t="shared" si="19"/>
        <v>72.291630147793342</v>
      </c>
      <c r="AX23" s="936">
        <f t="shared" si="20"/>
        <v>72.291630147793342</v>
      </c>
      <c r="AY23" s="936">
        <f t="shared" si="21"/>
        <v>72.291630147793342</v>
      </c>
      <c r="AZ23" s="936">
        <f t="shared" si="22"/>
        <v>72.291630147793342</v>
      </c>
      <c r="BA23" s="936">
        <f t="shared" si="23"/>
        <v>72.291630147793342</v>
      </c>
      <c r="BB23" s="937">
        <f t="shared" si="24"/>
        <v>72.291630147793342</v>
      </c>
      <c r="BC23" s="938"/>
    </row>
    <row r="24" spans="2:55" s="934" customFormat="1" ht="15">
      <c r="B24" s="909">
        <v>2033</v>
      </c>
      <c r="C24" s="1218" t="s">
        <v>812</v>
      </c>
      <c r="D24" s="932">
        <v>5.2831756320728749</v>
      </c>
      <c r="E24" s="932">
        <v>15.849526896218626</v>
      </c>
      <c r="F24" s="932">
        <v>26.415878160364372</v>
      </c>
      <c r="G24" s="932">
        <v>36.982229424510123</v>
      </c>
      <c r="H24" s="932">
        <v>52.831756320728736</v>
      </c>
      <c r="I24" s="932">
        <v>52.831756320728736</v>
      </c>
      <c r="J24" s="932">
        <v>52.831756320728736</v>
      </c>
      <c r="K24" s="932">
        <v>52.831756320728736</v>
      </c>
      <c r="L24" s="932">
        <v>52.831756320728736</v>
      </c>
      <c r="M24" s="932">
        <v>52.831756320728736</v>
      </c>
      <c r="N24" s="932">
        <v>52.831756320728736</v>
      </c>
      <c r="O24" s="932">
        <v>52.831756320728736</v>
      </c>
      <c r="P24" s="932">
        <v>52.831756320728736</v>
      </c>
      <c r="Q24" s="932">
        <v>52.831756320728736</v>
      </c>
      <c r="R24" s="932">
        <v>52.831756320728736</v>
      </c>
      <c r="S24" s="932">
        <v>52.831756320728736</v>
      </c>
      <c r="T24" s="932">
        <v>52.831756320728736</v>
      </c>
      <c r="U24" s="932">
        <v>52.831756320728736</v>
      </c>
      <c r="V24" s="932">
        <v>52.831756320728736</v>
      </c>
      <c r="W24" s="932">
        <v>52.831756320728736</v>
      </c>
      <c r="X24" s="932">
        <v>52.831756320728736</v>
      </c>
      <c r="Y24" s="932">
        <v>52.831756320728736</v>
      </c>
      <c r="Z24" s="932">
        <v>52.831756320728736</v>
      </c>
      <c r="AA24" s="932">
        <v>52.831756320728736</v>
      </c>
      <c r="AB24" s="933">
        <v>52.831756320728736</v>
      </c>
      <c r="AD24" s="935">
        <f t="shared" si="0"/>
        <v>7.950173137448572</v>
      </c>
      <c r="AE24" s="936">
        <f t="shared" si="1"/>
        <v>23.850519412345719</v>
      </c>
      <c r="AF24" s="936">
        <f t="shared" si="2"/>
        <v>39.750865687242857</v>
      </c>
      <c r="AG24" s="936">
        <f t="shared" si="3"/>
        <v>55.651211962140003</v>
      </c>
      <c r="AH24" s="936">
        <f t="shared" si="4"/>
        <v>79.501731374485701</v>
      </c>
      <c r="AI24" s="936">
        <f t="shared" si="5"/>
        <v>79.501731374485701</v>
      </c>
      <c r="AJ24" s="936">
        <f t="shared" si="6"/>
        <v>79.501731374485701</v>
      </c>
      <c r="AK24" s="936">
        <f t="shared" si="7"/>
        <v>79.501731374485701</v>
      </c>
      <c r="AL24" s="936">
        <f t="shared" si="8"/>
        <v>79.501731374485701</v>
      </c>
      <c r="AM24" s="936">
        <f t="shared" si="9"/>
        <v>79.501731374485701</v>
      </c>
      <c r="AN24" s="936">
        <f t="shared" si="10"/>
        <v>79.501731374485701</v>
      </c>
      <c r="AO24" s="936">
        <f t="shared" si="11"/>
        <v>79.501731374485701</v>
      </c>
      <c r="AP24" s="936">
        <f t="shared" si="12"/>
        <v>79.501731374485701</v>
      </c>
      <c r="AQ24" s="936">
        <f t="shared" si="13"/>
        <v>79.501731374485701</v>
      </c>
      <c r="AR24" s="936">
        <f t="shared" si="14"/>
        <v>79.501731374485701</v>
      </c>
      <c r="AS24" s="936">
        <f t="shared" si="15"/>
        <v>79.501731374485701</v>
      </c>
      <c r="AT24" s="936">
        <f t="shared" si="16"/>
        <v>79.501731374485701</v>
      </c>
      <c r="AU24" s="936">
        <f t="shared" si="17"/>
        <v>79.501731374485701</v>
      </c>
      <c r="AV24" s="936">
        <f t="shared" si="18"/>
        <v>79.501731374485701</v>
      </c>
      <c r="AW24" s="936">
        <f t="shared" si="19"/>
        <v>79.501731374485701</v>
      </c>
      <c r="AX24" s="936">
        <f t="shared" si="20"/>
        <v>79.501731374485701</v>
      </c>
      <c r="AY24" s="936">
        <f t="shared" si="21"/>
        <v>79.501731374485701</v>
      </c>
      <c r="AZ24" s="936">
        <f t="shared" si="22"/>
        <v>79.501731374485701</v>
      </c>
      <c r="BA24" s="936">
        <f t="shared" si="23"/>
        <v>79.501731374485701</v>
      </c>
      <c r="BB24" s="937">
        <f t="shared" si="24"/>
        <v>79.501731374485701</v>
      </c>
      <c r="BC24" s="938"/>
    </row>
    <row r="25" spans="2:55" s="934" customFormat="1" ht="15">
      <c r="B25" s="909">
        <v>2034</v>
      </c>
      <c r="C25" s="1218" t="s">
        <v>813</v>
      </c>
      <c r="D25" s="932">
        <v>0</v>
      </c>
      <c r="E25" s="932">
        <v>6.3899798995800197</v>
      </c>
      <c r="F25" s="932">
        <v>19.169939698740059</v>
      </c>
      <c r="G25" s="932">
        <v>31.949899497900095</v>
      </c>
      <c r="H25" s="932">
        <v>44.729859297060138</v>
      </c>
      <c r="I25" s="932">
        <v>63.899798995800182</v>
      </c>
      <c r="J25" s="932">
        <v>63.899798995800182</v>
      </c>
      <c r="K25" s="932">
        <v>63.899798995800182</v>
      </c>
      <c r="L25" s="932">
        <v>63.899798995800182</v>
      </c>
      <c r="M25" s="932">
        <v>63.899798995800182</v>
      </c>
      <c r="N25" s="932">
        <v>63.899798995800182</v>
      </c>
      <c r="O25" s="932">
        <v>63.899798995800182</v>
      </c>
      <c r="P25" s="932">
        <v>63.899798995800182</v>
      </c>
      <c r="Q25" s="932">
        <v>63.899798995800182</v>
      </c>
      <c r="R25" s="932">
        <v>63.899798995800182</v>
      </c>
      <c r="S25" s="932">
        <v>63.899798995800182</v>
      </c>
      <c r="T25" s="932">
        <v>63.899798995800182</v>
      </c>
      <c r="U25" s="932">
        <v>63.899798995800182</v>
      </c>
      <c r="V25" s="932">
        <v>63.899798995800182</v>
      </c>
      <c r="W25" s="932">
        <v>63.899798995800182</v>
      </c>
      <c r="X25" s="932">
        <v>63.899798995800182</v>
      </c>
      <c r="Y25" s="932">
        <v>63.899798995800182</v>
      </c>
      <c r="Z25" s="932">
        <v>63.899798995800182</v>
      </c>
      <c r="AA25" s="932">
        <v>63.899798995800182</v>
      </c>
      <c r="AB25" s="933">
        <v>63.899798995800182</v>
      </c>
      <c r="AD25" s="935">
        <f t="shared" si="0"/>
        <v>0</v>
      </c>
      <c r="AE25" s="936">
        <f t="shared" si="1"/>
        <v>9.6157027674935076</v>
      </c>
      <c r="AF25" s="936">
        <f t="shared" si="2"/>
        <v>28.847108302480517</v>
      </c>
      <c r="AG25" s="936">
        <f t="shared" si="3"/>
        <v>48.078513837467526</v>
      </c>
      <c r="AH25" s="936">
        <f t="shared" si="4"/>
        <v>67.309919372454544</v>
      </c>
      <c r="AI25" s="936">
        <f t="shared" si="5"/>
        <v>96.157027674935037</v>
      </c>
      <c r="AJ25" s="936">
        <f t="shared" si="6"/>
        <v>96.157027674935037</v>
      </c>
      <c r="AK25" s="936">
        <f t="shared" si="7"/>
        <v>96.157027674935037</v>
      </c>
      <c r="AL25" s="936">
        <f t="shared" si="8"/>
        <v>96.157027674935037</v>
      </c>
      <c r="AM25" s="936">
        <f t="shared" si="9"/>
        <v>96.157027674935037</v>
      </c>
      <c r="AN25" s="936">
        <f t="shared" si="10"/>
        <v>96.157027674935037</v>
      </c>
      <c r="AO25" s="936">
        <f t="shared" si="11"/>
        <v>96.157027674935037</v>
      </c>
      <c r="AP25" s="936">
        <f t="shared" si="12"/>
        <v>96.157027674935037</v>
      </c>
      <c r="AQ25" s="936">
        <f t="shared" si="13"/>
        <v>96.157027674935037</v>
      </c>
      <c r="AR25" s="936">
        <f t="shared" si="14"/>
        <v>96.157027674935037</v>
      </c>
      <c r="AS25" s="936">
        <f t="shared" si="15"/>
        <v>96.157027674935037</v>
      </c>
      <c r="AT25" s="936">
        <f t="shared" si="16"/>
        <v>96.157027674935037</v>
      </c>
      <c r="AU25" s="936">
        <f t="shared" si="17"/>
        <v>96.157027674935037</v>
      </c>
      <c r="AV25" s="936">
        <f t="shared" si="18"/>
        <v>96.157027674935037</v>
      </c>
      <c r="AW25" s="936">
        <f t="shared" si="19"/>
        <v>96.157027674935037</v>
      </c>
      <c r="AX25" s="936">
        <f t="shared" si="20"/>
        <v>96.157027674935037</v>
      </c>
      <c r="AY25" s="936">
        <f t="shared" si="21"/>
        <v>96.157027674935037</v>
      </c>
      <c r="AZ25" s="936">
        <f t="shared" si="22"/>
        <v>96.157027674935037</v>
      </c>
      <c r="BA25" s="936">
        <f t="shared" si="23"/>
        <v>96.157027674935037</v>
      </c>
      <c r="BB25" s="937">
        <f t="shared" si="24"/>
        <v>96.157027674935037</v>
      </c>
      <c r="BC25" s="938"/>
    </row>
    <row r="26" spans="2:55" s="934" customFormat="1" ht="15">
      <c r="B26" s="909">
        <v>2035</v>
      </c>
      <c r="C26" s="1218" t="s">
        <v>814</v>
      </c>
      <c r="D26" s="932">
        <v>0</v>
      </c>
      <c r="E26" s="932">
        <v>0</v>
      </c>
      <c r="F26" s="932">
        <v>5.0062161210880021</v>
      </c>
      <c r="G26" s="932">
        <v>15.018648363264008</v>
      </c>
      <c r="H26" s="932">
        <v>25.03108060544001</v>
      </c>
      <c r="I26" s="932">
        <v>35.043512847616014</v>
      </c>
      <c r="J26" s="932">
        <v>50.062161210880014</v>
      </c>
      <c r="K26" s="932">
        <v>50.062161210880014</v>
      </c>
      <c r="L26" s="932">
        <v>50.062161210880014</v>
      </c>
      <c r="M26" s="932">
        <v>50.062161210880014</v>
      </c>
      <c r="N26" s="932">
        <v>50.062161210880014</v>
      </c>
      <c r="O26" s="932">
        <v>50.062161210880014</v>
      </c>
      <c r="P26" s="932">
        <v>50.062161210880014</v>
      </c>
      <c r="Q26" s="932">
        <v>50.062161210880014</v>
      </c>
      <c r="R26" s="932">
        <v>50.062161210880014</v>
      </c>
      <c r="S26" s="932">
        <v>50.062161210880014</v>
      </c>
      <c r="T26" s="932">
        <v>50.062161210880014</v>
      </c>
      <c r="U26" s="932">
        <v>50.062161210880014</v>
      </c>
      <c r="V26" s="932">
        <v>50.062161210880014</v>
      </c>
      <c r="W26" s="932">
        <v>50.062161210880014</v>
      </c>
      <c r="X26" s="932">
        <v>50.062161210880014</v>
      </c>
      <c r="Y26" s="932">
        <v>50.062161210880014</v>
      </c>
      <c r="Z26" s="932">
        <v>50.062161210880014</v>
      </c>
      <c r="AA26" s="932">
        <v>50.062161210880014</v>
      </c>
      <c r="AB26" s="933">
        <v>50.062161210880014</v>
      </c>
      <c r="AD26" s="935">
        <f t="shared" si="0"/>
        <v>0</v>
      </c>
      <c r="AE26" s="936">
        <f t="shared" si="1"/>
        <v>0</v>
      </c>
      <c r="AF26" s="936">
        <f t="shared" si="2"/>
        <v>7.5334018207757412</v>
      </c>
      <c r="AG26" s="936">
        <f t="shared" si="3"/>
        <v>22.600205462327224</v>
      </c>
      <c r="AH26" s="936">
        <f t="shared" si="4"/>
        <v>37.667009103878712</v>
      </c>
      <c r="AI26" s="936">
        <f t="shared" si="5"/>
        <v>52.733812745430193</v>
      </c>
      <c r="AJ26" s="936">
        <f t="shared" si="6"/>
        <v>75.33401820775741</v>
      </c>
      <c r="AK26" s="936">
        <f t="shared" si="7"/>
        <v>75.33401820775741</v>
      </c>
      <c r="AL26" s="936">
        <f t="shared" si="8"/>
        <v>75.33401820775741</v>
      </c>
      <c r="AM26" s="936">
        <f t="shared" si="9"/>
        <v>75.33401820775741</v>
      </c>
      <c r="AN26" s="936">
        <f t="shared" si="10"/>
        <v>75.33401820775741</v>
      </c>
      <c r="AO26" s="936">
        <f t="shared" si="11"/>
        <v>75.33401820775741</v>
      </c>
      <c r="AP26" s="936">
        <f t="shared" si="12"/>
        <v>75.33401820775741</v>
      </c>
      <c r="AQ26" s="936">
        <f t="shared" si="13"/>
        <v>75.33401820775741</v>
      </c>
      <c r="AR26" s="936">
        <f t="shared" si="14"/>
        <v>75.33401820775741</v>
      </c>
      <c r="AS26" s="936">
        <f t="shared" si="15"/>
        <v>75.33401820775741</v>
      </c>
      <c r="AT26" s="936">
        <f t="shared" si="16"/>
        <v>75.33401820775741</v>
      </c>
      <c r="AU26" s="936">
        <f t="shared" si="17"/>
        <v>75.33401820775741</v>
      </c>
      <c r="AV26" s="936">
        <f t="shared" si="18"/>
        <v>75.33401820775741</v>
      </c>
      <c r="AW26" s="936">
        <f t="shared" si="19"/>
        <v>75.33401820775741</v>
      </c>
      <c r="AX26" s="936">
        <f t="shared" si="20"/>
        <v>75.33401820775741</v>
      </c>
      <c r="AY26" s="936">
        <f t="shared" si="21"/>
        <v>75.33401820775741</v>
      </c>
      <c r="AZ26" s="936">
        <f t="shared" si="22"/>
        <v>75.33401820775741</v>
      </c>
      <c r="BA26" s="936">
        <f t="shared" si="23"/>
        <v>75.33401820775741</v>
      </c>
      <c r="BB26" s="937">
        <f t="shared" si="24"/>
        <v>75.33401820775741</v>
      </c>
      <c r="BC26" s="938"/>
    </row>
    <row r="27" spans="2:55" s="934" customFormat="1" ht="15">
      <c r="B27" s="909">
        <v>2036</v>
      </c>
      <c r="C27" s="1218" t="s">
        <v>815</v>
      </c>
      <c r="D27" s="932">
        <v>0</v>
      </c>
      <c r="E27" s="932">
        <v>0</v>
      </c>
      <c r="F27" s="932">
        <v>0</v>
      </c>
      <c r="G27" s="932">
        <v>5.1628517693308797</v>
      </c>
      <c r="H27" s="932">
        <v>15.488555307992641</v>
      </c>
      <c r="I27" s="932">
        <v>25.814258846654397</v>
      </c>
      <c r="J27" s="932">
        <v>36.13996238531616</v>
      </c>
      <c r="K27" s="932">
        <v>51.628517693308787</v>
      </c>
      <c r="L27" s="932">
        <v>51.628517693308787</v>
      </c>
      <c r="M27" s="932">
        <v>51.628517693308787</v>
      </c>
      <c r="N27" s="932">
        <v>51.628517693308787</v>
      </c>
      <c r="O27" s="932">
        <v>51.628517693308787</v>
      </c>
      <c r="P27" s="932">
        <v>51.628517693308787</v>
      </c>
      <c r="Q27" s="932">
        <v>51.628517693308787</v>
      </c>
      <c r="R27" s="932">
        <v>51.628517693308787</v>
      </c>
      <c r="S27" s="932">
        <v>51.628517693308787</v>
      </c>
      <c r="T27" s="932">
        <v>51.628517693308787</v>
      </c>
      <c r="U27" s="932">
        <v>51.628517693308787</v>
      </c>
      <c r="V27" s="932">
        <v>51.628517693308787</v>
      </c>
      <c r="W27" s="932">
        <v>51.628517693308787</v>
      </c>
      <c r="X27" s="932">
        <v>51.628517693308787</v>
      </c>
      <c r="Y27" s="932">
        <v>51.628517693308787</v>
      </c>
      <c r="Z27" s="932">
        <v>51.628517693308787</v>
      </c>
      <c r="AA27" s="932">
        <v>51.628517693308787</v>
      </c>
      <c r="AB27" s="933">
        <v>51.628517693308787</v>
      </c>
      <c r="AD27" s="935">
        <f t="shared" si="0"/>
        <v>0</v>
      </c>
      <c r="AE27" s="936">
        <f t="shared" si="1"/>
        <v>0</v>
      </c>
      <c r="AF27" s="936">
        <f t="shared" si="2"/>
        <v>0</v>
      </c>
      <c r="AG27" s="936">
        <f t="shared" si="3"/>
        <v>7.7691086398842293</v>
      </c>
      <c r="AH27" s="936">
        <f t="shared" si="4"/>
        <v>23.307325919652691</v>
      </c>
      <c r="AI27" s="936">
        <f t="shared" si="5"/>
        <v>38.845543199421137</v>
      </c>
      <c r="AJ27" s="936">
        <f t="shared" si="6"/>
        <v>54.383760479189604</v>
      </c>
      <c r="AK27" s="936">
        <f t="shared" si="7"/>
        <v>77.691086398842273</v>
      </c>
      <c r="AL27" s="936">
        <f t="shared" si="8"/>
        <v>77.691086398842273</v>
      </c>
      <c r="AM27" s="936">
        <f t="shared" si="9"/>
        <v>77.691086398842273</v>
      </c>
      <c r="AN27" s="936">
        <f t="shared" si="10"/>
        <v>77.691086398842273</v>
      </c>
      <c r="AO27" s="936">
        <f t="shared" si="11"/>
        <v>77.691086398842273</v>
      </c>
      <c r="AP27" s="936">
        <f t="shared" si="12"/>
        <v>77.691086398842273</v>
      </c>
      <c r="AQ27" s="936">
        <f t="shared" si="13"/>
        <v>77.691086398842273</v>
      </c>
      <c r="AR27" s="936">
        <f t="shared" si="14"/>
        <v>77.691086398842273</v>
      </c>
      <c r="AS27" s="936">
        <f t="shared" si="15"/>
        <v>77.691086398842273</v>
      </c>
      <c r="AT27" s="936">
        <f t="shared" si="16"/>
        <v>77.691086398842273</v>
      </c>
      <c r="AU27" s="936">
        <f t="shared" si="17"/>
        <v>77.691086398842273</v>
      </c>
      <c r="AV27" s="936">
        <f t="shared" si="18"/>
        <v>77.691086398842273</v>
      </c>
      <c r="AW27" s="936">
        <f t="shared" si="19"/>
        <v>77.691086398842273</v>
      </c>
      <c r="AX27" s="936">
        <f t="shared" si="20"/>
        <v>77.691086398842273</v>
      </c>
      <c r="AY27" s="936">
        <f t="shared" si="21"/>
        <v>77.691086398842273</v>
      </c>
      <c r="AZ27" s="936">
        <f t="shared" si="22"/>
        <v>77.691086398842273</v>
      </c>
      <c r="BA27" s="936">
        <f t="shared" si="23"/>
        <v>77.691086398842273</v>
      </c>
      <c r="BB27" s="937">
        <f t="shared" si="24"/>
        <v>77.691086398842273</v>
      </c>
      <c r="BC27" s="938"/>
    </row>
    <row r="28" spans="2:55" s="934" customFormat="1" ht="15">
      <c r="B28" s="909">
        <v>2037</v>
      </c>
      <c r="C28" s="1218" t="s">
        <v>816</v>
      </c>
      <c r="D28" s="932">
        <v>0</v>
      </c>
      <c r="E28" s="932">
        <v>0</v>
      </c>
      <c r="F28" s="932">
        <v>0</v>
      </c>
      <c r="G28" s="932">
        <v>0</v>
      </c>
      <c r="H28" s="932">
        <v>5.324388269975457</v>
      </c>
      <c r="I28" s="932">
        <v>15.973164809926372</v>
      </c>
      <c r="J28" s="932">
        <v>26.621941349877282</v>
      </c>
      <c r="K28" s="932">
        <v>37.270717889828198</v>
      </c>
      <c r="L28" s="932">
        <v>53.243882699754558</v>
      </c>
      <c r="M28" s="932">
        <v>53.243882699754558</v>
      </c>
      <c r="N28" s="932">
        <v>53.243882699754558</v>
      </c>
      <c r="O28" s="932">
        <v>53.243882699754558</v>
      </c>
      <c r="P28" s="932">
        <v>53.243882699754558</v>
      </c>
      <c r="Q28" s="932">
        <v>53.243882699754558</v>
      </c>
      <c r="R28" s="932">
        <v>53.243882699754558</v>
      </c>
      <c r="S28" s="932">
        <v>53.243882699754558</v>
      </c>
      <c r="T28" s="932">
        <v>53.243882699754558</v>
      </c>
      <c r="U28" s="932">
        <v>53.243882699754558</v>
      </c>
      <c r="V28" s="932">
        <v>53.243882699754558</v>
      </c>
      <c r="W28" s="932">
        <v>53.243882699754558</v>
      </c>
      <c r="X28" s="932">
        <v>53.243882699754558</v>
      </c>
      <c r="Y28" s="932">
        <v>53.243882699754558</v>
      </c>
      <c r="Z28" s="932">
        <v>53.243882699754558</v>
      </c>
      <c r="AA28" s="932">
        <v>53.243882699754558</v>
      </c>
      <c r="AB28" s="933">
        <v>53.243882699754558</v>
      </c>
      <c r="AD28" s="935">
        <f t="shared" si="0"/>
        <v>0</v>
      </c>
      <c r="AE28" s="936">
        <f t="shared" si="1"/>
        <v>0</v>
      </c>
      <c r="AF28" s="936">
        <f t="shared" si="2"/>
        <v>0</v>
      </c>
      <c r="AG28" s="936">
        <f t="shared" si="3"/>
        <v>0</v>
      </c>
      <c r="AH28" s="936">
        <f t="shared" si="4"/>
        <v>8.0121903084824933</v>
      </c>
      <c r="AI28" s="936">
        <f t="shared" si="5"/>
        <v>24.036570925447474</v>
      </c>
      <c r="AJ28" s="936">
        <f t="shared" si="6"/>
        <v>40.060951542412454</v>
      </c>
      <c r="AK28" s="936">
        <f t="shared" si="7"/>
        <v>56.085332159377451</v>
      </c>
      <c r="AL28" s="936">
        <f t="shared" si="8"/>
        <v>80.121903084824908</v>
      </c>
      <c r="AM28" s="936">
        <f t="shared" si="9"/>
        <v>80.121903084824908</v>
      </c>
      <c r="AN28" s="936">
        <f t="shared" si="10"/>
        <v>80.121903084824908</v>
      </c>
      <c r="AO28" s="936">
        <f t="shared" si="11"/>
        <v>80.121903084824908</v>
      </c>
      <c r="AP28" s="936">
        <f t="shared" si="12"/>
        <v>80.121903084824908</v>
      </c>
      <c r="AQ28" s="936">
        <f t="shared" si="13"/>
        <v>80.121903084824908</v>
      </c>
      <c r="AR28" s="936">
        <f t="shared" si="14"/>
        <v>80.121903084824908</v>
      </c>
      <c r="AS28" s="936">
        <f t="shared" si="15"/>
        <v>80.121903084824908</v>
      </c>
      <c r="AT28" s="936">
        <f t="shared" si="16"/>
        <v>80.121903084824908</v>
      </c>
      <c r="AU28" s="936">
        <f t="shared" si="17"/>
        <v>80.121903084824908</v>
      </c>
      <c r="AV28" s="936">
        <f t="shared" si="18"/>
        <v>80.121903084824908</v>
      </c>
      <c r="AW28" s="936">
        <f t="shared" si="19"/>
        <v>80.121903084824908</v>
      </c>
      <c r="AX28" s="936">
        <f t="shared" si="20"/>
        <v>80.121903084824908</v>
      </c>
      <c r="AY28" s="936">
        <f t="shared" si="21"/>
        <v>80.121903084824908</v>
      </c>
      <c r="AZ28" s="936">
        <f t="shared" si="22"/>
        <v>80.121903084824908</v>
      </c>
      <c r="BA28" s="936">
        <f t="shared" si="23"/>
        <v>80.121903084824908</v>
      </c>
      <c r="BB28" s="937">
        <f t="shared" si="24"/>
        <v>80.121903084824908</v>
      </c>
      <c r="BC28" s="938"/>
    </row>
    <row r="29" spans="2:55" s="934" customFormat="1" ht="15">
      <c r="B29" s="909">
        <v>2038</v>
      </c>
      <c r="C29" s="1218" t="s">
        <v>817</v>
      </c>
      <c r="D29" s="932">
        <v>0</v>
      </c>
      <c r="E29" s="932">
        <v>0</v>
      </c>
      <c r="F29" s="932">
        <v>0</v>
      </c>
      <c r="G29" s="932">
        <v>0</v>
      </c>
      <c r="H29" s="932">
        <v>0</v>
      </c>
      <c r="I29" s="932">
        <v>5.4909789620255491</v>
      </c>
      <c r="J29" s="932">
        <v>16.472936886076649</v>
      </c>
      <c r="K29" s="932">
        <v>27.454894810127744</v>
      </c>
      <c r="L29" s="932">
        <v>38.436852734178842</v>
      </c>
      <c r="M29" s="932">
        <v>54.909789620255481</v>
      </c>
      <c r="N29" s="932">
        <v>54.909789620255481</v>
      </c>
      <c r="O29" s="932">
        <v>54.909789620255481</v>
      </c>
      <c r="P29" s="932">
        <v>54.909789620255481</v>
      </c>
      <c r="Q29" s="932">
        <v>54.909789620255481</v>
      </c>
      <c r="R29" s="932">
        <v>54.909789620255481</v>
      </c>
      <c r="S29" s="932">
        <v>54.909789620255481</v>
      </c>
      <c r="T29" s="932">
        <v>54.909789620255481</v>
      </c>
      <c r="U29" s="932">
        <v>54.909789620255481</v>
      </c>
      <c r="V29" s="932">
        <v>54.909789620255481</v>
      </c>
      <c r="W29" s="932">
        <v>54.909789620255481</v>
      </c>
      <c r="X29" s="932">
        <v>54.909789620255481</v>
      </c>
      <c r="Y29" s="932">
        <v>54.909789620255481</v>
      </c>
      <c r="Z29" s="932">
        <v>54.909789620255481</v>
      </c>
      <c r="AA29" s="932">
        <v>54.909789620255481</v>
      </c>
      <c r="AB29" s="933">
        <v>54.909789620255481</v>
      </c>
      <c r="AD29" s="935">
        <f t="shared" si="0"/>
        <v>0</v>
      </c>
      <c r="AE29" s="936">
        <f t="shared" si="1"/>
        <v>0</v>
      </c>
      <c r="AF29" s="936">
        <f t="shared" si="2"/>
        <v>0</v>
      </c>
      <c r="AG29" s="936">
        <f t="shared" si="3"/>
        <v>0</v>
      </c>
      <c r="AH29" s="936">
        <f t="shared" si="4"/>
        <v>0</v>
      </c>
      <c r="AI29" s="936">
        <f t="shared" si="5"/>
        <v>8.2628775725676284</v>
      </c>
      <c r="AJ29" s="936">
        <f t="shared" si="6"/>
        <v>24.788632717702892</v>
      </c>
      <c r="AK29" s="936">
        <f t="shared" si="7"/>
        <v>41.314387862838146</v>
      </c>
      <c r="AL29" s="936">
        <f t="shared" si="8"/>
        <v>57.840143007973403</v>
      </c>
      <c r="AM29" s="936">
        <f t="shared" si="9"/>
        <v>82.628775725676277</v>
      </c>
      <c r="AN29" s="936">
        <f t="shared" si="10"/>
        <v>82.628775725676277</v>
      </c>
      <c r="AO29" s="936">
        <f t="shared" si="11"/>
        <v>82.628775725676277</v>
      </c>
      <c r="AP29" s="936">
        <f t="shared" si="12"/>
        <v>82.628775725676277</v>
      </c>
      <c r="AQ29" s="936">
        <f t="shared" si="13"/>
        <v>82.628775725676277</v>
      </c>
      <c r="AR29" s="936">
        <f t="shared" si="14"/>
        <v>82.628775725676277</v>
      </c>
      <c r="AS29" s="936">
        <f t="shared" si="15"/>
        <v>82.628775725676277</v>
      </c>
      <c r="AT29" s="936">
        <f t="shared" si="16"/>
        <v>82.628775725676277</v>
      </c>
      <c r="AU29" s="936">
        <f t="shared" si="17"/>
        <v>82.628775725676277</v>
      </c>
      <c r="AV29" s="936">
        <f t="shared" si="18"/>
        <v>82.628775725676277</v>
      </c>
      <c r="AW29" s="936">
        <f t="shared" si="19"/>
        <v>82.628775725676277</v>
      </c>
      <c r="AX29" s="936">
        <f t="shared" si="20"/>
        <v>82.628775725676277</v>
      </c>
      <c r="AY29" s="936">
        <f t="shared" si="21"/>
        <v>82.628775725676277</v>
      </c>
      <c r="AZ29" s="936">
        <f t="shared" si="22"/>
        <v>82.628775725676277</v>
      </c>
      <c r="BA29" s="936">
        <f t="shared" si="23"/>
        <v>82.628775725676277</v>
      </c>
      <c r="BB29" s="937">
        <f t="shared" si="24"/>
        <v>82.628775725676277</v>
      </c>
      <c r="BC29" s="938"/>
    </row>
    <row r="30" spans="2:55" s="934" customFormat="1" ht="15">
      <c r="B30" s="909">
        <v>2039</v>
      </c>
      <c r="C30" s="1218" t="s">
        <v>818</v>
      </c>
      <c r="D30" s="932">
        <v>0</v>
      </c>
      <c r="E30" s="932">
        <v>0</v>
      </c>
      <c r="F30" s="932">
        <v>0</v>
      </c>
      <c r="G30" s="932">
        <v>0</v>
      </c>
      <c r="H30" s="932">
        <v>0</v>
      </c>
      <c r="I30" s="932">
        <v>0</v>
      </c>
      <c r="J30" s="932">
        <v>5.6627819821911967</v>
      </c>
      <c r="K30" s="932">
        <v>16.988345946573592</v>
      </c>
      <c r="L30" s="932">
        <v>28.313909910955982</v>
      </c>
      <c r="M30" s="932">
        <v>39.639473875338375</v>
      </c>
      <c r="N30" s="932">
        <v>56.627819821911956</v>
      </c>
      <c r="O30" s="932">
        <v>56.627819821911956</v>
      </c>
      <c r="P30" s="932">
        <v>56.627819821911956</v>
      </c>
      <c r="Q30" s="932">
        <v>56.627819821911956</v>
      </c>
      <c r="R30" s="932">
        <v>56.627819821911956</v>
      </c>
      <c r="S30" s="932">
        <v>56.627819821911956</v>
      </c>
      <c r="T30" s="932">
        <v>56.627819821911956</v>
      </c>
      <c r="U30" s="932">
        <v>56.627819821911956</v>
      </c>
      <c r="V30" s="932">
        <v>56.627819821911956</v>
      </c>
      <c r="W30" s="932">
        <v>56.627819821911956</v>
      </c>
      <c r="X30" s="932">
        <v>56.627819821911956</v>
      </c>
      <c r="Y30" s="932">
        <v>56.627819821911956</v>
      </c>
      <c r="Z30" s="932">
        <v>56.627819821911956</v>
      </c>
      <c r="AA30" s="932">
        <v>56.627819821911956</v>
      </c>
      <c r="AB30" s="933">
        <v>56.627819821911956</v>
      </c>
      <c r="AD30" s="935">
        <f t="shared" si="0"/>
        <v>0</v>
      </c>
      <c r="AE30" s="936">
        <f t="shared" si="1"/>
        <v>0</v>
      </c>
      <c r="AF30" s="936">
        <f t="shared" si="2"/>
        <v>0</v>
      </c>
      <c r="AG30" s="936">
        <f t="shared" si="3"/>
        <v>0</v>
      </c>
      <c r="AH30" s="936">
        <f t="shared" si="4"/>
        <v>0</v>
      </c>
      <c r="AI30" s="936">
        <f t="shared" si="5"/>
        <v>0</v>
      </c>
      <c r="AJ30" s="936">
        <f t="shared" si="6"/>
        <v>8.5214083977708714</v>
      </c>
      <c r="AK30" s="936">
        <f t="shared" si="7"/>
        <v>25.564225193312623</v>
      </c>
      <c r="AL30" s="936">
        <f t="shared" si="8"/>
        <v>42.607041988854355</v>
      </c>
      <c r="AM30" s="936">
        <f t="shared" si="9"/>
        <v>59.649858784396095</v>
      </c>
      <c r="AN30" s="936">
        <f t="shared" si="10"/>
        <v>85.214083977708711</v>
      </c>
      <c r="AO30" s="936">
        <f t="shared" si="11"/>
        <v>85.214083977708711</v>
      </c>
      <c r="AP30" s="936">
        <f t="shared" si="12"/>
        <v>85.214083977708711</v>
      </c>
      <c r="AQ30" s="936">
        <f t="shared" si="13"/>
        <v>85.214083977708711</v>
      </c>
      <c r="AR30" s="936">
        <f t="shared" si="14"/>
        <v>85.214083977708711</v>
      </c>
      <c r="AS30" s="936">
        <f t="shared" si="15"/>
        <v>85.214083977708711</v>
      </c>
      <c r="AT30" s="936">
        <f t="shared" si="16"/>
        <v>85.214083977708711</v>
      </c>
      <c r="AU30" s="936">
        <f t="shared" si="17"/>
        <v>85.214083977708711</v>
      </c>
      <c r="AV30" s="936">
        <f t="shared" si="18"/>
        <v>85.214083977708711</v>
      </c>
      <c r="AW30" s="936">
        <f t="shared" si="19"/>
        <v>85.214083977708711</v>
      </c>
      <c r="AX30" s="936">
        <f t="shared" si="20"/>
        <v>85.214083977708711</v>
      </c>
      <c r="AY30" s="936">
        <f t="shared" si="21"/>
        <v>85.214083977708711</v>
      </c>
      <c r="AZ30" s="936">
        <f t="shared" si="22"/>
        <v>85.214083977708711</v>
      </c>
      <c r="BA30" s="936">
        <f t="shared" si="23"/>
        <v>85.214083977708711</v>
      </c>
      <c r="BB30" s="937">
        <f t="shared" si="24"/>
        <v>85.214083977708711</v>
      </c>
      <c r="BC30" s="938"/>
    </row>
    <row r="31" spans="2:55" s="934" customFormat="1" ht="15">
      <c r="B31" s="909">
        <v>2040</v>
      </c>
      <c r="C31" s="1218" t="s">
        <v>819</v>
      </c>
      <c r="D31" s="932">
        <v>0</v>
      </c>
      <c r="E31" s="932">
        <v>0</v>
      </c>
      <c r="F31" s="932">
        <v>0</v>
      </c>
      <c r="G31" s="932">
        <v>0</v>
      </c>
      <c r="H31" s="932">
        <v>0</v>
      </c>
      <c r="I31" s="932">
        <v>0</v>
      </c>
      <c r="J31" s="932">
        <v>0</v>
      </c>
      <c r="K31" s="932">
        <v>5.8399604150004123</v>
      </c>
      <c r="L31" s="932">
        <v>17.519881245001237</v>
      </c>
      <c r="M31" s="932">
        <v>29.199802075002058</v>
      </c>
      <c r="N31" s="932">
        <v>40.879722905002886</v>
      </c>
      <c r="O31" s="932">
        <v>58.399604150004109</v>
      </c>
      <c r="P31" s="932">
        <v>58.399604150004109</v>
      </c>
      <c r="Q31" s="932">
        <v>58.399604150004109</v>
      </c>
      <c r="R31" s="932">
        <v>58.399604150004109</v>
      </c>
      <c r="S31" s="932">
        <v>58.399604150004109</v>
      </c>
      <c r="T31" s="932">
        <v>58.399604150004109</v>
      </c>
      <c r="U31" s="932">
        <v>58.399604150004109</v>
      </c>
      <c r="V31" s="932">
        <v>58.399604150004109</v>
      </c>
      <c r="W31" s="932">
        <v>58.399604150004109</v>
      </c>
      <c r="X31" s="932">
        <v>58.399604150004109</v>
      </c>
      <c r="Y31" s="932">
        <v>58.399604150004109</v>
      </c>
      <c r="Z31" s="932">
        <v>58.399604150004109</v>
      </c>
      <c r="AA31" s="932">
        <v>58.399604150004109</v>
      </c>
      <c r="AB31" s="933">
        <v>58.399604150004109</v>
      </c>
      <c r="AD31" s="935">
        <f t="shared" si="0"/>
        <v>0</v>
      </c>
      <c r="AE31" s="936">
        <f t="shared" si="1"/>
        <v>0</v>
      </c>
      <c r="AF31" s="936">
        <f t="shared" si="2"/>
        <v>0</v>
      </c>
      <c r="AG31" s="936">
        <f t="shared" si="3"/>
        <v>0</v>
      </c>
      <c r="AH31" s="936">
        <f t="shared" si="4"/>
        <v>0</v>
      </c>
      <c r="AI31" s="936">
        <f t="shared" si="5"/>
        <v>0</v>
      </c>
      <c r="AJ31" s="936">
        <f t="shared" si="6"/>
        <v>0</v>
      </c>
      <c r="AK31" s="936">
        <f t="shared" si="7"/>
        <v>8.7880281952471861</v>
      </c>
      <c r="AL31" s="936">
        <f t="shared" si="8"/>
        <v>26.364084585741558</v>
      </c>
      <c r="AM31" s="936">
        <f t="shared" si="9"/>
        <v>43.940140976235917</v>
      </c>
      <c r="AN31" s="936">
        <f t="shared" si="10"/>
        <v>61.516197366730296</v>
      </c>
      <c r="AO31" s="936">
        <f t="shared" si="11"/>
        <v>87.880281952471833</v>
      </c>
      <c r="AP31" s="936">
        <f t="shared" si="12"/>
        <v>87.880281952471833</v>
      </c>
      <c r="AQ31" s="936">
        <f t="shared" si="13"/>
        <v>87.880281952471833</v>
      </c>
      <c r="AR31" s="936">
        <f t="shared" si="14"/>
        <v>87.880281952471833</v>
      </c>
      <c r="AS31" s="936">
        <f t="shared" si="15"/>
        <v>87.880281952471833</v>
      </c>
      <c r="AT31" s="936">
        <f t="shared" si="16"/>
        <v>87.880281952471833</v>
      </c>
      <c r="AU31" s="936">
        <f t="shared" si="17"/>
        <v>87.880281952471833</v>
      </c>
      <c r="AV31" s="936">
        <f t="shared" si="18"/>
        <v>87.880281952471833</v>
      </c>
      <c r="AW31" s="936">
        <f t="shared" si="19"/>
        <v>87.880281952471833</v>
      </c>
      <c r="AX31" s="936">
        <f t="shared" si="20"/>
        <v>87.880281952471833</v>
      </c>
      <c r="AY31" s="936">
        <f t="shared" si="21"/>
        <v>87.880281952471833</v>
      </c>
      <c r="AZ31" s="936">
        <f t="shared" si="22"/>
        <v>87.880281952471833</v>
      </c>
      <c r="BA31" s="936">
        <f t="shared" si="23"/>
        <v>87.880281952471833</v>
      </c>
      <c r="BB31" s="937">
        <f t="shared" si="24"/>
        <v>87.880281952471833</v>
      </c>
      <c r="BC31" s="938"/>
    </row>
    <row r="32" spans="2:55" s="934" customFormat="1" ht="15">
      <c r="B32" s="909">
        <v>2041</v>
      </c>
      <c r="C32" s="1218" t="s">
        <v>820</v>
      </c>
      <c r="D32" s="932">
        <v>0</v>
      </c>
      <c r="E32" s="932">
        <v>0</v>
      </c>
      <c r="F32" s="932">
        <v>0</v>
      </c>
      <c r="G32" s="932">
        <v>0</v>
      </c>
      <c r="H32" s="932">
        <v>0</v>
      </c>
      <c r="I32" s="932">
        <v>0</v>
      </c>
      <c r="J32" s="932">
        <v>0</v>
      </c>
      <c r="K32" s="932">
        <v>0</v>
      </c>
      <c r="L32" s="932">
        <v>6.022682447607651</v>
      </c>
      <c r="M32" s="932">
        <v>18.068047342822954</v>
      </c>
      <c r="N32" s="932">
        <v>30.113412238038254</v>
      </c>
      <c r="O32" s="932">
        <v>42.158777133253558</v>
      </c>
      <c r="P32" s="932">
        <v>60.226824476076501</v>
      </c>
      <c r="Q32" s="932">
        <v>60.226824476076501</v>
      </c>
      <c r="R32" s="932">
        <v>60.226824476076501</v>
      </c>
      <c r="S32" s="932">
        <v>60.226824476076501</v>
      </c>
      <c r="T32" s="932">
        <v>60.226824476076501</v>
      </c>
      <c r="U32" s="932">
        <v>60.226824476076501</v>
      </c>
      <c r="V32" s="932">
        <v>60.226824476076501</v>
      </c>
      <c r="W32" s="932">
        <v>60.226824476076501</v>
      </c>
      <c r="X32" s="932">
        <v>60.226824476076501</v>
      </c>
      <c r="Y32" s="932">
        <v>60.226824476076501</v>
      </c>
      <c r="Z32" s="932">
        <v>60.226824476076501</v>
      </c>
      <c r="AA32" s="932">
        <v>60.226824476076501</v>
      </c>
      <c r="AB32" s="933">
        <v>60.226824476076501</v>
      </c>
      <c r="AD32" s="935">
        <f t="shared" si="0"/>
        <v>0</v>
      </c>
      <c r="AE32" s="936">
        <f t="shared" si="1"/>
        <v>0</v>
      </c>
      <c r="AF32" s="936">
        <f t="shared" si="2"/>
        <v>0</v>
      </c>
      <c r="AG32" s="936">
        <f t="shared" si="3"/>
        <v>0</v>
      </c>
      <c r="AH32" s="936">
        <f t="shared" si="4"/>
        <v>0</v>
      </c>
      <c r="AI32" s="936">
        <f t="shared" si="5"/>
        <v>0</v>
      </c>
      <c r="AJ32" s="936">
        <f t="shared" si="6"/>
        <v>0</v>
      </c>
      <c r="AK32" s="936">
        <f t="shared" si="7"/>
        <v>0</v>
      </c>
      <c r="AL32" s="936">
        <f t="shared" si="8"/>
        <v>9.0629900546325235</v>
      </c>
      <c r="AM32" s="936">
        <f t="shared" si="9"/>
        <v>27.188970163897576</v>
      </c>
      <c r="AN32" s="936">
        <f t="shared" si="10"/>
        <v>45.314950273162623</v>
      </c>
      <c r="AO32" s="936">
        <f t="shared" si="11"/>
        <v>63.44093038242768</v>
      </c>
      <c r="AP32" s="936">
        <f t="shared" si="12"/>
        <v>90.629900546325231</v>
      </c>
      <c r="AQ32" s="936">
        <f t="shared" si="13"/>
        <v>90.629900546325231</v>
      </c>
      <c r="AR32" s="936">
        <f t="shared" si="14"/>
        <v>90.629900546325231</v>
      </c>
      <c r="AS32" s="936">
        <f t="shared" si="15"/>
        <v>90.629900546325231</v>
      </c>
      <c r="AT32" s="936">
        <f t="shared" si="16"/>
        <v>90.629900546325231</v>
      </c>
      <c r="AU32" s="936">
        <f t="shared" si="17"/>
        <v>90.629900546325231</v>
      </c>
      <c r="AV32" s="936">
        <f t="shared" si="18"/>
        <v>90.629900546325231</v>
      </c>
      <c r="AW32" s="936">
        <f t="shared" si="19"/>
        <v>90.629900546325231</v>
      </c>
      <c r="AX32" s="936">
        <f t="shared" si="20"/>
        <v>90.629900546325231</v>
      </c>
      <c r="AY32" s="936">
        <f t="shared" si="21"/>
        <v>90.629900546325231</v>
      </c>
      <c r="AZ32" s="936">
        <f t="shared" si="22"/>
        <v>90.629900546325231</v>
      </c>
      <c r="BA32" s="936">
        <f t="shared" si="23"/>
        <v>90.629900546325231</v>
      </c>
      <c r="BB32" s="937">
        <f t="shared" si="24"/>
        <v>90.629900546325231</v>
      </c>
      <c r="BC32" s="938"/>
    </row>
    <row r="33" spans="2:55" s="934" customFormat="1" ht="15">
      <c r="B33" s="909">
        <v>2042</v>
      </c>
      <c r="C33" s="1218" t="s">
        <v>821</v>
      </c>
      <c r="D33" s="932">
        <v>0</v>
      </c>
      <c r="E33" s="932">
        <v>0</v>
      </c>
      <c r="F33" s="932">
        <v>0</v>
      </c>
      <c r="G33" s="932">
        <v>0</v>
      </c>
      <c r="H33" s="932">
        <v>0</v>
      </c>
      <c r="I33" s="932">
        <v>0</v>
      </c>
      <c r="J33" s="932">
        <v>0</v>
      </c>
      <c r="K33" s="932">
        <v>0</v>
      </c>
      <c r="L33" s="932">
        <v>0</v>
      </c>
      <c r="M33" s="932">
        <v>6.2111215294459718</v>
      </c>
      <c r="N33" s="932">
        <v>18.633364588337916</v>
      </c>
      <c r="O33" s="932">
        <v>31.055607647229856</v>
      </c>
      <c r="P33" s="932">
        <v>43.477850706121799</v>
      </c>
      <c r="Q33" s="932">
        <v>62.111215294459704</v>
      </c>
      <c r="R33" s="932">
        <v>62.111215294459704</v>
      </c>
      <c r="S33" s="932">
        <v>62.111215294459704</v>
      </c>
      <c r="T33" s="932">
        <v>62.111215294459704</v>
      </c>
      <c r="U33" s="932">
        <v>62.111215294459704</v>
      </c>
      <c r="V33" s="932">
        <v>62.111215294459704</v>
      </c>
      <c r="W33" s="932">
        <v>62.111215294459704</v>
      </c>
      <c r="X33" s="932">
        <v>62.111215294459704</v>
      </c>
      <c r="Y33" s="932">
        <v>62.111215294459704</v>
      </c>
      <c r="Z33" s="932">
        <v>62.111215294459704</v>
      </c>
      <c r="AA33" s="932">
        <v>62.111215294459704</v>
      </c>
      <c r="AB33" s="933">
        <v>62.111215294459704</v>
      </c>
      <c r="AD33" s="935">
        <f t="shared" si="0"/>
        <v>0</v>
      </c>
      <c r="AE33" s="936">
        <f t="shared" si="1"/>
        <v>0</v>
      </c>
      <c r="AF33" s="936">
        <f t="shared" si="2"/>
        <v>0</v>
      </c>
      <c r="AG33" s="936">
        <f t="shared" si="3"/>
        <v>0</v>
      </c>
      <c r="AH33" s="936">
        <f t="shared" si="4"/>
        <v>0</v>
      </c>
      <c r="AI33" s="936">
        <f t="shared" si="5"/>
        <v>0</v>
      </c>
      <c r="AJ33" s="936">
        <f t="shared" si="6"/>
        <v>0</v>
      </c>
      <c r="AK33" s="936">
        <f t="shared" si="7"/>
        <v>0</v>
      </c>
      <c r="AL33" s="936">
        <f t="shared" si="8"/>
        <v>0</v>
      </c>
      <c r="AM33" s="936">
        <f t="shared" si="9"/>
        <v>9.346554984289936</v>
      </c>
      <c r="AN33" s="936">
        <f t="shared" si="10"/>
        <v>28.03966495286981</v>
      </c>
      <c r="AO33" s="936">
        <f t="shared" si="11"/>
        <v>46.732774921449675</v>
      </c>
      <c r="AP33" s="936">
        <f t="shared" si="12"/>
        <v>65.42588489002955</v>
      </c>
      <c r="AQ33" s="936">
        <f t="shared" si="13"/>
        <v>93.46554984289935</v>
      </c>
      <c r="AR33" s="936">
        <f t="shared" si="14"/>
        <v>93.46554984289935</v>
      </c>
      <c r="AS33" s="936">
        <f t="shared" si="15"/>
        <v>93.46554984289935</v>
      </c>
      <c r="AT33" s="936">
        <f t="shared" si="16"/>
        <v>93.46554984289935</v>
      </c>
      <c r="AU33" s="936">
        <f t="shared" si="17"/>
        <v>93.46554984289935</v>
      </c>
      <c r="AV33" s="936">
        <f t="shared" si="18"/>
        <v>93.46554984289935</v>
      </c>
      <c r="AW33" s="936">
        <f t="shared" si="19"/>
        <v>93.46554984289935</v>
      </c>
      <c r="AX33" s="936">
        <f t="shared" si="20"/>
        <v>93.46554984289935</v>
      </c>
      <c r="AY33" s="936">
        <f t="shared" si="21"/>
        <v>93.46554984289935</v>
      </c>
      <c r="AZ33" s="936">
        <f t="shared" si="22"/>
        <v>93.46554984289935</v>
      </c>
      <c r="BA33" s="936">
        <f t="shared" si="23"/>
        <v>93.46554984289935</v>
      </c>
      <c r="BB33" s="937">
        <f t="shared" si="24"/>
        <v>93.46554984289935</v>
      </c>
      <c r="BC33" s="938"/>
    </row>
    <row r="34" spans="2:55" s="934" customFormat="1" ht="15">
      <c r="B34" s="909">
        <v>2043</v>
      </c>
      <c r="C34" s="1218" t="s">
        <v>822</v>
      </c>
      <c r="D34" s="932">
        <v>0</v>
      </c>
      <c r="E34" s="932">
        <v>0</v>
      </c>
      <c r="F34" s="932">
        <v>0</v>
      </c>
      <c r="G34" s="932">
        <v>0</v>
      </c>
      <c r="H34" s="932">
        <v>0</v>
      </c>
      <c r="I34" s="932">
        <v>0</v>
      </c>
      <c r="J34" s="932">
        <v>0</v>
      </c>
      <c r="K34" s="932">
        <v>0</v>
      </c>
      <c r="L34" s="932">
        <v>0</v>
      </c>
      <c r="M34" s="932">
        <v>0</v>
      </c>
      <c r="N34" s="932">
        <v>6.4054565368744214</v>
      </c>
      <c r="O34" s="932">
        <v>19.216369610623264</v>
      </c>
      <c r="P34" s="932">
        <v>32.027282684372103</v>
      </c>
      <c r="Q34" s="932">
        <v>44.838195758120946</v>
      </c>
      <c r="R34" s="932">
        <v>64.054565368744193</v>
      </c>
      <c r="S34" s="932">
        <v>64.054565368744193</v>
      </c>
      <c r="T34" s="932">
        <v>64.054565368744193</v>
      </c>
      <c r="U34" s="932">
        <v>64.054565368744193</v>
      </c>
      <c r="V34" s="932">
        <v>64.054565368744193</v>
      </c>
      <c r="W34" s="932">
        <v>64.054565368744193</v>
      </c>
      <c r="X34" s="932">
        <v>64.054565368744193</v>
      </c>
      <c r="Y34" s="932">
        <v>64.054565368744193</v>
      </c>
      <c r="Z34" s="932">
        <v>64.054565368744193</v>
      </c>
      <c r="AA34" s="932">
        <v>64.054565368744193</v>
      </c>
      <c r="AB34" s="933">
        <v>64.054565368744193</v>
      </c>
      <c r="AD34" s="935">
        <f t="shared" si="0"/>
        <v>0</v>
      </c>
      <c r="AE34" s="936">
        <f t="shared" si="1"/>
        <v>0</v>
      </c>
      <c r="AF34" s="936">
        <f t="shared" si="2"/>
        <v>0</v>
      </c>
      <c r="AG34" s="936">
        <f t="shared" si="3"/>
        <v>0</v>
      </c>
      <c r="AH34" s="936">
        <f t="shared" si="4"/>
        <v>0</v>
      </c>
      <c r="AI34" s="936">
        <f t="shared" si="5"/>
        <v>0</v>
      </c>
      <c r="AJ34" s="936">
        <f t="shared" si="6"/>
        <v>0</v>
      </c>
      <c r="AK34" s="936">
        <f t="shared" si="7"/>
        <v>0</v>
      </c>
      <c r="AL34" s="936">
        <f t="shared" si="8"/>
        <v>0</v>
      </c>
      <c r="AM34" s="936">
        <f t="shared" si="9"/>
        <v>0</v>
      </c>
      <c r="AN34" s="936">
        <f t="shared" si="10"/>
        <v>9.6389921590725098</v>
      </c>
      <c r="AO34" s="936">
        <f t="shared" si="11"/>
        <v>28.916976477217531</v>
      </c>
      <c r="AP34" s="936">
        <f t="shared" si="12"/>
        <v>48.194960795362547</v>
      </c>
      <c r="AQ34" s="936">
        <f t="shared" si="13"/>
        <v>67.472945113507564</v>
      </c>
      <c r="AR34" s="936">
        <f t="shared" si="14"/>
        <v>96.389921590725052</v>
      </c>
      <c r="AS34" s="936">
        <f t="shared" si="15"/>
        <v>96.389921590725052</v>
      </c>
      <c r="AT34" s="936">
        <f t="shared" si="16"/>
        <v>96.389921590725052</v>
      </c>
      <c r="AU34" s="936">
        <f t="shared" si="17"/>
        <v>96.389921590725052</v>
      </c>
      <c r="AV34" s="936">
        <f t="shared" si="18"/>
        <v>96.389921590725052</v>
      </c>
      <c r="AW34" s="936">
        <f t="shared" si="19"/>
        <v>96.389921590725052</v>
      </c>
      <c r="AX34" s="936">
        <f t="shared" si="20"/>
        <v>96.389921590725052</v>
      </c>
      <c r="AY34" s="936">
        <f t="shared" si="21"/>
        <v>96.389921590725052</v>
      </c>
      <c r="AZ34" s="936">
        <f t="shared" si="22"/>
        <v>96.389921590725052</v>
      </c>
      <c r="BA34" s="936">
        <f t="shared" si="23"/>
        <v>96.389921590725052</v>
      </c>
      <c r="BB34" s="937">
        <f t="shared" si="24"/>
        <v>96.389921590725052</v>
      </c>
      <c r="BC34" s="938"/>
    </row>
    <row r="35" spans="2:55" s="934" customFormat="1" ht="15">
      <c r="B35" s="909">
        <v>2044</v>
      </c>
      <c r="C35" s="1218" t="s">
        <v>823</v>
      </c>
      <c r="D35" s="932">
        <v>0</v>
      </c>
      <c r="E35" s="932">
        <v>0</v>
      </c>
      <c r="F35" s="932">
        <v>0</v>
      </c>
      <c r="G35" s="932">
        <v>0</v>
      </c>
      <c r="H35" s="932">
        <v>0</v>
      </c>
      <c r="I35" s="932">
        <v>0</v>
      </c>
      <c r="J35" s="932">
        <v>0</v>
      </c>
      <c r="K35" s="932">
        <v>0</v>
      </c>
      <c r="L35" s="932">
        <v>0</v>
      </c>
      <c r="M35" s="932">
        <v>0</v>
      </c>
      <c r="N35" s="932">
        <v>0</v>
      </c>
      <c r="O35" s="932">
        <v>6.605871942976953</v>
      </c>
      <c r="P35" s="932">
        <v>19.817615828930862</v>
      </c>
      <c r="Q35" s="932">
        <v>33.029359714884762</v>
      </c>
      <c r="R35" s="932">
        <v>46.24110360083867</v>
      </c>
      <c r="S35" s="932">
        <v>66.058719429769511</v>
      </c>
      <c r="T35" s="932">
        <v>66.058719429769511</v>
      </c>
      <c r="U35" s="932">
        <v>66.058719429769511</v>
      </c>
      <c r="V35" s="932">
        <v>66.058719429769511</v>
      </c>
      <c r="W35" s="932">
        <v>66.058719429769511</v>
      </c>
      <c r="X35" s="932">
        <v>66.058719429769511</v>
      </c>
      <c r="Y35" s="932">
        <v>66.058719429769511</v>
      </c>
      <c r="Z35" s="932">
        <v>66.058719429769511</v>
      </c>
      <c r="AA35" s="932">
        <v>66.058719429769511</v>
      </c>
      <c r="AB35" s="933">
        <v>66.058719429769511</v>
      </c>
      <c r="AD35" s="935">
        <f t="shared" si="0"/>
        <v>0</v>
      </c>
      <c r="AE35" s="936">
        <f t="shared" si="1"/>
        <v>0</v>
      </c>
      <c r="AF35" s="936">
        <f t="shared" si="2"/>
        <v>0</v>
      </c>
      <c r="AG35" s="936">
        <f t="shared" si="3"/>
        <v>0</v>
      </c>
      <c r="AH35" s="936">
        <f t="shared" si="4"/>
        <v>0</v>
      </c>
      <c r="AI35" s="936">
        <f t="shared" si="5"/>
        <v>0</v>
      </c>
      <c r="AJ35" s="936">
        <f t="shared" si="6"/>
        <v>0</v>
      </c>
      <c r="AK35" s="936">
        <f t="shared" si="7"/>
        <v>0</v>
      </c>
      <c r="AL35" s="936">
        <f t="shared" si="8"/>
        <v>0</v>
      </c>
      <c r="AM35" s="936">
        <f t="shared" si="9"/>
        <v>0</v>
      </c>
      <c r="AN35" s="936">
        <f t="shared" si="10"/>
        <v>0</v>
      </c>
      <c r="AO35" s="936">
        <f t="shared" si="11"/>
        <v>9.9405791758384154</v>
      </c>
      <c r="AP35" s="936">
        <f t="shared" si="12"/>
        <v>29.821737527515253</v>
      </c>
      <c r="AQ35" s="936">
        <f t="shared" si="13"/>
        <v>49.702895879192077</v>
      </c>
      <c r="AR35" s="936">
        <f t="shared" si="14"/>
        <v>69.584054230868901</v>
      </c>
      <c r="AS35" s="936">
        <f t="shared" si="15"/>
        <v>99.405791758384126</v>
      </c>
      <c r="AT35" s="936">
        <f t="shared" si="16"/>
        <v>99.405791758384126</v>
      </c>
      <c r="AU35" s="936">
        <f t="shared" si="17"/>
        <v>99.405791758384126</v>
      </c>
      <c r="AV35" s="936">
        <f t="shared" si="18"/>
        <v>99.405791758384126</v>
      </c>
      <c r="AW35" s="936">
        <f t="shared" si="19"/>
        <v>99.405791758384126</v>
      </c>
      <c r="AX35" s="936">
        <f t="shared" si="20"/>
        <v>99.405791758384126</v>
      </c>
      <c r="AY35" s="936">
        <f t="shared" si="21"/>
        <v>99.405791758384126</v>
      </c>
      <c r="AZ35" s="936">
        <f t="shared" si="22"/>
        <v>99.405791758384126</v>
      </c>
      <c r="BA35" s="936">
        <f t="shared" si="23"/>
        <v>99.405791758384126</v>
      </c>
      <c r="BB35" s="937">
        <f t="shared" si="24"/>
        <v>99.405791758384126</v>
      </c>
      <c r="BC35" s="938"/>
    </row>
    <row r="36" spans="2:55" s="934" customFormat="1" ht="15">
      <c r="B36" s="909">
        <v>2045</v>
      </c>
      <c r="C36" s="1218" t="s">
        <v>824</v>
      </c>
      <c r="D36" s="932">
        <v>0</v>
      </c>
      <c r="E36" s="932">
        <v>0</v>
      </c>
      <c r="F36" s="932">
        <v>0</v>
      </c>
      <c r="G36" s="932">
        <v>0</v>
      </c>
      <c r="H36" s="932">
        <v>0</v>
      </c>
      <c r="I36" s="932">
        <v>0</v>
      </c>
      <c r="J36" s="932">
        <v>0</v>
      </c>
      <c r="K36" s="932">
        <v>0</v>
      </c>
      <c r="L36" s="932">
        <v>0</v>
      </c>
      <c r="M36" s="932">
        <v>0</v>
      </c>
      <c r="N36" s="932">
        <v>0</v>
      </c>
      <c r="O36" s="932">
        <v>0</v>
      </c>
      <c r="P36" s="932">
        <v>6.8125579926740558</v>
      </c>
      <c r="Q36" s="932">
        <v>20.437673978022168</v>
      </c>
      <c r="R36" s="932">
        <v>34.062789963370278</v>
      </c>
      <c r="S36" s="932">
        <v>47.687905948718395</v>
      </c>
      <c r="T36" s="932">
        <v>68.125579926740542</v>
      </c>
      <c r="U36" s="932">
        <v>68.125579926740542</v>
      </c>
      <c r="V36" s="932">
        <v>68.125579926740542</v>
      </c>
      <c r="W36" s="932">
        <v>68.125579926740542</v>
      </c>
      <c r="X36" s="932">
        <v>68.125579926740542</v>
      </c>
      <c r="Y36" s="932">
        <v>68.125579926740542</v>
      </c>
      <c r="Z36" s="932">
        <v>68.125579926740542</v>
      </c>
      <c r="AA36" s="932">
        <v>68.125579926740542</v>
      </c>
      <c r="AB36" s="933">
        <v>68.125579926740542</v>
      </c>
      <c r="AD36" s="935">
        <f t="shared" si="0"/>
        <v>0</v>
      </c>
      <c r="AE36" s="936">
        <f t="shared" si="1"/>
        <v>0</v>
      </c>
      <c r="AF36" s="936">
        <f t="shared" si="2"/>
        <v>0</v>
      </c>
      <c r="AG36" s="936">
        <f t="shared" si="3"/>
        <v>0</v>
      </c>
      <c r="AH36" s="936">
        <f t="shared" si="4"/>
        <v>0</v>
      </c>
      <c r="AI36" s="936">
        <f t="shared" si="5"/>
        <v>0</v>
      </c>
      <c r="AJ36" s="936">
        <f t="shared" si="6"/>
        <v>0</v>
      </c>
      <c r="AK36" s="936">
        <f t="shared" si="7"/>
        <v>0</v>
      </c>
      <c r="AL36" s="936">
        <f t="shared" si="8"/>
        <v>0</v>
      </c>
      <c r="AM36" s="936">
        <f t="shared" si="9"/>
        <v>0</v>
      </c>
      <c r="AN36" s="936">
        <f t="shared" si="10"/>
        <v>0</v>
      </c>
      <c r="AO36" s="936">
        <f t="shared" si="11"/>
        <v>0</v>
      </c>
      <c r="AP36" s="936">
        <f t="shared" si="12"/>
        <v>10.251602316960557</v>
      </c>
      <c r="AQ36" s="936">
        <f t="shared" si="13"/>
        <v>30.754806950881676</v>
      </c>
      <c r="AR36" s="936">
        <f t="shared" si="14"/>
        <v>51.258011584802787</v>
      </c>
      <c r="AS36" s="936">
        <f t="shared" si="15"/>
        <v>71.761216218723916</v>
      </c>
      <c r="AT36" s="936">
        <f t="shared" si="16"/>
        <v>102.51602316960556</v>
      </c>
      <c r="AU36" s="936">
        <f t="shared" si="17"/>
        <v>102.51602316960556</v>
      </c>
      <c r="AV36" s="936">
        <f t="shared" si="18"/>
        <v>102.51602316960556</v>
      </c>
      <c r="AW36" s="936">
        <f t="shared" si="19"/>
        <v>102.51602316960556</v>
      </c>
      <c r="AX36" s="936">
        <f t="shared" si="20"/>
        <v>102.51602316960556</v>
      </c>
      <c r="AY36" s="936">
        <f t="shared" si="21"/>
        <v>102.51602316960556</v>
      </c>
      <c r="AZ36" s="936">
        <f t="shared" si="22"/>
        <v>102.51602316960556</v>
      </c>
      <c r="BA36" s="936">
        <f t="shared" si="23"/>
        <v>102.51602316960556</v>
      </c>
      <c r="BB36" s="937">
        <f t="shared" si="24"/>
        <v>102.51602316960556</v>
      </c>
      <c r="BC36" s="938"/>
    </row>
    <row r="37" spans="2:55" s="934" customFormat="1" ht="15">
      <c r="B37" s="909">
        <v>2046</v>
      </c>
      <c r="C37" s="1218" t="s">
        <v>825</v>
      </c>
      <c r="D37" s="932">
        <v>0</v>
      </c>
      <c r="E37" s="932">
        <v>0</v>
      </c>
      <c r="F37" s="932">
        <v>0</v>
      </c>
      <c r="G37" s="932">
        <v>0</v>
      </c>
      <c r="H37" s="932">
        <v>0</v>
      </c>
      <c r="I37" s="932">
        <v>0</v>
      </c>
      <c r="J37" s="932">
        <v>0</v>
      </c>
      <c r="K37" s="932">
        <v>0</v>
      </c>
      <c r="L37" s="932">
        <v>0</v>
      </c>
      <c r="M37" s="932">
        <v>0</v>
      </c>
      <c r="N37" s="932">
        <v>0</v>
      </c>
      <c r="O37" s="932">
        <v>0</v>
      </c>
      <c r="P37" s="932">
        <v>0</v>
      </c>
      <c r="Q37" s="932">
        <v>7.0257108833132991</v>
      </c>
      <c r="R37" s="932">
        <v>21.077132649939898</v>
      </c>
      <c r="S37" s="932">
        <v>35.128554416566494</v>
      </c>
      <c r="T37" s="932">
        <v>49.179976183193098</v>
      </c>
      <c r="U37" s="932">
        <v>70.257108833132975</v>
      </c>
      <c r="V37" s="932">
        <v>70.257108833132975</v>
      </c>
      <c r="W37" s="932">
        <v>70.257108833132975</v>
      </c>
      <c r="X37" s="932">
        <v>70.257108833132975</v>
      </c>
      <c r="Y37" s="932">
        <v>70.257108833132975</v>
      </c>
      <c r="Z37" s="932">
        <v>70.257108833132975</v>
      </c>
      <c r="AA37" s="932">
        <v>70.257108833132975</v>
      </c>
      <c r="AB37" s="933">
        <v>70.257108833132975</v>
      </c>
      <c r="AD37" s="935">
        <f t="shared" si="0"/>
        <v>0</v>
      </c>
      <c r="AE37" s="936">
        <f t="shared" si="1"/>
        <v>0</v>
      </c>
      <c r="AF37" s="936">
        <f t="shared" si="2"/>
        <v>0</v>
      </c>
      <c r="AG37" s="936">
        <f t="shared" si="3"/>
        <v>0</v>
      </c>
      <c r="AH37" s="936">
        <f t="shared" si="4"/>
        <v>0</v>
      </c>
      <c r="AI37" s="936">
        <f t="shared" si="5"/>
        <v>0</v>
      </c>
      <c r="AJ37" s="936">
        <f t="shared" si="6"/>
        <v>0</v>
      </c>
      <c r="AK37" s="936">
        <f t="shared" si="7"/>
        <v>0</v>
      </c>
      <c r="AL37" s="936">
        <f t="shared" si="8"/>
        <v>0</v>
      </c>
      <c r="AM37" s="936">
        <f t="shared" si="9"/>
        <v>0</v>
      </c>
      <c r="AN37" s="936">
        <f t="shared" si="10"/>
        <v>0</v>
      </c>
      <c r="AO37" s="936">
        <f t="shared" si="11"/>
        <v>0</v>
      </c>
      <c r="AP37" s="936">
        <f t="shared" si="12"/>
        <v>0</v>
      </c>
      <c r="AQ37" s="936">
        <f t="shared" si="13"/>
        <v>10.572356822080947</v>
      </c>
      <c r="AR37" s="936">
        <f t="shared" si="14"/>
        <v>31.717070466242841</v>
      </c>
      <c r="AS37" s="936">
        <f t="shared" si="15"/>
        <v>52.861784110404727</v>
      </c>
      <c r="AT37" s="936">
        <f t="shared" si="16"/>
        <v>74.006497754566624</v>
      </c>
      <c r="AU37" s="936">
        <f t="shared" si="17"/>
        <v>105.72356822080944</v>
      </c>
      <c r="AV37" s="936">
        <f t="shared" si="18"/>
        <v>105.72356822080944</v>
      </c>
      <c r="AW37" s="936">
        <f t="shared" si="19"/>
        <v>105.72356822080944</v>
      </c>
      <c r="AX37" s="936">
        <f t="shared" si="20"/>
        <v>105.72356822080944</v>
      </c>
      <c r="AY37" s="936">
        <f t="shared" si="21"/>
        <v>105.72356822080944</v>
      </c>
      <c r="AZ37" s="936">
        <f t="shared" si="22"/>
        <v>105.72356822080944</v>
      </c>
      <c r="BA37" s="936">
        <f t="shared" si="23"/>
        <v>105.72356822080944</v>
      </c>
      <c r="BB37" s="937">
        <f t="shared" si="24"/>
        <v>105.72356822080944</v>
      </c>
      <c r="BC37" s="938"/>
    </row>
    <row r="38" spans="2:55" s="934" customFormat="1" ht="15">
      <c r="B38" s="909">
        <v>2047</v>
      </c>
      <c r="C38" s="1218" t="s">
        <v>826</v>
      </c>
      <c r="D38" s="932">
        <v>0</v>
      </c>
      <c r="E38" s="932">
        <v>0</v>
      </c>
      <c r="F38" s="932">
        <v>0</v>
      </c>
      <c r="G38" s="932">
        <v>0</v>
      </c>
      <c r="H38" s="932">
        <v>0</v>
      </c>
      <c r="I38" s="932">
        <v>0</v>
      </c>
      <c r="J38" s="932">
        <v>0</v>
      </c>
      <c r="K38" s="932">
        <v>0</v>
      </c>
      <c r="L38" s="932">
        <v>0</v>
      </c>
      <c r="M38" s="932">
        <v>0</v>
      </c>
      <c r="N38" s="932">
        <v>0</v>
      </c>
      <c r="O38" s="932">
        <v>0</v>
      </c>
      <c r="P38" s="932">
        <v>0</v>
      </c>
      <c r="Q38" s="932">
        <v>0</v>
      </c>
      <c r="R38" s="932">
        <v>7.2455329509102633</v>
      </c>
      <c r="S38" s="932">
        <v>21.73659885273079</v>
      </c>
      <c r="T38" s="932">
        <v>36.227664754551313</v>
      </c>
      <c r="U38" s="932">
        <v>50.718730656371839</v>
      </c>
      <c r="V38" s="932">
        <v>72.455329509102611</v>
      </c>
      <c r="W38" s="932">
        <v>72.455329509102611</v>
      </c>
      <c r="X38" s="932">
        <v>72.455329509102611</v>
      </c>
      <c r="Y38" s="932">
        <v>72.455329509102611</v>
      </c>
      <c r="Z38" s="932">
        <v>72.455329509102611</v>
      </c>
      <c r="AA38" s="932">
        <v>72.455329509102611</v>
      </c>
      <c r="AB38" s="933">
        <v>72.455329509102611</v>
      </c>
      <c r="AD38" s="935">
        <f t="shared" si="0"/>
        <v>0</v>
      </c>
      <c r="AE38" s="936">
        <f t="shared" si="1"/>
        <v>0</v>
      </c>
      <c r="AF38" s="936">
        <f t="shared" si="2"/>
        <v>0</v>
      </c>
      <c r="AG38" s="936">
        <f t="shared" si="3"/>
        <v>0</v>
      </c>
      <c r="AH38" s="936">
        <f t="shared" si="4"/>
        <v>0</v>
      </c>
      <c r="AI38" s="936">
        <f t="shared" si="5"/>
        <v>0</v>
      </c>
      <c r="AJ38" s="936">
        <f t="shared" si="6"/>
        <v>0</v>
      </c>
      <c r="AK38" s="936">
        <f t="shared" si="7"/>
        <v>0</v>
      </c>
      <c r="AL38" s="936">
        <f t="shared" si="8"/>
        <v>0</v>
      </c>
      <c r="AM38" s="936">
        <f t="shared" si="9"/>
        <v>0</v>
      </c>
      <c r="AN38" s="936">
        <f t="shared" si="10"/>
        <v>0</v>
      </c>
      <c r="AO38" s="936">
        <f t="shared" si="11"/>
        <v>0</v>
      </c>
      <c r="AP38" s="936">
        <f t="shared" si="12"/>
        <v>0</v>
      </c>
      <c r="AQ38" s="936">
        <f t="shared" si="13"/>
        <v>0</v>
      </c>
      <c r="AR38" s="936">
        <f t="shared" si="14"/>
        <v>10.903147168367827</v>
      </c>
      <c r="AS38" s="936">
        <f t="shared" si="15"/>
        <v>32.709441505103477</v>
      </c>
      <c r="AT38" s="936">
        <f t="shared" si="16"/>
        <v>54.515735841839131</v>
      </c>
      <c r="AU38" s="936">
        <f t="shared" si="17"/>
        <v>76.322030178574778</v>
      </c>
      <c r="AV38" s="936">
        <f t="shared" si="18"/>
        <v>109.03147168367822</v>
      </c>
      <c r="AW38" s="936">
        <f t="shared" si="19"/>
        <v>109.03147168367822</v>
      </c>
      <c r="AX38" s="936">
        <f t="shared" si="20"/>
        <v>109.03147168367822</v>
      </c>
      <c r="AY38" s="936">
        <f t="shared" si="21"/>
        <v>109.03147168367822</v>
      </c>
      <c r="AZ38" s="936">
        <f t="shared" si="22"/>
        <v>109.03147168367822</v>
      </c>
      <c r="BA38" s="936">
        <f t="shared" si="23"/>
        <v>109.03147168367822</v>
      </c>
      <c r="BB38" s="937">
        <f t="shared" si="24"/>
        <v>109.03147168367822</v>
      </c>
      <c r="BC38" s="938"/>
    </row>
    <row r="39" spans="2:55" s="934" customFormat="1" ht="15">
      <c r="B39" s="909">
        <v>2048</v>
      </c>
      <c r="C39" s="1218" t="s">
        <v>827</v>
      </c>
      <c r="D39" s="932">
        <v>0</v>
      </c>
      <c r="E39" s="932">
        <v>0</v>
      </c>
      <c r="F39" s="932">
        <v>0</v>
      </c>
      <c r="G39" s="932">
        <v>0</v>
      </c>
      <c r="H39" s="932">
        <v>0</v>
      </c>
      <c r="I39" s="932">
        <v>0</v>
      </c>
      <c r="J39" s="932">
        <v>0</v>
      </c>
      <c r="K39" s="932">
        <v>0</v>
      </c>
      <c r="L39" s="932">
        <v>0</v>
      </c>
      <c r="M39" s="932">
        <v>0</v>
      </c>
      <c r="N39" s="932">
        <v>0</v>
      </c>
      <c r="O39" s="932">
        <v>0</v>
      </c>
      <c r="P39" s="932">
        <v>0</v>
      </c>
      <c r="Q39" s="932">
        <v>0</v>
      </c>
      <c r="R39" s="932">
        <v>0</v>
      </c>
      <c r="S39" s="932">
        <v>7.4722328622165897</v>
      </c>
      <c r="T39" s="932">
        <v>22.416698586649769</v>
      </c>
      <c r="U39" s="932">
        <v>37.361164311082945</v>
      </c>
      <c r="V39" s="932">
        <v>52.305630035516131</v>
      </c>
      <c r="W39" s="932">
        <v>74.722328622165875</v>
      </c>
      <c r="X39" s="932">
        <v>74.722328622165875</v>
      </c>
      <c r="Y39" s="932">
        <v>74.722328622165875</v>
      </c>
      <c r="Z39" s="932">
        <v>74.722328622165875</v>
      </c>
      <c r="AA39" s="932">
        <v>74.722328622165875</v>
      </c>
      <c r="AB39" s="933">
        <v>74.722328622165875</v>
      </c>
      <c r="AD39" s="935">
        <f t="shared" si="0"/>
        <v>0</v>
      </c>
      <c r="AE39" s="936">
        <f t="shared" si="1"/>
        <v>0</v>
      </c>
      <c r="AF39" s="936">
        <f t="shared" si="2"/>
        <v>0</v>
      </c>
      <c r="AG39" s="936">
        <f t="shared" si="3"/>
        <v>0</v>
      </c>
      <c r="AH39" s="936">
        <f t="shared" si="4"/>
        <v>0</v>
      </c>
      <c r="AI39" s="936">
        <f t="shared" si="5"/>
        <v>0</v>
      </c>
      <c r="AJ39" s="936">
        <f t="shared" si="6"/>
        <v>0</v>
      </c>
      <c r="AK39" s="936">
        <f t="shared" si="7"/>
        <v>0</v>
      </c>
      <c r="AL39" s="936">
        <f t="shared" si="8"/>
        <v>0</v>
      </c>
      <c r="AM39" s="936">
        <f t="shared" si="9"/>
        <v>0</v>
      </c>
      <c r="AN39" s="936">
        <f t="shared" si="10"/>
        <v>0</v>
      </c>
      <c r="AO39" s="936">
        <f t="shared" si="11"/>
        <v>0</v>
      </c>
      <c r="AP39" s="936">
        <f t="shared" si="12"/>
        <v>0</v>
      </c>
      <c r="AQ39" s="936">
        <f t="shared" si="13"/>
        <v>0</v>
      </c>
      <c r="AR39" s="936">
        <f t="shared" si="14"/>
        <v>0</v>
      </c>
      <c r="AS39" s="936">
        <f t="shared" si="15"/>
        <v>11.244287359541516</v>
      </c>
      <c r="AT39" s="936">
        <f t="shared" si="16"/>
        <v>33.732862078624557</v>
      </c>
      <c r="AU39" s="936">
        <f t="shared" si="17"/>
        <v>56.221436797707582</v>
      </c>
      <c r="AV39" s="936">
        <f t="shared" si="18"/>
        <v>78.710011516790615</v>
      </c>
      <c r="AW39" s="936">
        <f t="shared" si="19"/>
        <v>112.44287359541514</v>
      </c>
      <c r="AX39" s="936">
        <f t="shared" si="20"/>
        <v>112.44287359541514</v>
      </c>
      <c r="AY39" s="936">
        <f t="shared" si="21"/>
        <v>112.44287359541514</v>
      </c>
      <c r="AZ39" s="936">
        <f t="shared" si="22"/>
        <v>112.44287359541514</v>
      </c>
      <c r="BA39" s="936">
        <f t="shared" si="23"/>
        <v>112.44287359541514</v>
      </c>
      <c r="BB39" s="937">
        <f t="shared" si="24"/>
        <v>112.44287359541514</v>
      </c>
      <c r="BC39" s="938"/>
    </row>
    <row r="40" spans="2:55" s="934" customFormat="1" ht="15">
      <c r="B40" s="909">
        <v>2049</v>
      </c>
      <c r="C40" s="1218" t="s">
        <v>828</v>
      </c>
      <c r="D40" s="932">
        <v>0</v>
      </c>
      <c r="E40" s="932">
        <v>0</v>
      </c>
      <c r="F40" s="932">
        <v>0</v>
      </c>
      <c r="G40" s="932">
        <v>0</v>
      </c>
      <c r="H40" s="932">
        <v>0</v>
      </c>
      <c r="I40" s="932">
        <v>0</v>
      </c>
      <c r="J40" s="932">
        <v>0</v>
      </c>
      <c r="K40" s="932">
        <v>0</v>
      </c>
      <c r="L40" s="932">
        <v>0</v>
      </c>
      <c r="M40" s="932">
        <v>0</v>
      </c>
      <c r="N40" s="932">
        <v>0</v>
      </c>
      <c r="O40" s="932">
        <v>0</v>
      </c>
      <c r="P40" s="932">
        <v>0</v>
      </c>
      <c r="Q40" s="932">
        <v>0</v>
      </c>
      <c r="R40" s="932">
        <v>0</v>
      </c>
      <c r="S40" s="932">
        <v>0</v>
      </c>
      <c r="T40" s="932">
        <v>7.7060258127975274</v>
      </c>
      <c r="U40" s="932">
        <v>23.118077438392586</v>
      </c>
      <c r="V40" s="932">
        <v>38.530129063987637</v>
      </c>
      <c r="W40" s="932">
        <v>53.942180689582699</v>
      </c>
      <c r="X40" s="932">
        <v>77.06025812797526</v>
      </c>
      <c r="Y40" s="932">
        <v>77.06025812797526</v>
      </c>
      <c r="Z40" s="932">
        <v>77.06025812797526</v>
      </c>
      <c r="AA40" s="932">
        <v>77.06025812797526</v>
      </c>
      <c r="AB40" s="933">
        <v>77.06025812797526</v>
      </c>
      <c r="AD40" s="935">
        <f t="shared" si="0"/>
        <v>0</v>
      </c>
      <c r="AE40" s="936">
        <f t="shared" si="1"/>
        <v>0</v>
      </c>
      <c r="AF40" s="936">
        <f t="shared" si="2"/>
        <v>0</v>
      </c>
      <c r="AG40" s="936">
        <f t="shared" si="3"/>
        <v>0</v>
      </c>
      <c r="AH40" s="936">
        <f t="shared" si="4"/>
        <v>0</v>
      </c>
      <c r="AI40" s="936">
        <f t="shared" si="5"/>
        <v>0</v>
      </c>
      <c r="AJ40" s="936">
        <f t="shared" si="6"/>
        <v>0</v>
      </c>
      <c r="AK40" s="936">
        <f t="shared" si="7"/>
        <v>0</v>
      </c>
      <c r="AL40" s="936">
        <f t="shared" si="8"/>
        <v>0</v>
      </c>
      <c r="AM40" s="936">
        <f t="shared" si="9"/>
        <v>0</v>
      </c>
      <c r="AN40" s="936">
        <f t="shared" si="10"/>
        <v>0</v>
      </c>
      <c r="AO40" s="936">
        <f t="shared" si="11"/>
        <v>0</v>
      </c>
      <c r="AP40" s="936">
        <f t="shared" si="12"/>
        <v>0</v>
      </c>
      <c r="AQ40" s="936">
        <f t="shared" si="13"/>
        <v>0</v>
      </c>
      <c r="AR40" s="936">
        <f t="shared" si="14"/>
        <v>0</v>
      </c>
      <c r="AS40" s="936">
        <f t="shared" si="15"/>
        <v>0</v>
      </c>
      <c r="AT40" s="936">
        <f t="shared" si="16"/>
        <v>11.5961012239434</v>
      </c>
      <c r="AU40" s="936">
        <f t="shared" si="17"/>
        <v>34.788303671830199</v>
      </c>
      <c r="AV40" s="936">
        <f t="shared" si="18"/>
        <v>57.980506119716999</v>
      </c>
      <c r="AW40" s="936">
        <f t="shared" si="19"/>
        <v>81.172708567603806</v>
      </c>
      <c r="AX40" s="936">
        <f t="shared" si="20"/>
        <v>115.96101223943397</v>
      </c>
      <c r="AY40" s="936">
        <f t="shared" si="21"/>
        <v>115.96101223943397</v>
      </c>
      <c r="AZ40" s="936">
        <f t="shared" si="22"/>
        <v>115.96101223943397</v>
      </c>
      <c r="BA40" s="936">
        <f t="shared" si="23"/>
        <v>115.96101223943397</v>
      </c>
      <c r="BB40" s="937">
        <f t="shared" si="24"/>
        <v>115.96101223943397</v>
      </c>
      <c r="BC40" s="938"/>
    </row>
    <row r="41" spans="2:55" s="934" customFormat="1" ht="15">
      <c r="B41" s="916">
        <v>2050</v>
      </c>
      <c r="C41" s="1219" t="s">
        <v>829</v>
      </c>
      <c r="D41" s="932">
        <v>0</v>
      </c>
      <c r="E41" s="932">
        <v>0</v>
      </c>
      <c r="F41" s="932">
        <v>0</v>
      </c>
      <c r="G41" s="932">
        <v>0</v>
      </c>
      <c r="H41" s="932">
        <v>0</v>
      </c>
      <c r="I41" s="932">
        <v>0</v>
      </c>
      <c r="J41" s="932">
        <v>0</v>
      </c>
      <c r="K41" s="932">
        <v>0</v>
      </c>
      <c r="L41" s="932">
        <v>0</v>
      </c>
      <c r="M41" s="932">
        <v>0</v>
      </c>
      <c r="N41" s="932">
        <v>0</v>
      </c>
      <c r="O41" s="932">
        <v>0</v>
      </c>
      <c r="P41" s="932">
        <v>0</v>
      </c>
      <c r="Q41" s="932">
        <v>0</v>
      </c>
      <c r="R41" s="932">
        <v>0</v>
      </c>
      <c r="S41" s="932">
        <v>0</v>
      </c>
      <c r="T41" s="932">
        <v>0</v>
      </c>
      <c r="U41" s="932">
        <v>7.947133731306959</v>
      </c>
      <c r="V41" s="932">
        <v>23.841401193920877</v>
      </c>
      <c r="W41" s="932">
        <v>39.735668656534791</v>
      </c>
      <c r="X41" s="932">
        <v>55.629936119148717</v>
      </c>
      <c r="Y41" s="932">
        <v>79.471337313069569</v>
      </c>
      <c r="Z41" s="932">
        <v>79.471337313069569</v>
      </c>
      <c r="AA41" s="932">
        <v>79.471337313069569</v>
      </c>
      <c r="AB41" s="933">
        <v>79.471337313069569</v>
      </c>
      <c r="AD41" s="935">
        <f t="shared" si="0"/>
        <v>0</v>
      </c>
      <c r="AE41" s="936">
        <f t="shared" si="1"/>
        <v>0</v>
      </c>
      <c r="AF41" s="936">
        <f t="shared" si="2"/>
        <v>0</v>
      </c>
      <c r="AG41" s="936">
        <f t="shared" si="3"/>
        <v>0</v>
      </c>
      <c r="AH41" s="936">
        <f t="shared" si="4"/>
        <v>0</v>
      </c>
      <c r="AI41" s="936">
        <f t="shared" si="5"/>
        <v>0</v>
      </c>
      <c r="AJ41" s="936">
        <f t="shared" si="6"/>
        <v>0</v>
      </c>
      <c r="AK41" s="936">
        <f t="shared" si="7"/>
        <v>0</v>
      </c>
      <c r="AL41" s="936">
        <f t="shared" si="8"/>
        <v>0</v>
      </c>
      <c r="AM41" s="936">
        <f t="shared" si="9"/>
        <v>0</v>
      </c>
      <c r="AN41" s="936">
        <f t="shared" si="10"/>
        <v>0</v>
      </c>
      <c r="AO41" s="936">
        <f t="shared" si="11"/>
        <v>0</v>
      </c>
      <c r="AP41" s="936">
        <f t="shared" si="12"/>
        <v>0</v>
      </c>
      <c r="AQ41" s="936">
        <f t="shared" si="13"/>
        <v>0</v>
      </c>
      <c r="AR41" s="936">
        <f t="shared" si="14"/>
        <v>0</v>
      </c>
      <c r="AS41" s="936">
        <f t="shared" si="15"/>
        <v>0</v>
      </c>
      <c r="AT41" s="936">
        <f t="shared" si="16"/>
        <v>0</v>
      </c>
      <c r="AU41" s="936">
        <f t="shared" si="17"/>
        <v>11.958922721930916</v>
      </c>
      <c r="AV41" s="936">
        <f t="shared" si="18"/>
        <v>35.87676816579274</v>
      </c>
      <c r="AW41" s="936">
        <f t="shared" si="19"/>
        <v>59.794613609654562</v>
      </c>
      <c r="AX41" s="936">
        <f t="shared" si="20"/>
        <v>83.712459053516412</v>
      </c>
      <c r="AY41" s="936">
        <f t="shared" si="21"/>
        <v>119.58922721930911</v>
      </c>
      <c r="AZ41" s="936">
        <f t="shared" si="22"/>
        <v>119.58922721930911</v>
      </c>
      <c r="BA41" s="936">
        <f t="shared" si="23"/>
        <v>119.58922721930911</v>
      </c>
      <c r="BB41" s="937">
        <f t="shared" si="24"/>
        <v>119.58922721930911</v>
      </c>
      <c r="BC41" s="938"/>
    </row>
    <row r="42" spans="2:55" s="934" customFormat="1" ht="15">
      <c r="B42" s="909" t="s">
        <v>830</v>
      </c>
      <c r="C42" s="931"/>
      <c r="D42" s="940">
        <f>NPV(realdiscrt1,D9:D41)/(1+realdiscrt1)^-Half_Year</f>
        <v>41.936314100360683</v>
      </c>
      <c r="E42" s="940">
        <f t="shared" ref="E42:AB42" si="25">NPV(realdiscrt1,E9:E41)/(1+realdiscrt1)^-Half_Year</f>
        <v>84.59636967977373</v>
      </c>
      <c r="F42" s="940">
        <f t="shared" si="25"/>
        <v>128.65476576677798</v>
      </c>
      <c r="G42" s="940">
        <f t="shared" si="25"/>
        <v>172.51398862206139</v>
      </c>
      <c r="H42" s="940">
        <f t="shared" si="25"/>
        <v>215.60478838507507</v>
      </c>
      <c r="I42" s="940">
        <f t="shared" si="25"/>
        <v>259.20569545691234</v>
      </c>
      <c r="J42" s="940">
        <f t="shared" si="25"/>
        <v>299.81750087664415</v>
      </c>
      <c r="K42" s="940">
        <f t="shared" si="25"/>
        <v>341.13636216081278</v>
      </c>
      <c r="L42" s="940">
        <f t="shared" si="25"/>
        <v>383.17458922744004</v>
      </c>
      <c r="M42" s="940">
        <f t="shared" si="25"/>
        <v>425.94470631153354</v>
      </c>
      <c r="N42" s="940">
        <f t="shared" si="25"/>
        <v>469.45945569636859</v>
      </c>
      <c r="O42" s="940">
        <f t="shared" si="25"/>
        <v>513.73180150973121</v>
      </c>
      <c r="P42" s="940">
        <f>NPV(realdiscrt1,P9:P41)/(1+realdiscrt1)^-Half_Year</f>
        <v>558.77493358625509</v>
      </c>
      <c r="Q42" s="940">
        <f t="shared" si="25"/>
        <v>604.60227139700237</v>
      </c>
      <c r="R42" s="940">
        <f t="shared" si="25"/>
        <v>651.22746804745702</v>
      </c>
      <c r="S42" s="940">
        <f t="shared" si="25"/>
        <v>698.6644143451266</v>
      </c>
      <c r="T42" s="940">
        <f t="shared" si="25"/>
        <v>746.92724293795857</v>
      </c>
      <c r="U42" s="940">
        <f t="shared" si="25"/>
        <v>796.03033252480907</v>
      </c>
      <c r="V42" s="940">
        <f>NPV(realdiscrt1,V9:V41)/(1+realdiscrt1)^-Half_Year</f>
        <v>840.78264849241896</v>
      </c>
      <c r="W42" s="940">
        <f t="shared" si="25"/>
        <v>875.90277976118239</v>
      </c>
      <c r="X42" s="940">
        <f t="shared" si="25"/>
        <v>901.22302896802307</v>
      </c>
      <c r="Y42" s="940">
        <f t="shared" si="25"/>
        <v>916.572779120885</v>
      </c>
      <c r="Z42" s="940">
        <f t="shared" si="25"/>
        <v>916.572779120885</v>
      </c>
      <c r="AA42" s="940">
        <f t="shared" si="25"/>
        <v>916.572779120885</v>
      </c>
      <c r="AB42" s="940">
        <f t="shared" si="25"/>
        <v>916.572779120885</v>
      </c>
      <c r="AD42" s="1477">
        <f t="shared" ref="AD42:BB42" si="26">NPV(realdiscrt1,AD15:AD41)/(1+realdiscrt1)^-Half_Year</f>
        <v>68.450382702380821</v>
      </c>
      <c r="AE42" s="1477">
        <f t="shared" si="26"/>
        <v>138.08208956930702</v>
      </c>
      <c r="AF42" s="1477">
        <f t="shared" si="26"/>
        <v>209.9962321949838</v>
      </c>
      <c r="AG42" s="1477">
        <f t="shared" si="26"/>
        <v>281.58527510153095</v>
      </c>
      <c r="AH42" s="1477">
        <f t="shared" si="26"/>
        <v>351.92006245721262</v>
      </c>
      <c r="AI42" s="1477">
        <f t="shared" si="26"/>
        <v>423.0874704486684</v>
      </c>
      <c r="AJ42" s="1477">
        <f t="shared" si="26"/>
        <v>489.3759290996245</v>
      </c>
      <c r="AK42" s="1477">
        <f t="shared" si="26"/>
        <v>556.81847688671292</v>
      </c>
      <c r="AL42" s="1477">
        <f t="shared" si="26"/>
        <v>625.43520662490107</v>
      </c>
      <c r="AM42" s="1477">
        <f t="shared" si="26"/>
        <v>695.24656094720797</v>
      </c>
      <c r="AN42" s="1477">
        <f t="shared" si="26"/>
        <v>766.27333839507457</v>
      </c>
      <c r="AO42" s="1477">
        <f t="shared" si="26"/>
        <v>838.53669961476623</v>
      </c>
      <c r="AP42" s="1477">
        <f t="shared" si="26"/>
        <v>912.05817366165763</v>
      </c>
      <c r="AQ42" s="1477">
        <f t="shared" si="26"/>
        <v>986.85966441427342</v>
      </c>
      <c r="AR42" s="1477">
        <f t="shared" si="26"/>
        <v>1062.9634571000006</v>
      </c>
      <c r="AS42" s="1477">
        <f t="shared" si="26"/>
        <v>1140.3922249344116</v>
      </c>
      <c r="AT42" s="1477">
        <f t="shared" si="26"/>
        <v>1219.1690358761803</v>
      </c>
      <c r="AU42" s="1477">
        <f t="shared" si="26"/>
        <v>1299.3173594996033</v>
      </c>
      <c r="AV42" s="1477">
        <f t="shared" si="26"/>
        <v>1372.3641501037978</v>
      </c>
      <c r="AW42" s="1477">
        <f t="shared" si="26"/>
        <v>1429.6888453584058</v>
      </c>
      <c r="AX42" s="1477">
        <f t="shared" si="26"/>
        <v>1471.0177219063091</v>
      </c>
      <c r="AY42" s="1477">
        <f t="shared" si="26"/>
        <v>1496.0722908375421</v>
      </c>
      <c r="AZ42" s="1477">
        <f t="shared" si="26"/>
        <v>1496.0722908375421</v>
      </c>
      <c r="BA42" s="1477">
        <f t="shared" si="26"/>
        <v>1496.0722908375421</v>
      </c>
      <c r="BB42" s="1477">
        <f t="shared" si="26"/>
        <v>1496.0722908375421</v>
      </c>
      <c r="BC42" s="938"/>
    </row>
    <row r="43" spans="2:55" s="934" customFormat="1" ht="15" hidden="1">
      <c r="B43" s="941"/>
      <c r="C43" s="931"/>
      <c r="D43" s="940"/>
      <c r="E43" s="940"/>
      <c r="F43" s="940"/>
      <c r="G43" s="940"/>
      <c r="H43" s="940"/>
      <c r="I43" s="940"/>
      <c r="J43" s="940"/>
      <c r="K43" s="940"/>
      <c r="L43" s="940"/>
      <c r="M43" s="940"/>
      <c r="N43" s="940"/>
      <c r="O43" s="940"/>
      <c r="P43" s="940"/>
      <c r="Q43" s="940"/>
      <c r="R43" s="940"/>
      <c r="S43" s="940"/>
      <c r="T43" s="940"/>
      <c r="U43" s="940"/>
      <c r="V43" s="940"/>
      <c r="W43" s="940"/>
      <c r="X43" s="940"/>
      <c r="Y43" s="940"/>
      <c r="Z43" s="940"/>
      <c r="AA43" s="940"/>
      <c r="AB43" s="940"/>
      <c r="AD43" s="940"/>
      <c r="AE43" s="940"/>
      <c r="AF43" s="940"/>
      <c r="AG43" s="940"/>
      <c r="AH43" s="940"/>
      <c r="AI43" s="940"/>
      <c r="AJ43" s="940"/>
      <c r="AK43" s="940"/>
      <c r="AL43" s="940"/>
      <c r="AM43" s="940"/>
      <c r="AN43" s="940"/>
      <c r="AO43" s="940"/>
      <c r="AP43" s="940"/>
      <c r="AQ43" s="940"/>
      <c r="AR43" s="940"/>
      <c r="AS43" s="940"/>
      <c r="AT43" s="940"/>
      <c r="AU43" s="940"/>
      <c r="AV43" s="940"/>
      <c r="AW43" s="940"/>
      <c r="AX43" s="940"/>
      <c r="AY43" s="940"/>
      <c r="AZ43" s="940"/>
      <c r="BA43" s="940"/>
      <c r="BB43" s="940"/>
    </row>
    <row r="44" spans="2:55" s="934" customFormat="1" ht="15" hidden="1">
      <c r="B44" s="941"/>
      <c r="C44" s="931"/>
      <c r="D44" s="940"/>
      <c r="E44" s="940"/>
      <c r="F44" s="940"/>
      <c r="G44" s="940"/>
      <c r="H44" s="940"/>
      <c r="I44" s="940"/>
      <c r="J44" s="940"/>
      <c r="K44" s="940"/>
      <c r="L44" s="940"/>
      <c r="M44" s="940"/>
      <c r="N44" s="940"/>
      <c r="O44" s="940"/>
      <c r="P44" s="940"/>
      <c r="Q44" s="940"/>
      <c r="R44" s="940"/>
      <c r="S44" s="940"/>
      <c r="T44" s="940"/>
      <c r="U44" s="940"/>
      <c r="V44" s="940"/>
      <c r="W44" s="940"/>
      <c r="X44" s="940"/>
      <c r="Y44" s="940"/>
      <c r="Z44" s="940"/>
      <c r="AA44" s="940"/>
      <c r="AB44" s="940"/>
      <c r="AD44" s="940"/>
      <c r="AE44" s="940"/>
      <c r="AF44" s="940"/>
      <c r="AG44" s="940"/>
      <c r="AH44" s="940"/>
      <c r="AI44" s="940"/>
      <c r="AJ44" s="940"/>
      <c r="AK44" s="940"/>
      <c r="AL44" s="940"/>
      <c r="AM44" s="940"/>
      <c r="AN44" s="940"/>
      <c r="AO44" s="940"/>
      <c r="AP44" s="940"/>
      <c r="AQ44" s="940"/>
      <c r="AR44" s="940"/>
      <c r="AS44" s="940"/>
      <c r="AT44" s="940"/>
      <c r="AU44" s="940"/>
      <c r="AV44" s="940"/>
      <c r="AW44" s="940"/>
      <c r="AX44" s="940"/>
      <c r="AY44" s="940"/>
      <c r="AZ44" s="940"/>
      <c r="BA44" s="940"/>
      <c r="BB44" s="940"/>
    </row>
    <row r="45" spans="2:55" s="934" customFormat="1" ht="15" hidden="1">
      <c r="B45" s="942"/>
      <c r="C45" s="939"/>
      <c r="D45" s="940"/>
      <c r="E45" s="940"/>
      <c r="F45" s="940"/>
      <c r="G45" s="940"/>
      <c r="H45" s="940"/>
      <c r="I45" s="940"/>
      <c r="J45" s="940"/>
      <c r="K45" s="940"/>
      <c r="L45" s="940"/>
      <c r="M45" s="940"/>
      <c r="N45" s="940"/>
      <c r="O45" s="940"/>
      <c r="P45" s="940"/>
      <c r="Q45" s="940"/>
      <c r="R45" s="940"/>
      <c r="S45" s="940"/>
      <c r="T45" s="940"/>
      <c r="U45" s="940"/>
      <c r="V45" s="940"/>
      <c r="W45" s="940"/>
      <c r="X45" s="940"/>
      <c r="Y45" s="940"/>
      <c r="Z45" s="940"/>
      <c r="AA45" s="940"/>
      <c r="AB45" s="940"/>
      <c r="AD45" s="940"/>
      <c r="AE45" s="940"/>
      <c r="AF45" s="940"/>
      <c r="AG45" s="940"/>
      <c r="AH45" s="940"/>
      <c r="AI45" s="940"/>
      <c r="AJ45" s="940"/>
      <c r="AK45" s="940"/>
      <c r="AL45" s="940"/>
      <c r="AM45" s="940"/>
      <c r="AN45" s="940"/>
      <c r="AO45" s="940"/>
      <c r="AP45" s="940"/>
      <c r="AQ45" s="940"/>
      <c r="AR45" s="940"/>
      <c r="AS45" s="940"/>
      <c r="AT45" s="940"/>
      <c r="AU45" s="940"/>
      <c r="AV45" s="940"/>
      <c r="AW45" s="940"/>
      <c r="AX45" s="940"/>
      <c r="AY45" s="940"/>
      <c r="AZ45" s="940"/>
      <c r="BA45" s="940"/>
      <c r="BB45" s="940"/>
    </row>
    <row r="47" spans="2:55" s="928" customFormat="1" ht="31.5" customHeight="1" thickBot="1">
      <c r="B47" s="924"/>
      <c r="C47" s="925"/>
      <c r="D47" s="926" t="s">
        <v>953</v>
      </c>
      <c r="E47" s="925"/>
      <c r="F47" s="925"/>
      <c r="G47" s="925"/>
      <c r="H47" s="925"/>
      <c r="I47" s="925"/>
      <c r="J47" s="925"/>
      <c r="K47" s="925"/>
      <c r="L47" s="925"/>
      <c r="M47" s="925"/>
      <c r="N47" s="925"/>
      <c r="O47" s="925"/>
      <c r="P47" s="925"/>
      <c r="Q47" s="925"/>
      <c r="R47" s="925"/>
      <c r="S47" s="925"/>
      <c r="T47" s="925"/>
      <c r="U47" s="925"/>
      <c r="V47" s="925"/>
      <c r="W47" s="925"/>
      <c r="X47" s="925"/>
      <c r="Y47" s="925"/>
      <c r="Z47" s="925"/>
      <c r="AA47" s="925"/>
      <c r="AB47" s="927"/>
      <c r="AD47" s="926" t="s">
        <v>954</v>
      </c>
      <c r="AE47" s="929"/>
      <c r="AF47" s="929"/>
      <c r="AG47" s="929"/>
      <c r="AH47" s="929"/>
      <c r="AI47" s="929"/>
      <c r="AJ47" s="929"/>
      <c r="AK47" s="929"/>
      <c r="AL47" s="929"/>
      <c r="AM47" s="929"/>
      <c r="AN47" s="929"/>
      <c r="AO47" s="929"/>
      <c r="AP47" s="929"/>
      <c r="AQ47" s="929"/>
      <c r="AR47" s="929"/>
      <c r="AS47" s="929"/>
      <c r="AT47" s="929"/>
      <c r="AU47" s="929"/>
      <c r="AV47" s="929"/>
      <c r="AW47" s="929"/>
      <c r="AX47" s="929"/>
      <c r="AY47" s="929"/>
      <c r="AZ47" s="929"/>
      <c r="BA47" s="929"/>
      <c r="BB47" s="930"/>
    </row>
    <row r="48" spans="2:55" s="934" customFormat="1" ht="15.75" thickTop="1">
      <c r="B48" s="909">
        <v>2018</v>
      </c>
      <c r="C48" s="1218" t="s">
        <v>29</v>
      </c>
      <c r="D48" s="932">
        <v>0</v>
      </c>
      <c r="E48" s="932">
        <v>0</v>
      </c>
      <c r="F48" s="932">
        <v>0</v>
      </c>
      <c r="G48" s="932">
        <v>0</v>
      </c>
      <c r="H48" s="932">
        <v>0</v>
      </c>
      <c r="I48" s="932">
        <v>0</v>
      </c>
      <c r="J48" s="932">
        <v>0</v>
      </c>
      <c r="K48" s="932">
        <v>0</v>
      </c>
      <c r="L48" s="932">
        <v>0</v>
      </c>
      <c r="M48" s="932">
        <v>0</v>
      </c>
      <c r="N48" s="932">
        <v>0</v>
      </c>
      <c r="O48" s="932">
        <v>0</v>
      </c>
      <c r="P48" s="932">
        <v>0</v>
      </c>
      <c r="Q48" s="932">
        <v>0</v>
      </c>
      <c r="R48" s="932">
        <v>0</v>
      </c>
      <c r="S48" s="932">
        <v>0</v>
      </c>
      <c r="T48" s="932">
        <v>0</v>
      </c>
      <c r="U48" s="932">
        <v>0</v>
      </c>
      <c r="V48" s="932">
        <v>0</v>
      </c>
      <c r="W48" s="932">
        <v>0</v>
      </c>
      <c r="X48" s="932">
        <v>0</v>
      </c>
      <c r="Y48" s="932">
        <v>0</v>
      </c>
      <c r="Z48" s="932">
        <v>0</v>
      </c>
      <c r="AA48" s="932">
        <v>0</v>
      </c>
      <c r="AB48" s="933">
        <v>0</v>
      </c>
      <c r="AD48" s="935">
        <f t="shared" ref="AD48:AD80" si="27">D48*(1+WholesaleRiskPremium)*(1+PeakDemandLosses)*(1+Inflation1)^(Year1-Real_Year)</f>
        <v>0</v>
      </c>
      <c r="AE48" s="936">
        <f t="shared" ref="AE48:AE80" si="28">E48*(1+WholesaleRiskPremium)*(1+PeakDemandLosses)*(1+Inflation1)^(Year1-Real_Year)</f>
        <v>0</v>
      </c>
      <c r="AF48" s="936">
        <f t="shared" ref="AF48:AF80" si="29">F48*(1+WholesaleRiskPremium)*(1+PeakDemandLosses)*(1+Inflation1)^(Year1-Real_Year)</f>
        <v>0</v>
      </c>
      <c r="AG48" s="936">
        <f t="shared" ref="AG48:AG80" si="30">G48*(1+WholesaleRiskPremium)*(1+PeakDemandLosses)*(1+Inflation1)^(Year1-Real_Year)</f>
        <v>0</v>
      </c>
      <c r="AH48" s="936">
        <f t="shared" ref="AH48:AH80" si="31">H48*(1+WholesaleRiskPremium)*(1+PeakDemandLosses)*(1+Inflation1)^(Year1-Real_Year)</f>
        <v>0</v>
      </c>
      <c r="AI48" s="936">
        <f t="shared" ref="AI48:AI80" si="32">I48*(1+WholesaleRiskPremium)*(1+PeakDemandLosses)*(1+Inflation1)^(Year1-Real_Year)</f>
        <v>0</v>
      </c>
      <c r="AJ48" s="936">
        <f t="shared" ref="AJ48:AJ80" si="33">J48*(1+WholesaleRiskPremium)*(1+PeakDemandLosses)*(1+Inflation1)^(Year1-Real_Year)</f>
        <v>0</v>
      </c>
      <c r="AK48" s="936">
        <f t="shared" ref="AK48:AK80" si="34">K48*(1+WholesaleRiskPremium)*(1+PeakDemandLosses)*(1+Inflation1)^(Year1-Real_Year)</f>
        <v>0</v>
      </c>
      <c r="AL48" s="936">
        <f t="shared" ref="AL48:AL80" si="35">L48*(1+WholesaleRiskPremium)*(1+PeakDemandLosses)*(1+Inflation1)^(Year1-Real_Year)</f>
        <v>0</v>
      </c>
      <c r="AM48" s="936">
        <f t="shared" ref="AM48:AM80" si="36">M48*(1+WholesaleRiskPremium)*(1+PeakDemandLosses)*(1+Inflation1)^(Year1-Real_Year)</f>
        <v>0</v>
      </c>
      <c r="AN48" s="936">
        <f t="shared" ref="AN48:AN80" si="37">N48*(1+WholesaleRiskPremium)*(1+PeakDemandLosses)*(1+Inflation1)^(Year1-Real_Year)</f>
        <v>0</v>
      </c>
      <c r="AO48" s="936">
        <f t="shared" ref="AO48:AO80" si="38">O48*(1+WholesaleRiskPremium)*(1+PeakDemandLosses)*(1+Inflation1)^(Year1-Real_Year)</f>
        <v>0</v>
      </c>
      <c r="AP48" s="936">
        <f t="shared" ref="AP48:AP80" si="39">P48*(1+WholesaleRiskPremium)*(1+PeakDemandLosses)*(1+Inflation1)^(Year1-Real_Year)</f>
        <v>0</v>
      </c>
      <c r="AQ48" s="936">
        <f t="shared" ref="AQ48:AQ80" si="40">Q48*(1+WholesaleRiskPremium)*(1+PeakDemandLosses)*(1+Inflation1)^(Year1-Real_Year)</f>
        <v>0</v>
      </c>
      <c r="AR48" s="936">
        <f t="shared" ref="AR48:AR80" si="41">R48*(1+WholesaleRiskPremium)*(1+PeakDemandLosses)*(1+Inflation1)^(Year1-Real_Year)</f>
        <v>0</v>
      </c>
      <c r="AS48" s="936">
        <f t="shared" ref="AS48:AS80" si="42">S48*(1+WholesaleRiskPremium)*(1+PeakDemandLosses)*(1+Inflation1)^(Year1-Real_Year)</f>
        <v>0</v>
      </c>
      <c r="AT48" s="936">
        <f t="shared" ref="AT48:AT80" si="43">T48*(1+WholesaleRiskPremium)*(1+PeakDemandLosses)*(1+Inflation1)^(Year1-Real_Year)</f>
        <v>0</v>
      </c>
      <c r="AU48" s="936">
        <f t="shared" ref="AU48:AU80" si="44">U48*(1+WholesaleRiskPremium)*(1+PeakDemandLosses)*(1+Inflation1)^(Year1-Real_Year)</f>
        <v>0</v>
      </c>
      <c r="AV48" s="936">
        <f t="shared" ref="AV48:AV80" si="45">V48*(1+WholesaleRiskPremium)*(1+PeakDemandLosses)*(1+Inflation1)^(Year1-Real_Year)</f>
        <v>0</v>
      </c>
      <c r="AW48" s="936">
        <f t="shared" ref="AW48:AW80" si="46">W48*(1+WholesaleRiskPremium)*(1+PeakDemandLosses)*(1+Inflation1)^(Year1-Real_Year)</f>
        <v>0</v>
      </c>
      <c r="AX48" s="936">
        <f t="shared" ref="AX48:AX80" si="47">X48*(1+WholesaleRiskPremium)*(1+PeakDemandLosses)*(1+Inflation1)^(Year1-Real_Year)</f>
        <v>0</v>
      </c>
      <c r="AY48" s="936">
        <f t="shared" ref="AY48:AY80" si="48">Y48*(1+WholesaleRiskPremium)*(1+PeakDemandLosses)*(1+Inflation1)^(Year1-Real_Year)</f>
        <v>0</v>
      </c>
      <c r="AZ48" s="936">
        <f t="shared" ref="AZ48:AZ80" si="49">Z48*(1+WholesaleRiskPremium)*(1+PeakDemandLosses)*(1+Inflation1)^(Year1-Real_Year)</f>
        <v>0</v>
      </c>
      <c r="BA48" s="936">
        <f t="shared" ref="BA48:BA80" si="50">AA48*(1+WholesaleRiskPremium)*(1+PeakDemandLosses)*(1+Inflation1)^(Year1-Real_Year)</f>
        <v>0</v>
      </c>
      <c r="BB48" s="937">
        <f t="shared" ref="BB48:BB80" si="51">AB48*(1+WholesaleRiskPremium)*(1+PeakDemandLosses)*(1+Inflation1)^(Year1-Real_Year)</f>
        <v>0</v>
      </c>
      <c r="BC48" s="938"/>
    </row>
    <row r="49" spans="2:55" s="934" customFormat="1" ht="15">
      <c r="B49" s="909">
        <v>2019</v>
      </c>
      <c r="C49" s="1218" t="s">
        <v>29</v>
      </c>
      <c r="D49" s="932">
        <v>0</v>
      </c>
      <c r="E49" s="932">
        <v>0</v>
      </c>
      <c r="F49" s="932">
        <v>0</v>
      </c>
      <c r="G49" s="932">
        <v>0</v>
      </c>
      <c r="H49" s="932">
        <v>0</v>
      </c>
      <c r="I49" s="932">
        <v>0</v>
      </c>
      <c r="J49" s="932">
        <v>0</v>
      </c>
      <c r="K49" s="932">
        <v>0</v>
      </c>
      <c r="L49" s="932">
        <v>0</v>
      </c>
      <c r="M49" s="932">
        <v>0</v>
      </c>
      <c r="N49" s="932">
        <v>0</v>
      </c>
      <c r="O49" s="932">
        <v>0</v>
      </c>
      <c r="P49" s="932">
        <v>0</v>
      </c>
      <c r="Q49" s="932">
        <v>0</v>
      </c>
      <c r="R49" s="932">
        <v>0</v>
      </c>
      <c r="S49" s="932">
        <v>0</v>
      </c>
      <c r="T49" s="932">
        <v>0</v>
      </c>
      <c r="U49" s="932">
        <v>0</v>
      </c>
      <c r="V49" s="932">
        <v>0</v>
      </c>
      <c r="W49" s="932">
        <v>0</v>
      </c>
      <c r="X49" s="932">
        <v>0</v>
      </c>
      <c r="Y49" s="932">
        <v>0</v>
      </c>
      <c r="Z49" s="932">
        <v>0</v>
      </c>
      <c r="AA49" s="932">
        <v>0</v>
      </c>
      <c r="AB49" s="933">
        <v>0</v>
      </c>
      <c r="AD49" s="935">
        <f t="shared" si="27"/>
        <v>0</v>
      </c>
      <c r="AE49" s="936">
        <f t="shared" si="28"/>
        <v>0</v>
      </c>
      <c r="AF49" s="936">
        <f t="shared" si="29"/>
        <v>0</v>
      </c>
      <c r="AG49" s="936">
        <f t="shared" si="30"/>
        <v>0</v>
      </c>
      <c r="AH49" s="936">
        <f t="shared" si="31"/>
        <v>0</v>
      </c>
      <c r="AI49" s="936">
        <f t="shared" si="32"/>
        <v>0</v>
      </c>
      <c r="AJ49" s="936">
        <f t="shared" si="33"/>
        <v>0</v>
      </c>
      <c r="AK49" s="936">
        <f t="shared" si="34"/>
        <v>0</v>
      </c>
      <c r="AL49" s="936">
        <f t="shared" si="35"/>
        <v>0</v>
      </c>
      <c r="AM49" s="936">
        <f t="shared" si="36"/>
        <v>0</v>
      </c>
      <c r="AN49" s="936">
        <f t="shared" si="37"/>
        <v>0</v>
      </c>
      <c r="AO49" s="936">
        <f t="shared" si="38"/>
        <v>0</v>
      </c>
      <c r="AP49" s="936">
        <f t="shared" si="39"/>
        <v>0</v>
      </c>
      <c r="AQ49" s="936">
        <f t="shared" si="40"/>
        <v>0</v>
      </c>
      <c r="AR49" s="936">
        <f t="shared" si="41"/>
        <v>0</v>
      </c>
      <c r="AS49" s="936">
        <f t="shared" si="42"/>
        <v>0</v>
      </c>
      <c r="AT49" s="936">
        <f t="shared" si="43"/>
        <v>0</v>
      </c>
      <c r="AU49" s="936">
        <f t="shared" si="44"/>
        <v>0</v>
      </c>
      <c r="AV49" s="936">
        <f t="shared" si="45"/>
        <v>0</v>
      </c>
      <c r="AW49" s="936">
        <f t="shared" si="46"/>
        <v>0</v>
      </c>
      <c r="AX49" s="936">
        <f t="shared" si="47"/>
        <v>0</v>
      </c>
      <c r="AY49" s="936">
        <f t="shared" si="48"/>
        <v>0</v>
      </c>
      <c r="AZ49" s="936">
        <f t="shared" si="49"/>
        <v>0</v>
      </c>
      <c r="BA49" s="936">
        <f t="shared" si="50"/>
        <v>0</v>
      </c>
      <c r="BB49" s="937">
        <f t="shared" si="51"/>
        <v>0</v>
      </c>
      <c r="BC49" s="938"/>
    </row>
    <row r="50" spans="2:55" s="934" customFormat="1" ht="15">
      <c r="B50" s="909">
        <v>2020</v>
      </c>
      <c r="C50" s="1218" t="s">
        <v>29</v>
      </c>
      <c r="D50" s="932">
        <v>0</v>
      </c>
      <c r="E50" s="932">
        <v>0</v>
      </c>
      <c r="F50" s="932">
        <v>0</v>
      </c>
      <c r="G50" s="932">
        <v>0</v>
      </c>
      <c r="H50" s="932">
        <v>0</v>
      </c>
      <c r="I50" s="932">
        <v>0</v>
      </c>
      <c r="J50" s="932">
        <v>0</v>
      </c>
      <c r="K50" s="932">
        <v>0</v>
      </c>
      <c r="L50" s="932">
        <v>0</v>
      </c>
      <c r="M50" s="932">
        <v>0</v>
      </c>
      <c r="N50" s="932">
        <v>0</v>
      </c>
      <c r="O50" s="932">
        <v>0</v>
      </c>
      <c r="P50" s="932">
        <v>0</v>
      </c>
      <c r="Q50" s="932">
        <v>0</v>
      </c>
      <c r="R50" s="932">
        <v>0</v>
      </c>
      <c r="S50" s="932">
        <v>0</v>
      </c>
      <c r="T50" s="932">
        <v>0</v>
      </c>
      <c r="U50" s="932">
        <v>0</v>
      </c>
      <c r="V50" s="932">
        <v>0</v>
      </c>
      <c r="W50" s="932">
        <v>0</v>
      </c>
      <c r="X50" s="932">
        <v>0</v>
      </c>
      <c r="Y50" s="932">
        <v>0</v>
      </c>
      <c r="Z50" s="932">
        <v>0</v>
      </c>
      <c r="AA50" s="932">
        <v>0</v>
      </c>
      <c r="AB50" s="933">
        <v>0</v>
      </c>
      <c r="AD50" s="935">
        <f t="shared" si="27"/>
        <v>0</v>
      </c>
      <c r="AE50" s="936">
        <f t="shared" si="28"/>
        <v>0</v>
      </c>
      <c r="AF50" s="936">
        <f t="shared" si="29"/>
        <v>0</v>
      </c>
      <c r="AG50" s="936">
        <f t="shared" si="30"/>
        <v>0</v>
      </c>
      <c r="AH50" s="936">
        <f t="shared" si="31"/>
        <v>0</v>
      </c>
      <c r="AI50" s="936">
        <f t="shared" si="32"/>
        <v>0</v>
      </c>
      <c r="AJ50" s="936">
        <f t="shared" si="33"/>
        <v>0</v>
      </c>
      <c r="AK50" s="936">
        <f t="shared" si="34"/>
        <v>0</v>
      </c>
      <c r="AL50" s="936">
        <f t="shared" si="35"/>
        <v>0</v>
      </c>
      <c r="AM50" s="936">
        <f t="shared" si="36"/>
        <v>0</v>
      </c>
      <c r="AN50" s="936">
        <f t="shared" si="37"/>
        <v>0</v>
      </c>
      <c r="AO50" s="936">
        <f t="shared" si="38"/>
        <v>0</v>
      </c>
      <c r="AP50" s="936">
        <f t="shared" si="39"/>
        <v>0</v>
      </c>
      <c r="AQ50" s="936">
        <f t="shared" si="40"/>
        <v>0</v>
      </c>
      <c r="AR50" s="936">
        <f t="shared" si="41"/>
        <v>0</v>
      </c>
      <c r="AS50" s="936">
        <f t="shared" si="42"/>
        <v>0</v>
      </c>
      <c r="AT50" s="936">
        <f t="shared" si="43"/>
        <v>0</v>
      </c>
      <c r="AU50" s="936">
        <f t="shared" si="44"/>
        <v>0</v>
      </c>
      <c r="AV50" s="936">
        <f t="shared" si="45"/>
        <v>0</v>
      </c>
      <c r="AW50" s="936">
        <f t="shared" si="46"/>
        <v>0</v>
      </c>
      <c r="AX50" s="936">
        <f t="shared" si="47"/>
        <v>0</v>
      </c>
      <c r="AY50" s="936">
        <f t="shared" si="48"/>
        <v>0</v>
      </c>
      <c r="AZ50" s="936">
        <f t="shared" si="49"/>
        <v>0</v>
      </c>
      <c r="BA50" s="936">
        <f t="shared" si="50"/>
        <v>0</v>
      </c>
      <c r="BB50" s="937">
        <f t="shared" si="51"/>
        <v>0</v>
      </c>
      <c r="BC50" s="938"/>
    </row>
    <row r="51" spans="2:55" s="934" customFormat="1" ht="15">
      <c r="B51" s="909">
        <v>2021</v>
      </c>
      <c r="C51" s="1218" t="s">
        <v>29</v>
      </c>
      <c r="D51" s="932">
        <v>0</v>
      </c>
      <c r="E51" s="932">
        <v>0</v>
      </c>
      <c r="F51" s="932">
        <v>0</v>
      </c>
      <c r="G51" s="932">
        <v>0</v>
      </c>
      <c r="H51" s="932">
        <v>0</v>
      </c>
      <c r="I51" s="932">
        <v>0</v>
      </c>
      <c r="J51" s="932">
        <v>0</v>
      </c>
      <c r="K51" s="932">
        <v>0</v>
      </c>
      <c r="L51" s="932">
        <v>0</v>
      </c>
      <c r="M51" s="932">
        <v>0</v>
      </c>
      <c r="N51" s="932">
        <v>0</v>
      </c>
      <c r="O51" s="932">
        <v>0</v>
      </c>
      <c r="P51" s="932">
        <v>0</v>
      </c>
      <c r="Q51" s="932">
        <v>0</v>
      </c>
      <c r="R51" s="932">
        <v>0</v>
      </c>
      <c r="S51" s="932">
        <v>0</v>
      </c>
      <c r="T51" s="932">
        <v>0</v>
      </c>
      <c r="U51" s="932">
        <v>0</v>
      </c>
      <c r="V51" s="932">
        <v>0</v>
      </c>
      <c r="W51" s="932">
        <v>0</v>
      </c>
      <c r="X51" s="932">
        <v>0</v>
      </c>
      <c r="Y51" s="932">
        <v>0</v>
      </c>
      <c r="Z51" s="932">
        <v>0</v>
      </c>
      <c r="AA51" s="932">
        <v>0</v>
      </c>
      <c r="AB51" s="933">
        <v>0</v>
      </c>
      <c r="AD51" s="935">
        <f t="shared" si="27"/>
        <v>0</v>
      </c>
      <c r="AE51" s="936">
        <f t="shared" si="28"/>
        <v>0</v>
      </c>
      <c r="AF51" s="936">
        <f t="shared" si="29"/>
        <v>0</v>
      </c>
      <c r="AG51" s="936">
        <f t="shared" si="30"/>
        <v>0</v>
      </c>
      <c r="AH51" s="936">
        <f t="shared" si="31"/>
        <v>0</v>
      </c>
      <c r="AI51" s="936">
        <f t="shared" si="32"/>
        <v>0</v>
      </c>
      <c r="AJ51" s="936">
        <f t="shared" si="33"/>
        <v>0</v>
      </c>
      <c r="AK51" s="936">
        <f t="shared" si="34"/>
        <v>0</v>
      </c>
      <c r="AL51" s="936">
        <f t="shared" si="35"/>
        <v>0</v>
      </c>
      <c r="AM51" s="936">
        <f t="shared" si="36"/>
        <v>0</v>
      </c>
      <c r="AN51" s="936">
        <f t="shared" si="37"/>
        <v>0</v>
      </c>
      <c r="AO51" s="936">
        <f t="shared" si="38"/>
        <v>0</v>
      </c>
      <c r="AP51" s="936">
        <f t="shared" si="39"/>
        <v>0</v>
      </c>
      <c r="AQ51" s="936">
        <f t="shared" si="40"/>
        <v>0</v>
      </c>
      <c r="AR51" s="936">
        <f t="shared" si="41"/>
        <v>0</v>
      </c>
      <c r="AS51" s="936">
        <f t="shared" si="42"/>
        <v>0</v>
      </c>
      <c r="AT51" s="936">
        <f t="shared" si="43"/>
        <v>0</v>
      </c>
      <c r="AU51" s="936">
        <f t="shared" si="44"/>
        <v>0</v>
      </c>
      <c r="AV51" s="936">
        <f t="shared" si="45"/>
        <v>0</v>
      </c>
      <c r="AW51" s="936">
        <f t="shared" si="46"/>
        <v>0</v>
      </c>
      <c r="AX51" s="936">
        <f t="shared" si="47"/>
        <v>0</v>
      </c>
      <c r="AY51" s="936">
        <f t="shared" si="48"/>
        <v>0</v>
      </c>
      <c r="AZ51" s="936">
        <f t="shared" si="49"/>
        <v>0</v>
      </c>
      <c r="BA51" s="936">
        <f t="shared" si="50"/>
        <v>0</v>
      </c>
      <c r="BB51" s="937">
        <f t="shared" si="51"/>
        <v>0</v>
      </c>
      <c r="BC51" s="938"/>
    </row>
    <row r="52" spans="2:55" s="934" customFormat="1" ht="15">
      <c r="B52" s="909">
        <v>2022</v>
      </c>
      <c r="C52" s="1218" t="s">
        <v>29</v>
      </c>
      <c r="D52" s="932">
        <v>0</v>
      </c>
      <c r="E52" s="932">
        <v>0</v>
      </c>
      <c r="F52" s="932">
        <v>0</v>
      </c>
      <c r="G52" s="932">
        <v>0</v>
      </c>
      <c r="H52" s="932">
        <v>0</v>
      </c>
      <c r="I52" s="932">
        <v>0</v>
      </c>
      <c r="J52" s="932">
        <v>0</v>
      </c>
      <c r="K52" s="932">
        <v>0</v>
      </c>
      <c r="L52" s="932">
        <v>0</v>
      </c>
      <c r="M52" s="932">
        <v>0</v>
      </c>
      <c r="N52" s="932">
        <v>0</v>
      </c>
      <c r="O52" s="932">
        <v>0</v>
      </c>
      <c r="P52" s="932">
        <v>0</v>
      </c>
      <c r="Q52" s="932">
        <v>0</v>
      </c>
      <c r="R52" s="932">
        <v>0</v>
      </c>
      <c r="S52" s="932">
        <v>0</v>
      </c>
      <c r="T52" s="932">
        <v>0</v>
      </c>
      <c r="U52" s="932">
        <v>0</v>
      </c>
      <c r="V52" s="932">
        <v>0</v>
      </c>
      <c r="W52" s="932">
        <v>0</v>
      </c>
      <c r="X52" s="932">
        <v>0</v>
      </c>
      <c r="Y52" s="932">
        <v>0</v>
      </c>
      <c r="Z52" s="932">
        <v>0</v>
      </c>
      <c r="AA52" s="932">
        <v>0</v>
      </c>
      <c r="AB52" s="933">
        <v>0</v>
      </c>
      <c r="AD52" s="935">
        <f t="shared" si="27"/>
        <v>0</v>
      </c>
      <c r="AE52" s="936">
        <f t="shared" si="28"/>
        <v>0</v>
      </c>
      <c r="AF52" s="936">
        <f t="shared" si="29"/>
        <v>0</v>
      </c>
      <c r="AG52" s="936">
        <f t="shared" si="30"/>
        <v>0</v>
      </c>
      <c r="AH52" s="936">
        <f t="shared" si="31"/>
        <v>0</v>
      </c>
      <c r="AI52" s="936">
        <f t="shared" si="32"/>
        <v>0</v>
      </c>
      <c r="AJ52" s="936">
        <f t="shared" si="33"/>
        <v>0</v>
      </c>
      <c r="AK52" s="936">
        <f t="shared" si="34"/>
        <v>0</v>
      </c>
      <c r="AL52" s="936">
        <f t="shared" si="35"/>
        <v>0</v>
      </c>
      <c r="AM52" s="936">
        <f t="shared" si="36"/>
        <v>0</v>
      </c>
      <c r="AN52" s="936">
        <f t="shared" si="37"/>
        <v>0</v>
      </c>
      <c r="AO52" s="936">
        <f t="shared" si="38"/>
        <v>0</v>
      </c>
      <c r="AP52" s="936">
        <f t="shared" si="39"/>
        <v>0</v>
      </c>
      <c r="AQ52" s="936">
        <f t="shared" si="40"/>
        <v>0</v>
      </c>
      <c r="AR52" s="936">
        <f t="shared" si="41"/>
        <v>0</v>
      </c>
      <c r="AS52" s="936">
        <f t="shared" si="42"/>
        <v>0</v>
      </c>
      <c r="AT52" s="936">
        <f t="shared" si="43"/>
        <v>0</v>
      </c>
      <c r="AU52" s="936">
        <f t="shared" si="44"/>
        <v>0</v>
      </c>
      <c r="AV52" s="936">
        <f t="shared" si="45"/>
        <v>0</v>
      </c>
      <c r="AW52" s="936">
        <f t="shared" si="46"/>
        <v>0</v>
      </c>
      <c r="AX52" s="936">
        <f t="shared" si="47"/>
        <v>0</v>
      </c>
      <c r="AY52" s="936">
        <f t="shared" si="48"/>
        <v>0</v>
      </c>
      <c r="AZ52" s="936">
        <f t="shared" si="49"/>
        <v>0</v>
      </c>
      <c r="BA52" s="936">
        <f t="shared" si="50"/>
        <v>0</v>
      </c>
      <c r="BB52" s="937">
        <f t="shared" si="51"/>
        <v>0</v>
      </c>
      <c r="BC52" s="938"/>
    </row>
    <row r="53" spans="2:55" s="934" customFormat="1" ht="15">
      <c r="B53" s="909">
        <v>2023</v>
      </c>
      <c r="C53" s="1218" t="s">
        <v>29</v>
      </c>
      <c r="D53" s="932">
        <v>0</v>
      </c>
      <c r="E53" s="932">
        <v>0</v>
      </c>
      <c r="F53" s="932">
        <v>0</v>
      </c>
      <c r="G53" s="932">
        <v>0</v>
      </c>
      <c r="H53" s="932">
        <v>0</v>
      </c>
      <c r="I53" s="932">
        <v>0</v>
      </c>
      <c r="J53" s="932">
        <v>0</v>
      </c>
      <c r="K53" s="932">
        <v>0</v>
      </c>
      <c r="L53" s="932">
        <v>0</v>
      </c>
      <c r="M53" s="932">
        <v>0</v>
      </c>
      <c r="N53" s="932">
        <v>0</v>
      </c>
      <c r="O53" s="932">
        <v>0</v>
      </c>
      <c r="P53" s="932">
        <v>0</v>
      </c>
      <c r="Q53" s="932">
        <v>0</v>
      </c>
      <c r="R53" s="932">
        <v>0</v>
      </c>
      <c r="S53" s="932">
        <v>0</v>
      </c>
      <c r="T53" s="932">
        <v>0</v>
      </c>
      <c r="U53" s="932">
        <v>0</v>
      </c>
      <c r="V53" s="932">
        <v>0</v>
      </c>
      <c r="W53" s="932">
        <v>0</v>
      </c>
      <c r="X53" s="932">
        <v>0</v>
      </c>
      <c r="Y53" s="932">
        <v>0</v>
      </c>
      <c r="Z53" s="932">
        <v>0</v>
      </c>
      <c r="AA53" s="932">
        <v>0</v>
      </c>
      <c r="AB53" s="933">
        <v>0</v>
      </c>
      <c r="AD53" s="935">
        <f t="shared" si="27"/>
        <v>0</v>
      </c>
      <c r="AE53" s="936">
        <f t="shared" si="28"/>
        <v>0</v>
      </c>
      <c r="AF53" s="936">
        <f t="shared" si="29"/>
        <v>0</v>
      </c>
      <c r="AG53" s="936">
        <f t="shared" si="30"/>
        <v>0</v>
      </c>
      <c r="AH53" s="936">
        <f t="shared" si="31"/>
        <v>0</v>
      </c>
      <c r="AI53" s="936">
        <f t="shared" si="32"/>
        <v>0</v>
      </c>
      <c r="AJ53" s="936">
        <f t="shared" si="33"/>
        <v>0</v>
      </c>
      <c r="AK53" s="936">
        <f t="shared" si="34"/>
        <v>0</v>
      </c>
      <c r="AL53" s="936">
        <f t="shared" si="35"/>
        <v>0</v>
      </c>
      <c r="AM53" s="936">
        <f t="shared" si="36"/>
        <v>0</v>
      </c>
      <c r="AN53" s="936">
        <f t="shared" si="37"/>
        <v>0</v>
      </c>
      <c r="AO53" s="936">
        <f t="shared" si="38"/>
        <v>0</v>
      </c>
      <c r="AP53" s="936">
        <f t="shared" si="39"/>
        <v>0</v>
      </c>
      <c r="AQ53" s="936">
        <f t="shared" si="40"/>
        <v>0</v>
      </c>
      <c r="AR53" s="936">
        <f t="shared" si="41"/>
        <v>0</v>
      </c>
      <c r="AS53" s="936">
        <f t="shared" si="42"/>
        <v>0</v>
      </c>
      <c r="AT53" s="936">
        <f t="shared" si="43"/>
        <v>0</v>
      </c>
      <c r="AU53" s="936">
        <f t="shared" si="44"/>
        <v>0</v>
      </c>
      <c r="AV53" s="936">
        <f t="shared" si="45"/>
        <v>0</v>
      </c>
      <c r="AW53" s="936">
        <f t="shared" si="46"/>
        <v>0</v>
      </c>
      <c r="AX53" s="936">
        <f t="shared" si="47"/>
        <v>0</v>
      </c>
      <c r="AY53" s="936">
        <f t="shared" si="48"/>
        <v>0</v>
      </c>
      <c r="AZ53" s="936">
        <f t="shared" si="49"/>
        <v>0</v>
      </c>
      <c r="BA53" s="936">
        <f t="shared" si="50"/>
        <v>0</v>
      </c>
      <c r="BB53" s="937">
        <f t="shared" si="51"/>
        <v>0</v>
      </c>
      <c r="BC53" s="938"/>
    </row>
    <row r="54" spans="2:55" s="934" customFormat="1" ht="15">
      <c r="B54" s="909">
        <v>2024</v>
      </c>
      <c r="C54" s="1218" t="s">
        <v>803</v>
      </c>
      <c r="D54" s="932">
        <v>0</v>
      </c>
      <c r="E54" s="932">
        <v>0</v>
      </c>
      <c r="F54" s="932">
        <v>0</v>
      </c>
      <c r="G54" s="932">
        <v>0</v>
      </c>
      <c r="H54" s="932">
        <v>0</v>
      </c>
      <c r="I54" s="932">
        <v>0</v>
      </c>
      <c r="J54" s="932">
        <v>0</v>
      </c>
      <c r="K54" s="932">
        <v>0</v>
      </c>
      <c r="L54" s="932">
        <v>0</v>
      </c>
      <c r="M54" s="932">
        <v>0</v>
      </c>
      <c r="N54" s="932">
        <v>0</v>
      </c>
      <c r="O54" s="932">
        <v>0</v>
      </c>
      <c r="P54" s="932">
        <v>0</v>
      </c>
      <c r="Q54" s="932">
        <v>0</v>
      </c>
      <c r="R54" s="932">
        <v>0</v>
      </c>
      <c r="S54" s="932">
        <v>0</v>
      </c>
      <c r="T54" s="932">
        <v>0</v>
      </c>
      <c r="U54" s="932">
        <v>0</v>
      </c>
      <c r="V54" s="932">
        <v>0</v>
      </c>
      <c r="W54" s="932">
        <v>0</v>
      </c>
      <c r="X54" s="932">
        <v>0</v>
      </c>
      <c r="Y54" s="932">
        <v>0</v>
      </c>
      <c r="Z54" s="932">
        <v>0</v>
      </c>
      <c r="AA54" s="932">
        <v>0</v>
      </c>
      <c r="AB54" s="933">
        <v>0</v>
      </c>
      <c r="AD54" s="935">
        <f t="shared" si="27"/>
        <v>0</v>
      </c>
      <c r="AE54" s="936">
        <f t="shared" si="28"/>
        <v>0</v>
      </c>
      <c r="AF54" s="936">
        <f t="shared" si="29"/>
        <v>0</v>
      </c>
      <c r="AG54" s="936">
        <f t="shared" si="30"/>
        <v>0</v>
      </c>
      <c r="AH54" s="936">
        <f t="shared" si="31"/>
        <v>0</v>
      </c>
      <c r="AI54" s="936">
        <f t="shared" si="32"/>
        <v>0</v>
      </c>
      <c r="AJ54" s="936">
        <f t="shared" si="33"/>
        <v>0</v>
      </c>
      <c r="AK54" s="936">
        <f t="shared" si="34"/>
        <v>0</v>
      </c>
      <c r="AL54" s="936">
        <f t="shared" si="35"/>
        <v>0</v>
      </c>
      <c r="AM54" s="936">
        <f t="shared" si="36"/>
        <v>0</v>
      </c>
      <c r="AN54" s="936">
        <f t="shared" si="37"/>
        <v>0</v>
      </c>
      <c r="AO54" s="936">
        <f t="shared" si="38"/>
        <v>0</v>
      </c>
      <c r="AP54" s="936">
        <f t="shared" si="39"/>
        <v>0</v>
      </c>
      <c r="AQ54" s="936">
        <f t="shared" si="40"/>
        <v>0</v>
      </c>
      <c r="AR54" s="936">
        <f t="shared" si="41"/>
        <v>0</v>
      </c>
      <c r="AS54" s="936">
        <f t="shared" si="42"/>
        <v>0</v>
      </c>
      <c r="AT54" s="936">
        <f t="shared" si="43"/>
        <v>0</v>
      </c>
      <c r="AU54" s="936">
        <f t="shared" si="44"/>
        <v>0</v>
      </c>
      <c r="AV54" s="936">
        <f t="shared" si="45"/>
        <v>0</v>
      </c>
      <c r="AW54" s="936">
        <f t="shared" si="46"/>
        <v>0</v>
      </c>
      <c r="AX54" s="936">
        <f t="shared" si="47"/>
        <v>0</v>
      </c>
      <c r="AY54" s="936">
        <f t="shared" si="48"/>
        <v>0</v>
      </c>
      <c r="AZ54" s="936">
        <f t="shared" si="49"/>
        <v>0</v>
      </c>
      <c r="BA54" s="936">
        <f t="shared" si="50"/>
        <v>0</v>
      </c>
      <c r="BB54" s="937">
        <f t="shared" si="51"/>
        <v>0</v>
      </c>
      <c r="BC54" s="938"/>
    </row>
    <row r="55" spans="2:55" s="934" customFormat="1" ht="15">
      <c r="B55" s="909">
        <v>2025</v>
      </c>
      <c r="C55" s="1218" t="s">
        <v>804</v>
      </c>
      <c r="D55" s="932">
        <v>0</v>
      </c>
      <c r="E55" s="932">
        <v>0</v>
      </c>
      <c r="F55" s="932">
        <v>0</v>
      </c>
      <c r="G55" s="932">
        <v>0</v>
      </c>
      <c r="H55" s="932">
        <v>0</v>
      </c>
      <c r="I55" s="932">
        <v>0</v>
      </c>
      <c r="J55" s="932">
        <v>0</v>
      </c>
      <c r="K55" s="932">
        <v>0</v>
      </c>
      <c r="L55" s="932">
        <v>0</v>
      </c>
      <c r="M55" s="932">
        <v>0</v>
      </c>
      <c r="N55" s="932">
        <v>0</v>
      </c>
      <c r="O55" s="932">
        <v>0</v>
      </c>
      <c r="P55" s="932">
        <v>0</v>
      </c>
      <c r="Q55" s="932">
        <v>0</v>
      </c>
      <c r="R55" s="932">
        <v>0</v>
      </c>
      <c r="S55" s="932">
        <v>0</v>
      </c>
      <c r="T55" s="932">
        <v>0</v>
      </c>
      <c r="U55" s="932">
        <v>0</v>
      </c>
      <c r="V55" s="932">
        <v>0</v>
      </c>
      <c r="W55" s="932">
        <v>0</v>
      </c>
      <c r="X55" s="932">
        <v>0</v>
      </c>
      <c r="Y55" s="932">
        <v>0</v>
      </c>
      <c r="Z55" s="932">
        <v>0</v>
      </c>
      <c r="AA55" s="932">
        <v>0</v>
      </c>
      <c r="AB55" s="933">
        <v>0</v>
      </c>
      <c r="AD55" s="935">
        <f t="shared" si="27"/>
        <v>0</v>
      </c>
      <c r="AE55" s="936">
        <f t="shared" si="28"/>
        <v>0</v>
      </c>
      <c r="AF55" s="936">
        <f t="shared" si="29"/>
        <v>0</v>
      </c>
      <c r="AG55" s="936">
        <f t="shared" si="30"/>
        <v>0</v>
      </c>
      <c r="AH55" s="936">
        <f t="shared" si="31"/>
        <v>0</v>
      </c>
      <c r="AI55" s="936">
        <f t="shared" si="32"/>
        <v>0</v>
      </c>
      <c r="AJ55" s="936">
        <f t="shared" si="33"/>
        <v>0</v>
      </c>
      <c r="AK55" s="936">
        <f t="shared" si="34"/>
        <v>0</v>
      </c>
      <c r="AL55" s="936">
        <f t="shared" si="35"/>
        <v>0</v>
      </c>
      <c r="AM55" s="936">
        <f t="shared" si="36"/>
        <v>0</v>
      </c>
      <c r="AN55" s="936">
        <f t="shared" si="37"/>
        <v>0</v>
      </c>
      <c r="AO55" s="936">
        <f t="shared" si="38"/>
        <v>0</v>
      </c>
      <c r="AP55" s="936">
        <f t="shared" si="39"/>
        <v>0</v>
      </c>
      <c r="AQ55" s="936">
        <f t="shared" si="40"/>
        <v>0</v>
      </c>
      <c r="AR55" s="936">
        <f t="shared" si="41"/>
        <v>0</v>
      </c>
      <c r="AS55" s="936">
        <f t="shared" si="42"/>
        <v>0</v>
      </c>
      <c r="AT55" s="936">
        <f t="shared" si="43"/>
        <v>0</v>
      </c>
      <c r="AU55" s="936">
        <f t="shared" si="44"/>
        <v>0</v>
      </c>
      <c r="AV55" s="936">
        <f t="shared" si="45"/>
        <v>0</v>
      </c>
      <c r="AW55" s="936">
        <f t="shared" si="46"/>
        <v>0</v>
      </c>
      <c r="AX55" s="936">
        <f t="shared" si="47"/>
        <v>0</v>
      </c>
      <c r="AY55" s="936">
        <f t="shared" si="48"/>
        <v>0</v>
      </c>
      <c r="AZ55" s="936">
        <f t="shared" si="49"/>
        <v>0</v>
      </c>
      <c r="BA55" s="936">
        <f t="shared" si="50"/>
        <v>0</v>
      </c>
      <c r="BB55" s="937">
        <f t="shared" si="51"/>
        <v>0</v>
      </c>
      <c r="BC55" s="938"/>
    </row>
    <row r="56" spans="2:55" s="934" customFormat="1" ht="15">
      <c r="B56" s="909">
        <v>2026</v>
      </c>
      <c r="C56" s="1218" t="s">
        <v>805</v>
      </c>
      <c r="D56" s="932">
        <v>0</v>
      </c>
      <c r="E56" s="932">
        <v>0</v>
      </c>
      <c r="F56" s="932">
        <v>0</v>
      </c>
      <c r="G56" s="932">
        <v>0</v>
      </c>
      <c r="H56" s="932">
        <v>0</v>
      </c>
      <c r="I56" s="932">
        <v>0</v>
      </c>
      <c r="J56" s="932">
        <v>0</v>
      </c>
      <c r="K56" s="932">
        <v>0</v>
      </c>
      <c r="L56" s="932">
        <v>0</v>
      </c>
      <c r="M56" s="932">
        <v>0</v>
      </c>
      <c r="N56" s="932">
        <v>0</v>
      </c>
      <c r="O56" s="932">
        <v>0</v>
      </c>
      <c r="P56" s="932">
        <v>0</v>
      </c>
      <c r="Q56" s="932">
        <v>0</v>
      </c>
      <c r="R56" s="932">
        <v>0</v>
      </c>
      <c r="S56" s="932">
        <v>0</v>
      </c>
      <c r="T56" s="932">
        <v>0</v>
      </c>
      <c r="U56" s="932">
        <v>0</v>
      </c>
      <c r="V56" s="932">
        <v>0</v>
      </c>
      <c r="W56" s="932">
        <v>0</v>
      </c>
      <c r="X56" s="932">
        <v>0</v>
      </c>
      <c r="Y56" s="932">
        <v>0</v>
      </c>
      <c r="Z56" s="932">
        <v>0</v>
      </c>
      <c r="AA56" s="932">
        <v>0</v>
      </c>
      <c r="AB56" s="933">
        <v>0</v>
      </c>
      <c r="AD56" s="935">
        <f t="shared" si="27"/>
        <v>0</v>
      </c>
      <c r="AE56" s="936">
        <f t="shared" si="28"/>
        <v>0</v>
      </c>
      <c r="AF56" s="936">
        <f t="shared" si="29"/>
        <v>0</v>
      </c>
      <c r="AG56" s="936">
        <f t="shared" si="30"/>
        <v>0</v>
      </c>
      <c r="AH56" s="936">
        <f t="shared" si="31"/>
        <v>0</v>
      </c>
      <c r="AI56" s="936">
        <f t="shared" si="32"/>
        <v>0</v>
      </c>
      <c r="AJ56" s="936">
        <f t="shared" si="33"/>
        <v>0</v>
      </c>
      <c r="AK56" s="936">
        <f t="shared" si="34"/>
        <v>0</v>
      </c>
      <c r="AL56" s="936">
        <f t="shared" si="35"/>
        <v>0</v>
      </c>
      <c r="AM56" s="936">
        <f t="shared" si="36"/>
        <v>0</v>
      </c>
      <c r="AN56" s="936">
        <f t="shared" si="37"/>
        <v>0</v>
      </c>
      <c r="AO56" s="936">
        <f t="shared" si="38"/>
        <v>0</v>
      </c>
      <c r="AP56" s="936">
        <f t="shared" si="39"/>
        <v>0</v>
      </c>
      <c r="AQ56" s="936">
        <f t="shared" si="40"/>
        <v>0</v>
      </c>
      <c r="AR56" s="936">
        <f t="shared" si="41"/>
        <v>0</v>
      </c>
      <c r="AS56" s="936">
        <f t="shared" si="42"/>
        <v>0</v>
      </c>
      <c r="AT56" s="936">
        <f t="shared" si="43"/>
        <v>0</v>
      </c>
      <c r="AU56" s="936">
        <f t="shared" si="44"/>
        <v>0</v>
      </c>
      <c r="AV56" s="936">
        <f t="shared" si="45"/>
        <v>0</v>
      </c>
      <c r="AW56" s="936">
        <f t="shared" si="46"/>
        <v>0</v>
      </c>
      <c r="AX56" s="936">
        <f t="shared" si="47"/>
        <v>0</v>
      </c>
      <c r="AY56" s="936">
        <f t="shared" si="48"/>
        <v>0</v>
      </c>
      <c r="AZ56" s="936">
        <f t="shared" si="49"/>
        <v>0</v>
      </c>
      <c r="BA56" s="936">
        <f t="shared" si="50"/>
        <v>0</v>
      </c>
      <c r="BB56" s="937">
        <f t="shared" si="51"/>
        <v>0</v>
      </c>
      <c r="BC56" s="938"/>
    </row>
    <row r="57" spans="2:55" s="934" customFormat="1" ht="15">
      <c r="B57" s="909">
        <v>2027</v>
      </c>
      <c r="C57" s="1218" t="s">
        <v>806</v>
      </c>
      <c r="D57" s="932">
        <v>0</v>
      </c>
      <c r="E57" s="932">
        <v>0</v>
      </c>
      <c r="F57" s="932">
        <v>0</v>
      </c>
      <c r="G57" s="932">
        <v>0</v>
      </c>
      <c r="H57" s="932">
        <v>0</v>
      </c>
      <c r="I57" s="932">
        <v>0</v>
      </c>
      <c r="J57" s="932">
        <v>0</v>
      </c>
      <c r="K57" s="932">
        <v>0</v>
      </c>
      <c r="L57" s="932">
        <v>0</v>
      </c>
      <c r="M57" s="932">
        <v>0</v>
      </c>
      <c r="N57" s="932">
        <v>0</v>
      </c>
      <c r="O57" s="932">
        <v>0</v>
      </c>
      <c r="P57" s="932">
        <v>0</v>
      </c>
      <c r="Q57" s="932">
        <v>0</v>
      </c>
      <c r="R57" s="932">
        <v>0</v>
      </c>
      <c r="S57" s="932">
        <v>0</v>
      </c>
      <c r="T57" s="932">
        <v>0</v>
      </c>
      <c r="U57" s="932">
        <v>0</v>
      </c>
      <c r="V57" s="932">
        <v>0</v>
      </c>
      <c r="W57" s="932">
        <v>0</v>
      </c>
      <c r="X57" s="932">
        <v>0</v>
      </c>
      <c r="Y57" s="932">
        <v>0</v>
      </c>
      <c r="Z57" s="932">
        <v>0</v>
      </c>
      <c r="AA57" s="932">
        <v>0</v>
      </c>
      <c r="AB57" s="933">
        <v>0</v>
      </c>
      <c r="AD57" s="935">
        <f t="shared" si="27"/>
        <v>0</v>
      </c>
      <c r="AE57" s="936">
        <f t="shared" si="28"/>
        <v>0</v>
      </c>
      <c r="AF57" s="936">
        <f t="shared" si="29"/>
        <v>0</v>
      </c>
      <c r="AG57" s="936">
        <f t="shared" si="30"/>
        <v>0</v>
      </c>
      <c r="AH57" s="936">
        <f t="shared" si="31"/>
        <v>0</v>
      </c>
      <c r="AI57" s="936">
        <f t="shared" si="32"/>
        <v>0</v>
      </c>
      <c r="AJ57" s="936">
        <f t="shared" si="33"/>
        <v>0</v>
      </c>
      <c r="AK57" s="936">
        <f t="shared" si="34"/>
        <v>0</v>
      </c>
      <c r="AL57" s="936">
        <f t="shared" si="35"/>
        <v>0</v>
      </c>
      <c r="AM57" s="936">
        <f t="shared" si="36"/>
        <v>0</v>
      </c>
      <c r="AN57" s="936">
        <f t="shared" si="37"/>
        <v>0</v>
      </c>
      <c r="AO57" s="936">
        <f t="shared" si="38"/>
        <v>0</v>
      </c>
      <c r="AP57" s="936">
        <f t="shared" si="39"/>
        <v>0</v>
      </c>
      <c r="AQ57" s="936">
        <f t="shared" si="40"/>
        <v>0</v>
      </c>
      <c r="AR57" s="936">
        <f t="shared" si="41"/>
        <v>0</v>
      </c>
      <c r="AS57" s="936">
        <f t="shared" si="42"/>
        <v>0</v>
      </c>
      <c r="AT57" s="936">
        <f t="shared" si="43"/>
        <v>0</v>
      </c>
      <c r="AU57" s="936">
        <f t="shared" si="44"/>
        <v>0</v>
      </c>
      <c r="AV57" s="936">
        <f t="shared" si="45"/>
        <v>0</v>
      </c>
      <c r="AW57" s="936">
        <f t="shared" si="46"/>
        <v>0</v>
      </c>
      <c r="AX57" s="936">
        <f t="shared" si="47"/>
        <v>0</v>
      </c>
      <c r="AY57" s="936">
        <f t="shared" si="48"/>
        <v>0</v>
      </c>
      <c r="AZ57" s="936">
        <f t="shared" si="49"/>
        <v>0</v>
      </c>
      <c r="BA57" s="936">
        <f t="shared" si="50"/>
        <v>0</v>
      </c>
      <c r="BB57" s="937">
        <f t="shared" si="51"/>
        <v>0</v>
      </c>
      <c r="BC57" s="938"/>
    </row>
    <row r="58" spans="2:55" s="934" customFormat="1" ht="15">
      <c r="B58" s="909">
        <v>2028</v>
      </c>
      <c r="C58" s="1218" t="s">
        <v>807</v>
      </c>
      <c r="D58" s="932">
        <v>0</v>
      </c>
      <c r="E58" s="932">
        <v>0</v>
      </c>
      <c r="F58" s="932">
        <v>0</v>
      </c>
      <c r="G58" s="932">
        <v>0</v>
      </c>
      <c r="H58" s="932">
        <v>0</v>
      </c>
      <c r="I58" s="932">
        <v>0</v>
      </c>
      <c r="J58" s="932">
        <v>0</v>
      </c>
      <c r="K58" s="932">
        <v>0</v>
      </c>
      <c r="L58" s="932">
        <v>0</v>
      </c>
      <c r="M58" s="932">
        <v>0</v>
      </c>
      <c r="N58" s="932">
        <v>0</v>
      </c>
      <c r="O58" s="932">
        <v>0</v>
      </c>
      <c r="P58" s="932">
        <v>0</v>
      </c>
      <c r="Q58" s="932">
        <v>0</v>
      </c>
      <c r="R58" s="932">
        <v>0</v>
      </c>
      <c r="S58" s="932">
        <v>0</v>
      </c>
      <c r="T58" s="932">
        <v>0</v>
      </c>
      <c r="U58" s="932">
        <v>0</v>
      </c>
      <c r="V58" s="932">
        <v>0</v>
      </c>
      <c r="W58" s="932">
        <v>0</v>
      </c>
      <c r="X58" s="932">
        <v>0</v>
      </c>
      <c r="Y58" s="932">
        <v>0</v>
      </c>
      <c r="Z58" s="932">
        <v>0</v>
      </c>
      <c r="AA58" s="932">
        <v>0</v>
      </c>
      <c r="AB58" s="933">
        <v>0</v>
      </c>
      <c r="AD58" s="935">
        <f t="shared" si="27"/>
        <v>0</v>
      </c>
      <c r="AE58" s="936">
        <f t="shared" si="28"/>
        <v>0</v>
      </c>
      <c r="AF58" s="936">
        <f t="shared" si="29"/>
        <v>0</v>
      </c>
      <c r="AG58" s="936">
        <f t="shared" si="30"/>
        <v>0</v>
      </c>
      <c r="AH58" s="936">
        <f t="shared" si="31"/>
        <v>0</v>
      </c>
      <c r="AI58" s="936">
        <f t="shared" si="32"/>
        <v>0</v>
      </c>
      <c r="AJ58" s="936">
        <f t="shared" si="33"/>
        <v>0</v>
      </c>
      <c r="AK58" s="936">
        <f t="shared" si="34"/>
        <v>0</v>
      </c>
      <c r="AL58" s="936">
        <f t="shared" si="35"/>
        <v>0</v>
      </c>
      <c r="AM58" s="936">
        <f t="shared" si="36"/>
        <v>0</v>
      </c>
      <c r="AN58" s="936">
        <f t="shared" si="37"/>
        <v>0</v>
      </c>
      <c r="AO58" s="936">
        <f t="shared" si="38"/>
        <v>0</v>
      </c>
      <c r="AP58" s="936">
        <f t="shared" si="39"/>
        <v>0</v>
      </c>
      <c r="AQ58" s="936">
        <f t="shared" si="40"/>
        <v>0</v>
      </c>
      <c r="AR58" s="936">
        <f t="shared" si="41"/>
        <v>0</v>
      </c>
      <c r="AS58" s="936">
        <f t="shared" si="42"/>
        <v>0</v>
      </c>
      <c r="AT58" s="936">
        <f t="shared" si="43"/>
        <v>0</v>
      </c>
      <c r="AU58" s="936">
        <f t="shared" si="44"/>
        <v>0</v>
      </c>
      <c r="AV58" s="936">
        <f t="shared" si="45"/>
        <v>0</v>
      </c>
      <c r="AW58" s="936">
        <f t="shared" si="46"/>
        <v>0</v>
      </c>
      <c r="AX58" s="936">
        <f t="shared" si="47"/>
        <v>0</v>
      </c>
      <c r="AY58" s="936">
        <f t="shared" si="48"/>
        <v>0</v>
      </c>
      <c r="AZ58" s="936">
        <f t="shared" si="49"/>
        <v>0</v>
      </c>
      <c r="BA58" s="936">
        <f t="shared" si="50"/>
        <v>0</v>
      </c>
      <c r="BB58" s="937">
        <f t="shared" si="51"/>
        <v>0</v>
      </c>
      <c r="BC58" s="938"/>
    </row>
    <row r="59" spans="2:55" s="934" customFormat="1" ht="15">
      <c r="B59" s="909">
        <v>2029</v>
      </c>
      <c r="C59" s="1218" t="s">
        <v>808</v>
      </c>
      <c r="D59" s="932">
        <v>9.7177234757369817</v>
      </c>
      <c r="E59" s="932">
        <v>9.7177234757369817</v>
      </c>
      <c r="F59" s="932">
        <v>9.7177234757369817</v>
      </c>
      <c r="G59" s="932">
        <v>9.7177234757369817</v>
      </c>
      <c r="H59" s="932">
        <v>9.7177234757369817</v>
      </c>
      <c r="I59" s="932">
        <v>9.7177234757369817</v>
      </c>
      <c r="J59" s="932">
        <v>9.7177234757369817</v>
      </c>
      <c r="K59" s="932">
        <v>9.7177234757369817</v>
      </c>
      <c r="L59" s="932">
        <v>9.7177234757369817</v>
      </c>
      <c r="M59" s="932">
        <v>9.7177234757369817</v>
      </c>
      <c r="N59" s="932">
        <v>9.7177234757369817</v>
      </c>
      <c r="O59" s="932">
        <v>9.7177234757369817</v>
      </c>
      <c r="P59" s="932">
        <v>9.7177234757369817</v>
      </c>
      <c r="Q59" s="932">
        <v>9.7177234757369817</v>
      </c>
      <c r="R59" s="932">
        <v>9.7177234757369817</v>
      </c>
      <c r="S59" s="932">
        <v>9.7177234757369817</v>
      </c>
      <c r="T59" s="932">
        <v>9.7177234757369817</v>
      </c>
      <c r="U59" s="932">
        <v>9.7177234757369817</v>
      </c>
      <c r="V59" s="932">
        <v>9.7177234757369817</v>
      </c>
      <c r="W59" s="932">
        <v>9.7177234757369817</v>
      </c>
      <c r="X59" s="932">
        <v>9.7177234757369817</v>
      </c>
      <c r="Y59" s="932">
        <v>9.7177234757369817</v>
      </c>
      <c r="Z59" s="932">
        <v>9.7177234757369817</v>
      </c>
      <c r="AA59" s="932">
        <v>9.7177234757369817</v>
      </c>
      <c r="AB59" s="933">
        <v>9.7177234757369817</v>
      </c>
      <c r="AD59" s="935">
        <f t="shared" si="27"/>
        <v>14.623323075792808</v>
      </c>
      <c r="AE59" s="936">
        <f t="shared" si="28"/>
        <v>14.623323075792808</v>
      </c>
      <c r="AF59" s="936">
        <f t="shared" si="29"/>
        <v>14.623323075792808</v>
      </c>
      <c r="AG59" s="936">
        <f t="shared" si="30"/>
        <v>14.623323075792808</v>
      </c>
      <c r="AH59" s="936">
        <f t="shared" si="31"/>
        <v>14.623323075792808</v>
      </c>
      <c r="AI59" s="936">
        <f t="shared" si="32"/>
        <v>14.623323075792808</v>
      </c>
      <c r="AJ59" s="936">
        <f t="shared" si="33"/>
        <v>14.623323075792808</v>
      </c>
      <c r="AK59" s="936">
        <f t="shared" si="34"/>
        <v>14.623323075792808</v>
      </c>
      <c r="AL59" s="936">
        <f t="shared" si="35"/>
        <v>14.623323075792808</v>
      </c>
      <c r="AM59" s="936">
        <f t="shared" si="36"/>
        <v>14.623323075792808</v>
      </c>
      <c r="AN59" s="936">
        <f t="shared" si="37"/>
        <v>14.623323075792808</v>
      </c>
      <c r="AO59" s="936">
        <f t="shared" si="38"/>
        <v>14.623323075792808</v>
      </c>
      <c r="AP59" s="936">
        <f t="shared" si="39"/>
        <v>14.623323075792808</v>
      </c>
      <c r="AQ59" s="936">
        <f t="shared" si="40"/>
        <v>14.623323075792808</v>
      </c>
      <c r="AR59" s="936">
        <f t="shared" si="41"/>
        <v>14.623323075792808</v>
      </c>
      <c r="AS59" s="936">
        <f t="shared" si="42"/>
        <v>14.623323075792808</v>
      </c>
      <c r="AT59" s="936">
        <f t="shared" si="43"/>
        <v>14.623323075792808</v>
      </c>
      <c r="AU59" s="936">
        <f t="shared" si="44"/>
        <v>14.623323075792808</v>
      </c>
      <c r="AV59" s="936">
        <f t="shared" si="45"/>
        <v>14.623323075792808</v>
      </c>
      <c r="AW59" s="936">
        <f t="shared" si="46"/>
        <v>14.623323075792808</v>
      </c>
      <c r="AX59" s="936">
        <f t="shared" si="47"/>
        <v>14.623323075792808</v>
      </c>
      <c r="AY59" s="936">
        <f t="shared" si="48"/>
        <v>14.623323075792808</v>
      </c>
      <c r="AZ59" s="936">
        <f t="shared" si="49"/>
        <v>14.623323075792808</v>
      </c>
      <c r="BA59" s="936">
        <f t="shared" si="50"/>
        <v>14.623323075792808</v>
      </c>
      <c r="BB59" s="937">
        <f t="shared" si="51"/>
        <v>14.623323075792808</v>
      </c>
      <c r="BC59" s="938"/>
    </row>
    <row r="60" spans="2:55" s="934" customFormat="1" ht="15">
      <c r="B60" s="909">
        <v>2030</v>
      </c>
      <c r="C60" s="1218" t="s">
        <v>809</v>
      </c>
      <c r="D60" s="932">
        <v>4.902867241241295</v>
      </c>
      <c r="E60" s="932">
        <v>14.774412022264038</v>
      </c>
      <c r="F60" s="932">
        <v>14.774412022264038</v>
      </c>
      <c r="G60" s="932">
        <v>14.774412022264038</v>
      </c>
      <c r="H60" s="932">
        <v>14.774412022264038</v>
      </c>
      <c r="I60" s="932">
        <v>14.774412022264038</v>
      </c>
      <c r="J60" s="932">
        <v>14.774412022264038</v>
      </c>
      <c r="K60" s="932">
        <v>14.774412022264038</v>
      </c>
      <c r="L60" s="932">
        <v>14.774412022264038</v>
      </c>
      <c r="M60" s="932">
        <v>14.774412022264038</v>
      </c>
      <c r="N60" s="932">
        <v>14.774412022264038</v>
      </c>
      <c r="O60" s="932">
        <v>14.774412022264038</v>
      </c>
      <c r="P60" s="932">
        <v>14.774412022264038</v>
      </c>
      <c r="Q60" s="932">
        <v>14.774412022264038</v>
      </c>
      <c r="R60" s="932">
        <v>14.774412022264038</v>
      </c>
      <c r="S60" s="932">
        <v>14.774412022264038</v>
      </c>
      <c r="T60" s="932">
        <v>14.774412022264038</v>
      </c>
      <c r="U60" s="932">
        <v>14.774412022264038</v>
      </c>
      <c r="V60" s="932">
        <v>14.774412022264038</v>
      </c>
      <c r="W60" s="932">
        <v>14.774412022264038</v>
      </c>
      <c r="X60" s="932">
        <v>14.774412022264038</v>
      </c>
      <c r="Y60" s="932">
        <v>14.774412022264038</v>
      </c>
      <c r="Z60" s="932">
        <v>14.774412022264038</v>
      </c>
      <c r="AA60" s="932">
        <v>14.774412022264038</v>
      </c>
      <c r="AB60" s="933">
        <v>14.774412022264038</v>
      </c>
      <c r="AD60" s="935">
        <f t="shared" si="27"/>
        <v>7.3778814395575392</v>
      </c>
      <c r="AE60" s="936">
        <f t="shared" si="28"/>
        <v>22.232676284304265</v>
      </c>
      <c r="AF60" s="936">
        <f t="shared" si="29"/>
        <v>22.232676284304265</v>
      </c>
      <c r="AG60" s="936">
        <f t="shared" si="30"/>
        <v>22.232676284304265</v>
      </c>
      <c r="AH60" s="936">
        <f t="shared" si="31"/>
        <v>22.232676284304265</v>
      </c>
      <c r="AI60" s="936">
        <f t="shared" si="32"/>
        <v>22.232676284304265</v>
      </c>
      <c r="AJ60" s="936">
        <f t="shared" si="33"/>
        <v>22.232676284304265</v>
      </c>
      <c r="AK60" s="936">
        <f t="shared" si="34"/>
        <v>22.232676284304265</v>
      </c>
      <c r="AL60" s="936">
        <f t="shared" si="35"/>
        <v>22.232676284304265</v>
      </c>
      <c r="AM60" s="936">
        <f t="shared" si="36"/>
        <v>22.232676284304265</v>
      </c>
      <c r="AN60" s="936">
        <f t="shared" si="37"/>
        <v>22.232676284304265</v>
      </c>
      <c r="AO60" s="936">
        <f t="shared" si="38"/>
        <v>22.232676284304265</v>
      </c>
      <c r="AP60" s="936">
        <f t="shared" si="39"/>
        <v>22.232676284304265</v>
      </c>
      <c r="AQ60" s="936">
        <f t="shared" si="40"/>
        <v>22.232676284304265</v>
      </c>
      <c r="AR60" s="936">
        <f t="shared" si="41"/>
        <v>22.232676284304265</v>
      </c>
      <c r="AS60" s="936">
        <f t="shared" si="42"/>
        <v>22.232676284304265</v>
      </c>
      <c r="AT60" s="936">
        <f t="shared" si="43"/>
        <v>22.232676284304265</v>
      </c>
      <c r="AU60" s="936">
        <f t="shared" si="44"/>
        <v>22.232676284304265</v>
      </c>
      <c r="AV60" s="936">
        <f t="shared" si="45"/>
        <v>22.232676284304265</v>
      </c>
      <c r="AW60" s="936">
        <f t="shared" si="46"/>
        <v>22.232676284304265</v>
      </c>
      <c r="AX60" s="936">
        <f t="shared" si="47"/>
        <v>22.232676284304265</v>
      </c>
      <c r="AY60" s="936">
        <f t="shared" si="48"/>
        <v>22.232676284304265</v>
      </c>
      <c r="AZ60" s="936">
        <f t="shared" si="49"/>
        <v>22.232676284304265</v>
      </c>
      <c r="BA60" s="936">
        <f t="shared" si="50"/>
        <v>22.232676284304265</v>
      </c>
      <c r="BB60" s="937">
        <f t="shared" si="51"/>
        <v>22.232676284304265</v>
      </c>
      <c r="BC60" s="938"/>
    </row>
    <row r="61" spans="2:55" s="934" customFormat="1" ht="15">
      <c r="B61" s="909">
        <v>2031</v>
      </c>
      <c r="C61" s="1218" t="s">
        <v>810</v>
      </c>
      <c r="D61" s="932">
        <v>3.944807524317635</v>
      </c>
      <c r="E61" s="932">
        <v>8.9259627880746475</v>
      </c>
      <c r="F61" s="932">
        <v>18.955134460068631</v>
      </c>
      <c r="G61" s="932">
        <v>18.955134460068631</v>
      </c>
      <c r="H61" s="932">
        <v>18.955134460068631</v>
      </c>
      <c r="I61" s="932">
        <v>18.955134460068631</v>
      </c>
      <c r="J61" s="932">
        <v>18.955134460068631</v>
      </c>
      <c r="K61" s="932">
        <v>18.955134460068631</v>
      </c>
      <c r="L61" s="932">
        <v>18.955134460068631</v>
      </c>
      <c r="M61" s="932">
        <v>18.955134460068631</v>
      </c>
      <c r="N61" s="932">
        <v>18.955134460068631</v>
      </c>
      <c r="O61" s="932">
        <v>18.955134460068631</v>
      </c>
      <c r="P61" s="932">
        <v>18.955134460068631</v>
      </c>
      <c r="Q61" s="932">
        <v>18.955134460068631</v>
      </c>
      <c r="R61" s="932">
        <v>18.955134460068631</v>
      </c>
      <c r="S61" s="932">
        <v>18.955134460068631</v>
      </c>
      <c r="T61" s="932">
        <v>18.955134460068631</v>
      </c>
      <c r="U61" s="932">
        <v>18.955134460068631</v>
      </c>
      <c r="V61" s="932">
        <v>18.955134460068631</v>
      </c>
      <c r="W61" s="932">
        <v>18.955134460068631</v>
      </c>
      <c r="X61" s="932">
        <v>18.955134460068631</v>
      </c>
      <c r="Y61" s="932">
        <v>18.955134460068631</v>
      </c>
      <c r="Z61" s="932">
        <v>18.955134460068631</v>
      </c>
      <c r="AA61" s="932">
        <v>18.955134460068631</v>
      </c>
      <c r="AB61" s="933">
        <v>18.955134460068631</v>
      </c>
      <c r="AD61" s="935">
        <f t="shared" si="27"/>
        <v>5.9361840295152373</v>
      </c>
      <c r="AE61" s="936">
        <f t="shared" si="28"/>
        <v>13.431874032886169</v>
      </c>
      <c r="AF61" s="936">
        <f t="shared" si="29"/>
        <v>28.523867328263886</v>
      </c>
      <c r="AG61" s="936">
        <f t="shared" si="30"/>
        <v>28.523867328263886</v>
      </c>
      <c r="AH61" s="936">
        <f t="shared" si="31"/>
        <v>28.523867328263886</v>
      </c>
      <c r="AI61" s="936">
        <f t="shared" si="32"/>
        <v>28.523867328263886</v>
      </c>
      <c r="AJ61" s="936">
        <f t="shared" si="33"/>
        <v>28.523867328263886</v>
      </c>
      <c r="AK61" s="936">
        <f t="shared" si="34"/>
        <v>28.523867328263886</v>
      </c>
      <c r="AL61" s="936">
        <f t="shared" si="35"/>
        <v>28.523867328263886</v>
      </c>
      <c r="AM61" s="936">
        <f t="shared" si="36"/>
        <v>28.523867328263886</v>
      </c>
      <c r="AN61" s="936">
        <f t="shared" si="37"/>
        <v>28.523867328263886</v>
      </c>
      <c r="AO61" s="936">
        <f t="shared" si="38"/>
        <v>28.523867328263886</v>
      </c>
      <c r="AP61" s="936">
        <f t="shared" si="39"/>
        <v>28.523867328263886</v>
      </c>
      <c r="AQ61" s="936">
        <f t="shared" si="40"/>
        <v>28.523867328263886</v>
      </c>
      <c r="AR61" s="936">
        <f t="shared" si="41"/>
        <v>28.523867328263886</v>
      </c>
      <c r="AS61" s="936">
        <f t="shared" si="42"/>
        <v>28.523867328263886</v>
      </c>
      <c r="AT61" s="936">
        <f t="shared" si="43"/>
        <v>28.523867328263886</v>
      </c>
      <c r="AU61" s="936">
        <f t="shared" si="44"/>
        <v>28.523867328263886</v>
      </c>
      <c r="AV61" s="936">
        <f t="shared" si="45"/>
        <v>28.523867328263886</v>
      </c>
      <c r="AW61" s="936">
        <f t="shared" si="46"/>
        <v>28.523867328263886</v>
      </c>
      <c r="AX61" s="936">
        <f t="shared" si="47"/>
        <v>28.523867328263886</v>
      </c>
      <c r="AY61" s="936">
        <f t="shared" si="48"/>
        <v>28.523867328263886</v>
      </c>
      <c r="AZ61" s="936">
        <f t="shared" si="49"/>
        <v>28.523867328263886</v>
      </c>
      <c r="BA61" s="936">
        <f t="shared" si="50"/>
        <v>28.523867328263886</v>
      </c>
      <c r="BB61" s="937">
        <f t="shared" si="51"/>
        <v>28.523867328263886</v>
      </c>
      <c r="BC61" s="938"/>
    </row>
    <row r="62" spans="2:55" s="934" customFormat="1" ht="15">
      <c r="B62" s="909">
        <v>2032</v>
      </c>
      <c r="C62" s="1218" t="s">
        <v>811</v>
      </c>
      <c r="D62" s="932">
        <v>2.8067484016481008</v>
      </c>
      <c r="E62" s="932">
        <v>6.7970654064008214</v>
      </c>
      <c r="F62" s="932">
        <v>11.835686031046208</v>
      </c>
      <c r="G62" s="932">
        <v>21.98055977194295</v>
      </c>
      <c r="H62" s="932">
        <v>21.98055977194295</v>
      </c>
      <c r="I62" s="932">
        <v>21.98055977194295</v>
      </c>
      <c r="J62" s="932">
        <v>21.98055977194295</v>
      </c>
      <c r="K62" s="932">
        <v>21.98055977194295</v>
      </c>
      <c r="L62" s="932">
        <v>21.98055977194295</v>
      </c>
      <c r="M62" s="932">
        <v>21.98055977194295</v>
      </c>
      <c r="N62" s="932">
        <v>21.98055977194295</v>
      </c>
      <c r="O62" s="932">
        <v>21.98055977194295</v>
      </c>
      <c r="P62" s="932">
        <v>21.98055977194295</v>
      </c>
      <c r="Q62" s="932">
        <v>21.98055977194295</v>
      </c>
      <c r="R62" s="932">
        <v>21.98055977194295</v>
      </c>
      <c r="S62" s="932">
        <v>21.98055977194295</v>
      </c>
      <c r="T62" s="932">
        <v>21.98055977194295</v>
      </c>
      <c r="U62" s="932">
        <v>21.98055977194295</v>
      </c>
      <c r="V62" s="932">
        <v>21.98055977194295</v>
      </c>
      <c r="W62" s="932">
        <v>21.98055977194295</v>
      </c>
      <c r="X62" s="932">
        <v>21.98055977194295</v>
      </c>
      <c r="Y62" s="932">
        <v>21.98055977194295</v>
      </c>
      <c r="Z62" s="932">
        <v>21.98055977194295</v>
      </c>
      <c r="AA62" s="932">
        <v>21.98055977194295</v>
      </c>
      <c r="AB62" s="933">
        <v>21.98055977194295</v>
      </c>
      <c r="AD62" s="935">
        <f t="shared" si="27"/>
        <v>4.2236217949855295</v>
      </c>
      <c r="AE62" s="936">
        <f t="shared" si="28"/>
        <v>10.228288925205922</v>
      </c>
      <c r="AF62" s="936">
        <f t="shared" si="29"/>
        <v>17.81045335234862</v>
      </c>
      <c r="AG62" s="936">
        <f t="shared" si="30"/>
        <v>33.076556225790284</v>
      </c>
      <c r="AH62" s="936">
        <f t="shared" si="31"/>
        <v>33.076556225790284</v>
      </c>
      <c r="AI62" s="936">
        <f t="shared" si="32"/>
        <v>33.076556225790284</v>
      </c>
      <c r="AJ62" s="936">
        <f t="shared" si="33"/>
        <v>33.076556225790284</v>
      </c>
      <c r="AK62" s="936">
        <f t="shared" si="34"/>
        <v>33.076556225790284</v>
      </c>
      <c r="AL62" s="936">
        <f t="shared" si="35"/>
        <v>33.076556225790284</v>
      </c>
      <c r="AM62" s="936">
        <f t="shared" si="36"/>
        <v>33.076556225790284</v>
      </c>
      <c r="AN62" s="936">
        <f t="shared" si="37"/>
        <v>33.076556225790284</v>
      </c>
      <c r="AO62" s="936">
        <f t="shared" si="38"/>
        <v>33.076556225790284</v>
      </c>
      <c r="AP62" s="936">
        <f t="shared" si="39"/>
        <v>33.076556225790284</v>
      </c>
      <c r="AQ62" s="936">
        <f t="shared" si="40"/>
        <v>33.076556225790284</v>
      </c>
      <c r="AR62" s="936">
        <f t="shared" si="41"/>
        <v>33.076556225790284</v>
      </c>
      <c r="AS62" s="936">
        <f t="shared" si="42"/>
        <v>33.076556225790284</v>
      </c>
      <c r="AT62" s="936">
        <f t="shared" si="43"/>
        <v>33.076556225790284</v>
      </c>
      <c r="AU62" s="936">
        <f t="shared" si="44"/>
        <v>33.076556225790284</v>
      </c>
      <c r="AV62" s="936">
        <f t="shared" si="45"/>
        <v>33.076556225790284</v>
      </c>
      <c r="AW62" s="936">
        <f t="shared" si="46"/>
        <v>33.076556225790284</v>
      </c>
      <c r="AX62" s="936">
        <f t="shared" si="47"/>
        <v>33.076556225790284</v>
      </c>
      <c r="AY62" s="936">
        <f t="shared" si="48"/>
        <v>33.076556225790284</v>
      </c>
      <c r="AZ62" s="936">
        <f t="shared" si="49"/>
        <v>33.076556225790284</v>
      </c>
      <c r="BA62" s="936">
        <f t="shared" si="50"/>
        <v>33.076556225790284</v>
      </c>
      <c r="BB62" s="937">
        <f t="shared" si="51"/>
        <v>33.076556225790284</v>
      </c>
      <c r="BC62" s="938"/>
    </row>
    <row r="63" spans="2:55" s="934" customFormat="1" ht="15">
      <c r="B63" s="909">
        <v>2033</v>
      </c>
      <c r="C63" s="1218" t="s">
        <v>812</v>
      </c>
      <c r="D63" s="932">
        <v>0</v>
      </c>
      <c r="E63" s="932">
        <v>1.104594641092018</v>
      </c>
      <c r="F63" s="932">
        <v>5.1777873801188292</v>
      </c>
      <c r="G63" s="932">
        <v>10.321056177703536</v>
      </c>
      <c r="H63" s="932">
        <v>20.676630937941184</v>
      </c>
      <c r="I63" s="932">
        <v>20.676630937941184</v>
      </c>
      <c r="J63" s="932">
        <v>20.676630937941184</v>
      </c>
      <c r="K63" s="932">
        <v>20.676630937941184</v>
      </c>
      <c r="L63" s="932">
        <v>20.676630937941184</v>
      </c>
      <c r="M63" s="932">
        <v>20.676630937941184</v>
      </c>
      <c r="N63" s="932">
        <v>20.676630937941184</v>
      </c>
      <c r="O63" s="932">
        <v>20.676630937941184</v>
      </c>
      <c r="P63" s="932">
        <v>20.676630937941184</v>
      </c>
      <c r="Q63" s="932">
        <v>20.676630937941184</v>
      </c>
      <c r="R63" s="932">
        <v>20.676630937941184</v>
      </c>
      <c r="S63" s="932">
        <v>20.676630937941184</v>
      </c>
      <c r="T63" s="932">
        <v>20.676630937941184</v>
      </c>
      <c r="U63" s="932">
        <v>20.676630937941184</v>
      </c>
      <c r="V63" s="932">
        <v>20.676630937941184</v>
      </c>
      <c r="W63" s="932">
        <v>20.676630937941184</v>
      </c>
      <c r="X63" s="932">
        <v>20.676630937941184</v>
      </c>
      <c r="Y63" s="932">
        <v>20.676630937941184</v>
      </c>
      <c r="Z63" s="932">
        <v>20.676630937941184</v>
      </c>
      <c r="AA63" s="932">
        <v>20.676630937941184</v>
      </c>
      <c r="AB63" s="933">
        <v>20.676630937941184</v>
      </c>
      <c r="AD63" s="935">
        <f t="shared" si="27"/>
        <v>0</v>
      </c>
      <c r="AE63" s="936">
        <f t="shared" si="28"/>
        <v>1.6622045631168743</v>
      </c>
      <c r="AF63" s="936">
        <f t="shared" si="29"/>
        <v>7.7915838896103402</v>
      </c>
      <c r="AG63" s="936">
        <f t="shared" si="30"/>
        <v>15.53122388662328</v>
      </c>
      <c r="AH63" s="936">
        <f t="shared" si="31"/>
        <v>31.114391665843947</v>
      </c>
      <c r="AI63" s="936">
        <f t="shared" si="32"/>
        <v>31.114391665843947</v>
      </c>
      <c r="AJ63" s="936">
        <f t="shared" si="33"/>
        <v>31.114391665843947</v>
      </c>
      <c r="AK63" s="936">
        <f t="shared" si="34"/>
        <v>31.114391665843947</v>
      </c>
      <c r="AL63" s="936">
        <f t="shared" si="35"/>
        <v>31.114391665843947</v>
      </c>
      <c r="AM63" s="936">
        <f t="shared" si="36"/>
        <v>31.114391665843947</v>
      </c>
      <c r="AN63" s="936">
        <f t="shared" si="37"/>
        <v>31.114391665843947</v>
      </c>
      <c r="AO63" s="936">
        <f t="shared" si="38"/>
        <v>31.114391665843947</v>
      </c>
      <c r="AP63" s="936">
        <f t="shared" si="39"/>
        <v>31.114391665843947</v>
      </c>
      <c r="AQ63" s="936">
        <f t="shared" si="40"/>
        <v>31.114391665843947</v>
      </c>
      <c r="AR63" s="936">
        <f t="shared" si="41"/>
        <v>31.114391665843947</v>
      </c>
      <c r="AS63" s="936">
        <f t="shared" si="42"/>
        <v>31.114391665843947</v>
      </c>
      <c r="AT63" s="936">
        <f t="shared" si="43"/>
        <v>31.114391665843947</v>
      </c>
      <c r="AU63" s="936">
        <f t="shared" si="44"/>
        <v>31.114391665843947</v>
      </c>
      <c r="AV63" s="936">
        <f t="shared" si="45"/>
        <v>31.114391665843947</v>
      </c>
      <c r="AW63" s="936">
        <f t="shared" si="46"/>
        <v>31.114391665843947</v>
      </c>
      <c r="AX63" s="936">
        <f t="shared" si="47"/>
        <v>31.114391665843947</v>
      </c>
      <c r="AY63" s="936">
        <f t="shared" si="48"/>
        <v>31.114391665843947</v>
      </c>
      <c r="AZ63" s="936">
        <f t="shared" si="49"/>
        <v>31.114391665843947</v>
      </c>
      <c r="BA63" s="936">
        <f t="shared" si="50"/>
        <v>31.114391665843947</v>
      </c>
      <c r="BB63" s="937">
        <f t="shared" si="51"/>
        <v>31.114391665843947</v>
      </c>
      <c r="BC63" s="938"/>
    </row>
    <row r="64" spans="2:55" s="934" customFormat="1" ht="15">
      <c r="B64" s="909">
        <v>2034</v>
      </c>
      <c r="C64" s="1218" t="s">
        <v>813</v>
      </c>
      <c r="D64" s="932">
        <v>0</v>
      </c>
      <c r="E64" s="932">
        <v>0</v>
      </c>
      <c r="F64" s="932">
        <v>0</v>
      </c>
      <c r="G64" s="932">
        <v>0</v>
      </c>
      <c r="H64" s="932">
        <v>93.59550485152937</v>
      </c>
      <c r="I64" s="932">
        <v>303.13767989226642</v>
      </c>
      <c r="J64" s="932">
        <v>303.13767989226642</v>
      </c>
      <c r="K64" s="932">
        <v>303.13767989226642</v>
      </c>
      <c r="L64" s="932">
        <v>303.13767989226642</v>
      </c>
      <c r="M64" s="932">
        <v>303.13767989226642</v>
      </c>
      <c r="N64" s="932">
        <v>303.13767989226642</v>
      </c>
      <c r="O64" s="932">
        <v>303.13767989226642</v>
      </c>
      <c r="P64" s="932">
        <v>303.13767989226642</v>
      </c>
      <c r="Q64" s="932">
        <v>303.13767989226642</v>
      </c>
      <c r="R64" s="932">
        <v>303.13767989226642</v>
      </c>
      <c r="S64" s="932">
        <v>303.13767989226642</v>
      </c>
      <c r="T64" s="932">
        <v>303.13767989226642</v>
      </c>
      <c r="U64" s="932">
        <v>303.13767989226642</v>
      </c>
      <c r="V64" s="932">
        <v>303.13767989226642</v>
      </c>
      <c r="W64" s="932">
        <v>303.13767989226642</v>
      </c>
      <c r="X64" s="932">
        <v>303.13767989226642</v>
      </c>
      <c r="Y64" s="932">
        <v>303.13767989226642</v>
      </c>
      <c r="Z64" s="932">
        <v>303.13767989226642</v>
      </c>
      <c r="AA64" s="932">
        <v>303.13767989226642</v>
      </c>
      <c r="AB64" s="933">
        <v>303.13767989226642</v>
      </c>
      <c r="AD64" s="935">
        <f t="shared" si="27"/>
        <v>0</v>
      </c>
      <c r="AE64" s="936">
        <f t="shared" si="28"/>
        <v>0</v>
      </c>
      <c r="AF64" s="936">
        <f t="shared" si="29"/>
        <v>0</v>
      </c>
      <c r="AG64" s="936">
        <f t="shared" si="30"/>
        <v>0</v>
      </c>
      <c r="AH64" s="936">
        <f t="shared" si="31"/>
        <v>140.84340939553729</v>
      </c>
      <c r="AI64" s="936">
        <f t="shared" si="32"/>
        <v>456.16447520644113</v>
      </c>
      <c r="AJ64" s="936">
        <f t="shared" si="33"/>
        <v>456.16447520644113</v>
      </c>
      <c r="AK64" s="936">
        <f t="shared" si="34"/>
        <v>456.16447520644113</v>
      </c>
      <c r="AL64" s="936">
        <f t="shared" si="35"/>
        <v>456.16447520644113</v>
      </c>
      <c r="AM64" s="936">
        <f t="shared" si="36"/>
        <v>456.16447520644113</v>
      </c>
      <c r="AN64" s="936">
        <f t="shared" si="37"/>
        <v>456.16447520644113</v>
      </c>
      <c r="AO64" s="936">
        <f t="shared" si="38"/>
        <v>456.16447520644113</v>
      </c>
      <c r="AP64" s="936">
        <f t="shared" si="39"/>
        <v>456.16447520644113</v>
      </c>
      <c r="AQ64" s="936">
        <f t="shared" si="40"/>
        <v>456.16447520644113</v>
      </c>
      <c r="AR64" s="936">
        <f t="shared" si="41"/>
        <v>456.16447520644113</v>
      </c>
      <c r="AS64" s="936">
        <f t="shared" si="42"/>
        <v>456.16447520644113</v>
      </c>
      <c r="AT64" s="936">
        <f t="shared" si="43"/>
        <v>456.16447520644113</v>
      </c>
      <c r="AU64" s="936">
        <f t="shared" si="44"/>
        <v>456.16447520644113</v>
      </c>
      <c r="AV64" s="936">
        <f t="shared" si="45"/>
        <v>456.16447520644113</v>
      </c>
      <c r="AW64" s="936">
        <f t="shared" si="46"/>
        <v>456.16447520644113</v>
      </c>
      <c r="AX64" s="936">
        <f t="shared" si="47"/>
        <v>456.16447520644113</v>
      </c>
      <c r="AY64" s="936">
        <f t="shared" si="48"/>
        <v>456.16447520644113</v>
      </c>
      <c r="AZ64" s="936">
        <f t="shared" si="49"/>
        <v>456.16447520644113</v>
      </c>
      <c r="BA64" s="936">
        <f t="shared" si="50"/>
        <v>456.16447520644113</v>
      </c>
      <c r="BB64" s="937">
        <f t="shared" si="51"/>
        <v>456.16447520644113</v>
      </c>
      <c r="BC64" s="938"/>
    </row>
    <row r="65" spans="2:55" s="934" customFormat="1" ht="15">
      <c r="B65" s="909">
        <v>2035</v>
      </c>
      <c r="C65" s="1218" t="s">
        <v>814</v>
      </c>
      <c r="D65" s="932">
        <v>0</v>
      </c>
      <c r="E65" s="932">
        <v>0</v>
      </c>
      <c r="F65" s="932">
        <v>0</v>
      </c>
      <c r="G65" s="932">
        <v>0</v>
      </c>
      <c r="H65" s="932">
        <v>0</v>
      </c>
      <c r="I65" s="932">
        <v>0</v>
      </c>
      <c r="J65" s="932">
        <v>9.557487657357969</v>
      </c>
      <c r="K65" s="932">
        <v>9.557487657357969</v>
      </c>
      <c r="L65" s="932">
        <v>9.557487657357969</v>
      </c>
      <c r="M65" s="932">
        <v>9.557487657357969</v>
      </c>
      <c r="N65" s="932">
        <v>9.557487657357969</v>
      </c>
      <c r="O65" s="932">
        <v>9.557487657357969</v>
      </c>
      <c r="P65" s="932">
        <v>9.557487657357969</v>
      </c>
      <c r="Q65" s="932">
        <v>9.557487657357969</v>
      </c>
      <c r="R65" s="932">
        <v>9.557487657357969</v>
      </c>
      <c r="S65" s="932">
        <v>9.557487657357969</v>
      </c>
      <c r="T65" s="932">
        <v>9.557487657357969</v>
      </c>
      <c r="U65" s="932">
        <v>9.557487657357969</v>
      </c>
      <c r="V65" s="932">
        <v>9.557487657357969</v>
      </c>
      <c r="W65" s="932">
        <v>9.557487657357969</v>
      </c>
      <c r="X65" s="932">
        <v>9.557487657357969</v>
      </c>
      <c r="Y65" s="932">
        <v>9.557487657357969</v>
      </c>
      <c r="Z65" s="932">
        <v>9.557487657357969</v>
      </c>
      <c r="AA65" s="932">
        <v>9.557487657357969</v>
      </c>
      <c r="AB65" s="933">
        <v>9.557487657357969</v>
      </c>
      <c r="AD65" s="935">
        <f t="shared" si="27"/>
        <v>0</v>
      </c>
      <c r="AE65" s="936">
        <f t="shared" si="28"/>
        <v>0</v>
      </c>
      <c r="AF65" s="936">
        <f t="shared" si="29"/>
        <v>0</v>
      </c>
      <c r="AG65" s="936">
        <f t="shared" si="30"/>
        <v>0</v>
      </c>
      <c r="AH65" s="936">
        <f t="shared" si="31"/>
        <v>0</v>
      </c>
      <c r="AI65" s="936">
        <f t="shared" si="32"/>
        <v>0</v>
      </c>
      <c r="AJ65" s="936">
        <f t="shared" si="33"/>
        <v>14.382198686287307</v>
      </c>
      <c r="AK65" s="936">
        <f t="shared" si="34"/>
        <v>14.382198686287307</v>
      </c>
      <c r="AL65" s="936">
        <f t="shared" si="35"/>
        <v>14.382198686287307</v>
      </c>
      <c r="AM65" s="936">
        <f t="shared" si="36"/>
        <v>14.382198686287307</v>
      </c>
      <c r="AN65" s="936">
        <f t="shared" si="37"/>
        <v>14.382198686287307</v>
      </c>
      <c r="AO65" s="936">
        <f t="shared" si="38"/>
        <v>14.382198686287307</v>
      </c>
      <c r="AP65" s="936">
        <f t="shared" si="39"/>
        <v>14.382198686287307</v>
      </c>
      <c r="AQ65" s="936">
        <f t="shared" si="40"/>
        <v>14.382198686287307</v>
      </c>
      <c r="AR65" s="936">
        <f t="shared" si="41"/>
        <v>14.382198686287307</v>
      </c>
      <c r="AS65" s="936">
        <f t="shared" si="42"/>
        <v>14.382198686287307</v>
      </c>
      <c r="AT65" s="936">
        <f t="shared" si="43"/>
        <v>14.382198686287307</v>
      </c>
      <c r="AU65" s="936">
        <f t="shared" si="44"/>
        <v>14.382198686287307</v>
      </c>
      <c r="AV65" s="936">
        <f t="shared" si="45"/>
        <v>14.382198686287307</v>
      </c>
      <c r="AW65" s="936">
        <f t="shared" si="46"/>
        <v>14.382198686287307</v>
      </c>
      <c r="AX65" s="936">
        <f t="shared" si="47"/>
        <v>14.382198686287307</v>
      </c>
      <c r="AY65" s="936">
        <f t="shared" si="48"/>
        <v>14.382198686287307</v>
      </c>
      <c r="AZ65" s="936">
        <f t="shared" si="49"/>
        <v>14.382198686287307</v>
      </c>
      <c r="BA65" s="936">
        <f t="shared" si="50"/>
        <v>14.382198686287307</v>
      </c>
      <c r="BB65" s="937">
        <f t="shared" si="51"/>
        <v>14.382198686287307</v>
      </c>
      <c r="BC65" s="938"/>
    </row>
    <row r="66" spans="2:55" s="934" customFormat="1" ht="15">
      <c r="B66" s="909">
        <v>2036</v>
      </c>
      <c r="C66" s="1218" t="s">
        <v>815</v>
      </c>
      <c r="D66" s="932">
        <v>0</v>
      </c>
      <c r="E66" s="932">
        <v>0</v>
      </c>
      <c r="F66" s="932">
        <v>0</v>
      </c>
      <c r="G66" s="932">
        <v>0</v>
      </c>
      <c r="H66" s="932">
        <v>0</v>
      </c>
      <c r="I66" s="932">
        <v>0</v>
      </c>
      <c r="J66" s="932">
        <v>0</v>
      </c>
      <c r="K66" s="932">
        <v>5.461096285746593</v>
      </c>
      <c r="L66" s="932">
        <v>5.461096285746593</v>
      </c>
      <c r="M66" s="932">
        <v>5.461096285746593</v>
      </c>
      <c r="N66" s="932">
        <v>5.461096285746593</v>
      </c>
      <c r="O66" s="932">
        <v>5.461096285746593</v>
      </c>
      <c r="P66" s="932">
        <v>5.461096285746593</v>
      </c>
      <c r="Q66" s="932">
        <v>5.461096285746593</v>
      </c>
      <c r="R66" s="932">
        <v>5.461096285746593</v>
      </c>
      <c r="S66" s="932">
        <v>5.461096285746593</v>
      </c>
      <c r="T66" s="932">
        <v>5.461096285746593</v>
      </c>
      <c r="U66" s="932">
        <v>5.461096285746593</v>
      </c>
      <c r="V66" s="932">
        <v>5.461096285746593</v>
      </c>
      <c r="W66" s="932">
        <v>5.461096285746593</v>
      </c>
      <c r="X66" s="932">
        <v>5.461096285746593</v>
      </c>
      <c r="Y66" s="932">
        <v>5.461096285746593</v>
      </c>
      <c r="Z66" s="932">
        <v>5.461096285746593</v>
      </c>
      <c r="AA66" s="932">
        <v>5.461096285746593</v>
      </c>
      <c r="AB66" s="933">
        <v>5.461096285746593</v>
      </c>
      <c r="AD66" s="935">
        <f t="shared" si="27"/>
        <v>0</v>
      </c>
      <c r="AE66" s="936">
        <f t="shared" si="28"/>
        <v>0</v>
      </c>
      <c r="AF66" s="936">
        <f t="shared" si="29"/>
        <v>0</v>
      </c>
      <c r="AG66" s="936">
        <f t="shared" si="30"/>
        <v>0</v>
      </c>
      <c r="AH66" s="936">
        <f t="shared" si="31"/>
        <v>0</v>
      </c>
      <c r="AI66" s="936">
        <f t="shared" si="32"/>
        <v>0</v>
      </c>
      <c r="AJ66" s="936">
        <f t="shared" si="33"/>
        <v>0</v>
      </c>
      <c r="AK66" s="936">
        <f t="shared" si="34"/>
        <v>8.2179098359688716</v>
      </c>
      <c r="AL66" s="936">
        <f t="shared" si="35"/>
        <v>8.2179098359688716</v>
      </c>
      <c r="AM66" s="936">
        <f t="shared" si="36"/>
        <v>8.2179098359688716</v>
      </c>
      <c r="AN66" s="936">
        <f t="shared" si="37"/>
        <v>8.2179098359688716</v>
      </c>
      <c r="AO66" s="936">
        <f t="shared" si="38"/>
        <v>8.2179098359688716</v>
      </c>
      <c r="AP66" s="936">
        <f t="shared" si="39"/>
        <v>8.2179098359688716</v>
      </c>
      <c r="AQ66" s="936">
        <f t="shared" si="40"/>
        <v>8.2179098359688716</v>
      </c>
      <c r="AR66" s="936">
        <f t="shared" si="41"/>
        <v>8.2179098359688716</v>
      </c>
      <c r="AS66" s="936">
        <f t="shared" si="42"/>
        <v>8.2179098359688716</v>
      </c>
      <c r="AT66" s="936">
        <f t="shared" si="43"/>
        <v>8.2179098359688716</v>
      </c>
      <c r="AU66" s="936">
        <f t="shared" si="44"/>
        <v>8.2179098359688716</v>
      </c>
      <c r="AV66" s="936">
        <f t="shared" si="45"/>
        <v>8.2179098359688716</v>
      </c>
      <c r="AW66" s="936">
        <f t="shared" si="46"/>
        <v>8.2179098359688716</v>
      </c>
      <c r="AX66" s="936">
        <f t="shared" si="47"/>
        <v>8.2179098359688716</v>
      </c>
      <c r="AY66" s="936">
        <f t="shared" si="48"/>
        <v>8.2179098359688716</v>
      </c>
      <c r="AZ66" s="936">
        <f t="shared" si="49"/>
        <v>8.2179098359688716</v>
      </c>
      <c r="BA66" s="936">
        <f t="shared" si="50"/>
        <v>8.2179098359688716</v>
      </c>
      <c r="BB66" s="937">
        <f t="shared" si="51"/>
        <v>8.2179098359688716</v>
      </c>
      <c r="BC66" s="938"/>
    </row>
    <row r="67" spans="2:55" s="934" customFormat="1" ht="15">
      <c r="B67" s="909">
        <v>2037</v>
      </c>
      <c r="C67" s="1218" t="s">
        <v>816</v>
      </c>
      <c r="D67" s="932">
        <v>0</v>
      </c>
      <c r="E67" s="932">
        <v>0</v>
      </c>
      <c r="F67" s="932">
        <v>0</v>
      </c>
      <c r="G67" s="932">
        <v>0</v>
      </c>
      <c r="H67" s="932">
        <v>0</v>
      </c>
      <c r="I67" s="932">
        <v>0</v>
      </c>
      <c r="J67" s="932">
        <v>0</v>
      </c>
      <c r="K67" s="932">
        <v>0</v>
      </c>
      <c r="L67" s="932">
        <v>2.480958316536936</v>
      </c>
      <c r="M67" s="932">
        <v>2.480958316536936</v>
      </c>
      <c r="N67" s="932">
        <v>2.480958316536936</v>
      </c>
      <c r="O67" s="932">
        <v>2.480958316536936</v>
      </c>
      <c r="P67" s="932">
        <v>2.480958316536936</v>
      </c>
      <c r="Q67" s="932">
        <v>2.480958316536936</v>
      </c>
      <c r="R67" s="932">
        <v>2.480958316536936</v>
      </c>
      <c r="S67" s="932">
        <v>2.480958316536936</v>
      </c>
      <c r="T67" s="932">
        <v>2.480958316536936</v>
      </c>
      <c r="U67" s="932">
        <v>2.480958316536936</v>
      </c>
      <c r="V67" s="932">
        <v>2.480958316536936</v>
      </c>
      <c r="W67" s="932">
        <v>2.480958316536936</v>
      </c>
      <c r="X67" s="932">
        <v>2.480958316536936</v>
      </c>
      <c r="Y67" s="932">
        <v>2.480958316536936</v>
      </c>
      <c r="Z67" s="932">
        <v>2.480958316536936</v>
      </c>
      <c r="AA67" s="932">
        <v>2.480958316536936</v>
      </c>
      <c r="AB67" s="933">
        <v>2.480958316536936</v>
      </c>
      <c r="AD67" s="935">
        <f t="shared" si="27"/>
        <v>0</v>
      </c>
      <c r="AE67" s="936">
        <f t="shared" si="28"/>
        <v>0</v>
      </c>
      <c r="AF67" s="936">
        <f t="shared" si="29"/>
        <v>0</v>
      </c>
      <c r="AG67" s="936">
        <f t="shared" si="30"/>
        <v>0</v>
      </c>
      <c r="AH67" s="936">
        <f t="shared" si="31"/>
        <v>0</v>
      </c>
      <c r="AI67" s="936">
        <f t="shared" si="32"/>
        <v>0</v>
      </c>
      <c r="AJ67" s="936">
        <f t="shared" si="33"/>
        <v>0</v>
      </c>
      <c r="AK67" s="936">
        <f t="shared" si="34"/>
        <v>0</v>
      </c>
      <c r="AL67" s="936">
        <f t="shared" si="35"/>
        <v>3.7333697641096166</v>
      </c>
      <c r="AM67" s="936">
        <f t="shared" si="36"/>
        <v>3.7333697641096166</v>
      </c>
      <c r="AN67" s="936">
        <f t="shared" si="37"/>
        <v>3.7333697641096166</v>
      </c>
      <c r="AO67" s="936">
        <f t="shared" si="38"/>
        <v>3.7333697641096166</v>
      </c>
      <c r="AP67" s="936">
        <f t="shared" si="39"/>
        <v>3.7333697641096166</v>
      </c>
      <c r="AQ67" s="936">
        <f t="shared" si="40"/>
        <v>3.7333697641096166</v>
      </c>
      <c r="AR67" s="936">
        <f t="shared" si="41"/>
        <v>3.7333697641096166</v>
      </c>
      <c r="AS67" s="936">
        <f t="shared" si="42"/>
        <v>3.7333697641096166</v>
      </c>
      <c r="AT67" s="936">
        <f t="shared" si="43"/>
        <v>3.7333697641096166</v>
      </c>
      <c r="AU67" s="936">
        <f t="shared" si="44"/>
        <v>3.7333697641096166</v>
      </c>
      <c r="AV67" s="936">
        <f t="shared" si="45"/>
        <v>3.7333697641096166</v>
      </c>
      <c r="AW67" s="936">
        <f t="shared" si="46"/>
        <v>3.7333697641096166</v>
      </c>
      <c r="AX67" s="936">
        <f t="shared" si="47"/>
        <v>3.7333697641096166</v>
      </c>
      <c r="AY67" s="936">
        <f t="shared" si="48"/>
        <v>3.7333697641096166</v>
      </c>
      <c r="AZ67" s="936">
        <f t="shared" si="49"/>
        <v>3.7333697641096166</v>
      </c>
      <c r="BA67" s="936">
        <f t="shared" si="50"/>
        <v>3.7333697641096166</v>
      </c>
      <c r="BB67" s="937">
        <f t="shared" si="51"/>
        <v>3.7333697641096166</v>
      </c>
      <c r="BC67" s="938"/>
    </row>
    <row r="68" spans="2:55" s="934" customFormat="1" ht="15">
      <c r="B68" s="909">
        <v>2038</v>
      </c>
      <c r="C68" s="1218" t="s">
        <v>817</v>
      </c>
      <c r="D68" s="932">
        <v>0</v>
      </c>
      <c r="E68" s="932">
        <v>0</v>
      </c>
      <c r="F68" s="932">
        <v>0</v>
      </c>
      <c r="G68" s="932">
        <v>0</v>
      </c>
      <c r="H68" s="932">
        <v>0</v>
      </c>
      <c r="I68" s="932">
        <v>0</v>
      </c>
      <c r="J68" s="932">
        <v>0</v>
      </c>
      <c r="K68" s="932">
        <v>0</v>
      </c>
      <c r="L68" s="932">
        <v>0</v>
      </c>
      <c r="M68" s="932">
        <v>0.64025013171598011</v>
      </c>
      <c r="N68" s="932">
        <v>0.64025013171598011</v>
      </c>
      <c r="O68" s="932">
        <v>0.64025013171598011</v>
      </c>
      <c r="P68" s="932">
        <v>0.64025013171598011</v>
      </c>
      <c r="Q68" s="932">
        <v>0.64025013171598011</v>
      </c>
      <c r="R68" s="932">
        <v>0.64025013171598011</v>
      </c>
      <c r="S68" s="932">
        <v>0.64025013171598011</v>
      </c>
      <c r="T68" s="932">
        <v>0.64025013171598011</v>
      </c>
      <c r="U68" s="932">
        <v>0.64025013171598011</v>
      </c>
      <c r="V68" s="932">
        <v>0.64025013171598011</v>
      </c>
      <c r="W68" s="932">
        <v>0.64025013171598011</v>
      </c>
      <c r="X68" s="932">
        <v>0.64025013171598011</v>
      </c>
      <c r="Y68" s="932">
        <v>0.64025013171598011</v>
      </c>
      <c r="Z68" s="932">
        <v>0.64025013171598011</v>
      </c>
      <c r="AA68" s="932">
        <v>0.64025013171598011</v>
      </c>
      <c r="AB68" s="933">
        <v>0.64025013171598011</v>
      </c>
      <c r="AD68" s="935">
        <f t="shared" si="27"/>
        <v>0</v>
      </c>
      <c r="AE68" s="936">
        <f t="shared" si="28"/>
        <v>0</v>
      </c>
      <c r="AF68" s="936">
        <f t="shared" si="29"/>
        <v>0</v>
      </c>
      <c r="AG68" s="936">
        <f t="shared" si="30"/>
        <v>0</v>
      </c>
      <c r="AH68" s="936">
        <f t="shared" si="31"/>
        <v>0</v>
      </c>
      <c r="AI68" s="936">
        <f t="shared" si="32"/>
        <v>0</v>
      </c>
      <c r="AJ68" s="936">
        <f t="shared" si="33"/>
        <v>0</v>
      </c>
      <c r="AK68" s="936">
        <f t="shared" si="34"/>
        <v>0</v>
      </c>
      <c r="AL68" s="936">
        <f t="shared" si="35"/>
        <v>0</v>
      </c>
      <c r="AM68" s="936">
        <f t="shared" si="36"/>
        <v>0.9634545116228086</v>
      </c>
      <c r="AN68" s="936">
        <f t="shared" si="37"/>
        <v>0.9634545116228086</v>
      </c>
      <c r="AO68" s="936">
        <f t="shared" si="38"/>
        <v>0.9634545116228086</v>
      </c>
      <c r="AP68" s="936">
        <f t="shared" si="39"/>
        <v>0.9634545116228086</v>
      </c>
      <c r="AQ68" s="936">
        <f t="shared" si="40"/>
        <v>0.9634545116228086</v>
      </c>
      <c r="AR68" s="936">
        <f t="shared" si="41"/>
        <v>0.9634545116228086</v>
      </c>
      <c r="AS68" s="936">
        <f t="shared" si="42"/>
        <v>0.9634545116228086</v>
      </c>
      <c r="AT68" s="936">
        <f t="shared" si="43"/>
        <v>0.9634545116228086</v>
      </c>
      <c r="AU68" s="936">
        <f t="shared" si="44"/>
        <v>0.9634545116228086</v>
      </c>
      <c r="AV68" s="936">
        <f t="shared" si="45"/>
        <v>0.9634545116228086</v>
      </c>
      <c r="AW68" s="936">
        <f t="shared" si="46"/>
        <v>0.9634545116228086</v>
      </c>
      <c r="AX68" s="936">
        <f t="shared" si="47"/>
        <v>0.9634545116228086</v>
      </c>
      <c r="AY68" s="936">
        <f t="shared" si="48"/>
        <v>0.9634545116228086</v>
      </c>
      <c r="AZ68" s="936">
        <f t="shared" si="49"/>
        <v>0.9634545116228086</v>
      </c>
      <c r="BA68" s="936">
        <f t="shared" si="50"/>
        <v>0.9634545116228086</v>
      </c>
      <c r="BB68" s="937">
        <f t="shared" si="51"/>
        <v>0.9634545116228086</v>
      </c>
      <c r="BC68" s="938"/>
    </row>
    <row r="69" spans="2:55" s="934" customFormat="1" ht="15">
      <c r="B69" s="909">
        <v>2039</v>
      </c>
      <c r="C69" s="1218" t="s">
        <v>818</v>
      </c>
      <c r="D69" s="932">
        <v>0</v>
      </c>
      <c r="E69" s="932">
        <v>0</v>
      </c>
      <c r="F69" s="932">
        <v>0</v>
      </c>
      <c r="G69" s="932">
        <v>0</v>
      </c>
      <c r="H69" s="932">
        <v>0</v>
      </c>
      <c r="I69" s="932">
        <v>0</v>
      </c>
      <c r="J69" s="932">
        <v>0</v>
      </c>
      <c r="K69" s="932">
        <v>0</v>
      </c>
      <c r="L69" s="932">
        <v>0</v>
      </c>
      <c r="M69" s="932">
        <v>0</v>
      </c>
      <c r="N69" s="932">
        <v>2.1263613979165381E-15</v>
      </c>
      <c r="O69" s="932">
        <v>2.1263613979165381E-15</v>
      </c>
      <c r="P69" s="932">
        <v>2.1263613979165381E-15</v>
      </c>
      <c r="Q69" s="932">
        <v>2.1263613979165381E-15</v>
      </c>
      <c r="R69" s="932">
        <v>2.1263613979165381E-15</v>
      </c>
      <c r="S69" s="932">
        <v>2.1263613979165381E-15</v>
      </c>
      <c r="T69" s="932">
        <v>2.1263613979165381E-15</v>
      </c>
      <c r="U69" s="932">
        <v>2.1263613979165381E-15</v>
      </c>
      <c r="V69" s="932">
        <v>2.1263613979165381E-15</v>
      </c>
      <c r="W69" s="932">
        <v>2.1263613979165381E-15</v>
      </c>
      <c r="X69" s="932">
        <v>2.1263613979165381E-15</v>
      </c>
      <c r="Y69" s="932">
        <v>2.1263613979165381E-15</v>
      </c>
      <c r="Z69" s="932">
        <v>2.1263613979165381E-15</v>
      </c>
      <c r="AA69" s="932">
        <v>2.1263613979165381E-15</v>
      </c>
      <c r="AB69" s="933">
        <v>2.1263613979165381E-15</v>
      </c>
      <c r="AD69" s="935">
        <f t="shared" si="27"/>
        <v>0</v>
      </c>
      <c r="AE69" s="936">
        <f t="shared" si="28"/>
        <v>0</v>
      </c>
      <c r="AF69" s="936">
        <f t="shared" si="29"/>
        <v>0</v>
      </c>
      <c r="AG69" s="936">
        <f t="shared" si="30"/>
        <v>0</v>
      </c>
      <c r="AH69" s="936">
        <f t="shared" si="31"/>
        <v>0</v>
      </c>
      <c r="AI69" s="936">
        <f t="shared" si="32"/>
        <v>0</v>
      </c>
      <c r="AJ69" s="936">
        <f t="shared" si="33"/>
        <v>0</v>
      </c>
      <c r="AK69" s="936">
        <f t="shared" si="34"/>
        <v>0</v>
      </c>
      <c r="AL69" s="936">
        <f t="shared" si="35"/>
        <v>0</v>
      </c>
      <c r="AM69" s="936">
        <f t="shared" si="36"/>
        <v>0</v>
      </c>
      <c r="AN69" s="936">
        <f t="shared" si="37"/>
        <v>3.1997689351074887E-15</v>
      </c>
      <c r="AO69" s="936">
        <f t="shared" si="38"/>
        <v>3.1997689351074887E-15</v>
      </c>
      <c r="AP69" s="936">
        <f t="shared" si="39"/>
        <v>3.1997689351074887E-15</v>
      </c>
      <c r="AQ69" s="936">
        <f t="shared" si="40"/>
        <v>3.1997689351074887E-15</v>
      </c>
      <c r="AR69" s="936">
        <f t="shared" si="41"/>
        <v>3.1997689351074887E-15</v>
      </c>
      <c r="AS69" s="936">
        <f t="shared" si="42"/>
        <v>3.1997689351074887E-15</v>
      </c>
      <c r="AT69" s="936">
        <f t="shared" si="43"/>
        <v>3.1997689351074887E-15</v>
      </c>
      <c r="AU69" s="936">
        <f t="shared" si="44"/>
        <v>3.1997689351074887E-15</v>
      </c>
      <c r="AV69" s="936">
        <f t="shared" si="45"/>
        <v>3.1997689351074887E-15</v>
      </c>
      <c r="AW69" s="936">
        <f t="shared" si="46"/>
        <v>3.1997689351074887E-15</v>
      </c>
      <c r="AX69" s="936">
        <f t="shared" si="47"/>
        <v>3.1997689351074887E-15</v>
      </c>
      <c r="AY69" s="936">
        <f t="shared" si="48"/>
        <v>3.1997689351074887E-15</v>
      </c>
      <c r="AZ69" s="936">
        <f t="shared" si="49"/>
        <v>3.1997689351074887E-15</v>
      </c>
      <c r="BA69" s="936">
        <f t="shared" si="50"/>
        <v>3.1997689351074887E-15</v>
      </c>
      <c r="BB69" s="937">
        <f t="shared" si="51"/>
        <v>3.1997689351074887E-15</v>
      </c>
      <c r="BC69" s="938"/>
    </row>
    <row r="70" spans="2:55" s="934" customFormat="1" ht="15">
      <c r="B70" s="909">
        <v>2040</v>
      </c>
      <c r="C70" s="1218" t="s">
        <v>819</v>
      </c>
      <c r="D70" s="932">
        <v>0</v>
      </c>
      <c r="E70" s="932">
        <v>0</v>
      </c>
      <c r="F70" s="932">
        <v>0</v>
      </c>
      <c r="G70" s="932">
        <v>0</v>
      </c>
      <c r="H70" s="932">
        <v>0</v>
      </c>
      <c r="I70" s="932">
        <v>0</v>
      </c>
      <c r="J70" s="932">
        <v>0</v>
      </c>
      <c r="K70" s="932">
        <v>0</v>
      </c>
      <c r="L70" s="932">
        <v>0</v>
      </c>
      <c r="M70" s="932">
        <v>0</v>
      </c>
      <c r="N70" s="932">
        <v>0</v>
      </c>
      <c r="O70" s="932">
        <v>2.1626845100460251E-15</v>
      </c>
      <c r="P70" s="932">
        <v>2.1626845100460251E-15</v>
      </c>
      <c r="Q70" s="932">
        <v>2.1626845100460251E-15</v>
      </c>
      <c r="R70" s="932">
        <v>2.1626845100460251E-15</v>
      </c>
      <c r="S70" s="932">
        <v>2.1626845100460251E-15</v>
      </c>
      <c r="T70" s="932">
        <v>2.1626845100460251E-15</v>
      </c>
      <c r="U70" s="932">
        <v>2.1626845100460251E-15</v>
      </c>
      <c r="V70" s="932">
        <v>2.1626845100460251E-15</v>
      </c>
      <c r="W70" s="932">
        <v>2.1626845100460251E-15</v>
      </c>
      <c r="X70" s="932">
        <v>2.1626845100460251E-15</v>
      </c>
      <c r="Y70" s="932">
        <v>2.1626845100460251E-15</v>
      </c>
      <c r="Z70" s="932">
        <v>2.1626845100460251E-15</v>
      </c>
      <c r="AA70" s="932">
        <v>2.1626845100460251E-15</v>
      </c>
      <c r="AB70" s="933">
        <v>2.1626845100460251E-15</v>
      </c>
      <c r="AD70" s="935">
        <f t="shared" si="27"/>
        <v>0</v>
      </c>
      <c r="AE70" s="936">
        <f t="shared" si="28"/>
        <v>0</v>
      </c>
      <c r="AF70" s="936">
        <f t="shared" si="29"/>
        <v>0</v>
      </c>
      <c r="AG70" s="936">
        <f t="shared" si="30"/>
        <v>0</v>
      </c>
      <c r="AH70" s="936">
        <f t="shared" si="31"/>
        <v>0</v>
      </c>
      <c r="AI70" s="936">
        <f t="shared" si="32"/>
        <v>0</v>
      </c>
      <c r="AJ70" s="936">
        <f t="shared" si="33"/>
        <v>0</v>
      </c>
      <c r="AK70" s="936">
        <f t="shared" si="34"/>
        <v>0</v>
      </c>
      <c r="AL70" s="936">
        <f t="shared" si="35"/>
        <v>0</v>
      </c>
      <c r="AM70" s="936">
        <f t="shared" si="36"/>
        <v>0</v>
      </c>
      <c r="AN70" s="936">
        <f t="shared" si="37"/>
        <v>0</v>
      </c>
      <c r="AO70" s="936">
        <f t="shared" si="38"/>
        <v>3.2544283010705085E-15</v>
      </c>
      <c r="AP70" s="936">
        <f t="shared" si="39"/>
        <v>3.2544283010705085E-15</v>
      </c>
      <c r="AQ70" s="936">
        <f t="shared" si="40"/>
        <v>3.2544283010705085E-15</v>
      </c>
      <c r="AR70" s="936">
        <f t="shared" si="41"/>
        <v>3.2544283010705085E-15</v>
      </c>
      <c r="AS70" s="936">
        <f t="shared" si="42"/>
        <v>3.2544283010705085E-15</v>
      </c>
      <c r="AT70" s="936">
        <f t="shared" si="43"/>
        <v>3.2544283010705085E-15</v>
      </c>
      <c r="AU70" s="936">
        <f t="shared" si="44"/>
        <v>3.2544283010705085E-15</v>
      </c>
      <c r="AV70" s="936">
        <f t="shared" si="45"/>
        <v>3.2544283010705085E-15</v>
      </c>
      <c r="AW70" s="936">
        <f t="shared" si="46"/>
        <v>3.2544283010705085E-15</v>
      </c>
      <c r="AX70" s="936">
        <f t="shared" si="47"/>
        <v>3.2544283010705085E-15</v>
      </c>
      <c r="AY70" s="936">
        <f t="shared" si="48"/>
        <v>3.2544283010705085E-15</v>
      </c>
      <c r="AZ70" s="936">
        <f t="shared" si="49"/>
        <v>3.2544283010705085E-15</v>
      </c>
      <c r="BA70" s="936">
        <f t="shared" si="50"/>
        <v>3.2544283010705085E-15</v>
      </c>
      <c r="BB70" s="937">
        <f t="shared" si="51"/>
        <v>3.2544283010705085E-15</v>
      </c>
      <c r="BC70" s="938"/>
    </row>
    <row r="71" spans="2:55" s="934" customFormat="1" ht="15">
      <c r="B71" s="909">
        <v>2041</v>
      </c>
      <c r="C71" s="1218" t="s">
        <v>820</v>
      </c>
      <c r="D71" s="932">
        <v>0</v>
      </c>
      <c r="E71" s="932">
        <v>0</v>
      </c>
      <c r="F71" s="932">
        <v>0</v>
      </c>
      <c r="G71" s="932">
        <v>0</v>
      </c>
      <c r="H71" s="932">
        <v>0</v>
      </c>
      <c r="I71" s="932">
        <v>0</v>
      </c>
      <c r="J71" s="932">
        <v>0</v>
      </c>
      <c r="K71" s="932">
        <v>0</v>
      </c>
      <c r="L71" s="932">
        <v>0</v>
      </c>
      <c r="M71" s="932">
        <v>0</v>
      </c>
      <c r="N71" s="932">
        <v>0</v>
      </c>
      <c r="O71" s="932">
        <v>0</v>
      </c>
      <c r="P71" s="932">
        <v>2.1996281039412471E-15</v>
      </c>
      <c r="Q71" s="932">
        <v>2.1996281039412471E-15</v>
      </c>
      <c r="R71" s="932">
        <v>2.1996281039412471E-15</v>
      </c>
      <c r="S71" s="932">
        <v>2.1996281039412471E-15</v>
      </c>
      <c r="T71" s="932">
        <v>2.1996281039412471E-15</v>
      </c>
      <c r="U71" s="932">
        <v>2.1996281039412471E-15</v>
      </c>
      <c r="V71" s="932">
        <v>2.1996281039412471E-15</v>
      </c>
      <c r="W71" s="932">
        <v>2.1996281039412471E-15</v>
      </c>
      <c r="X71" s="932">
        <v>2.1996281039412471E-15</v>
      </c>
      <c r="Y71" s="932">
        <v>2.1996281039412471E-15</v>
      </c>
      <c r="Z71" s="932">
        <v>2.1996281039412471E-15</v>
      </c>
      <c r="AA71" s="932">
        <v>2.1996281039412471E-15</v>
      </c>
      <c r="AB71" s="933">
        <v>2.1996281039412471E-15</v>
      </c>
      <c r="AD71" s="935">
        <f t="shared" si="27"/>
        <v>0</v>
      </c>
      <c r="AE71" s="936">
        <f t="shared" si="28"/>
        <v>0</v>
      </c>
      <c r="AF71" s="936">
        <f t="shared" si="29"/>
        <v>0</v>
      </c>
      <c r="AG71" s="936">
        <f t="shared" si="30"/>
        <v>0</v>
      </c>
      <c r="AH71" s="936">
        <f t="shared" si="31"/>
        <v>0</v>
      </c>
      <c r="AI71" s="936">
        <f t="shared" si="32"/>
        <v>0</v>
      </c>
      <c r="AJ71" s="936">
        <f t="shared" si="33"/>
        <v>0</v>
      </c>
      <c r="AK71" s="936">
        <f t="shared" si="34"/>
        <v>0</v>
      </c>
      <c r="AL71" s="936">
        <f t="shared" si="35"/>
        <v>0</v>
      </c>
      <c r="AM71" s="936">
        <f t="shared" si="36"/>
        <v>0</v>
      </c>
      <c r="AN71" s="936">
        <f t="shared" si="37"/>
        <v>0</v>
      </c>
      <c r="AO71" s="936">
        <f t="shared" si="38"/>
        <v>0</v>
      </c>
      <c r="AP71" s="936">
        <f t="shared" si="39"/>
        <v>3.3100213739192651E-15</v>
      </c>
      <c r="AQ71" s="936">
        <f t="shared" si="40"/>
        <v>3.3100213739192651E-15</v>
      </c>
      <c r="AR71" s="936">
        <f t="shared" si="41"/>
        <v>3.3100213739192651E-15</v>
      </c>
      <c r="AS71" s="936">
        <f t="shared" si="42"/>
        <v>3.3100213739192651E-15</v>
      </c>
      <c r="AT71" s="936">
        <f t="shared" si="43"/>
        <v>3.3100213739192651E-15</v>
      </c>
      <c r="AU71" s="936">
        <f t="shared" si="44"/>
        <v>3.3100213739192651E-15</v>
      </c>
      <c r="AV71" s="936">
        <f t="shared" si="45"/>
        <v>3.3100213739192651E-15</v>
      </c>
      <c r="AW71" s="936">
        <f t="shared" si="46"/>
        <v>3.3100213739192651E-15</v>
      </c>
      <c r="AX71" s="936">
        <f t="shared" si="47"/>
        <v>3.3100213739192651E-15</v>
      </c>
      <c r="AY71" s="936">
        <f t="shared" si="48"/>
        <v>3.3100213739192651E-15</v>
      </c>
      <c r="AZ71" s="936">
        <f t="shared" si="49"/>
        <v>3.3100213739192651E-15</v>
      </c>
      <c r="BA71" s="936">
        <f t="shared" si="50"/>
        <v>3.3100213739192651E-15</v>
      </c>
      <c r="BB71" s="937">
        <f t="shared" si="51"/>
        <v>3.3100213739192651E-15</v>
      </c>
      <c r="BC71" s="938"/>
    </row>
    <row r="72" spans="2:55" s="934" customFormat="1" ht="15">
      <c r="B72" s="909">
        <v>2042</v>
      </c>
      <c r="C72" s="1218" t="s">
        <v>821</v>
      </c>
      <c r="D72" s="932">
        <v>0</v>
      </c>
      <c r="E72" s="932">
        <v>0</v>
      </c>
      <c r="F72" s="932">
        <v>0</v>
      </c>
      <c r="G72" s="932">
        <v>0</v>
      </c>
      <c r="H72" s="932">
        <v>0</v>
      </c>
      <c r="I72" s="932">
        <v>0</v>
      </c>
      <c r="J72" s="932">
        <v>0</v>
      </c>
      <c r="K72" s="932">
        <v>0</v>
      </c>
      <c r="L72" s="932">
        <v>0</v>
      </c>
      <c r="M72" s="932">
        <v>0</v>
      </c>
      <c r="N72" s="932">
        <v>0</v>
      </c>
      <c r="O72" s="932">
        <v>0</v>
      </c>
      <c r="P72" s="932">
        <v>0</v>
      </c>
      <c r="Q72" s="932">
        <v>2.2372027788487739E-15</v>
      </c>
      <c r="R72" s="932">
        <v>2.2372027788487739E-15</v>
      </c>
      <c r="S72" s="932">
        <v>2.2372027788487739E-15</v>
      </c>
      <c r="T72" s="932">
        <v>2.2372027788487739E-15</v>
      </c>
      <c r="U72" s="932">
        <v>2.2372027788487739E-15</v>
      </c>
      <c r="V72" s="932">
        <v>2.2372027788487739E-15</v>
      </c>
      <c r="W72" s="932">
        <v>2.2372027788487739E-15</v>
      </c>
      <c r="X72" s="932">
        <v>2.2372027788487739E-15</v>
      </c>
      <c r="Y72" s="932">
        <v>2.2372027788487739E-15</v>
      </c>
      <c r="Z72" s="932">
        <v>2.2372027788487739E-15</v>
      </c>
      <c r="AA72" s="932">
        <v>2.2372027788487739E-15</v>
      </c>
      <c r="AB72" s="933">
        <v>2.2372027788487739E-15</v>
      </c>
      <c r="AD72" s="935">
        <f t="shared" si="27"/>
        <v>0</v>
      </c>
      <c r="AE72" s="936">
        <f t="shared" si="28"/>
        <v>0</v>
      </c>
      <c r="AF72" s="936">
        <f t="shared" si="29"/>
        <v>0</v>
      </c>
      <c r="AG72" s="936">
        <f t="shared" si="30"/>
        <v>0</v>
      </c>
      <c r="AH72" s="936">
        <f t="shared" si="31"/>
        <v>0</v>
      </c>
      <c r="AI72" s="936">
        <f t="shared" si="32"/>
        <v>0</v>
      </c>
      <c r="AJ72" s="936">
        <f t="shared" si="33"/>
        <v>0</v>
      </c>
      <c r="AK72" s="936">
        <f t="shared" si="34"/>
        <v>0</v>
      </c>
      <c r="AL72" s="936">
        <f t="shared" si="35"/>
        <v>0</v>
      </c>
      <c r="AM72" s="936">
        <f t="shared" si="36"/>
        <v>0</v>
      </c>
      <c r="AN72" s="936">
        <f t="shared" si="37"/>
        <v>0</v>
      </c>
      <c r="AO72" s="936">
        <f t="shared" si="38"/>
        <v>0</v>
      </c>
      <c r="AP72" s="936">
        <f t="shared" si="39"/>
        <v>0</v>
      </c>
      <c r="AQ72" s="936">
        <f t="shared" si="40"/>
        <v>3.3665641035012034E-15</v>
      </c>
      <c r="AR72" s="936">
        <f t="shared" si="41"/>
        <v>3.3665641035012034E-15</v>
      </c>
      <c r="AS72" s="936">
        <f t="shared" si="42"/>
        <v>3.3665641035012034E-15</v>
      </c>
      <c r="AT72" s="936">
        <f t="shared" si="43"/>
        <v>3.3665641035012034E-15</v>
      </c>
      <c r="AU72" s="936">
        <f t="shared" si="44"/>
        <v>3.3665641035012034E-15</v>
      </c>
      <c r="AV72" s="936">
        <f t="shared" si="45"/>
        <v>3.3665641035012034E-15</v>
      </c>
      <c r="AW72" s="936">
        <f t="shared" si="46"/>
        <v>3.3665641035012034E-15</v>
      </c>
      <c r="AX72" s="936">
        <f t="shared" si="47"/>
        <v>3.3665641035012034E-15</v>
      </c>
      <c r="AY72" s="936">
        <f t="shared" si="48"/>
        <v>3.3665641035012034E-15</v>
      </c>
      <c r="AZ72" s="936">
        <f t="shared" si="49"/>
        <v>3.3665641035012034E-15</v>
      </c>
      <c r="BA72" s="936">
        <f t="shared" si="50"/>
        <v>3.3665641035012034E-15</v>
      </c>
      <c r="BB72" s="937">
        <f t="shared" si="51"/>
        <v>3.3665641035012034E-15</v>
      </c>
      <c r="BC72" s="938"/>
    </row>
    <row r="73" spans="2:55" s="934" customFormat="1" ht="15">
      <c r="B73" s="909">
        <v>2043</v>
      </c>
      <c r="C73" s="1218" t="s">
        <v>822</v>
      </c>
      <c r="D73" s="932">
        <v>0</v>
      </c>
      <c r="E73" s="932">
        <v>0</v>
      </c>
      <c r="F73" s="932">
        <v>0</v>
      </c>
      <c r="G73" s="932">
        <v>0</v>
      </c>
      <c r="H73" s="932">
        <v>0</v>
      </c>
      <c r="I73" s="932">
        <v>0</v>
      </c>
      <c r="J73" s="932">
        <v>0</v>
      </c>
      <c r="K73" s="932">
        <v>0</v>
      </c>
      <c r="L73" s="932">
        <v>0</v>
      </c>
      <c r="M73" s="932">
        <v>0</v>
      </c>
      <c r="N73" s="932">
        <v>0</v>
      </c>
      <c r="O73" s="932">
        <v>0</v>
      </c>
      <c r="P73" s="932">
        <v>0</v>
      </c>
      <c r="Q73" s="932">
        <v>0</v>
      </c>
      <c r="R73" s="932">
        <v>0</v>
      </c>
      <c r="S73" s="932">
        <v>0</v>
      </c>
      <c r="T73" s="932">
        <v>0</v>
      </c>
      <c r="U73" s="932">
        <v>0</v>
      </c>
      <c r="V73" s="932">
        <v>0</v>
      </c>
      <c r="W73" s="932">
        <v>0</v>
      </c>
      <c r="X73" s="932">
        <v>0</v>
      </c>
      <c r="Y73" s="932">
        <v>0</v>
      </c>
      <c r="Z73" s="932">
        <v>0</v>
      </c>
      <c r="AA73" s="932">
        <v>0</v>
      </c>
      <c r="AB73" s="933">
        <v>0</v>
      </c>
      <c r="AD73" s="935">
        <f t="shared" si="27"/>
        <v>0</v>
      </c>
      <c r="AE73" s="936">
        <f t="shared" si="28"/>
        <v>0</v>
      </c>
      <c r="AF73" s="936">
        <f t="shared" si="29"/>
        <v>0</v>
      </c>
      <c r="AG73" s="936">
        <f t="shared" si="30"/>
        <v>0</v>
      </c>
      <c r="AH73" s="936">
        <f t="shared" si="31"/>
        <v>0</v>
      </c>
      <c r="AI73" s="936">
        <f t="shared" si="32"/>
        <v>0</v>
      </c>
      <c r="AJ73" s="936">
        <f t="shared" si="33"/>
        <v>0</v>
      </c>
      <c r="AK73" s="936">
        <f t="shared" si="34"/>
        <v>0</v>
      </c>
      <c r="AL73" s="936">
        <f t="shared" si="35"/>
        <v>0</v>
      </c>
      <c r="AM73" s="936">
        <f t="shared" si="36"/>
        <v>0</v>
      </c>
      <c r="AN73" s="936">
        <f t="shared" si="37"/>
        <v>0</v>
      </c>
      <c r="AO73" s="936">
        <f t="shared" si="38"/>
        <v>0</v>
      </c>
      <c r="AP73" s="936">
        <f t="shared" si="39"/>
        <v>0</v>
      </c>
      <c r="AQ73" s="936">
        <f t="shared" si="40"/>
        <v>0</v>
      </c>
      <c r="AR73" s="936">
        <f t="shared" si="41"/>
        <v>0</v>
      </c>
      <c r="AS73" s="936">
        <f t="shared" si="42"/>
        <v>0</v>
      </c>
      <c r="AT73" s="936">
        <f t="shared" si="43"/>
        <v>0</v>
      </c>
      <c r="AU73" s="936">
        <f t="shared" si="44"/>
        <v>0</v>
      </c>
      <c r="AV73" s="936">
        <f t="shared" si="45"/>
        <v>0</v>
      </c>
      <c r="AW73" s="936">
        <f t="shared" si="46"/>
        <v>0</v>
      </c>
      <c r="AX73" s="936">
        <f t="shared" si="47"/>
        <v>0</v>
      </c>
      <c r="AY73" s="936">
        <f t="shared" si="48"/>
        <v>0</v>
      </c>
      <c r="AZ73" s="936">
        <f t="shared" si="49"/>
        <v>0</v>
      </c>
      <c r="BA73" s="936">
        <f t="shared" si="50"/>
        <v>0</v>
      </c>
      <c r="BB73" s="937">
        <f t="shared" si="51"/>
        <v>0</v>
      </c>
      <c r="BC73" s="938"/>
    </row>
    <row r="74" spans="2:55" s="934" customFormat="1" ht="15">
      <c r="B74" s="909">
        <v>2044</v>
      </c>
      <c r="C74" s="1218" t="s">
        <v>823</v>
      </c>
      <c r="D74" s="932">
        <v>0</v>
      </c>
      <c r="E74" s="932">
        <v>0</v>
      </c>
      <c r="F74" s="932">
        <v>0</v>
      </c>
      <c r="G74" s="932">
        <v>0</v>
      </c>
      <c r="H74" s="932">
        <v>0</v>
      </c>
      <c r="I74" s="932">
        <v>0</v>
      </c>
      <c r="J74" s="932">
        <v>0</v>
      </c>
      <c r="K74" s="932">
        <v>0</v>
      </c>
      <c r="L74" s="932">
        <v>0</v>
      </c>
      <c r="M74" s="932">
        <v>0</v>
      </c>
      <c r="N74" s="932">
        <v>0</v>
      </c>
      <c r="O74" s="932">
        <v>0</v>
      </c>
      <c r="P74" s="932">
        <v>0</v>
      </c>
      <c r="Q74" s="932">
        <v>0</v>
      </c>
      <c r="R74" s="932">
        <v>0</v>
      </c>
      <c r="S74" s="932">
        <v>0</v>
      </c>
      <c r="T74" s="932">
        <v>0</v>
      </c>
      <c r="U74" s="932">
        <v>0</v>
      </c>
      <c r="V74" s="932">
        <v>0</v>
      </c>
      <c r="W74" s="932">
        <v>0</v>
      </c>
      <c r="X74" s="932">
        <v>0</v>
      </c>
      <c r="Y74" s="932">
        <v>0</v>
      </c>
      <c r="Z74" s="932">
        <v>0</v>
      </c>
      <c r="AA74" s="932">
        <v>0</v>
      </c>
      <c r="AB74" s="933">
        <v>0</v>
      </c>
      <c r="AD74" s="935">
        <f t="shared" si="27"/>
        <v>0</v>
      </c>
      <c r="AE74" s="936">
        <f t="shared" si="28"/>
        <v>0</v>
      </c>
      <c r="AF74" s="936">
        <f t="shared" si="29"/>
        <v>0</v>
      </c>
      <c r="AG74" s="936">
        <f t="shared" si="30"/>
        <v>0</v>
      </c>
      <c r="AH74" s="936">
        <f t="shared" si="31"/>
        <v>0</v>
      </c>
      <c r="AI74" s="936">
        <f t="shared" si="32"/>
        <v>0</v>
      </c>
      <c r="AJ74" s="936">
        <f t="shared" si="33"/>
        <v>0</v>
      </c>
      <c r="AK74" s="936">
        <f t="shared" si="34"/>
        <v>0</v>
      </c>
      <c r="AL74" s="936">
        <f t="shared" si="35"/>
        <v>0</v>
      </c>
      <c r="AM74" s="936">
        <f t="shared" si="36"/>
        <v>0</v>
      </c>
      <c r="AN74" s="936">
        <f t="shared" si="37"/>
        <v>0</v>
      </c>
      <c r="AO74" s="936">
        <f t="shared" si="38"/>
        <v>0</v>
      </c>
      <c r="AP74" s="936">
        <f t="shared" si="39"/>
        <v>0</v>
      </c>
      <c r="AQ74" s="936">
        <f t="shared" si="40"/>
        <v>0</v>
      </c>
      <c r="AR74" s="936">
        <f t="shared" si="41"/>
        <v>0</v>
      </c>
      <c r="AS74" s="936">
        <f t="shared" si="42"/>
        <v>0</v>
      </c>
      <c r="AT74" s="936">
        <f t="shared" si="43"/>
        <v>0</v>
      </c>
      <c r="AU74" s="936">
        <f t="shared" si="44"/>
        <v>0</v>
      </c>
      <c r="AV74" s="936">
        <f t="shared" si="45"/>
        <v>0</v>
      </c>
      <c r="AW74" s="936">
        <f t="shared" si="46"/>
        <v>0</v>
      </c>
      <c r="AX74" s="936">
        <f t="shared" si="47"/>
        <v>0</v>
      </c>
      <c r="AY74" s="936">
        <f t="shared" si="48"/>
        <v>0</v>
      </c>
      <c r="AZ74" s="936">
        <f t="shared" si="49"/>
        <v>0</v>
      </c>
      <c r="BA74" s="936">
        <f t="shared" si="50"/>
        <v>0</v>
      </c>
      <c r="BB74" s="937">
        <f t="shared" si="51"/>
        <v>0</v>
      </c>
      <c r="BC74" s="938"/>
    </row>
    <row r="75" spans="2:55" s="934" customFormat="1" ht="15">
      <c r="B75" s="909">
        <v>2045</v>
      </c>
      <c r="C75" s="1218" t="s">
        <v>824</v>
      </c>
      <c r="D75" s="932">
        <v>0</v>
      </c>
      <c r="E75" s="932">
        <v>0</v>
      </c>
      <c r="F75" s="932">
        <v>0</v>
      </c>
      <c r="G75" s="932">
        <v>0</v>
      </c>
      <c r="H75" s="932">
        <v>0</v>
      </c>
      <c r="I75" s="932">
        <v>0</v>
      </c>
      <c r="J75" s="932">
        <v>0</v>
      </c>
      <c r="K75" s="932">
        <v>0</v>
      </c>
      <c r="L75" s="932">
        <v>0</v>
      </c>
      <c r="M75" s="932">
        <v>0</v>
      </c>
      <c r="N75" s="932">
        <v>0</v>
      </c>
      <c r="O75" s="932">
        <v>0</v>
      </c>
      <c r="P75" s="932">
        <v>0</v>
      </c>
      <c r="Q75" s="932">
        <v>0</v>
      </c>
      <c r="R75" s="932">
        <v>0</v>
      </c>
      <c r="S75" s="932">
        <v>0</v>
      </c>
      <c r="T75" s="932">
        <v>0</v>
      </c>
      <c r="U75" s="932">
        <v>0</v>
      </c>
      <c r="V75" s="932">
        <v>0</v>
      </c>
      <c r="W75" s="932">
        <v>0</v>
      </c>
      <c r="X75" s="932">
        <v>0</v>
      </c>
      <c r="Y75" s="932">
        <v>0</v>
      </c>
      <c r="Z75" s="932">
        <v>0</v>
      </c>
      <c r="AA75" s="932">
        <v>0</v>
      </c>
      <c r="AB75" s="933">
        <v>0</v>
      </c>
      <c r="AD75" s="935">
        <f t="shared" si="27"/>
        <v>0</v>
      </c>
      <c r="AE75" s="936">
        <f t="shared" si="28"/>
        <v>0</v>
      </c>
      <c r="AF75" s="936">
        <f t="shared" si="29"/>
        <v>0</v>
      </c>
      <c r="AG75" s="936">
        <f t="shared" si="30"/>
        <v>0</v>
      </c>
      <c r="AH75" s="936">
        <f t="shared" si="31"/>
        <v>0</v>
      </c>
      <c r="AI75" s="936">
        <f t="shared" si="32"/>
        <v>0</v>
      </c>
      <c r="AJ75" s="936">
        <f t="shared" si="33"/>
        <v>0</v>
      </c>
      <c r="AK75" s="936">
        <f t="shared" si="34"/>
        <v>0</v>
      </c>
      <c r="AL75" s="936">
        <f t="shared" si="35"/>
        <v>0</v>
      </c>
      <c r="AM75" s="936">
        <f t="shared" si="36"/>
        <v>0</v>
      </c>
      <c r="AN75" s="936">
        <f t="shared" si="37"/>
        <v>0</v>
      </c>
      <c r="AO75" s="936">
        <f t="shared" si="38"/>
        <v>0</v>
      </c>
      <c r="AP75" s="936">
        <f t="shared" si="39"/>
        <v>0</v>
      </c>
      <c r="AQ75" s="936">
        <f t="shared" si="40"/>
        <v>0</v>
      </c>
      <c r="AR75" s="936">
        <f t="shared" si="41"/>
        <v>0</v>
      </c>
      <c r="AS75" s="936">
        <f t="shared" si="42"/>
        <v>0</v>
      </c>
      <c r="AT75" s="936">
        <f t="shared" si="43"/>
        <v>0</v>
      </c>
      <c r="AU75" s="936">
        <f t="shared" si="44"/>
        <v>0</v>
      </c>
      <c r="AV75" s="936">
        <f t="shared" si="45"/>
        <v>0</v>
      </c>
      <c r="AW75" s="936">
        <f t="shared" si="46"/>
        <v>0</v>
      </c>
      <c r="AX75" s="936">
        <f t="shared" si="47"/>
        <v>0</v>
      </c>
      <c r="AY75" s="936">
        <f t="shared" si="48"/>
        <v>0</v>
      </c>
      <c r="AZ75" s="936">
        <f t="shared" si="49"/>
        <v>0</v>
      </c>
      <c r="BA75" s="936">
        <f t="shared" si="50"/>
        <v>0</v>
      </c>
      <c r="BB75" s="937">
        <f t="shared" si="51"/>
        <v>0</v>
      </c>
      <c r="BC75" s="938"/>
    </row>
    <row r="76" spans="2:55" s="934" customFormat="1" ht="15">
      <c r="B76" s="909">
        <v>2046</v>
      </c>
      <c r="C76" s="1218" t="s">
        <v>825</v>
      </c>
      <c r="D76" s="932">
        <v>0</v>
      </c>
      <c r="E76" s="932">
        <v>0</v>
      </c>
      <c r="F76" s="932">
        <v>0</v>
      </c>
      <c r="G76" s="932">
        <v>0</v>
      </c>
      <c r="H76" s="932">
        <v>0</v>
      </c>
      <c r="I76" s="932">
        <v>0</v>
      </c>
      <c r="J76" s="932">
        <v>0</v>
      </c>
      <c r="K76" s="932">
        <v>0</v>
      </c>
      <c r="L76" s="932">
        <v>0</v>
      </c>
      <c r="M76" s="932">
        <v>0</v>
      </c>
      <c r="N76" s="932">
        <v>0</v>
      </c>
      <c r="O76" s="932">
        <v>0</v>
      </c>
      <c r="P76" s="932">
        <v>0</v>
      </c>
      <c r="Q76" s="932">
        <v>0</v>
      </c>
      <c r="R76" s="932">
        <v>0</v>
      </c>
      <c r="S76" s="932">
        <v>0</v>
      </c>
      <c r="T76" s="932">
        <v>0</v>
      </c>
      <c r="U76" s="932">
        <v>0</v>
      </c>
      <c r="V76" s="932">
        <v>0</v>
      </c>
      <c r="W76" s="932">
        <v>0</v>
      </c>
      <c r="X76" s="932">
        <v>0</v>
      </c>
      <c r="Y76" s="932">
        <v>0</v>
      </c>
      <c r="Z76" s="932">
        <v>0</v>
      </c>
      <c r="AA76" s="932">
        <v>0</v>
      </c>
      <c r="AB76" s="933">
        <v>0</v>
      </c>
      <c r="AD76" s="935">
        <f t="shared" si="27"/>
        <v>0</v>
      </c>
      <c r="AE76" s="936">
        <f t="shared" si="28"/>
        <v>0</v>
      </c>
      <c r="AF76" s="936">
        <f t="shared" si="29"/>
        <v>0</v>
      </c>
      <c r="AG76" s="936">
        <f t="shared" si="30"/>
        <v>0</v>
      </c>
      <c r="AH76" s="936">
        <f t="shared" si="31"/>
        <v>0</v>
      </c>
      <c r="AI76" s="936">
        <f t="shared" si="32"/>
        <v>0</v>
      </c>
      <c r="AJ76" s="936">
        <f t="shared" si="33"/>
        <v>0</v>
      </c>
      <c r="AK76" s="936">
        <f t="shared" si="34"/>
        <v>0</v>
      </c>
      <c r="AL76" s="936">
        <f t="shared" si="35"/>
        <v>0</v>
      </c>
      <c r="AM76" s="936">
        <f t="shared" si="36"/>
        <v>0</v>
      </c>
      <c r="AN76" s="936">
        <f t="shared" si="37"/>
        <v>0</v>
      </c>
      <c r="AO76" s="936">
        <f t="shared" si="38"/>
        <v>0</v>
      </c>
      <c r="AP76" s="936">
        <f t="shared" si="39"/>
        <v>0</v>
      </c>
      <c r="AQ76" s="936">
        <f t="shared" si="40"/>
        <v>0</v>
      </c>
      <c r="AR76" s="936">
        <f t="shared" si="41"/>
        <v>0</v>
      </c>
      <c r="AS76" s="936">
        <f t="shared" si="42"/>
        <v>0</v>
      </c>
      <c r="AT76" s="936">
        <f t="shared" si="43"/>
        <v>0</v>
      </c>
      <c r="AU76" s="936">
        <f t="shared" si="44"/>
        <v>0</v>
      </c>
      <c r="AV76" s="936">
        <f t="shared" si="45"/>
        <v>0</v>
      </c>
      <c r="AW76" s="936">
        <f t="shared" si="46"/>
        <v>0</v>
      </c>
      <c r="AX76" s="936">
        <f t="shared" si="47"/>
        <v>0</v>
      </c>
      <c r="AY76" s="936">
        <f t="shared" si="48"/>
        <v>0</v>
      </c>
      <c r="AZ76" s="936">
        <f t="shared" si="49"/>
        <v>0</v>
      </c>
      <c r="BA76" s="936">
        <f t="shared" si="50"/>
        <v>0</v>
      </c>
      <c r="BB76" s="937">
        <f t="shared" si="51"/>
        <v>0</v>
      </c>
      <c r="BC76" s="938"/>
    </row>
    <row r="77" spans="2:55" s="934" customFormat="1" ht="15">
      <c r="B77" s="909">
        <v>2047</v>
      </c>
      <c r="C77" s="1218" t="s">
        <v>826</v>
      </c>
      <c r="D77" s="932">
        <v>0</v>
      </c>
      <c r="E77" s="932">
        <v>0</v>
      </c>
      <c r="F77" s="932">
        <v>0</v>
      </c>
      <c r="G77" s="932">
        <v>0</v>
      </c>
      <c r="H77" s="932">
        <v>0</v>
      </c>
      <c r="I77" s="932">
        <v>0</v>
      </c>
      <c r="J77" s="932">
        <v>0</v>
      </c>
      <c r="K77" s="932">
        <v>0</v>
      </c>
      <c r="L77" s="932">
        <v>0</v>
      </c>
      <c r="M77" s="932">
        <v>0</v>
      </c>
      <c r="N77" s="932">
        <v>0</v>
      </c>
      <c r="O77" s="932">
        <v>0</v>
      </c>
      <c r="P77" s="932">
        <v>0</v>
      </c>
      <c r="Q77" s="932">
        <v>0</v>
      </c>
      <c r="R77" s="932">
        <v>0</v>
      </c>
      <c r="S77" s="932">
        <v>0</v>
      </c>
      <c r="T77" s="932">
        <v>0</v>
      </c>
      <c r="U77" s="932">
        <v>0</v>
      </c>
      <c r="V77" s="932">
        <v>0</v>
      </c>
      <c r="W77" s="932">
        <v>0</v>
      </c>
      <c r="X77" s="932">
        <v>0</v>
      </c>
      <c r="Y77" s="932">
        <v>0</v>
      </c>
      <c r="Z77" s="932">
        <v>0</v>
      </c>
      <c r="AA77" s="932">
        <v>0</v>
      </c>
      <c r="AB77" s="933">
        <v>0</v>
      </c>
      <c r="AD77" s="935">
        <f t="shared" si="27"/>
        <v>0</v>
      </c>
      <c r="AE77" s="936">
        <f t="shared" si="28"/>
        <v>0</v>
      </c>
      <c r="AF77" s="936">
        <f t="shared" si="29"/>
        <v>0</v>
      </c>
      <c r="AG77" s="936">
        <f t="shared" si="30"/>
        <v>0</v>
      </c>
      <c r="AH77" s="936">
        <f t="shared" si="31"/>
        <v>0</v>
      </c>
      <c r="AI77" s="936">
        <f t="shared" si="32"/>
        <v>0</v>
      </c>
      <c r="AJ77" s="936">
        <f t="shared" si="33"/>
        <v>0</v>
      </c>
      <c r="AK77" s="936">
        <f t="shared" si="34"/>
        <v>0</v>
      </c>
      <c r="AL77" s="936">
        <f t="shared" si="35"/>
        <v>0</v>
      </c>
      <c r="AM77" s="936">
        <f t="shared" si="36"/>
        <v>0</v>
      </c>
      <c r="AN77" s="936">
        <f t="shared" si="37"/>
        <v>0</v>
      </c>
      <c r="AO77" s="936">
        <f t="shared" si="38"/>
        <v>0</v>
      </c>
      <c r="AP77" s="936">
        <f t="shared" si="39"/>
        <v>0</v>
      </c>
      <c r="AQ77" s="936">
        <f t="shared" si="40"/>
        <v>0</v>
      </c>
      <c r="AR77" s="936">
        <f t="shared" si="41"/>
        <v>0</v>
      </c>
      <c r="AS77" s="936">
        <f t="shared" si="42"/>
        <v>0</v>
      </c>
      <c r="AT77" s="936">
        <f t="shared" si="43"/>
        <v>0</v>
      </c>
      <c r="AU77" s="936">
        <f t="shared" si="44"/>
        <v>0</v>
      </c>
      <c r="AV77" s="936">
        <f t="shared" si="45"/>
        <v>0</v>
      </c>
      <c r="AW77" s="936">
        <f t="shared" si="46"/>
        <v>0</v>
      </c>
      <c r="AX77" s="936">
        <f t="shared" si="47"/>
        <v>0</v>
      </c>
      <c r="AY77" s="936">
        <f t="shared" si="48"/>
        <v>0</v>
      </c>
      <c r="AZ77" s="936">
        <f t="shared" si="49"/>
        <v>0</v>
      </c>
      <c r="BA77" s="936">
        <f t="shared" si="50"/>
        <v>0</v>
      </c>
      <c r="BB77" s="937">
        <f t="shared" si="51"/>
        <v>0</v>
      </c>
      <c r="BC77" s="938"/>
    </row>
    <row r="78" spans="2:55" s="934" customFormat="1" ht="15">
      <c r="B78" s="909">
        <v>2048</v>
      </c>
      <c r="C78" s="1218" t="s">
        <v>827</v>
      </c>
      <c r="D78" s="932">
        <v>0</v>
      </c>
      <c r="E78" s="932">
        <v>0</v>
      </c>
      <c r="F78" s="932">
        <v>0</v>
      </c>
      <c r="G78" s="932">
        <v>0</v>
      </c>
      <c r="H78" s="932">
        <v>0</v>
      </c>
      <c r="I78" s="932">
        <v>0</v>
      </c>
      <c r="J78" s="932">
        <v>0</v>
      </c>
      <c r="K78" s="932">
        <v>0</v>
      </c>
      <c r="L78" s="932">
        <v>0</v>
      </c>
      <c r="M78" s="932">
        <v>0</v>
      </c>
      <c r="N78" s="932">
        <v>0</v>
      </c>
      <c r="O78" s="932">
        <v>0</v>
      </c>
      <c r="P78" s="932">
        <v>0</v>
      </c>
      <c r="Q78" s="932">
        <v>0</v>
      </c>
      <c r="R78" s="932">
        <v>0</v>
      </c>
      <c r="S78" s="932">
        <v>0</v>
      </c>
      <c r="T78" s="932">
        <v>0</v>
      </c>
      <c r="U78" s="932">
        <v>0</v>
      </c>
      <c r="V78" s="932">
        <v>0</v>
      </c>
      <c r="W78" s="932">
        <v>0</v>
      </c>
      <c r="X78" s="932">
        <v>0</v>
      </c>
      <c r="Y78" s="932">
        <v>0</v>
      </c>
      <c r="Z78" s="932">
        <v>0</v>
      </c>
      <c r="AA78" s="932">
        <v>0</v>
      </c>
      <c r="AB78" s="933">
        <v>0</v>
      </c>
      <c r="AD78" s="935">
        <f t="shared" si="27"/>
        <v>0</v>
      </c>
      <c r="AE78" s="936">
        <f t="shared" si="28"/>
        <v>0</v>
      </c>
      <c r="AF78" s="936">
        <f t="shared" si="29"/>
        <v>0</v>
      </c>
      <c r="AG78" s="936">
        <f t="shared" si="30"/>
        <v>0</v>
      </c>
      <c r="AH78" s="936">
        <f t="shared" si="31"/>
        <v>0</v>
      </c>
      <c r="AI78" s="936">
        <f t="shared" si="32"/>
        <v>0</v>
      </c>
      <c r="AJ78" s="936">
        <f t="shared" si="33"/>
        <v>0</v>
      </c>
      <c r="AK78" s="936">
        <f t="shared" si="34"/>
        <v>0</v>
      </c>
      <c r="AL78" s="936">
        <f t="shared" si="35"/>
        <v>0</v>
      </c>
      <c r="AM78" s="936">
        <f t="shared" si="36"/>
        <v>0</v>
      </c>
      <c r="AN78" s="936">
        <f t="shared" si="37"/>
        <v>0</v>
      </c>
      <c r="AO78" s="936">
        <f t="shared" si="38"/>
        <v>0</v>
      </c>
      <c r="AP78" s="936">
        <f t="shared" si="39"/>
        <v>0</v>
      </c>
      <c r="AQ78" s="936">
        <f t="shared" si="40"/>
        <v>0</v>
      </c>
      <c r="AR78" s="936">
        <f t="shared" si="41"/>
        <v>0</v>
      </c>
      <c r="AS78" s="936">
        <f t="shared" si="42"/>
        <v>0</v>
      </c>
      <c r="AT78" s="936">
        <f t="shared" si="43"/>
        <v>0</v>
      </c>
      <c r="AU78" s="936">
        <f t="shared" si="44"/>
        <v>0</v>
      </c>
      <c r="AV78" s="936">
        <f t="shared" si="45"/>
        <v>0</v>
      </c>
      <c r="AW78" s="936">
        <f t="shared" si="46"/>
        <v>0</v>
      </c>
      <c r="AX78" s="936">
        <f t="shared" si="47"/>
        <v>0</v>
      </c>
      <c r="AY78" s="936">
        <f t="shared" si="48"/>
        <v>0</v>
      </c>
      <c r="AZ78" s="936">
        <f t="shared" si="49"/>
        <v>0</v>
      </c>
      <c r="BA78" s="936">
        <f t="shared" si="50"/>
        <v>0</v>
      </c>
      <c r="BB78" s="937">
        <f t="shared" si="51"/>
        <v>0</v>
      </c>
      <c r="BC78" s="938"/>
    </row>
    <row r="79" spans="2:55" s="934" customFormat="1" ht="15">
      <c r="B79" s="909">
        <v>2049</v>
      </c>
      <c r="C79" s="1218" t="s">
        <v>828</v>
      </c>
      <c r="D79" s="932">
        <v>0</v>
      </c>
      <c r="E79" s="932">
        <v>0</v>
      </c>
      <c r="F79" s="932">
        <v>0</v>
      </c>
      <c r="G79" s="932">
        <v>0</v>
      </c>
      <c r="H79" s="932">
        <v>0</v>
      </c>
      <c r="I79" s="932">
        <v>0</v>
      </c>
      <c r="J79" s="932">
        <v>0</v>
      </c>
      <c r="K79" s="932">
        <v>0</v>
      </c>
      <c r="L79" s="932">
        <v>0</v>
      </c>
      <c r="M79" s="932">
        <v>0</v>
      </c>
      <c r="N79" s="932">
        <v>0</v>
      </c>
      <c r="O79" s="932">
        <v>0</v>
      </c>
      <c r="P79" s="932">
        <v>0</v>
      </c>
      <c r="Q79" s="932">
        <v>0</v>
      </c>
      <c r="R79" s="932">
        <v>0</v>
      </c>
      <c r="S79" s="932">
        <v>0</v>
      </c>
      <c r="T79" s="932">
        <v>0</v>
      </c>
      <c r="U79" s="932">
        <v>0</v>
      </c>
      <c r="V79" s="932">
        <v>0</v>
      </c>
      <c r="W79" s="932">
        <v>0</v>
      </c>
      <c r="X79" s="932">
        <v>0</v>
      </c>
      <c r="Y79" s="932">
        <v>0</v>
      </c>
      <c r="Z79" s="932">
        <v>0</v>
      </c>
      <c r="AA79" s="932">
        <v>0</v>
      </c>
      <c r="AB79" s="933">
        <v>0</v>
      </c>
      <c r="AD79" s="935">
        <f t="shared" si="27"/>
        <v>0</v>
      </c>
      <c r="AE79" s="936">
        <f t="shared" si="28"/>
        <v>0</v>
      </c>
      <c r="AF79" s="936">
        <f t="shared" si="29"/>
        <v>0</v>
      </c>
      <c r="AG79" s="936">
        <f t="shared" si="30"/>
        <v>0</v>
      </c>
      <c r="AH79" s="936">
        <f t="shared" si="31"/>
        <v>0</v>
      </c>
      <c r="AI79" s="936">
        <f t="shared" si="32"/>
        <v>0</v>
      </c>
      <c r="AJ79" s="936">
        <f t="shared" si="33"/>
        <v>0</v>
      </c>
      <c r="AK79" s="936">
        <f t="shared" si="34"/>
        <v>0</v>
      </c>
      <c r="AL79" s="936">
        <f t="shared" si="35"/>
        <v>0</v>
      </c>
      <c r="AM79" s="936">
        <f t="shared" si="36"/>
        <v>0</v>
      </c>
      <c r="AN79" s="936">
        <f t="shared" si="37"/>
        <v>0</v>
      </c>
      <c r="AO79" s="936">
        <f t="shared" si="38"/>
        <v>0</v>
      </c>
      <c r="AP79" s="936">
        <f t="shared" si="39"/>
        <v>0</v>
      </c>
      <c r="AQ79" s="936">
        <f t="shared" si="40"/>
        <v>0</v>
      </c>
      <c r="AR79" s="936">
        <f t="shared" si="41"/>
        <v>0</v>
      </c>
      <c r="AS79" s="936">
        <f t="shared" si="42"/>
        <v>0</v>
      </c>
      <c r="AT79" s="936">
        <f t="shared" si="43"/>
        <v>0</v>
      </c>
      <c r="AU79" s="936">
        <f t="shared" si="44"/>
        <v>0</v>
      </c>
      <c r="AV79" s="936">
        <f t="shared" si="45"/>
        <v>0</v>
      </c>
      <c r="AW79" s="936">
        <f t="shared" si="46"/>
        <v>0</v>
      </c>
      <c r="AX79" s="936">
        <f t="shared" si="47"/>
        <v>0</v>
      </c>
      <c r="AY79" s="936">
        <f t="shared" si="48"/>
        <v>0</v>
      </c>
      <c r="AZ79" s="936">
        <f t="shared" si="49"/>
        <v>0</v>
      </c>
      <c r="BA79" s="936">
        <f t="shared" si="50"/>
        <v>0</v>
      </c>
      <c r="BB79" s="937">
        <f t="shared" si="51"/>
        <v>0</v>
      </c>
      <c r="BC79" s="938"/>
    </row>
    <row r="80" spans="2:55" s="934" customFormat="1" ht="15">
      <c r="B80" s="916">
        <v>2050</v>
      </c>
      <c r="C80" s="1219" t="s">
        <v>829</v>
      </c>
      <c r="D80" s="932">
        <v>0</v>
      </c>
      <c r="E80" s="932">
        <v>0</v>
      </c>
      <c r="F80" s="932">
        <v>0</v>
      </c>
      <c r="G80" s="932">
        <v>0</v>
      </c>
      <c r="H80" s="932">
        <v>0</v>
      </c>
      <c r="I80" s="932">
        <v>0</v>
      </c>
      <c r="J80" s="932">
        <v>0</v>
      </c>
      <c r="K80" s="932">
        <v>0</v>
      </c>
      <c r="L80" s="932">
        <v>0</v>
      </c>
      <c r="M80" s="932">
        <v>0</v>
      </c>
      <c r="N80" s="932">
        <v>0</v>
      </c>
      <c r="O80" s="932">
        <v>0</v>
      </c>
      <c r="P80" s="932">
        <v>0</v>
      </c>
      <c r="Q80" s="932">
        <v>0</v>
      </c>
      <c r="R80" s="932">
        <v>0</v>
      </c>
      <c r="S80" s="932">
        <v>0</v>
      </c>
      <c r="T80" s="932">
        <v>0</v>
      </c>
      <c r="U80" s="932">
        <v>0</v>
      </c>
      <c r="V80" s="932">
        <v>0</v>
      </c>
      <c r="W80" s="932">
        <v>0</v>
      </c>
      <c r="X80" s="932">
        <v>0</v>
      </c>
      <c r="Y80" s="932">
        <v>0</v>
      </c>
      <c r="Z80" s="932">
        <v>0</v>
      </c>
      <c r="AA80" s="932">
        <v>0</v>
      </c>
      <c r="AB80" s="933">
        <v>0</v>
      </c>
      <c r="AD80" s="935">
        <f t="shared" si="27"/>
        <v>0</v>
      </c>
      <c r="AE80" s="936">
        <f t="shared" si="28"/>
        <v>0</v>
      </c>
      <c r="AF80" s="936">
        <f t="shared" si="29"/>
        <v>0</v>
      </c>
      <c r="AG80" s="936">
        <f t="shared" si="30"/>
        <v>0</v>
      </c>
      <c r="AH80" s="936">
        <f t="shared" si="31"/>
        <v>0</v>
      </c>
      <c r="AI80" s="936">
        <f t="shared" si="32"/>
        <v>0</v>
      </c>
      <c r="AJ80" s="936">
        <f t="shared" si="33"/>
        <v>0</v>
      </c>
      <c r="AK80" s="936">
        <f t="shared" si="34"/>
        <v>0</v>
      </c>
      <c r="AL80" s="936">
        <f t="shared" si="35"/>
        <v>0</v>
      </c>
      <c r="AM80" s="936">
        <f t="shared" si="36"/>
        <v>0</v>
      </c>
      <c r="AN80" s="936">
        <f t="shared" si="37"/>
        <v>0</v>
      </c>
      <c r="AO80" s="936">
        <f t="shared" si="38"/>
        <v>0</v>
      </c>
      <c r="AP80" s="936">
        <f t="shared" si="39"/>
        <v>0</v>
      </c>
      <c r="AQ80" s="936">
        <f t="shared" si="40"/>
        <v>0</v>
      </c>
      <c r="AR80" s="936">
        <f t="shared" si="41"/>
        <v>0</v>
      </c>
      <c r="AS80" s="936">
        <f t="shared" si="42"/>
        <v>0</v>
      </c>
      <c r="AT80" s="936">
        <f t="shared" si="43"/>
        <v>0</v>
      </c>
      <c r="AU80" s="936">
        <f t="shared" si="44"/>
        <v>0</v>
      </c>
      <c r="AV80" s="936">
        <f t="shared" si="45"/>
        <v>0</v>
      </c>
      <c r="AW80" s="936">
        <f t="shared" si="46"/>
        <v>0</v>
      </c>
      <c r="AX80" s="936">
        <f t="shared" si="47"/>
        <v>0</v>
      </c>
      <c r="AY80" s="936">
        <f t="shared" si="48"/>
        <v>0</v>
      </c>
      <c r="AZ80" s="936">
        <f t="shared" si="49"/>
        <v>0</v>
      </c>
      <c r="BA80" s="936">
        <f t="shared" si="50"/>
        <v>0</v>
      </c>
      <c r="BB80" s="937">
        <f t="shared" si="51"/>
        <v>0</v>
      </c>
      <c r="BC80" s="938"/>
    </row>
    <row r="81" spans="2:55" s="934" customFormat="1" ht="15">
      <c r="B81" s="909" t="s">
        <v>830</v>
      </c>
      <c r="C81" s="931"/>
      <c r="D81" s="940">
        <f>NPV(realdiscrt1,D48:D80)/(1+realdiscrt1)^-Half_Year</f>
        <v>18.04629813984365</v>
      </c>
      <c r="E81" s="940">
        <f t="shared" ref="E81:AB81" si="52">NPV(realdiscrt1,E48:E80)/(1+realdiscrt1)^-Half_Year</f>
        <v>34.702459794230471</v>
      </c>
      <c r="F81" s="940">
        <f t="shared" si="52"/>
        <v>50.496833815766969</v>
      </c>
      <c r="G81" s="940">
        <f t="shared" si="52"/>
        <v>63.001321078328331</v>
      </c>
      <c r="H81" s="940">
        <f t="shared" si="52"/>
        <v>146.24140702577438</v>
      </c>
      <c r="I81" s="940">
        <f t="shared" si="52"/>
        <v>313.80714033553943</v>
      </c>
      <c r="J81" s="940">
        <f t="shared" si="52"/>
        <v>321.3471776550839</v>
      </c>
      <c r="K81" s="940">
        <f t="shared" si="52"/>
        <v>325.59753621863672</v>
      </c>
      <c r="L81" s="940">
        <f t="shared" si="52"/>
        <v>327.50247572444653</v>
      </c>
      <c r="M81" s="940">
        <f t="shared" si="52"/>
        <v>327.98745969319697</v>
      </c>
      <c r="N81" s="940">
        <f t="shared" si="52"/>
        <v>327.98745969319697</v>
      </c>
      <c r="O81" s="940">
        <f t="shared" si="52"/>
        <v>327.98745969319697</v>
      </c>
      <c r="P81" s="940">
        <f t="shared" si="52"/>
        <v>327.98745969319697</v>
      </c>
      <c r="Q81" s="940">
        <f t="shared" si="52"/>
        <v>327.98745969319697</v>
      </c>
      <c r="R81" s="940">
        <f t="shared" si="52"/>
        <v>327.98745969319697</v>
      </c>
      <c r="S81" s="940">
        <f t="shared" si="52"/>
        <v>327.98745969319697</v>
      </c>
      <c r="T81" s="940">
        <f t="shared" si="52"/>
        <v>327.98745969319697</v>
      </c>
      <c r="U81" s="940">
        <f t="shared" si="52"/>
        <v>327.98745969319697</v>
      </c>
      <c r="V81" s="940">
        <f t="shared" si="52"/>
        <v>327.98745969319697</v>
      </c>
      <c r="W81" s="940">
        <f t="shared" si="52"/>
        <v>327.98745969319697</v>
      </c>
      <c r="X81" s="940">
        <f t="shared" si="52"/>
        <v>327.98745969319697</v>
      </c>
      <c r="Y81" s="940">
        <f t="shared" si="52"/>
        <v>327.98745969319697</v>
      </c>
      <c r="Z81" s="940">
        <f t="shared" si="52"/>
        <v>327.98745969319697</v>
      </c>
      <c r="AA81" s="940">
        <f t="shared" si="52"/>
        <v>327.98745969319697</v>
      </c>
      <c r="AB81" s="940">
        <f t="shared" si="52"/>
        <v>327.98745969319697</v>
      </c>
      <c r="AD81" s="1477">
        <f t="shared" ref="AD81:BB81" si="53">NPV(realdiscrt1,AD54:AD80)/(1+realdiscrt1)^-Half_Year</f>
        <v>29.455998709789718</v>
      </c>
      <c r="AE81" s="1477">
        <f t="shared" si="53"/>
        <v>56.642952643485387</v>
      </c>
      <c r="AF81" s="1477">
        <f t="shared" si="53"/>
        <v>82.423257124498789</v>
      </c>
      <c r="AG81" s="1477">
        <f t="shared" si="53"/>
        <v>102.83365696486079</v>
      </c>
      <c r="AH81" s="1477">
        <f t="shared" si="53"/>
        <v>238.7019577803764</v>
      </c>
      <c r="AI81" s="1477">
        <f t="shared" si="53"/>
        <v>512.21046273407819</v>
      </c>
      <c r="AJ81" s="1477">
        <f t="shared" si="53"/>
        <v>524.5176588047176</v>
      </c>
      <c r="AK81" s="1477">
        <f t="shared" si="53"/>
        <v>531.45528974675187</v>
      </c>
      <c r="AL81" s="1477">
        <f t="shared" si="53"/>
        <v>534.56461971517751</v>
      </c>
      <c r="AM81" s="1477">
        <f t="shared" si="53"/>
        <v>535.35623287855765</v>
      </c>
      <c r="AN81" s="1477">
        <f t="shared" si="53"/>
        <v>535.35623287855765</v>
      </c>
      <c r="AO81" s="1477">
        <f t="shared" si="53"/>
        <v>535.35623287855765</v>
      </c>
      <c r="AP81" s="1477">
        <f t="shared" si="53"/>
        <v>535.35623287855765</v>
      </c>
      <c r="AQ81" s="1477">
        <f t="shared" si="53"/>
        <v>535.35623287855765</v>
      </c>
      <c r="AR81" s="1477">
        <f t="shared" si="53"/>
        <v>535.35623287855765</v>
      </c>
      <c r="AS81" s="1477">
        <f t="shared" si="53"/>
        <v>535.35623287855765</v>
      </c>
      <c r="AT81" s="1477">
        <f t="shared" si="53"/>
        <v>535.35623287855765</v>
      </c>
      <c r="AU81" s="1477">
        <f t="shared" si="53"/>
        <v>535.35623287855765</v>
      </c>
      <c r="AV81" s="1477">
        <f t="shared" si="53"/>
        <v>535.35623287855765</v>
      </c>
      <c r="AW81" s="1477">
        <f t="shared" si="53"/>
        <v>535.35623287855765</v>
      </c>
      <c r="AX81" s="1477">
        <f t="shared" si="53"/>
        <v>535.35623287855765</v>
      </c>
      <c r="AY81" s="1477">
        <f t="shared" si="53"/>
        <v>535.35623287855765</v>
      </c>
      <c r="AZ81" s="1477">
        <f t="shared" si="53"/>
        <v>535.35623287855765</v>
      </c>
      <c r="BA81" s="1477">
        <f t="shared" si="53"/>
        <v>535.35623287855765</v>
      </c>
      <c r="BB81" s="1477">
        <f t="shared" si="53"/>
        <v>535.35623287855765</v>
      </c>
      <c r="BC81" s="938"/>
    </row>
    <row r="82" spans="2:55" s="934" customFormat="1" ht="15" hidden="1">
      <c r="B82" s="941"/>
      <c r="C82" s="931"/>
      <c r="D82" s="940"/>
      <c r="E82" s="940"/>
      <c r="F82" s="940"/>
      <c r="G82" s="940"/>
      <c r="H82" s="940"/>
      <c r="I82" s="940"/>
      <c r="J82" s="940"/>
      <c r="K82" s="940"/>
      <c r="L82" s="940"/>
      <c r="M82" s="940"/>
      <c r="N82" s="940"/>
      <c r="O82" s="940"/>
      <c r="P82" s="940"/>
      <c r="Q82" s="940"/>
      <c r="R82" s="940"/>
      <c r="S82" s="940"/>
      <c r="T82" s="940"/>
      <c r="U82" s="940"/>
      <c r="V82" s="940"/>
      <c r="W82" s="940"/>
      <c r="X82" s="940"/>
      <c r="Y82" s="940"/>
      <c r="Z82" s="940"/>
      <c r="AA82" s="940"/>
      <c r="AB82" s="940"/>
      <c r="AD82" s="940"/>
      <c r="AE82" s="940"/>
      <c r="AF82" s="940"/>
      <c r="AG82" s="940"/>
      <c r="AH82" s="940"/>
      <c r="AI82" s="940"/>
      <c r="AJ82" s="940"/>
      <c r="AK82" s="940"/>
      <c r="AL82" s="940"/>
      <c r="AM82" s="940"/>
      <c r="AN82" s="940"/>
      <c r="AO82" s="940"/>
      <c r="AP82" s="940"/>
      <c r="AQ82" s="940"/>
      <c r="AR82" s="940"/>
      <c r="AS82" s="940"/>
      <c r="AT82" s="940"/>
      <c r="AU82" s="940"/>
      <c r="AV82" s="940"/>
      <c r="AW82" s="940"/>
      <c r="AX82" s="940"/>
      <c r="AY82" s="940"/>
      <c r="AZ82" s="940"/>
      <c r="BA82" s="940"/>
      <c r="BB82" s="940"/>
    </row>
    <row r="83" spans="2:55" s="934" customFormat="1" ht="15" hidden="1">
      <c r="B83" s="941"/>
      <c r="C83" s="931"/>
      <c r="D83" s="940"/>
      <c r="E83" s="940"/>
      <c r="F83" s="940"/>
      <c r="G83" s="940"/>
      <c r="H83" s="940"/>
      <c r="I83" s="940"/>
      <c r="J83" s="940"/>
      <c r="K83" s="940"/>
      <c r="L83" s="940"/>
      <c r="M83" s="940"/>
      <c r="N83" s="940"/>
      <c r="O83" s="940"/>
      <c r="P83" s="940"/>
      <c r="Q83" s="940"/>
      <c r="R83" s="940"/>
      <c r="S83" s="940"/>
      <c r="T83" s="940"/>
      <c r="U83" s="940"/>
      <c r="V83" s="940"/>
      <c r="W83" s="940"/>
      <c r="X83" s="940"/>
      <c r="Y83" s="940"/>
      <c r="Z83" s="940"/>
      <c r="AA83" s="940"/>
      <c r="AB83" s="940"/>
      <c r="AD83" s="940"/>
      <c r="AE83" s="940"/>
      <c r="AF83" s="940"/>
      <c r="AG83" s="940"/>
      <c r="AH83" s="940"/>
      <c r="AI83" s="940"/>
      <c r="AJ83" s="940"/>
      <c r="AK83" s="940"/>
      <c r="AL83" s="940"/>
      <c r="AM83" s="940"/>
      <c r="AN83" s="940"/>
      <c r="AO83" s="940"/>
      <c r="AP83" s="940"/>
      <c r="AQ83" s="940"/>
      <c r="AR83" s="940"/>
      <c r="AS83" s="940"/>
      <c r="AT83" s="940"/>
      <c r="AU83" s="940"/>
      <c r="AV83" s="940"/>
      <c r="AW83" s="940"/>
      <c r="AX83" s="940"/>
      <c r="AY83" s="940"/>
      <c r="AZ83" s="940"/>
      <c r="BA83" s="940"/>
      <c r="BB83" s="940"/>
    </row>
    <row r="84" spans="2:55" s="934" customFormat="1" ht="15" hidden="1">
      <c r="B84" s="942"/>
      <c r="C84" s="939"/>
      <c r="D84" s="940"/>
      <c r="E84" s="940"/>
      <c r="F84" s="940"/>
      <c r="G84" s="940"/>
      <c r="H84" s="940"/>
      <c r="I84" s="940"/>
      <c r="J84" s="940"/>
      <c r="K84" s="940"/>
      <c r="L84" s="940"/>
      <c r="M84" s="940"/>
      <c r="N84" s="940"/>
      <c r="O84" s="940"/>
      <c r="P84" s="940"/>
      <c r="Q84" s="940"/>
      <c r="R84" s="940"/>
      <c r="S84" s="940"/>
      <c r="T84" s="940"/>
      <c r="U84" s="940"/>
      <c r="V84" s="940"/>
      <c r="W84" s="940"/>
      <c r="X84" s="940"/>
      <c r="Y84" s="940"/>
      <c r="Z84" s="940"/>
      <c r="AA84" s="940"/>
      <c r="AB84" s="940"/>
      <c r="AD84" s="940"/>
      <c r="AE84" s="940"/>
      <c r="AF84" s="940"/>
      <c r="AG84" s="940"/>
      <c r="AH84" s="940"/>
      <c r="AI84" s="940"/>
      <c r="AJ84" s="940"/>
      <c r="AK84" s="940"/>
      <c r="AL84" s="940"/>
      <c r="AM84" s="940"/>
      <c r="AN84" s="940"/>
      <c r="AO84" s="940"/>
      <c r="AP84" s="940"/>
      <c r="AQ84" s="940"/>
      <c r="AR84" s="940"/>
      <c r="AS84" s="940"/>
      <c r="AT84" s="940"/>
      <c r="AU84" s="940"/>
      <c r="AV84" s="940"/>
      <c r="AW84" s="940"/>
      <c r="AX84" s="940"/>
      <c r="AY84" s="940"/>
      <c r="AZ84" s="940"/>
      <c r="BA84" s="940"/>
      <c r="BB84" s="940"/>
    </row>
    <row r="87" spans="2:55" s="908" customFormat="1" ht="33.75">
      <c r="B87" s="1723">
        <f>Year2</f>
        <v>2025</v>
      </c>
      <c r="C87" s="1724"/>
      <c r="D87" s="922"/>
      <c r="E87" s="922"/>
      <c r="F87" s="922"/>
      <c r="G87" s="922"/>
      <c r="H87" s="922"/>
      <c r="I87" s="922"/>
      <c r="J87" s="922"/>
      <c r="K87" s="922"/>
      <c r="L87" s="922"/>
      <c r="M87" s="922"/>
      <c r="N87" s="922"/>
      <c r="O87" s="922"/>
      <c r="P87" s="922"/>
      <c r="Q87" s="922"/>
      <c r="R87" s="922"/>
      <c r="S87" s="922"/>
      <c r="T87" s="922"/>
      <c r="U87" s="922"/>
      <c r="V87" s="922"/>
      <c r="W87" s="922"/>
      <c r="X87" s="922"/>
      <c r="Y87" s="922"/>
      <c r="Z87" s="922"/>
      <c r="AA87" s="922"/>
      <c r="AB87" s="922"/>
      <c r="AC87" s="922"/>
      <c r="AD87" s="922" t="str">
        <f>Year2&amp;"$"</f>
        <v>2025$</v>
      </c>
      <c r="AE87" s="1479"/>
      <c r="AF87" s="1479" t="str">
        <f>Year1&amp;"$"</f>
        <v>2024$</v>
      </c>
      <c r="AG87" s="922"/>
      <c r="AH87" s="922"/>
      <c r="AI87" s="922"/>
      <c r="AJ87" s="922"/>
      <c r="AK87" s="922"/>
      <c r="AL87" s="922"/>
      <c r="AM87" s="922"/>
      <c r="AN87" s="922"/>
      <c r="AO87" s="922"/>
      <c r="AP87" s="922"/>
      <c r="AQ87" s="922"/>
      <c r="AR87" s="922"/>
      <c r="AS87" s="922"/>
      <c r="AT87" s="922"/>
      <c r="AU87" s="922"/>
      <c r="AV87" s="922"/>
      <c r="AW87" s="922"/>
      <c r="AX87" s="922"/>
      <c r="AY87" s="922"/>
      <c r="AZ87" s="922"/>
      <c r="BA87" s="922"/>
      <c r="BB87" s="923"/>
    </row>
    <row r="88" spans="2:55" s="928" customFormat="1" ht="31.5" customHeight="1" thickBot="1">
      <c r="B88" s="924"/>
      <c r="C88" s="925"/>
      <c r="D88" s="926" t="s">
        <v>832</v>
      </c>
      <c r="E88" s="925"/>
      <c r="F88" s="925"/>
      <c r="G88" s="925"/>
      <c r="H88" s="925"/>
      <c r="I88" s="925"/>
      <c r="J88" s="925"/>
      <c r="K88" s="925"/>
      <c r="L88" s="925"/>
      <c r="M88" s="925"/>
      <c r="N88" s="925"/>
      <c r="O88" s="925"/>
      <c r="P88" s="925"/>
      <c r="Q88" s="925"/>
      <c r="R88" s="925"/>
      <c r="S88" s="925"/>
      <c r="T88" s="925"/>
      <c r="U88" s="925"/>
      <c r="V88" s="925"/>
      <c r="W88" s="925"/>
      <c r="X88" s="925"/>
      <c r="Y88" s="925"/>
      <c r="Z88" s="925"/>
      <c r="AA88" s="925"/>
      <c r="AB88" s="927"/>
      <c r="AD88" s="926" t="s">
        <v>831</v>
      </c>
      <c r="AE88" s="929"/>
      <c r="AF88" s="929"/>
      <c r="AG88" s="929"/>
      <c r="AH88" s="929"/>
      <c r="AI88" s="929"/>
      <c r="AJ88" s="929"/>
      <c r="AK88" s="929"/>
      <c r="AL88" s="929"/>
      <c r="AM88" s="929"/>
      <c r="AN88" s="929"/>
      <c r="AO88" s="929"/>
      <c r="AP88" s="929"/>
      <c r="AQ88" s="929"/>
      <c r="AR88" s="929"/>
      <c r="AS88" s="929"/>
      <c r="AT88" s="929"/>
      <c r="AU88" s="929"/>
      <c r="AV88" s="929"/>
      <c r="AW88" s="929"/>
      <c r="AX88" s="929"/>
      <c r="AY88" s="929"/>
      <c r="AZ88" s="929"/>
      <c r="BA88" s="929"/>
      <c r="BB88" s="930"/>
    </row>
    <row r="89" spans="2:55" s="934" customFormat="1" ht="15.75" thickTop="1">
      <c r="B89" s="909">
        <v>2018</v>
      </c>
      <c r="C89" s="1218" t="s">
        <v>29</v>
      </c>
      <c r="D89" s="932">
        <v>0</v>
      </c>
      <c r="E89" s="932">
        <v>0</v>
      </c>
      <c r="F89" s="932">
        <v>0</v>
      </c>
      <c r="G89" s="932">
        <v>0</v>
      </c>
      <c r="H89" s="932">
        <v>0</v>
      </c>
      <c r="I89" s="932">
        <v>0</v>
      </c>
      <c r="J89" s="932">
        <v>0</v>
      </c>
      <c r="K89" s="932">
        <v>0</v>
      </c>
      <c r="L89" s="932">
        <v>0</v>
      </c>
      <c r="M89" s="932">
        <v>0</v>
      </c>
      <c r="N89" s="932">
        <v>0</v>
      </c>
      <c r="O89" s="932">
        <v>0</v>
      </c>
      <c r="P89" s="932">
        <v>0</v>
      </c>
      <c r="Q89" s="932">
        <v>0</v>
      </c>
      <c r="R89" s="932">
        <v>0</v>
      </c>
      <c r="S89" s="932">
        <v>0</v>
      </c>
      <c r="T89" s="932">
        <v>0</v>
      </c>
      <c r="U89" s="932">
        <v>0</v>
      </c>
      <c r="V89" s="932">
        <v>0</v>
      </c>
      <c r="W89" s="932">
        <v>0</v>
      </c>
      <c r="X89" s="932">
        <v>0</v>
      </c>
      <c r="Y89" s="932">
        <v>0</v>
      </c>
      <c r="Z89" s="932">
        <v>0</v>
      </c>
      <c r="AA89" s="932">
        <v>0</v>
      </c>
      <c r="AB89" s="933">
        <v>0</v>
      </c>
      <c r="AD89" s="935">
        <f t="shared" ref="AD89:AD121" si="54">D89*(1+WholesaleRiskPremium)*(1+PeakDemandLosses)*(1+Inflation2)^(Year2-Real_Year)</f>
        <v>0</v>
      </c>
      <c r="AE89" s="936">
        <f t="shared" ref="AE89:AE121" si="55">E89*(1+WholesaleRiskPremium)*(1+PeakDemandLosses)*(1+Inflation2)^(Year2-Real_Year)</f>
        <v>0</v>
      </c>
      <c r="AF89" s="936">
        <f t="shared" ref="AF89:AF121" si="56">F89*(1+WholesaleRiskPremium)*(1+PeakDemandLosses)*(1+Inflation2)^(Year2-Real_Year)</f>
        <v>0</v>
      </c>
      <c r="AG89" s="936">
        <f t="shared" ref="AG89:AG121" si="57">G89*(1+WholesaleRiskPremium)*(1+PeakDemandLosses)*(1+Inflation2)^(Year2-Real_Year)</f>
        <v>0</v>
      </c>
      <c r="AH89" s="936">
        <f t="shared" ref="AH89:AH121" si="58">H89*(1+WholesaleRiskPremium)*(1+PeakDemandLosses)*(1+Inflation2)^(Year2-Real_Year)</f>
        <v>0</v>
      </c>
      <c r="AI89" s="936">
        <f t="shared" ref="AI89:AI121" si="59">I89*(1+WholesaleRiskPremium)*(1+PeakDemandLosses)*(1+Inflation2)^(Year2-Real_Year)</f>
        <v>0</v>
      </c>
      <c r="AJ89" s="936">
        <f t="shared" ref="AJ89:AJ121" si="60">J89*(1+WholesaleRiskPremium)*(1+PeakDemandLosses)*(1+Inflation2)^(Year2-Real_Year)</f>
        <v>0</v>
      </c>
      <c r="AK89" s="936">
        <f t="shared" ref="AK89:AK121" si="61">K89*(1+WholesaleRiskPremium)*(1+PeakDemandLosses)*(1+Inflation2)^(Year2-Real_Year)</f>
        <v>0</v>
      </c>
      <c r="AL89" s="936">
        <f t="shared" ref="AL89:AL121" si="62">L89*(1+WholesaleRiskPremium)*(1+PeakDemandLosses)*(1+Inflation2)^(Year2-Real_Year)</f>
        <v>0</v>
      </c>
      <c r="AM89" s="936">
        <f t="shared" ref="AM89:AM121" si="63">M89*(1+WholesaleRiskPremium)*(1+PeakDemandLosses)*(1+Inflation2)^(Year2-Real_Year)</f>
        <v>0</v>
      </c>
      <c r="AN89" s="936">
        <f t="shared" ref="AN89:AN121" si="64">N89*(1+WholesaleRiskPremium)*(1+PeakDemandLosses)*(1+Inflation2)^(Year2-Real_Year)</f>
        <v>0</v>
      </c>
      <c r="AO89" s="936">
        <f t="shared" ref="AO89:AO121" si="65">O89*(1+WholesaleRiskPremium)*(1+PeakDemandLosses)*(1+Inflation2)^(Year2-Real_Year)</f>
        <v>0</v>
      </c>
      <c r="AP89" s="936">
        <f t="shared" ref="AP89:AP121" si="66">P89*(1+WholesaleRiskPremium)*(1+PeakDemandLosses)*(1+Inflation2)^(Year2-Real_Year)</f>
        <v>0</v>
      </c>
      <c r="AQ89" s="936">
        <f t="shared" ref="AQ89:AQ121" si="67">Q89*(1+WholesaleRiskPremium)*(1+PeakDemandLosses)*(1+Inflation2)^(Year2-Real_Year)</f>
        <v>0</v>
      </c>
      <c r="AR89" s="936">
        <f t="shared" ref="AR89:AR121" si="68">R89*(1+WholesaleRiskPremium)*(1+PeakDemandLosses)*(1+Inflation2)^(Year2-Real_Year)</f>
        <v>0</v>
      </c>
      <c r="AS89" s="936">
        <f t="shared" ref="AS89:AS121" si="69">S89*(1+WholesaleRiskPremium)*(1+PeakDemandLosses)*(1+Inflation2)^(Year2-Real_Year)</f>
        <v>0</v>
      </c>
      <c r="AT89" s="936">
        <f t="shared" ref="AT89:AT121" si="70">T89*(1+WholesaleRiskPremium)*(1+PeakDemandLosses)*(1+Inflation2)^(Year2-Real_Year)</f>
        <v>0</v>
      </c>
      <c r="AU89" s="936">
        <f t="shared" ref="AU89:AU121" si="71">U89*(1+WholesaleRiskPremium)*(1+PeakDemandLosses)*(1+Inflation2)^(Year2-Real_Year)</f>
        <v>0</v>
      </c>
      <c r="AV89" s="936">
        <f t="shared" ref="AV89:AV121" si="72">V89*(1+WholesaleRiskPremium)*(1+PeakDemandLosses)*(1+Inflation2)^(Year2-Real_Year)</f>
        <v>0</v>
      </c>
      <c r="AW89" s="936">
        <f t="shared" ref="AW89:AW121" si="73">W89*(1+WholesaleRiskPremium)*(1+PeakDemandLosses)*(1+Inflation2)^(Year2-Real_Year)</f>
        <v>0</v>
      </c>
      <c r="AX89" s="936">
        <f t="shared" ref="AX89:AX121" si="74">X89*(1+WholesaleRiskPremium)*(1+PeakDemandLosses)*(1+Inflation2)^(Year2-Real_Year)</f>
        <v>0</v>
      </c>
      <c r="AY89" s="936">
        <f t="shared" ref="AY89:AY121" si="75">Y89*(1+WholesaleRiskPremium)*(1+PeakDemandLosses)*(1+Inflation2)^(Year2-Real_Year)</f>
        <v>0</v>
      </c>
      <c r="AZ89" s="936">
        <f t="shared" ref="AZ89:AZ121" si="76">Z89*(1+WholesaleRiskPremium)*(1+PeakDemandLosses)*(1+Inflation2)^(Year2-Real_Year)</f>
        <v>0</v>
      </c>
      <c r="BA89" s="936">
        <f t="shared" ref="BA89:BA121" si="77">AA89*(1+WholesaleRiskPremium)*(1+PeakDemandLosses)*(1+Inflation2)^(Year2-Real_Year)</f>
        <v>0</v>
      </c>
      <c r="BB89" s="937">
        <f t="shared" ref="BB89:BB121" si="78">AB89*(1+WholesaleRiskPremium)*(1+PeakDemandLosses)*(1+Inflation2)^(Year2-Real_Year)</f>
        <v>0</v>
      </c>
      <c r="BC89" s="938"/>
    </row>
    <row r="90" spans="2:55" s="934" customFormat="1" ht="15">
      <c r="B90" s="909">
        <v>2019</v>
      </c>
      <c r="C90" s="1218" t="s">
        <v>29</v>
      </c>
      <c r="D90" s="932">
        <v>0</v>
      </c>
      <c r="E90" s="932">
        <v>0</v>
      </c>
      <c r="F90" s="932">
        <v>0</v>
      </c>
      <c r="G90" s="932">
        <v>0</v>
      </c>
      <c r="H90" s="932">
        <v>0</v>
      </c>
      <c r="I90" s="932">
        <v>0</v>
      </c>
      <c r="J90" s="932">
        <v>0</v>
      </c>
      <c r="K90" s="932">
        <v>0</v>
      </c>
      <c r="L90" s="932">
        <v>0</v>
      </c>
      <c r="M90" s="932">
        <v>0</v>
      </c>
      <c r="N90" s="932">
        <v>0</v>
      </c>
      <c r="O90" s="932">
        <v>0</v>
      </c>
      <c r="P90" s="932">
        <v>0</v>
      </c>
      <c r="Q90" s="932">
        <v>0</v>
      </c>
      <c r="R90" s="932">
        <v>0</v>
      </c>
      <c r="S90" s="932">
        <v>0</v>
      </c>
      <c r="T90" s="932">
        <v>0</v>
      </c>
      <c r="U90" s="932">
        <v>0</v>
      </c>
      <c r="V90" s="932">
        <v>0</v>
      </c>
      <c r="W90" s="932">
        <v>0</v>
      </c>
      <c r="X90" s="932">
        <v>0</v>
      </c>
      <c r="Y90" s="932">
        <v>0</v>
      </c>
      <c r="Z90" s="932">
        <v>0</v>
      </c>
      <c r="AA90" s="932">
        <v>0</v>
      </c>
      <c r="AB90" s="933">
        <v>0</v>
      </c>
      <c r="AD90" s="935">
        <f t="shared" si="54"/>
        <v>0</v>
      </c>
      <c r="AE90" s="936">
        <f t="shared" si="55"/>
        <v>0</v>
      </c>
      <c r="AF90" s="936">
        <f t="shared" si="56"/>
        <v>0</v>
      </c>
      <c r="AG90" s="936">
        <f t="shared" si="57"/>
        <v>0</v>
      </c>
      <c r="AH90" s="936">
        <f t="shared" si="58"/>
        <v>0</v>
      </c>
      <c r="AI90" s="936">
        <f t="shared" si="59"/>
        <v>0</v>
      </c>
      <c r="AJ90" s="936">
        <f t="shared" si="60"/>
        <v>0</v>
      </c>
      <c r="AK90" s="936">
        <f t="shared" si="61"/>
        <v>0</v>
      </c>
      <c r="AL90" s="936">
        <f t="shared" si="62"/>
        <v>0</v>
      </c>
      <c r="AM90" s="936">
        <f t="shared" si="63"/>
        <v>0</v>
      </c>
      <c r="AN90" s="936">
        <f t="shared" si="64"/>
        <v>0</v>
      </c>
      <c r="AO90" s="936">
        <f t="shared" si="65"/>
        <v>0</v>
      </c>
      <c r="AP90" s="936">
        <f t="shared" si="66"/>
        <v>0</v>
      </c>
      <c r="AQ90" s="936">
        <f t="shared" si="67"/>
        <v>0</v>
      </c>
      <c r="AR90" s="936">
        <f t="shared" si="68"/>
        <v>0</v>
      </c>
      <c r="AS90" s="936">
        <f t="shared" si="69"/>
        <v>0</v>
      </c>
      <c r="AT90" s="936">
        <f t="shared" si="70"/>
        <v>0</v>
      </c>
      <c r="AU90" s="936">
        <f t="shared" si="71"/>
        <v>0</v>
      </c>
      <c r="AV90" s="936">
        <f t="shared" si="72"/>
        <v>0</v>
      </c>
      <c r="AW90" s="936">
        <f t="shared" si="73"/>
        <v>0</v>
      </c>
      <c r="AX90" s="936">
        <f t="shared" si="74"/>
        <v>0</v>
      </c>
      <c r="AY90" s="936">
        <f t="shared" si="75"/>
        <v>0</v>
      </c>
      <c r="AZ90" s="936">
        <f t="shared" si="76"/>
        <v>0</v>
      </c>
      <c r="BA90" s="936">
        <f t="shared" si="77"/>
        <v>0</v>
      </c>
      <c r="BB90" s="937">
        <f t="shared" si="78"/>
        <v>0</v>
      </c>
      <c r="BC90" s="938"/>
    </row>
    <row r="91" spans="2:55" s="934" customFormat="1" ht="15">
      <c r="B91" s="909">
        <v>2020</v>
      </c>
      <c r="C91" s="1218" t="s">
        <v>29</v>
      </c>
      <c r="D91" s="932">
        <v>0</v>
      </c>
      <c r="E91" s="932">
        <v>0</v>
      </c>
      <c r="F91" s="932">
        <v>0</v>
      </c>
      <c r="G91" s="932">
        <v>0</v>
      </c>
      <c r="H91" s="932">
        <v>0</v>
      </c>
      <c r="I91" s="932">
        <v>0</v>
      </c>
      <c r="J91" s="932">
        <v>0</v>
      </c>
      <c r="K91" s="932">
        <v>0</v>
      </c>
      <c r="L91" s="932">
        <v>0</v>
      </c>
      <c r="M91" s="932">
        <v>0</v>
      </c>
      <c r="N91" s="932">
        <v>0</v>
      </c>
      <c r="O91" s="932">
        <v>0</v>
      </c>
      <c r="P91" s="932">
        <v>0</v>
      </c>
      <c r="Q91" s="932">
        <v>0</v>
      </c>
      <c r="R91" s="932">
        <v>0</v>
      </c>
      <c r="S91" s="932">
        <v>0</v>
      </c>
      <c r="T91" s="932">
        <v>0</v>
      </c>
      <c r="U91" s="932">
        <v>0</v>
      </c>
      <c r="V91" s="932">
        <v>0</v>
      </c>
      <c r="W91" s="932">
        <v>0</v>
      </c>
      <c r="X91" s="932">
        <v>0</v>
      </c>
      <c r="Y91" s="932">
        <v>0</v>
      </c>
      <c r="Z91" s="932">
        <v>0</v>
      </c>
      <c r="AA91" s="932">
        <v>0</v>
      </c>
      <c r="AB91" s="933">
        <v>0</v>
      </c>
      <c r="AD91" s="935">
        <f t="shared" si="54"/>
        <v>0</v>
      </c>
      <c r="AE91" s="936">
        <f t="shared" si="55"/>
        <v>0</v>
      </c>
      <c r="AF91" s="936">
        <f t="shared" si="56"/>
        <v>0</v>
      </c>
      <c r="AG91" s="936">
        <f t="shared" si="57"/>
        <v>0</v>
      </c>
      <c r="AH91" s="936">
        <f t="shared" si="58"/>
        <v>0</v>
      </c>
      <c r="AI91" s="936">
        <f t="shared" si="59"/>
        <v>0</v>
      </c>
      <c r="AJ91" s="936">
        <f t="shared" si="60"/>
        <v>0</v>
      </c>
      <c r="AK91" s="936">
        <f t="shared" si="61"/>
        <v>0</v>
      </c>
      <c r="AL91" s="936">
        <f t="shared" si="62"/>
        <v>0</v>
      </c>
      <c r="AM91" s="936">
        <f t="shared" si="63"/>
        <v>0</v>
      </c>
      <c r="AN91" s="936">
        <f t="shared" si="64"/>
        <v>0</v>
      </c>
      <c r="AO91" s="936">
        <f t="shared" si="65"/>
        <v>0</v>
      </c>
      <c r="AP91" s="936">
        <f t="shared" si="66"/>
        <v>0</v>
      </c>
      <c r="AQ91" s="936">
        <f t="shared" si="67"/>
        <v>0</v>
      </c>
      <c r="AR91" s="936">
        <f t="shared" si="68"/>
        <v>0</v>
      </c>
      <c r="AS91" s="936">
        <f t="shared" si="69"/>
        <v>0</v>
      </c>
      <c r="AT91" s="936">
        <f t="shared" si="70"/>
        <v>0</v>
      </c>
      <c r="AU91" s="936">
        <f t="shared" si="71"/>
        <v>0</v>
      </c>
      <c r="AV91" s="936">
        <f t="shared" si="72"/>
        <v>0</v>
      </c>
      <c r="AW91" s="936">
        <f t="shared" si="73"/>
        <v>0</v>
      </c>
      <c r="AX91" s="936">
        <f t="shared" si="74"/>
        <v>0</v>
      </c>
      <c r="AY91" s="936">
        <f t="shared" si="75"/>
        <v>0</v>
      </c>
      <c r="AZ91" s="936">
        <f t="shared" si="76"/>
        <v>0</v>
      </c>
      <c r="BA91" s="936">
        <f t="shared" si="77"/>
        <v>0</v>
      </c>
      <c r="BB91" s="937">
        <f t="shared" si="78"/>
        <v>0</v>
      </c>
      <c r="BC91" s="938"/>
    </row>
    <row r="92" spans="2:55" s="934" customFormat="1" ht="15">
      <c r="B92" s="909">
        <v>2021</v>
      </c>
      <c r="C92" s="1218" t="s">
        <v>29</v>
      </c>
      <c r="D92" s="932">
        <v>0</v>
      </c>
      <c r="E92" s="932">
        <v>0</v>
      </c>
      <c r="F92" s="932">
        <v>0</v>
      </c>
      <c r="G92" s="932">
        <v>0</v>
      </c>
      <c r="H92" s="932">
        <v>0</v>
      </c>
      <c r="I92" s="932">
        <v>0</v>
      </c>
      <c r="J92" s="932">
        <v>0</v>
      </c>
      <c r="K92" s="932">
        <v>0</v>
      </c>
      <c r="L92" s="932">
        <v>0</v>
      </c>
      <c r="M92" s="932">
        <v>0</v>
      </c>
      <c r="N92" s="932">
        <v>0</v>
      </c>
      <c r="O92" s="932">
        <v>0</v>
      </c>
      <c r="P92" s="932">
        <v>0</v>
      </c>
      <c r="Q92" s="932">
        <v>0</v>
      </c>
      <c r="R92" s="932">
        <v>0</v>
      </c>
      <c r="S92" s="932">
        <v>0</v>
      </c>
      <c r="T92" s="932">
        <v>0</v>
      </c>
      <c r="U92" s="932">
        <v>0</v>
      </c>
      <c r="V92" s="932">
        <v>0</v>
      </c>
      <c r="W92" s="932">
        <v>0</v>
      </c>
      <c r="X92" s="932">
        <v>0</v>
      </c>
      <c r="Y92" s="932">
        <v>0</v>
      </c>
      <c r="Z92" s="932">
        <v>0</v>
      </c>
      <c r="AA92" s="932">
        <v>0</v>
      </c>
      <c r="AB92" s="933">
        <v>0</v>
      </c>
      <c r="AD92" s="935">
        <f t="shared" si="54"/>
        <v>0</v>
      </c>
      <c r="AE92" s="936">
        <f t="shared" si="55"/>
        <v>0</v>
      </c>
      <c r="AF92" s="936">
        <f t="shared" si="56"/>
        <v>0</v>
      </c>
      <c r="AG92" s="936">
        <f t="shared" si="57"/>
        <v>0</v>
      </c>
      <c r="AH92" s="936">
        <f t="shared" si="58"/>
        <v>0</v>
      </c>
      <c r="AI92" s="936">
        <f t="shared" si="59"/>
        <v>0</v>
      </c>
      <c r="AJ92" s="936">
        <f t="shared" si="60"/>
        <v>0</v>
      </c>
      <c r="AK92" s="936">
        <f t="shared" si="61"/>
        <v>0</v>
      </c>
      <c r="AL92" s="936">
        <f t="shared" si="62"/>
        <v>0</v>
      </c>
      <c r="AM92" s="936">
        <f t="shared" si="63"/>
        <v>0</v>
      </c>
      <c r="AN92" s="936">
        <f t="shared" si="64"/>
        <v>0</v>
      </c>
      <c r="AO92" s="936">
        <f t="shared" si="65"/>
        <v>0</v>
      </c>
      <c r="AP92" s="936">
        <f t="shared" si="66"/>
        <v>0</v>
      </c>
      <c r="AQ92" s="936">
        <f t="shared" si="67"/>
        <v>0</v>
      </c>
      <c r="AR92" s="936">
        <f t="shared" si="68"/>
        <v>0</v>
      </c>
      <c r="AS92" s="936">
        <f t="shared" si="69"/>
        <v>0</v>
      </c>
      <c r="AT92" s="936">
        <f t="shared" si="70"/>
        <v>0</v>
      </c>
      <c r="AU92" s="936">
        <f t="shared" si="71"/>
        <v>0</v>
      </c>
      <c r="AV92" s="936">
        <f t="shared" si="72"/>
        <v>0</v>
      </c>
      <c r="AW92" s="936">
        <f t="shared" si="73"/>
        <v>0</v>
      </c>
      <c r="AX92" s="936">
        <f t="shared" si="74"/>
        <v>0</v>
      </c>
      <c r="AY92" s="936">
        <f t="shared" si="75"/>
        <v>0</v>
      </c>
      <c r="AZ92" s="936">
        <f t="shared" si="76"/>
        <v>0</v>
      </c>
      <c r="BA92" s="936">
        <f t="shared" si="77"/>
        <v>0</v>
      </c>
      <c r="BB92" s="937">
        <f t="shared" si="78"/>
        <v>0</v>
      </c>
      <c r="BC92" s="938"/>
    </row>
    <row r="93" spans="2:55" s="934" customFormat="1" ht="15">
      <c r="B93" s="909">
        <v>2022</v>
      </c>
      <c r="C93" s="1218" t="s">
        <v>29</v>
      </c>
      <c r="D93" s="932">
        <v>0</v>
      </c>
      <c r="E93" s="932">
        <v>0</v>
      </c>
      <c r="F93" s="932">
        <v>0</v>
      </c>
      <c r="G93" s="932">
        <v>0</v>
      </c>
      <c r="H93" s="932">
        <v>0</v>
      </c>
      <c r="I93" s="932">
        <v>0</v>
      </c>
      <c r="J93" s="932">
        <v>0</v>
      </c>
      <c r="K93" s="932">
        <v>0</v>
      </c>
      <c r="L93" s="932">
        <v>0</v>
      </c>
      <c r="M93" s="932">
        <v>0</v>
      </c>
      <c r="N93" s="932">
        <v>0</v>
      </c>
      <c r="O93" s="932">
        <v>0</v>
      </c>
      <c r="P93" s="932">
        <v>0</v>
      </c>
      <c r="Q93" s="932">
        <v>0</v>
      </c>
      <c r="R93" s="932">
        <v>0</v>
      </c>
      <c r="S93" s="932">
        <v>0</v>
      </c>
      <c r="T93" s="932">
        <v>0</v>
      </c>
      <c r="U93" s="932">
        <v>0</v>
      </c>
      <c r="V93" s="932">
        <v>0</v>
      </c>
      <c r="W93" s="932">
        <v>0</v>
      </c>
      <c r="X93" s="932">
        <v>0</v>
      </c>
      <c r="Y93" s="932">
        <v>0</v>
      </c>
      <c r="Z93" s="932">
        <v>0</v>
      </c>
      <c r="AA93" s="932">
        <v>0</v>
      </c>
      <c r="AB93" s="933">
        <v>0</v>
      </c>
      <c r="AD93" s="935">
        <f t="shared" si="54"/>
        <v>0</v>
      </c>
      <c r="AE93" s="936">
        <f t="shared" si="55"/>
        <v>0</v>
      </c>
      <c r="AF93" s="936">
        <f t="shared" si="56"/>
        <v>0</v>
      </c>
      <c r="AG93" s="936">
        <f t="shared" si="57"/>
        <v>0</v>
      </c>
      <c r="AH93" s="936">
        <f t="shared" si="58"/>
        <v>0</v>
      </c>
      <c r="AI93" s="936">
        <f t="shared" si="59"/>
        <v>0</v>
      </c>
      <c r="AJ93" s="936">
        <f t="shared" si="60"/>
        <v>0</v>
      </c>
      <c r="AK93" s="936">
        <f t="shared" si="61"/>
        <v>0</v>
      </c>
      <c r="AL93" s="936">
        <f t="shared" si="62"/>
        <v>0</v>
      </c>
      <c r="AM93" s="936">
        <f t="shared" si="63"/>
        <v>0</v>
      </c>
      <c r="AN93" s="936">
        <f t="shared" si="64"/>
        <v>0</v>
      </c>
      <c r="AO93" s="936">
        <f t="shared" si="65"/>
        <v>0</v>
      </c>
      <c r="AP93" s="936">
        <f t="shared" si="66"/>
        <v>0</v>
      </c>
      <c r="AQ93" s="936">
        <f t="shared" si="67"/>
        <v>0</v>
      </c>
      <c r="AR93" s="936">
        <f t="shared" si="68"/>
        <v>0</v>
      </c>
      <c r="AS93" s="936">
        <f t="shared" si="69"/>
        <v>0</v>
      </c>
      <c r="AT93" s="936">
        <f t="shared" si="70"/>
        <v>0</v>
      </c>
      <c r="AU93" s="936">
        <f t="shared" si="71"/>
        <v>0</v>
      </c>
      <c r="AV93" s="936">
        <f t="shared" si="72"/>
        <v>0</v>
      </c>
      <c r="AW93" s="936">
        <f t="shared" si="73"/>
        <v>0</v>
      </c>
      <c r="AX93" s="936">
        <f t="shared" si="74"/>
        <v>0</v>
      </c>
      <c r="AY93" s="936">
        <f t="shared" si="75"/>
        <v>0</v>
      </c>
      <c r="AZ93" s="936">
        <f t="shared" si="76"/>
        <v>0</v>
      </c>
      <c r="BA93" s="936">
        <f t="shared" si="77"/>
        <v>0</v>
      </c>
      <c r="BB93" s="937">
        <f t="shared" si="78"/>
        <v>0</v>
      </c>
      <c r="BC93" s="938"/>
    </row>
    <row r="94" spans="2:55" s="934" customFormat="1" ht="15">
      <c r="B94" s="909">
        <v>2023</v>
      </c>
      <c r="C94" s="1218" t="s">
        <v>29</v>
      </c>
      <c r="D94" s="932">
        <v>0</v>
      </c>
      <c r="E94" s="932">
        <v>0</v>
      </c>
      <c r="F94" s="932">
        <v>0</v>
      </c>
      <c r="G94" s="932">
        <v>0</v>
      </c>
      <c r="H94" s="932">
        <v>0</v>
      </c>
      <c r="I94" s="932">
        <v>0</v>
      </c>
      <c r="J94" s="932">
        <v>0</v>
      </c>
      <c r="K94" s="932">
        <v>0</v>
      </c>
      <c r="L94" s="932">
        <v>0</v>
      </c>
      <c r="M94" s="932">
        <v>0</v>
      </c>
      <c r="N94" s="932">
        <v>0</v>
      </c>
      <c r="O94" s="932">
        <v>0</v>
      </c>
      <c r="P94" s="932">
        <v>0</v>
      </c>
      <c r="Q94" s="932">
        <v>0</v>
      </c>
      <c r="R94" s="932">
        <v>0</v>
      </c>
      <c r="S94" s="932">
        <v>0</v>
      </c>
      <c r="T94" s="932">
        <v>0</v>
      </c>
      <c r="U94" s="932">
        <v>0</v>
      </c>
      <c r="V94" s="932">
        <v>0</v>
      </c>
      <c r="W94" s="932">
        <v>0</v>
      </c>
      <c r="X94" s="932">
        <v>0</v>
      </c>
      <c r="Y94" s="932">
        <v>0</v>
      </c>
      <c r="Z94" s="932">
        <v>0</v>
      </c>
      <c r="AA94" s="932">
        <v>0</v>
      </c>
      <c r="AB94" s="933">
        <v>0</v>
      </c>
      <c r="AD94" s="935">
        <f t="shared" si="54"/>
        <v>0</v>
      </c>
      <c r="AE94" s="936">
        <f t="shared" si="55"/>
        <v>0</v>
      </c>
      <c r="AF94" s="936">
        <f t="shared" si="56"/>
        <v>0</v>
      </c>
      <c r="AG94" s="936">
        <f t="shared" si="57"/>
        <v>0</v>
      </c>
      <c r="AH94" s="936">
        <f t="shared" si="58"/>
        <v>0</v>
      </c>
      <c r="AI94" s="936">
        <f t="shared" si="59"/>
        <v>0</v>
      </c>
      <c r="AJ94" s="936">
        <f t="shared" si="60"/>
        <v>0</v>
      </c>
      <c r="AK94" s="936">
        <f t="shared" si="61"/>
        <v>0</v>
      </c>
      <c r="AL94" s="936">
        <f t="shared" si="62"/>
        <v>0</v>
      </c>
      <c r="AM94" s="936">
        <f t="shared" si="63"/>
        <v>0</v>
      </c>
      <c r="AN94" s="936">
        <f t="shared" si="64"/>
        <v>0</v>
      </c>
      <c r="AO94" s="936">
        <f t="shared" si="65"/>
        <v>0</v>
      </c>
      <c r="AP94" s="936">
        <f t="shared" si="66"/>
        <v>0</v>
      </c>
      <c r="AQ94" s="936">
        <f t="shared" si="67"/>
        <v>0</v>
      </c>
      <c r="AR94" s="936">
        <f t="shared" si="68"/>
        <v>0</v>
      </c>
      <c r="AS94" s="936">
        <f t="shared" si="69"/>
        <v>0</v>
      </c>
      <c r="AT94" s="936">
        <f t="shared" si="70"/>
        <v>0</v>
      </c>
      <c r="AU94" s="936">
        <f t="shared" si="71"/>
        <v>0</v>
      </c>
      <c r="AV94" s="936">
        <f t="shared" si="72"/>
        <v>0</v>
      </c>
      <c r="AW94" s="936">
        <f t="shared" si="73"/>
        <v>0</v>
      </c>
      <c r="AX94" s="936">
        <f t="shared" si="74"/>
        <v>0</v>
      </c>
      <c r="AY94" s="936">
        <f t="shared" si="75"/>
        <v>0</v>
      </c>
      <c r="AZ94" s="936">
        <f t="shared" si="76"/>
        <v>0</v>
      </c>
      <c r="BA94" s="936">
        <f t="shared" si="77"/>
        <v>0</v>
      </c>
      <c r="BB94" s="937">
        <f t="shared" si="78"/>
        <v>0</v>
      </c>
      <c r="BC94" s="938"/>
    </row>
    <row r="95" spans="2:55" s="934" customFormat="1" ht="15">
      <c r="B95" s="909">
        <v>2024</v>
      </c>
      <c r="C95" s="1218" t="s">
        <v>29</v>
      </c>
      <c r="D95" s="932">
        <v>0</v>
      </c>
      <c r="E95" s="932">
        <v>0</v>
      </c>
      <c r="F95" s="932">
        <v>0</v>
      </c>
      <c r="G95" s="932">
        <v>0</v>
      </c>
      <c r="H95" s="932">
        <v>0</v>
      </c>
      <c r="I95" s="932">
        <v>0</v>
      </c>
      <c r="J95" s="932">
        <v>0</v>
      </c>
      <c r="K95" s="932">
        <v>0</v>
      </c>
      <c r="L95" s="932">
        <v>0</v>
      </c>
      <c r="M95" s="932">
        <v>0</v>
      </c>
      <c r="N95" s="932">
        <v>0</v>
      </c>
      <c r="O95" s="932">
        <v>0</v>
      </c>
      <c r="P95" s="932">
        <v>0</v>
      </c>
      <c r="Q95" s="932">
        <v>0</v>
      </c>
      <c r="R95" s="932">
        <v>0</v>
      </c>
      <c r="S95" s="932">
        <v>0</v>
      </c>
      <c r="T95" s="932">
        <v>0</v>
      </c>
      <c r="U95" s="932">
        <v>0</v>
      </c>
      <c r="V95" s="932">
        <v>0</v>
      </c>
      <c r="W95" s="932">
        <v>0</v>
      </c>
      <c r="X95" s="932">
        <v>0</v>
      </c>
      <c r="Y95" s="932">
        <v>0</v>
      </c>
      <c r="Z95" s="932">
        <v>0</v>
      </c>
      <c r="AA95" s="932">
        <v>0</v>
      </c>
      <c r="AB95" s="933">
        <v>0</v>
      </c>
      <c r="AD95" s="935">
        <f t="shared" si="54"/>
        <v>0</v>
      </c>
      <c r="AE95" s="936">
        <f t="shared" si="55"/>
        <v>0</v>
      </c>
      <c r="AF95" s="936">
        <f t="shared" si="56"/>
        <v>0</v>
      </c>
      <c r="AG95" s="936">
        <f t="shared" si="57"/>
        <v>0</v>
      </c>
      <c r="AH95" s="936">
        <f t="shared" si="58"/>
        <v>0</v>
      </c>
      <c r="AI95" s="936">
        <f t="shared" si="59"/>
        <v>0</v>
      </c>
      <c r="AJ95" s="936">
        <f t="shared" si="60"/>
        <v>0</v>
      </c>
      <c r="AK95" s="936">
        <f t="shared" si="61"/>
        <v>0</v>
      </c>
      <c r="AL95" s="936">
        <f t="shared" si="62"/>
        <v>0</v>
      </c>
      <c r="AM95" s="936">
        <f t="shared" si="63"/>
        <v>0</v>
      </c>
      <c r="AN95" s="936">
        <f t="shared" si="64"/>
        <v>0</v>
      </c>
      <c r="AO95" s="936">
        <f t="shared" si="65"/>
        <v>0</v>
      </c>
      <c r="AP95" s="936">
        <f t="shared" si="66"/>
        <v>0</v>
      </c>
      <c r="AQ95" s="936">
        <f t="shared" si="67"/>
        <v>0</v>
      </c>
      <c r="AR95" s="936">
        <f t="shared" si="68"/>
        <v>0</v>
      </c>
      <c r="AS95" s="936">
        <f t="shared" si="69"/>
        <v>0</v>
      </c>
      <c r="AT95" s="936">
        <f t="shared" si="70"/>
        <v>0</v>
      </c>
      <c r="AU95" s="936">
        <f t="shared" si="71"/>
        <v>0</v>
      </c>
      <c r="AV95" s="936">
        <f t="shared" si="72"/>
        <v>0</v>
      </c>
      <c r="AW95" s="936">
        <f t="shared" si="73"/>
        <v>0</v>
      </c>
      <c r="AX95" s="936">
        <f t="shared" si="74"/>
        <v>0</v>
      </c>
      <c r="AY95" s="936">
        <f t="shared" si="75"/>
        <v>0</v>
      </c>
      <c r="AZ95" s="936">
        <f t="shared" si="76"/>
        <v>0</v>
      </c>
      <c r="BA95" s="936">
        <f t="shared" si="77"/>
        <v>0</v>
      </c>
      <c r="BB95" s="937">
        <f t="shared" si="78"/>
        <v>0</v>
      </c>
      <c r="BC95" s="938"/>
    </row>
    <row r="96" spans="2:55" s="934" customFormat="1" ht="15">
      <c r="B96" s="909">
        <v>2025</v>
      </c>
      <c r="C96" s="1218" t="s">
        <v>803</v>
      </c>
      <c r="D96" s="932">
        <v>0</v>
      </c>
      <c r="E96" s="932">
        <v>0</v>
      </c>
      <c r="F96" s="932">
        <v>0</v>
      </c>
      <c r="G96" s="932">
        <v>0</v>
      </c>
      <c r="H96" s="932">
        <v>0</v>
      </c>
      <c r="I96" s="932">
        <v>0</v>
      </c>
      <c r="J96" s="932">
        <v>0</v>
      </c>
      <c r="K96" s="932">
        <v>0</v>
      </c>
      <c r="L96" s="932">
        <v>0</v>
      </c>
      <c r="M96" s="932">
        <v>0</v>
      </c>
      <c r="N96" s="932">
        <v>0</v>
      </c>
      <c r="O96" s="932">
        <v>0</v>
      </c>
      <c r="P96" s="932">
        <v>0</v>
      </c>
      <c r="Q96" s="932">
        <v>0</v>
      </c>
      <c r="R96" s="932">
        <v>0</v>
      </c>
      <c r="S96" s="932">
        <v>0</v>
      </c>
      <c r="T96" s="932">
        <v>0</v>
      </c>
      <c r="U96" s="932">
        <v>0</v>
      </c>
      <c r="V96" s="932">
        <v>0</v>
      </c>
      <c r="W96" s="932">
        <v>0</v>
      </c>
      <c r="X96" s="932">
        <v>0</v>
      </c>
      <c r="Y96" s="932">
        <v>0</v>
      </c>
      <c r="Z96" s="932">
        <v>0</v>
      </c>
      <c r="AA96" s="932">
        <v>0</v>
      </c>
      <c r="AB96" s="933">
        <v>0</v>
      </c>
      <c r="AD96" s="935">
        <f t="shared" si="54"/>
        <v>0</v>
      </c>
      <c r="AE96" s="936">
        <f t="shared" si="55"/>
        <v>0</v>
      </c>
      <c r="AF96" s="936">
        <f t="shared" si="56"/>
        <v>0</v>
      </c>
      <c r="AG96" s="936">
        <f t="shared" si="57"/>
        <v>0</v>
      </c>
      <c r="AH96" s="936">
        <f t="shared" si="58"/>
        <v>0</v>
      </c>
      <c r="AI96" s="936">
        <f t="shared" si="59"/>
        <v>0</v>
      </c>
      <c r="AJ96" s="936">
        <f t="shared" si="60"/>
        <v>0</v>
      </c>
      <c r="AK96" s="936">
        <f t="shared" si="61"/>
        <v>0</v>
      </c>
      <c r="AL96" s="936">
        <f t="shared" si="62"/>
        <v>0</v>
      </c>
      <c r="AM96" s="936">
        <f t="shared" si="63"/>
        <v>0</v>
      </c>
      <c r="AN96" s="936">
        <f t="shared" si="64"/>
        <v>0</v>
      </c>
      <c r="AO96" s="936">
        <f t="shared" si="65"/>
        <v>0</v>
      </c>
      <c r="AP96" s="936">
        <f t="shared" si="66"/>
        <v>0</v>
      </c>
      <c r="AQ96" s="936">
        <f t="shared" si="67"/>
        <v>0</v>
      </c>
      <c r="AR96" s="936">
        <f t="shared" si="68"/>
        <v>0</v>
      </c>
      <c r="AS96" s="936">
        <f t="shared" si="69"/>
        <v>0</v>
      </c>
      <c r="AT96" s="936">
        <f t="shared" si="70"/>
        <v>0</v>
      </c>
      <c r="AU96" s="936">
        <f t="shared" si="71"/>
        <v>0</v>
      </c>
      <c r="AV96" s="936">
        <f t="shared" si="72"/>
        <v>0</v>
      </c>
      <c r="AW96" s="936">
        <f t="shared" si="73"/>
        <v>0</v>
      </c>
      <c r="AX96" s="936">
        <f t="shared" si="74"/>
        <v>0</v>
      </c>
      <c r="AY96" s="936">
        <f t="shared" si="75"/>
        <v>0</v>
      </c>
      <c r="AZ96" s="936">
        <f t="shared" si="76"/>
        <v>0</v>
      </c>
      <c r="BA96" s="936">
        <f t="shared" si="77"/>
        <v>0</v>
      </c>
      <c r="BB96" s="937">
        <f t="shared" si="78"/>
        <v>0</v>
      </c>
      <c r="BC96" s="938"/>
    </row>
    <row r="97" spans="2:55" s="934" customFormat="1" ht="15">
      <c r="B97" s="909">
        <v>2026</v>
      </c>
      <c r="C97" s="1218" t="s">
        <v>804</v>
      </c>
      <c r="D97" s="932">
        <v>0</v>
      </c>
      <c r="E97" s="932">
        <v>0</v>
      </c>
      <c r="F97" s="932">
        <v>0</v>
      </c>
      <c r="G97" s="932">
        <v>0</v>
      </c>
      <c r="H97" s="932">
        <v>0</v>
      </c>
      <c r="I97" s="932">
        <v>0</v>
      </c>
      <c r="J97" s="932">
        <v>0</v>
      </c>
      <c r="K97" s="932">
        <v>0</v>
      </c>
      <c r="L97" s="932">
        <v>0</v>
      </c>
      <c r="M97" s="932">
        <v>0</v>
      </c>
      <c r="N97" s="932">
        <v>0</v>
      </c>
      <c r="O97" s="932">
        <v>0</v>
      </c>
      <c r="P97" s="932">
        <v>0</v>
      </c>
      <c r="Q97" s="932">
        <v>0</v>
      </c>
      <c r="R97" s="932">
        <v>0</v>
      </c>
      <c r="S97" s="932">
        <v>0</v>
      </c>
      <c r="T97" s="932">
        <v>0</v>
      </c>
      <c r="U97" s="932">
        <v>0</v>
      </c>
      <c r="V97" s="932">
        <v>0</v>
      </c>
      <c r="W97" s="932">
        <v>0</v>
      </c>
      <c r="X97" s="932">
        <v>0</v>
      </c>
      <c r="Y97" s="932">
        <v>0</v>
      </c>
      <c r="Z97" s="932">
        <v>0</v>
      </c>
      <c r="AA97" s="932">
        <v>0</v>
      </c>
      <c r="AB97" s="933">
        <v>0</v>
      </c>
      <c r="AD97" s="935">
        <f t="shared" si="54"/>
        <v>0</v>
      </c>
      <c r="AE97" s="936">
        <f t="shared" si="55"/>
        <v>0</v>
      </c>
      <c r="AF97" s="936">
        <f t="shared" si="56"/>
        <v>0</v>
      </c>
      <c r="AG97" s="936">
        <f t="shared" si="57"/>
        <v>0</v>
      </c>
      <c r="AH97" s="936">
        <f t="shared" si="58"/>
        <v>0</v>
      </c>
      <c r="AI97" s="936">
        <f t="shared" si="59"/>
        <v>0</v>
      </c>
      <c r="AJ97" s="936">
        <f t="shared" si="60"/>
        <v>0</v>
      </c>
      <c r="AK97" s="936">
        <f t="shared" si="61"/>
        <v>0</v>
      </c>
      <c r="AL97" s="936">
        <f t="shared" si="62"/>
        <v>0</v>
      </c>
      <c r="AM97" s="936">
        <f t="shared" si="63"/>
        <v>0</v>
      </c>
      <c r="AN97" s="936">
        <f t="shared" si="64"/>
        <v>0</v>
      </c>
      <c r="AO97" s="936">
        <f t="shared" si="65"/>
        <v>0</v>
      </c>
      <c r="AP97" s="936">
        <f t="shared" si="66"/>
        <v>0</v>
      </c>
      <c r="AQ97" s="936">
        <f t="shared" si="67"/>
        <v>0</v>
      </c>
      <c r="AR97" s="936">
        <f t="shared" si="68"/>
        <v>0</v>
      </c>
      <c r="AS97" s="936">
        <f t="shared" si="69"/>
        <v>0</v>
      </c>
      <c r="AT97" s="936">
        <f t="shared" si="70"/>
        <v>0</v>
      </c>
      <c r="AU97" s="936">
        <f t="shared" si="71"/>
        <v>0</v>
      </c>
      <c r="AV97" s="936">
        <f t="shared" si="72"/>
        <v>0</v>
      </c>
      <c r="AW97" s="936">
        <f t="shared" si="73"/>
        <v>0</v>
      </c>
      <c r="AX97" s="936">
        <f t="shared" si="74"/>
        <v>0</v>
      </c>
      <c r="AY97" s="936">
        <f t="shared" si="75"/>
        <v>0</v>
      </c>
      <c r="AZ97" s="936">
        <f t="shared" si="76"/>
        <v>0</v>
      </c>
      <c r="BA97" s="936">
        <f t="shared" si="77"/>
        <v>0</v>
      </c>
      <c r="BB97" s="937">
        <f t="shared" si="78"/>
        <v>0</v>
      </c>
      <c r="BC97" s="938"/>
    </row>
    <row r="98" spans="2:55" s="934" customFormat="1" ht="15">
      <c r="B98" s="909">
        <v>2027</v>
      </c>
      <c r="C98" s="1218" t="s">
        <v>805</v>
      </c>
      <c r="D98" s="932">
        <v>0</v>
      </c>
      <c r="E98" s="932">
        <v>0</v>
      </c>
      <c r="F98" s="932">
        <v>0</v>
      </c>
      <c r="G98" s="932">
        <v>0</v>
      </c>
      <c r="H98" s="932">
        <v>0</v>
      </c>
      <c r="I98" s="932">
        <v>0</v>
      </c>
      <c r="J98" s="932">
        <v>0</v>
      </c>
      <c r="K98" s="932">
        <v>0</v>
      </c>
      <c r="L98" s="932">
        <v>0</v>
      </c>
      <c r="M98" s="932">
        <v>0</v>
      </c>
      <c r="N98" s="932">
        <v>0</v>
      </c>
      <c r="O98" s="932">
        <v>0</v>
      </c>
      <c r="P98" s="932">
        <v>0</v>
      </c>
      <c r="Q98" s="932">
        <v>0</v>
      </c>
      <c r="R98" s="932">
        <v>0</v>
      </c>
      <c r="S98" s="932">
        <v>0</v>
      </c>
      <c r="T98" s="932">
        <v>0</v>
      </c>
      <c r="U98" s="932">
        <v>0</v>
      </c>
      <c r="V98" s="932">
        <v>0</v>
      </c>
      <c r="W98" s="932">
        <v>0</v>
      </c>
      <c r="X98" s="932">
        <v>0</v>
      </c>
      <c r="Y98" s="932">
        <v>0</v>
      </c>
      <c r="Z98" s="932">
        <v>0</v>
      </c>
      <c r="AA98" s="932">
        <v>0</v>
      </c>
      <c r="AB98" s="933">
        <v>0</v>
      </c>
      <c r="AD98" s="935">
        <f t="shared" si="54"/>
        <v>0</v>
      </c>
      <c r="AE98" s="936">
        <f t="shared" si="55"/>
        <v>0</v>
      </c>
      <c r="AF98" s="936">
        <f t="shared" si="56"/>
        <v>0</v>
      </c>
      <c r="AG98" s="936">
        <f t="shared" si="57"/>
        <v>0</v>
      </c>
      <c r="AH98" s="936">
        <f t="shared" si="58"/>
        <v>0</v>
      </c>
      <c r="AI98" s="936">
        <f t="shared" si="59"/>
        <v>0</v>
      </c>
      <c r="AJ98" s="936">
        <f t="shared" si="60"/>
        <v>0</v>
      </c>
      <c r="AK98" s="936">
        <f t="shared" si="61"/>
        <v>0</v>
      </c>
      <c r="AL98" s="936">
        <f t="shared" si="62"/>
        <v>0</v>
      </c>
      <c r="AM98" s="936">
        <f t="shared" si="63"/>
        <v>0</v>
      </c>
      <c r="AN98" s="936">
        <f t="shared" si="64"/>
        <v>0</v>
      </c>
      <c r="AO98" s="936">
        <f t="shared" si="65"/>
        <v>0</v>
      </c>
      <c r="AP98" s="936">
        <f t="shared" si="66"/>
        <v>0</v>
      </c>
      <c r="AQ98" s="936">
        <f t="shared" si="67"/>
        <v>0</v>
      </c>
      <c r="AR98" s="936">
        <f t="shared" si="68"/>
        <v>0</v>
      </c>
      <c r="AS98" s="936">
        <f t="shared" si="69"/>
        <v>0</v>
      </c>
      <c r="AT98" s="936">
        <f t="shared" si="70"/>
        <v>0</v>
      </c>
      <c r="AU98" s="936">
        <f t="shared" si="71"/>
        <v>0</v>
      </c>
      <c r="AV98" s="936">
        <f t="shared" si="72"/>
        <v>0</v>
      </c>
      <c r="AW98" s="936">
        <f t="shared" si="73"/>
        <v>0</v>
      </c>
      <c r="AX98" s="936">
        <f t="shared" si="74"/>
        <v>0</v>
      </c>
      <c r="AY98" s="936">
        <f t="shared" si="75"/>
        <v>0</v>
      </c>
      <c r="AZ98" s="936">
        <f t="shared" si="76"/>
        <v>0</v>
      </c>
      <c r="BA98" s="936">
        <f t="shared" si="77"/>
        <v>0</v>
      </c>
      <c r="BB98" s="937">
        <f t="shared" si="78"/>
        <v>0</v>
      </c>
      <c r="BC98" s="938"/>
    </row>
    <row r="99" spans="2:55" s="934" customFormat="1" ht="15">
      <c r="B99" s="909">
        <v>2028</v>
      </c>
      <c r="C99" s="1218" t="s">
        <v>806</v>
      </c>
      <c r="D99" s="932">
        <v>0</v>
      </c>
      <c r="E99" s="932">
        <v>0</v>
      </c>
      <c r="F99" s="932">
        <v>0</v>
      </c>
      <c r="G99" s="932">
        <v>0</v>
      </c>
      <c r="H99" s="932">
        <v>0</v>
      </c>
      <c r="I99" s="932">
        <v>0</v>
      </c>
      <c r="J99" s="932">
        <v>0</v>
      </c>
      <c r="K99" s="932">
        <v>0</v>
      </c>
      <c r="L99" s="932">
        <v>0</v>
      </c>
      <c r="M99" s="932">
        <v>0</v>
      </c>
      <c r="N99" s="932">
        <v>0</v>
      </c>
      <c r="O99" s="932">
        <v>0</v>
      </c>
      <c r="P99" s="932">
        <v>0</v>
      </c>
      <c r="Q99" s="932">
        <v>0</v>
      </c>
      <c r="R99" s="932">
        <v>0</v>
      </c>
      <c r="S99" s="932">
        <v>0</v>
      </c>
      <c r="T99" s="932">
        <v>0</v>
      </c>
      <c r="U99" s="932">
        <v>0</v>
      </c>
      <c r="V99" s="932">
        <v>0</v>
      </c>
      <c r="W99" s="932">
        <v>0</v>
      </c>
      <c r="X99" s="932">
        <v>0</v>
      </c>
      <c r="Y99" s="932">
        <v>0</v>
      </c>
      <c r="Z99" s="932">
        <v>0</v>
      </c>
      <c r="AA99" s="932">
        <v>0</v>
      </c>
      <c r="AB99" s="933">
        <v>0</v>
      </c>
      <c r="AD99" s="935">
        <f t="shared" si="54"/>
        <v>0</v>
      </c>
      <c r="AE99" s="936">
        <f t="shared" si="55"/>
        <v>0</v>
      </c>
      <c r="AF99" s="936">
        <f t="shared" si="56"/>
        <v>0</v>
      </c>
      <c r="AG99" s="936">
        <f t="shared" si="57"/>
        <v>0</v>
      </c>
      <c r="AH99" s="936">
        <f t="shared" si="58"/>
        <v>0</v>
      </c>
      <c r="AI99" s="936">
        <f t="shared" si="59"/>
        <v>0</v>
      </c>
      <c r="AJ99" s="936">
        <f t="shared" si="60"/>
        <v>0</v>
      </c>
      <c r="AK99" s="936">
        <f t="shared" si="61"/>
        <v>0</v>
      </c>
      <c r="AL99" s="936">
        <f t="shared" si="62"/>
        <v>0</v>
      </c>
      <c r="AM99" s="936">
        <f t="shared" si="63"/>
        <v>0</v>
      </c>
      <c r="AN99" s="936">
        <f t="shared" si="64"/>
        <v>0</v>
      </c>
      <c r="AO99" s="936">
        <f t="shared" si="65"/>
        <v>0</v>
      </c>
      <c r="AP99" s="936">
        <f t="shared" si="66"/>
        <v>0</v>
      </c>
      <c r="AQ99" s="936">
        <f t="shared" si="67"/>
        <v>0</v>
      </c>
      <c r="AR99" s="936">
        <f t="shared" si="68"/>
        <v>0</v>
      </c>
      <c r="AS99" s="936">
        <f t="shared" si="69"/>
        <v>0</v>
      </c>
      <c r="AT99" s="936">
        <f t="shared" si="70"/>
        <v>0</v>
      </c>
      <c r="AU99" s="936">
        <f t="shared" si="71"/>
        <v>0</v>
      </c>
      <c r="AV99" s="936">
        <f t="shared" si="72"/>
        <v>0</v>
      </c>
      <c r="AW99" s="936">
        <f t="shared" si="73"/>
        <v>0</v>
      </c>
      <c r="AX99" s="936">
        <f t="shared" si="74"/>
        <v>0</v>
      </c>
      <c r="AY99" s="936">
        <f t="shared" si="75"/>
        <v>0</v>
      </c>
      <c r="AZ99" s="936">
        <f t="shared" si="76"/>
        <v>0</v>
      </c>
      <c r="BA99" s="936">
        <f t="shared" si="77"/>
        <v>0</v>
      </c>
      <c r="BB99" s="937">
        <f t="shared" si="78"/>
        <v>0</v>
      </c>
      <c r="BC99" s="938"/>
    </row>
    <row r="100" spans="2:55" s="934" customFormat="1" ht="15">
      <c r="B100" s="909">
        <v>2029</v>
      </c>
      <c r="C100" s="1218" t="s">
        <v>807</v>
      </c>
      <c r="D100" s="932">
        <v>0</v>
      </c>
      <c r="E100" s="932">
        <v>0</v>
      </c>
      <c r="F100" s="932">
        <v>0</v>
      </c>
      <c r="G100" s="932">
        <v>0</v>
      </c>
      <c r="H100" s="932">
        <v>0</v>
      </c>
      <c r="I100" s="932">
        <v>0</v>
      </c>
      <c r="J100" s="932">
        <v>0</v>
      </c>
      <c r="K100" s="932">
        <v>0</v>
      </c>
      <c r="L100" s="932">
        <v>0</v>
      </c>
      <c r="M100" s="932">
        <v>0</v>
      </c>
      <c r="N100" s="932">
        <v>0</v>
      </c>
      <c r="O100" s="932">
        <v>0</v>
      </c>
      <c r="P100" s="932">
        <v>0</v>
      </c>
      <c r="Q100" s="932">
        <v>0</v>
      </c>
      <c r="R100" s="932">
        <v>0</v>
      </c>
      <c r="S100" s="932">
        <v>0</v>
      </c>
      <c r="T100" s="932">
        <v>0</v>
      </c>
      <c r="U100" s="932">
        <v>0</v>
      </c>
      <c r="V100" s="932">
        <v>0</v>
      </c>
      <c r="W100" s="932">
        <v>0</v>
      </c>
      <c r="X100" s="932">
        <v>0</v>
      </c>
      <c r="Y100" s="932">
        <v>0</v>
      </c>
      <c r="Z100" s="932">
        <v>0</v>
      </c>
      <c r="AA100" s="932">
        <v>0</v>
      </c>
      <c r="AB100" s="933">
        <v>0</v>
      </c>
      <c r="AD100" s="935">
        <f t="shared" si="54"/>
        <v>0</v>
      </c>
      <c r="AE100" s="936">
        <f t="shared" si="55"/>
        <v>0</v>
      </c>
      <c r="AF100" s="936">
        <f t="shared" si="56"/>
        <v>0</v>
      </c>
      <c r="AG100" s="936">
        <f t="shared" si="57"/>
        <v>0</v>
      </c>
      <c r="AH100" s="936">
        <f t="shared" si="58"/>
        <v>0</v>
      </c>
      <c r="AI100" s="936">
        <f t="shared" si="59"/>
        <v>0</v>
      </c>
      <c r="AJ100" s="936">
        <f t="shared" si="60"/>
        <v>0</v>
      </c>
      <c r="AK100" s="936">
        <f t="shared" si="61"/>
        <v>0</v>
      </c>
      <c r="AL100" s="936">
        <f t="shared" si="62"/>
        <v>0</v>
      </c>
      <c r="AM100" s="936">
        <f t="shared" si="63"/>
        <v>0</v>
      </c>
      <c r="AN100" s="936">
        <f t="shared" si="64"/>
        <v>0</v>
      </c>
      <c r="AO100" s="936">
        <f t="shared" si="65"/>
        <v>0</v>
      </c>
      <c r="AP100" s="936">
        <f t="shared" si="66"/>
        <v>0</v>
      </c>
      <c r="AQ100" s="936">
        <f t="shared" si="67"/>
        <v>0</v>
      </c>
      <c r="AR100" s="936">
        <f t="shared" si="68"/>
        <v>0</v>
      </c>
      <c r="AS100" s="936">
        <f t="shared" si="69"/>
        <v>0</v>
      </c>
      <c r="AT100" s="936">
        <f t="shared" si="70"/>
        <v>0</v>
      </c>
      <c r="AU100" s="936">
        <f t="shared" si="71"/>
        <v>0</v>
      </c>
      <c r="AV100" s="936">
        <f t="shared" si="72"/>
        <v>0</v>
      </c>
      <c r="AW100" s="936">
        <f t="shared" si="73"/>
        <v>0</v>
      </c>
      <c r="AX100" s="936">
        <f t="shared" si="74"/>
        <v>0</v>
      </c>
      <c r="AY100" s="936">
        <f t="shared" si="75"/>
        <v>0</v>
      </c>
      <c r="AZ100" s="936">
        <f t="shared" si="76"/>
        <v>0</v>
      </c>
      <c r="BA100" s="936">
        <f t="shared" si="77"/>
        <v>0</v>
      </c>
      <c r="BB100" s="937">
        <f t="shared" si="78"/>
        <v>0</v>
      </c>
      <c r="BC100" s="938"/>
    </row>
    <row r="101" spans="2:55" s="934" customFormat="1" ht="15">
      <c r="B101" s="909">
        <v>2030</v>
      </c>
      <c r="C101" s="1218" t="s">
        <v>808</v>
      </c>
      <c r="D101" s="932">
        <v>14.031200974231945</v>
      </c>
      <c r="E101" s="932">
        <v>14.031200974231945</v>
      </c>
      <c r="F101" s="932">
        <v>14.031200974231945</v>
      </c>
      <c r="G101" s="932">
        <v>14.031200974231945</v>
      </c>
      <c r="H101" s="932">
        <v>14.031200974231945</v>
      </c>
      <c r="I101" s="932">
        <v>14.031200974231945</v>
      </c>
      <c r="J101" s="932">
        <v>14.031200974231945</v>
      </c>
      <c r="K101" s="932">
        <v>14.031200974231945</v>
      </c>
      <c r="L101" s="932">
        <v>14.031200974231945</v>
      </c>
      <c r="M101" s="932">
        <v>14.031200974231945</v>
      </c>
      <c r="N101" s="932">
        <v>14.031200974231945</v>
      </c>
      <c r="O101" s="932">
        <v>14.031200974231945</v>
      </c>
      <c r="P101" s="932">
        <v>14.031200974231945</v>
      </c>
      <c r="Q101" s="932">
        <v>14.031200974231945</v>
      </c>
      <c r="R101" s="932">
        <v>14.031200974231945</v>
      </c>
      <c r="S101" s="932">
        <v>14.031200974231945</v>
      </c>
      <c r="T101" s="932">
        <v>14.031200974231945</v>
      </c>
      <c r="U101" s="932">
        <v>14.031200974231945</v>
      </c>
      <c r="V101" s="932">
        <v>14.031200974231945</v>
      </c>
      <c r="W101" s="932">
        <v>14.031200974231945</v>
      </c>
      <c r="X101" s="932">
        <v>14.031200974231945</v>
      </c>
      <c r="Y101" s="932">
        <v>14.031200974231945</v>
      </c>
      <c r="Z101" s="932">
        <v>14.031200974231945</v>
      </c>
      <c r="AA101" s="932">
        <v>14.031200974231945</v>
      </c>
      <c r="AB101" s="933">
        <v>14.031200974231945</v>
      </c>
      <c r="AD101" s="935">
        <f t="shared" si="54"/>
        <v>22.444485170457931</v>
      </c>
      <c r="AE101" s="936">
        <f t="shared" si="55"/>
        <v>22.444485170457931</v>
      </c>
      <c r="AF101" s="936">
        <f t="shared" si="56"/>
        <v>22.444485170457931</v>
      </c>
      <c r="AG101" s="936">
        <f t="shared" si="57"/>
        <v>22.444485170457931</v>
      </c>
      <c r="AH101" s="936">
        <f t="shared" si="58"/>
        <v>22.444485170457931</v>
      </c>
      <c r="AI101" s="936">
        <f t="shared" si="59"/>
        <v>22.444485170457931</v>
      </c>
      <c r="AJ101" s="936">
        <f t="shared" si="60"/>
        <v>22.444485170457931</v>
      </c>
      <c r="AK101" s="936">
        <f t="shared" si="61"/>
        <v>22.444485170457931</v>
      </c>
      <c r="AL101" s="936">
        <f t="shared" si="62"/>
        <v>22.444485170457931</v>
      </c>
      <c r="AM101" s="936">
        <f t="shared" si="63"/>
        <v>22.444485170457931</v>
      </c>
      <c r="AN101" s="936">
        <f t="shared" si="64"/>
        <v>22.444485170457931</v>
      </c>
      <c r="AO101" s="936">
        <f t="shared" si="65"/>
        <v>22.444485170457931</v>
      </c>
      <c r="AP101" s="936">
        <f t="shared" si="66"/>
        <v>22.444485170457931</v>
      </c>
      <c r="AQ101" s="936">
        <f t="shared" si="67"/>
        <v>22.444485170457931</v>
      </c>
      <c r="AR101" s="936">
        <f t="shared" si="68"/>
        <v>22.444485170457931</v>
      </c>
      <c r="AS101" s="936">
        <f t="shared" si="69"/>
        <v>22.444485170457931</v>
      </c>
      <c r="AT101" s="936">
        <f t="shared" si="70"/>
        <v>22.444485170457931</v>
      </c>
      <c r="AU101" s="936">
        <f t="shared" si="71"/>
        <v>22.444485170457931</v>
      </c>
      <c r="AV101" s="936">
        <f t="shared" si="72"/>
        <v>22.444485170457931</v>
      </c>
      <c r="AW101" s="936">
        <f t="shared" si="73"/>
        <v>22.444485170457931</v>
      </c>
      <c r="AX101" s="936">
        <f t="shared" si="74"/>
        <v>22.444485170457931</v>
      </c>
      <c r="AY101" s="936">
        <f t="shared" si="75"/>
        <v>22.444485170457931</v>
      </c>
      <c r="AZ101" s="936">
        <f t="shared" si="76"/>
        <v>22.444485170457931</v>
      </c>
      <c r="BA101" s="936">
        <f t="shared" si="77"/>
        <v>22.444485170457931</v>
      </c>
      <c r="BB101" s="937">
        <f t="shared" si="78"/>
        <v>22.444485170457931</v>
      </c>
      <c r="BC101" s="938"/>
    </row>
    <row r="102" spans="2:55" s="934" customFormat="1" ht="15">
      <c r="B102" s="909">
        <v>2031</v>
      </c>
      <c r="C102" s="1218" t="s">
        <v>809</v>
      </c>
      <c r="D102" s="932">
        <v>10.047972676677009</v>
      </c>
      <c r="E102" s="932">
        <v>25.119931691692521</v>
      </c>
      <c r="F102" s="932">
        <v>25.119931691692521</v>
      </c>
      <c r="G102" s="932">
        <v>25.119931691692521</v>
      </c>
      <c r="H102" s="932">
        <v>25.119931691692521</v>
      </c>
      <c r="I102" s="932">
        <v>25.119931691692521</v>
      </c>
      <c r="J102" s="932">
        <v>25.119931691692521</v>
      </c>
      <c r="K102" s="932">
        <v>25.119931691692521</v>
      </c>
      <c r="L102" s="932">
        <v>25.119931691692521</v>
      </c>
      <c r="M102" s="932">
        <v>25.119931691692521</v>
      </c>
      <c r="N102" s="932">
        <v>25.119931691692521</v>
      </c>
      <c r="O102" s="932">
        <v>25.119931691692521</v>
      </c>
      <c r="P102" s="932">
        <v>25.119931691692521</v>
      </c>
      <c r="Q102" s="932">
        <v>25.119931691692521</v>
      </c>
      <c r="R102" s="932">
        <v>25.119931691692521</v>
      </c>
      <c r="S102" s="932">
        <v>25.119931691692521</v>
      </c>
      <c r="T102" s="932">
        <v>25.119931691692521</v>
      </c>
      <c r="U102" s="932">
        <v>25.119931691692521</v>
      </c>
      <c r="V102" s="932">
        <v>25.119931691692521</v>
      </c>
      <c r="W102" s="932">
        <v>25.119931691692521</v>
      </c>
      <c r="X102" s="932">
        <v>25.119931691692521</v>
      </c>
      <c r="Y102" s="932">
        <v>25.119931691692521</v>
      </c>
      <c r="Z102" s="932">
        <v>25.119931691692521</v>
      </c>
      <c r="AA102" s="932">
        <v>25.119931691692521</v>
      </c>
      <c r="AB102" s="933">
        <v>25.119931691692521</v>
      </c>
      <c r="AD102" s="935">
        <f t="shared" si="54"/>
        <v>16.072863196030763</v>
      </c>
      <c r="AE102" s="936">
        <f t="shared" si="55"/>
        <v>40.182157990076902</v>
      </c>
      <c r="AF102" s="936">
        <f t="shared" si="56"/>
        <v>40.182157990076902</v>
      </c>
      <c r="AG102" s="936">
        <f t="shared" si="57"/>
        <v>40.182157990076902</v>
      </c>
      <c r="AH102" s="936">
        <f t="shared" si="58"/>
        <v>40.182157990076902</v>
      </c>
      <c r="AI102" s="936">
        <f t="shared" si="59"/>
        <v>40.182157990076902</v>
      </c>
      <c r="AJ102" s="936">
        <f t="shared" si="60"/>
        <v>40.182157990076902</v>
      </c>
      <c r="AK102" s="936">
        <f t="shared" si="61"/>
        <v>40.182157990076902</v>
      </c>
      <c r="AL102" s="936">
        <f t="shared" si="62"/>
        <v>40.182157990076902</v>
      </c>
      <c r="AM102" s="936">
        <f t="shared" si="63"/>
        <v>40.182157990076902</v>
      </c>
      <c r="AN102" s="936">
        <f t="shared" si="64"/>
        <v>40.182157990076902</v>
      </c>
      <c r="AO102" s="936">
        <f t="shared" si="65"/>
        <v>40.182157990076902</v>
      </c>
      <c r="AP102" s="936">
        <f t="shared" si="66"/>
        <v>40.182157990076902</v>
      </c>
      <c r="AQ102" s="936">
        <f t="shared" si="67"/>
        <v>40.182157990076902</v>
      </c>
      <c r="AR102" s="936">
        <f t="shared" si="68"/>
        <v>40.182157990076902</v>
      </c>
      <c r="AS102" s="936">
        <f t="shared" si="69"/>
        <v>40.182157990076902</v>
      </c>
      <c r="AT102" s="936">
        <f t="shared" si="70"/>
        <v>40.182157990076902</v>
      </c>
      <c r="AU102" s="936">
        <f t="shared" si="71"/>
        <v>40.182157990076902</v>
      </c>
      <c r="AV102" s="936">
        <f t="shared" si="72"/>
        <v>40.182157990076902</v>
      </c>
      <c r="AW102" s="936">
        <f t="shared" si="73"/>
        <v>40.182157990076902</v>
      </c>
      <c r="AX102" s="936">
        <f t="shared" si="74"/>
        <v>40.182157990076902</v>
      </c>
      <c r="AY102" s="936">
        <f t="shared" si="75"/>
        <v>40.182157990076902</v>
      </c>
      <c r="AZ102" s="936">
        <f t="shared" si="76"/>
        <v>40.182157990076902</v>
      </c>
      <c r="BA102" s="936">
        <f t="shared" si="77"/>
        <v>40.182157990076902</v>
      </c>
      <c r="BB102" s="937">
        <f t="shared" si="78"/>
        <v>40.182157990076902</v>
      </c>
      <c r="BC102" s="938"/>
    </row>
    <row r="103" spans="2:55" s="934" customFormat="1" ht="15">
      <c r="B103" s="909">
        <v>2032</v>
      </c>
      <c r="C103" s="1218" t="s">
        <v>810</v>
      </c>
      <c r="D103" s="932">
        <v>10.675641123967834</v>
      </c>
      <c r="E103" s="932">
        <v>21.351282247935668</v>
      </c>
      <c r="F103" s="932">
        <v>37.364743933887411</v>
      </c>
      <c r="G103" s="932">
        <v>37.364743933887411</v>
      </c>
      <c r="H103" s="932">
        <v>37.364743933887411</v>
      </c>
      <c r="I103" s="932">
        <v>37.364743933887411</v>
      </c>
      <c r="J103" s="932">
        <v>37.364743933887411</v>
      </c>
      <c r="K103" s="932">
        <v>37.364743933887411</v>
      </c>
      <c r="L103" s="932">
        <v>37.364743933887411</v>
      </c>
      <c r="M103" s="932">
        <v>37.364743933887411</v>
      </c>
      <c r="N103" s="932">
        <v>37.364743933887411</v>
      </c>
      <c r="O103" s="932">
        <v>37.364743933887411</v>
      </c>
      <c r="P103" s="932">
        <v>37.364743933887411</v>
      </c>
      <c r="Q103" s="932">
        <v>37.364743933887411</v>
      </c>
      <c r="R103" s="932">
        <v>37.364743933887411</v>
      </c>
      <c r="S103" s="932">
        <v>37.364743933887411</v>
      </c>
      <c r="T103" s="932">
        <v>37.364743933887411</v>
      </c>
      <c r="U103" s="932">
        <v>37.364743933887411</v>
      </c>
      <c r="V103" s="932">
        <v>37.364743933887411</v>
      </c>
      <c r="W103" s="932">
        <v>37.364743933887411</v>
      </c>
      <c r="X103" s="932">
        <v>37.364743933887411</v>
      </c>
      <c r="Y103" s="932">
        <v>37.364743933887411</v>
      </c>
      <c r="Z103" s="932">
        <v>37.364743933887411</v>
      </c>
      <c r="AA103" s="932">
        <v>37.364743933887411</v>
      </c>
      <c r="AB103" s="933">
        <v>37.364743933887411</v>
      </c>
      <c r="AD103" s="935">
        <f t="shared" si="54"/>
        <v>17.076889521578735</v>
      </c>
      <c r="AE103" s="936">
        <f t="shared" si="55"/>
        <v>34.153779043157471</v>
      </c>
      <c r="AF103" s="936">
        <f t="shared" si="56"/>
        <v>59.769113325525574</v>
      </c>
      <c r="AG103" s="936">
        <f t="shared" si="57"/>
        <v>59.769113325525574</v>
      </c>
      <c r="AH103" s="936">
        <f t="shared" si="58"/>
        <v>59.769113325525574</v>
      </c>
      <c r="AI103" s="936">
        <f t="shared" si="59"/>
        <v>59.769113325525574</v>
      </c>
      <c r="AJ103" s="936">
        <f t="shared" si="60"/>
        <v>59.769113325525574</v>
      </c>
      <c r="AK103" s="936">
        <f t="shared" si="61"/>
        <v>59.769113325525574</v>
      </c>
      <c r="AL103" s="936">
        <f t="shared" si="62"/>
        <v>59.769113325525574</v>
      </c>
      <c r="AM103" s="936">
        <f t="shared" si="63"/>
        <v>59.769113325525574</v>
      </c>
      <c r="AN103" s="936">
        <f t="shared" si="64"/>
        <v>59.769113325525574</v>
      </c>
      <c r="AO103" s="936">
        <f t="shared" si="65"/>
        <v>59.769113325525574</v>
      </c>
      <c r="AP103" s="936">
        <f t="shared" si="66"/>
        <v>59.769113325525574</v>
      </c>
      <c r="AQ103" s="936">
        <f t="shared" si="67"/>
        <v>59.769113325525574</v>
      </c>
      <c r="AR103" s="936">
        <f t="shared" si="68"/>
        <v>59.769113325525574</v>
      </c>
      <c r="AS103" s="936">
        <f t="shared" si="69"/>
        <v>59.769113325525574</v>
      </c>
      <c r="AT103" s="936">
        <f t="shared" si="70"/>
        <v>59.769113325525574</v>
      </c>
      <c r="AU103" s="936">
        <f t="shared" si="71"/>
        <v>59.769113325525574</v>
      </c>
      <c r="AV103" s="936">
        <f t="shared" si="72"/>
        <v>59.769113325525574</v>
      </c>
      <c r="AW103" s="936">
        <f t="shared" si="73"/>
        <v>59.769113325525574</v>
      </c>
      <c r="AX103" s="936">
        <f t="shared" si="74"/>
        <v>59.769113325525574</v>
      </c>
      <c r="AY103" s="936">
        <f t="shared" si="75"/>
        <v>59.769113325525574</v>
      </c>
      <c r="AZ103" s="936">
        <f t="shared" si="76"/>
        <v>59.769113325525574</v>
      </c>
      <c r="BA103" s="936">
        <f t="shared" si="77"/>
        <v>59.769113325525574</v>
      </c>
      <c r="BB103" s="937">
        <f t="shared" si="78"/>
        <v>59.769113325525574</v>
      </c>
      <c r="BC103" s="938"/>
    </row>
    <row r="104" spans="2:55" s="934" customFormat="1" ht="15">
      <c r="B104" s="909">
        <v>2033</v>
      </c>
      <c r="C104" s="1218" t="s">
        <v>811</v>
      </c>
      <c r="D104" s="932">
        <v>10.56635126414575</v>
      </c>
      <c r="E104" s="932">
        <v>21.1327025282915</v>
      </c>
      <c r="F104" s="932">
        <v>31.699053792437251</v>
      </c>
      <c r="G104" s="932">
        <v>47.548580688655868</v>
      </c>
      <c r="H104" s="932">
        <v>47.548580688655868</v>
      </c>
      <c r="I104" s="932">
        <v>47.548580688655868</v>
      </c>
      <c r="J104" s="932">
        <v>47.548580688655868</v>
      </c>
      <c r="K104" s="932">
        <v>47.548580688655868</v>
      </c>
      <c r="L104" s="932">
        <v>47.548580688655868</v>
      </c>
      <c r="M104" s="932">
        <v>47.548580688655868</v>
      </c>
      <c r="N104" s="932">
        <v>47.548580688655868</v>
      </c>
      <c r="O104" s="932">
        <v>47.548580688655868</v>
      </c>
      <c r="P104" s="932">
        <v>47.548580688655868</v>
      </c>
      <c r="Q104" s="932">
        <v>47.548580688655868</v>
      </c>
      <c r="R104" s="932">
        <v>47.548580688655868</v>
      </c>
      <c r="S104" s="932">
        <v>47.548580688655868</v>
      </c>
      <c r="T104" s="932">
        <v>47.548580688655868</v>
      </c>
      <c r="U104" s="932">
        <v>47.548580688655868</v>
      </c>
      <c r="V104" s="932">
        <v>47.548580688655868</v>
      </c>
      <c r="W104" s="932">
        <v>47.548580688655868</v>
      </c>
      <c r="X104" s="932">
        <v>47.548580688655868</v>
      </c>
      <c r="Y104" s="932">
        <v>47.548580688655868</v>
      </c>
      <c r="Z104" s="932">
        <v>47.548580688655868</v>
      </c>
      <c r="AA104" s="932">
        <v>47.548580688655868</v>
      </c>
      <c r="AB104" s="933">
        <v>47.548580688655868</v>
      </c>
      <c r="AD104" s="935">
        <f t="shared" si="54"/>
        <v>16.902068090215664</v>
      </c>
      <c r="AE104" s="936">
        <f t="shared" si="55"/>
        <v>33.804136180431328</v>
      </c>
      <c r="AF104" s="936">
        <f t="shared" si="56"/>
        <v>50.706204270646992</v>
      </c>
      <c r="AG104" s="936">
        <f t="shared" si="57"/>
        <v>76.059306405970474</v>
      </c>
      <c r="AH104" s="936">
        <f t="shared" si="58"/>
        <v>76.059306405970474</v>
      </c>
      <c r="AI104" s="936">
        <f t="shared" si="59"/>
        <v>76.059306405970474</v>
      </c>
      <c r="AJ104" s="936">
        <f t="shared" si="60"/>
        <v>76.059306405970474</v>
      </c>
      <c r="AK104" s="936">
        <f t="shared" si="61"/>
        <v>76.059306405970474</v>
      </c>
      <c r="AL104" s="936">
        <f t="shared" si="62"/>
        <v>76.059306405970474</v>
      </c>
      <c r="AM104" s="936">
        <f t="shared" si="63"/>
        <v>76.059306405970474</v>
      </c>
      <c r="AN104" s="936">
        <f t="shared" si="64"/>
        <v>76.059306405970474</v>
      </c>
      <c r="AO104" s="936">
        <f t="shared" si="65"/>
        <v>76.059306405970474</v>
      </c>
      <c r="AP104" s="936">
        <f t="shared" si="66"/>
        <v>76.059306405970474</v>
      </c>
      <c r="AQ104" s="936">
        <f t="shared" si="67"/>
        <v>76.059306405970474</v>
      </c>
      <c r="AR104" s="936">
        <f t="shared" si="68"/>
        <v>76.059306405970474</v>
      </c>
      <c r="AS104" s="936">
        <f t="shared" si="69"/>
        <v>76.059306405970474</v>
      </c>
      <c r="AT104" s="936">
        <f t="shared" si="70"/>
        <v>76.059306405970474</v>
      </c>
      <c r="AU104" s="936">
        <f t="shared" si="71"/>
        <v>76.059306405970474</v>
      </c>
      <c r="AV104" s="936">
        <f t="shared" si="72"/>
        <v>76.059306405970474</v>
      </c>
      <c r="AW104" s="936">
        <f t="shared" si="73"/>
        <v>76.059306405970474</v>
      </c>
      <c r="AX104" s="936">
        <f t="shared" si="74"/>
        <v>76.059306405970474</v>
      </c>
      <c r="AY104" s="936">
        <f t="shared" si="75"/>
        <v>76.059306405970474</v>
      </c>
      <c r="AZ104" s="936">
        <f t="shared" si="76"/>
        <v>76.059306405970474</v>
      </c>
      <c r="BA104" s="936">
        <f t="shared" si="77"/>
        <v>76.059306405970474</v>
      </c>
      <c r="BB104" s="937">
        <f t="shared" si="78"/>
        <v>76.059306405970474</v>
      </c>
      <c r="BC104" s="938"/>
    </row>
    <row r="105" spans="2:55" s="934" customFormat="1" ht="15">
      <c r="B105" s="909">
        <v>2034</v>
      </c>
      <c r="C105" s="1218" t="s">
        <v>812</v>
      </c>
      <c r="D105" s="932">
        <v>6.3899798995800197</v>
      </c>
      <c r="E105" s="932">
        <v>19.169939698740059</v>
      </c>
      <c r="F105" s="932">
        <v>31.949899497900095</v>
      </c>
      <c r="G105" s="932">
        <v>44.729859297060138</v>
      </c>
      <c r="H105" s="932">
        <v>63.899798995800182</v>
      </c>
      <c r="I105" s="932">
        <v>63.899798995800182</v>
      </c>
      <c r="J105" s="932">
        <v>63.899798995800182</v>
      </c>
      <c r="K105" s="932">
        <v>63.899798995800182</v>
      </c>
      <c r="L105" s="932">
        <v>63.899798995800182</v>
      </c>
      <c r="M105" s="932">
        <v>63.899798995800182</v>
      </c>
      <c r="N105" s="932">
        <v>63.899798995800182</v>
      </c>
      <c r="O105" s="932">
        <v>63.899798995800182</v>
      </c>
      <c r="P105" s="932">
        <v>63.899798995800182</v>
      </c>
      <c r="Q105" s="932">
        <v>63.899798995800182</v>
      </c>
      <c r="R105" s="932">
        <v>63.899798995800182</v>
      </c>
      <c r="S105" s="932">
        <v>63.899798995800182</v>
      </c>
      <c r="T105" s="932">
        <v>63.899798995800182</v>
      </c>
      <c r="U105" s="932">
        <v>63.899798995800182</v>
      </c>
      <c r="V105" s="932">
        <v>63.899798995800182</v>
      </c>
      <c r="W105" s="932">
        <v>63.899798995800182</v>
      </c>
      <c r="X105" s="932">
        <v>63.899798995800182</v>
      </c>
      <c r="Y105" s="932">
        <v>63.899798995800182</v>
      </c>
      <c r="Z105" s="932">
        <v>63.899798995800182</v>
      </c>
      <c r="AA105" s="932">
        <v>63.899798995800182</v>
      </c>
      <c r="AB105" s="933">
        <v>63.899798995800182</v>
      </c>
      <c r="AD105" s="935">
        <f t="shared" si="54"/>
        <v>10.221492041845597</v>
      </c>
      <c r="AE105" s="936">
        <f t="shared" si="55"/>
        <v>30.664476125536787</v>
      </c>
      <c r="AF105" s="936">
        <f t="shared" si="56"/>
        <v>51.10746020922798</v>
      </c>
      <c r="AG105" s="936">
        <f t="shared" si="57"/>
        <v>71.550444292919167</v>
      </c>
      <c r="AH105" s="936">
        <f t="shared" si="58"/>
        <v>102.21492041845593</v>
      </c>
      <c r="AI105" s="936">
        <f t="shared" si="59"/>
        <v>102.21492041845593</v>
      </c>
      <c r="AJ105" s="936">
        <f t="shared" si="60"/>
        <v>102.21492041845593</v>
      </c>
      <c r="AK105" s="936">
        <f t="shared" si="61"/>
        <v>102.21492041845593</v>
      </c>
      <c r="AL105" s="936">
        <f t="shared" si="62"/>
        <v>102.21492041845593</v>
      </c>
      <c r="AM105" s="936">
        <f t="shared" si="63"/>
        <v>102.21492041845593</v>
      </c>
      <c r="AN105" s="936">
        <f t="shared" si="64"/>
        <v>102.21492041845593</v>
      </c>
      <c r="AO105" s="936">
        <f t="shared" si="65"/>
        <v>102.21492041845593</v>
      </c>
      <c r="AP105" s="936">
        <f t="shared" si="66"/>
        <v>102.21492041845593</v>
      </c>
      <c r="AQ105" s="936">
        <f t="shared" si="67"/>
        <v>102.21492041845593</v>
      </c>
      <c r="AR105" s="936">
        <f t="shared" si="68"/>
        <v>102.21492041845593</v>
      </c>
      <c r="AS105" s="936">
        <f t="shared" si="69"/>
        <v>102.21492041845593</v>
      </c>
      <c r="AT105" s="936">
        <f t="shared" si="70"/>
        <v>102.21492041845593</v>
      </c>
      <c r="AU105" s="936">
        <f t="shared" si="71"/>
        <v>102.21492041845593</v>
      </c>
      <c r="AV105" s="936">
        <f t="shared" si="72"/>
        <v>102.21492041845593</v>
      </c>
      <c r="AW105" s="936">
        <f t="shared" si="73"/>
        <v>102.21492041845593</v>
      </c>
      <c r="AX105" s="936">
        <f t="shared" si="74"/>
        <v>102.21492041845593</v>
      </c>
      <c r="AY105" s="936">
        <f t="shared" si="75"/>
        <v>102.21492041845593</v>
      </c>
      <c r="AZ105" s="936">
        <f t="shared" si="76"/>
        <v>102.21492041845593</v>
      </c>
      <c r="BA105" s="936">
        <f t="shared" si="77"/>
        <v>102.21492041845593</v>
      </c>
      <c r="BB105" s="937">
        <f t="shared" si="78"/>
        <v>102.21492041845593</v>
      </c>
      <c r="BC105" s="938"/>
    </row>
    <row r="106" spans="2:55" s="934" customFormat="1" ht="15">
      <c r="B106" s="909">
        <v>2035</v>
      </c>
      <c r="C106" s="1218" t="s">
        <v>813</v>
      </c>
      <c r="D106" s="932">
        <v>0</v>
      </c>
      <c r="E106" s="932">
        <v>5.0062161210880021</v>
      </c>
      <c r="F106" s="932">
        <v>15.018648363264008</v>
      </c>
      <c r="G106" s="932">
        <v>25.03108060544001</v>
      </c>
      <c r="H106" s="932">
        <v>35.043512847616014</v>
      </c>
      <c r="I106" s="932">
        <v>50.062161210880014</v>
      </c>
      <c r="J106" s="932">
        <v>50.062161210880014</v>
      </c>
      <c r="K106" s="932">
        <v>50.062161210880014</v>
      </c>
      <c r="L106" s="932">
        <v>50.062161210880014</v>
      </c>
      <c r="M106" s="932">
        <v>50.062161210880014</v>
      </c>
      <c r="N106" s="932">
        <v>50.062161210880014</v>
      </c>
      <c r="O106" s="932">
        <v>50.062161210880014</v>
      </c>
      <c r="P106" s="932">
        <v>50.062161210880014</v>
      </c>
      <c r="Q106" s="932">
        <v>50.062161210880014</v>
      </c>
      <c r="R106" s="932">
        <v>50.062161210880014</v>
      </c>
      <c r="S106" s="932">
        <v>50.062161210880014</v>
      </c>
      <c r="T106" s="932">
        <v>50.062161210880014</v>
      </c>
      <c r="U106" s="932">
        <v>50.062161210880014</v>
      </c>
      <c r="V106" s="932">
        <v>50.062161210880014</v>
      </c>
      <c r="W106" s="932">
        <v>50.062161210880014</v>
      </c>
      <c r="X106" s="932">
        <v>50.062161210880014</v>
      </c>
      <c r="Y106" s="932">
        <v>50.062161210880014</v>
      </c>
      <c r="Z106" s="932">
        <v>50.062161210880014</v>
      </c>
      <c r="AA106" s="932">
        <v>50.062161210880014</v>
      </c>
      <c r="AB106" s="933">
        <v>50.062161210880014</v>
      </c>
      <c r="AD106" s="935">
        <f t="shared" si="54"/>
        <v>0</v>
      </c>
      <c r="AE106" s="936">
        <f t="shared" si="55"/>
        <v>8.0080061354846119</v>
      </c>
      <c r="AF106" s="936">
        <f t="shared" si="56"/>
        <v>24.024018406453838</v>
      </c>
      <c r="AG106" s="936">
        <f t="shared" si="57"/>
        <v>40.040030677423061</v>
      </c>
      <c r="AH106" s="936">
        <f t="shared" si="58"/>
        <v>56.056042948392289</v>
      </c>
      <c r="AI106" s="936">
        <f t="shared" si="59"/>
        <v>80.080061354846123</v>
      </c>
      <c r="AJ106" s="936">
        <f t="shared" si="60"/>
        <v>80.080061354846123</v>
      </c>
      <c r="AK106" s="936">
        <f t="shared" si="61"/>
        <v>80.080061354846123</v>
      </c>
      <c r="AL106" s="936">
        <f t="shared" si="62"/>
        <v>80.080061354846123</v>
      </c>
      <c r="AM106" s="936">
        <f t="shared" si="63"/>
        <v>80.080061354846123</v>
      </c>
      <c r="AN106" s="936">
        <f t="shared" si="64"/>
        <v>80.080061354846123</v>
      </c>
      <c r="AO106" s="936">
        <f t="shared" si="65"/>
        <v>80.080061354846123</v>
      </c>
      <c r="AP106" s="936">
        <f t="shared" si="66"/>
        <v>80.080061354846123</v>
      </c>
      <c r="AQ106" s="936">
        <f t="shared" si="67"/>
        <v>80.080061354846123</v>
      </c>
      <c r="AR106" s="936">
        <f t="shared" si="68"/>
        <v>80.080061354846123</v>
      </c>
      <c r="AS106" s="936">
        <f t="shared" si="69"/>
        <v>80.080061354846123</v>
      </c>
      <c r="AT106" s="936">
        <f t="shared" si="70"/>
        <v>80.080061354846123</v>
      </c>
      <c r="AU106" s="936">
        <f t="shared" si="71"/>
        <v>80.080061354846123</v>
      </c>
      <c r="AV106" s="936">
        <f t="shared" si="72"/>
        <v>80.080061354846123</v>
      </c>
      <c r="AW106" s="936">
        <f t="shared" si="73"/>
        <v>80.080061354846123</v>
      </c>
      <c r="AX106" s="936">
        <f t="shared" si="74"/>
        <v>80.080061354846123</v>
      </c>
      <c r="AY106" s="936">
        <f t="shared" si="75"/>
        <v>80.080061354846123</v>
      </c>
      <c r="AZ106" s="936">
        <f t="shared" si="76"/>
        <v>80.080061354846123</v>
      </c>
      <c r="BA106" s="936">
        <f t="shared" si="77"/>
        <v>80.080061354846123</v>
      </c>
      <c r="BB106" s="937">
        <f t="shared" si="78"/>
        <v>80.080061354846123</v>
      </c>
      <c r="BC106" s="938"/>
    </row>
    <row r="107" spans="2:55" s="934" customFormat="1" ht="15">
      <c r="B107" s="909">
        <v>2036</v>
      </c>
      <c r="C107" s="1218" t="s">
        <v>814</v>
      </c>
      <c r="D107" s="932">
        <v>0</v>
      </c>
      <c r="E107" s="932">
        <v>0</v>
      </c>
      <c r="F107" s="932">
        <v>5.1628517693308797</v>
      </c>
      <c r="G107" s="932">
        <v>15.488555307992641</v>
      </c>
      <c r="H107" s="932">
        <v>25.814258846654397</v>
      </c>
      <c r="I107" s="932">
        <v>36.13996238531616</v>
      </c>
      <c r="J107" s="932">
        <v>51.628517693308787</v>
      </c>
      <c r="K107" s="932">
        <v>51.628517693308787</v>
      </c>
      <c r="L107" s="932">
        <v>51.628517693308787</v>
      </c>
      <c r="M107" s="932">
        <v>51.628517693308787</v>
      </c>
      <c r="N107" s="932">
        <v>51.628517693308787</v>
      </c>
      <c r="O107" s="932">
        <v>51.628517693308787</v>
      </c>
      <c r="P107" s="932">
        <v>51.628517693308787</v>
      </c>
      <c r="Q107" s="932">
        <v>51.628517693308787</v>
      </c>
      <c r="R107" s="932">
        <v>51.628517693308787</v>
      </c>
      <c r="S107" s="932">
        <v>51.628517693308787</v>
      </c>
      <c r="T107" s="932">
        <v>51.628517693308787</v>
      </c>
      <c r="U107" s="932">
        <v>51.628517693308787</v>
      </c>
      <c r="V107" s="932">
        <v>51.628517693308787</v>
      </c>
      <c r="W107" s="932">
        <v>51.628517693308787</v>
      </c>
      <c r="X107" s="932">
        <v>51.628517693308787</v>
      </c>
      <c r="Y107" s="932">
        <v>51.628517693308787</v>
      </c>
      <c r="Z107" s="932">
        <v>51.628517693308787</v>
      </c>
      <c r="AA107" s="932">
        <v>51.628517693308787</v>
      </c>
      <c r="AB107" s="933">
        <v>51.628517693308787</v>
      </c>
      <c r="AD107" s="935">
        <f t="shared" si="54"/>
        <v>0</v>
      </c>
      <c r="AE107" s="936">
        <f t="shared" si="55"/>
        <v>0</v>
      </c>
      <c r="AF107" s="936">
        <f t="shared" si="56"/>
        <v>8.2585624841969345</v>
      </c>
      <c r="AG107" s="936">
        <f t="shared" si="57"/>
        <v>24.775687452590805</v>
      </c>
      <c r="AH107" s="936">
        <f t="shared" si="58"/>
        <v>41.292812420984667</v>
      </c>
      <c r="AI107" s="936">
        <f t="shared" si="59"/>
        <v>57.80993738937854</v>
      </c>
      <c r="AJ107" s="936">
        <f t="shared" si="60"/>
        <v>82.585624841969334</v>
      </c>
      <c r="AK107" s="936">
        <f t="shared" si="61"/>
        <v>82.585624841969334</v>
      </c>
      <c r="AL107" s="936">
        <f t="shared" si="62"/>
        <v>82.585624841969334</v>
      </c>
      <c r="AM107" s="936">
        <f t="shared" si="63"/>
        <v>82.585624841969334</v>
      </c>
      <c r="AN107" s="936">
        <f t="shared" si="64"/>
        <v>82.585624841969334</v>
      </c>
      <c r="AO107" s="936">
        <f t="shared" si="65"/>
        <v>82.585624841969334</v>
      </c>
      <c r="AP107" s="936">
        <f t="shared" si="66"/>
        <v>82.585624841969334</v>
      </c>
      <c r="AQ107" s="936">
        <f t="shared" si="67"/>
        <v>82.585624841969334</v>
      </c>
      <c r="AR107" s="936">
        <f t="shared" si="68"/>
        <v>82.585624841969334</v>
      </c>
      <c r="AS107" s="936">
        <f t="shared" si="69"/>
        <v>82.585624841969334</v>
      </c>
      <c r="AT107" s="936">
        <f t="shared" si="70"/>
        <v>82.585624841969334</v>
      </c>
      <c r="AU107" s="936">
        <f t="shared" si="71"/>
        <v>82.585624841969334</v>
      </c>
      <c r="AV107" s="936">
        <f t="shared" si="72"/>
        <v>82.585624841969334</v>
      </c>
      <c r="AW107" s="936">
        <f t="shared" si="73"/>
        <v>82.585624841969334</v>
      </c>
      <c r="AX107" s="936">
        <f t="shared" si="74"/>
        <v>82.585624841969334</v>
      </c>
      <c r="AY107" s="936">
        <f t="shared" si="75"/>
        <v>82.585624841969334</v>
      </c>
      <c r="AZ107" s="936">
        <f t="shared" si="76"/>
        <v>82.585624841969334</v>
      </c>
      <c r="BA107" s="936">
        <f t="shared" si="77"/>
        <v>82.585624841969334</v>
      </c>
      <c r="BB107" s="937">
        <f t="shared" si="78"/>
        <v>82.585624841969334</v>
      </c>
      <c r="BC107" s="938"/>
    </row>
    <row r="108" spans="2:55" s="934" customFormat="1" ht="15">
      <c r="B108" s="909">
        <v>2037</v>
      </c>
      <c r="C108" s="1218" t="s">
        <v>815</v>
      </c>
      <c r="D108" s="932">
        <v>0</v>
      </c>
      <c r="E108" s="932">
        <v>0</v>
      </c>
      <c r="F108" s="932">
        <v>0</v>
      </c>
      <c r="G108" s="932">
        <v>5.324388269975457</v>
      </c>
      <c r="H108" s="932">
        <v>15.973164809926372</v>
      </c>
      <c r="I108" s="932">
        <v>26.621941349877282</v>
      </c>
      <c r="J108" s="932">
        <v>37.270717889828198</v>
      </c>
      <c r="K108" s="932">
        <v>53.243882699754558</v>
      </c>
      <c r="L108" s="932">
        <v>53.243882699754558</v>
      </c>
      <c r="M108" s="932">
        <v>53.243882699754558</v>
      </c>
      <c r="N108" s="932">
        <v>53.243882699754558</v>
      </c>
      <c r="O108" s="932">
        <v>53.243882699754558</v>
      </c>
      <c r="P108" s="932">
        <v>53.243882699754558</v>
      </c>
      <c r="Q108" s="932">
        <v>53.243882699754558</v>
      </c>
      <c r="R108" s="932">
        <v>53.243882699754558</v>
      </c>
      <c r="S108" s="932">
        <v>53.243882699754558</v>
      </c>
      <c r="T108" s="932">
        <v>53.243882699754558</v>
      </c>
      <c r="U108" s="932">
        <v>53.243882699754558</v>
      </c>
      <c r="V108" s="932">
        <v>53.243882699754558</v>
      </c>
      <c r="W108" s="932">
        <v>53.243882699754558</v>
      </c>
      <c r="X108" s="932">
        <v>53.243882699754558</v>
      </c>
      <c r="Y108" s="932">
        <v>53.243882699754558</v>
      </c>
      <c r="Z108" s="932">
        <v>53.243882699754558</v>
      </c>
      <c r="AA108" s="932">
        <v>53.243882699754558</v>
      </c>
      <c r="AB108" s="933">
        <v>53.243882699754558</v>
      </c>
      <c r="AD108" s="935">
        <f t="shared" si="54"/>
        <v>0</v>
      </c>
      <c r="AE108" s="936">
        <f t="shared" si="55"/>
        <v>0</v>
      </c>
      <c r="AF108" s="936">
        <f t="shared" si="56"/>
        <v>0</v>
      </c>
      <c r="AG108" s="936">
        <f t="shared" si="57"/>
        <v>8.5169582979168883</v>
      </c>
      <c r="AH108" s="936">
        <f t="shared" si="58"/>
        <v>25.550874893750663</v>
      </c>
      <c r="AI108" s="936">
        <f t="shared" si="59"/>
        <v>42.584791489584433</v>
      </c>
      <c r="AJ108" s="936">
        <f t="shared" si="60"/>
        <v>59.61870808541822</v>
      </c>
      <c r="AK108" s="936">
        <f t="shared" si="61"/>
        <v>85.169582979168865</v>
      </c>
      <c r="AL108" s="936">
        <f t="shared" si="62"/>
        <v>85.169582979168865</v>
      </c>
      <c r="AM108" s="936">
        <f t="shared" si="63"/>
        <v>85.169582979168865</v>
      </c>
      <c r="AN108" s="936">
        <f t="shared" si="64"/>
        <v>85.169582979168865</v>
      </c>
      <c r="AO108" s="936">
        <f t="shared" si="65"/>
        <v>85.169582979168865</v>
      </c>
      <c r="AP108" s="936">
        <f t="shared" si="66"/>
        <v>85.169582979168865</v>
      </c>
      <c r="AQ108" s="936">
        <f t="shared" si="67"/>
        <v>85.169582979168865</v>
      </c>
      <c r="AR108" s="936">
        <f t="shared" si="68"/>
        <v>85.169582979168865</v>
      </c>
      <c r="AS108" s="936">
        <f t="shared" si="69"/>
        <v>85.169582979168865</v>
      </c>
      <c r="AT108" s="936">
        <f t="shared" si="70"/>
        <v>85.169582979168865</v>
      </c>
      <c r="AU108" s="936">
        <f t="shared" si="71"/>
        <v>85.169582979168865</v>
      </c>
      <c r="AV108" s="936">
        <f t="shared" si="72"/>
        <v>85.169582979168865</v>
      </c>
      <c r="AW108" s="936">
        <f t="shared" si="73"/>
        <v>85.169582979168865</v>
      </c>
      <c r="AX108" s="936">
        <f t="shared" si="74"/>
        <v>85.169582979168865</v>
      </c>
      <c r="AY108" s="936">
        <f t="shared" si="75"/>
        <v>85.169582979168865</v>
      </c>
      <c r="AZ108" s="936">
        <f t="shared" si="76"/>
        <v>85.169582979168865</v>
      </c>
      <c r="BA108" s="936">
        <f t="shared" si="77"/>
        <v>85.169582979168865</v>
      </c>
      <c r="BB108" s="937">
        <f t="shared" si="78"/>
        <v>85.169582979168865</v>
      </c>
      <c r="BC108" s="938"/>
    </row>
    <row r="109" spans="2:55" s="934" customFormat="1" ht="15">
      <c r="B109" s="909">
        <v>2038</v>
      </c>
      <c r="C109" s="1218" t="s">
        <v>816</v>
      </c>
      <c r="D109" s="932">
        <v>0</v>
      </c>
      <c r="E109" s="932">
        <v>0</v>
      </c>
      <c r="F109" s="932">
        <v>0</v>
      </c>
      <c r="G109" s="932">
        <v>0</v>
      </c>
      <c r="H109" s="932">
        <v>5.4909789620255491</v>
      </c>
      <c r="I109" s="932">
        <v>16.472936886076649</v>
      </c>
      <c r="J109" s="932">
        <v>27.454894810127744</v>
      </c>
      <c r="K109" s="932">
        <v>38.436852734178842</v>
      </c>
      <c r="L109" s="932">
        <v>54.909789620255481</v>
      </c>
      <c r="M109" s="932">
        <v>54.909789620255481</v>
      </c>
      <c r="N109" s="932">
        <v>54.909789620255481</v>
      </c>
      <c r="O109" s="932">
        <v>54.909789620255481</v>
      </c>
      <c r="P109" s="932">
        <v>54.909789620255481</v>
      </c>
      <c r="Q109" s="932">
        <v>54.909789620255481</v>
      </c>
      <c r="R109" s="932">
        <v>54.909789620255481</v>
      </c>
      <c r="S109" s="932">
        <v>54.909789620255481</v>
      </c>
      <c r="T109" s="932">
        <v>54.909789620255481</v>
      </c>
      <c r="U109" s="932">
        <v>54.909789620255481</v>
      </c>
      <c r="V109" s="932">
        <v>54.909789620255481</v>
      </c>
      <c r="W109" s="932">
        <v>54.909789620255481</v>
      </c>
      <c r="X109" s="932">
        <v>54.909789620255481</v>
      </c>
      <c r="Y109" s="932">
        <v>54.909789620255481</v>
      </c>
      <c r="Z109" s="932">
        <v>54.909789620255481</v>
      </c>
      <c r="AA109" s="932">
        <v>54.909789620255481</v>
      </c>
      <c r="AB109" s="933">
        <v>54.909789620255481</v>
      </c>
      <c r="AD109" s="935">
        <f t="shared" si="54"/>
        <v>0</v>
      </c>
      <c r="AE109" s="936">
        <f t="shared" si="55"/>
        <v>0</v>
      </c>
      <c r="AF109" s="936">
        <f t="shared" si="56"/>
        <v>0</v>
      </c>
      <c r="AG109" s="936">
        <f t="shared" si="57"/>
        <v>0</v>
      </c>
      <c r="AH109" s="936">
        <f t="shared" si="58"/>
        <v>8.7834388596393875</v>
      </c>
      <c r="AI109" s="936">
        <f t="shared" si="59"/>
        <v>26.350316578918171</v>
      </c>
      <c r="AJ109" s="936">
        <f t="shared" si="60"/>
        <v>43.917194298196947</v>
      </c>
      <c r="AK109" s="936">
        <f t="shared" si="61"/>
        <v>61.484072017475725</v>
      </c>
      <c r="AL109" s="936">
        <f t="shared" si="62"/>
        <v>87.834388596393879</v>
      </c>
      <c r="AM109" s="936">
        <f t="shared" si="63"/>
        <v>87.834388596393879</v>
      </c>
      <c r="AN109" s="936">
        <f t="shared" si="64"/>
        <v>87.834388596393879</v>
      </c>
      <c r="AO109" s="936">
        <f t="shared" si="65"/>
        <v>87.834388596393879</v>
      </c>
      <c r="AP109" s="936">
        <f t="shared" si="66"/>
        <v>87.834388596393879</v>
      </c>
      <c r="AQ109" s="936">
        <f t="shared" si="67"/>
        <v>87.834388596393879</v>
      </c>
      <c r="AR109" s="936">
        <f t="shared" si="68"/>
        <v>87.834388596393879</v>
      </c>
      <c r="AS109" s="936">
        <f t="shared" si="69"/>
        <v>87.834388596393879</v>
      </c>
      <c r="AT109" s="936">
        <f t="shared" si="70"/>
        <v>87.834388596393879</v>
      </c>
      <c r="AU109" s="936">
        <f t="shared" si="71"/>
        <v>87.834388596393879</v>
      </c>
      <c r="AV109" s="936">
        <f t="shared" si="72"/>
        <v>87.834388596393879</v>
      </c>
      <c r="AW109" s="936">
        <f t="shared" si="73"/>
        <v>87.834388596393879</v>
      </c>
      <c r="AX109" s="936">
        <f t="shared" si="74"/>
        <v>87.834388596393879</v>
      </c>
      <c r="AY109" s="936">
        <f t="shared" si="75"/>
        <v>87.834388596393879</v>
      </c>
      <c r="AZ109" s="936">
        <f t="shared" si="76"/>
        <v>87.834388596393879</v>
      </c>
      <c r="BA109" s="936">
        <f t="shared" si="77"/>
        <v>87.834388596393879</v>
      </c>
      <c r="BB109" s="937">
        <f t="shared" si="78"/>
        <v>87.834388596393879</v>
      </c>
      <c r="BC109" s="938"/>
    </row>
    <row r="110" spans="2:55" s="934" customFormat="1" ht="15">
      <c r="B110" s="909">
        <v>2039</v>
      </c>
      <c r="C110" s="1218" t="s">
        <v>817</v>
      </c>
      <c r="D110" s="932">
        <v>0</v>
      </c>
      <c r="E110" s="932">
        <v>0</v>
      </c>
      <c r="F110" s="932">
        <v>0</v>
      </c>
      <c r="G110" s="932">
        <v>0</v>
      </c>
      <c r="H110" s="932">
        <v>0</v>
      </c>
      <c r="I110" s="932">
        <v>5.6627819821911967</v>
      </c>
      <c r="J110" s="932">
        <v>16.988345946573592</v>
      </c>
      <c r="K110" s="932">
        <v>28.313909910955982</v>
      </c>
      <c r="L110" s="932">
        <v>39.639473875338375</v>
      </c>
      <c r="M110" s="932">
        <v>56.627819821911956</v>
      </c>
      <c r="N110" s="932">
        <v>56.627819821911956</v>
      </c>
      <c r="O110" s="932">
        <v>56.627819821911956</v>
      </c>
      <c r="P110" s="932">
        <v>56.627819821911956</v>
      </c>
      <c r="Q110" s="932">
        <v>56.627819821911956</v>
      </c>
      <c r="R110" s="932">
        <v>56.627819821911956</v>
      </c>
      <c r="S110" s="932">
        <v>56.627819821911956</v>
      </c>
      <c r="T110" s="932">
        <v>56.627819821911956</v>
      </c>
      <c r="U110" s="932">
        <v>56.627819821911956</v>
      </c>
      <c r="V110" s="932">
        <v>56.627819821911956</v>
      </c>
      <c r="W110" s="932">
        <v>56.627819821911956</v>
      </c>
      <c r="X110" s="932">
        <v>56.627819821911956</v>
      </c>
      <c r="Y110" s="932">
        <v>56.627819821911956</v>
      </c>
      <c r="Z110" s="932">
        <v>56.627819821911956</v>
      </c>
      <c r="AA110" s="932">
        <v>56.627819821911956</v>
      </c>
      <c r="AB110" s="933">
        <v>56.627819821911956</v>
      </c>
      <c r="AD110" s="935">
        <f t="shared" si="54"/>
        <v>0</v>
      </c>
      <c r="AE110" s="936">
        <f t="shared" si="55"/>
        <v>0</v>
      </c>
      <c r="AF110" s="936">
        <f t="shared" si="56"/>
        <v>0</v>
      </c>
      <c r="AG110" s="936">
        <f t="shared" si="57"/>
        <v>0</v>
      </c>
      <c r="AH110" s="936">
        <f t="shared" si="58"/>
        <v>0</v>
      </c>
      <c r="AI110" s="936">
        <f t="shared" si="59"/>
        <v>9.058257126830437</v>
      </c>
      <c r="AJ110" s="936">
        <f t="shared" si="60"/>
        <v>27.174771380491315</v>
      </c>
      <c r="AK110" s="936">
        <f t="shared" si="61"/>
        <v>45.291285634152175</v>
      </c>
      <c r="AL110" s="936">
        <f t="shared" si="62"/>
        <v>63.407799887813049</v>
      </c>
      <c r="AM110" s="936">
        <f t="shared" si="63"/>
        <v>90.582571268304349</v>
      </c>
      <c r="AN110" s="936">
        <f t="shared" si="64"/>
        <v>90.582571268304349</v>
      </c>
      <c r="AO110" s="936">
        <f t="shared" si="65"/>
        <v>90.582571268304349</v>
      </c>
      <c r="AP110" s="936">
        <f t="shared" si="66"/>
        <v>90.582571268304349</v>
      </c>
      <c r="AQ110" s="936">
        <f t="shared" si="67"/>
        <v>90.582571268304349</v>
      </c>
      <c r="AR110" s="936">
        <f t="shared" si="68"/>
        <v>90.582571268304349</v>
      </c>
      <c r="AS110" s="936">
        <f t="shared" si="69"/>
        <v>90.582571268304349</v>
      </c>
      <c r="AT110" s="936">
        <f t="shared" si="70"/>
        <v>90.582571268304349</v>
      </c>
      <c r="AU110" s="936">
        <f t="shared" si="71"/>
        <v>90.582571268304349</v>
      </c>
      <c r="AV110" s="936">
        <f t="shared" si="72"/>
        <v>90.582571268304349</v>
      </c>
      <c r="AW110" s="936">
        <f t="shared" si="73"/>
        <v>90.582571268304349</v>
      </c>
      <c r="AX110" s="936">
        <f t="shared" si="74"/>
        <v>90.582571268304349</v>
      </c>
      <c r="AY110" s="936">
        <f t="shared" si="75"/>
        <v>90.582571268304349</v>
      </c>
      <c r="AZ110" s="936">
        <f t="shared" si="76"/>
        <v>90.582571268304349</v>
      </c>
      <c r="BA110" s="936">
        <f t="shared" si="77"/>
        <v>90.582571268304349</v>
      </c>
      <c r="BB110" s="937">
        <f t="shared" si="78"/>
        <v>90.582571268304349</v>
      </c>
      <c r="BC110" s="938"/>
    </row>
    <row r="111" spans="2:55" s="934" customFormat="1" ht="15">
      <c r="B111" s="909">
        <v>2040</v>
      </c>
      <c r="C111" s="1218" t="s">
        <v>818</v>
      </c>
      <c r="D111" s="932">
        <v>0</v>
      </c>
      <c r="E111" s="932">
        <v>0</v>
      </c>
      <c r="F111" s="932">
        <v>0</v>
      </c>
      <c r="G111" s="932">
        <v>0</v>
      </c>
      <c r="H111" s="932">
        <v>0</v>
      </c>
      <c r="I111" s="932">
        <v>0</v>
      </c>
      <c r="J111" s="932">
        <v>5.8399604150004123</v>
      </c>
      <c r="K111" s="932">
        <v>17.519881245001237</v>
      </c>
      <c r="L111" s="932">
        <v>29.199802075002058</v>
      </c>
      <c r="M111" s="932">
        <v>40.879722905002886</v>
      </c>
      <c r="N111" s="932">
        <v>58.399604150004109</v>
      </c>
      <c r="O111" s="932">
        <v>58.399604150004109</v>
      </c>
      <c r="P111" s="932">
        <v>58.399604150004109</v>
      </c>
      <c r="Q111" s="932">
        <v>58.399604150004109</v>
      </c>
      <c r="R111" s="932">
        <v>58.399604150004109</v>
      </c>
      <c r="S111" s="932">
        <v>58.399604150004109</v>
      </c>
      <c r="T111" s="932">
        <v>58.399604150004109</v>
      </c>
      <c r="U111" s="932">
        <v>58.399604150004109</v>
      </c>
      <c r="V111" s="932">
        <v>58.399604150004109</v>
      </c>
      <c r="W111" s="932">
        <v>58.399604150004109</v>
      </c>
      <c r="X111" s="932">
        <v>58.399604150004109</v>
      </c>
      <c r="Y111" s="932">
        <v>58.399604150004109</v>
      </c>
      <c r="Z111" s="932">
        <v>58.399604150004109</v>
      </c>
      <c r="AA111" s="932">
        <v>58.399604150004109</v>
      </c>
      <c r="AB111" s="933">
        <v>58.399604150004109</v>
      </c>
      <c r="AD111" s="935">
        <f t="shared" si="54"/>
        <v>0</v>
      </c>
      <c r="AE111" s="936">
        <f t="shared" si="55"/>
        <v>0</v>
      </c>
      <c r="AF111" s="936">
        <f t="shared" si="56"/>
        <v>0</v>
      </c>
      <c r="AG111" s="936">
        <f t="shared" si="57"/>
        <v>0</v>
      </c>
      <c r="AH111" s="936">
        <f t="shared" si="58"/>
        <v>0</v>
      </c>
      <c r="AI111" s="936">
        <f t="shared" si="59"/>
        <v>0</v>
      </c>
      <c r="AJ111" s="936">
        <f t="shared" si="60"/>
        <v>9.3416739715477579</v>
      </c>
      <c r="AK111" s="936">
        <f t="shared" si="61"/>
        <v>28.025021914643272</v>
      </c>
      <c r="AL111" s="936">
        <f t="shared" si="62"/>
        <v>46.708369857738781</v>
      </c>
      <c r="AM111" s="936">
        <f t="shared" si="63"/>
        <v>65.3917178008343</v>
      </c>
      <c r="AN111" s="936">
        <f t="shared" si="64"/>
        <v>93.416739715477561</v>
      </c>
      <c r="AO111" s="936">
        <f t="shared" si="65"/>
        <v>93.416739715477561</v>
      </c>
      <c r="AP111" s="936">
        <f t="shared" si="66"/>
        <v>93.416739715477561</v>
      </c>
      <c r="AQ111" s="936">
        <f t="shared" si="67"/>
        <v>93.416739715477561</v>
      </c>
      <c r="AR111" s="936">
        <f t="shared" si="68"/>
        <v>93.416739715477561</v>
      </c>
      <c r="AS111" s="936">
        <f t="shared" si="69"/>
        <v>93.416739715477561</v>
      </c>
      <c r="AT111" s="936">
        <f t="shared" si="70"/>
        <v>93.416739715477561</v>
      </c>
      <c r="AU111" s="936">
        <f t="shared" si="71"/>
        <v>93.416739715477561</v>
      </c>
      <c r="AV111" s="936">
        <f t="shared" si="72"/>
        <v>93.416739715477561</v>
      </c>
      <c r="AW111" s="936">
        <f t="shared" si="73"/>
        <v>93.416739715477561</v>
      </c>
      <c r="AX111" s="936">
        <f t="shared" si="74"/>
        <v>93.416739715477561</v>
      </c>
      <c r="AY111" s="936">
        <f t="shared" si="75"/>
        <v>93.416739715477561</v>
      </c>
      <c r="AZ111" s="936">
        <f t="shared" si="76"/>
        <v>93.416739715477561</v>
      </c>
      <c r="BA111" s="936">
        <f t="shared" si="77"/>
        <v>93.416739715477561</v>
      </c>
      <c r="BB111" s="937">
        <f t="shared" si="78"/>
        <v>93.416739715477561</v>
      </c>
      <c r="BC111" s="938"/>
    </row>
    <row r="112" spans="2:55" s="934" customFormat="1" ht="15">
      <c r="B112" s="909">
        <v>2041</v>
      </c>
      <c r="C112" s="1218" t="s">
        <v>819</v>
      </c>
      <c r="D112" s="932">
        <v>0</v>
      </c>
      <c r="E112" s="932">
        <v>0</v>
      </c>
      <c r="F112" s="932">
        <v>0</v>
      </c>
      <c r="G112" s="932">
        <v>0</v>
      </c>
      <c r="H112" s="932">
        <v>0</v>
      </c>
      <c r="I112" s="932">
        <v>0</v>
      </c>
      <c r="J112" s="932">
        <v>0</v>
      </c>
      <c r="K112" s="932">
        <v>6.022682447607651</v>
      </c>
      <c r="L112" s="932">
        <v>18.068047342822954</v>
      </c>
      <c r="M112" s="932">
        <v>30.113412238038254</v>
      </c>
      <c r="N112" s="932">
        <v>42.158777133253558</v>
      </c>
      <c r="O112" s="932">
        <v>60.226824476076501</v>
      </c>
      <c r="P112" s="932">
        <v>60.226824476076501</v>
      </c>
      <c r="Q112" s="932">
        <v>60.226824476076501</v>
      </c>
      <c r="R112" s="932">
        <v>60.226824476076501</v>
      </c>
      <c r="S112" s="932">
        <v>60.226824476076501</v>
      </c>
      <c r="T112" s="932">
        <v>60.226824476076501</v>
      </c>
      <c r="U112" s="932">
        <v>60.226824476076501</v>
      </c>
      <c r="V112" s="932">
        <v>60.226824476076501</v>
      </c>
      <c r="W112" s="932">
        <v>60.226824476076501</v>
      </c>
      <c r="X112" s="932">
        <v>60.226824476076501</v>
      </c>
      <c r="Y112" s="932">
        <v>60.226824476076501</v>
      </c>
      <c r="Z112" s="932">
        <v>60.226824476076501</v>
      </c>
      <c r="AA112" s="932">
        <v>60.226824476076501</v>
      </c>
      <c r="AB112" s="933">
        <v>60.226824476076501</v>
      </c>
      <c r="AD112" s="935">
        <f t="shared" si="54"/>
        <v>0</v>
      </c>
      <c r="AE112" s="936">
        <f t="shared" si="55"/>
        <v>0</v>
      </c>
      <c r="AF112" s="936">
        <f t="shared" si="56"/>
        <v>0</v>
      </c>
      <c r="AG112" s="936">
        <f t="shared" si="57"/>
        <v>0</v>
      </c>
      <c r="AH112" s="936">
        <f t="shared" si="58"/>
        <v>0</v>
      </c>
      <c r="AI112" s="936">
        <f t="shared" si="59"/>
        <v>0</v>
      </c>
      <c r="AJ112" s="936">
        <f t="shared" si="60"/>
        <v>0</v>
      </c>
      <c r="AK112" s="936">
        <f t="shared" si="61"/>
        <v>9.6339584280743722</v>
      </c>
      <c r="AL112" s="936">
        <f t="shared" si="62"/>
        <v>28.90187528422312</v>
      </c>
      <c r="AM112" s="936">
        <f t="shared" si="63"/>
        <v>48.169792140371861</v>
      </c>
      <c r="AN112" s="936">
        <f t="shared" si="64"/>
        <v>67.437708996520612</v>
      </c>
      <c r="AO112" s="936">
        <f t="shared" si="65"/>
        <v>96.339584280743708</v>
      </c>
      <c r="AP112" s="936">
        <f t="shared" si="66"/>
        <v>96.339584280743708</v>
      </c>
      <c r="AQ112" s="936">
        <f t="shared" si="67"/>
        <v>96.339584280743708</v>
      </c>
      <c r="AR112" s="936">
        <f t="shared" si="68"/>
        <v>96.339584280743708</v>
      </c>
      <c r="AS112" s="936">
        <f t="shared" si="69"/>
        <v>96.339584280743708</v>
      </c>
      <c r="AT112" s="936">
        <f t="shared" si="70"/>
        <v>96.339584280743708</v>
      </c>
      <c r="AU112" s="936">
        <f t="shared" si="71"/>
        <v>96.339584280743708</v>
      </c>
      <c r="AV112" s="936">
        <f t="shared" si="72"/>
        <v>96.339584280743708</v>
      </c>
      <c r="AW112" s="936">
        <f t="shared" si="73"/>
        <v>96.339584280743708</v>
      </c>
      <c r="AX112" s="936">
        <f t="shared" si="74"/>
        <v>96.339584280743708</v>
      </c>
      <c r="AY112" s="936">
        <f t="shared" si="75"/>
        <v>96.339584280743708</v>
      </c>
      <c r="AZ112" s="936">
        <f t="shared" si="76"/>
        <v>96.339584280743708</v>
      </c>
      <c r="BA112" s="936">
        <f t="shared" si="77"/>
        <v>96.339584280743708</v>
      </c>
      <c r="BB112" s="937">
        <f t="shared" si="78"/>
        <v>96.339584280743708</v>
      </c>
      <c r="BC112" s="938"/>
    </row>
    <row r="113" spans="2:55" s="934" customFormat="1" ht="15">
      <c r="B113" s="909">
        <v>2042</v>
      </c>
      <c r="C113" s="1218" t="s">
        <v>820</v>
      </c>
      <c r="D113" s="932">
        <v>0</v>
      </c>
      <c r="E113" s="932">
        <v>0</v>
      </c>
      <c r="F113" s="932">
        <v>0</v>
      </c>
      <c r="G113" s="932">
        <v>0</v>
      </c>
      <c r="H113" s="932">
        <v>0</v>
      </c>
      <c r="I113" s="932">
        <v>0</v>
      </c>
      <c r="J113" s="932">
        <v>0</v>
      </c>
      <c r="K113" s="932">
        <v>0</v>
      </c>
      <c r="L113" s="932">
        <v>6.2111215294459718</v>
      </c>
      <c r="M113" s="932">
        <v>18.633364588337916</v>
      </c>
      <c r="N113" s="932">
        <v>31.055607647229856</v>
      </c>
      <c r="O113" s="932">
        <v>43.477850706121799</v>
      </c>
      <c r="P113" s="932">
        <v>62.111215294459704</v>
      </c>
      <c r="Q113" s="932">
        <v>62.111215294459704</v>
      </c>
      <c r="R113" s="932">
        <v>62.111215294459704</v>
      </c>
      <c r="S113" s="932">
        <v>62.111215294459704</v>
      </c>
      <c r="T113" s="932">
        <v>62.111215294459704</v>
      </c>
      <c r="U113" s="932">
        <v>62.111215294459704</v>
      </c>
      <c r="V113" s="932">
        <v>62.111215294459704</v>
      </c>
      <c r="W113" s="932">
        <v>62.111215294459704</v>
      </c>
      <c r="X113" s="932">
        <v>62.111215294459704</v>
      </c>
      <c r="Y113" s="932">
        <v>62.111215294459704</v>
      </c>
      <c r="Z113" s="932">
        <v>62.111215294459704</v>
      </c>
      <c r="AA113" s="932">
        <v>62.111215294459704</v>
      </c>
      <c r="AB113" s="933">
        <v>62.111215294459704</v>
      </c>
      <c r="AD113" s="935">
        <f t="shared" si="54"/>
        <v>0</v>
      </c>
      <c r="AE113" s="936">
        <f t="shared" si="55"/>
        <v>0</v>
      </c>
      <c r="AF113" s="936">
        <f t="shared" si="56"/>
        <v>0</v>
      </c>
      <c r="AG113" s="936">
        <f t="shared" si="57"/>
        <v>0</v>
      </c>
      <c r="AH113" s="936">
        <f t="shared" si="58"/>
        <v>0</v>
      </c>
      <c r="AI113" s="936">
        <f t="shared" si="59"/>
        <v>0</v>
      </c>
      <c r="AJ113" s="936">
        <f t="shared" si="60"/>
        <v>0</v>
      </c>
      <c r="AK113" s="936">
        <f t="shared" si="61"/>
        <v>0</v>
      </c>
      <c r="AL113" s="936">
        <f t="shared" si="62"/>
        <v>9.9353879483001997</v>
      </c>
      <c r="AM113" s="936">
        <f t="shared" si="63"/>
        <v>29.806163844900603</v>
      </c>
      <c r="AN113" s="936">
        <f t="shared" si="64"/>
        <v>49.676939741500995</v>
      </c>
      <c r="AO113" s="936">
        <f t="shared" si="65"/>
        <v>69.547715638101394</v>
      </c>
      <c r="AP113" s="936">
        <f t="shared" si="66"/>
        <v>99.35387948300199</v>
      </c>
      <c r="AQ113" s="936">
        <f t="shared" si="67"/>
        <v>99.35387948300199</v>
      </c>
      <c r="AR113" s="936">
        <f t="shared" si="68"/>
        <v>99.35387948300199</v>
      </c>
      <c r="AS113" s="936">
        <f t="shared" si="69"/>
        <v>99.35387948300199</v>
      </c>
      <c r="AT113" s="936">
        <f t="shared" si="70"/>
        <v>99.35387948300199</v>
      </c>
      <c r="AU113" s="936">
        <f t="shared" si="71"/>
        <v>99.35387948300199</v>
      </c>
      <c r="AV113" s="936">
        <f t="shared" si="72"/>
        <v>99.35387948300199</v>
      </c>
      <c r="AW113" s="936">
        <f t="shared" si="73"/>
        <v>99.35387948300199</v>
      </c>
      <c r="AX113" s="936">
        <f t="shared" si="74"/>
        <v>99.35387948300199</v>
      </c>
      <c r="AY113" s="936">
        <f t="shared" si="75"/>
        <v>99.35387948300199</v>
      </c>
      <c r="AZ113" s="936">
        <f t="shared" si="76"/>
        <v>99.35387948300199</v>
      </c>
      <c r="BA113" s="936">
        <f t="shared" si="77"/>
        <v>99.35387948300199</v>
      </c>
      <c r="BB113" s="937">
        <f t="shared" si="78"/>
        <v>99.35387948300199</v>
      </c>
      <c r="BC113" s="938"/>
    </row>
    <row r="114" spans="2:55" s="934" customFormat="1" ht="15">
      <c r="B114" s="909">
        <v>2043</v>
      </c>
      <c r="C114" s="1218" t="s">
        <v>821</v>
      </c>
      <c r="D114" s="932">
        <v>0</v>
      </c>
      <c r="E114" s="932">
        <v>0</v>
      </c>
      <c r="F114" s="932">
        <v>0</v>
      </c>
      <c r="G114" s="932">
        <v>0</v>
      </c>
      <c r="H114" s="932">
        <v>0</v>
      </c>
      <c r="I114" s="932">
        <v>0</v>
      </c>
      <c r="J114" s="932">
        <v>0</v>
      </c>
      <c r="K114" s="932">
        <v>0</v>
      </c>
      <c r="L114" s="932">
        <v>0</v>
      </c>
      <c r="M114" s="932">
        <v>6.4054565368744214</v>
      </c>
      <c r="N114" s="932">
        <v>19.216369610623264</v>
      </c>
      <c r="O114" s="932">
        <v>32.027282684372103</v>
      </c>
      <c r="P114" s="932">
        <v>44.838195758120946</v>
      </c>
      <c r="Q114" s="932">
        <v>64.054565368744193</v>
      </c>
      <c r="R114" s="932">
        <v>64.054565368744193</v>
      </c>
      <c r="S114" s="932">
        <v>64.054565368744193</v>
      </c>
      <c r="T114" s="932">
        <v>64.054565368744193</v>
      </c>
      <c r="U114" s="932">
        <v>64.054565368744193</v>
      </c>
      <c r="V114" s="932">
        <v>64.054565368744193</v>
      </c>
      <c r="W114" s="932">
        <v>64.054565368744193</v>
      </c>
      <c r="X114" s="932">
        <v>64.054565368744193</v>
      </c>
      <c r="Y114" s="932">
        <v>64.054565368744193</v>
      </c>
      <c r="Z114" s="932">
        <v>64.054565368744193</v>
      </c>
      <c r="AA114" s="932">
        <v>64.054565368744193</v>
      </c>
      <c r="AB114" s="933">
        <v>64.054565368744193</v>
      </c>
      <c r="AD114" s="935">
        <f t="shared" si="54"/>
        <v>0</v>
      </c>
      <c r="AE114" s="936">
        <f t="shared" si="55"/>
        <v>0</v>
      </c>
      <c r="AF114" s="936">
        <f t="shared" si="56"/>
        <v>0</v>
      </c>
      <c r="AG114" s="936">
        <f t="shared" si="57"/>
        <v>0</v>
      </c>
      <c r="AH114" s="936">
        <f t="shared" si="58"/>
        <v>0</v>
      </c>
      <c r="AI114" s="936">
        <f t="shared" si="59"/>
        <v>0</v>
      </c>
      <c r="AJ114" s="936">
        <f t="shared" si="60"/>
        <v>0</v>
      </c>
      <c r="AK114" s="936">
        <f t="shared" si="61"/>
        <v>0</v>
      </c>
      <c r="AL114" s="936">
        <f t="shared" si="62"/>
        <v>0</v>
      </c>
      <c r="AM114" s="936">
        <f t="shared" si="63"/>
        <v>10.246248665094077</v>
      </c>
      <c r="AN114" s="936">
        <f t="shared" si="64"/>
        <v>30.73874599528223</v>
      </c>
      <c r="AO114" s="936">
        <f t="shared" si="65"/>
        <v>51.231243325470381</v>
      </c>
      <c r="AP114" s="936">
        <f t="shared" si="66"/>
        <v>71.723740655658531</v>
      </c>
      <c r="AQ114" s="936">
        <f t="shared" si="67"/>
        <v>102.46248665094073</v>
      </c>
      <c r="AR114" s="936">
        <f t="shared" si="68"/>
        <v>102.46248665094073</v>
      </c>
      <c r="AS114" s="936">
        <f t="shared" si="69"/>
        <v>102.46248665094073</v>
      </c>
      <c r="AT114" s="936">
        <f t="shared" si="70"/>
        <v>102.46248665094073</v>
      </c>
      <c r="AU114" s="936">
        <f t="shared" si="71"/>
        <v>102.46248665094073</v>
      </c>
      <c r="AV114" s="936">
        <f t="shared" si="72"/>
        <v>102.46248665094073</v>
      </c>
      <c r="AW114" s="936">
        <f t="shared" si="73"/>
        <v>102.46248665094073</v>
      </c>
      <c r="AX114" s="936">
        <f t="shared" si="74"/>
        <v>102.46248665094073</v>
      </c>
      <c r="AY114" s="936">
        <f t="shared" si="75"/>
        <v>102.46248665094073</v>
      </c>
      <c r="AZ114" s="936">
        <f t="shared" si="76"/>
        <v>102.46248665094073</v>
      </c>
      <c r="BA114" s="936">
        <f t="shared" si="77"/>
        <v>102.46248665094073</v>
      </c>
      <c r="BB114" s="937">
        <f t="shared" si="78"/>
        <v>102.46248665094073</v>
      </c>
      <c r="BC114" s="938"/>
    </row>
    <row r="115" spans="2:55" s="934" customFormat="1" ht="15">
      <c r="B115" s="909">
        <v>2044</v>
      </c>
      <c r="C115" s="1218" t="s">
        <v>822</v>
      </c>
      <c r="D115" s="932">
        <v>0</v>
      </c>
      <c r="E115" s="932">
        <v>0</v>
      </c>
      <c r="F115" s="932">
        <v>0</v>
      </c>
      <c r="G115" s="932">
        <v>0</v>
      </c>
      <c r="H115" s="932">
        <v>0</v>
      </c>
      <c r="I115" s="932">
        <v>0</v>
      </c>
      <c r="J115" s="932">
        <v>0</v>
      </c>
      <c r="K115" s="932">
        <v>0</v>
      </c>
      <c r="L115" s="932">
        <v>0</v>
      </c>
      <c r="M115" s="932">
        <v>0</v>
      </c>
      <c r="N115" s="932">
        <v>6.605871942976953</v>
      </c>
      <c r="O115" s="932">
        <v>19.817615828930862</v>
      </c>
      <c r="P115" s="932">
        <v>33.029359714884762</v>
      </c>
      <c r="Q115" s="932">
        <v>46.24110360083867</v>
      </c>
      <c r="R115" s="932">
        <v>66.058719429769511</v>
      </c>
      <c r="S115" s="932">
        <v>66.058719429769511</v>
      </c>
      <c r="T115" s="932">
        <v>66.058719429769511</v>
      </c>
      <c r="U115" s="932">
        <v>66.058719429769511</v>
      </c>
      <c r="V115" s="932">
        <v>66.058719429769511</v>
      </c>
      <c r="W115" s="932">
        <v>66.058719429769511</v>
      </c>
      <c r="X115" s="932">
        <v>66.058719429769511</v>
      </c>
      <c r="Y115" s="932">
        <v>66.058719429769511</v>
      </c>
      <c r="Z115" s="932">
        <v>66.058719429769511</v>
      </c>
      <c r="AA115" s="932">
        <v>66.058719429769511</v>
      </c>
      <c r="AB115" s="933">
        <v>66.058719429769511</v>
      </c>
      <c r="AD115" s="935">
        <f t="shared" si="54"/>
        <v>0</v>
      </c>
      <c r="AE115" s="936">
        <f t="shared" si="55"/>
        <v>0</v>
      </c>
      <c r="AF115" s="936">
        <f t="shared" si="56"/>
        <v>0</v>
      </c>
      <c r="AG115" s="936">
        <f t="shared" si="57"/>
        <v>0</v>
      </c>
      <c r="AH115" s="936">
        <f t="shared" si="58"/>
        <v>0</v>
      </c>
      <c r="AI115" s="936">
        <f t="shared" si="59"/>
        <v>0</v>
      </c>
      <c r="AJ115" s="936">
        <f t="shared" si="60"/>
        <v>0</v>
      </c>
      <c r="AK115" s="936">
        <f t="shared" si="61"/>
        <v>0</v>
      </c>
      <c r="AL115" s="936">
        <f t="shared" si="62"/>
        <v>0</v>
      </c>
      <c r="AM115" s="936">
        <f t="shared" si="63"/>
        <v>0</v>
      </c>
      <c r="AN115" s="936">
        <f t="shared" si="64"/>
        <v>10.566835663916235</v>
      </c>
      <c r="AO115" s="936">
        <f t="shared" si="65"/>
        <v>31.700506991748711</v>
      </c>
      <c r="AP115" s="936">
        <f t="shared" si="66"/>
        <v>52.834178319581177</v>
      </c>
      <c r="AQ115" s="936">
        <f t="shared" si="67"/>
        <v>73.967849647413644</v>
      </c>
      <c r="AR115" s="936">
        <f t="shared" si="68"/>
        <v>105.66835663916231</v>
      </c>
      <c r="AS115" s="936">
        <f t="shared" si="69"/>
        <v>105.66835663916231</v>
      </c>
      <c r="AT115" s="936">
        <f t="shared" si="70"/>
        <v>105.66835663916231</v>
      </c>
      <c r="AU115" s="936">
        <f t="shared" si="71"/>
        <v>105.66835663916231</v>
      </c>
      <c r="AV115" s="936">
        <f t="shared" si="72"/>
        <v>105.66835663916231</v>
      </c>
      <c r="AW115" s="936">
        <f t="shared" si="73"/>
        <v>105.66835663916231</v>
      </c>
      <c r="AX115" s="936">
        <f t="shared" si="74"/>
        <v>105.66835663916231</v>
      </c>
      <c r="AY115" s="936">
        <f t="shared" si="75"/>
        <v>105.66835663916231</v>
      </c>
      <c r="AZ115" s="936">
        <f t="shared" si="76"/>
        <v>105.66835663916231</v>
      </c>
      <c r="BA115" s="936">
        <f t="shared" si="77"/>
        <v>105.66835663916231</v>
      </c>
      <c r="BB115" s="937">
        <f t="shared" si="78"/>
        <v>105.66835663916231</v>
      </c>
      <c r="BC115" s="938"/>
    </row>
    <row r="116" spans="2:55" s="934" customFormat="1" ht="15">
      <c r="B116" s="909">
        <v>2045</v>
      </c>
      <c r="C116" s="1218" t="s">
        <v>823</v>
      </c>
      <c r="D116" s="932">
        <v>0</v>
      </c>
      <c r="E116" s="932">
        <v>0</v>
      </c>
      <c r="F116" s="932">
        <v>0</v>
      </c>
      <c r="G116" s="932">
        <v>0</v>
      </c>
      <c r="H116" s="932">
        <v>0</v>
      </c>
      <c r="I116" s="932">
        <v>0</v>
      </c>
      <c r="J116" s="932">
        <v>0</v>
      </c>
      <c r="K116" s="932">
        <v>0</v>
      </c>
      <c r="L116" s="932">
        <v>0</v>
      </c>
      <c r="M116" s="932">
        <v>0</v>
      </c>
      <c r="N116" s="932">
        <v>0</v>
      </c>
      <c r="O116" s="932">
        <v>6.8125579926740558</v>
      </c>
      <c r="P116" s="932">
        <v>20.437673978022168</v>
      </c>
      <c r="Q116" s="932">
        <v>34.062789963370278</v>
      </c>
      <c r="R116" s="932">
        <v>47.687905948718395</v>
      </c>
      <c r="S116" s="932">
        <v>68.125579926740542</v>
      </c>
      <c r="T116" s="932">
        <v>68.125579926740542</v>
      </c>
      <c r="U116" s="932">
        <v>68.125579926740542</v>
      </c>
      <c r="V116" s="932">
        <v>68.125579926740542</v>
      </c>
      <c r="W116" s="932">
        <v>68.125579926740542</v>
      </c>
      <c r="X116" s="932">
        <v>68.125579926740542</v>
      </c>
      <c r="Y116" s="932">
        <v>68.125579926740542</v>
      </c>
      <c r="Z116" s="932">
        <v>68.125579926740542</v>
      </c>
      <c r="AA116" s="932">
        <v>68.125579926740542</v>
      </c>
      <c r="AB116" s="933">
        <v>68.125579926740542</v>
      </c>
      <c r="AD116" s="935">
        <f t="shared" si="54"/>
        <v>0</v>
      </c>
      <c r="AE116" s="936">
        <f t="shared" si="55"/>
        <v>0</v>
      </c>
      <c r="AF116" s="936">
        <f t="shared" si="56"/>
        <v>0</v>
      </c>
      <c r="AG116" s="936">
        <f t="shared" si="57"/>
        <v>0</v>
      </c>
      <c r="AH116" s="936">
        <f t="shared" si="58"/>
        <v>0</v>
      </c>
      <c r="AI116" s="936">
        <f t="shared" si="59"/>
        <v>0</v>
      </c>
      <c r="AJ116" s="936">
        <f t="shared" si="60"/>
        <v>0</v>
      </c>
      <c r="AK116" s="936">
        <f t="shared" si="61"/>
        <v>0</v>
      </c>
      <c r="AL116" s="936">
        <f t="shared" si="62"/>
        <v>0</v>
      </c>
      <c r="AM116" s="936">
        <f t="shared" si="63"/>
        <v>0</v>
      </c>
      <c r="AN116" s="936">
        <f t="shared" si="64"/>
        <v>0</v>
      </c>
      <c r="AO116" s="936">
        <f t="shared" si="65"/>
        <v>10.897453262929071</v>
      </c>
      <c r="AP116" s="936">
        <f t="shared" si="66"/>
        <v>32.692359788787222</v>
      </c>
      <c r="AQ116" s="936">
        <f t="shared" si="67"/>
        <v>54.48726631464536</v>
      </c>
      <c r="AR116" s="936">
        <f t="shared" si="68"/>
        <v>76.28217284050352</v>
      </c>
      <c r="AS116" s="936">
        <f t="shared" si="69"/>
        <v>108.97453262929069</v>
      </c>
      <c r="AT116" s="936">
        <f t="shared" si="70"/>
        <v>108.97453262929069</v>
      </c>
      <c r="AU116" s="936">
        <f t="shared" si="71"/>
        <v>108.97453262929069</v>
      </c>
      <c r="AV116" s="936">
        <f t="shared" si="72"/>
        <v>108.97453262929069</v>
      </c>
      <c r="AW116" s="936">
        <f t="shared" si="73"/>
        <v>108.97453262929069</v>
      </c>
      <c r="AX116" s="936">
        <f t="shared" si="74"/>
        <v>108.97453262929069</v>
      </c>
      <c r="AY116" s="936">
        <f t="shared" si="75"/>
        <v>108.97453262929069</v>
      </c>
      <c r="AZ116" s="936">
        <f t="shared" si="76"/>
        <v>108.97453262929069</v>
      </c>
      <c r="BA116" s="936">
        <f t="shared" si="77"/>
        <v>108.97453262929069</v>
      </c>
      <c r="BB116" s="937">
        <f t="shared" si="78"/>
        <v>108.97453262929069</v>
      </c>
      <c r="BC116" s="938"/>
    </row>
    <row r="117" spans="2:55" s="934" customFormat="1" ht="15">
      <c r="B117" s="909">
        <v>2046</v>
      </c>
      <c r="C117" s="1218" t="s">
        <v>824</v>
      </c>
      <c r="D117" s="932">
        <v>0</v>
      </c>
      <c r="E117" s="932">
        <v>0</v>
      </c>
      <c r="F117" s="932">
        <v>0</v>
      </c>
      <c r="G117" s="932">
        <v>0</v>
      </c>
      <c r="H117" s="932">
        <v>0</v>
      </c>
      <c r="I117" s="932">
        <v>0</v>
      </c>
      <c r="J117" s="932">
        <v>0</v>
      </c>
      <c r="K117" s="932">
        <v>0</v>
      </c>
      <c r="L117" s="932">
        <v>0</v>
      </c>
      <c r="M117" s="932">
        <v>0</v>
      </c>
      <c r="N117" s="932">
        <v>0</v>
      </c>
      <c r="O117" s="932">
        <v>0</v>
      </c>
      <c r="P117" s="932">
        <v>7.0257108833132991</v>
      </c>
      <c r="Q117" s="932">
        <v>21.077132649939898</v>
      </c>
      <c r="R117" s="932">
        <v>35.128554416566494</v>
      </c>
      <c r="S117" s="932">
        <v>49.179976183193098</v>
      </c>
      <c r="T117" s="932">
        <v>70.257108833132975</v>
      </c>
      <c r="U117" s="932">
        <v>70.257108833132975</v>
      </c>
      <c r="V117" s="932">
        <v>70.257108833132975</v>
      </c>
      <c r="W117" s="932">
        <v>70.257108833132975</v>
      </c>
      <c r="X117" s="932">
        <v>70.257108833132975</v>
      </c>
      <c r="Y117" s="932">
        <v>70.257108833132975</v>
      </c>
      <c r="Z117" s="932">
        <v>70.257108833132975</v>
      </c>
      <c r="AA117" s="932">
        <v>70.257108833132975</v>
      </c>
      <c r="AB117" s="933">
        <v>70.257108833132975</v>
      </c>
      <c r="AD117" s="935">
        <f t="shared" si="54"/>
        <v>0</v>
      </c>
      <c r="AE117" s="936">
        <f t="shared" si="55"/>
        <v>0</v>
      </c>
      <c r="AF117" s="936">
        <f t="shared" si="56"/>
        <v>0</v>
      </c>
      <c r="AG117" s="936">
        <f t="shared" si="57"/>
        <v>0</v>
      </c>
      <c r="AH117" s="936">
        <f t="shared" si="58"/>
        <v>0</v>
      </c>
      <c r="AI117" s="936">
        <f t="shared" si="59"/>
        <v>0</v>
      </c>
      <c r="AJ117" s="936">
        <f t="shared" si="60"/>
        <v>0</v>
      </c>
      <c r="AK117" s="936">
        <f t="shared" si="61"/>
        <v>0</v>
      </c>
      <c r="AL117" s="936">
        <f t="shared" si="62"/>
        <v>0</v>
      </c>
      <c r="AM117" s="936">
        <f t="shared" si="63"/>
        <v>0</v>
      </c>
      <c r="AN117" s="936">
        <f t="shared" si="64"/>
        <v>0</v>
      </c>
      <c r="AO117" s="936">
        <f t="shared" si="65"/>
        <v>0</v>
      </c>
      <c r="AP117" s="936">
        <f t="shared" si="66"/>
        <v>11.238415301872044</v>
      </c>
      <c r="AQ117" s="936">
        <f t="shared" si="67"/>
        <v>33.715245905616136</v>
      </c>
      <c r="AR117" s="936">
        <f t="shared" si="68"/>
        <v>56.19207650936022</v>
      </c>
      <c r="AS117" s="936">
        <f t="shared" si="69"/>
        <v>78.668907113104311</v>
      </c>
      <c r="AT117" s="936">
        <f t="shared" si="70"/>
        <v>112.38415301872043</v>
      </c>
      <c r="AU117" s="936">
        <f t="shared" si="71"/>
        <v>112.38415301872043</v>
      </c>
      <c r="AV117" s="936">
        <f t="shared" si="72"/>
        <v>112.38415301872043</v>
      </c>
      <c r="AW117" s="936">
        <f t="shared" si="73"/>
        <v>112.38415301872043</v>
      </c>
      <c r="AX117" s="936">
        <f t="shared" si="74"/>
        <v>112.38415301872043</v>
      </c>
      <c r="AY117" s="936">
        <f t="shared" si="75"/>
        <v>112.38415301872043</v>
      </c>
      <c r="AZ117" s="936">
        <f t="shared" si="76"/>
        <v>112.38415301872043</v>
      </c>
      <c r="BA117" s="936">
        <f t="shared" si="77"/>
        <v>112.38415301872043</v>
      </c>
      <c r="BB117" s="937">
        <f t="shared" si="78"/>
        <v>112.38415301872043</v>
      </c>
      <c r="BC117" s="938"/>
    </row>
    <row r="118" spans="2:55" s="934" customFormat="1" ht="15">
      <c r="B118" s="909">
        <v>2047</v>
      </c>
      <c r="C118" s="1218" t="s">
        <v>825</v>
      </c>
      <c r="D118" s="932">
        <v>0</v>
      </c>
      <c r="E118" s="932">
        <v>0</v>
      </c>
      <c r="F118" s="932">
        <v>0</v>
      </c>
      <c r="G118" s="932">
        <v>0</v>
      </c>
      <c r="H118" s="932">
        <v>0</v>
      </c>
      <c r="I118" s="932">
        <v>0</v>
      </c>
      <c r="J118" s="932">
        <v>0</v>
      </c>
      <c r="K118" s="932">
        <v>0</v>
      </c>
      <c r="L118" s="932">
        <v>0</v>
      </c>
      <c r="M118" s="932">
        <v>0</v>
      </c>
      <c r="N118" s="932">
        <v>0</v>
      </c>
      <c r="O118" s="932">
        <v>0</v>
      </c>
      <c r="P118" s="932">
        <v>0</v>
      </c>
      <c r="Q118" s="932">
        <v>7.2455329509102633</v>
      </c>
      <c r="R118" s="932">
        <v>21.73659885273079</v>
      </c>
      <c r="S118" s="932">
        <v>36.227664754551313</v>
      </c>
      <c r="T118" s="932">
        <v>50.718730656371839</v>
      </c>
      <c r="U118" s="932">
        <v>72.455329509102611</v>
      </c>
      <c r="V118" s="932">
        <v>72.455329509102611</v>
      </c>
      <c r="W118" s="932">
        <v>72.455329509102611</v>
      </c>
      <c r="X118" s="932">
        <v>72.455329509102611</v>
      </c>
      <c r="Y118" s="932">
        <v>72.455329509102611</v>
      </c>
      <c r="Z118" s="932">
        <v>72.455329509102611</v>
      </c>
      <c r="AA118" s="932">
        <v>72.455329509102611</v>
      </c>
      <c r="AB118" s="933">
        <v>72.455329509102611</v>
      </c>
      <c r="AD118" s="935">
        <f t="shared" si="54"/>
        <v>0</v>
      </c>
      <c r="AE118" s="936">
        <f t="shared" si="55"/>
        <v>0</v>
      </c>
      <c r="AF118" s="936">
        <f t="shared" si="56"/>
        <v>0</v>
      </c>
      <c r="AG118" s="936">
        <f t="shared" si="57"/>
        <v>0</v>
      </c>
      <c r="AH118" s="936">
        <f t="shared" si="58"/>
        <v>0</v>
      </c>
      <c r="AI118" s="936">
        <f t="shared" si="59"/>
        <v>0</v>
      </c>
      <c r="AJ118" s="936">
        <f t="shared" si="60"/>
        <v>0</v>
      </c>
      <c r="AK118" s="936">
        <f t="shared" si="61"/>
        <v>0</v>
      </c>
      <c r="AL118" s="936">
        <f t="shared" si="62"/>
        <v>0</v>
      </c>
      <c r="AM118" s="936">
        <f t="shared" si="63"/>
        <v>0</v>
      </c>
      <c r="AN118" s="936">
        <f t="shared" si="64"/>
        <v>0</v>
      </c>
      <c r="AO118" s="936">
        <f t="shared" si="65"/>
        <v>0</v>
      </c>
      <c r="AP118" s="936">
        <f t="shared" si="66"/>
        <v>0</v>
      </c>
      <c r="AQ118" s="936">
        <f t="shared" si="67"/>
        <v>11.590045439974999</v>
      </c>
      <c r="AR118" s="936">
        <f t="shared" si="68"/>
        <v>34.770136319924987</v>
      </c>
      <c r="AS118" s="936">
        <f t="shared" si="69"/>
        <v>57.950227199874988</v>
      </c>
      <c r="AT118" s="936">
        <f t="shared" si="70"/>
        <v>81.130318079824974</v>
      </c>
      <c r="AU118" s="936">
        <f t="shared" si="71"/>
        <v>115.90045439974993</v>
      </c>
      <c r="AV118" s="936">
        <f t="shared" si="72"/>
        <v>115.90045439974993</v>
      </c>
      <c r="AW118" s="936">
        <f t="shared" si="73"/>
        <v>115.90045439974993</v>
      </c>
      <c r="AX118" s="936">
        <f t="shared" si="74"/>
        <v>115.90045439974993</v>
      </c>
      <c r="AY118" s="936">
        <f t="shared" si="75"/>
        <v>115.90045439974993</v>
      </c>
      <c r="AZ118" s="936">
        <f t="shared" si="76"/>
        <v>115.90045439974993</v>
      </c>
      <c r="BA118" s="936">
        <f t="shared" si="77"/>
        <v>115.90045439974993</v>
      </c>
      <c r="BB118" s="937">
        <f t="shared" si="78"/>
        <v>115.90045439974993</v>
      </c>
      <c r="BC118" s="938"/>
    </row>
    <row r="119" spans="2:55" s="934" customFormat="1" ht="15">
      <c r="B119" s="909">
        <v>2048</v>
      </c>
      <c r="C119" s="1218" t="s">
        <v>826</v>
      </c>
      <c r="D119" s="932">
        <v>0</v>
      </c>
      <c r="E119" s="932">
        <v>0</v>
      </c>
      <c r="F119" s="932">
        <v>0</v>
      </c>
      <c r="G119" s="932">
        <v>0</v>
      </c>
      <c r="H119" s="932">
        <v>0</v>
      </c>
      <c r="I119" s="932">
        <v>0</v>
      </c>
      <c r="J119" s="932">
        <v>0</v>
      </c>
      <c r="K119" s="932">
        <v>0</v>
      </c>
      <c r="L119" s="932">
        <v>0</v>
      </c>
      <c r="M119" s="932">
        <v>0</v>
      </c>
      <c r="N119" s="932">
        <v>0</v>
      </c>
      <c r="O119" s="932">
        <v>0</v>
      </c>
      <c r="P119" s="932">
        <v>0</v>
      </c>
      <c r="Q119" s="932">
        <v>0</v>
      </c>
      <c r="R119" s="932">
        <v>7.4722328622165897</v>
      </c>
      <c r="S119" s="932">
        <v>22.416698586649769</v>
      </c>
      <c r="T119" s="932">
        <v>37.361164311082945</v>
      </c>
      <c r="U119" s="932">
        <v>52.305630035516131</v>
      </c>
      <c r="V119" s="932">
        <v>74.722328622165875</v>
      </c>
      <c r="W119" s="932">
        <v>74.722328622165875</v>
      </c>
      <c r="X119" s="932">
        <v>74.722328622165875</v>
      </c>
      <c r="Y119" s="932">
        <v>74.722328622165875</v>
      </c>
      <c r="Z119" s="932">
        <v>74.722328622165875</v>
      </c>
      <c r="AA119" s="932">
        <v>74.722328622165875</v>
      </c>
      <c r="AB119" s="933">
        <v>74.722328622165875</v>
      </c>
      <c r="AD119" s="935">
        <f t="shared" si="54"/>
        <v>0</v>
      </c>
      <c r="AE119" s="936">
        <f t="shared" si="55"/>
        <v>0</v>
      </c>
      <c r="AF119" s="936">
        <f t="shared" si="56"/>
        <v>0</v>
      </c>
      <c r="AG119" s="936">
        <f t="shared" si="57"/>
        <v>0</v>
      </c>
      <c r="AH119" s="936">
        <f t="shared" si="58"/>
        <v>0</v>
      </c>
      <c r="AI119" s="936">
        <f t="shared" si="59"/>
        <v>0</v>
      </c>
      <c r="AJ119" s="936">
        <f t="shared" si="60"/>
        <v>0</v>
      </c>
      <c r="AK119" s="936">
        <f t="shared" si="61"/>
        <v>0</v>
      </c>
      <c r="AL119" s="936">
        <f t="shared" si="62"/>
        <v>0</v>
      </c>
      <c r="AM119" s="936">
        <f t="shared" si="63"/>
        <v>0</v>
      </c>
      <c r="AN119" s="936">
        <f t="shared" si="64"/>
        <v>0</v>
      </c>
      <c r="AO119" s="936">
        <f t="shared" si="65"/>
        <v>0</v>
      </c>
      <c r="AP119" s="936">
        <f t="shared" si="66"/>
        <v>0</v>
      </c>
      <c r="AQ119" s="936">
        <f t="shared" si="67"/>
        <v>0</v>
      </c>
      <c r="AR119" s="936">
        <f t="shared" si="68"/>
        <v>11.952677463192632</v>
      </c>
      <c r="AS119" s="936">
        <f t="shared" si="69"/>
        <v>35.8580323895779</v>
      </c>
      <c r="AT119" s="936">
        <f t="shared" si="70"/>
        <v>59.763387315963151</v>
      </c>
      <c r="AU119" s="936">
        <f t="shared" si="71"/>
        <v>83.668742242348415</v>
      </c>
      <c r="AV119" s="936">
        <f t="shared" si="72"/>
        <v>119.52677463192629</v>
      </c>
      <c r="AW119" s="936">
        <f t="shared" si="73"/>
        <v>119.52677463192629</v>
      </c>
      <c r="AX119" s="936">
        <f t="shared" si="74"/>
        <v>119.52677463192629</v>
      </c>
      <c r="AY119" s="936">
        <f t="shared" si="75"/>
        <v>119.52677463192629</v>
      </c>
      <c r="AZ119" s="936">
        <f t="shared" si="76"/>
        <v>119.52677463192629</v>
      </c>
      <c r="BA119" s="936">
        <f t="shared" si="77"/>
        <v>119.52677463192629</v>
      </c>
      <c r="BB119" s="937">
        <f t="shared" si="78"/>
        <v>119.52677463192629</v>
      </c>
      <c r="BC119" s="938"/>
    </row>
    <row r="120" spans="2:55" s="934" customFormat="1" ht="15">
      <c r="B120" s="909">
        <v>2049</v>
      </c>
      <c r="C120" s="1218" t="s">
        <v>827</v>
      </c>
      <c r="D120" s="932">
        <v>0</v>
      </c>
      <c r="E120" s="932">
        <v>0</v>
      </c>
      <c r="F120" s="932">
        <v>0</v>
      </c>
      <c r="G120" s="932">
        <v>0</v>
      </c>
      <c r="H120" s="932">
        <v>0</v>
      </c>
      <c r="I120" s="932">
        <v>0</v>
      </c>
      <c r="J120" s="932">
        <v>0</v>
      </c>
      <c r="K120" s="932">
        <v>0</v>
      </c>
      <c r="L120" s="932">
        <v>0</v>
      </c>
      <c r="M120" s="932">
        <v>0</v>
      </c>
      <c r="N120" s="932">
        <v>0</v>
      </c>
      <c r="O120" s="932">
        <v>0</v>
      </c>
      <c r="P120" s="932">
        <v>0</v>
      </c>
      <c r="Q120" s="932">
        <v>0</v>
      </c>
      <c r="R120" s="932">
        <v>0</v>
      </c>
      <c r="S120" s="932">
        <v>7.7060258127975274</v>
      </c>
      <c r="T120" s="932">
        <v>23.118077438392586</v>
      </c>
      <c r="U120" s="932">
        <v>38.530129063987637</v>
      </c>
      <c r="V120" s="932">
        <v>53.942180689582699</v>
      </c>
      <c r="W120" s="932">
        <v>77.06025812797526</v>
      </c>
      <c r="X120" s="932">
        <v>77.06025812797526</v>
      </c>
      <c r="Y120" s="932">
        <v>77.06025812797526</v>
      </c>
      <c r="Z120" s="932">
        <v>77.06025812797526</v>
      </c>
      <c r="AA120" s="932">
        <v>77.06025812797526</v>
      </c>
      <c r="AB120" s="933">
        <v>77.06025812797526</v>
      </c>
      <c r="AD120" s="935">
        <f t="shared" si="54"/>
        <v>0</v>
      </c>
      <c r="AE120" s="936">
        <f t="shared" si="55"/>
        <v>0</v>
      </c>
      <c r="AF120" s="936">
        <f t="shared" si="56"/>
        <v>0</v>
      </c>
      <c r="AG120" s="936">
        <f t="shared" si="57"/>
        <v>0</v>
      </c>
      <c r="AH120" s="936">
        <f t="shared" si="58"/>
        <v>0</v>
      </c>
      <c r="AI120" s="936">
        <f t="shared" si="59"/>
        <v>0</v>
      </c>
      <c r="AJ120" s="936">
        <f t="shared" si="60"/>
        <v>0</v>
      </c>
      <c r="AK120" s="936">
        <f t="shared" si="61"/>
        <v>0</v>
      </c>
      <c r="AL120" s="936">
        <f t="shared" si="62"/>
        <v>0</v>
      </c>
      <c r="AM120" s="936">
        <f t="shared" si="63"/>
        <v>0</v>
      </c>
      <c r="AN120" s="936">
        <f t="shared" si="64"/>
        <v>0</v>
      </c>
      <c r="AO120" s="936">
        <f t="shared" si="65"/>
        <v>0</v>
      </c>
      <c r="AP120" s="936">
        <f t="shared" si="66"/>
        <v>0</v>
      </c>
      <c r="AQ120" s="936">
        <f t="shared" si="67"/>
        <v>0</v>
      </c>
      <c r="AR120" s="936">
        <f t="shared" si="68"/>
        <v>0</v>
      </c>
      <c r="AS120" s="936">
        <f t="shared" si="69"/>
        <v>12.326655601051833</v>
      </c>
      <c r="AT120" s="936">
        <f t="shared" si="70"/>
        <v>36.979966803155499</v>
      </c>
      <c r="AU120" s="936">
        <f t="shared" si="71"/>
        <v>61.633278005259164</v>
      </c>
      <c r="AV120" s="936">
        <f t="shared" si="72"/>
        <v>86.286589207362837</v>
      </c>
      <c r="AW120" s="936">
        <f t="shared" si="73"/>
        <v>123.26655601051829</v>
      </c>
      <c r="AX120" s="936">
        <f t="shared" si="74"/>
        <v>123.26655601051829</v>
      </c>
      <c r="AY120" s="936">
        <f t="shared" si="75"/>
        <v>123.26655601051829</v>
      </c>
      <c r="AZ120" s="936">
        <f t="shared" si="76"/>
        <v>123.26655601051829</v>
      </c>
      <c r="BA120" s="936">
        <f t="shared" si="77"/>
        <v>123.26655601051829</v>
      </c>
      <c r="BB120" s="937">
        <f t="shared" si="78"/>
        <v>123.26655601051829</v>
      </c>
      <c r="BC120" s="938"/>
    </row>
    <row r="121" spans="2:55" s="934" customFormat="1" ht="15">
      <c r="B121" s="916">
        <v>2050</v>
      </c>
      <c r="C121" s="1219" t="s">
        <v>828</v>
      </c>
      <c r="D121" s="932">
        <v>0</v>
      </c>
      <c r="E121" s="932">
        <v>0</v>
      </c>
      <c r="F121" s="932">
        <v>0</v>
      </c>
      <c r="G121" s="932">
        <v>0</v>
      </c>
      <c r="H121" s="932">
        <v>0</v>
      </c>
      <c r="I121" s="932">
        <v>0</v>
      </c>
      <c r="J121" s="932">
        <v>0</v>
      </c>
      <c r="K121" s="932">
        <v>0</v>
      </c>
      <c r="L121" s="932">
        <v>0</v>
      </c>
      <c r="M121" s="932">
        <v>0</v>
      </c>
      <c r="N121" s="932">
        <v>0</v>
      </c>
      <c r="O121" s="932">
        <v>0</v>
      </c>
      <c r="P121" s="932">
        <v>0</v>
      </c>
      <c r="Q121" s="932">
        <v>0</v>
      </c>
      <c r="R121" s="932">
        <v>0</v>
      </c>
      <c r="S121" s="932">
        <v>0</v>
      </c>
      <c r="T121" s="932">
        <v>7.947133731306959</v>
      </c>
      <c r="U121" s="932">
        <v>23.841401193920877</v>
      </c>
      <c r="V121" s="932">
        <v>39.735668656534791</v>
      </c>
      <c r="W121" s="932">
        <v>55.629936119148717</v>
      </c>
      <c r="X121" s="932">
        <v>79.471337313069569</v>
      </c>
      <c r="Y121" s="932">
        <v>79.471337313069569</v>
      </c>
      <c r="Z121" s="932">
        <v>79.471337313069569</v>
      </c>
      <c r="AA121" s="932">
        <v>79.471337313069569</v>
      </c>
      <c r="AB121" s="933">
        <v>79.471337313069569</v>
      </c>
      <c r="AD121" s="935">
        <f t="shared" si="54"/>
        <v>0</v>
      </c>
      <c r="AE121" s="936">
        <f t="shared" si="55"/>
        <v>0</v>
      </c>
      <c r="AF121" s="936">
        <f t="shared" si="56"/>
        <v>0</v>
      </c>
      <c r="AG121" s="936">
        <f t="shared" si="57"/>
        <v>0</v>
      </c>
      <c r="AH121" s="936">
        <f t="shared" si="58"/>
        <v>0</v>
      </c>
      <c r="AI121" s="936">
        <f t="shared" si="59"/>
        <v>0</v>
      </c>
      <c r="AJ121" s="936">
        <f t="shared" si="60"/>
        <v>0</v>
      </c>
      <c r="AK121" s="936">
        <f t="shared" si="61"/>
        <v>0</v>
      </c>
      <c r="AL121" s="936">
        <f t="shared" si="62"/>
        <v>0</v>
      </c>
      <c r="AM121" s="936">
        <f t="shared" si="63"/>
        <v>0</v>
      </c>
      <c r="AN121" s="936">
        <f t="shared" si="64"/>
        <v>0</v>
      </c>
      <c r="AO121" s="936">
        <f t="shared" si="65"/>
        <v>0</v>
      </c>
      <c r="AP121" s="936">
        <f t="shared" si="66"/>
        <v>0</v>
      </c>
      <c r="AQ121" s="936">
        <f t="shared" si="67"/>
        <v>0</v>
      </c>
      <c r="AR121" s="936">
        <f t="shared" si="68"/>
        <v>0</v>
      </c>
      <c r="AS121" s="936">
        <f t="shared" si="69"/>
        <v>0</v>
      </c>
      <c r="AT121" s="936">
        <f t="shared" si="70"/>
        <v>12.712334853412562</v>
      </c>
      <c r="AU121" s="936">
        <f t="shared" si="71"/>
        <v>38.137004560237685</v>
      </c>
      <c r="AV121" s="936">
        <f t="shared" si="72"/>
        <v>63.561674267062791</v>
      </c>
      <c r="AW121" s="936">
        <f t="shared" si="73"/>
        <v>88.986343973887941</v>
      </c>
      <c r="AX121" s="936">
        <f t="shared" si="74"/>
        <v>127.12334853412557</v>
      </c>
      <c r="AY121" s="936">
        <f t="shared" si="75"/>
        <v>127.12334853412557</v>
      </c>
      <c r="AZ121" s="936">
        <f t="shared" si="76"/>
        <v>127.12334853412557</v>
      </c>
      <c r="BA121" s="936">
        <f t="shared" si="77"/>
        <v>127.12334853412557</v>
      </c>
      <c r="BB121" s="937">
        <f t="shared" si="78"/>
        <v>127.12334853412557</v>
      </c>
      <c r="BC121" s="938"/>
    </row>
    <row r="122" spans="2:55" s="934" customFormat="1" ht="15">
      <c r="B122" s="909" t="s">
        <v>830</v>
      </c>
      <c r="C122" s="931"/>
      <c r="D122" s="940">
        <f>NPV(realdiscrt2,D89:D121)/(1+realdiscrt2)^-Half_Year</f>
        <v>42.660055579413054</v>
      </c>
      <c r="E122" s="940">
        <f t="shared" ref="E122:AB122" si="79">NPV(realdiscrt2,E89:E121)/(1+realdiscrt2)^-Half_Year</f>
        <v>86.718451666417309</v>
      </c>
      <c r="F122" s="940">
        <f t="shared" si="79"/>
        <v>130.57767452170074</v>
      </c>
      <c r="G122" s="940">
        <f t="shared" si="79"/>
        <v>173.66847428471439</v>
      </c>
      <c r="H122" s="940">
        <f t="shared" si="79"/>
        <v>217.26938135655172</v>
      </c>
      <c r="I122" s="940">
        <f t="shared" si="79"/>
        <v>257.88118677628353</v>
      </c>
      <c r="J122" s="940">
        <f t="shared" si="79"/>
        <v>299.2000480604521</v>
      </c>
      <c r="K122" s="940">
        <f t="shared" si="79"/>
        <v>341.23827512707936</v>
      </c>
      <c r="L122" s="940">
        <f t="shared" si="79"/>
        <v>384.00839221117292</v>
      </c>
      <c r="M122" s="940">
        <f t="shared" si="79"/>
        <v>427.52314159600792</v>
      </c>
      <c r="N122" s="940">
        <f t="shared" si="79"/>
        <v>471.79548740937048</v>
      </c>
      <c r="O122" s="940">
        <f t="shared" si="79"/>
        <v>516.83861948589447</v>
      </c>
      <c r="P122" s="940">
        <f t="shared" si="79"/>
        <v>562.66595729664152</v>
      </c>
      <c r="Q122" s="940">
        <f t="shared" si="79"/>
        <v>609.2911539470964</v>
      </c>
      <c r="R122" s="940">
        <f t="shared" si="79"/>
        <v>656.72810024476587</v>
      </c>
      <c r="S122" s="940">
        <f t="shared" si="79"/>
        <v>704.99092883759783</v>
      </c>
      <c r="T122" s="940">
        <f t="shared" si="79"/>
        <v>754.09401842444834</v>
      </c>
      <c r="U122" s="940">
        <f t="shared" si="79"/>
        <v>798.84633439205834</v>
      </c>
      <c r="V122" s="940">
        <f t="shared" si="79"/>
        <v>833.96646566082165</v>
      </c>
      <c r="W122" s="940">
        <f t="shared" si="79"/>
        <v>859.28671486766234</v>
      </c>
      <c r="X122" s="940">
        <f t="shared" si="79"/>
        <v>874.63646502052416</v>
      </c>
      <c r="Y122" s="940">
        <f t="shared" si="79"/>
        <v>874.63646502052416</v>
      </c>
      <c r="Z122" s="940">
        <f t="shared" si="79"/>
        <v>874.63646502052416</v>
      </c>
      <c r="AA122" s="940">
        <f t="shared" si="79"/>
        <v>874.63646502052416</v>
      </c>
      <c r="AB122" s="940">
        <f t="shared" si="79"/>
        <v>874.63646502052416</v>
      </c>
      <c r="AD122" s="1478">
        <f t="shared" ref="AD122:BB122" si="80">NPV(realdiscrt2,AD96:AD121)/(1+realdiscrt2)^(1-Half_Year)</f>
        <v>74.01850439954255</v>
      </c>
      <c r="AE122" s="1478">
        <f t="shared" si="80"/>
        <v>150.46323801063701</v>
      </c>
      <c r="AF122" s="1478">
        <f t="shared" si="80"/>
        <v>226.56239062029661</v>
      </c>
      <c r="AG122" s="1478">
        <f t="shared" si="80"/>
        <v>301.32826957938624</v>
      </c>
      <c r="AH122" s="1478">
        <f t="shared" si="80"/>
        <v>376.97922427430365</v>
      </c>
      <c r="AI122" s="1478">
        <f t="shared" si="80"/>
        <v>447.44385582027002</v>
      </c>
      <c r="AJ122" s="1478">
        <f t="shared" si="80"/>
        <v>519.13528411794516</v>
      </c>
      <c r="AK122" s="1478">
        <f t="shared" si="80"/>
        <v>592.07486782963906</v>
      </c>
      <c r="AL122" s="1478">
        <f t="shared" si="80"/>
        <v>666.28433747425163</v>
      </c>
      <c r="AM122" s="1478">
        <f t="shared" si="80"/>
        <v>741.7858019013338</v>
      </c>
      <c r="AN122" s="1478">
        <f t="shared" si="80"/>
        <v>818.60175487786603</v>
      </c>
      <c r="AO122" s="1478">
        <f t="shared" si="80"/>
        <v>896.75508178971154</v>
      </c>
      <c r="AP122" s="1478">
        <f t="shared" si="80"/>
        <v>976.26906645974225</v>
      </c>
      <c r="AQ122" s="1478">
        <f t="shared" si="80"/>
        <v>1057.1673980846704</v>
      </c>
      <c r="AR122" s="1478">
        <f t="shared" si="80"/>
        <v>1139.474178292649</v>
      </c>
      <c r="AS122" s="1478">
        <f t="shared" si="80"/>
        <v>1223.2139283237498</v>
      </c>
      <c r="AT122" s="1478">
        <f t="shared" si="80"/>
        <v>1308.4115963354482</v>
      </c>
      <c r="AU122" s="1478">
        <f t="shared" si="80"/>
        <v>1386.0603347477065</v>
      </c>
      <c r="AV122" s="1478">
        <f t="shared" si="80"/>
        <v>1446.996485803355</v>
      </c>
      <c r="AW122" s="1478">
        <f t="shared" si="80"/>
        <v>1490.9290815737761</v>
      </c>
      <c r="AX122" s="1478">
        <f t="shared" si="80"/>
        <v>1517.562088347677</v>
      </c>
      <c r="AY122" s="1478">
        <f t="shared" si="80"/>
        <v>1517.562088347677</v>
      </c>
      <c r="AZ122" s="1478">
        <f t="shared" si="80"/>
        <v>1517.562088347677</v>
      </c>
      <c r="BA122" s="1478">
        <f t="shared" si="80"/>
        <v>1517.562088347677</v>
      </c>
      <c r="BB122" s="1478">
        <f t="shared" si="80"/>
        <v>1517.562088347677</v>
      </c>
      <c r="BC122" s="938"/>
    </row>
    <row r="123" spans="2:55" s="934" customFormat="1" ht="15" hidden="1">
      <c r="B123" s="941"/>
      <c r="C123" s="931"/>
      <c r="D123" s="940"/>
      <c r="E123" s="940"/>
      <c r="F123" s="940"/>
      <c r="G123" s="940"/>
      <c r="H123" s="940"/>
      <c r="I123" s="940"/>
      <c r="J123" s="940"/>
      <c r="K123" s="940"/>
      <c r="L123" s="940"/>
      <c r="M123" s="940"/>
      <c r="N123" s="940"/>
      <c r="O123" s="940"/>
      <c r="P123" s="940"/>
      <c r="Q123" s="940"/>
      <c r="R123" s="940"/>
      <c r="S123" s="940"/>
      <c r="T123" s="940"/>
      <c r="U123" s="940"/>
      <c r="V123" s="940"/>
      <c r="W123" s="940"/>
      <c r="X123" s="940"/>
      <c r="Y123" s="940"/>
      <c r="Z123" s="940"/>
      <c r="AA123" s="940"/>
      <c r="AB123" s="940"/>
      <c r="AD123" s="940"/>
      <c r="AE123" s="940"/>
      <c r="AF123" s="940"/>
      <c r="AG123" s="940"/>
      <c r="AH123" s="940"/>
      <c r="AI123" s="940"/>
      <c r="AJ123" s="940"/>
      <c r="AK123" s="940"/>
      <c r="AL123" s="940"/>
      <c r="AM123" s="940"/>
      <c r="AN123" s="940"/>
      <c r="AO123" s="940"/>
      <c r="AP123" s="940"/>
      <c r="AQ123" s="940"/>
      <c r="AR123" s="940"/>
      <c r="AS123" s="940"/>
      <c r="AT123" s="940"/>
      <c r="AU123" s="940"/>
      <c r="AV123" s="940"/>
      <c r="AW123" s="940"/>
      <c r="AX123" s="940"/>
      <c r="AY123" s="940"/>
      <c r="AZ123" s="940"/>
      <c r="BA123" s="940"/>
      <c r="BB123" s="940"/>
    </row>
    <row r="124" spans="2:55" s="934" customFormat="1" ht="15" hidden="1">
      <c r="B124" s="941"/>
      <c r="C124" s="931"/>
      <c r="D124" s="940"/>
      <c r="E124" s="940"/>
      <c r="F124" s="940"/>
      <c r="G124" s="940"/>
      <c r="H124" s="940"/>
      <c r="I124" s="940"/>
      <c r="J124" s="940"/>
      <c r="K124" s="940"/>
      <c r="L124" s="940"/>
      <c r="M124" s="940"/>
      <c r="N124" s="940"/>
      <c r="O124" s="940"/>
      <c r="P124" s="940"/>
      <c r="Q124" s="940"/>
      <c r="R124" s="940"/>
      <c r="S124" s="940"/>
      <c r="T124" s="940"/>
      <c r="U124" s="940"/>
      <c r="V124" s="940"/>
      <c r="W124" s="940"/>
      <c r="X124" s="940"/>
      <c r="Y124" s="940"/>
      <c r="Z124" s="940"/>
      <c r="AA124" s="940"/>
      <c r="AB124" s="940"/>
      <c r="AD124" s="940"/>
      <c r="AE124" s="940"/>
      <c r="AF124" s="940"/>
      <c r="AG124" s="940"/>
      <c r="AH124" s="940"/>
      <c r="AI124" s="940"/>
      <c r="AJ124" s="940"/>
      <c r="AK124" s="940"/>
      <c r="AL124" s="940"/>
      <c r="AM124" s="940"/>
      <c r="AN124" s="940"/>
      <c r="AO124" s="940"/>
      <c r="AP124" s="940"/>
      <c r="AQ124" s="940"/>
      <c r="AR124" s="940"/>
      <c r="AS124" s="940"/>
      <c r="AT124" s="940"/>
      <c r="AU124" s="940"/>
      <c r="AV124" s="940"/>
      <c r="AW124" s="940"/>
      <c r="AX124" s="940"/>
      <c r="AY124" s="940"/>
      <c r="AZ124" s="940"/>
      <c r="BA124" s="940"/>
      <c r="BB124" s="940"/>
    </row>
    <row r="125" spans="2:55" s="934" customFormat="1" ht="15" hidden="1">
      <c r="B125" s="942"/>
      <c r="C125" s="939"/>
      <c r="D125" s="940"/>
      <c r="E125" s="940"/>
      <c r="F125" s="940"/>
      <c r="G125" s="940"/>
      <c r="H125" s="940"/>
      <c r="I125" s="940"/>
      <c r="J125" s="940"/>
      <c r="K125" s="940"/>
      <c r="L125" s="940"/>
      <c r="M125" s="940"/>
      <c r="N125" s="940"/>
      <c r="O125" s="940"/>
      <c r="P125" s="940"/>
      <c r="Q125" s="940"/>
      <c r="R125" s="940"/>
      <c r="S125" s="940"/>
      <c r="T125" s="940"/>
      <c r="U125" s="940"/>
      <c r="V125" s="940"/>
      <c r="W125" s="940"/>
      <c r="X125" s="940"/>
      <c r="Y125" s="940"/>
      <c r="Z125" s="940"/>
      <c r="AA125" s="940"/>
      <c r="AB125" s="940"/>
      <c r="AD125" s="940"/>
      <c r="AE125" s="940"/>
      <c r="AF125" s="940"/>
      <c r="AG125" s="940"/>
      <c r="AH125" s="940"/>
      <c r="AI125" s="940"/>
      <c r="AJ125" s="940"/>
      <c r="AK125" s="940"/>
      <c r="AL125" s="940"/>
      <c r="AM125" s="940"/>
      <c r="AN125" s="940"/>
      <c r="AO125" s="940"/>
      <c r="AP125" s="940"/>
      <c r="AQ125" s="940"/>
      <c r="AR125" s="940"/>
      <c r="AS125" s="940"/>
      <c r="AT125" s="940"/>
      <c r="AU125" s="940"/>
      <c r="AV125" s="940"/>
      <c r="AW125" s="940"/>
      <c r="AX125" s="940"/>
      <c r="AY125" s="940"/>
      <c r="AZ125" s="940"/>
      <c r="BA125" s="940"/>
      <c r="BB125" s="940"/>
    </row>
    <row r="127" spans="2:55" s="928" customFormat="1" ht="31.5" customHeight="1" thickBot="1">
      <c r="B127" s="924"/>
      <c r="C127" s="925"/>
      <c r="D127" s="926" t="s">
        <v>953</v>
      </c>
      <c r="E127" s="925"/>
      <c r="F127" s="925"/>
      <c r="G127" s="925"/>
      <c r="H127" s="925"/>
      <c r="I127" s="925"/>
      <c r="J127" s="925"/>
      <c r="K127" s="925"/>
      <c r="L127" s="925"/>
      <c r="M127" s="925"/>
      <c r="N127" s="925"/>
      <c r="O127" s="925"/>
      <c r="P127" s="925"/>
      <c r="Q127" s="925"/>
      <c r="R127" s="925"/>
      <c r="S127" s="925"/>
      <c r="T127" s="925"/>
      <c r="U127" s="925"/>
      <c r="V127" s="925"/>
      <c r="W127" s="925"/>
      <c r="X127" s="925"/>
      <c r="Y127" s="925"/>
      <c r="Z127" s="925"/>
      <c r="AA127" s="925"/>
      <c r="AB127" s="927"/>
      <c r="AD127" s="926" t="s">
        <v>954</v>
      </c>
      <c r="AE127" s="929"/>
      <c r="AF127" s="929"/>
      <c r="AG127" s="929"/>
      <c r="AH127" s="929"/>
      <c r="AI127" s="929"/>
      <c r="AJ127" s="929"/>
      <c r="AK127" s="929"/>
      <c r="AL127" s="929"/>
      <c r="AM127" s="929"/>
      <c r="AN127" s="929"/>
      <c r="AO127" s="929"/>
      <c r="AP127" s="929"/>
      <c r="AQ127" s="929"/>
      <c r="AR127" s="929"/>
      <c r="AS127" s="929"/>
      <c r="AT127" s="929"/>
      <c r="AU127" s="929"/>
      <c r="AV127" s="929"/>
      <c r="AW127" s="929"/>
      <c r="AX127" s="929"/>
      <c r="AY127" s="929"/>
      <c r="AZ127" s="929"/>
      <c r="BA127" s="929"/>
      <c r="BB127" s="930"/>
    </row>
    <row r="128" spans="2:55" s="934" customFormat="1" ht="15.75" thickTop="1">
      <c r="B128" s="909">
        <v>2018</v>
      </c>
      <c r="C128" s="1218" t="s">
        <v>29</v>
      </c>
      <c r="D128" s="932">
        <v>0</v>
      </c>
      <c r="E128" s="932">
        <v>0</v>
      </c>
      <c r="F128" s="932">
        <v>0</v>
      </c>
      <c r="G128" s="932">
        <v>0</v>
      </c>
      <c r="H128" s="932">
        <v>0</v>
      </c>
      <c r="I128" s="932">
        <v>0</v>
      </c>
      <c r="J128" s="932">
        <v>0</v>
      </c>
      <c r="K128" s="932">
        <v>0</v>
      </c>
      <c r="L128" s="932">
        <v>0</v>
      </c>
      <c r="M128" s="932">
        <v>0</v>
      </c>
      <c r="N128" s="932">
        <v>0</v>
      </c>
      <c r="O128" s="932">
        <v>0</v>
      </c>
      <c r="P128" s="932">
        <v>0</v>
      </c>
      <c r="Q128" s="932">
        <v>0</v>
      </c>
      <c r="R128" s="932">
        <v>0</v>
      </c>
      <c r="S128" s="932">
        <v>0</v>
      </c>
      <c r="T128" s="932">
        <v>0</v>
      </c>
      <c r="U128" s="932">
        <v>0</v>
      </c>
      <c r="V128" s="932">
        <v>0</v>
      </c>
      <c r="W128" s="932">
        <v>0</v>
      </c>
      <c r="X128" s="932">
        <v>0</v>
      </c>
      <c r="Y128" s="932">
        <v>0</v>
      </c>
      <c r="Z128" s="932">
        <v>0</v>
      </c>
      <c r="AA128" s="932">
        <v>0</v>
      </c>
      <c r="AB128" s="933">
        <v>0</v>
      </c>
      <c r="AD128" s="935">
        <f t="shared" ref="AD128:AD160" si="81">D128*(1+WholesaleRiskPremium)*(1+PeakDemandLosses)*(1+Inflation2)^(Year2-Real_Year)</f>
        <v>0</v>
      </c>
      <c r="AE128" s="936">
        <f t="shared" ref="AE128:AE160" si="82">E128*(1+WholesaleRiskPremium)*(1+PeakDemandLosses)*(1+Inflation2)^(Year2-Real_Year)</f>
        <v>0</v>
      </c>
      <c r="AF128" s="936">
        <f t="shared" ref="AF128:AF160" si="83">F128*(1+WholesaleRiskPremium)*(1+PeakDemandLosses)*(1+Inflation2)^(Year2-Real_Year)</f>
        <v>0</v>
      </c>
      <c r="AG128" s="936">
        <f t="shared" ref="AG128:AG160" si="84">G128*(1+WholesaleRiskPremium)*(1+PeakDemandLosses)*(1+Inflation2)^(Year2-Real_Year)</f>
        <v>0</v>
      </c>
      <c r="AH128" s="936">
        <f t="shared" ref="AH128:AH160" si="85">H128*(1+WholesaleRiskPremium)*(1+PeakDemandLosses)*(1+Inflation2)^(Year2-Real_Year)</f>
        <v>0</v>
      </c>
      <c r="AI128" s="936">
        <f t="shared" ref="AI128:AI160" si="86">I128*(1+WholesaleRiskPremium)*(1+PeakDemandLosses)*(1+Inflation2)^(Year2-Real_Year)</f>
        <v>0</v>
      </c>
      <c r="AJ128" s="936">
        <f t="shared" ref="AJ128:AJ160" si="87">J128*(1+WholesaleRiskPremium)*(1+PeakDemandLosses)*(1+Inflation2)^(Year2-Real_Year)</f>
        <v>0</v>
      </c>
      <c r="AK128" s="936">
        <f t="shared" ref="AK128:AK160" si="88">K128*(1+WholesaleRiskPremium)*(1+PeakDemandLosses)*(1+Inflation2)^(Year2-Real_Year)</f>
        <v>0</v>
      </c>
      <c r="AL128" s="936">
        <f t="shared" ref="AL128:AL160" si="89">L128*(1+WholesaleRiskPremium)*(1+PeakDemandLosses)*(1+Inflation2)^(Year2-Real_Year)</f>
        <v>0</v>
      </c>
      <c r="AM128" s="936">
        <f t="shared" ref="AM128:AM160" si="90">M128*(1+WholesaleRiskPremium)*(1+PeakDemandLosses)*(1+Inflation2)^(Year2-Real_Year)</f>
        <v>0</v>
      </c>
      <c r="AN128" s="936">
        <f t="shared" ref="AN128:AN160" si="91">N128*(1+WholesaleRiskPremium)*(1+PeakDemandLosses)*(1+Inflation2)^(Year2-Real_Year)</f>
        <v>0</v>
      </c>
      <c r="AO128" s="936">
        <f t="shared" ref="AO128:AO160" si="92">O128*(1+WholesaleRiskPremium)*(1+PeakDemandLosses)*(1+Inflation2)^(Year2-Real_Year)</f>
        <v>0</v>
      </c>
      <c r="AP128" s="936">
        <f t="shared" ref="AP128:AP160" si="93">P128*(1+WholesaleRiskPremium)*(1+PeakDemandLosses)*(1+Inflation2)^(Year2-Real_Year)</f>
        <v>0</v>
      </c>
      <c r="AQ128" s="936">
        <f t="shared" ref="AQ128:AQ160" si="94">Q128*(1+WholesaleRiskPremium)*(1+PeakDemandLosses)*(1+Inflation2)^(Year2-Real_Year)</f>
        <v>0</v>
      </c>
      <c r="AR128" s="936">
        <f t="shared" ref="AR128:AR160" si="95">R128*(1+WholesaleRiskPremium)*(1+PeakDemandLosses)*(1+Inflation2)^(Year2-Real_Year)</f>
        <v>0</v>
      </c>
      <c r="AS128" s="936">
        <f t="shared" ref="AS128:AS160" si="96">S128*(1+WholesaleRiskPremium)*(1+PeakDemandLosses)*(1+Inflation2)^(Year2-Real_Year)</f>
        <v>0</v>
      </c>
      <c r="AT128" s="936">
        <f t="shared" ref="AT128:AT160" si="97">T128*(1+WholesaleRiskPremium)*(1+PeakDemandLosses)*(1+Inflation2)^(Year2-Real_Year)</f>
        <v>0</v>
      </c>
      <c r="AU128" s="936">
        <f t="shared" ref="AU128:AU160" si="98">U128*(1+WholesaleRiskPremium)*(1+PeakDemandLosses)*(1+Inflation2)^(Year2-Real_Year)</f>
        <v>0</v>
      </c>
      <c r="AV128" s="936">
        <f t="shared" ref="AV128:AV160" si="99">V128*(1+WholesaleRiskPremium)*(1+PeakDemandLosses)*(1+Inflation2)^(Year2-Real_Year)</f>
        <v>0</v>
      </c>
      <c r="AW128" s="936">
        <f t="shared" ref="AW128:AW160" si="100">W128*(1+WholesaleRiskPremium)*(1+PeakDemandLosses)*(1+Inflation2)^(Year2-Real_Year)</f>
        <v>0</v>
      </c>
      <c r="AX128" s="936">
        <f t="shared" ref="AX128:AX160" si="101">X128*(1+WholesaleRiskPremium)*(1+PeakDemandLosses)*(1+Inflation2)^(Year2-Real_Year)</f>
        <v>0</v>
      </c>
      <c r="AY128" s="936">
        <f t="shared" ref="AY128:AY160" si="102">Y128*(1+WholesaleRiskPremium)*(1+PeakDemandLosses)*(1+Inflation2)^(Year2-Real_Year)</f>
        <v>0</v>
      </c>
      <c r="AZ128" s="936">
        <f t="shared" ref="AZ128:AZ160" si="103">Z128*(1+WholesaleRiskPremium)*(1+PeakDemandLosses)*(1+Inflation2)^(Year2-Real_Year)</f>
        <v>0</v>
      </c>
      <c r="BA128" s="936">
        <f t="shared" ref="BA128:BA160" si="104">AA128*(1+WholesaleRiskPremium)*(1+PeakDemandLosses)*(1+Inflation2)^(Year2-Real_Year)</f>
        <v>0</v>
      </c>
      <c r="BB128" s="937">
        <f t="shared" ref="BB128:BB160" si="105">AB128*(1+WholesaleRiskPremium)*(1+PeakDemandLosses)*(1+Inflation2)^(Year2-Real_Year)</f>
        <v>0</v>
      </c>
      <c r="BC128" s="938"/>
    </row>
    <row r="129" spans="2:55" s="934" customFormat="1" ht="15">
      <c r="B129" s="909">
        <v>2019</v>
      </c>
      <c r="C129" s="1218" t="s">
        <v>29</v>
      </c>
      <c r="D129" s="932">
        <v>0</v>
      </c>
      <c r="E129" s="932">
        <v>0</v>
      </c>
      <c r="F129" s="932">
        <v>0</v>
      </c>
      <c r="G129" s="932">
        <v>0</v>
      </c>
      <c r="H129" s="932">
        <v>0</v>
      </c>
      <c r="I129" s="932">
        <v>0</v>
      </c>
      <c r="J129" s="932">
        <v>0</v>
      </c>
      <c r="K129" s="932">
        <v>0</v>
      </c>
      <c r="L129" s="932">
        <v>0</v>
      </c>
      <c r="M129" s="932">
        <v>0</v>
      </c>
      <c r="N129" s="932">
        <v>0</v>
      </c>
      <c r="O129" s="932">
        <v>0</v>
      </c>
      <c r="P129" s="932">
        <v>0</v>
      </c>
      <c r="Q129" s="932">
        <v>0</v>
      </c>
      <c r="R129" s="932">
        <v>0</v>
      </c>
      <c r="S129" s="932">
        <v>0</v>
      </c>
      <c r="T129" s="932">
        <v>0</v>
      </c>
      <c r="U129" s="932">
        <v>0</v>
      </c>
      <c r="V129" s="932">
        <v>0</v>
      </c>
      <c r="W129" s="932">
        <v>0</v>
      </c>
      <c r="X129" s="932">
        <v>0</v>
      </c>
      <c r="Y129" s="932">
        <v>0</v>
      </c>
      <c r="Z129" s="932">
        <v>0</v>
      </c>
      <c r="AA129" s="932">
        <v>0</v>
      </c>
      <c r="AB129" s="933">
        <v>0</v>
      </c>
      <c r="AD129" s="935">
        <f t="shared" si="81"/>
        <v>0</v>
      </c>
      <c r="AE129" s="936">
        <f t="shared" si="82"/>
        <v>0</v>
      </c>
      <c r="AF129" s="936">
        <f t="shared" si="83"/>
        <v>0</v>
      </c>
      <c r="AG129" s="936">
        <f t="shared" si="84"/>
        <v>0</v>
      </c>
      <c r="AH129" s="936">
        <f t="shared" si="85"/>
        <v>0</v>
      </c>
      <c r="AI129" s="936">
        <f t="shared" si="86"/>
        <v>0</v>
      </c>
      <c r="AJ129" s="936">
        <f t="shared" si="87"/>
        <v>0</v>
      </c>
      <c r="AK129" s="936">
        <f t="shared" si="88"/>
        <v>0</v>
      </c>
      <c r="AL129" s="936">
        <f t="shared" si="89"/>
        <v>0</v>
      </c>
      <c r="AM129" s="936">
        <f t="shared" si="90"/>
        <v>0</v>
      </c>
      <c r="AN129" s="936">
        <f t="shared" si="91"/>
        <v>0</v>
      </c>
      <c r="AO129" s="936">
        <f t="shared" si="92"/>
        <v>0</v>
      </c>
      <c r="AP129" s="936">
        <f t="shared" si="93"/>
        <v>0</v>
      </c>
      <c r="AQ129" s="936">
        <f t="shared" si="94"/>
        <v>0</v>
      </c>
      <c r="AR129" s="936">
        <f t="shared" si="95"/>
        <v>0</v>
      </c>
      <c r="AS129" s="936">
        <f t="shared" si="96"/>
        <v>0</v>
      </c>
      <c r="AT129" s="936">
        <f t="shared" si="97"/>
        <v>0</v>
      </c>
      <c r="AU129" s="936">
        <f t="shared" si="98"/>
        <v>0</v>
      </c>
      <c r="AV129" s="936">
        <f t="shared" si="99"/>
        <v>0</v>
      </c>
      <c r="AW129" s="936">
        <f t="shared" si="100"/>
        <v>0</v>
      </c>
      <c r="AX129" s="936">
        <f t="shared" si="101"/>
        <v>0</v>
      </c>
      <c r="AY129" s="936">
        <f t="shared" si="102"/>
        <v>0</v>
      </c>
      <c r="AZ129" s="936">
        <f t="shared" si="103"/>
        <v>0</v>
      </c>
      <c r="BA129" s="936">
        <f t="shared" si="104"/>
        <v>0</v>
      </c>
      <c r="BB129" s="937">
        <f t="shared" si="105"/>
        <v>0</v>
      </c>
      <c r="BC129" s="938"/>
    </row>
    <row r="130" spans="2:55" s="934" customFormat="1" ht="15">
      <c r="B130" s="909">
        <v>2020</v>
      </c>
      <c r="C130" s="1218" t="s">
        <v>29</v>
      </c>
      <c r="D130" s="932">
        <v>0</v>
      </c>
      <c r="E130" s="932">
        <v>0</v>
      </c>
      <c r="F130" s="932">
        <v>0</v>
      </c>
      <c r="G130" s="932">
        <v>0</v>
      </c>
      <c r="H130" s="932">
        <v>0</v>
      </c>
      <c r="I130" s="932">
        <v>0</v>
      </c>
      <c r="J130" s="932">
        <v>0</v>
      </c>
      <c r="K130" s="932">
        <v>0</v>
      </c>
      <c r="L130" s="932">
        <v>0</v>
      </c>
      <c r="M130" s="932">
        <v>0</v>
      </c>
      <c r="N130" s="932">
        <v>0</v>
      </c>
      <c r="O130" s="932">
        <v>0</v>
      </c>
      <c r="P130" s="932">
        <v>0</v>
      </c>
      <c r="Q130" s="932">
        <v>0</v>
      </c>
      <c r="R130" s="932">
        <v>0</v>
      </c>
      <c r="S130" s="932">
        <v>0</v>
      </c>
      <c r="T130" s="932">
        <v>0</v>
      </c>
      <c r="U130" s="932">
        <v>0</v>
      </c>
      <c r="V130" s="932">
        <v>0</v>
      </c>
      <c r="W130" s="932">
        <v>0</v>
      </c>
      <c r="X130" s="932">
        <v>0</v>
      </c>
      <c r="Y130" s="932">
        <v>0</v>
      </c>
      <c r="Z130" s="932">
        <v>0</v>
      </c>
      <c r="AA130" s="932">
        <v>0</v>
      </c>
      <c r="AB130" s="933">
        <v>0</v>
      </c>
      <c r="AD130" s="935">
        <f t="shared" si="81"/>
        <v>0</v>
      </c>
      <c r="AE130" s="936">
        <f t="shared" si="82"/>
        <v>0</v>
      </c>
      <c r="AF130" s="936">
        <f t="shared" si="83"/>
        <v>0</v>
      </c>
      <c r="AG130" s="936">
        <f t="shared" si="84"/>
        <v>0</v>
      </c>
      <c r="AH130" s="936">
        <f t="shared" si="85"/>
        <v>0</v>
      </c>
      <c r="AI130" s="936">
        <f t="shared" si="86"/>
        <v>0</v>
      </c>
      <c r="AJ130" s="936">
        <f t="shared" si="87"/>
        <v>0</v>
      </c>
      <c r="AK130" s="936">
        <f t="shared" si="88"/>
        <v>0</v>
      </c>
      <c r="AL130" s="936">
        <f t="shared" si="89"/>
        <v>0</v>
      </c>
      <c r="AM130" s="936">
        <f t="shared" si="90"/>
        <v>0</v>
      </c>
      <c r="AN130" s="936">
        <f t="shared" si="91"/>
        <v>0</v>
      </c>
      <c r="AO130" s="936">
        <f t="shared" si="92"/>
        <v>0</v>
      </c>
      <c r="AP130" s="936">
        <f t="shared" si="93"/>
        <v>0</v>
      </c>
      <c r="AQ130" s="936">
        <f t="shared" si="94"/>
        <v>0</v>
      </c>
      <c r="AR130" s="936">
        <f t="shared" si="95"/>
        <v>0</v>
      </c>
      <c r="AS130" s="936">
        <f t="shared" si="96"/>
        <v>0</v>
      </c>
      <c r="AT130" s="936">
        <f t="shared" si="97"/>
        <v>0</v>
      </c>
      <c r="AU130" s="936">
        <f t="shared" si="98"/>
        <v>0</v>
      </c>
      <c r="AV130" s="936">
        <f t="shared" si="99"/>
        <v>0</v>
      </c>
      <c r="AW130" s="936">
        <f t="shared" si="100"/>
        <v>0</v>
      </c>
      <c r="AX130" s="936">
        <f t="shared" si="101"/>
        <v>0</v>
      </c>
      <c r="AY130" s="936">
        <f t="shared" si="102"/>
        <v>0</v>
      </c>
      <c r="AZ130" s="936">
        <f t="shared" si="103"/>
        <v>0</v>
      </c>
      <c r="BA130" s="936">
        <f t="shared" si="104"/>
        <v>0</v>
      </c>
      <c r="BB130" s="937">
        <f t="shared" si="105"/>
        <v>0</v>
      </c>
      <c r="BC130" s="938"/>
    </row>
    <row r="131" spans="2:55" s="934" customFormat="1" ht="15">
      <c r="B131" s="909">
        <v>2021</v>
      </c>
      <c r="C131" s="1218" t="s">
        <v>29</v>
      </c>
      <c r="D131" s="932">
        <v>0</v>
      </c>
      <c r="E131" s="932">
        <v>0</v>
      </c>
      <c r="F131" s="932">
        <v>0</v>
      </c>
      <c r="G131" s="932">
        <v>0</v>
      </c>
      <c r="H131" s="932">
        <v>0</v>
      </c>
      <c r="I131" s="932">
        <v>0</v>
      </c>
      <c r="J131" s="932">
        <v>0</v>
      </c>
      <c r="K131" s="932">
        <v>0</v>
      </c>
      <c r="L131" s="932">
        <v>0</v>
      </c>
      <c r="M131" s="932">
        <v>0</v>
      </c>
      <c r="N131" s="932">
        <v>0</v>
      </c>
      <c r="O131" s="932">
        <v>0</v>
      </c>
      <c r="P131" s="932">
        <v>0</v>
      </c>
      <c r="Q131" s="932">
        <v>0</v>
      </c>
      <c r="R131" s="932">
        <v>0</v>
      </c>
      <c r="S131" s="932">
        <v>0</v>
      </c>
      <c r="T131" s="932">
        <v>0</v>
      </c>
      <c r="U131" s="932">
        <v>0</v>
      </c>
      <c r="V131" s="932">
        <v>0</v>
      </c>
      <c r="W131" s="932">
        <v>0</v>
      </c>
      <c r="X131" s="932">
        <v>0</v>
      </c>
      <c r="Y131" s="932">
        <v>0</v>
      </c>
      <c r="Z131" s="932">
        <v>0</v>
      </c>
      <c r="AA131" s="932">
        <v>0</v>
      </c>
      <c r="AB131" s="933">
        <v>0</v>
      </c>
      <c r="AD131" s="935">
        <f t="shared" si="81"/>
        <v>0</v>
      </c>
      <c r="AE131" s="936">
        <f t="shared" si="82"/>
        <v>0</v>
      </c>
      <c r="AF131" s="936">
        <f t="shared" si="83"/>
        <v>0</v>
      </c>
      <c r="AG131" s="936">
        <f t="shared" si="84"/>
        <v>0</v>
      </c>
      <c r="AH131" s="936">
        <f t="shared" si="85"/>
        <v>0</v>
      </c>
      <c r="AI131" s="936">
        <f t="shared" si="86"/>
        <v>0</v>
      </c>
      <c r="AJ131" s="936">
        <f t="shared" si="87"/>
        <v>0</v>
      </c>
      <c r="AK131" s="936">
        <f t="shared" si="88"/>
        <v>0</v>
      </c>
      <c r="AL131" s="936">
        <f t="shared" si="89"/>
        <v>0</v>
      </c>
      <c r="AM131" s="936">
        <f t="shared" si="90"/>
        <v>0</v>
      </c>
      <c r="AN131" s="936">
        <f t="shared" si="91"/>
        <v>0</v>
      </c>
      <c r="AO131" s="936">
        <f t="shared" si="92"/>
        <v>0</v>
      </c>
      <c r="AP131" s="936">
        <f t="shared" si="93"/>
        <v>0</v>
      </c>
      <c r="AQ131" s="936">
        <f t="shared" si="94"/>
        <v>0</v>
      </c>
      <c r="AR131" s="936">
        <f t="shared" si="95"/>
        <v>0</v>
      </c>
      <c r="AS131" s="936">
        <f t="shared" si="96"/>
        <v>0</v>
      </c>
      <c r="AT131" s="936">
        <f t="shared" si="97"/>
        <v>0</v>
      </c>
      <c r="AU131" s="936">
        <f t="shared" si="98"/>
        <v>0</v>
      </c>
      <c r="AV131" s="936">
        <f t="shared" si="99"/>
        <v>0</v>
      </c>
      <c r="AW131" s="936">
        <f t="shared" si="100"/>
        <v>0</v>
      </c>
      <c r="AX131" s="936">
        <f t="shared" si="101"/>
        <v>0</v>
      </c>
      <c r="AY131" s="936">
        <f t="shared" si="102"/>
        <v>0</v>
      </c>
      <c r="AZ131" s="936">
        <f t="shared" si="103"/>
        <v>0</v>
      </c>
      <c r="BA131" s="936">
        <f t="shared" si="104"/>
        <v>0</v>
      </c>
      <c r="BB131" s="937">
        <f t="shared" si="105"/>
        <v>0</v>
      </c>
      <c r="BC131" s="938"/>
    </row>
    <row r="132" spans="2:55" s="934" customFormat="1" ht="15">
      <c r="B132" s="909">
        <v>2022</v>
      </c>
      <c r="C132" s="1218" t="s">
        <v>29</v>
      </c>
      <c r="D132" s="932">
        <v>0</v>
      </c>
      <c r="E132" s="932">
        <v>0</v>
      </c>
      <c r="F132" s="932">
        <v>0</v>
      </c>
      <c r="G132" s="932">
        <v>0</v>
      </c>
      <c r="H132" s="932">
        <v>0</v>
      </c>
      <c r="I132" s="932">
        <v>0</v>
      </c>
      <c r="J132" s="932">
        <v>0</v>
      </c>
      <c r="K132" s="932">
        <v>0</v>
      </c>
      <c r="L132" s="932">
        <v>0</v>
      </c>
      <c r="M132" s="932">
        <v>0</v>
      </c>
      <c r="N132" s="932">
        <v>0</v>
      </c>
      <c r="O132" s="932">
        <v>0</v>
      </c>
      <c r="P132" s="932">
        <v>0</v>
      </c>
      <c r="Q132" s="932">
        <v>0</v>
      </c>
      <c r="R132" s="932">
        <v>0</v>
      </c>
      <c r="S132" s="932">
        <v>0</v>
      </c>
      <c r="T132" s="932">
        <v>0</v>
      </c>
      <c r="U132" s="932">
        <v>0</v>
      </c>
      <c r="V132" s="932">
        <v>0</v>
      </c>
      <c r="W132" s="932">
        <v>0</v>
      </c>
      <c r="X132" s="932">
        <v>0</v>
      </c>
      <c r="Y132" s="932">
        <v>0</v>
      </c>
      <c r="Z132" s="932">
        <v>0</v>
      </c>
      <c r="AA132" s="932">
        <v>0</v>
      </c>
      <c r="AB132" s="933">
        <v>0</v>
      </c>
      <c r="AD132" s="935">
        <f t="shared" si="81"/>
        <v>0</v>
      </c>
      <c r="AE132" s="936">
        <f t="shared" si="82"/>
        <v>0</v>
      </c>
      <c r="AF132" s="936">
        <f t="shared" si="83"/>
        <v>0</v>
      </c>
      <c r="AG132" s="936">
        <f t="shared" si="84"/>
        <v>0</v>
      </c>
      <c r="AH132" s="936">
        <f t="shared" si="85"/>
        <v>0</v>
      </c>
      <c r="AI132" s="936">
        <f t="shared" si="86"/>
        <v>0</v>
      </c>
      <c r="AJ132" s="936">
        <f t="shared" si="87"/>
        <v>0</v>
      </c>
      <c r="AK132" s="936">
        <f t="shared" si="88"/>
        <v>0</v>
      </c>
      <c r="AL132" s="936">
        <f t="shared" si="89"/>
        <v>0</v>
      </c>
      <c r="AM132" s="936">
        <f t="shared" si="90"/>
        <v>0</v>
      </c>
      <c r="AN132" s="936">
        <f t="shared" si="91"/>
        <v>0</v>
      </c>
      <c r="AO132" s="936">
        <f t="shared" si="92"/>
        <v>0</v>
      </c>
      <c r="AP132" s="936">
        <f t="shared" si="93"/>
        <v>0</v>
      </c>
      <c r="AQ132" s="936">
        <f t="shared" si="94"/>
        <v>0</v>
      </c>
      <c r="AR132" s="936">
        <f t="shared" si="95"/>
        <v>0</v>
      </c>
      <c r="AS132" s="936">
        <f t="shared" si="96"/>
        <v>0</v>
      </c>
      <c r="AT132" s="936">
        <f t="shared" si="97"/>
        <v>0</v>
      </c>
      <c r="AU132" s="936">
        <f t="shared" si="98"/>
        <v>0</v>
      </c>
      <c r="AV132" s="936">
        <f t="shared" si="99"/>
        <v>0</v>
      </c>
      <c r="AW132" s="936">
        <f t="shared" si="100"/>
        <v>0</v>
      </c>
      <c r="AX132" s="936">
        <f t="shared" si="101"/>
        <v>0</v>
      </c>
      <c r="AY132" s="936">
        <f t="shared" si="102"/>
        <v>0</v>
      </c>
      <c r="AZ132" s="936">
        <f t="shared" si="103"/>
        <v>0</v>
      </c>
      <c r="BA132" s="936">
        <f t="shared" si="104"/>
        <v>0</v>
      </c>
      <c r="BB132" s="937">
        <f t="shared" si="105"/>
        <v>0</v>
      </c>
      <c r="BC132" s="938"/>
    </row>
    <row r="133" spans="2:55" s="934" customFormat="1" ht="15">
      <c r="B133" s="909">
        <v>2023</v>
      </c>
      <c r="C133" s="1218" t="s">
        <v>29</v>
      </c>
      <c r="D133" s="932">
        <v>0</v>
      </c>
      <c r="E133" s="932">
        <v>0</v>
      </c>
      <c r="F133" s="932">
        <v>0</v>
      </c>
      <c r="G133" s="932">
        <v>0</v>
      </c>
      <c r="H133" s="932">
        <v>0</v>
      </c>
      <c r="I133" s="932">
        <v>0</v>
      </c>
      <c r="J133" s="932">
        <v>0</v>
      </c>
      <c r="K133" s="932">
        <v>0</v>
      </c>
      <c r="L133" s="932">
        <v>0</v>
      </c>
      <c r="M133" s="932">
        <v>0</v>
      </c>
      <c r="N133" s="932">
        <v>0</v>
      </c>
      <c r="O133" s="932">
        <v>0</v>
      </c>
      <c r="P133" s="932">
        <v>0</v>
      </c>
      <c r="Q133" s="932">
        <v>0</v>
      </c>
      <c r="R133" s="932">
        <v>0</v>
      </c>
      <c r="S133" s="932">
        <v>0</v>
      </c>
      <c r="T133" s="932">
        <v>0</v>
      </c>
      <c r="U133" s="932">
        <v>0</v>
      </c>
      <c r="V133" s="932">
        <v>0</v>
      </c>
      <c r="W133" s="932">
        <v>0</v>
      </c>
      <c r="X133" s="932">
        <v>0</v>
      </c>
      <c r="Y133" s="932">
        <v>0</v>
      </c>
      <c r="Z133" s="932">
        <v>0</v>
      </c>
      <c r="AA133" s="932">
        <v>0</v>
      </c>
      <c r="AB133" s="933">
        <v>0</v>
      </c>
      <c r="AD133" s="935">
        <f t="shared" si="81"/>
        <v>0</v>
      </c>
      <c r="AE133" s="936">
        <f t="shared" si="82"/>
        <v>0</v>
      </c>
      <c r="AF133" s="936">
        <f t="shared" si="83"/>
        <v>0</v>
      </c>
      <c r="AG133" s="936">
        <f t="shared" si="84"/>
        <v>0</v>
      </c>
      <c r="AH133" s="936">
        <f t="shared" si="85"/>
        <v>0</v>
      </c>
      <c r="AI133" s="936">
        <f t="shared" si="86"/>
        <v>0</v>
      </c>
      <c r="AJ133" s="936">
        <f t="shared" si="87"/>
        <v>0</v>
      </c>
      <c r="AK133" s="936">
        <f t="shared" si="88"/>
        <v>0</v>
      </c>
      <c r="AL133" s="936">
        <f t="shared" si="89"/>
        <v>0</v>
      </c>
      <c r="AM133" s="936">
        <f t="shared" si="90"/>
        <v>0</v>
      </c>
      <c r="AN133" s="936">
        <f t="shared" si="91"/>
        <v>0</v>
      </c>
      <c r="AO133" s="936">
        <f t="shared" si="92"/>
        <v>0</v>
      </c>
      <c r="AP133" s="936">
        <f t="shared" si="93"/>
        <v>0</v>
      </c>
      <c r="AQ133" s="936">
        <f t="shared" si="94"/>
        <v>0</v>
      </c>
      <c r="AR133" s="936">
        <f t="shared" si="95"/>
        <v>0</v>
      </c>
      <c r="AS133" s="936">
        <f t="shared" si="96"/>
        <v>0</v>
      </c>
      <c r="AT133" s="936">
        <f t="shared" si="97"/>
        <v>0</v>
      </c>
      <c r="AU133" s="936">
        <f t="shared" si="98"/>
        <v>0</v>
      </c>
      <c r="AV133" s="936">
        <f t="shared" si="99"/>
        <v>0</v>
      </c>
      <c r="AW133" s="936">
        <f t="shared" si="100"/>
        <v>0</v>
      </c>
      <c r="AX133" s="936">
        <f t="shared" si="101"/>
        <v>0</v>
      </c>
      <c r="AY133" s="936">
        <f t="shared" si="102"/>
        <v>0</v>
      </c>
      <c r="AZ133" s="936">
        <f t="shared" si="103"/>
        <v>0</v>
      </c>
      <c r="BA133" s="936">
        <f t="shared" si="104"/>
        <v>0</v>
      </c>
      <c r="BB133" s="937">
        <f t="shared" si="105"/>
        <v>0</v>
      </c>
      <c r="BC133" s="938"/>
    </row>
    <row r="134" spans="2:55" s="934" customFormat="1" ht="15">
      <c r="B134" s="909">
        <v>2024</v>
      </c>
      <c r="C134" s="1218" t="s">
        <v>29</v>
      </c>
      <c r="D134" s="932">
        <v>0</v>
      </c>
      <c r="E134" s="932">
        <v>0</v>
      </c>
      <c r="F134" s="932">
        <v>0</v>
      </c>
      <c r="G134" s="932">
        <v>0</v>
      </c>
      <c r="H134" s="932">
        <v>0</v>
      </c>
      <c r="I134" s="932">
        <v>0</v>
      </c>
      <c r="J134" s="932">
        <v>0</v>
      </c>
      <c r="K134" s="932">
        <v>0</v>
      </c>
      <c r="L134" s="932">
        <v>0</v>
      </c>
      <c r="M134" s="932">
        <v>0</v>
      </c>
      <c r="N134" s="932">
        <v>0</v>
      </c>
      <c r="O134" s="932">
        <v>0</v>
      </c>
      <c r="P134" s="932">
        <v>0</v>
      </c>
      <c r="Q134" s="932">
        <v>0</v>
      </c>
      <c r="R134" s="932">
        <v>0</v>
      </c>
      <c r="S134" s="932">
        <v>0</v>
      </c>
      <c r="T134" s="932">
        <v>0</v>
      </c>
      <c r="U134" s="932">
        <v>0</v>
      </c>
      <c r="V134" s="932">
        <v>0</v>
      </c>
      <c r="W134" s="932">
        <v>0</v>
      </c>
      <c r="X134" s="932">
        <v>0</v>
      </c>
      <c r="Y134" s="932">
        <v>0</v>
      </c>
      <c r="Z134" s="932">
        <v>0</v>
      </c>
      <c r="AA134" s="932">
        <v>0</v>
      </c>
      <c r="AB134" s="933">
        <v>0</v>
      </c>
      <c r="AD134" s="935">
        <f t="shared" si="81"/>
        <v>0</v>
      </c>
      <c r="AE134" s="936">
        <f t="shared" si="82"/>
        <v>0</v>
      </c>
      <c r="AF134" s="936">
        <f t="shared" si="83"/>
        <v>0</v>
      </c>
      <c r="AG134" s="936">
        <f t="shared" si="84"/>
        <v>0</v>
      </c>
      <c r="AH134" s="936">
        <f t="shared" si="85"/>
        <v>0</v>
      </c>
      <c r="AI134" s="936">
        <f t="shared" si="86"/>
        <v>0</v>
      </c>
      <c r="AJ134" s="936">
        <f t="shared" si="87"/>
        <v>0</v>
      </c>
      <c r="AK134" s="936">
        <f t="shared" si="88"/>
        <v>0</v>
      </c>
      <c r="AL134" s="936">
        <f t="shared" si="89"/>
        <v>0</v>
      </c>
      <c r="AM134" s="936">
        <f t="shared" si="90"/>
        <v>0</v>
      </c>
      <c r="AN134" s="936">
        <f t="shared" si="91"/>
        <v>0</v>
      </c>
      <c r="AO134" s="936">
        <f t="shared" si="92"/>
        <v>0</v>
      </c>
      <c r="AP134" s="936">
        <f t="shared" si="93"/>
        <v>0</v>
      </c>
      <c r="AQ134" s="936">
        <f t="shared" si="94"/>
        <v>0</v>
      </c>
      <c r="AR134" s="936">
        <f t="shared" si="95"/>
        <v>0</v>
      </c>
      <c r="AS134" s="936">
        <f t="shared" si="96"/>
        <v>0</v>
      </c>
      <c r="AT134" s="936">
        <f t="shared" si="97"/>
        <v>0</v>
      </c>
      <c r="AU134" s="936">
        <f t="shared" si="98"/>
        <v>0</v>
      </c>
      <c r="AV134" s="936">
        <f t="shared" si="99"/>
        <v>0</v>
      </c>
      <c r="AW134" s="936">
        <f t="shared" si="100"/>
        <v>0</v>
      </c>
      <c r="AX134" s="936">
        <f t="shared" si="101"/>
        <v>0</v>
      </c>
      <c r="AY134" s="936">
        <f t="shared" si="102"/>
        <v>0</v>
      </c>
      <c r="AZ134" s="936">
        <f t="shared" si="103"/>
        <v>0</v>
      </c>
      <c r="BA134" s="936">
        <f t="shared" si="104"/>
        <v>0</v>
      </c>
      <c r="BB134" s="937">
        <f t="shared" si="105"/>
        <v>0</v>
      </c>
      <c r="BC134" s="938"/>
    </row>
    <row r="135" spans="2:55" s="934" customFormat="1" ht="15">
      <c r="B135" s="909">
        <v>2025</v>
      </c>
      <c r="C135" s="1218" t="s">
        <v>803</v>
      </c>
      <c r="D135" s="932">
        <v>0</v>
      </c>
      <c r="E135" s="932">
        <v>0</v>
      </c>
      <c r="F135" s="932">
        <v>0</v>
      </c>
      <c r="G135" s="932">
        <v>0</v>
      </c>
      <c r="H135" s="932">
        <v>0</v>
      </c>
      <c r="I135" s="932">
        <v>0</v>
      </c>
      <c r="J135" s="932">
        <v>0</v>
      </c>
      <c r="K135" s="932">
        <v>0</v>
      </c>
      <c r="L135" s="932">
        <v>0</v>
      </c>
      <c r="M135" s="932">
        <v>0</v>
      </c>
      <c r="N135" s="932">
        <v>0</v>
      </c>
      <c r="O135" s="932">
        <v>0</v>
      </c>
      <c r="P135" s="932">
        <v>0</v>
      </c>
      <c r="Q135" s="932">
        <v>0</v>
      </c>
      <c r="R135" s="932">
        <v>0</v>
      </c>
      <c r="S135" s="932">
        <v>0</v>
      </c>
      <c r="T135" s="932">
        <v>0</v>
      </c>
      <c r="U135" s="932">
        <v>0</v>
      </c>
      <c r="V135" s="932">
        <v>0</v>
      </c>
      <c r="W135" s="932">
        <v>0</v>
      </c>
      <c r="X135" s="932">
        <v>0</v>
      </c>
      <c r="Y135" s="932">
        <v>0</v>
      </c>
      <c r="Z135" s="932">
        <v>0</v>
      </c>
      <c r="AA135" s="932">
        <v>0</v>
      </c>
      <c r="AB135" s="933">
        <v>0</v>
      </c>
      <c r="AD135" s="935">
        <f t="shared" si="81"/>
        <v>0</v>
      </c>
      <c r="AE135" s="936">
        <f t="shared" si="82"/>
        <v>0</v>
      </c>
      <c r="AF135" s="936">
        <f t="shared" si="83"/>
        <v>0</v>
      </c>
      <c r="AG135" s="936">
        <f t="shared" si="84"/>
        <v>0</v>
      </c>
      <c r="AH135" s="936">
        <f t="shared" si="85"/>
        <v>0</v>
      </c>
      <c r="AI135" s="936">
        <f t="shared" si="86"/>
        <v>0</v>
      </c>
      <c r="AJ135" s="936">
        <f t="shared" si="87"/>
        <v>0</v>
      </c>
      <c r="AK135" s="936">
        <f t="shared" si="88"/>
        <v>0</v>
      </c>
      <c r="AL135" s="936">
        <f t="shared" si="89"/>
        <v>0</v>
      </c>
      <c r="AM135" s="936">
        <f t="shared" si="90"/>
        <v>0</v>
      </c>
      <c r="AN135" s="936">
        <f t="shared" si="91"/>
        <v>0</v>
      </c>
      <c r="AO135" s="936">
        <f t="shared" si="92"/>
        <v>0</v>
      </c>
      <c r="AP135" s="936">
        <f t="shared" si="93"/>
        <v>0</v>
      </c>
      <c r="AQ135" s="936">
        <f t="shared" si="94"/>
        <v>0</v>
      </c>
      <c r="AR135" s="936">
        <f t="shared" si="95"/>
        <v>0</v>
      </c>
      <c r="AS135" s="936">
        <f t="shared" si="96"/>
        <v>0</v>
      </c>
      <c r="AT135" s="936">
        <f t="shared" si="97"/>
        <v>0</v>
      </c>
      <c r="AU135" s="936">
        <f t="shared" si="98"/>
        <v>0</v>
      </c>
      <c r="AV135" s="936">
        <f t="shared" si="99"/>
        <v>0</v>
      </c>
      <c r="AW135" s="936">
        <f t="shared" si="100"/>
        <v>0</v>
      </c>
      <c r="AX135" s="936">
        <f t="shared" si="101"/>
        <v>0</v>
      </c>
      <c r="AY135" s="936">
        <f t="shared" si="102"/>
        <v>0</v>
      </c>
      <c r="AZ135" s="936">
        <f t="shared" si="103"/>
        <v>0</v>
      </c>
      <c r="BA135" s="936">
        <f t="shared" si="104"/>
        <v>0</v>
      </c>
      <c r="BB135" s="937">
        <f t="shared" si="105"/>
        <v>0</v>
      </c>
      <c r="BC135" s="938"/>
    </row>
    <row r="136" spans="2:55" s="934" customFormat="1" ht="15">
      <c r="B136" s="909">
        <v>2026</v>
      </c>
      <c r="C136" s="1218" t="s">
        <v>804</v>
      </c>
      <c r="D136" s="932">
        <v>0</v>
      </c>
      <c r="E136" s="932">
        <v>0</v>
      </c>
      <c r="F136" s="932">
        <v>0</v>
      </c>
      <c r="G136" s="932">
        <v>0</v>
      </c>
      <c r="H136" s="932">
        <v>0</v>
      </c>
      <c r="I136" s="932">
        <v>0</v>
      </c>
      <c r="J136" s="932">
        <v>0</v>
      </c>
      <c r="K136" s="932">
        <v>0</v>
      </c>
      <c r="L136" s="932">
        <v>0</v>
      </c>
      <c r="M136" s="932">
        <v>0</v>
      </c>
      <c r="N136" s="932">
        <v>0</v>
      </c>
      <c r="O136" s="932">
        <v>0</v>
      </c>
      <c r="P136" s="932">
        <v>0</v>
      </c>
      <c r="Q136" s="932">
        <v>0</v>
      </c>
      <c r="R136" s="932">
        <v>0</v>
      </c>
      <c r="S136" s="932">
        <v>0</v>
      </c>
      <c r="T136" s="932">
        <v>0</v>
      </c>
      <c r="U136" s="932">
        <v>0</v>
      </c>
      <c r="V136" s="932">
        <v>0</v>
      </c>
      <c r="W136" s="932">
        <v>0</v>
      </c>
      <c r="X136" s="932">
        <v>0</v>
      </c>
      <c r="Y136" s="932">
        <v>0</v>
      </c>
      <c r="Z136" s="932">
        <v>0</v>
      </c>
      <c r="AA136" s="932">
        <v>0</v>
      </c>
      <c r="AB136" s="933">
        <v>0</v>
      </c>
      <c r="AD136" s="935">
        <f t="shared" si="81"/>
        <v>0</v>
      </c>
      <c r="AE136" s="936">
        <f t="shared" si="82"/>
        <v>0</v>
      </c>
      <c r="AF136" s="936">
        <f t="shared" si="83"/>
        <v>0</v>
      </c>
      <c r="AG136" s="936">
        <f t="shared" si="84"/>
        <v>0</v>
      </c>
      <c r="AH136" s="936">
        <f t="shared" si="85"/>
        <v>0</v>
      </c>
      <c r="AI136" s="936">
        <f t="shared" si="86"/>
        <v>0</v>
      </c>
      <c r="AJ136" s="936">
        <f t="shared" si="87"/>
        <v>0</v>
      </c>
      <c r="AK136" s="936">
        <f t="shared" si="88"/>
        <v>0</v>
      </c>
      <c r="AL136" s="936">
        <f t="shared" si="89"/>
        <v>0</v>
      </c>
      <c r="AM136" s="936">
        <f t="shared" si="90"/>
        <v>0</v>
      </c>
      <c r="AN136" s="936">
        <f t="shared" si="91"/>
        <v>0</v>
      </c>
      <c r="AO136" s="936">
        <f t="shared" si="92"/>
        <v>0</v>
      </c>
      <c r="AP136" s="936">
        <f t="shared" si="93"/>
        <v>0</v>
      </c>
      <c r="AQ136" s="936">
        <f t="shared" si="94"/>
        <v>0</v>
      </c>
      <c r="AR136" s="936">
        <f t="shared" si="95"/>
        <v>0</v>
      </c>
      <c r="AS136" s="936">
        <f t="shared" si="96"/>
        <v>0</v>
      </c>
      <c r="AT136" s="936">
        <f t="shared" si="97"/>
        <v>0</v>
      </c>
      <c r="AU136" s="936">
        <f t="shared" si="98"/>
        <v>0</v>
      </c>
      <c r="AV136" s="936">
        <f t="shared" si="99"/>
        <v>0</v>
      </c>
      <c r="AW136" s="936">
        <f t="shared" si="100"/>
        <v>0</v>
      </c>
      <c r="AX136" s="936">
        <f t="shared" si="101"/>
        <v>0</v>
      </c>
      <c r="AY136" s="936">
        <f t="shared" si="102"/>
        <v>0</v>
      </c>
      <c r="AZ136" s="936">
        <f t="shared" si="103"/>
        <v>0</v>
      </c>
      <c r="BA136" s="936">
        <f t="shared" si="104"/>
        <v>0</v>
      </c>
      <c r="BB136" s="937">
        <f t="shared" si="105"/>
        <v>0</v>
      </c>
      <c r="BC136" s="938"/>
    </row>
    <row r="137" spans="2:55" s="934" customFormat="1" ht="15">
      <c r="B137" s="909">
        <v>2027</v>
      </c>
      <c r="C137" s="1218" t="s">
        <v>805</v>
      </c>
      <c r="D137" s="932">
        <v>0</v>
      </c>
      <c r="E137" s="932">
        <v>0</v>
      </c>
      <c r="F137" s="932">
        <v>0</v>
      </c>
      <c r="G137" s="932">
        <v>0</v>
      </c>
      <c r="H137" s="932">
        <v>0</v>
      </c>
      <c r="I137" s="932">
        <v>0</v>
      </c>
      <c r="J137" s="932">
        <v>0</v>
      </c>
      <c r="K137" s="932">
        <v>0</v>
      </c>
      <c r="L137" s="932">
        <v>0</v>
      </c>
      <c r="M137" s="932">
        <v>0</v>
      </c>
      <c r="N137" s="932">
        <v>0</v>
      </c>
      <c r="O137" s="932">
        <v>0</v>
      </c>
      <c r="P137" s="932">
        <v>0</v>
      </c>
      <c r="Q137" s="932">
        <v>0</v>
      </c>
      <c r="R137" s="932">
        <v>0</v>
      </c>
      <c r="S137" s="932">
        <v>0</v>
      </c>
      <c r="T137" s="932">
        <v>0</v>
      </c>
      <c r="U137" s="932">
        <v>0</v>
      </c>
      <c r="V137" s="932">
        <v>0</v>
      </c>
      <c r="W137" s="932">
        <v>0</v>
      </c>
      <c r="X137" s="932">
        <v>0</v>
      </c>
      <c r="Y137" s="932">
        <v>0</v>
      </c>
      <c r="Z137" s="932">
        <v>0</v>
      </c>
      <c r="AA137" s="932">
        <v>0</v>
      </c>
      <c r="AB137" s="933">
        <v>0</v>
      </c>
      <c r="AD137" s="935">
        <f t="shared" si="81"/>
        <v>0</v>
      </c>
      <c r="AE137" s="936">
        <f t="shared" si="82"/>
        <v>0</v>
      </c>
      <c r="AF137" s="936">
        <f t="shared" si="83"/>
        <v>0</v>
      </c>
      <c r="AG137" s="936">
        <f t="shared" si="84"/>
        <v>0</v>
      </c>
      <c r="AH137" s="936">
        <f t="shared" si="85"/>
        <v>0</v>
      </c>
      <c r="AI137" s="936">
        <f t="shared" si="86"/>
        <v>0</v>
      </c>
      <c r="AJ137" s="936">
        <f t="shared" si="87"/>
        <v>0</v>
      </c>
      <c r="AK137" s="936">
        <f t="shared" si="88"/>
        <v>0</v>
      </c>
      <c r="AL137" s="936">
        <f t="shared" si="89"/>
        <v>0</v>
      </c>
      <c r="AM137" s="936">
        <f t="shared" si="90"/>
        <v>0</v>
      </c>
      <c r="AN137" s="936">
        <f t="shared" si="91"/>
        <v>0</v>
      </c>
      <c r="AO137" s="936">
        <f t="shared" si="92"/>
        <v>0</v>
      </c>
      <c r="AP137" s="936">
        <f t="shared" si="93"/>
        <v>0</v>
      </c>
      <c r="AQ137" s="936">
        <f t="shared" si="94"/>
        <v>0</v>
      </c>
      <c r="AR137" s="936">
        <f t="shared" si="95"/>
        <v>0</v>
      </c>
      <c r="AS137" s="936">
        <f t="shared" si="96"/>
        <v>0</v>
      </c>
      <c r="AT137" s="936">
        <f t="shared" si="97"/>
        <v>0</v>
      </c>
      <c r="AU137" s="936">
        <f t="shared" si="98"/>
        <v>0</v>
      </c>
      <c r="AV137" s="936">
        <f t="shared" si="99"/>
        <v>0</v>
      </c>
      <c r="AW137" s="936">
        <f t="shared" si="100"/>
        <v>0</v>
      </c>
      <c r="AX137" s="936">
        <f t="shared" si="101"/>
        <v>0</v>
      </c>
      <c r="AY137" s="936">
        <f t="shared" si="102"/>
        <v>0</v>
      </c>
      <c r="AZ137" s="936">
        <f t="shared" si="103"/>
        <v>0</v>
      </c>
      <c r="BA137" s="936">
        <f t="shared" si="104"/>
        <v>0</v>
      </c>
      <c r="BB137" s="937">
        <f t="shared" si="105"/>
        <v>0</v>
      </c>
      <c r="BC137" s="938"/>
    </row>
    <row r="138" spans="2:55" s="934" customFormat="1" ht="15">
      <c r="B138" s="909">
        <v>2028</v>
      </c>
      <c r="C138" s="1218" t="s">
        <v>806</v>
      </c>
      <c r="D138" s="932">
        <v>0</v>
      </c>
      <c r="E138" s="932">
        <v>0</v>
      </c>
      <c r="F138" s="932">
        <v>0</v>
      </c>
      <c r="G138" s="932">
        <v>0</v>
      </c>
      <c r="H138" s="932">
        <v>0</v>
      </c>
      <c r="I138" s="932">
        <v>0</v>
      </c>
      <c r="J138" s="932">
        <v>0</v>
      </c>
      <c r="K138" s="932">
        <v>0</v>
      </c>
      <c r="L138" s="932">
        <v>0</v>
      </c>
      <c r="M138" s="932">
        <v>0</v>
      </c>
      <c r="N138" s="932">
        <v>0</v>
      </c>
      <c r="O138" s="932">
        <v>0</v>
      </c>
      <c r="P138" s="932">
        <v>0</v>
      </c>
      <c r="Q138" s="932">
        <v>0</v>
      </c>
      <c r="R138" s="932">
        <v>0</v>
      </c>
      <c r="S138" s="932">
        <v>0</v>
      </c>
      <c r="T138" s="932">
        <v>0</v>
      </c>
      <c r="U138" s="932">
        <v>0</v>
      </c>
      <c r="V138" s="932">
        <v>0</v>
      </c>
      <c r="W138" s="932">
        <v>0</v>
      </c>
      <c r="X138" s="932">
        <v>0</v>
      </c>
      <c r="Y138" s="932">
        <v>0</v>
      </c>
      <c r="Z138" s="932">
        <v>0</v>
      </c>
      <c r="AA138" s="932">
        <v>0</v>
      </c>
      <c r="AB138" s="933">
        <v>0</v>
      </c>
      <c r="AD138" s="935">
        <f t="shared" si="81"/>
        <v>0</v>
      </c>
      <c r="AE138" s="936">
        <f t="shared" si="82"/>
        <v>0</v>
      </c>
      <c r="AF138" s="936">
        <f t="shared" si="83"/>
        <v>0</v>
      </c>
      <c r="AG138" s="936">
        <f t="shared" si="84"/>
        <v>0</v>
      </c>
      <c r="AH138" s="936">
        <f t="shared" si="85"/>
        <v>0</v>
      </c>
      <c r="AI138" s="936">
        <f t="shared" si="86"/>
        <v>0</v>
      </c>
      <c r="AJ138" s="936">
        <f t="shared" si="87"/>
        <v>0</v>
      </c>
      <c r="AK138" s="936">
        <f t="shared" si="88"/>
        <v>0</v>
      </c>
      <c r="AL138" s="936">
        <f t="shared" si="89"/>
        <v>0</v>
      </c>
      <c r="AM138" s="936">
        <f t="shared" si="90"/>
        <v>0</v>
      </c>
      <c r="AN138" s="936">
        <f t="shared" si="91"/>
        <v>0</v>
      </c>
      <c r="AO138" s="936">
        <f t="shared" si="92"/>
        <v>0</v>
      </c>
      <c r="AP138" s="936">
        <f t="shared" si="93"/>
        <v>0</v>
      </c>
      <c r="AQ138" s="936">
        <f t="shared" si="94"/>
        <v>0</v>
      </c>
      <c r="AR138" s="936">
        <f t="shared" si="95"/>
        <v>0</v>
      </c>
      <c r="AS138" s="936">
        <f t="shared" si="96"/>
        <v>0</v>
      </c>
      <c r="AT138" s="936">
        <f t="shared" si="97"/>
        <v>0</v>
      </c>
      <c r="AU138" s="936">
        <f t="shared" si="98"/>
        <v>0</v>
      </c>
      <c r="AV138" s="936">
        <f t="shared" si="99"/>
        <v>0</v>
      </c>
      <c r="AW138" s="936">
        <f t="shared" si="100"/>
        <v>0</v>
      </c>
      <c r="AX138" s="936">
        <f t="shared" si="101"/>
        <v>0</v>
      </c>
      <c r="AY138" s="936">
        <f t="shared" si="102"/>
        <v>0</v>
      </c>
      <c r="AZ138" s="936">
        <f t="shared" si="103"/>
        <v>0</v>
      </c>
      <c r="BA138" s="936">
        <f t="shared" si="104"/>
        <v>0</v>
      </c>
      <c r="BB138" s="937">
        <f t="shared" si="105"/>
        <v>0</v>
      </c>
      <c r="BC138" s="938"/>
    </row>
    <row r="139" spans="2:55" s="934" customFormat="1" ht="15">
      <c r="B139" s="909">
        <v>2029</v>
      </c>
      <c r="C139" s="1218" t="s">
        <v>807</v>
      </c>
      <c r="D139" s="932">
        <v>0</v>
      </c>
      <c r="E139" s="932">
        <v>0</v>
      </c>
      <c r="F139" s="932">
        <v>0</v>
      </c>
      <c r="G139" s="932">
        <v>0</v>
      </c>
      <c r="H139" s="932">
        <v>0</v>
      </c>
      <c r="I139" s="932">
        <v>0</v>
      </c>
      <c r="J139" s="932">
        <v>0</v>
      </c>
      <c r="K139" s="932">
        <v>0</v>
      </c>
      <c r="L139" s="932">
        <v>0</v>
      </c>
      <c r="M139" s="932">
        <v>0</v>
      </c>
      <c r="N139" s="932">
        <v>0</v>
      </c>
      <c r="O139" s="932">
        <v>0</v>
      </c>
      <c r="P139" s="932">
        <v>0</v>
      </c>
      <c r="Q139" s="932">
        <v>0</v>
      </c>
      <c r="R139" s="932">
        <v>0</v>
      </c>
      <c r="S139" s="932">
        <v>0</v>
      </c>
      <c r="T139" s="932">
        <v>0</v>
      </c>
      <c r="U139" s="932">
        <v>0</v>
      </c>
      <c r="V139" s="932">
        <v>0</v>
      </c>
      <c r="W139" s="932">
        <v>0</v>
      </c>
      <c r="X139" s="932">
        <v>0</v>
      </c>
      <c r="Y139" s="932">
        <v>0</v>
      </c>
      <c r="Z139" s="932">
        <v>0</v>
      </c>
      <c r="AA139" s="932">
        <v>0</v>
      </c>
      <c r="AB139" s="933">
        <v>0</v>
      </c>
      <c r="AD139" s="935">
        <f t="shared" si="81"/>
        <v>0</v>
      </c>
      <c r="AE139" s="936">
        <f t="shared" si="82"/>
        <v>0</v>
      </c>
      <c r="AF139" s="936">
        <f t="shared" si="83"/>
        <v>0</v>
      </c>
      <c r="AG139" s="936">
        <f t="shared" si="84"/>
        <v>0</v>
      </c>
      <c r="AH139" s="936">
        <f t="shared" si="85"/>
        <v>0</v>
      </c>
      <c r="AI139" s="936">
        <f t="shared" si="86"/>
        <v>0</v>
      </c>
      <c r="AJ139" s="936">
        <f t="shared" si="87"/>
        <v>0</v>
      </c>
      <c r="AK139" s="936">
        <f t="shared" si="88"/>
        <v>0</v>
      </c>
      <c r="AL139" s="936">
        <f t="shared" si="89"/>
        <v>0</v>
      </c>
      <c r="AM139" s="936">
        <f t="shared" si="90"/>
        <v>0</v>
      </c>
      <c r="AN139" s="936">
        <f t="shared" si="91"/>
        <v>0</v>
      </c>
      <c r="AO139" s="936">
        <f t="shared" si="92"/>
        <v>0</v>
      </c>
      <c r="AP139" s="936">
        <f t="shared" si="93"/>
        <v>0</v>
      </c>
      <c r="AQ139" s="936">
        <f t="shared" si="94"/>
        <v>0</v>
      </c>
      <c r="AR139" s="936">
        <f t="shared" si="95"/>
        <v>0</v>
      </c>
      <c r="AS139" s="936">
        <f t="shared" si="96"/>
        <v>0</v>
      </c>
      <c r="AT139" s="936">
        <f t="shared" si="97"/>
        <v>0</v>
      </c>
      <c r="AU139" s="936">
        <f t="shared" si="98"/>
        <v>0</v>
      </c>
      <c r="AV139" s="936">
        <f t="shared" si="99"/>
        <v>0</v>
      </c>
      <c r="AW139" s="936">
        <f t="shared" si="100"/>
        <v>0</v>
      </c>
      <c r="AX139" s="936">
        <f t="shared" si="101"/>
        <v>0</v>
      </c>
      <c r="AY139" s="936">
        <f t="shared" si="102"/>
        <v>0</v>
      </c>
      <c r="AZ139" s="936">
        <f t="shared" si="103"/>
        <v>0</v>
      </c>
      <c r="BA139" s="936">
        <f t="shared" si="104"/>
        <v>0</v>
      </c>
      <c r="BB139" s="937">
        <f t="shared" si="105"/>
        <v>0</v>
      </c>
      <c r="BC139" s="938"/>
    </row>
    <row r="140" spans="2:55" s="934" customFormat="1" ht="15">
      <c r="B140" s="909">
        <v>2030</v>
      </c>
      <c r="C140" s="1218" t="s">
        <v>808</v>
      </c>
      <c r="D140" s="932">
        <v>9.8715447810227399</v>
      </c>
      <c r="E140" s="932">
        <v>9.8715447810227399</v>
      </c>
      <c r="F140" s="932">
        <v>9.8715447810227399</v>
      </c>
      <c r="G140" s="932">
        <v>9.8715447810227399</v>
      </c>
      <c r="H140" s="932">
        <v>9.8715447810227399</v>
      </c>
      <c r="I140" s="932">
        <v>9.8715447810227399</v>
      </c>
      <c r="J140" s="932">
        <v>9.8715447810227399</v>
      </c>
      <c r="K140" s="932">
        <v>9.8715447810227399</v>
      </c>
      <c r="L140" s="932">
        <v>9.8715447810227399</v>
      </c>
      <c r="M140" s="932">
        <v>9.8715447810227399</v>
      </c>
      <c r="N140" s="932">
        <v>9.8715447810227399</v>
      </c>
      <c r="O140" s="932">
        <v>9.8715447810227399</v>
      </c>
      <c r="P140" s="932">
        <v>9.8715447810227399</v>
      </c>
      <c r="Q140" s="932">
        <v>9.8715447810227399</v>
      </c>
      <c r="R140" s="932">
        <v>9.8715447810227399</v>
      </c>
      <c r="S140" s="932">
        <v>9.8715447810227399</v>
      </c>
      <c r="T140" s="932">
        <v>9.8715447810227399</v>
      </c>
      <c r="U140" s="932">
        <v>9.8715447810227399</v>
      </c>
      <c r="V140" s="932">
        <v>9.8715447810227399</v>
      </c>
      <c r="W140" s="932">
        <v>9.8715447810227399</v>
      </c>
      <c r="X140" s="932">
        <v>9.8715447810227399</v>
      </c>
      <c r="Y140" s="932">
        <v>9.8715447810227399</v>
      </c>
      <c r="Z140" s="932">
        <v>9.8715447810227399</v>
      </c>
      <c r="AA140" s="932">
        <v>9.8715447810227399</v>
      </c>
      <c r="AB140" s="933">
        <v>9.8715447810227399</v>
      </c>
      <c r="AD140" s="935">
        <f t="shared" si="81"/>
        <v>15.790646919965761</v>
      </c>
      <c r="AE140" s="936">
        <f t="shared" si="82"/>
        <v>15.790646919965761</v>
      </c>
      <c r="AF140" s="936">
        <f t="shared" si="83"/>
        <v>15.790646919965761</v>
      </c>
      <c r="AG140" s="936">
        <f t="shared" si="84"/>
        <v>15.790646919965761</v>
      </c>
      <c r="AH140" s="936">
        <f t="shared" si="85"/>
        <v>15.790646919965761</v>
      </c>
      <c r="AI140" s="936">
        <f t="shared" si="86"/>
        <v>15.790646919965761</v>
      </c>
      <c r="AJ140" s="936">
        <f t="shared" si="87"/>
        <v>15.790646919965761</v>
      </c>
      <c r="AK140" s="936">
        <f t="shared" si="88"/>
        <v>15.790646919965761</v>
      </c>
      <c r="AL140" s="936">
        <f t="shared" si="89"/>
        <v>15.790646919965761</v>
      </c>
      <c r="AM140" s="936">
        <f t="shared" si="90"/>
        <v>15.790646919965761</v>
      </c>
      <c r="AN140" s="936">
        <f t="shared" si="91"/>
        <v>15.790646919965761</v>
      </c>
      <c r="AO140" s="936">
        <f t="shared" si="92"/>
        <v>15.790646919965761</v>
      </c>
      <c r="AP140" s="936">
        <f t="shared" si="93"/>
        <v>15.790646919965761</v>
      </c>
      <c r="AQ140" s="936">
        <f t="shared" si="94"/>
        <v>15.790646919965761</v>
      </c>
      <c r="AR140" s="936">
        <f t="shared" si="95"/>
        <v>15.790646919965761</v>
      </c>
      <c r="AS140" s="936">
        <f t="shared" si="96"/>
        <v>15.790646919965761</v>
      </c>
      <c r="AT140" s="936">
        <f t="shared" si="97"/>
        <v>15.790646919965761</v>
      </c>
      <c r="AU140" s="936">
        <f t="shared" si="98"/>
        <v>15.790646919965761</v>
      </c>
      <c r="AV140" s="936">
        <f t="shared" si="99"/>
        <v>15.790646919965761</v>
      </c>
      <c r="AW140" s="936">
        <f t="shared" si="100"/>
        <v>15.790646919965761</v>
      </c>
      <c r="AX140" s="936">
        <f t="shared" si="101"/>
        <v>15.790646919965761</v>
      </c>
      <c r="AY140" s="936">
        <f t="shared" si="102"/>
        <v>15.790646919965761</v>
      </c>
      <c r="AZ140" s="936">
        <f t="shared" si="103"/>
        <v>15.790646919965761</v>
      </c>
      <c r="BA140" s="936">
        <f t="shared" si="104"/>
        <v>15.790646919965761</v>
      </c>
      <c r="BB140" s="937">
        <f t="shared" si="105"/>
        <v>15.790646919965761</v>
      </c>
      <c r="BC140" s="938"/>
    </row>
    <row r="141" spans="2:55" s="934" customFormat="1" ht="15">
      <c r="B141" s="909">
        <v>2031</v>
      </c>
      <c r="C141" s="1218" t="s">
        <v>809</v>
      </c>
      <c r="D141" s="932">
        <v>4.981155263757012</v>
      </c>
      <c r="E141" s="932">
        <v>15.010326935750998</v>
      </c>
      <c r="F141" s="932">
        <v>15.010326935750998</v>
      </c>
      <c r="G141" s="932">
        <v>15.010326935750998</v>
      </c>
      <c r="H141" s="932">
        <v>15.010326935750998</v>
      </c>
      <c r="I141" s="932">
        <v>15.010326935750998</v>
      </c>
      <c r="J141" s="932">
        <v>15.010326935750998</v>
      </c>
      <c r="K141" s="932">
        <v>15.010326935750998</v>
      </c>
      <c r="L141" s="932">
        <v>15.010326935750998</v>
      </c>
      <c r="M141" s="932">
        <v>15.010326935750998</v>
      </c>
      <c r="N141" s="932">
        <v>15.010326935750998</v>
      </c>
      <c r="O141" s="932">
        <v>15.010326935750998</v>
      </c>
      <c r="P141" s="932">
        <v>15.010326935750998</v>
      </c>
      <c r="Q141" s="932">
        <v>15.010326935750998</v>
      </c>
      <c r="R141" s="932">
        <v>15.010326935750998</v>
      </c>
      <c r="S141" s="932">
        <v>15.010326935750998</v>
      </c>
      <c r="T141" s="932">
        <v>15.010326935750998</v>
      </c>
      <c r="U141" s="932">
        <v>15.010326935750998</v>
      </c>
      <c r="V141" s="932">
        <v>15.010326935750998</v>
      </c>
      <c r="W141" s="932">
        <v>15.010326935750998</v>
      </c>
      <c r="X141" s="932">
        <v>15.010326935750998</v>
      </c>
      <c r="Y141" s="932">
        <v>15.010326935750998</v>
      </c>
      <c r="Z141" s="932">
        <v>15.010326935750998</v>
      </c>
      <c r="AA141" s="932">
        <v>15.010326935750998</v>
      </c>
      <c r="AB141" s="933">
        <v>15.010326935750998</v>
      </c>
      <c r="AD141" s="935">
        <f t="shared" si="81"/>
        <v>7.9679184735833006</v>
      </c>
      <c r="AE141" s="936">
        <f t="shared" si="82"/>
        <v>24.010707346569813</v>
      </c>
      <c r="AF141" s="936">
        <f t="shared" si="83"/>
        <v>24.010707346569813</v>
      </c>
      <c r="AG141" s="936">
        <f t="shared" si="84"/>
        <v>24.010707346569813</v>
      </c>
      <c r="AH141" s="936">
        <f t="shared" si="85"/>
        <v>24.010707346569813</v>
      </c>
      <c r="AI141" s="936">
        <f t="shared" si="86"/>
        <v>24.010707346569813</v>
      </c>
      <c r="AJ141" s="936">
        <f t="shared" si="87"/>
        <v>24.010707346569813</v>
      </c>
      <c r="AK141" s="936">
        <f t="shared" si="88"/>
        <v>24.010707346569813</v>
      </c>
      <c r="AL141" s="936">
        <f t="shared" si="89"/>
        <v>24.010707346569813</v>
      </c>
      <c r="AM141" s="936">
        <f t="shared" si="90"/>
        <v>24.010707346569813</v>
      </c>
      <c r="AN141" s="936">
        <f t="shared" si="91"/>
        <v>24.010707346569813</v>
      </c>
      <c r="AO141" s="936">
        <f t="shared" si="92"/>
        <v>24.010707346569813</v>
      </c>
      <c r="AP141" s="936">
        <f t="shared" si="93"/>
        <v>24.010707346569813</v>
      </c>
      <c r="AQ141" s="936">
        <f t="shared" si="94"/>
        <v>24.010707346569813</v>
      </c>
      <c r="AR141" s="936">
        <f t="shared" si="95"/>
        <v>24.010707346569813</v>
      </c>
      <c r="AS141" s="936">
        <f t="shared" si="96"/>
        <v>24.010707346569813</v>
      </c>
      <c r="AT141" s="936">
        <f t="shared" si="97"/>
        <v>24.010707346569813</v>
      </c>
      <c r="AU141" s="936">
        <f t="shared" si="98"/>
        <v>24.010707346569813</v>
      </c>
      <c r="AV141" s="936">
        <f t="shared" si="99"/>
        <v>24.010707346569813</v>
      </c>
      <c r="AW141" s="936">
        <f t="shared" si="100"/>
        <v>24.010707346569813</v>
      </c>
      <c r="AX141" s="936">
        <f t="shared" si="101"/>
        <v>24.010707346569813</v>
      </c>
      <c r="AY141" s="936">
        <f t="shared" si="102"/>
        <v>24.010707346569813</v>
      </c>
      <c r="AZ141" s="936">
        <f t="shared" si="103"/>
        <v>24.010707346569813</v>
      </c>
      <c r="BA141" s="936">
        <f t="shared" si="104"/>
        <v>24.010707346569813</v>
      </c>
      <c r="BB141" s="937">
        <f t="shared" si="105"/>
        <v>24.010707346569813</v>
      </c>
      <c r="BC141" s="938"/>
    </row>
    <row r="142" spans="2:55" s="934" customFormat="1" ht="15">
      <c r="B142" s="909">
        <v>2032</v>
      </c>
      <c r="C142" s="1218" t="s">
        <v>810</v>
      </c>
      <c r="D142" s="932">
        <v>3.9903170047527214</v>
      </c>
      <c r="E142" s="932">
        <v>9.0289376293981061</v>
      </c>
      <c r="F142" s="932">
        <v>19.173811370294853</v>
      </c>
      <c r="G142" s="932">
        <v>19.173811370294853</v>
      </c>
      <c r="H142" s="932">
        <v>19.173811370294853</v>
      </c>
      <c r="I142" s="932">
        <v>19.173811370294853</v>
      </c>
      <c r="J142" s="932">
        <v>19.173811370294853</v>
      </c>
      <c r="K142" s="932">
        <v>19.173811370294853</v>
      </c>
      <c r="L142" s="932">
        <v>19.173811370294853</v>
      </c>
      <c r="M142" s="932">
        <v>19.173811370294853</v>
      </c>
      <c r="N142" s="932">
        <v>19.173811370294853</v>
      </c>
      <c r="O142" s="932">
        <v>19.173811370294853</v>
      </c>
      <c r="P142" s="932">
        <v>19.173811370294853</v>
      </c>
      <c r="Q142" s="932">
        <v>19.173811370294853</v>
      </c>
      <c r="R142" s="932">
        <v>19.173811370294853</v>
      </c>
      <c r="S142" s="932">
        <v>19.173811370294853</v>
      </c>
      <c r="T142" s="932">
        <v>19.173811370294853</v>
      </c>
      <c r="U142" s="932">
        <v>19.173811370294853</v>
      </c>
      <c r="V142" s="932">
        <v>19.173811370294853</v>
      </c>
      <c r="W142" s="932">
        <v>19.173811370294853</v>
      </c>
      <c r="X142" s="932">
        <v>19.173811370294853</v>
      </c>
      <c r="Y142" s="932">
        <v>19.173811370294853</v>
      </c>
      <c r="Z142" s="932">
        <v>19.173811370294853</v>
      </c>
      <c r="AA142" s="932">
        <v>19.173811370294853</v>
      </c>
      <c r="AB142" s="933">
        <v>19.173811370294853</v>
      </c>
      <c r="AD142" s="935">
        <f t="shared" si="81"/>
        <v>6.3829611594242754</v>
      </c>
      <c r="AE142" s="936">
        <f t="shared" si="82"/>
        <v>14.442801945476962</v>
      </c>
      <c r="AF142" s="936">
        <f t="shared" si="83"/>
        <v>30.670669299945455</v>
      </c>
      <c r="AG142" s="936">
        <f t="shared" si="84"/>
        <v>30.670669299945455</v>
      </c>
      <c r="AH142" s="936">
        <f t="shared" si="85"/>
        <v>30.670669299945455</v>
      </c>
      <c r="AI142" s="936">
        <f t="shared" si="86"/>
        <v>30.670669299945455</v>
      </c>
      <c r="AJ142" s="936">
        <f t="shared" si="87"/>
        <v>30.670669299945455</v>
      </c>
      <c r="AK142" s="936">
        <f t="shared" si="88"/>
        <v>30.670669299945455</v>
      </c>
      <c r="AL142" s="936">
        <f t="shared" si="89"/>
        <v>30.670669299945455</v>
      </c>
      <c r="AM142" s="936">
        <f t="shared" si="90"/>
        <v>30.670669299945455</v>
      </c>
      <c r="AN142" s="936">
        <f t="shared" si="91"/>
        <v>30.670669299945455</v>
      </c>
      <c r="AO142" s="936">
        <f t="shared" si="92"/>
        <v>30.670669299945455</v>
      </c>
      <c r="AP142" s="936">
        <f t="shared" si="93"/>
        <v>30.670669299945455</v>
      </c>
      <c r="AQ142" s="936">
        <f t="shared" si="94"/>
        <v>30.670669299945455</v>
      </c>
      <c r="AR142" s="936">
        <f t="shared" si="95"/>
        <v>30.670669299945455</v>
      </c>
      <c r="AS142" s="936">
        <f t="shared" si="96"/>
        <v>30.670669299945455</v>
      </c>
      <c r="AT142" s="936">
        <f t="shared" si="97"/>
        <v>30.670669299945455</v>
      </c>
      <c r="AU142" s="936">
        <f t="shared" si="98"/>
        <v>30.670669299945455</v>
      </c>
      <c r="AV142" s="936">
        <f t="shared" si="99"/>
        <v>30.670669299945455</v>
      </c>
      <c r="AW142" s="936">
        <f t="shared" si="100"/>
        <v>30.670669299945455</v>
      </c>
      <c r="AX142" s="936">
        <f t="shared" si="101"/>
        <v>30.670669299945455</v>
      </c>
      <c r="AY142" s="936">
        <f t="shared" si="102"/>
        <v>30.670669299945455</v>
      </c>
      <c r="AZ142" s="936">
        <f t="shared" si="103"/>
        <v>30.670669299945455</v>
      </c>
      <c r="BA142" s="936">
        <f t="shared" si="104"/>
        <v>30.670669299945455</v>
      </c>
      <c r="BB142" s="937">
        <f t="shared" si="105"/>
        <v>30.670669299945455</v>
      </c>
      <c r="BC142" s="938"/>
    </row>
    <row r="143" spans="2:55" s="934" customFormat="1" ht="15">
      <c r="B143" s="909">
        <v>2033</v>
      </c>
      <c r="C143" s="1218" t="s">
        <v>811</v>
      </c>
      <c r="D143" s="932">
        <v>2.8650423503324185</v>
      </c>
      <c r="E143" s="932">
        <v>6.9382350893592291</v>
      </c>
      <c r="F143" s="932">
        <v>12.081503886943935</v>
      </c>
      <c r="G143" s="932">
        <v>22.437078647181583</v>
      </c>
      <c r="H143" s="932">
        <v>22.437078647181583</v>
      </c>
      <c r="I143" s="932">
        <v>22.437078647181583</v>
      </c>
      <c r="J143" s="932">
        <v>22.437078647181583</v>
      </c>
      <c r="K143" s="932">
        <v>22.437078647181583</v>
      </c>
      <c r="L143" s="932">
        <v>22.437078647181583</v>
      </c>
      <c r="M143" s="932">
        <v>22.437078647181583</v>
      </c>
      <c r="N143" s="932">
        <v>22.437078647181583</v>
      </c>
      <c r="O143" s="932">
        <v>22.437078647181583</v>
      </c>
      <c r="P143" s="932">
        <v>22.437078647181583</v>
      </c>
      <c r="Q143" s="932">
        <v>22.437078647181583</v>
      </c>
      <c r="R143" s="932">
        <v>22.437078647181583</v>
      </c>
      <c r="S143" s="932">
        <v>22.437078647181583</v>
      </c>
      <c r="T143" s="932">
        <v>22.437078647181583</v>
      </c>
      <c r="U143" s="932">
        <v>22.437078647181583</v>
      </c>
      <c r="V143" s="932">
        <v>22.437078647181583</v>
      </c>
      <c r="W143" s="932">
        <v>22.437078647181583</v>
      </c>
      <c r="X143" s="932">
        <v>22.437078647181583</v>
      </c>
      <c r="Y143" s="932">
        <v>22.437078647181583</v>
      </c>
      <c r="Z143" s="932">
        <v>22.437078647181583</v>
      </c>
      <c r="AA143" s="932">
        <v>22.437078647181583</v>
      </c>
      <c r="AB143" s="933">
        <v>22.437078647181583</v>
      </c>
      <c r="AD143" s="935">
        <f t="shared" si="81"/>
        <v>4.5829576999762036</v>
      </c>
      <c r="AE143" s="936">
        <f t="shared" si="82"/>
        <v>11.098487924038757</v>
      </c>
      <c r="AF143" s="936">
        <f t="shared" si="83"/>
        <v>19.325725240863513</v>
      </c>
      <c r="AG143" s="936">
        <f t="shared" si="84"/>
        <v>35.890632590175073</v>
      </c>
      <c r="AH143" s="936">
        <f t="shared" si="85"/>
        <v>35.890632590175073</v>
      </c>
      <c r="AI143" s="936">
        <f t="shared" si="86"/>
        <v>35.890632590175073</v>
      </c>
      <c r="AJ143" s="936">
        <f t="shared" si="87"/>
        <v>35.890632590175073</v>
      </c>
      <c r="AK143" s="936">
        <f t="shared" si="88"/>
        <v>35.890632590175073</v>
      </c>
      <c r="AL143" s="936">
        <f t="shared" si="89"/>
        <v>35.890632590175073</v>
      </c>
      <c r="AM143" s="936">
        <f t="shared" si="90"/>
        <v>35.890632590175073</v>
      </c>
      <c r="AN143" s="936">
        <f t="shared" si="91"/>
        <v>35.890632590175073</v>
      </c>
      <c r="AO143" s="936">
        <f t="shared" si="92"/>
        <v>35.890632590175073</v>
      </c>
      <c r="AP143" s="936">
        <f t="shared" si="93"/>
        <v>35.890632590175073</v>
      </c>
      <c r="AQ143" s="936">
        <f t="shared" si="94"/>
        <v>35.890632590175073</v>
      </c>
      <c r="AR143" s="936">
        <f t="shared" si="95"/>
        <v>35.890632590175073</v>
      </c>
      <c r="AS143" s="936">
        <f t="shared" si="96"/>
        <v>35.890632590175073</v>
      </c>
      <c r="AT143" s="936">
        <f t="shared" si="97"/>
        <v>35.890632590175073</v>
      </c>
      <c r="AU143" s="936">
        <f t="shared" si="98"/>
        <v>35.890632590175073</v>
      </c>
      <c r="AV143" s="936">
        <f t="shared" si="99"/>
        <v>35.890632590175073</v>
      </c>
      <c r="AW143" s="936">
        <f t="shared" si="100"/>
        <v>35.890632590175073</v>
      </c>
      <c r="AX143" s="936">
        <f t="shared" si="101"/>
        <v>35.890632590175073</v>
      </c>
      <c r="AY143" s="936">
        <f t="shared" si="102"/>
        <v>35.890632590175073</v>
      </c>
      <c r="AZ143" s="936">
        <f t="shared" si="103"/>
        <v>35.890632590175073</v>
      </c>
      <c r="BA143" s="936">
        <f t="shared" si="104"/>
        <v>35.890632590175073</v>
      </c>
      <c r="BB143" s="937">
        <f t="shared" si="105"/>
        <v>35.890632590175073</v>
      </c>
      <c r="BC143" s="938"/>
    </row>
    <row r="144" spans="2:55" s="934" customFormat="1" ht="15">
      <c r="B144" s="909">
        <v>2034</v>
      </c>
      <c r="C144" s="1218" t="s">
        <v>812</v>
      </c>
      <c r="D144" s="932">
        <v>0</v>
      </c>
      <c r="E144" s="932">
        <v>22.351165337678662</v>
      </c>
      <c r="F144" s="932">
        <v>104.77108752036862</v>
      </c>
      <c r="G144" s="932">
        <v>208.84370112393484</v>
      </c>
      <c r="H144" s="932">
        <v>418.38587616467191</v>
      </c>
      <c r="I144" s="932">
        <v>418.38587616467191</v>
      </c>
      <c r="J144" s="932">
        <v>418.38587616467191</v>
      </c>
      <c r="K144" s="932">
        <v>418.38587616467191</v>
      </c>
      <c r="L144" s="932">
        <v>418.38587616467191</v>
      </c>
      <c r="M144" s="932">
        <v>418.38587616467191</v>
      </c>
      <c r="N144" s="932">
        <v>418.38587616467191</v>
      </c>
      <c r="O144" s="932">
        <v>418.38587616467191</v>
      </c>
      <c r="P144" s="932">
        <v>418.38587616467191</v>
      </c>
      <c r="Q144" s="932">
        <v>418.38587616467191</v>
      </c>
      <c r="R144" s="932">
        <v>418.38587616467191</v>
      </c>
      <c r="S144" s="932">
        <v>418.38587616467191</v>
      </c>
      <c r="T144" s="932">
        <v>418.38587616467191</v>
      </c>
      <c r="U144" s="932">
        <v>418.38587616467191</v>
      </c>
      <c r="V144" s="932">
        <v>418.38587616467191</v>
      </c>
      <c r="W144" s="932">
        <v>418.38587616467191</v>
      </c>
      <c r="X144" s="932">
        <v>418.38587616467191</v>
      </c>
      <c r="Y144" s="932">
        <v>418.38587616467191</v>
      </c>
      <c r="Z144" s="932">
        <v>418.38587616467191</v>
      </c>
      <c r="AA144" s="932">
        <v>418.38587616467191</v>
      </c>
      <c r="AB144" s="933">
        <v>418.38587616467191</v>
      </c>
      <c r="AD144" s="935">
        <f t="shared" si="81"/>
        <v>0</v>
      </c>
      <c r="AE144" s="936">
        <f t="shared" si="82"/>
        <v>35.753204582079078</v>
      </c>
      <c r="AF144" s="936">
        <f t="shared" si="83"/>
        <v>167.59314647849556</v>
      </c>
      <c r="AG144" s="936">
        <f t="shared" si="84"/>
        <v>334.06900531380114</v>
      </c>
      <c r="AH144" s="936">
        <f t="shared" si="85"/>
        <v>669.25529827079197</v>
      </c>
      <c r="AI144" s="936">
        <f t="shared" si="86"/>
        <v>669.25529827079197</v>
      </c>
      <c r="AJ144" s="936">
        <f t="shared" si="87"/>
        <v>669.25529827079197</v>
      </c>
      <c r="AK144" s="936">
        <f t="shared" si="88"/>
        <v>669.25529827079197</v>
      </c>
      <c r="AL144" s="936">
        <f t="shared" si="89"/>
        <v>669.25529827079197</v>
      </c>
      <c r="AM144" s="936">
        <f t="shared" si="90"/>
        <v>669.25529827079197</v>
      </c>
      <c r="AN144" s="936">
        <f t="shared" si="91"/>
        <v>669.25529827079197</v>
      </c>
      <c r="AO144" s="936">
        <f t="shared" si="92"/>
        <v>669.25529827079197</v>
      </c>
      <c r="AP144" s="936">
        <f t="shared" si="93"/>
        <v>669.25529827079197</v>
      </c>
      <c r="AQ144" s="936">
        <f t="shared" si="94"/>
        <v>669.25529827079197</v>
      </c>
      <c r="AR144" s="936">
        <f t="shared" si="95"/>
        <v>669.25529827079197</v>
      </c>
      <c r="AS144" s="936">
        <f t="shared" si="96"/>
        <v>669.25529827079197</v>
      </c>
      <c r="AT144" s="936">
        <f t="shared" si="97"/>
        <v>669.25529827079197</v>
      </c>
      <c r="AU144" s="936">
        <f t="shared" si="98"/>
        <v>669.25529827079197</v>
      </c>
      <c r="AV144" s="936">
        <f t="shared" si="99"/>
        <v>669.25529827079197</v>
      </c>
      <c r="AW144" s="936">
        <f t="shared" si="100"/>
        <v>669.25529827079197</v>
      </c>
      <c r="AX144" s="936">
        <f t="shared" si="101"/>
        <v>669.25529827079197</v>
      </c>
      <c r="AY144" s="936">
        <f t="shared" si="102"/>
        <v>669.25529827079197</v>
      </c>
      <c r="AZ144" s="936">
        <f t="shared" si="103"/>
        <v>669.25529827079197</v>
      </c>
      <c r="BA144" s="936">
        <f t="shared" si="104"/>
        <v>669.25529827079197</v>
      </c>
      <c r="BB144" s="937">
        <f t="shared" si="105"/>
        <v>669.25529827079197</v>
      </c>
      <c r="BC144" s="938"/>
    </row>
    <row r="145" spans="2:55" s="934" customFormat="1" ht="15">
      <c r="B145" s="909">
        <v>2035</v>
      </c>
      <c r="C145" s="1218" t="s">
        <v>813</v>
      </c>
      <c r="D145" s="932">
        <v>0</v>
      </c>
      <c r="E145" s="932">
        <v>0</v>
      </c>
      <c r="F145" s="932">
        <v>0</v>
      </c>
      <c r="G145" s="932">
        <v>0</v>
      </c>
      <c r="H145" s="932">
        <v>4.7966417456403336</v>
      </c>
      <c r="I145" s="932">
        <v>15.535391922447035</v>
      </c>
      <c r="J145" s="932">
        <v>15.535391922447035</v>
      </c>
      <c r="K145" s="932">
        <v>15.535391922447035</v>
      </c>
      <c r="L145" s="932">
        <v>15.535391922447035</v>
      </c>
      <c r="M145" s="932">
        <v>15.535391922447035</v>
      </c>
      <c r="N145" s="932">
        <v>15.535391922447035</v>
      </c>
      <c r="O145" s="932">
        <v>15.535391922447035</v>
      </c>
      <c r="P145" s="932">
        <v>15.535391922447035</v>
      </c>
      <c r="Q145" s="932">
        <v>15.535391922447035</v>
      </c>
      <c r="R145" s="932">
        <v>15.535391922447035</v>
      </c>
      <c r="S145" s="932">
        <v>15.535391922447035</v>
      </c>
      <c r="T145" s="932">
        <v>15.535391922447035</v>
      </c>
      <c r="U145" s="932">
        <v>15.535391922447035</v>
      </c>
      <c r="V145" s="932">
        <v>15.535391922447035</v>
      </c>
      <c r="W145" s="932">
        <v>15.535391922447035</v>
      </c>
      <c r="X145" s="932">
        <v>15.535391922447035</v>
      </c>
      <c r="Y145" s="932">
        <v>15.535391922447035</v>
      </c>
      <c r="Z145" s="932">
        <v>15.535391922447035</v>
      </c>
      <c r="AA145" s="932">
        <v>15.535391922447035</v>
      </c>
      <c r="AB145" s="933">
        <v>15.535391922447035</v>
      </c>
      <c r="AD145" s="935">
        <f t="shared" si="81"/>
        <v>0</v>
      </c>
      <c r="AE145" s="936">
        <f t="shared" si="82"/>
        <v>0</v>
      </c>
      <c r="AF145" s="936">
        <f t="shared" si="83"/>
        <v>0</v>
      </c>
      <c r="AG145" s="936">
        <f t="shared" si="84"/>
        <v>0</v>
      </c>
      <c r="AH145" s="936">
        <f t="shared" si="85"/>
        <v>7.6727683343525781</v>
      </c>
      <c r="AI145" s="936">
        <f t="shared" si="86"/>
        <v>24.850607888873249</v>
      </c>
      <c r="AJ145" s="936">
        <f t="shared" si="87"/>
        <v>24.850607888873249</v>
      </c>
      <c r="AK145" s="936">
        <f t="shared" si="88"/>
        <v>24.850607888873249</v>
      </c>
      <c r="AL145" s="936">
        <f t="shared" si="89"/>
        <v>24.850607888873249</v>
      </c>
      <c r="AM145" s="936">
        <f t="shared" si="90"/>
        <v>24.850607888873249</v>
      </c>
      <c r="AN145" s="936">
        <f t="shared" si="91"/>
        <v>24.850607888873249</v>
      </c>
      <c r="AO145" s="936">
        <f t="shared" si="92"/>
        <v>24.850607888873249</v>
      </c>
      <c r="AP145" s="936">
        <f t="shared" si="93"/>
        <v>24.850607888873249</v>
      </c>
      <c r="AQ145" s="936">
        <f t="shared" si="94"/>
        <v>24.850607888873249</v>
      </c>
      <c r="AR145" s="936">
        <f t="shared" si="95"/>
        <v>24.850607888873249</v>
      </c>
      <c r="AS145" s="936">
        <f t="shared" si="96"/>
        <v>24.850607888873249</v>
      </c>
      <c r="AT145" s="936">
        <f t="shared" si="97"/>
        <v>24.850607888873249</v>
      </c>
      <c r="AU145" s="936">
        <f t="shared" si="98"/>
        <v>24.850607888873249</v>
      </c>
      <c r="AV145" s="936">
        <f t="shared" si="99"/>
        <v>24.850607888873249</v>
      </c>
      <c r="AW145" s="936">
        <f t="shared" si="100"/>
        <v>24.850607888873249</v>
      </c>
      <c r="AX145" s="936">
        <f t="shared" si="101"/>
        <v>24.850607888873249</v>
      </c>
      <c r="AY145" s="936">
        <f t="shared" si="102"/>
        <v>24.850607888873249</v>
      </c>
      <c r="AZ145" s="936">
        <f t="shared" si="103"/>
        <v>24.850607888873249</v>
      </c>
      <c r="BA145" s="936">
        <f t="shared" si="104"/>
        <v>24.850607888873249</v>
      </c>
      <c r="BB145" s="937">
        <f t="shared" si="105"/>
        <v>24.850607888873249</v>
      </c>
      <c r="BC145" s="938"/>
    </row>
    <row r="146" spans="2:55" s="934" customFormat="1" ht="15">
      <c r="B146" s="909">
        <v>2036</v>
      </c>
      <c r="C146" s="1218" t="s">
        <v>814</v>
      </c>
      <c r="D146" s="932">
        <v>0</v>
      </c>
      <c r="E146" s="932">
        <v>0</v>
      </c>
      <c r="F146" s="932">
        <v>0</v>
      </c>
      <c r="G146" s="932">
        <v>0</v>
      </c>
      <c r="H146" s="932">
        <v>0</v>
      </c>
      <c r="I146" s="932">
        <v>0</v>
      </c>
      <c r="J146" s="932">
        <v>9.7207513886289352</v>
      </c>
      <c r="K146" s="932">
        <v>9.7207513886289352</v>
      </c>
      <c r="L146" s="932">
        <v>9.7207513886289352</v>
      </c>
      <c r="M146" s="932">
        <v>9.7207513886289352</v>
      </c>
      <c r="N146" s="932">
        <v>9.7207513886289352</v>
      </c>
      <c r="O146" s="932">
        <v>9.7207513886289352</v>
      </c>
      <c r="P146" s="932">
        <v>9.7207513886289352</v>
      </c>
      <c r="Q146" s="932">
        <v>9.7207513886289352</v>
      </c>
      <c r="R146" s="932">
        <v>9.7207513886289352</v>
      </c>
      <c r="S146" s="932">
        <v>9.7207513886289352</v>
      </c>
      <c r="T146" s="932">
        <v>9.7207513886289352</v>
      </c>
      <c r="U146" s="932">
        <v>9.7207513886289352</v>
      </c>
      <c r="V146" s="932">
        <v>9.7207513886289352</v>
      </c>
      <c r="W146" s="932">
        <v>9.7207513886289352</v>
      </c>
      <c r="X146" s="932">
        <v>9.7207513886289352</v>
      </c>
      <c r="Y146" s="932">
        <v>9.7207513886289352</v>
      </c>
      <c r="Z146" s="932">
        <v>9.7207513886289352</v>
      </c>
      <c r="AA146" s="932">
        <v>9.7207513886289352</v>
      </c>
      <c r="AB146" s="933">
        <v>9.7207513886289352</v>
      </c>
      <c r="AD146" s="935">
        <f t="shared" si="81"/>
        <v>0</v>
      </c>
      <c r="AE146" s="936">
        <f t="shared" si="82"/>
        <v>0</v>
      </c>
      <c r="AF146" s="936">
        <f t="shared" si="83"/>
        <v>0</v>
      </c>
      <c r="AG146" s="936">
        <f t="shared" si="84"/>
        <v>0</v>
      </c>
      <c r="AH146" s="936">
        <f t="shared" si="85"/>
        <v>0</v>
      </c>
      <c r="AI146" s="936">
        <f t="shared" si="86"/>
        <v>0</v>
      </c>
      <c r="AJ146" s="936">
        <f t="shared" si="87"/>
        <v>15.549435917030136</v>
      </c>
      <c r="AK146" s="936">
        <f t="shared" si="88"/>
        <v>15.549435917030136</v>
      </c>
      <c r="AL146" s="936">
        <f t="shared" si="89"/>
        <v>15.549435917030136</v>
      </c>
      <c r="AM146" s="936">
        <f t="shared" si="90"/>
        <v>15.549435917030136</v>
      </c>
      <c r="AN146" s="936">
        <f t="shared" si="91"/>
        <v>15.549435917030136</v>
      </c>
      <c r="AO146" s="936">
        <f t="shared" si="92"/>
        <v>15.549435917030136</v>
      </c>
      <c r="AP146" s="936">
        <f t="shared" si="93"/>
        <v>15.549435917030136</v>
      </c>
      <c r="AQ146" s="936">
        <f t="shared" si="94"/>
        <v>15.549435917030136</v>
      </c>
      <c r="AR146" s="936">
        <f t="shared" si="95"/>
        <v>15.549435917030136</v>
      </c>
      <c r="AS146" s="936">
        <f t="shared" si="96"/>
        <v>15.549435917030136</v>
      </c>
      <c r="AT146" s="936">
        <f t="shared" si="97"/>
        <v>15.549435917030136</v>
      </c>
      <c r="AU146" s="936">
        <f t="shared" si="98"/>
        <v>15.549435917030136</v>
      </c>
      <c r="AV146" s="936">
        <f t="shared" si="99"/>
        <v>15.549435917030136</v>
      </c>
      <c r="AW146" s="936">
        <f t="shared" si="100"/>
        <v>15.549435917030136</v>
      </c>
      <c r="AX146" s="936">
        <f t="shared" si="101"/>
        <v>15.549435917030136</v>
      </c>
      <c r="AY146" s="936">
        <f t="shared" si="102"/>
        <v>15.549435917030136</v>
      </c>
      <c r="AZ146" s="936">
        <f t="shared" si="103"/>
        <v>15.549435917030136</v>
      </c>
      <c r="BA146" s="936">
        <f t="shared" si="104"/>
        <v>15.549435917030136</v>
      </c>
      <c r="BB146" s="937">
        <f t="shared" si="105"/>
        <v>15.549435917030136</v>
      </c>
      <c r="BC146" s="938"/>
    </row>
    <row r="147" spans="2:55" s="934" customFormat="1" ht="15">
      <c r="B147" s="909">
        <v>2037</v>
      </c>
      <c r="C147" s="1218" t="s">
        <v>815</v>
      </c>
      <c r="D147" s="932">
        <v>0</v>
      </c>
      <c r="E147" s="932">
        <v>0</v>
      </c>
      <c r="F147" s="932">
        <v>0</v>
      </c>
      <c r="G147" s="932">
        <v>0</v>
      </c>
      <c r="H147" s="932">
        <v>0</v>
      </c>
      <c r="I147" s="932">
        <v>0</v>
      </c>
      <c r="J147" s="932">
        <v>0</v>
      </c>
      <c r="K147" s="932">
        <v>5.5543842907543306</v>
      </c>
      <c r="L147" s="932">
        <v>5.5543842907543306</v>
      </c>
      <c r="M147" s="932">
        <v>5.5543842907543306</v>
      </c>
      <c r="N147" s="932">
        <v>5.5543842907543306</v>
      </c>
      <c r="O147" s="932">
        <v>5.5543842907543306</v>
      </c>
      <c r="P147" s="932">
        <v>5.5543842907543306</v>
      </c>
      <c r="Q147" s="932">
        <v>5.5543842907543306</v>
      </c>
      <c r="R147" s="932">
        <v>5.5543842907543306</v>
      </c>
      <c r="S147" s="932">
        <v>5.5543842907543306</v>
      </c>
      <c r="T147" s="932">
        <v>5.5543842907543306</v>
      </c>
      <c r="U147" s="932">
        <v>5.5543842907543306</v>
      </c>
      <c r="V147" s="932">
        <v>5.5543842907543306</v>
      </c>
      <c r="W147" s="932">
        <v>5.5543842907543306</v>
      </c>
      <c r="X147" s="932">
        <v>5.5543842907543306</v>
      </c>
      <c r="Y147" s="932">
        <v>5.5543842907543306</v>
      </c>
      <c r="Z147" s="932">
        <v>5.5543842907543306</v>
      </c>
      <c r="AA147" s="932">
        <v>5.5543842907543306</v>
      </c>
      <c r="AB147" s="933">
        <v>5.5543842907543306</v>
      </c>
      <c r="AD147" s="935">
        <f t="shared" si="81"/>
        <v>0</v>
      </c>
      <c r="AE147" s="936">
        <f t="shared" si="82"/>
        <v>0</v>
      </c>
      <c r="AF147" s="936">
        <f t="shared" si="83"/>
        <v>0</v>
      </c>
      <c r="AG147" s="936">
        <f t="shared" si="84"/>
        <v>0</v>
      </c>
      <c r="AH147" s="936">
        <f t="shared" si="85"/>
        <v>0</v>
      </c>
      <c r="AI147" s="936">
        <f t="shared" si="86"/>
        <v>0</v>
      </c>
      <c r="AJ147" s="936">
        <f t="shared" si="87"/>
        <v>0</v>
      </c>
      <c r="AK147" s="936">
        <f t="shared" si="88"/>
        <v>8.8848628192131009</v>
      </c>
      <c r="AL147" s="936">
        <f t="shared" si="89"/>
        <v>8.8848628192131009</v>
      </c>
      <c r="AM147" s="936">
        <f t="shared" si="90"/>
        <v>8.8848628192131009</v>
      </c>
      <c r="AN147" s="936">
        <f t="shared" si="91"/>
        <v>8.8848628192131009</v>
      </c>
      <c r="AO147" s="936">
        <f t="shared" si="92"/>
        <v>8.8848628192131009</v>
      </c>
      <c r="AP147" s="936">
        <f t="shared" si="93"/>
        <v>8.8848628192131009</v>
      </c>
      <c r="AQ147" s="936">
        <f t="shared" si="94"/>
        <v>8.8848628192131009</v>
      </c>
      <c r="AR147" s="936">
        <f t="shared" si="95"/>
        <v>8.8848628192131009</v>
      </c>
      <c r="AS147" s="936">
        <f t="shared" si="96"/>
        <v>8.8848628192131009</v>
      </c>
      <c r="AT147" s="936">
        <f t="shared" si="97"/>
        <v>8.8848628192131009</v>
      </c>
      <c r="AU147" s="936">
        <f t="shared" si="98"/>
        <v>8.8848628192131009</v>
      </c>
      <c r="AV147" s="936">
        <f t="shared" si="99"/>
        <v>8.8848628192131009</v>
      </c>
      <c r="AW147" s="936">
        <f t="shared" si="100"/>
        <v>8.8848628192131009</v>
      </c>
      <c r="AX147" s="936">
        <f t="shared" si="101"/>
        <v>8.8848628192131009</v>
      </c>
      <c r="AY147" s="936">
        <f t="shared" si="102"/>
        <v>8.8848628192131009</v>
      </c>
      <c r="AZ147" s="936">
        <f t="shared" si="103"/>
        <v>8.8848628192131009</v>
      </c>
      <c r="BA147" s="936">
        <f t="shared" si="104"/>
        <v>8.8848628192131009</v>
      </c>
      <c r="BB147" s="937">
        <f t="shared" si="105"/>
        <v>8.8848628192131009</v>
      </c>
      <c r="BC147" s="938"/>
    </row>
    <row r="148" spans="2:55" s="934" customFormat="1" ht="15">
      <c r="B148" s="909">
        <v>2038</v>
      </c>
      <c r="C148" s="1218" t="s">
        <v>816</v>
      </c>
      <c r="D148" s="932">
        <v>0</v>
      </c>
      <c r="E148" s="932">
        <v>0</v>
      </c>
      <c r="F148" s="932">
        <v>0</v>
      </c>
      <c r="G148" s="932">
        <v>0</v>
      </c>
      <c r="H148" s="932">
        <v>0</v>
      </c>
      <c r="I148" s="932">
        <v>0</v>
      </c>
      <c r="J148" s="932">
        <v>0</v>
      </c>
      <c r="K148" s="932">
        <v>0</v>
      </c>
      <c r="L148" s="932">
        <v>2.523338754410033</v>
      </c>
      <c r="M148" s="932">
        <v>2.523338754410033</v>
      </c>
      <c r="N148" s="932">
        <v>2.523338754410033</v>
      </c>
      <c r="O148" s="932">
        <v>2.523338754410033</v>
      </c>
      <c r="P148" s="932">
        <v>2.523338754410033</v>
      </c>
      <c r="Q148" s="932">
        <v>2.523338754410033</v>
      </c>
      <c r="R148" s="932">
        <v>2.523338754410033</v>
      </c>
      <c r="S148" s="932">
        <v>2.523338754410033</v>
      </c>
      <c r="T148" s="932">
        <v>2.523338754410033</v>
      </c>
      <c r="U148" s="932">
        <v>2.523338754410033</v>
      </c>
      <c r="V148" s="932">
        <v>2.523338754410033</v>
      </c>
      <c r="W148" s="932">
        <v>2.523338754410033</v>
      </c>
      <c r="X148" s="932">
        <v>2.523338754410033</v>
      </c>
      <c r="Y148" s="932">
        <v>2.523338754410033</v>
      </c>
      <c r="Z148" s="932">
        <v>2.523338754410033</v>
      </c>
      <c r="AA148" s="932">
        <v>2.523338754410033</v>
      </c>
      <c r="AB148" s="933">
        <v>2.523338754410033</v>
      </c>
      <c r="AD148" s="935">
        <f t="shared" si="81"/>
        <v>0</v>
      </c>
      <c r="AE148" s="936">
        <f t="shared" si="82"/>
        <v>0</v>
      </c>
      <c r="AF148" s="936">
        <f t="shared" si="83"/>
        <v>0</v>
      </c>
      <c r="AG148" s="936">
        <f t="shared" si="84"/>
        <v>0</v>
      </c>
      <c r="AH148" s="936">
        <f t="shared" si="85"/>
        <v>0</v>
      </c>
      <c r="AI148" s="936">
        <f t="shared" si="86"/>
        <v>0</v>
      </c>
      <c r="AJ148" s="936">
        <f t="shared" si="87"/>
        <v>0</v>
      </c>
      <c r="AK148" s="936">
        <f t="shared" si="88"/>
        <v>0</v>
      </c>
      <c r="AL148" s="936">
        <f t="shared" si="89"/>
        <v>4.0363643395463464</v>
      </c>
      <c r="AM148" s="936">
        <f t="shared" si="90"/>
        <v>4.0363643395463464</v>
      </c>
      <c r="AN148" s="936">
        <f t="shared" si="91"/>
        <v>4.0363643395463464</v>
      </c>
      <c r="AO148" s="936">
        <f t="shared" si="92"/>
        <v>4.0363643395463464</v>
      </c>
      <c r="AP148" s="936">
        <f t="shared" si="93"/>
        <v>4.0363643395463464</v>
      </c>
      <c r="AQ148" s="936">
        <f t="shared" si="94"/>
        <v>4.0363643395463464</v>
      </c>
      <c r="AR148" s="936">
        <f t="shared" si="95"/>
        <v>4.0363643395463464</v>
      </c>
      <c r="AS148" s="936">
        <f t="shared" si="96"/>
        <v>4.0363643395463464</v>
      </c>
      <c r="AT148" s="936">
        <f t="shared" si="97"/>
        <v>4.0363643395463464</v>
      </c>
      <c r="AU148" s="936">
        <f t="shared" si="98"/>
        <v>4.0363643395463464</v>
      </c>
      <c r="AV148" s="936">
        <f t="shared" si="99"/>
        <v>4.0363643395463464</v>
      </c>
      <c r="AW148" s="936">
        <f t="shared" si="100"/>
        <v>4.0363643395463464</v>
      </c>
      <c r="AX148" s="936">
        <f t="shared" si="101"/>
        <v>4.0363643395463464</v>
      </c>
      <c r="AY148" s="936">
        <f t="shared" si="102"/>
        <v>4.0363643395463464</v>
      </c>
      <c r="AZ148" s="936">
        <f t="shared" si="103"/>
        <v>4.0363643395463464</v>
      </c>
      <c r="BA148" s="936">
        <f t="shared" si="104"/>
        <v>4.0363643395463464</v>
      </c>
      <c r="BB148" s="937">
        <f t="shared" si="105"/>
        <v>4.0363643395463464</v>
      </c>
      <c r="BC148" s="938"/>
    </row>
    <row r="149" spans="2:55" s="934" customFormat="1" ht="15">
      <c r="B149" s="909">
        <v>2039</v>
      </c>
      <c r="C149" s="1218" t="s">
        <v>817</v>
      </c>
      <c r="D149" s="932">
        <v>0</v>
      </c>
      <c r="E149" s="932">
        <v>0</v>
      </c>
      <c r="F149" s="932">
        <v>0</v>
      </c>
      <c r="G149" s="932">
        <v>0</v>
      </c>
      <c r="H149" s="932">
        <v>0</v>
      </c>
      <c r="I149" s="932">
        <v>0</v>
      </c>
      <c r="J149" s="932">
        <v>0</v>
      </c>
      <c r="K149" s="932">
        <v>0</v>
      </c>
      <c r="L149" s="932">
        <v>0</v>
      </c>
      <c r="M149" s="932">
        <v>0.65118706715321317</v>
      </c>
      <c r="N149" s="932">
        <v>0.65118706715321317</v>
      </c>
      <c r="O149" s="932">
        <v>0.65118706715321317</v>
      </c>
      <c r="P149" s="932">
        <v>0.65118706715321317</v>
      </c>
      <c r="Q149" s="932">
        <v>0.65118706715321317</v>
      </c>
      <c r="R149" s="932">
        <v>0.65118706715321317</v>
      </c>
      <c r="S149" s="932">
        <v>0.65118706715321317</v>
      </c>
      <c r="T149" s="932">
        <v>0.65118706715321317</v>
      </c>
      <c r="U149" s="932">
        <v>0.65118706715321317</v>
      </c>
      <c r="V149" s="932">
        <v>0.65118706715321317</v>
      </c>
      <c r="W149" s="932">
        <v>0.65118706715321317</v>
      </c>
      <c r="X149" s="932">
        <v>0.65118706715321317</v>
      </c>
      <c r="Y149" s="932">
        <v>0.65118706715321317</v>
      </c>
      <c r="Z149" s="932">
        <v>0.65118706715321317</v>
      </c>
      <c r="AA149" s="932">
        <v>0.65118706715321317</v>
      </c>
      <c r="AB149" s="933">
        <v>0.65118706715321317</v>
      </c>
      <c r="AD149" s="935">
        <f t="shared" si="81"/>
        <v>0</v>
      </c>
      <c r="AE149" s="936">
        <f t="shared" si="82"/>
        <v>0</v>
      </c>
      <c r="AF149" s="936">
        <f t="shared" si="83"/>
        <v>0</v>
      </c>
      <c r="AG149" s="936">
        <f t="shared" si="84"/>
        <v>0</v>
      </c>
      <c r="AH149" s="936">
        <f t="shared" si="85"/>
        <v>0</v>
      </c>
      <c r="AI149" s="936">
        <f t="shared" si="86"/>
        <v>0</v>
      </c>
      <c r="AJ149" s="936">
        <f t="shared" si="87"/>
        <v>0</v>
      </c>
      <c r="AK149" s="936">
        <f t="shared" si="88"/>
        <v>0</v>
      </c>
      <c r="AL149" s="936">
        <f t="shared" si="89"/>
        <v>0</v>
      </c>
      <c r="AM149" s="936">
        <f t="shared" si="90"/>
        <v>1.0416470050393765</v>
      </c>
      <c r="AN149" s="936">
        <f t="shared" si="91"/>
        <v>1.0416470050393765</v>
      </c>
      <c r="AO149" s="936">
        <f t="shared" si="92"/>
        <v>1.0416470050393765</v>
      </c>
      <c r="AP149" s="936">
        <f t="shared" si="93"/>
        <v>1.0416470050393765</v>
      </c>
      <c r="AQ149" s="936">
        <f t="shared" si="94"/>
        <v>1.0416470050393765</v>
      </c>
      <c r="AR149" s="936">
        <f t="shared" si="95"/>
        <v>1.0416470050393765</v>
      </c>
      <c r="AS149" s="936">
        <f t="shared" si="96"/>
        <v>1.0416470050393765</v>
      </c>
      <c r="AT149" s="936">
        <f t="shared" si="97"/>
        <v>1.0416470050393765</v>
      </c>
      <c r="AU149" s="936">
        <f t="shared" si="98"/>
        <v>1.0416470050393765</v>
      </c>
      <c r="AV149" s="936">
        <f t="shared" si="99"/>
        <v>1.0416470050393765</v>
      </c>
      <c r="AW149" s="936">
        <f t="shared" si="100"/>
        <v>1.0416470050393765</v>
      </c>
      <c r="AX149" s="936">
        <f t="shared" si="101"/>
        <v>1.0416470050393765</v>
      </c>
      <c r="AY149" s="936">
        <f t="shared" si="102"/>
        <v>1.0416470050393765</v>
      </c>
      <c r="AZ149" s="936">
        <f t="shared" si="103"/>
        <v>1.0416470050393765</v>
      </c>
      <c r="BA149" s="936">
        <f t="shared" si="104"/>
        <v>1.0416470050393765</v>
      </c>
      <c r="BB149" s="937">
        <f t="shared" si="105"/>
        <v>1.0416470050393765</v>
      </c>
      <c r="BC149" s="938"/>
    </row>
    <row r="150" spans="2:55" s="934" customFormat="1" ht="15">
      <c r="B150" s="909">
        <v>2040</v>
      </c>
      <c r="C150" s="1218" t="s">
        <v>818</v>
      </c>
      <c r="D150" s="932">
        <v>0</v>
      </c>
      <c r="E150" s="932">
        <v>0</v>
      </c>
      <c r="F150" s="932">
        <v>0</v>
      </c>
      <c r="G150" s="932">
        <v>0</v>
      </c>
      <c r="H150" s="932">
        <v>0</v>
      </c>
      <c r="I150" s="932">
        <v>0</v>
      </c>
      <c r="J150" s="932">
        <v>0</v>
      </c>
      <c r="K150" s="932">
        <v>0</v>
      </c>
      <c r="L150" s="932">
        <v>0</v>
      </c>
      <c r="M150" s="932">
        <v>0</v>
      </c>
      <c r="N150" s="932">
        <v>2.1626845100460251E-15</v>
      </c>
      <c r="O150" s="932">
        <v>2.1626845100460251E-15</v>
      </c>
      <c r="P150" s="932">
        <v>2.1626845100460251E-15</v>
      </c>
      <c r="Q150" s="932">
        <v>2.1626845100460251E-15</v>
      </c>
      <c r="R150" s="932">
        <v>2.1626845100460251E-15</v>
      </c>
      <c r="S150" s="932">
        <v>2.1626845100460251E-15</v>
      </c>
      <c r="T150" s="932">
        <v>2.1626845100460251E-15</v>
      </c>
      <c r="U150" s="932">
        <v>2.1626845100460251E-15</v>
      </c>
      <c r="V150" s="932">
        <v>2.1626845100460251E-15</v>
      </c>
      <c r="W150" s="932">
        <v>2.1626845100460251E-15</v>
      </c>
      <c r="X150" s="932">
        <v>2.1626845100460251E-15</v>
      </c>
      <c r="Y150" s="932">
        <v>2.1626845100460251E-15</v>
      </c>
      <c r="Z150" s="932">
        <v>2.1626845100460251E-15</v>
      </c>
      <c r="AA150" s="932">
        <v>2.1626845100460251E-15</v>
      </c>
      <c r="AB150" s="933">
        <v>2.1626845100460251E-15</v>
      </c>
      <c r="AD150" s="935">
        <f t="shared" si="81"/>
        <v>0</v>
      </c>
      <c r="AE150" s="936">
        <f t="shared" si="82"/>
        <v>0</v>
      </c>
      <c r="AF150" s="936">
        <f t="shared" si="83"/>
        <v>0</v>
      </c>
      <c r="AG150" s="936">
        <f t="shared" si="84"/>
        <v>0</v>
      </c>
      <c r="AH150" s="936">
        <f t="shared" si="85"/>
        <v>0</v>
      </c>
      <c r="AI150" s="936">
        <f t="shared" si="86"/>
        <v>0</v>
      </c>
      <c r="AJ150" s="936">
        <f t="shared" si="87"/>
        <v>0</v>
      </c>
      <c r="AK150" s="936">
        <f t="shared" si="88"/>
        <v>0</v>
      </c>
      <c r="AL150" s="936">
        <f t="shared" si="89"/>
        <v>0</v>
      </c>
      <c r="AM150" s="936">
        <f t="shared" si="90"/>
        <v>0</v>
      </c>
      <c r="AN150" s="936">
        <f t="shared" si="91"/>
        <v>3.4594572840379503E-15</v>
      </c>
      <c r="AO150" s="936">
        <f t="shared" si="92"/>
        <v>3.4594572840379503E-15</v>
      </c>
      <c r="AP150" s="936">
        <f t="shared" si="93"/>
        <v>3.4594572840379503E-15</v>
      </c>
      <c r="AQ150" s="936">
        <f t="shared" si="94"/>
        <v>3.4594572840379503E-15</v>
      </c>
      <c r="AR150" s="936">
        <f t="shared" si="95"/>
        <v>3.4594572840379503E-15</v>
      </c>
      <c r="AS150" s="936">
        <f t="shared" si="96"/>
        <v>3.4594572840379503E-15</v>
      </c>
      <c r="AT150" s="936">
        <f t="shared" si="97"/>
        <v>3.4594572840379503E-15</v>
      </c>
      <c r="AU150" s="936">
        <f t="shared" si="98"/>
        <v>3.4594572840379503E-15</v>
      </c>
      <c r="AV150" s="936">
        <f t="shared" si="99"/>
        <v>3.4594572840379503E-15</v>
      </c>
      <c r="AW150" s="936">
        <f t="shared" si="100"/>
        <v>3.4594572840379503E-15</v>
      </c>
      <c r="AX150" s="936">
        <f t="shared" si="101"/>
        <v>3.4594572840379503E-15</v>
      </c>
      <c r="AY150" s="936">
        <f t="shared" si="102"/>
        <v>3.4594572840379503E-15</v>
      </c>
      <c r="AZ150" s="936">
        <f t="shared" si="103"/>
        <v>3.4594572840379503E-15</v>
      </c>
      <c r="BA150" s="936">
        <f t="shared" si="104"/>
        <v>3.4594572840379503E-15</v>
      </c>
      <c r="BB150" s="937">
        <f t="shared" si="105"/>
        <v>3.4594572840379503E-15</v>
      </c>
      <c r="BC150" s="938"/>
    </row>
    <row r="151" spans="2:55" s="934" customFormat="1" ht="15">
      <c r="B151" s="909">
        <v>2041</v>
      </c>
      <c r="C151" s="1218" t="s">
        <v>819</v>
      </c>
      <c r="D151" s="932">
        <v>0</v>
      </c>
      <c r="E151" s="932">
        <v>0</v>
      </c>
      <c r="F151" s="932">
        <v>0</v>
      </c>
      <c r="G151" s="932">
        <v>0</v>
      </c>
      <c r="H151" s="932">
        <v>0</v>
      </c>
      <c r="I151" s="932">
        <v>0</v>
      </c>
      <c r="J151" s="932">
        <v>0</v>
      </c>
      <c r="K151" s="932">
        <v>0</v>
      </c>
      <c r="L151" s="932">
        <v>0</v>
      </c>
      <c r="M151" s="932">
        <v>0</v>
      </c>
      <c r="N151" s="932">
        <v>0</v>
      </c>
      <c r="O151" s="932">
        <v>2.1996281039412471E-15</v>
      </c>
      <c r="P151" s="932">
        <v>2.1996281039412471E-15</v>
      </c>
      <c r="Q151" s="932">
        <v>2.1996281039412471E-15</v>
      </c>
      <c r="R151" s="932">
        <v>2.1996281039412471E-15</v>
      </c>
      <c r="S151" s="932">
        <v>2.1996281039412471E-15</v>
      </c>
      <c r="T151" s="932">
        <v>2.1996281039412471E-15</v>
      </c>
      <c r="U151" s="932">
        <v>2.1996281039412471E-15</v>
      </c>
      <c r="V151" s="932">
        <v>2.1996281039412471E-15</v>
      </c>
      <c r="W151" s="932">
        <v>2.1996281039412471E-15</v>
      </c>
      <c r="X151" s="932">
        <v>2.1996281039412471E-15</v>
      </c>
      <c r="Y151" s="932">
        <v>2.1996281039412471E-15</v>
      </c>
      <c r="Z151" s="932">
        <v>2.1996281039412471E-15</v>
      </c>
      <c r="AA151" s="932">
        <v>2.1996281039412471E-15</v>
      </c>
      <c r="AB151" s="933">
        <v>2.1996281039412471E-15</v>
      </c>
      <c r="AD151" s="935">
        <f t="shared" si="81"/>
        <v>0</v>
      </c>
      <c r="AE151" s="936">
        <f t="shared" si="82"/>
        <v>0</v>
      </c>
      <c r="AF151" s="936">
        <f t="shared" si="83"/>
        <v>0</v>
      </c>
      <c r="AG151" s="936">
        <f t="shared" si="84"/>
        <v>0</v>
      </c>
      <c r="AH151" s="936">
        <f t="shared" si="85"/>
        <v>0</v>
      </c>
      <c r="AI151" s="936">
        <f t="shared" si="86"/>
        <v>0</v>
      </c>
      <c r="AJ151" s="936">
        <f t="shared" si="87"/>
        <v>0</v>
      </c>
      <c r="AK151" s="936">
        <f t="shared" si="88"/>
        <v>0</v>
      </c>
      <c r="AL151" s="936">
        <f t="shared" si="89"/>
        <v>0</v>
      </c>
      <c r="AM151" s="936">
        <f t="shared" si="90"/>
        <v>0</v>
      </c>
      <c r="AN151" s="936">
        <f t="shared" si="91"/>
        <v>0</v>
      </c>
      <c r="AO151" s="936">
        <f t="shared" si="92"/>
        <v>3.5185527204761784E-15</v>
      </c>
      <c r="AP151" s="936">
        <f t="shared" si="93"/>
        <v>3.5185527204761784E-15</v>
      </c>
      <c r="AQ151" s="936">
        <f t="shared" si="94"/>
        <v>3.5185527204761784E-15</v>
      </c>
      <c r="AR151" s="936">
        <f t="shared" si="95"/>
        <v>3.5185527204761784E-15</v>
      </c>
      <c r="AS151" s="936">
        <f t="shared" si="96"/>
        <v>3.5185527204761784E-15</v>
      </c>
      <c r="AT151" s="936">
        <f t="shared" si="97"/>
        <v>3.5185527204761784E-15</v>
      </c>
      <c r="AU151" s="936">
        <f t="shared" si="98"/>
        <v>3.5185527204761784E-15</v>
      </c>
      <c r="AV151" s="936">
        <f t="shared" si="99"/>
        <v>3.5185527204761784E-15</v>
      </c>
      <c r="AW151" s="936">
        <f t="shared" si="100"/>
        <v>3.5185527204761784E-15</v>
      </c>
      <c r="AX151" s="936">
        <f t="shared" si="101"/>
        <v>3.5185527204761784E-15</v>
      </c>
      <c r="AY151" s="936">
        <f t="shared" si="102"/>
        <v>3.5185527204761784E-15</v>
      </c>
      <c r="AZ151" s="936">
        <f t="shared" si="103"/>
        <v>3.5185527204761784E-15</v>
      </c>
      <c r="BA151" s="936">
        <f t="shared" si="104"/>
        <v>3.5185527204761784E-15</v>
      </c>
      <c r="BB151" s="937">
        <f t="shared" si="105"/>
        <v>3.5185527204761784E-15</v>
      </c>
      <c r="BC151" s="938"/>
    </row>
    <row r="152" spans="2:55" s="934" customFormat="1" ht="15">
      <c r="B152" s="909">
        <v>2042</v>
      </c>
      <c r="C152" s="1218" t="s">
        <v>820</v>
      </c>
      <c r="D152" s="932">
        <v>0</v>
      </c>
      <c r="E152" s="932">
        <v>0</v>
      </c>
      <c r="F152" s="932">
        <v>0</v>
      </c>
      <c r="G152" s="932">
        <v>0</v>
      </c>
      <c r="H152" s="932">
        <v>0</v>
      </c>
      <c r="I152" s="932">
        <v>0</v>
      </c>
      <c r="J152" s="932">
        <v>0</v>
      </c>
      <c r="K152" s="932">
        <v>0</v>
      </c>
      <c r="L152" s="932">
        <v>0</v>
      </c>
      <c r="M152" s="932">
        <v>0</v>
      </c>
      <c r="N152" s="932">
        <v>0</v>
      </c>
      <c r="O152" s="932">
        <v>0</v>
      </c>
      <c r="P152" s="932">
        <v>2.2372027788487739E-15</v>
      </c>
      <c r="Q152" s="932">
        <v>2.2372027788487739E-15</v>
      </c>
      <c r="R152" s="932">
        <v>2.2372027788487739E-15</v>
      </c>
      <c r="S152" s="932">
        <v>2.2372027788487739E-15</v>
      </c>
      <c r="T152" s="932">
        <v>2.2372027788487739E-15</v>
      </c>
      <c r="U152" s="932">
        <v>2.2372027788487739E-15</v>
      </c>
      <c r="V152" s="932">
        <v>2.2372027788487739E-15</v>
      </c>
      <c r="W152" s="932">
        <v>2.2372027788487739E-15</v>
      </c>
      <c r="X152" s="932">
        <v>2.2372027788487739E-15</v>
      </c>
      <c r="Y152" s="932">
        <v>2.2372027788487739E-15</v>
      </c>
      <c r="Z152" s="932">
        <v>2.2372027788487739E-15</v>
      </c>
      <c r="AA152" s="932">
        <v>2.2372027788487739E-15</v>
      </c>
      <c r="AB152" s="933">
        <v>2.2372027788487739E-15</v>
      </c>
      <c r="AD152" s="935">
        <f t="shared" si="81"/>
        <v>0</v>
      </c>
      <c r="AE152" s="936">
        <f t="shared" si="82"/>
        <v>0</v>
      </c>
      <c r="AF152" s="936">
        <f t="shared" si="83"/>
        <v>0</v>
      </c>
      <c r="AG152" s="936">
        <f t="shared" si="84"/>
        <v>0</v>
      </c>
      <c r="AH152" s="936">
        <f t="shared" si="85"/>
        <v>0</v>
      </c>
      <c r="AI152" s="936">
        <f t="shared" si="86"/>
        <v>0</v>
      </c>
      <c r="AJ152" s="936">
        <f t="shared" si="87"/>
        <v>0</v>
      </c>
      <c r="AK152" s="936">
        <f t="shared" si="88"/>
        <v>0</v>
      </c>
      <c r="AL152" s="936">
        <f t="shared" si="89"/>
        <v>0</v>
      </c>
      <c r="AM152" s="936">
        <f t="shared" si="90"/>
        <v>0</v>
      </c>
      <c r="AN152" s="936">
        <f t="shared" si="91"/>
        <v>0</v>
      </c>
      <c r="AO152" s="936">
        <f t="shared" si="92"/>
        <v>0</v>
      </c>
      <c r="AP152" s="936">
        <f t="shared" si="93"/>
        <v>3.5786576420217788E-15</v>
      </c>
      <c r="AQ152" s="936">
        <f t="shared" si="94"/>
        <v>3.5786576420217788E-15</v>
      </c>
      <c r="AR152" s="936">
        <f t="shared" si="95"/>
        <v>3.5786576420217788E-15</v>
      </c>
      <c r="AS152" s="936">
        <f t="shared" si="96"/>
        <v>3.5786576420217788E-15</v>
      </c>
      <c r="AT152" s="936">
        <f t="shared" si="97"/>
        <v>3.5786576420217788E-15</v>
      </c>
      <c r="AU152" s="936">
        <f t="shared" si="98"/>
        <v>3.5786576420217788E-15</v>
      </c>
      <c r="AV152" s="936">
        <f t="shared" si="99"/>
        <v>3.5786576420217788E-15</v>
      </c>
      <c r="AW152" s="936">
        <f t="shared" si="100"/>
        <v>3.5786576420217788E-15</v>
      </c>
      <c r="AX152" s="936">
        <f t="shared" si="101"/>
        <v>3.5786576420217788E-15</v>
      </c>
      <c r="AY152" s="936">
        <f t="shared" si="102"/>
        <v>3.5786576420217788E-15</v>
      </c>
      <c r="AZ152" s="936">
        <f t="shared" si="103"/>
        <v>3.5786576420217788E-15</v>
      </c>
      <c r="BA152" s="936">
        <f t="shared" si="104"/>
        <v>3.5786576420217788E-15</v>
      </c>
      <c r="BB152" s="937">
        <f t="shared" si="105"/>
        <v>3.5786576420217788E-15</v>
      </c>
      <c r="BC152" s="938"/>
    </row>
    <row r="153" spans="2:55" s="934" customFormat="1" ht="15">
      <c r="B153" s="909">
        <v>2043</v>
      </c>
      <c r="C153" s="1218" t="s">
        <v>821</v>
      </c>
      <c r="D153" s="932">
        <v>0</v>
      </c>
      <c r="E153" s="932">
        <v>0</v>
      </c>
      <c r="F153" s="932">
        <v>0</v>
      </c>
      <c r="G153" s="932">
        <v>0</v>
      </c>
      <c r="H153" s="932">
        <v>0</v>
      </c>
      <c r="I153" s="932">
        <v>0</v>
      </c>
      <c r="J153" s="932">
        <v>0</v>
      </c>
      <c r="K153" s="932">
        <v>0</v>
      </c>
      <c r="L153" s="932">
        <v>0</v>
      </c>
      <c r="M153" s="932">
        <v>0</v>
      </c>
      <c r="N153" s="932">
        <v>0</v>
      </c>
      <c r="O153" s="932">
        <v>0</v>
      </c>
      <c r="P153" s="932">
        <v>0</v>
      </c>
      <c r="Q153" s="932">
        <v>2.2754193150745284E-15</v>
      </c>
      <c r="R153" s="932">
        <v>2.2754193150745284E-15</v>
      </c>
      <c r="S153" s="932">
        <v>2.2754193150745284E-15</v>
      </c>
      <c r="T153" s="932">
        <v>2.2754193150745284E-15</v>
      </c>
      <c r="U153" s="932">
        <v>2.2754193150745284E-15</v>
      </c>
      <c r="V153" s="932">
        <v>2.2754193150745284E-15</v>
      </c>
      <c r="W153" s="932">
        <v>2.2754193150745284E-15</v>
      </c>
      <c r="X153" s="932">
        <v>2.2754193150745284E-15</v>
      </c>
      <c r="Y153" s="932">
        <v>2.2754193150745284E-15</v>
      </c>
      <c r="Z153" s="932">
        <v>2.2754193150745284E-15</v>
      </c>
      <c r="AA153" s="932">
        <v>2.2754193150745284E-15</v>
      </c>
      <c r="AB153" s="933">
        <v>2.2754193150745284E-15</v>
      </c>
      <c r="AD153" s="935">
        <f t="shared" si="81"/>
        <v>0</v>
      </c>
      <c r="AE153" s="936">
        <f t="shared" si="82"/>
        <v>0</v>
      </c>
      <c r="AF153" s="936">
        <f t="shared" si="83"/>
        <v>0</v>
      </c>
      <c r="AG153" s="936">
        <f t="shared" si="84"/>
        <v>0</v>
      </c>
      <c r="AH153" s="936">
        <f t="shared" si="85"/>
        <v>0</v>
      </c>
      <c r="AI153" s="936">
        <f t="shared" si="86"/>
        <v>0</v>
      </c>
      <c r="AJ153" s="936">
        <f t="shared" si="87"/>
        <v>0</v>
      </c>
      <c r="AK153" s="936">
        <f t="shared" si="88"/>
        <v>0</v>
      </c>
      <c r="AL153" s="936">
        <f t="shared" si="89"/>
        <v>0</v>
      </c>
      <c r="AM153" s="936">
        <f t="shared" si="90"/>
        <v>0</v>
      </c>
      <c r="AN153" s="936">
        <f t="shared" si="91"/>
        <v>0</v>
      </c>
      <c r="AO153" s="936">
        <f t="shared" si="92"/>
        <v>0</v>
      </c>
      <c r="AP153" s="936">
        <f t="shared" si="93"/>
        <v>0</v>
      </c>
      <c r="AQ153" s="936">
        <f t="shared" si="94"/>
        <v>3.6397892929873989E-15</v>
      </c>
      <c r="AR153" s="936">
        <f t="shared" si="95"/>
        <v>3.6397892929873989E-15</v>
      </c>
      <c r="AS153" s="936">
        <f t="shared" si="96"/>
        <v>3.6397892929873989E-15</v>
      </c>
      <c r="AT153" s="936">
        <f t="shared" si="97"/>
        <v>3.6397892929873989E-15</v>
      </c>
      <c r="AU153" s="936">
        <f t="shared" si="98"/>
        <v>3.6397892929873989E-15</v>
      </c>
      <c r="AV153" s="936">
        <f t="shared" si="99"/>
        <v>3.6397892929873989E-15</v>
      </c>
      <c r="AW153" s="936">
        <f t="shared" si="100"/>
        <v>3.6397892929873989E-15</v>
      </c>
      <c r="AX153" s="936">
        <f t="shared" si="101"/>
        <v>3.6397892929873989E-15</v>
      </c>
      <c r="AY153" s="936">
        <f t="shared" si="102"/>
        <v>3.6397892929873989E-15</v>
      </c>
      <c r="AZ153" s="936">
        <f t="shared" si="103"/>
        <v>3.6397892929873989E-15</v>
      </c>
      <c r="BA153" s="936">
        <f t="shared" si="104"/>
        <v>3.6397892929873989E-15</v>
      </c>
      <c r="BB153" s="937">
        <f t="shared" si="105"/>
        <v>3.6397892929873989E-15</v>
      </c>
      <c r="BC153" s="938"/>
    </row>
    <row r="154" spans="2:55" s="934" customFormat="1" ht="15">
      <c r="B154" s="909">
        <v>2044</v>
      </c>
      <c r="C154" s="1218" t="s">
        <v>822</v>
      </c>
      <c r="D154" s="932">
        <v>0</v>
      </c>
      <c r="E154" s="932">
        <v>0</v>
      </c>
      <c r="F154" s="932">
        <v>0</v>
      </c>
      <c r="G154" s="932">
        <v>0</v>
      </c>
      <c r="H154" s="932">
        <v>0</v>
      </c>
      <c r="I154" s="932">
        <v>0</v>
      </c>
      <c r="J154" s="932">
        <v>0</v>
      </c>
      <c r="K154" s="932">
        <v>0</v>
      </c>
      <c r="L154" s="932">
        <v>0</v>
      </c>
      <c r="M154" s="932">
        <v>0</v>
      </c>
      <c r="N154" s="932">
        <v>0</v>
      </c>
      <c r="O154" s="932">
        <v>0</v>
      </c>
      <c r="P154" s="932">
        <v>0</v>
      </c>
      <c r="Q154" s="932">
        <v>0</v>
      </c>
      <c r="R154" s="932">
        <v>0</v>
      </c>
      <c r="S154" s="932">
        <v>0</v>
      </c>
      <c r="T154" s="932">
        <v>0</v>
      </c>
      <c r="U154" s="932">
        <v>0</v>
      </c>
      <c r="V154" s="932">
        <v>0</v>
      </c>
      <c r="W154" s="932">
        <v>0</v>
      </c>
      <c r="X154" s="932">
        <v>0</v>
      </c>
      <c r="Y154" s="932">
        <v>0</v>
      </c>
      <c r="Z154" s="932">
        <v>0</v>
      </c>
      <c r="AA154" s="932">
        <v>0</v>
      </c>
      <c r="AB154" s="933">
        <v>0</v>
      </c>
      <c r="AD154" s="935">
        <f t="shared" si="81"/>
        <v>0</v>
      </c>
      <c r="AE154" s="936">
        <f t="shared" si="82"/>
        <v>0</v>
      </c>
      <c r="AF154" s="936">
        <f t="shared" si="83"/>
        <v>0</v>
      </c>
      <c r="AG154" s="936">
        <f t="shared" si="84"/>
        <v>0</v>
      </c>
      <c r="AH154" s="936">
        <f t="shared" si="85"/>
        <v>0</v>
      </c>
      <c r="AI154" s="936">
        <f t="shared" si="86"/>
        <v>0</v>
      </c>
      <c r="AJ154" s="936">
        <f t="shared" si="87"/>
        <v>0</v>
      </c>
      <c r="AK154" s="936">
        <f t="shared" si="88"/>
        <v>0</v>
      </c>
      <c r="AL154" s="936">
        <f t="shared" si="89"/>
        <v>0</v>
      </c>
      <c r="AM154" s="936">
        <f t="shared" si="90"/>
        <v>0</v>
      </c>
      <c r="AN154" s="936">
        <f t="shared" si="91"/>
        <v>0</v>
      </c>
      <c r="AO154" s="936">
        <f t="shared" si="92"/>
        <v>0</v>
      </c>
      <c r="AP154" s="936">
        <f t="shared" si="93"/>
        <v>0</v>
      </c>
      <c r="AQ154" s="936">
        <f t="shared" si="94"/>
        <v>0</v>
      </c>
      <c r="AR154" s="936">
        <f t="shared" si="95"/>
        <v>0</v>
      </c>
      <c r="AS154" s="936">
        <f t="shared" si="96"/>
        <v>0</v>
      </c>
      <c r="AT154" s="936">
        <f t="shared" si="97"/>
        <v>0</v>
      </c>
      <c r="AU154" s="936">
        <f t="shared" si="98"/>
        <v>0</v>
      </c>
      <c r="AV154" s="936">
        <f t="shared" si="99"/>
        <v>0</v>
      </c>
      <c r="AW154" s="936">
        <f t="shared" si="100"/>
        <v>0</v>
      </c>
      <c r="AX154" s="936">
        <f t="shared" si="101"/>
        <v>0</v>
      </c>
      <c r="AY154" s="936">
        <f t="shared" si="102"/>
        <v>0</v>
      </c>
      <c r="AZ154" s="936">
        <f t="shared" si="103"/>
        <v>0</v>
      </c>
      <c r="BA154" s="936">
        <f t="shared" si="104"/>
        <v>0</v>
      </c>
      <c r="BB154" s="937">
        <f t="shared" si="105"/>
        <v>0</v>
      </c>
      <c r="BC154" s="938"/>
    </row>
    <row r="155" spans="2:55" s="934" customFormat="1" ht="15">
      <c r="B155" s="909">
        <v>2045</v>
      </c>
      <c r="C155" s="1218" t="s">
        <v>823</v>
      </c>
      <c r="D155" s="932">
        <v>0</v>
      </c>
      <c r="E155" s="932">
        <v>0</v>
      </c>
      <c r="F155" s="932">
        <v>0</v>
      </c>
      <c r="G155" s="932">
        <v>0</v>
      </c>
      <c r="H155" s="932">
        <v>0</v>
      </c>
      <c r="I155" s="932">
        <v>0</v>
      </c>
      <c r="J155" s="932">
        <v>0</v>
      </c>
      <c r="K155" s="932">
        <v>0</v>
      </c>
      <c r="L155" s="932">
        <v>0</v>
      </c>
      <c r="M155" s="932">
        <v>0</v>
      </c>
      <c r="N155" s="932">
        <v>0</v>
      </c>
      <c r="O155" s="932">
        <v>0</v>
      </c>
      <c r="P155" s="932">
        <v>0</v>
      </c>
      <c r="Q155" s="932">
        <v>0</v>
      </c>
      <c r="R155" s="932">
        <v>0</v>
      </c>
      <c r="S155" s="932">
        <v>0</v>
      </c>
      <c r="T155" s="932">
        <v>0</v>
      </c>
      <c r="U155" s="932">
        <v>0</v>
      </c>
      <c r="V155" s="932">
        <v>0</v>
      </c>
      <c r="W155" s="932">
        <v>0</v>
      </c>
      <c r="X155" s="932">
        <v>0</v>
      </c>
      <c r="Y155" s="932">
        <v>0</v>
      </c>
      <c r="Z155" s="932">
        <v>0</v>
      </c>
      <c r="AA155" s="932">
        <v>0</v>
      </c>
      <c r="AB155" s="933">
        <v>0</v>
      </c>
      <c r="AD155" s="935">
        <f t="shared" si="81"/>
        <v>0</v>
      </c>
      <c r="AE155" s="936">
        <f t="shared" si="82"/>
        <v>0</v>
      </c>
      <c r="AF155" s="936">
        <f t="shared" si="83"/>
        <v>0</v>
      </c>
      <c r="AG155" s="936">
        <f t="shared" si="84"/>
        <v>0</v>
      </c>
      <c r="AH155" s="936">
        <f t="shared" si="85"/>
        <v>0</v>
      </c>
      <c r="AI155" s="936">
        <f t="shared" si="86"/>
        <v>0</v>
      </c>
      <c r="AJ155" s="936">
        <f t="shared" si="87"/>
        <v>0</v>
      </c>
      <c r="AK155" s="936">
        <f t="shared" si="88"/>
        <v>0</v>
      </c>
      <c r="AL155" s="936">
        <f t="shared" si="89"/>
        <v>0</v>
      </c>
      <c r="AM155" s="936">
        <f t="shared" si="90"/>
        <v>0</v>
      </c>
      <c r="AN155" s="936">
        <f t="shared" si="91"/>
        <v>0</v>
      </c>
      <c r="AO155" s="936">
        <f t="shared" si="92"/>
        <v>0</v>
      </c>
      <c r="AP155" s="936">
        <f t="shared" si="93"/>
        <v>0</v>
      </c>
      <c r="AQ155" s="936">
        <f t="shared" si="94"/>
        <v>0</v>
      </c>
      <c r="AR155" s="936">
        <f t="shared" si="95"/>
        <v>0</v>
      </c>
      <c r="AS155" s="936">
        <f t="shared" si="96"/>
        <v>0</v>
      </c>
      <c r="AT155" s="936">
        <f t="shared" si="97"/>
        <v>0</v>
      </c>
      <c r="AU155" s="936">
        <f t="shared" si="98"/>
        <v>0</v>
      </c>
      <c r="AV155" s="936">
        <f t="shared" si="99"/>
        <v>0</v>
      </c>
      <c r="AW155" s="936">
        <f t="shared" si="100"/>
        <v>0</v>
      </c>
      <c r="AX155" s="936">
        <f t="shared" si="101"/>
        <v>0</v>
      </c>
      <c r="AY155" s="936">
        <f t="shared" si="102"/>
        <v>0</v>
      </c>
      <c r="AZ155" s="936">
        <f t="shared" si="103"/>
        <v>0</v>
      </c>
      <c r="BA155" s="936">
        <f t="shared" si="104"/>
        <v>0</v>
      </c>
      <c r="BB155" s="937">
        <f t="shared" si="105"/>
        <v>0</v>
      </c>
      <c r="BC155" s="938"/>
    </row>
    <row r="156" spans="2:55" s="934" customFormat="1" ht="15">
      <c r="B156" s="909">
        <v>2046</v>
      </c>
      <c r="C156" s="1218" t="s">
        <v>824</v>
      </c>
      <c r="D156" s="932">
        <v>0</v>
      </c>
      <c r="E156" s="932">
        <v>0</v>
      </c>
      <c r="F156" s="932">
        <v>0</v>
      </c>
      <c r="G156" s="932">
        <v>0</v>
      </c>
      <c r="H156" s="932">
        <v>0</v>
      </c>
      <c r="I156" s="932">
        <v>0</v>
      </c>
      <c r="J156" s="932">
        <v>0</v>
      </c>
      <c r="K156" s="932">
        <v>0</v>
      </c>
      <c r="L156" s="932">
        <v>0</v>
      </c>
      <c r="M156" s="932">
        <v>0</v>
      </c>
      <c r="N156" s="932">
        <v>0</v>
      </c>
      <c r="O156" s="932">
        <v>0</v>
      </c>
      <c r="P156" s="932">
        <v>0</v>
      </c>
      <c r="Q156" s="932">
        <v>0</v>
      </c>
      <c r="R156" s="932">
        <v>0</v>
      </c>
      <c r="S156" s="932">
        <v>0</v>
      </c>
      <c r="T156" s="932">
        <v>0</v>
      </c>
      <c r="U156" s="932">
        <v>0</v>
      </c>
      <c r="V156" s="932">
        <v>0</v>
      </c>
      <c r="W156" s="932">
        <v>0</v>
      </c>
      <c r="X156" s="932">
        <v>0</v>
      </c>
      <c r="Y156" s="932">
        <v>0</v>
      </c>
      <c r="Z156" s="932">
        <v>0</v>
      </c>
      <c r="AA156" s="932">
        <v>0</v>
      </c>
      <c r="AB156" s="933">
        <v>0</v>
      </c>
      <c r="AD156" s="935">
        <f t="shared" si="81"/>
        <v>0</v>
      </c>
      <c r="AE156" s="936">
        <f t="shared" si="82"/>
        <v>0</v>
      </c>
      <c r="AF156" s="936">
        <f t="shared" si="83"/>
        <v>0</v>
      </c>
      <c r="AG156" s="936">
        <f t="shared" si="84"/>
        <v>0</v>
      </c>
      <c r="AH156" s="936">
        <f t="shared" si="85"/>
        <v>0</v>
      </c>
      <c r="AI156" s="936">
        <f t="shared" si="86"/>
        <v>0</v>
      </c>
      <c r="AJ156" s="936">
        <f t="shared" si="87"/>
        <v>0</v>
      </c>
      <c r="AK156" s="936">
        <f t="shared" si="88"/>
        <v>0</v>
      </c>
      <c r="AL156" s="936">
        <f t="shared" si="89"/>
        <v>0</v>
      </c>
      <c r="AM156" s="936">
        <f t="shared" si="90"/>
        <v>0</v>
      </c>
      <c r="AN156" s="936">
        <f t="shared" si="91"/>
        <v>0</v>
      </c>
      <c r="AO156" s="936">
        <f t="shared" si="92"/>
        <v>0</v>
      </c>
      <c r="AP156" s="936">
        <f t="shared" si="93"/>
        <v>0</v>
      </c>
      <c r="AQ156" s="936">
        <f t="shared" si="94"/>
        <v>0</v>
      </c>
      <c r="AR156" s="936">
        <f t="shared" si="95"/>
        <v>0</v>
      </c>
      <c r="AS156" s="936">
        <f t="shared" si="96"/>
        <v>0</v>
      </c>
      <c r="AT156" s="936">
        <f t="shared" si="97"/>
        <v>0</v>
      </c>
      <c r="AU156" s="936">
        <f t="shared" si="98"/>
        <v>0</v>
      </c>
      <c r="AV156" s="936">
        <f t="shared" si="99"/>
        <v>0</v>
      </c>
      <c r="AW156" s="936">
        <f t="shared" si="100"/>
        <v>0</v>
      </c>
      <c r="AX156" s="936">
        <f t="shared" si="101"/>
        <v>0</v>
      </c>
      <c r="AY156" s="936">
        <f t="shared" si="102"/>
        <v>0</v>
      </c>
      <c r="AZ156" s="936">
        <f t="shared" si="103"/>
        <v>0</v>
      </c>
      <c r="BA156" s="936">
        <f t="shared" si="104"/>
        <v>0</v>
      </c>
      <c r="BB156" s="937">
        <f t="shared" si="105"/>
        <v>0</v>
      </c>
      <c r="BC156" s="938"/>
    </row>
    <row r="157" spans="2:55" s="934" customFormat="1" ht="15">
      <c r="B157" s="909">
        <v>2047</v>
      </c>
      <c r="C157" s="1218" t="s">
        <v>825</v>
      </c>
      <c r="D157" s="932">
        <v>0</v>
      </c>
      <c r="E157" s="932">
        <v>0</v>
      </c>
      <c r="F157" s="932">
        <v>0</v>
      </c>
      <c r="G157" s="932">
        <v>0</v>
      </c>
      <c r="H157" s="932">
        <v>0</v>
      </c>
      <c r="I157" s="932">
        <v>0</v>
      </c>
      <c r="J157" s="932">
        <v>0</v>
      </c>
      <c r="K157" s="932">
        <v>0</v>
      </c>
      <c r="L157" s="932">
        <v>0</v>
      </c>
      <c r="M157" s="932">
        <v>0</v>
      </c>
      <c r="N157" s="932">
        <v>0</v>
      </c>
      <c r="O157" s="932">
        <v>0</v>
      </c>
      <c r="P157" s="932">
        <v>0</v>
      </c>
      <c r="Q157" s="932">
        <v>0</v>
      </c>
      <c r="R157" s="932">
        <v>0</v>
      </c>
      <c r="S157" s="932">
        <v>0</v>
      </c>
      <c r="T157" s="932">
        <v>0</v>
      </c>
      <c r="U157" s="932">
        <v>0</v>
      </c>
      <c r="V157" s="932">
        <v>0</v>
      </c>
      <c r="W157" s="932">
        <v>0</v>
      </c>
      <c r="X157" s="932">
        <v>0</v>
      </c>
      <c r="Y157" s="932">
        <v>0</v>
      </c>
      <c r="Z157" s="932">
        <v>0</v>
      </c>
      <c r="AA157" s="932">
        <v>0</v>
      </c>
      <c r="AB157" s="933">
        <v>0</v>
      </c>
      <c r="AD157" s="935">
        <f t="shared" si="81"/>
        <v>0</v>
      </c>
      <c r="AE157" s="936">
        <f t="shared" si="82"/>
        <v>0</v>
      </c>
      <c r="AF157" s="936">
        <f t="shared" si="83"/>
        <v>0</v>
      </c>
      <c r="AG157" s="936">
        <f t="shared" si="84"/>
        <v>0</v>
      </c>
      <c r="AH157" s="936">
        <f t="shared" si="85"/>
        <v>0</v>
      </c>
      <c r="AI157" s="936">
        <f t="shared" si="86"/>
        <v>0</v>
      </c>
      <c r="AJ157" s="936">
        <f t="shared" si="87"/>
        <v>0</v>
      </c>
      <c r="AK157" s="936">
        <f t="shared" si="88"/>
        <v>0</v>
      </c>
      <c r="AL157" s="936">
        <f t="shared" si="89"/>
        <v>0</v>
      </c>
      <c r="AM157" s="936">
        <f t="shared" si="90"/>
        <v>0</v>
      </c>
      <c r="AN157" s="936">
        <f t="shared" si="91"/>
        <v>0</v>
      </c>
      <c r="AO157" s="936">
        <f t="shared" si="92"/>
        <v>0</v>
      </c>
      <c r="AP157" s="936">
        <f t="shared" si="93"/>
        <v>0</v>
      </c>
      <c r="AQ157" s="936">
        <f t="shared" si="94"/>
        <v>0</v>
      </c>
      <c r="AR157" s="936">
        <f t="shared" si="95"/>
        <v>0</v>
      </c>
      <c r="AS157" s="936">
        <f t="shared" si="96"/>
        <v>0</v>
      </c>
      <c r="AT157" s="936">
        <f t="shared" si="97"/>
        <v>0</v>
      </c>
      <c r="AU157" s="936">
        <f t="shared" si="98"/>
        <v>0</v>
      </c>
      <c r="AV157" s="936">
        <f t="shared" si="99"/>
        <v>0</v>
      </c>
      <c r="AW157" s="936">
        <f t="shared" si="100"/>
        <v>0</v>
      </c>
      <c r="AX157" s="936">
        <f t="shared" si="101"/>
        <v>0</v>
      </c>
      <c r="AY157" s="936">
        <f t="shared" si="102"/>
        <v>0</v>
      </c>
      <c r="AZ157" s="936">
        <f t="shared" si="103"/>
        <v>0</v>
      </c>
      <c r="BA157" s="936">
        <f t="shared" si="104"/>
        <v>0</v>
      </c>
      <c r="BB157" s="937">
        <f t="shared" si="105"/>
        <v>0</v>
      </c>
      <c r="BC157" s="938"/>
    </row>
    <row r="158" spans="2:55" s="934" customFormat="1" ht="15">
      <c r="B158" s="909">
        <v>2048</v>
      </c>
      <c r="C158" s="1218" t="s">
        <v>826</v>
      </c>
      <c r="D158" s="932">
        <v>0</v>
      </c>
      <c r="E158" s="932">
        <v>0</v>
      </c>
      <c r="F158" s="932">
        <v>0</v>
      </c>
      <c r="G158" s="932">
        <v>0</v>
      </c>
      <c r="H158" s="932">
        <v>0</v>
      </c>
      <c r="I158" s="932">
        <v>0</v>
      </c>
      <c r="J158" s="932">
        <v>0</v>
      </c>
      <c r="K158" s="932">
        <v>0</v>
      </c>
      <c r="L158" s="932">
        <v>0</v>
      </c>
      <c r="M158" s="932">
        <v>0</v>
      </c>
      <c r="N158" s="932">
        <v>0</v>
      </c>
      <c r="O158" s="932">
        <v>0</v>
      </c>
      <c r="P158" s="932">
        <v>0</v>
      </c>
      <c r="Q158" s="932">
        <v>0</v>
      </c>
      <c r="R158" s="932">
        <v>0</v>
      </c>
      <c r="S158" s="932">
        <v>0</v>
      </c>
      <c r="T158" s="932">
        <v>0</v>
      </c>
      <c r="U158" s="932">
        <v>0</v>
      </c>
      <c r="V158" s="932">
        <v>0</v>
      </c>
      <c r="W158" s="932">
        <v>0</v>
      </c>
      <c r="X158" s="932">
        <v>0</v>
      </c>
      <c r="Y158" s="932">
        <v>0</v>
      </c>
      <c r="Z158" s="932">
        <v>0</v>
      </c>
      <c r="AA158" s="932">
        <v>0</v>
      </c>
      <c r="AB158" s="933">
        <v>0</v>
      </c>
      <c r="AD158" s="935">
        <f t="shared" si="81"/>
        <v>0</v>
      </c>
      <c r="AE158" s="936">
        <f t="shared" si="82"/>
        <v>0</v>
      </c>
      <c r="AF158" s="936">
        <f t="shared" si="83"/>
        <v>0</v>
      </c>
      <c r="AG158" s="936">
        <f t="shared" si="84"/>
        <v>0</v>
      </c>
      <c r="AH158" s="936">
        <f t="shared" si="85"/>
        <v>0</v>
      </c>
      <c r="AI158" s="936">
        <f t="shared" si="86"/>
        <v>0</v>
      </c>
      <c r="AJ158" s="936">
        <f t="shared" si="87"/>
        <v>0</v>
      </c>
      <c r="AK158" s="936">
        <f t="shared" si="88"/>
        <v>0</v>
      </c>
      <c r="AL158" s="936">
        <f t="shared" si="89"/>
        <v>0</v>
      </c>
      <c r="AM158" s="936">
        <f t="shared" si="90"/>
        <v>0</v>
      </c>
      <c r="AN158" s="936">
        <f t="shared" si="91"/>
        <v>0</v>
      </c>
      <c r="AO158" s="936">
        <f t="shared" si="92"/>
        <v>0</v>
      </c>
      <c r="AP158" s="936">
        <f t="shared" si="93"/>
        <v>0</v>
      </c>
      <c r="AQ158" s="936">
        <f t="shared" si="94"/>
        <v>0</v>
      </c>
      <c r="AR158" s="936">
        <f t="shared" si="95"/>
        <v>0</v>
      </c>
      <c r="AS158" s="936">
        <f t="shared" si="96"/>
        <v>0</v>
      </c>
      <c r="AT158" s="936">
        <f t="shared" si="97"/>
        <v>0</v>
      </c>
      <c r="AU158" s="936">
        <f t="shared" si="98"/>
        <v>0</v>
      </c>
      <c r="AV158" s="936">
        <f t="shared" si="99"/>
        <v>0</v>
      </c>
      <c r="AW158" s="936">
        <f t="shared" si="100"/>
        <v>0</v>
      </c>
      <c r="AX158" s="936">
        <f t="shared" si="101"/>
        <v>0</v>
      </c>
      <c r="AY158" s="936">
        <f t="shared" si="102"/>
        <v>0</v>
      </c>
      <c r="AZ158" s="936">
        <f t="shared" si="103"/>
        <v>0</v>
      </c>
      <c r="BA158" s="936">
        <f t="shared" si="104"/>
        <v>0</v>
      </c>
      <c r="BB158" s="937">
        <f t="shared" si="105"/>
        <v>0</v>
      </c>
      <c r="BC158" s="938"/>
    </row>
    <row r="159" spans="2:55" s="934" customFormat="1" ht="15">
      <c r="B159" s="909">
        <v>2049</v>
      </c>
      <c r="C159" s="1218" t="s">
        <v>827</v>
      </c>
      <c r="D159" s="932">
        <v>0</v>
      </c>
      <c r="E159" s="932">
        <v>0</v>
      </c>
      <c r="F159" s="932">
        <v>0</v>
      </c>
      <c r="G159" s="932">
        <v>0</v>
      </c>
      <c r="H159" s="932">
        <v>0</v>
      </c>
      <c r="I159" s="932">
        <v>0</v>
      </c>
      <c r="J159" s="932">
        <v>0</v>
      </c>
      <c r="K159" s="932">
        <v>0</v>
      </c>
      <c r="L159" s="932">
        <v>0</v>
      </c>
      <c r="M159" s="932">
        <v>0</v>
      </c>
      <c r="N159" s="932">
        <v>0</v>
      </c>
      <c r="O159" s="932">
        <v>0</v>
      </c>
      <c r="P159" s="932">
        <v>0</v>
      </c>
      <c r="Q159" s="932">
        <v>0</v>
      </c>
      <c r="R159" s="932">
        <v>0</v>
      </c>
      <c r="S159" s="932">
        <v>0</v>
      </c>
      <c r="T159" s="932">
        <v>0</v>
      </c>
      <c r="U159" s="932">
        <v>0</v>
      </c>
      <c r="V159" s="932">
        <v>0</v>
      </c>
      <c r="W159" s="932">
        <v>0</v>
      </c>
      <c r="X159" s="932">
        <v>0</v>
      </c>
      <c r="Y159" s="932">
        <v>0</v>
      </c>
      <c r="Z159" s="932">
        <v>0</v>
      </c>
      <c r="AA159" s="932">
        <v>0</v>
      </c>
      <c r="AB159" s="933">
        <v>0</v>
      </c>
      <c r="AD159" s="935">
        <f t="shared" si="81"/>
        <v>0</v>
      </c>
      <c r="AE159" s="936">
        <f t="shared" si="82"/>
        <v>0</v>
      </c>
      <c r="AF159" s="936">
        <f t="shared" si="83"/>
        <v>0</v>
      </c>
      <c r="AG159" s="936">
        <f t="shared" si="84"/>
        <v>0</v>
      </c>
      <c r="AH159" s="936">
        <f t="shared" si="85"/>
        <v>0</v>
      </c>
      <c r="AI159" s="936">
        <f t="shared" si="86"/>
        <v>0</v>
      </c>
      <c r="AJ159" s="936">
        <f t="shared" si="87"/>
        <v>0</v>
      </c>
      <c r="AK159" s="936">
        <f t="shared" si="88"/>
        <v>0</v>
      </c>
      <c r="AL159" s="936">
        <f t="shared" si="89"/>
        <v>0</v>
      </c>
      <c r="AM159" s="936">
        <f t="shared" si="90"/>
        <v>0</v>
      </c>
      <c r="AN159" s="936">
        <f t="shared" si="91"/>
        <v>0</v>
      </c>
      <c r="AO159" s="936">
        <f t="shared" si="92"/>
        <v>0</v>
      </c>
      <c r="AP159" s="936">
        <f t="shared" si="93"/>
        <v>0</v>
      </c>
      <c r="AQ159" s="936">
        <f t="shared" si="94"/>
        <v>0</v>
      </c>
      <c r="AR159" s="936">
        <f t="shared" si="95"/>
        <v>0</v>
      </c>
      <c r="AS159" s="936">
        <f t="shared" si="96"/>
        <v>0</v>
      </c>
      <c r="AT159" s="936">
        <f t="shared" si="97"/>
        <v>0</v>
      </c>
      <c r="AU159" s="936">
        <f t="shared" si="98"/>
        <v>0</v>
      </c>
      <c r="AV159" s="936">
        <f t="shared" si="99"/>
        <v>0</v>
      </c>
      <c r="AW159" s="936">
        <f t="shared" si="100"/>
        <v>0</v>
      </c>
      <c r="AX159" s="936">
        <f t="shared" si="101"/>
        <v>0</v>
      </c>
      <c r="AY159" s="936">
        <f t="shared" si="102"/>
        <v>0</v>
      </c>
      <c r="AZ159" s="936">
        <f t="shared" si="103"/>
        <v>0</v>
      </c>
      <c r="BA159" s="936">
        <f t="shared" si="104"/>
        <v>0</v>
      </c>
      <c r="BB159" s="937">
        <f t="shared" si="105"/>
        <v>0</v>
      </c>
      <c r="BC159" s="938"/>
    </row>
    <row r="160" spans="2:55" s="934" customFormat="1" ht="15">
      <c r="B160" s="916">
        <v>2050</v>
      </c>
      <c r="C160" s="1219" t="s">
        <v>828</v>
      </c>
      <c r="D160" s="932">
        <v>0</v>
      </c>
      <c r="E160" s="932">
        <v>0</v>
      </c>
      <c r="F160" s="932">
        <v>0</v>
      </c>
      <c r="G160" s="932">
        <v>0</v>
      </c>
      <c r="H160" s="932">
        <v>0</v>
      </c>
      <c r="I160" s="932">
        <v>0</v>
      </c>
      <c r="J160" s="932">
        <v>0</v>
      </c>
      <c r="K160" s="932">
        <v>0</v>
      </c>
      <c r="L160" s="932">
        <v>0</v>
      </c>
      <c r="M160" s="932">
        <v>0</v>
      </c>
      <c r="N160" s="932">
        <v>0</v>
      </c>
      <c r="O160" s="932">
        <v>0</v>
      </c>
      <c r="P160" s="932">
        <v>0</v>
      </c>
      <c r="Q160" s="932">
        <v>0</v>
      </c>
      <c r="R160" s="932">
        <v>0</v>
      </c>
      <c r="S160" s="932">
        <v>0</v>
      </c>
      <c r="T160" s="932">
        <v>0</v>
      </c>
      <c r="U160" s="932">
        <v>0</v>
      </c>
      <c r="V160" s="932">
        <v>0</v>
      </c>
      <c r="W160" s="932">
        <v>0</v>
      </c>
      <c r="X160" s="932">
        <v>0</v>
      </c>
      <c r="Y160" s="932">
        <v>0</v>
      </c>
      <c r="Z160" s="932">
        <v>0</v>
      </c>
      <c r="AA160" s="932">
        <v>0</v>
      </c>
      <c r="AB160" s="933">
        <v>0</v>
      </c>
      <c r="AD160" s="935">
        <f t="shared" si="81"/>
        <v>0</v>
      </c>
      <c r="AE160" s="936">
        <f t="shared" si="82"/>
        <v>0</v>
      </c>
      <c r="AF160" s="936">
        <f t="shared" si="83"/>
        <v>0</v>
      </c>
      <c r="AG160" s="936">
        <f t="shared" si="84"/>
        <v>0</v>
      </c>
      <c r="AH160" s="936">
        <f t="shared" si="85"/>
        <v>0</v>
      </c>
      <c r="AI160" s="936">
        <f t="shared" si="86"/>
        <v>0</v>
      </c>
      <c r="AJ160" s="936">
        <f t="shared" si="87"/>
        <v>0</v>
      </c>
      <c r="AK160" s="936">
        <f t="shared" si="88"/>
        <v>0</v>
      </c>
      <c r="AL160" s="936">
        <f t="shared" si="89"/>
        <v>0</v>
      </c>
      <c r="AM160" s="936">
        <f t="shared" si="90"/>
        <v>0</v>
      </c>
      <c r="AN160" s="936">
        <f t="shared" si="91"/>
        <v>0</v>
      </c>
      <c r="AO160" s="936">
        <f t="shared" si="92"/>
        <v>0</v>
      </c>
      <c r="AP160" s="936">
        <f t="shared" si="93"/>
        <v>0</v>
      </c>
      <c r="AQ160" s="936">
        <f t="shared" si="94"/>
        <v>0</v>
      </c>
      <c r="AR160" s="936">
        <f t="shared" si="95"/>
        <v>0</v>
      </c>
      <c r="AS160" s="936">
        <f t="shared" si="96"/>
        <v>0</v>
      </c>
      <c r="AT160" s="936">
        <f t="shared" si="97"/>
        <v>0</v>
      </c>
      <c r="AU160" s="936">
        <f t="shared" si="98"/>
        <v>0</v>
      </c>
      <c r="AV160" s="936">
        <f t="shared" si="99"/>
        <v>0</v>
      </c>
      <c r="AW160" s="936">
        <f t="shared" si="100"/>
        <v>0</v>
      </c>
      <c r="AX160" s="936">
        <f t="shared" si="101"/>
        <v>0</v>
      </c>
      <c r="AY160" s="936">
        <f t="shared" si="102"/>
        <v>0</v>
      </c>
      <c r="AZ160" s="936">
        <f t="shared" si="103"/>
        <v>0</v>
      </c>
      <c r="BA160" s="936">
        <f t="shared" si="104"/>
        <v>0</v>
      </c>
      <c r="BB160" s="937">
        <f t="shared" si="105"/>
        <v>0</v>
      </c>
      <c r="BC160" s="938"/>
    </row>
    <row r="161" spans="2:55" s="934" customFormat="1" ht="15">
      <c r="B161" s="909" t="s">
        <v>830</v>
      </c>
      <c r="C161" s="931"/>
      <c r="D161" s="940">
        <f t="shared" ref="D161:AB161" si="106">NPV(realdiscrt2,D128:D160)/(1+realdiscrt2)^-Half_Year</f>
        <v>18.0831515827978</v>
      </c>
      <c r="E161" s="940">
        <f t="shared" si="106"/>
        <v>51.751203824042591</v>
      </c>
      <c r="F161" s="940">
        <f t="shared" si="106"/>
        <v>130.16487952177823</v>
      </c>
      <c r="G161" s="940">
        <f t="shared" si="106"/>
        <v>221.78325213471257</v>
      </c>
      <c r="H161" s="940">
        <f t="shared" si="106"/>
        <v>393.13312402432388</v>
      </c>
      <c r="I161" s="940">
        <f t="shared" si="106"/>
        <v>401.60507606875598</v>
      </c>
      <c r="J161" s="940">
        <f t="shared" si="106"/>
        <v>409.17071431187986</v>
      </c>
      <c r="K161" s="940">
        <f t="shared" si="106"/>
        <v>413.43550425026001</v>
      </c>
      <c r="L161" s="940">
        <f t="shared" si="106"/>
        <v>415.34691165651174</v>
      </c>
      <c r="M161" s="940">
        <f t="shared" si="106"/>
        <v>415.83354230643829</v>
      </c>
      <c r="N161" s="940">
        <f t="shared" si="106"/>
        <v>415.83354230643829</v>
      </c>
      <c r="O161" s="940">
        <f t="shared" si="106"/>
        <v>415.83354230643829</v>
      </c>
      <c r="P161" s="940">
        <f t="shared" si="106"/>
        <v>415.83354230643829</v>
      </c>
      <c r="Q161" s="940">
        <f t="shared" si="106"/>
        <v>415.83354230643829</v>
      </c>
      <c r="R161" s="940">
        <f t="shared" si="106"/>
        <v>415.83354230643829</v>
      </c>
      <c r="S161" s="940">
        <f t="shared" si="106"/>
        <v>415.83354230643829</v>
      </c>
      <c r="T161" s="940">
        <f t="shared" si="106"/>
        <v>415.83354230643829</v>
      </c>
      <c r="U161" s="940">
        <f t="shared" si="106"/>
        <v>415.83354230643829</v>
      </c>
      <c r="V161" s="940">
        <f t="shared" si="106"/>
        <v>415.83354230643829</v>
      </c>
      <c r="W161" s="940">
        <f t="shared" si="106"/>
        <v>415.83354230643829</v>
      </c>
      <c r="X161" s="940">
        <f t="shared" si="106"/>
        <v>415.83354230643829</v>
      </c>
      <c r="Y161" s="940">
        <f t="shared" si="106"/>
        <v>415.83354230643829</v>
      </c>
      <c r="Z161" s="940">
        <f t="shared" si="106"/>
        <v>415.83354230643829</v>
      </c>
      <c r="AA161" s="940">
        <f t="shared" si="106"/>
        <v>415.83354230643829</v>
      </c>
      <c r="AB161" s="940">
        <f t="shared" si="106"/>
        <v>415.83354230643829</v>
      </c>
      <c r="AD161" s="1478">
        <f t="shared" ref="AD161:BB161" si="107">NPV(realdiscrt2,AD135:AD160)/(1+realdiscrt2)^(1-Half_Year)</f>
        <v>31.375670209741674</v>
      </c>
      <c r="AE161" s="1478">
        <f t="shared" si="107"/>
        <v>89.792351554742737</v>
      </c>
      <c r="AF161" s="1478">
        <f t="shared" si="107"/>
        <v>225.84615928625647</v>
      </c>
      <c r="AG161" s="1478">
        <f t="shared" si="107"/>
        <v>384.81114009143869</v>
      </c>
      <c r="AH161" s="1478">
        <f t="shared" si="107"/>
        <v>682.11645472499174</v>
      </c>
      <c r="AI161" s="1478">
        <f t="shared" si="107"/>
        <v>696.81594845880022</v>
      </c>
      <c r="AJ161" s="1478">
        <f t="shared" si="107"/>
        <v>709.94291746946089</v>
      </c>
      <c r="AK161" s="1478">
        <f t="shared" si="107"/>
        <v>717.34265871521416</v>
      </c>
      <c r="AL161" s="1478">
        <f t="shared" si="107"/>
        <v>720.65909878045511</v>
      </c>
      <c r="AM161" s="1478">
        <f t="shared" si="107"/>
        <v>721.50344069265645</v>
      </c>
      <c r="AN161" s="1478">
        <f t="shared" si="107"/>
        <v>721.50344069265645</v>
      </c>
      <c r="AO161" s="1478">
        <f t="shared" si="107"/>
        <v>721.50344069265645</v>
      </c>
      <c r="AP161" s="1478">
        <f t="shared" si="107"/>
        <v>721.50344069265645</v>
      </c>
      <c r="AQ161" s="1478">
        <f t="shared" si="107"/>
        <v>721.50344069265645</v>
      </c>
      <c r="AR161" s="1478">
        <f t="shared" si="107"/>
        <v>721.50344069265645</v>
      </c>
      <c r="AS161" s="1478">
        <f t="shared" si="107"/>
        <v>721.50344069265645</v>
      </c>
      <c r="AT161" s="1478">
        <f t="shared" si="107"/>
        <v>721.50344069265645</v>
      </c>
      <c r="AU161" s="1478">
        <f t="shared" si="107"/>
        <v>721.50344069265645</v>
      </c>
      <c r="AV161" s="1478">
        <f t="shared" si="107"/>
        <v>721.50344069265645</v>
      </c>
      <c r="AW161" s="1478">
        <f t="shared" si="107"/>
        <v>721.50344069265645</v>
      </c>
      <c r="AX161" s="1478">
        <f t="shared" si="107"/>
        <v>721.50344069265645</v>
      </c>
      <c r="AY161" s="1478">
        <f t="shared" si="107"/>
        <v>721.50344069265645</v>
      </c>
      <c r="AZ161" s="1478">
        <f t="shared" si="107"/>
        <v>721.50344069265645</v>
      </c>
      <c r="BA161" s="1478">
        <f t="shared" si="107"/>
        <v>721.50344069265645</v>
      </c>
      <c r="BB161" s="1478">
        <f t="shared" si="107"/>
        <v>721.50344069265645</v>
      </c>
      <c r="BC161" s="938"/>
    </row>
    <row r="162" spans="2:55" s="934" customFormat="1" ht="15" hidden="1">
      <c r="B162" s="941"/>
      <c r="C162" s="931"/>
      <c r="D162" s="940"/>
      <c r="E162" s="940"/>
      <c r="F162" s="940"/>
      <c r="G162" s="940"/>
      <c r="H162" s="940"/>
      <c r="I162" s="940"/>
      <c r="J162" s="940"/>
      <c r="K162" s="940"/>
      <c r="L162" s="940"/>
      <c r="M162" s="940"/>
      <c r="N162" s="940"/>
      <c r="O162" s="940"/>
      <c r="P162" s="940"/>
      <c r="Q162" s="940"/>
      <c r="R162" s="940"/>
      <c r="S162" s="940"/>
      <c r="T162" s="940"/>
      <c r="U162" s="940"/>
      <c r="V162" s="940"/>
      <c r="W162" s="940"/>
      <c r="X162" s="940"/>
      <c r="Y162" s="940"/>
      <c r="Z162" s="940"/>
      <c r="AA162" s="940"/>
      <c r="AB162" s="940"/>
      <c r="AD162" s="940"/>
      <c r="AE162" s="940"/>
      <c r="AF162" s="940"/>
      <c r="AG162" s="940"/>
      <c r="AH162" s="940"/>
      <c r="AI162" s="940"/>
      <c r="AJ162" s="940"/>
      <c r="AK162" s="940"/>
      <c r="AL162" s="940"/>
      <c r="AM162" s="940"/>
      <c r="AN162" s="940"/>
      <c r="AO162" s="940"/>
      <c r="AP162" s="940"/>
      <c r="AQ162" s="940"/>
      <c r="AR162" s="940"/>
      <c r="AS162" s="940"/>
      <c r="AT162" s="940"/>
      <c r="AU162" s="940"/>
      <c r="AV162" s="940"/>
      <c r="AW162" s="940"/>
      <c r="AX162" s="940"/>
      <c r="AY162" s="940"/>
      <c r="AZ162" s="940"/>
      <c r="BA162" s="940"/>
      <c r="BB162" s="940"/>
    </row>
    <row r="163" spans="2:55" s="934" customFormat="1" ht="15" hidden="1">
      <c r="B163" s="941"/>
      <c r="C163" s="931"/>
      <c r="D163" s="940"/>
      <c r="E163" s="940"/>
      <c r="F163" s="940"/>
      <c r="G163" s="940"/>
      <c r="H163" s="940"/>
      <c r="I163" s="940"/>
      <c r="J163" s="940"/>
      <c r="K163" s="940"/>
      <c r="L163" s="940"/>
      <c r="M163" s="940"/>
      <c r="N163" s="940"/>
      <c r="O163" s="940"/>
      <c r="P163" s="940"/>
      <c r="Q163" s="940"/>
      <c r="R163" s="940"/>
      <c r="S163" s="940"/>
      <c r="T163" s="940"/>
      <c r="U163" s="940"/>
      <c r="V163" s="940"/>
      <c r="W163" s="940"/>
      <c r="X163" s="940"/>
      <c r="Y163" s="940"/>
      <c r="Z163" s="940"/>
      <c r="AA163" s="940"/>
      <c r="AB163" s="940"/>
      <c r="AD163" s="940"/>
      <c r="AE163" s="940"/>
      <c r="AF163" s="940"/>
      <c r="AG163" s="940"/>
      <c r="AH163" s="940"/>
      <c r="AI163" s="940"/>
      <c r="AJ163" s="940"/>
      <c r="AK163" s="940"/>
      <c r="AL163" s="940"/>
      <c r="AM163" s="940"/>
      <c r="AN163" s="940"/>
      <c r="AO163" s="940"/>
      <c r="AP163" s="940"/>
      <c r="AQ163" s="940"/>
      <c r="AR163" s="940"/>
      <c r="AS163" s="940"/>
      <c r="AT163" s="940"/>
      <c r="AU163" s="940"/>
      <c r="AV163" s="940"/>
      <c r="AW163" s="940"/>
      <c r="AX163" s="940"/>
      <c r="AY163" s="940"/>
      <c r="AZ163" s="940"/>
      <c r="BA163" s="940"/>
      <c r="BB163" s="940"/>
    </row>
    <row r="164" spans="2:55" s="934" customFormat="1" ht="15" hidden="1">
      <c r="B164" s="942"/>
      <c r="C164" s="939"/>
      <c r="D164" s="940"/>
      <c r="E164" s="940"/>
      <c r="F164" s="940"/>
      <c r="G164" s="940"/>
      <c r="H164" s="940"/>
      <c r="I164" s="940"/>
      <c r="J164" s="940"/>
      <c r="K164" s="940"/>
      <c r="L164" s="940"/>
      <c r="M164" s="940"/>
      <c r="N164" s="940"/>
      <c r="O164" s="940"/>
      <c r="P164" s="940"/>
      <c r="Q164" s="940"/>
      <c r="R164" s="940"/>
      <c r="S164" s="940"/>
      <c r="T164" s="940"/>
      <c r="U164" s="940"/>
      <c r="V164" s="940"/>
      <c r="W164" s="940"/>
      <c r="X164" s="940"/>
      <c r="Y164" s="940"/>
      <c r="Z164" s="940"/>
      <c r="AA164" s="940"/>
      <c r="AB164" s="940"/>
      <c r="AD164" s="940"/>
      <c r="AE164" s="940"/>
      <c r="AF164" s="940"/>
      <c r="AG164" s="940"/>
      <c r="AH164" s="940"/>
      <c r="AI164" s="940"/>
      <c r="AJ164" s="940"/>
      <c r="AK164" s="940"/>
      <c r="AL164" s="940"/>
      <c r="AM164" s="940"/>
      <c r="AN164" s="940"/>
      <c r="AO164" s="940"/>
      <c r="AP164" s="940"/>
      <c r="AQ164" s="940"/>
      <c r="AR164" s="940"/>
      <c r="AS164" s="940"/>
      <c r="AT164" s="940"/>
      <c r="AU164" s="940"/>
      <c r="AV164" s="940"/>
      <c r="AW164" s="940"/>
      <c r="AX164" s="940"/>
      <c r="AY164" s="940"/>
      <c r="AZ164" s="940"/>
      <c r="BA164" s="940"/>
      <c r="BB164" s="940"/>
    </row>
    <row r="167" spans="2:55" s="908" customFormat="1" ht="33.75">
      <c r="B167" s="1723">
        <f>Year3</f>
        <v>2026</v>
      </c>
      <c r="C167" s="1724"/>
      <c r="D167" s="922"/>
      <c r="E167" s="922"/>
      <c r="F167" s="922"/>
      <c r="G167" s="922"/>
      <c r="H167" s="922"/>
      <c r="I167" s="922"/>
      <c r="J167" s="922"/>
      <c r="K167" s="922"/>
      <c r="L167" s="922"/>
      <c r="M167" s="922"/>
      <c r="N167" s="922"/>
      <c r="O167" s="922"/>
      <c r="P167" s="922"/>
      <c r="Q167" s="922"/>
      <c r="R167" s="922"/>
      <c r="S167" s="922"/>
      <c r="T167" s="922"/>
      <c r="U167" s="922"/>
      <c r="V167" s="922"/>
      <c r="W167" s="922"/>
      <c r="X167" s="922"/>
      <c r="Y167" s="922"/>
      <c r="Z167" s="922"/>
      <c r="AA167" s="922"/>
      <c r="AB167" s="922"/>
      <c r="AC167" s="922"/>
      <c r="AD167" s="922" t="str">
        <f>Year3&amp;"$"</f>
        <v>2026$</v>
      </c>
      <c r="AE167" s="922"/>
      <c r="AF167" s="1479" t="str">
        <f>Year1&amp;"$"</f>
        <v>2024$</v>
      </c>
      <c r="AG167" s="922"/>
      <c r="AH167" s="922"/>
      <c r="AI167" s="922"/>
      <c r="AJ167" s="922"/>
      <c r="AK167" s="922"/>
      <c r="AL167" s="922"/>
      <c r="AM167" s="922"/>
      <c r="AN167" s="922"/>
      <c r="AO167" s="922"/>
      <c r="AP167" s="922"/>
      <c r="AQ167" s="922"/>
      <c r="AR167" s="922"/>
      <c r="AS167" s="922"/>
      <c r="AT167" s="922"/>
      <c r="AU167" s="922"/>
      <c r="AV167" s="922"/>
      <c r="AW167" s="922"/>
      <c r="AX167" s="922"/>
      <c r="AY167" s="922"/>
      <c r="AZ167" s="922"/>
      <c r="BA167" s="922"/>
      <c r="BB167" s="923"/>
    </row>
    <row r="168" spans="2:55" s="928" customFormat="1" ht="31.5" customHeight="1" thickBot="1">
      <c r="B168" s="924"/>
      <c r="C168" s="925"/>
      <c r="D168" s="926" t="s">
        <v>832</v>
      </c>
      <c r="E168" s="925"/>
      <c r="F168" s="925"/>
      <c r="G168" s="925"/>
      <c r="H168" s="925"/>
      <c r="I168" s="925"/>
      <c r="J168" s="925"/>
      <c r="K168" s="925"/>
      <c r="L168" s="925"/>
      <c r="M168" s="925"/>
      <c r="N168" s="925"/>
      <c r="O168" s="925"/>
      <c r="P168" s="925"/>
      <c r="Q168" s="925"/>
      <c r="R168" s="925"/>
      <c r="S168" s="925"/>
      <c r="T168" s="925"/>
      <c r="U168" s="925"/>
      <c r="V168" s="925"/>
      <c r="W168" s="925"/>
      <c r="X168" s="925"/>
      <c r="Y168" s="925"/>
      <c r="Z168" s="925"/>
      <c r="AA168" s="925"/>
      <c r="AB168" s="927"/>
      <c r="AD168" s="926" t="s">
        <v>831</v>
      </c>
      <c r="AE168" s="929"/>
      <c r="AF168" s="929"/>
      <c r="AG168" s="929"/>
      <c r="AH168" s="929"/>
      <c r="AI168" s="929"/>
      <c r="AJ168" s="929"/>
      <c r="AK168" s="929"/>
      <c r="AL168" s="929"/>
      <c r="AM168" s="929"/>
      <c r="AN168" s="929"/>
      <c r="AO168" s="929"/>
      <c r="AP168" s="929"/>
      <c r="AQ168" s="929"/>
      <c r="AR168" s="929"/>
      <c r="AS168" s="929"/>
      <c r="AT168" s="929"/>
      <c r="AU168" s="929"/>
      <c r="AV168" s="929"/>
      <c r="AW168" s="929"/>
      <c r="AX168" s="929"/>
      <c r="AY168" s="929"/>
      <c r="AZ168" s="929"/>
      <c r="BA168" s="929"/>
      <c r="BB168" s="930"/>
    </row>
    <row r="169" spans="2:55" s="934" customFormat="1" ht="15.75" thickTop="1">
      <c r="B169" s="909">
        <v>2018</v>
      </c>
      <c r="C169" s="1218" t="s">
        <v>29</v>
      </c>
      <c r="D169" s="932">
        <v>0</v>
      </c>
      <c r="E169" s="932">
        <v>0</v>
      </c>
      <c r="F169" s="932">
        <v>0</v>
      </c>
      <c r="G169" s="932">
        <v>0</v>
      </c>
      <c r="H169" s="932">
        <v>0</v>
      </c>
      <c r="I169" s="932">
        <v>0</v>
      </c>
      <c r="J169" s="932">
        <v>0</v>
      </c>
      <c r="K169" s="932">
        <v>0</v>
      </c>
      <c r="L169" s="932">
        <v>0</v>
      </c>
      <c r="M169" s="932">
        <v>0</v>
      </c>
      <c r="N169" s="932">
        <v>0</v>
      </c>
      <c r="O169" s="932">
        <v>0</v>
      </c>
      <c r="P169" s="932">
        <v>0</v>
      </c>
      <c r="Q169" s="932">
        <v>0</v>
      </c>
      <c r="R169" s="932">
        <v>0</v>
      </c>
      <c r="S169" s="932">
        <v>0</v>
      </c>
      <c r="T169" s="932">
        <v>0</v>
      </c>
      <c r="U169" s="932">
        <v>0</v>
      </c>
      <c r="V169" s="932">
        <v>0</v>
      </c>
      <c r="W169" s="932">
        <v>0</v>
      </c>
      <c r="X169" s="932">
        <v>0</v>
      </c>
      <c r="Y169" s="932">
        <v>0</v>
      </c>
      <c r="Z169" s="932">
        <v>0</v>
      </c>
      <c r="AA169" s="932">
        <v>0</v>
      </c>
      <c r="AB169" s="933">
        <v>0</v>
      </c>
      <c r="AD169" s="935">
        <f t="shared" ref="AD169:AD201" si="108">D169*(1+WholesaleRiskPremium)*(1+PeakDemandLosses)*(1+Inflation3)^(Year3-Real_Year)</f>
        <v>0</v>
      </c>
      <c r="AE169" s="936">
        <f t="shared" ref="AE169:AE201" si="109">E169*(1+WholesaleRiskPremium)*(1+PeakDemandLosses)*(1+Inflation3)^(Year3-Real_Year)</f>
        <v>0</v>
      </c>
      <c r="AF169" s="936">
        <f t="shared" ref="AF169:AF201" si="110">F169*(1+WholesaleRiskPremium)*(1+PeakDemandLosses)*(1+Inflation3)^(Year3-Real_Year)</f>
        <v>0</v>
      </c>
      <c r="AG169" s="936">
        <f t="shared" ref="AG169:AG201" si="111">G169*(1+WholesaleRiskPremium)*(1+PeakDemandLosses)*(1+Inflation3)^(Year3-Real_Year)</f>
        <v>0</v>
      </c>
      <c r="AH169" s="936">
        <f t="shared" ref="AH169:AH201" si="112">H169*(1+WholesaleRiskPremium)*(1+PeakDemandLosses)*(1+Inflation3)^(Year3-Real_Year)</f>
        <v>0</v>
      </c>
      <c r="AI169" s="936">
        <f t="shared" ref="AI169:AI201" si="113">I169*(1+WholesaleRiskPremium)*(1+PeakDemandLosses)*(1+Inflation3)^(Year3-Real_Year)</f>
        <v>0</v>
      </c>
      <c r="AJ169" s="936">
        <f t="shared" ref="AJ169:AJ201" si="114">J169*(1+WholesaleRiskPremium)*(1+PeakDemandLosses)*(1+Inflation3)^(Year3-Real_Year)</f>
        <v>0</v>
      </c>
      <c r="AK169" s="936">
        <f t="shared" ref="AK169:AK201" si="115">K169*(1+WholesaleRiskPremium)*(1+PeakDemandLosses)*(1+Inflation3)^(Year3-Real_Year)</f>
        <v>0</v>
      </c>
      <c r="AL169" s="936">
        <f t="shared" ref="AL169:AL201" si="116">L169*(1+WholesaleRiskPremium)*(1+PeakDemandLosses)*(1+Inflation3)^(Year3-Real_Year)</f>
        <v>0</v>
      </c>
      <c r="AM169" s="936">
        <f t="shared" ref="AM169:AM201" si="117">M169*(1+WholesaleRiskPremium)*(1+PeakDemandLosses)*(1+Inflation3)^(Year3-Real_Year)</f>
        <v>0</v>
      </c>
      <c r="AN169" s="936">
        <f t="shared" ref="AN169:AN201" si="118">N169*(1+WholesaleRiskPremium)*(1+PeakDemandLosses)*(1+Inflation3)^(Year3-Real_Year)</f>
        <v>0</v>
      </c>
      <c r="AO169" s="936">
        <f t="shared" ref="AO169:AO201" si="119">O169*(1+WholesaleRiskPremium)*(1+PeakDemandLosses)*(1+Inflation3)^(Year3-Real_Year)</f>
        <v>0</v>
      </c>
      <c r="AP169" s="936">
        <f t="shared" ref="AP169:AP201" si="120">P169*(1+WholesaleRiskPremium)*(1+PeakDemandLosses)*(1+Inflation3)^(Year3-Real_Year)</f>
        <v>0</v>
      </c>
      <c r="AQ169" s="936">
        <f t="shared" ref="AQ169:AQ201" si="121">Q169*(1+WholesaleRiskPremium)*(1+PeakDemandLosses)*(1+Inflation3)^(Year3-Real_Year)</f>
        <v>0</v>
      </c>
      <c r="AR169" s="936">
        <f t="shared" ref="AR169:AR201" si="122">R169*(1+WholesaleRiskPremium)*(1+PeakDemandLosses)*(1+Inflation3)^(Year3-Real_Year)</f>
        <v>0</v>
      </c>
      <c r="AS169" s="936">
        <f t="shared" ref="AS169:AS201" si="123">S169*(1+WholesaleRiskPremium)*(1+PeakDemandLosses)*(1+Inflation3)^(Year3-Real_Year)</f>
        <v>0</v>
      </c>
      <c r="AT169" s="936">
        <f t="shared" ref="AT169:AT201" si="124">T169*(1+WholesaleRiskPremium)*(1+PeakDemandLosses)*(1+Inflation3)^(Year3-Real_Year)</f>
        <v>0</v>
      </c>
      <c r="AU169" s="936">
        <f t="shared" ref="AU169:AU201" si="125">U169*(1+WholesaleRiskPremium)*(1+PeakDemandLosses)*(1+Inflation3)^(Year3-Real_Year)</f>
        <v>0</v>
      </c>
      <c r="AV169" s="936">
        <f t="shared" ref="AV169:AV201" si="126">V169*(1+WholesaleRiskPremium)*(1+PeakDemandLosses)*(1+Inflation3)^(Year3-Real_Year)</f>
        <v>0</v>
      </c>
      <c r="AW169" s="936">
        <f t="shared" ref="AW169:AW201" si="127">W169*(1+WholesaleRiskPremium)*(1+PeakDemandLosses)*(1+Inflation3)^(Year3-Real_Year)</f>
        <v>0</v>
      </c>
      <c r="AX169" s="936">
        <f t="shared" ref="AX169:AX201" si="128">X169*(1+WholesaleRiskPremium)*(1+PeakDemandLosses)*(1+Inflation3)^(Year3-Real_Year)</f>
        <v>0</v>
      </c>
      <c r="AY169" s="936">
        <f t="shared" ref="AY169:AY201" si="129">Y169*(1+WholesaleRiskPremium)*(1+PeakDemandLosses)*(1+Inflation3)^(Year3-Real_Year)</f>
        <v>0</v>
      </c>
      <c r="AZ169" s="936">
        <f t="shared" ref="AZ169:AZ201" si="130">Z169*(1+WholesaleRiskPremium)*(1+PeakDemandLosses)*(1+Inflation3)^(Year3-Real_Year)</f>
        <v>0</v>
      </c>
      <c r="BA169" s="936">
        <f t="shared" ref="BA169:BA201" si="131">AA169*(1+WholesaleRiskPremium)*(1+PeakDemandLosses)*(1+Inflation3)^(Year3-Real_Year)</f>
        <v>0</v>
      </c>
      <c r="BB169" s="937">
        <f t="shared" ref="BB169:BB201" si="132">AB169*(1+WholesaleRiskPremium)*(1+PeakDemandLosses)*(1+Inflation3)^(Year3-Real_Year)</f>
        <v>0</v>
      </c>
      <c r="BC169" s="938"/>
    </row>
    <row r="170" spans="2:55" s="934" customFormat="1" ht="15">
      <c r="B170" s="909">
        <v>2019</v>
      </c>
      <c r="C170" s="1218" t="s">
        <v>29</v>
      </c>
      <c r="D170" s="932">
        <v>0</v>
      </c>
      <c r="E170" s="932">
        <v>0</v>
      </c>
      <c r="F170" s="932">
        <v>0</v>
      </c>
      <c r="G170" s="932">
        <v>0</v>
      </c>
      <c r="H170" s="932">
        <v>0</v>
      </c>
      <c r="I170" s="932">
        <v>0</v>
      </c>
      <c r="J170" s="932">
        <v>0</v>
      </c>
      <c r="K170" s="932">
        <v>0</v>
      </c>
      <c r="L170" s="932">
        <v>0</v>
      </c>
      <c r="M170" s="932">
        <v>0</v>
      </c>
      <c r="N170" s="932">
        <v>0</v>
      </c>
      <c r="O170" s="932">
        <v>0</v>
      </c>
      <c r="P170" s="932">
        <v>0</v>
      </c>
      <c r="Q170" s="932">
        <v>0</v>
      </c>
      <c r="R170" s="932">
        <v>0</v>
      </c>
      <c r="S170" s="932">
        <v>0</v>
      </c>
      <c r="T170" s="932">
        <v>0</v>
      </c>
      <c r="U170" s="932">
        <v>0</v>
      </c>
      <c r="V170" s="932">
        <v>0</v>
      </c>
      <c r="W170" s="932">
        <v>0</v>
      </c>
      <c r="X170" s="932">
        <v>0</v>
      </c>
      <c r="Y170" s="932">
        <v>0</v>
      </c>
      <c r="Z170" s="932">
        <v>0</v>
      </c>
      <c r="AA170" s="932">
        <v>0</v>
      </c>
      <c r="AB170" s="933">
        <v>0</v>
      </c>
      <c r="AD170" s="935">
        <f t="shared" si="108"/>
        <v>0</v>
      </c>
      <c r="AE170" s="936">
        <f t="shared" si="109"/>
        <v>0</v>
      </c>
      <c r="AF170" s="936">
        <f t="shared" si="110"/>
        <v>0</v>
      </c>
      <c r="AG170" s="936">
        <f t="shared" si="111"/>
        <v>0</v>
      </c>
      <c r="AH170" s="936">
        <f t="shared" si="112"/>
        <v>0</v>
      </c>
      <c r="AI170" s="936">
        <f t="shared" si="113"/>
        <v>0</v>
      </c>
      <c r="AJ170" s="936">
        <f t="shared" si="114"/>
        <v>0</v>
      </c>
      <c r="AK170" s="936">
        <f t="shared" si="115"/>
        <v>0</v>
      </c>
      <c r="AL170" s="936">
        <f t="shared" si="116"/>
        <v>0</v>
      </c>
      <c r="AM170" s="936">
        <f t="shared" si="117"/>
        <v>0</v>
      </c>
      <c r="AN170" s="936">
        <f t="shared" si="118"/>
        <v>0</v>
      </c>
      <c r="AO170" s="936">
        <f t="shared" si="119"/>
        <v>0</v>
      </c>
      <c r="AP170" s="936">
        <f t="shared" si="120"/>
        <v>0</v>
      </c>
      <c r="AQ170" s="936">
        <f t="shared" si="121"/>
        <v>0</v>
      </c>
      <c r="AR170" s="936">
        <f t="shared" si="122"/>
        <v>0</v>
      </c>
      <c r="AS170" s="936">
        <f t="shared" si="123"/>
        <v>0</v>
      </c>
      <c r="AT170" s="936">
        <f t="shared" si="124"/>
        <v>0</v>
      </c>
      <c r="AU170" s="936">
        <f t="shared" si="125"/>
        <v>0</v>
      </c>
      <c r="AV170" s="936">
        <f t="shared" si="126"/>
        <v>0</v>
      </c>
      <c r="AW170" s="936">
        <f t="shared" si="127"/>
        <v>0</v>
      </c>
      <c r="AX170" s="936">
        <f t="shared" si="128"/>
        <v>0</v>
      </c>
      <c r="AY170" s="936">
        <f t="shared" si="129"/>
        <v>0</v>
      </c>
      <c r="AZ170" s="936">
        <f t="shared" si="130"/>
        <v>0</v>
      </c>
      <c r="BA170" s="936">
        <f t="shared" si="131"/>
        <v>0</v>
      </c>
      <c r="BB170" s="937">
        <f t="shared" si="132"/>
        <v>0</v>
      </c>
      <c r="BC170" s="938"/>
    </row>
    <row r="171" spans="2:55" s="934" customFormat="1" ht="15">
      <c r="B171" s="909">
        <v>2020</v>
      </c>
      <c r="C171" s="1218" t="s">
        <v>29</v>
      </c>
      <c r="D171" s="932">
        <v>0</v>
      </c>
      <c r="E171" s="932">
        <v>0</v>
      </c>
      <c r="F171" s="932">
        <v>0</v>
      </c>
      <c r="G171" s="932">
        <v>0</v>
      </c>
      <c r="H171" s="932">
        <v>0</v>
      </c>
      <c r="I171" s="932">
        <v>0</v>
      </c>
      <c r="J171" s="932">
        <v>0</v>
      </c>
      <c r="K171" s="932">
        <v>0</v>
      </c>
      <c r="L171" s="932">
        <v>0</v>
      </c>
      <c r="M171" s="932">
        <v>0</v>
      </c>
      <c r="N171" s="932">
        <v>0</v>
      </c>
      <c r="O171" s="932">
        <v>0</v>
      </c>
      <c r="P171" s="932">
        <v>0</v>
      </c>
      <c r="Q171" s="932">
        <v>0</v>
      </c>
      <c r="R171" s="932">
        <v>0</v>
      </c>
      <c r="S171" s="932">
        <v>0</v>
      </c>
      <c r="T171" s="932">
        <v>0</v>
      </c>
      <c r="U171" s="932">
        <v>0</v>
      </c>
      <c r="V171" s="932">
        <v>0</v>
      </c>
      <c r="W171" s="932">
        <v>0</v>
      </c>
      <c r="X171" s="932">
        <v>0</v>
      </c>
      <c r="Y171" s="932">
        <v>0</v>
      </c>
      <c r="Z171" s="932">
        <v>0</v>
      </c>
      <c r="AA171" s="932">
        <v>0</v>
      </c>
      <c r="AB171" s="933">
        <v>0</v>
      </c>
      <c r="AD171" s="935">
        <f t="shared" si="108"/>
        <v>0</v>
      </c>
      <c r="AE171" s="936">
        <f t="shared" si="109"/>
        <v>0</v>
      </c>
      <c r="AF171" s="936">
        <f t="shared" si="110"/>
        <v>0</v>
      </c>
      <c r="AG171" s="936">
        <f t="shared" si="111"/>
        <v>0</v>
      </c>
      <c r="AH171" s="936">
        <f t="shared" si="112"/>
        <v>0</v>
      </c>
      <c r="AI171" s="936">
        <f t="shared" si="113"/>
        <v>0</v>
      </c>
      <c r="AJ171" s="936">
        <f t="shared" si="114"/>
        <v>0</v>
      </c>
      <c r="AK171" s="936">
        <f t="shared" si="115"/>
        <v>0</v>
      </c>
      <c r="AL171" s="936">
        <f t="shared" si="116"/>
        <v>0</v>
      </c>
      <c r="AM171" s="936">
        <f t="shared" si="117"/>
        <v>0</v>
      </c>
      <c r="AN171" s="936">
        <f t="shared" si="118"/>
        <v>0</v>
      </c>
      <c r="AO171" s="936">
        <f t="shared" si="119"/>
        <v>0</v>
      </c>
      <c r="AP171" s="936">
        <f t="shared" si="120"/>
        <v>0</v>
      </c>
      <c r="AQ171" s="936">
        <f t="shared" si="121"/>
        <v>0</v>
      </c>
      <c r="AR171" s="936">
        <f t="shared" si="122"/>
        <v>0</v>
      </c>
      <c r="AS171" s="936">
        <f t="shared" si="123"/>
        <v>0</v>
      </c>
      <c r="AT171" s="936">
        <f t="shared" si="124"/>
        <v>0</v>
      </c>
      <c r="AU171" s="936">
        <f t="shared" si="125"/>
        <v>0</v>
      </c>
      <c r="AV171" s="936">
        <f t="shared" si="126"/>
        <v>0</v>
      </c>
      <c r="AW171" s="936">
        <f t="shared" si="127"/>
        <v>0</v>
      </c>
      <c r="AX171" s="936">
        <f t="shared" si="128"/>
        <v>0</v>
      </c>
      <c r="AY171" s="936">
        <f t="shared" si="129"/>
        <v>0</v>
      </c>
      <c r="AZ171" s="936">
        <f t="shared" si="130"/>
        <v>0</v>
      </c>
      <c r="BA171" s="936">
        <f t="shared" si="131"/>
        <v>0</v>
      </c>
      <c r="BB171" s="937">
        <f t="shared" si="132"/>
        <v>0</v>
      </c>
      <c r="BC171" s="938"/>
    </row>
    <row r="172" spans="2:55" s="934" customFormat="1" ht="15">
      <c r="B172" s="909">
        <v>2021</v>
      </c>
      <c r="C172" s="1218" t="s">
        <v>29</v>
      </c>
      <c r="D172" s="932">
        <v>0</v>
      </c>
      <c r="E172" s="932">
        <v>0</v>
      </c>
      <c r="F172" s="932">
        <v>0</v>
      </c>
      <c r="G172" s="932">
        <v>0</v>
      </c>
      <c r="H172" s="932">
        <v>0</v>
      </c>
      <c r="I172" s="932">
        <v>0</v>
      </c>
      <c r="J172" s="932">
        <v>0</v>
      </c>
      <c r="K172" s="932">
        <v>0</v>
      </c>
      <c r="L172" s="932">
        <v>0</v>
      </c>
      <c r="M172" s="932">
        <v>0</v>
      </c>
      <c r="N172" s="932">
        <v>0</v>
      </c>
      <c r="O172" s="932">
        <v>0</v>
      </c>
      <c r="P172" s="932">
        <v>0</v>
      </c>
      <c r="Q172" s="932">
        <v>0</v>
      </c>
      <c r="R172" s="932">
        <v>0</v>
      </c>
      <c r="S172" s="932">
        <v>0</v>
      </c>
      <c r="T172" s="932">
        <v>0</v>
      </c>
      <c r="U172" s="932">
        <v>0</v>
      </c>
      <c r="V172" s="932">
        <v>0</v>
      </c>
      <c r="W172" s="932">
        <v>0</v>
      </c>
      <c r="X172" s="932">
        <v>0</v>
      </c>
      <c r="Y172" s="932">
        <v>0</v>
      </c>
      <c r="Z172" s="932">
        <v>0</v>
      </c>
      <c r="AA172" s="932">
        <v>0</v>
      </c>
      <c r="AB172" s="933">
        <v>0</v>
      </c>
      <c r="AD172" s="935">
        <f t="shared" si="108"/>
        <v>0</v>
      </c>
      <c r="AE172" s="936">
        <f t="shared" si="109"/>
        <v>0</v>
      </c>
      <c r="AF172" s="936">
        <f t="shared" si="110"/>
        <v>0</v>
      </c>
      <c r="AG172" s="936">
        <f t="shared" si="111"/>
        <v>0</v>
      </c>
      <c r="AH172" s="936">
        <f t="shared" si="112"/>
        <v>0</v>
      </c>
      <c r="AI172" s="936">
        <f t="shared" si="113"/>
        <v>0</v>
      </c>
      <c r="AJ172" s="936">
        <f t="shared" si="114"/>
        <v>0</v>
      </c>
      <c r="AK172" s="936">
        <f t="shared" si="115"/>
        <v>0</v>
      </c>
      <c r="AL172" s="936">
        <f t="shared" si="116"/>
        <v>0</v>
      </c>
      <c r="AM172" s="936">
        <f t="shared" si="117"/>
        <v>0</v>
      </c>
      <c r="AN172" s="936">
        <f t="shared" si="118"/>
        <v>0</v>
      </c>
      <c r="AO172" s="936">
        <f t="shared" si="119"/>
        <v>0</v>
      </c>
      <c r="AP172" s="936">
        <f t="shared" si="120"/>
        <v>0</v>
      </c>
      <c r="AQ172" s="936">
        <f t="shared" si="121"/>
        <v>0</v>
      </c>
      <c r="AR172" s="936">
        <f t="shared" si="122"/>
        <v>0</v>
      </c>
      <c r="AS172" s="936">
        <f t="shared" si="123"/>
        <v>0</v>
      </c>
      <c r="AT172" s="936">
        <f t="shared" si="124"/>
        <v>0</v>
      </c>
      <c r="AU172" s="936">
        <f t="shared" si="125"/>
        <v>0</v>
      </c>
      <c r="AV172" s="936">
        <f t="shared" si="126"/>
        <v>0</v>
      </c>
      <c r="AW172" s="936">
        <f t="shared" si="127"/>
        <v>0</v>
      </c>
      <c r="AX172" s="936">
        <f t="shared" si="128"/>
        <v>0</v>
      </c>
      <c r="AY172" s="936">
        <f t="shared" si="129"/>
        <v>0</v>
      </c>
      <c r="AZ172" s="936">
        <f t="shared" si="130"/>
        <v>0</v>
      </c>
      <c r="BA172" s="936">
        <f t="shared" si="131"/>
        <v>0</v>
      </c>
      <c r="BB172" s="937">
        <f t="shared" si="132"/>
        <v>0</v>
      </c>
      <c r="BC172" s="938"/>
    </row>
    <row r="173" spans="2:55" s="934" customFormat="1" ht="15">
      <c r="B173" s="909">
        <v>2022</v>
      </c>
      <c r="C173" s="1218" t="s">
        <v>29</v>
      </c>
      <c r="D173" s="932">
        <v>0</v>
      </c>
      <c r="E173" s="932">
        <v>0</v>
      </c>
      <c r="F173" s="932">
        <v>0</v>
      </c>
      <c r="G173" s="932">
        <v>0</v>
      </c>
      <c r="H173" s="932">
        <v>0</v>
      </c>
      <c r="I173" s="932">
        <v>0</v>
      </c>
      <c r="J173" s="932">
        <v>0</v>
      </c>
      <c r="K173" s="932">
        <v>0</v>
      </c>
      <c r="L173" s="932">
        <v>0</v>
      </c>
      <c r="M173" s="932">
        <v>0</v>
      </c>
      <c r="N173" s="932">
        <v>0</v>
      </c>
      <c r="O173" s="932">
        <v>0</v>
      </c>
      <c r="P173" s="932">
        <v>0</v>
      </c>
      <c r="Q173" s="932">
        <v>0</v>
      </c>
      <c r="R173" s="932">
        <v>0</v>
      </c>
      <c r="S173" s="932">
        <v>0</v>
      </c>
      <c r="T173" s="932">
        <v>0</v>
      </c>
      <c r="U173" s="932">
        <v>0</v>
      </c>
      <c r="V173" s="932">
        <v>0</v>
      </c>
      <c r="W173" s="932">
        <v>0</v>
      </c>
      <c r="X173" s="932">
        <v>0</v>
      </c>
      <c r="Y173" s="932">
        <v>0</v>
      </c>
      <c r="Z173" s="932">
        <v>0</v>
      </c>
      <c r="AA173" s="932">
        <v>0</v>
      </c>
      <c r="AB173" s="933">
        <v>0</v>
      </c>
      <c r="AD173" s="935">
        <f t="shared" si="108"/>
        <v>0</v>
      </c>
      <c r="AE173" s="936">
        <f t="shared" si="109"/>
        <v>0</v>
      </c>
      <c r="AF173" s="936">
        <f t="shared" si="110"/>
        <v>0</v>
      </c>
      <c r="AG173" s="936">
        <f t="shared" si="111"/>
        <v>0</v>
      </c>
      <c r="AH173" s="936">
        <f t="shared" si="112"/>
        <v>0</v>
      </c>
      <c r="AI173" s="936">
        <f t="shared" si="113"/>
        <v>0</v>
      </c>
      <c r="AJ173" s="936">
        <f t="shared" si="114"/>
        <v>0</v>
      </c>
      <c r="AK173" s="936">
        <f t="shared" si="115"/>
        <v>0</v>
      </c>
      <c r="AL173" s="936">
        <f t="shared" si="116"/>
        <v>0</v>
      </c>
      <c r="AM173" s="936">
        <f t="shared" si="117"/>
        <v>0</v>
      </c>
      <c r="AN173" s="936">
        <f t="shared" si="118"/>
        <v>0</v>
      </c>
      <c r="AO173" s="936">
        <f t="shared" si="119"/>
        <v>0</v>
      </c>
      <c r="AP173" s="936">
        <f t="shared" si="120"/>
        <v>0</v>
      </c>
      <c r="AQ173" s="936">
        <f t="shared" si="121"/>
        <v>0</v>
      </c>
      <c r="AR173" s="936">
        <f t="shared" si="122"/>
        <v>0</v>
      </c>
      <c r="AS173" s="936">
        <f t="shared" si="123"/>
        <v>0</v>
      </c>
      <c r="AT173" s="936">
        <f t="shared" si="124"/>
        <v>0</v>
      </c>
      <c r="AU173" s="936">
        <f t="shared" si="125"/>
        <v>0</v>
      </c>
      <c r="AV173" s="936">
        <f t="shared" si="126"/>
        <v>0</v>
      </c>
      <c r="AW173" s="936">
        <f t="shared" si="127"/>
        <v>0</v>
      </c>
      <c r="AX173" s="936">
        <f t="shared" si="128"/>
        <v>0</v>
      </c>
      <c r="AY173" s="936">
        <f t="shared" si="129"/>
        <v>0</v>
      </c>
      <c r="AZ173" s="936">
        <f t="shared" si="130"/>
        <v>0</v>
      </c>
      <c r="BA173" s="936">
        <f t="shared" si="131"/>
        <v>0</v>
      </c>
      <c r="BB173" s="937">
        <f t="shared" si="132"/>
        <v>0</v>
      </c>
      <c r="BC173" s="938"/>
    </row>
    <row r="174" spans="2:55" s="934" customFormat="1" ht="15">
      <c r="B174" s="909">
        <v>2023</v>
      </c>
      <c r="C174" s="1218" t="s">
        <v>29</v>
      </c>
      <c r="D174" s="932">
        <v>0</v>
      </c>
      <c r="E174" s="932">
        <v>0</v>
      </c>
      <c r="F174" s="932">
        <v>0</v>
      </c>
      <c r="G174" s="932">
        <v>0</v>
      </c>
      <c r="H174" s="932">
        <v>0</v>
      </c>
      <c r="I174" s="932">
        <v>0</v>
      </c>
      <c r="J174" s="932">
        <v>0</v>
      </c>
      <c r="K174" s="932">
        <v>0</v>
      </c>
      <c r="L174" s="932">
        <v>0</v>
      </c>
      <c r="M174" s="932">
        <v>0</v>
      </c>
      <c r="N174" s="932">
        <v>0</v>
      </c>
      <c r="O174" s="932">
        <v>0</v>
      </c>
      <c r="P174" s="932">
        <v>0</v>
      </c>
      <c r="Q174" s="932">
        <v>0</v>
      </c>
      <c r="R174" s="932">
        <v>0</v>
      </c>
      <c r="S174" s="932">
        <v>0</v>
      </c>
      <c r="T174" s="932">
        <v>0</v>
      </c>
      <c r="U174" s="932">
        <v>0</v>
      </c>
      <c r="V174" s="932">
        <v>0</v>
      </c>
      <c r="W174" s="932">
        <v>0</v>
      </c>
      <c r="X174" s="932">
        <v>0</v>
      </c>
      <c r="Y174" s="932">
        <v>0</v>
      </c>
      <c r="Z174" s="932">
        <v>0</v>
      </c>
      <c r="AA174" s="932">
        <v>0</v>
      </c>
      <c r="AB174" s="933">
        <v>0</v>
      </c>
      <c r="AD174" s="935">
        <f t="shared" si="108"/>
        <v>0</v>
      </c>
      <c r="AE174" s="936">
        <f t="shared" si="109"/>
        <v>0</v>
      </c>
      <c r="AF174" s="936">
        <f t="shared" si="110"/>
        <v>0</v>
      </c>
      <c r="AG174" s="936">
        <f t="shared" si="111"/>
        <v>0</v>
      </c>
      <c r="AH174" s="936">
        <f t="shared" si="112"/>
        <v>0</v>
      </c>
      <c r="AI174" s="936">
        <f t="shared" si="113"/>
        <v>0</v>
      </c>
      <c r="AJ174" s="936">
        <f t="shared" si="114"/>
        <v>0</v>
      </c>
      <c r="AK174" s="936">
        <f t="shared" si="115"/>
        <v>0</v>
      </c>
      <c r="AL174" s="936">
        <f t="shared" si="116"/>
        <v>0</v>
      </c>
      <c r="AM174" s="936">
        <f t="shared" si="117"/>
        <v>0</v>
      </c>
      <c r="AN174" s="936">
        <f t="shared" si="118"/>
        <v>0</v>
      </c>
      <c r="AO174" s="936">
        <f t="shared" si="119"/>
        <v>0</v>
      </c>
      <c r="AP174" s="936">
        <f t="shared" si="120"/>
        <v>0</v>
      </c>
      <c r="AQ174" s="936">
        <f t="shared" si="121"/>
        <v>0</v>
      </c>
      <c r="AR174" s="936">
        <f t="shared" si="122"/>
        <v>0</v>
      </c>
      <c r="AS174" s="936">
        <f t="shared" si="123"/>
        <v>0</v>
      </c>
      <c r="AT174" s="936">
        <f t="shared" si="124"/>
        <v>0</v>
      </c>
      <c r="AU174" s="936">
        <f t="shared" si="125"/>
        <v>0</v>
      </c>
      <c r="AV174" s="936">
        <f t="shared" si="126"/>
        <v>0</v>
      </c>
      <c r="AW174" s="936">
        <f t="shared" si="127"/>
        <v>0</v>
      </c>
      <c r="AX174" s="936">
        <f t="shared" si="128"/>
        <v>0</v>
      </c>
      <c r="AY174" s="936">
        <f t="shared" si="129"/>
        <v>0</v>
      </c>
      <c r="AZ174" s="936">
        <f t="shared" si="130"/>
        <v>0</v>
      </c>
      <c r="BA174" s="936">
        <f t="shared" si="131"/>
        <v>0</v>
      </c>
      <c r="BB174" s="937">
        <f t="shared" si="132"/>
        <v>0</v>
      </c>
      <c r="BC174" s="938"/>
    </row>
    <row r="175" spans="2:55" s="934" customFormat="1" ht="15">
      <c r="B175" s="909">
        <v>2024</v>
      </c>
      <c r="C175" s="1218" t="s">
        <v>29</v>
      </c>
      <c r="D175" s="932">
        <v>0</v>
      </c>
      <c r="E175" s="932">
        <v>0</v>
      </c>
      <c r="F175" s="932">
        <v>0</v>
      </c>
      <c r="G175" s="932">
        <v>0</v>
      </c>
      <c r="H175" s="932">
        <v>0</v>
      </c>
      <c r="I175" s="932">
        <v>0</v>
      </c>
      <c r="J175" s="932">
        <v>0</v>
      </c>
      <c r="K175" s="932">
        <v>0</v>
      </c>
      <c r="L175" s="932">
        <v>0</v>
      </c>
      <c r="M175" s="932">
        <v>0</v>
      </c>
      <c r="N175" s="932">
        <v>0</v>
      </c>
      <c r="O175" s="932">
        <v>0</v>
      </c>
      <c r="P175" s="932">
        <v>0</v>
      </c>
      <c r="Q175" s="932">
        <v>0</v>
      </c>
      <c r="R175" s="932">
        <v>0</v>
      </c>
      <c r="S175" s="932">
        <v>0</v>
      </c>
      <c r="T175" s="932">
        <v>0</v>
      </c>
      <c r="U175" s="932">
        <v>0</v>
      </c>
      <c r="V175" s="932">
        <v>0</v>
      </c>
      <c r="W175" s="932">
        <v>0</v>
      </c>
      <c r="X175" s="932">
        <v>0</v>
      </c>
      <c r="Y175" s="932">
        <v>0</v>
      </c>
      <c r="Z175" s="932">
        <v>0</v>
      </c>
      <c r="AA175" s="932">
        <v>0</v>
      </c>
      <c r="AB175" s="933">
        <v>0</v>
      </c>
      <c r="AD175" s="935">
        <f t="shared" si="108"/>
        <v>0</v>
      </c>
      <c r="AE175" s="936">
        <f t="shared" si="109"/>
        <v>0</v>
      </c>
      <c r="AF175" s="936">
        <f t="shared" si="110"/>
        <v>0</v>
      </c>
      <c r="AG175" s="936">
        <f t="shared" si="111"/>
        <v>0</v>
      </c>
      <c r="AH175" s="936">
        <f t="shared" si="112"/>
        <v>0</v>
      </c>
      <c r="AI175" s="936">
        <f t="shared" si="113"/>
        <v>0</v>
      </c>
      <c r="AJ175" s="936">
        <f t="shared" si="114"/>
        <v>0</v>
      </c>
      <c r="AK175" s="936">
        <f t="shared" si="115"/>
        <v>0</v>
      </c>
      <c r="AL175" s="936">
        <f t="shared" si="116"/>
        <v>0</v>
      </c>
      <c r="AM175" s="936">
        <f t="shared" si="117"/>
        <v>0</v>
      </c>
      <c r="AN175" s="936">
        <f t="shared" si="118"/>
        <v>0</v>
      </c>
      <c r="AO175" s="936">
        <f t="shared" si="119"/>
        <v>0</v>
      </c>
      <c r="AP175" s="936">
        <f t="shared" si="120"/>
        <v>0</v>
      </c>
      <c r="AQ175" s="936">
        <f t="shared" si="121"/>
        <v>0</v>
      </c>
      <c r="AR175" s="936">
        <f t="shared" si="122"/>
        <v>0</v>
      </c>
      <c r="AS175" s="936">
        <f t="shared" si="123"/>
        <v>0</v>
      </c>
      <c r="AT175" s="936">
        <f t="shared" si="124"/>
        <v>0</v>
      </c>
      <c r="AU175" s="936">
        <f t="shared" si="125"/>
        <v>0</v>
      </c>
      <c r="AV175" s="936">
        <f t="shared" si="126"/>
        <v>0</v>
      </c>
      <c r="AW175" s="936">
        <f t="shared" si="127"/>
        <v>0</v>
      </c>
      <c r="AX175" s="936">
        <f t="shared" si="128"/>
        <v>0</v>
      </c>
      <c r="AY175" s="936">
        <f t="shared" si="129"/>
        <v>0</v>
      </c>
      <c r="AZ175" s="936">
        <f t="shared" si="130"/>
        <v>0</v>
      </c>
      <c r="BA175" s="936">
        <f t="shared" si="131"/>
        <v>0</v>
      </c>
      <c r="BB175" s="937">
        <f t="shared" si="132"/>
        <v>0</v>
      </c>
      <c r="BC175" s="938"/>
    </row>
    <row r="176" spans="2:55" s="934" customFormat="1" ht="15">
      <c r="B176" s="909">
        <v>2025</v>
      </c>
      <c r="C176" s="1218" t="s">
        <v>29</v>
      </c>
      <c r="D176" s="932">
        <v>0</v>
      </c>
      <c r="E176" s="932">
        <v>0</v>
      </c>
      <c r="F176" s="932">
        <v>0</v>
      </c>
      <c r="G176" s="932">
        <v>0</v>
      </c>
      <c r="H176" s="932">
        <v>0</v>
      </c>
      <c r="I176" s="932">
        <v>0</v>
      </c>
      <c r="J176" s="932">
        <v>0</v>
      </c>
      <c r="K176" s="932">
        <v>0</v>
      </c>
      <c r="L176" s="932">
        <v>0</v>
      </c>
      <c r="M176" s="932">
        <v>0</v>
      </c>
      <c r="N176" s="932">
        <v>0</v>
      </c>
      <c r="O176" s="932">
        <v>0</v>
      </c>
      <c r="P176" s="932">
        <v>0</v>
      </c>
      <c r="Q176" s="932">
        <v>0</v>
      </c>
      <c r="R176" s="932">
        <v>0</v>
      </c>
      <c r="S176" s="932">
        <v>0</v>
      </c>
      <c r="T176" s="932">
        <v>0</v>
      </c>
      <c r="U176" s="932">
        <v>0</v>
      </c>
      <c r="V176" s="932">
        <v>0</v>
      </c>
      <c r="W176" s="932">
        <v>0</v>
      </c>
      <c r="X176" s="932">
        <v>0</v>
      </c>
      <c r="Y176" s="932">
        <v>0</v>
      </c>
      <c r="Z176" s="932">
        <v>0</v>
      </c>
      <c r="AA176" s="932">
        <v>0</v>
      </c>
      <c r="AB176" s="933">
        <v>0</v>
      </c>
      <c r="AD176" s="935">
        <f t="shared" si="108"/>
        <v>0</v>
      </c>
      <c r="AE176" s="936">
        <f t="shared" si="109"/>
        <v>0</v>
      </c>
      <c r="AF176" s="936">
        <f t="shared" si="110"/>
        <v>0</v>
      </c>
      <c r="AG176" s="936">
        <f t="shared" si="111"/>
        <v>0</v>
      </c>
      <c r="AH176" s="936">
        <f t="shared" si="112"/>
        <v>0</v>
      </c>
      <c r="AI176" s="936">
        <f t="shared" si="113"/>
        <v>0</v>
      </c>
      <c r="AJ176" s="936">
        <f t="shared" si="114"/>
        <v>0</v>
      </c>
      <c r="AK176" s="936">
        <f t="shared" si="115"/>
        <v>0</v>
      </c>
      <c r="AL176" s="936">
        <f t="shared" si="116"/>
        <v>0</v>
      </c>
      <c r="AM176" s="936">
        <f t="shared" si="117"/>
        <v>0</v>
      </c>
      <c r="AN176" s="936">
        <f t="shared" si="118"/>
        <v>0</v>
      </c>
      <c r="AO176" s="936">
        <f t="shared" si="119"/>
        <v>0</v>
      </c>
      <c r="AP176" s="936">
        <f t="shared" si="120"/>
        <v>0</v>
      </c>
      <c r="AQ176" s="936">
        <f t="shared" si="121"/>
        <v>0</v>
      </c>
      <c r="AR176" s="936">
        <f t="shared" si="122"/>
        <v>0</v>
      </c>
      <c r="AS176" s="936">
        <f t="shared" si="123"/>
        <v>0</v>
      </c>
      <c r="AT176" s="936">
        <f t="shared" si="124"/>
        <v>0</v>
      </c>
      <c r="AU176" s="936">
        <f t="shared" si="125"/>
        <v>0</v>
      </c>
      <c r="AV176" s="936">
        <f t="shared" si="126"/>
        <v>0</v>
      </c>
      <c r="AW176" s="936">
        <f t="shared" si="127"/>
        <v>0</v>
      </c>
      <c r="AX176" s="936">
        <f t="shared" si="128"/>
        <v>0</v>
      </c>
      <c r="AY176" s="936">
        <f t="shared" si="129"/>
        <v>0</v>
      </c>
      <c r="AZ176" s="936">
        <f t="shared" si="130"/>
        <v>0</v>
      </c>
      <c r="BA176" s="936">
        <f t="shared" si="131"/>
        <v>0</v>
      </c>
      <c r="BB176" s="937">
        <f t="shared" si="132"/>
        <v>0</v>
      </c>
      <c r="BC176" s="938"/>
    </row>
    <row r="177" spans="2:55" s="934" customFormat="1" ht="15">
      <c r="B177" s="909">
        <v>2026</v>
      </c>
      <c r="C177" s="1218" t="s">
        <v>803</v>
      </c>
      <c r="D177" s="932">
        <v>0</v>
      </c>
      <c r="E177" s="932">
        <v>0</v>
      </c>
      <c r="F177" s="932">
        <v>0</v>
      </c>
      <c r="G177" s="932">
        <v>0</v>
      </c>
      <c r="H177" s="932">
        <v>0</v>
      </c>
      <c r="I177" s="932">
        <v>0</v>
      </c>
      <c r="J177" s="932">
        <v>0</v>
      </c>
      <c r="K177" s="932">
        <v>0</v>
      </c>
      <c r="L177" s="932">
        <v>0</v>
      </c>
      <c r="M177" s="932">
        <v>0</v>
      </c>
      <c r="N177" s="932">
        <v>0</v>
      </c>
      <c r="O177" s="932">
        <v>0</v>
      </c>
      <c r="P177" s="932">
        <v>0</v>
      </c>
      <c r="Q177" s="932">
        <v>0</v>
      </c>
      <c r="R177" s="932">
        <v>0</v>
      </c>
      <c r="S177" s="932">
        <v>0</v>
      </c>
      <c r="T177" s="932">
        <v>0</v>
      </c>
      <c r="U177" s="932">
        <v>0</v>
      </c>
      <c r="V177" s="932">
        <v>0</v>
      </c>
      <c r="W177" s="932">
        <v>0</v>
      </c>
      <c r="X177" s="932">
        <v>0</v>
      </c>
      <c r="Y177" s="932">
        <v>0</v>
      </c>
      <c r="Z177" s="932">
        <v>0</v>
      </c>
      <c r="AA177" s="932">
        <v>0</v>
      </c>
      <c r="AB177" s="933">
        <v>0</v>
      </c>
      <c r="AD177" s="935">
        <f t="shared" si="108"/>
        <v>0</v>
      </c>
      <c r="AE177" s="936">
        <f t="shared" si="109"/>
        <v>0</v>
      </c>
      <c r="AF177" s="936">
        <f t="shared" si="110"/>
        <v>0</v>
      </c>
      <c r="AG177" s="936">
        <f t="shared" si="111"/>
        <v>0</v>
      </c>
      <c r="AH177" s="936">
        <f t="shared" si="112"/>
        <v>0</v>
      </c>
      <c r="AI177" s="936">
        <f t="shared" si="113"/>
        <v>0</v>
      </c>
      <c r="AJ177" s="936">
        <f t="shared" si="114"/>
        <v>0</v>
      </c>
      <c r="AK177" s="936">
        <f t="shared" si="115"/>
        <v>0</v>
      </c>
      <c r="AL177" s="936">
        <f t="shared" si="116"/>
        <v>0</v>
      </c>
      <c r="AM177" s="936">
        <f t="shared" si="117"/>
        <v>0</v>
      </c>
      <c r="AN177" s="936">
        <f t="shared" si="118"/>
        <v>0</v>
      </c>
      <c r="AO177" s="936">
        <f t="shared" si="119"/>
        <v>0</v>
      </c>
      <c r="AP177" s="936">
        <f t="shared" si="120"/>
        <v>0</v>
      </c>
      <c r="AQ177" s="936">
        <f t="shared" si="121"/>
        <v>0</v>
      </c>
      <c r="AR177" s="936">
        <f t="shared" si="122"/>
        <v>0</v>
      </c>
      <c r="AS177" s="936">
        <f t="shared" si="123"/>
        <v>0</v>
      </c>
      <c r="AT177" s="936">
        <f t="shared" si="124"/>
        <v>0</v>
      </c>
      <c r="AU177" s="936">
        <f t="shared" si="125"/>
        <v>0</v>
      </c>
      <c r="AV177" s="936">
        <f t="shared" si="126"/>
        <v>0</v>
      </c>
      <c r="AW177" s="936">
        <f t="shared" si="127"/>
        <v>0</v>
      </c>
      <c r="AX177" s="936">
        <f t="shared" si="128"/>
        <v>0</v>
      </c>
      <c r="AY177" s="936">
        <f t="shared" si="129"/>
        <v>0</v>
      </c>
      <c r="AZ177" s="936">
        <f t="shared" si="130"/>
        <v>0</v>
      </c>
      <c r="BA177" s="936">
        <f t="shared" si="131"/>
        <v>0</v>
      </c>
      <c r="BB177" s="937">
        <f t="shared" si="132"/>
        <v>0</v>
      </c>
      <c r="BC177" s="938"/>
    </row>
    <row r="178" spans="2:55" s="934" customFormat="1" ht="15">
      <c r="B178" s="909">
        <v>2027</v>
      </c>
      <c r="C178" s="1218" t="s">
        <v>804</v>
      </c>
      <c r="D178" s="932">
        <v>0</v>
      </c>
      <c r="E178" s="932">
        <v>0</v>
      </c>
      <c r="F178" s="932">
        <v>0</v>
      </c>
      <c r="G178" s="932">
        <v>0</v>
      </c>
      <c r="H178" s="932">
        <v>0</v>
      </c>
      <c r="I178" s="932">
        <v>0</v>
      </c>
      <c r="J178" s="932">
        <v>0</v>
      </c>
      <c r="K178" s="932">
        <v>0</v>
      </c>
      <c r="L178" s="932">
        <v>0</v>
      </c>
      <c r="M178" s="932">
        <v>0</v>
      </c>
      <c r="N178" s="932">
        <v>0</v>
      </c>
      <c r="O178" s="932">
        <v>0</v>
      </c>
      <c r="P178" s="932">
        <v>0</v>
      </c>
      <c r="Q178" s="932">
        <v>0</v>
      </c>
      <c r="R178" s="932">
        <v>0</v>
      </c>
      <c r="S178" s="932">
        <v>0</v>
      </c>
      <c r="T178" s="932">
        <v>0</v>
      </c>
      <c r="U178" s="932">
        <v>0</v>
      </c>
      <c r="V178" s="932">
        <v>0</v>
      </c>
      <c r="W178" s="932">
        <v>0</v>
      </c>
      <c r="X178" s="932">
        <v>0</v>
      </c>
      <c r="Y178" s="932">
        <v>0</v>
      </c>
      <c r="Z178" s="932">
        <v>0</v>
      </c>
      <c r="AA178" s="932">
        <v>0</v>
      </c>
      <c r="AB178" s="933">
        <v>0</v>
      </c>
      <c r="AD178" s="935">
        <f t="shared" si="108"/>
        <v>0</v>
      </c>
      <c r="AE178" s="936">
        <f t="shared" si="109"/>
        <v>0</v>
      </c>
      <c r="AF178" s="936">
        <f t="shared" si="110"/>
        <v>0</v>
      </c>
      <c r="AG178" s="936">
        <f t="shared" si="111"/>
        <v>0</v>
      </c>
      <c r="AH178" s="936">
        <f t="shared" si="112"/>
        <v>0</v>
      </c>
      <c r="AI178" s="936">
        <f t="shared" si="113"/>
        <v>0</v>
      </c>
      <c r="AJ178" s="936">
        <f t="shared" si="114"/>
        <v>0</v>
      </c>
      <c r="AK178" s="936">
        <f t="shared" si="115"/>
        <v>0</v>
      </c>
      <c r="AL178" s="936">
        <f t="shared" si="116"/>
        <v>0</v>
      </c>
      <c r="AM178" s="936">
        <f t="shared" si="117"/>
        <v>0</v>
      </c>
      <c r="AN178" s="936">
        <f t="shared" si="118"/>
        <v>0</v>
      </c>
      <c r="AO178" s="936">
        <f t="shared" si="119"/>
        <v>0</v>
      </c>
      <c r="AP178" s="936">
        <f t="shared" si="120"/>
        <v>0</v>
      </c>
      <c r="AQ178" s="936">
        <f t="shared" si="121"/>
        <v>0</v>
      </c>
      <c r="AR178" s="936">
        <f t="shared" si="122"/>
        <v>0</v>
      </c>
      <c r="AS178" s="936">
        <f t="shared" si="123"/>
        <v>0</v>
      </c>
      <c r="AT178" s="936">
        <f t="shared" si="124"/>
        <v>0</v>
      </c>
      <c r="AU178" s="936">
        <f t="shared" si="125"/>
        <v>0</v>
      </c>
      <c r="AV178" s="936">
        <f t="shared" si="126"/>
        <v>0</v>
      </c>
      <c r="AW178" s="936">
        <f t="shared" si="127"/>
        <v>0</v>
      </c>
      <c r="AX178" s="936">
        <f t="shared" si="128"/>
        <v>0</v>
      </c>
      <c r="AY178" s="936">
        <f t="shared" si="129"/>
        <v>0</v>
      </c>
      <c r="AZ178" s="936">
        <f t="shared" si="130"/>
        <v>0</v>
      </c>
      <c r="BA178" s="936">
        <f t="shared" si="131"/>
        <v>0</v>
      </c>
      <c r="BB178" s="937">
        <f t="shared" si="132"/>
        <v>0</v>
      </c>
      <c r="BC178" s="938"/>
    </row>
    <row r="179" spans="2:55" s="934" customFormat="1" ht="15">
      <c r="B179" s="909">
        <v>2028</v>
      </c>
      <c r="C179" s="1218" t="s">
        <v>805</v>
      </c>
      <c r="D179" s="932">
        <v>0</v>
      </c>
      <c r="E179" s="932">
        <v>0</v>
      </c>
      <c r="F179" s="932">
        <v>0</v>
      </c>
      <c r="G179" s="932">
        <v>0</v>
      </c>
      <c r="H179" s="932">
        <v>0</v>
      </c>
      <c r="I179" s="932">
        <v>0</v>
      </c>
      <c r="J179" s="932">
        <v>0</v>
      </c>
      <c r="K179" s="932">
        <v>0</v>
      </c>
      <c r="L179" s="932">
        <v>0</v>
      </c>
      <c r="M179" s="932">
        <v>0</v>
      </c>
      <c r="N179" s="932">
        <v>0</v>
      </c>
      <c r="O179" s="932">
        <v>0</v>
      </c>
      <c r="P179" s="932">
        <v>0</v>
      </c>
      <c r="Q179" s="932">
        <v>0</v>
      </c>
      <c r="R179" s="932">
        <v>0</v>
      </c>
      <c r="S179" s="932">
        <v>0</v>
      </c>
      <c r="T179" s="932">
        <v>0</v>
      </c>
      <c r="U179" s="932">
        <v>0</v>
      </c>
      <c r="V179" s="932">
        <v>0</v>
      </c>
      <c r="W179" s="932">
        <v>0</v>
      </c>
      <c r="X179" s="932">
        <v>0</v>
      </c>
      <c r="Y179" s="932">
        <v>0</v>
      </c>
      <c r="Z179" s="932">
        <v>0</v>
      </c>
      <c r="AA179" s="932">
        <v>0</v>
      </c>
      <c r="AB179" s="933">
        <v>0</v>
      </c>
      <c r="AD179" s="935">
        <f t="shared" si="108"/>
        <v>0</v>
      </c>
      <c r="AE179" s="936">
        <f t="shared" si="109"/>
        <v>0</v>
      </c>
      <c r="AF179" s="936">
        <f t="shared" si="110"/>
        <v>0</v>
      </c>
      <c r="AG179" s="936">
        <f t="shared" si="111"/>
        <v>0</v>
      </c>
      <c r="AH179" s="936">
        <f t="shared" si="112"/>
        <v>0</v>
      </c>
      <c r="AI179" s="936">
        <f t="shared" si="113"/>
        <v>0</v>
      </c>
      <c r="AJ179" s="936">
        <f t="shared" si="114"/>
        <v>0</v>
      </c>
      <c r="AK179" s="936">
        <f t="shared" si="115"/>
        <v>0</v>
      </c>
      <c r="AL179" s="936">
        <f t="shared" si="116"/>
        <v>0</v>
      </c>
      <c r="AM179" s="936">
        <f t="shared" si="117"/>
        <v>0</v>
      </c>
      <c r="AN179" s="936">
        <f t="shared" si="118"/>
        <v>0</v>
      </c>
      <c r="AO179" s="936">
        <f t="shared" si="119"/>
        <v>0</v>
      </c>
      <c r="AP179" s="936">
        <f t="shared" si="120"/>
        <v>0</v>
      </c>
      <c r="AQ179" s="936">
        <f t="shared" si="121"/>
        <v>0</v>
      </c>
      <c r="AR179" s="936">
        <f t="shared" si="122"/>
        <v>0</v>
      </c>
      <c r="AS179" s="936">
        <f t="shared" si="123"/>
        <v>0</v>
      </c>
      <c r="AT179" s="936">
        <f t="shared" si="124"/>
        <v>0</v>
      </c>
      <c r="AU179" s="936">
        <f t="shared" si="125"/>
        <v>0</v>
      </c>
      <c r="AV179" s="936">
        <f t="shared" si="126"/>
        <v>0</v>
      </c>
      <c r="AW179" s="936">
        <f t="shared" si="127"/>
        <v>0</v>
      </c>
      <c r="AX179" s="936">
        <f t="shared" si="128"/>
        <v>0</v>
      </c>
      <c r="AY179" s="936">
        <f t="shared" si="129"/>
        <v>0</v>
      </c>
      <c r="AZ179" s="936">
        <f t="shared" si="130"/>
        <v>0</v>
      </c>
      <c r="BA179" s="936">
        <f t="shared" si="131"/>
        <v>0</v>
      </c>
      <c r="BB179" s="937">
        <f t="shared" si="132"/>
        <v>0</v>
      </c>
      <c r="BC179" s="938"/>
    </row>
    <row r="180" spans="2:55" s="934" customFormat="1" ht="15">
      <c r="B180" s="909">
        <v>2029</v>
      </c>
      <c r="C180" s="1218" t="s">
        <v>806</v>
      </c>
      <c r="D180" s="932">
        <v>0</v>
      </c>
      <c r="E180" s="932">
        <v>0</v>
      </c>
      <c r="F180" s="932">
        <v>0</v>
      </c>
      <c r="G180" s="932">
        <v>0</v>
      </c>
      <c r="H180" s="932">
        <v>0</v>
      </c>
      <c r="I180" s="932">
        <v>0</v>
      </c>
      <c r="J180" s="932">
        <v>0</v>
      </c>
      <c r="K180" s="932">
        <v>0</v>
      </c>
      <c r="L180" s="932">
        <v>0</v>
      </c>
      <c r="M180" s="932">
        <v>0</v>
      </c>
      <c r="N180" s="932">
        <v>0</v>
      </c>
      <c r="O180" s="932">
        <v>0</v>
      </c>
      <c r="P180" s="932">
        <v>0</v>
      </c>
      <c r="Q180" s="932">
        <v>0</v>
      </c>
      <c r="R180" s="932">
        <v>0</v>
      </c>
      <c r="S180" s="932">
        <v>0</v>
      </c>
      <c r="T180" s="932">
        <v>0</v>
      </c>
      <c r="U180" s="932">
        <v>0</v>
      </c>
      <c r="V180" s="932">
        <v>0</v>
      </c>
      <c r="W180" s="932">
        <v>0</v>
      </c>
      <c r="X180" s="932">
        <v>0</v>
      </c>
      <c r="Y180" s="932">
        <v>0</v>
      </c>
      <c r="Z180" s="932">
        <v>0</v>
      </c>
      <c r="AA180" s="932">
        <v>0</v>
      </c>
      <c r="AB180" s="933">
        <v>0</v>
      </c>
      <c r="AD180" s="935">
        <f t="shared" si="108"/>
        <v>0</v>
      </c>
      <c r="AE180" s="936">
        <f t="shared" si="109"/>
        <v>0</v>
      </c>
      <c r="AF180" s="936">
        <f t="shared" si="110"/>
        <v>0</v>
      </c>
      <c r="AG180" s="936">
        <f t="shared" si="111"/>
        <v>0</v>
      </c>
      <c r="AH180" s="936">
        <f t="shared" si="112"/>
        <v>0</v>
      </c>
      <c r="AI180" s="936">
        <f t="shared" si="113"/>
        <v>0</v>
      </c>
      <c r="AJ180" s="936">
        <f t="shared" si="114"/>
        <v>0</v>
      </c>
      <c r="AK180" s="936">
        <f t="shared" si="115"/>
        <v>0</v>
      </c>
      <c r="AL180" s="936">
        <f t="shared" si="116"/>
        <v>0</v>
      </c>
      <c r="AM180" s="936">
        <f t="shared" si="117"/>
        <v>0</v>
      </c>
      <c r="AN180" s="936">
        <f t="shared" si="118"/>
        <v>0</v>
      </c>
      <c r="AO180" s="936">
        <f t="shared" si="119"/>
        <v>0</v>
      </c>
      <c r="AP180" s="936">
        <f t="shared" si="120"/>
        <v>0</v>
      </c>
      <c r="AQ180" s="936">
        <f t="shared" si="121"/>
        <v>0</v>
      </c>
      <c r="AR180" s="936">
        <f t="shared" si="122"/>
        <v>0</v>
      </c>
      <c r="AS180" s="936">
        <f t="shared" si="123"/>
        <v>0</v>
      </c>
      <c r="AT180" s="936">
        <f t="shared" si="124"/>
        <v>0</v>
      </c>
      <c r="AU180" s="936">
        <f t="shared" si="125"/>
        <v>0</v>
      </c>
      <c r="AV180" s="936">
        <f t="shared" si="126"/>
        <v>0</v>
      </c>
      <c r="AW180" s="936">
        <f t="shared" si="127"/>
        <v>0</v>
      </c>
      <c r="AX180" s="936">
        <f t="shared" si="128"/>
        <v>0</v>
      </c>
      <c r="AY180" s="936">
        <f t="shared" si="129"/>
        <v>0</v>
      </c>
      <c r="AZ180" s="936">
        <f t="shared" si="130"/>
        <v>0</v>
      </c>
      <c r="BA180" s="936">
        <f t="shared" si="131"/>
        <v>0</v>
      </c>
      <c r="BB180" s="937">
        <f t="shared" si="132"/>
        <v>0</v>
      </c>
      <c r="BC180" s="938"/>
    </row>
    <row r="181" spans="2:55" s="934" customFormat="1" ht="15">
      <c r="B181" s="909">
        <v>2030</v>
      </c>
      <c r="C181" s="1218" t="s">
        <v>807</v>
      </c>
      <c r="D181" s="932">
        <v>0</v>
      </c>
      <c r="E181" s="932">
        <v>0</v>
      </c>
      <c r="F181" s="932">
        <v>0</v>
      </c>
      <c r="G181" s="932">
        <v>0</v>
      </c>
      <c r="H181" s="932">
        <v>0</v>
      </c>
      <c r="I181" s="932">
        <v>0</v>
      </c>
      <c r="J181" s="932">
        <v>0</v>
      </c>
      <c r="K181" s="932">
        <v>0</v>
      </c>
      <c r="L181" s="932">
        <v>0</v>
      </c>
      <c r="M181" s="932">
        <v>0</v>
      </c>
      <c r="N181" s="932">
        <v>0</v>
      </c>
      <c r="O181" s="932">
        <v>0</v>
      </c>
      <c r="P181" s="932">
        <v>0</v>
      </c>
      <c r="Q181" s="932">
        <v>0</v>
      </c>
      <c r="R181" s="932">
        <v>0</v>
      </c>
      <c r="S181" s="932">
        <v>0</v>
      </c>
      <c r="T181" s="932">
        <v>0</v>
      </c>
      <c r="U181" s="932">
        <v>0</v>
      </c>
      <c r="V181" s="932">
        <v>0</v>
      </c>
      <c r="W181" s="932">
        <v>0</v>
      </c>
      <c r="X181" s="932">
        <v>0</v>
      </c>
      <c r="Y181" s="932">
        <v>0</v>
      </c>
      <c r="Z181" s="932">
        <v>0</v>
      </c>
      <c r="AA181" s="932">
        <v>0</v>
      </c>
      <c r="AB181" s="933">
        <v>0</v>
      </c>
      <c r="AD181" s="935">
        <f t="shared" si="108"/>
        <v>0</v>
      </c>
      <c r="AE181" s="936">
        <f t="shared" si="109"/>
        <v>0</v>
      </c>
      <c r="AF181" s="936">
        <f t="shared" si="110"/>
        <v>0</v>
      </c>
      <c r="AG181" s="936">
        <f t="shared" si="111"/>
        <v>0</v>
      </c>
      <c r="AH181" s="936">
        <f t="shared" si="112"/>
        <v>0</v>
      </c>
      <c r="AI181" s="936">
        <f t="shared" si="113"/>
        <v>0</v>
      </c>
      <c r="AJ181" s="936">
        <f t="shared" si="114"/>
        <v>0</v>
      </c>
      <c r="AK181" s="936">
        <f t="shared" si="115"/>
        <v>0</v>
      </c>
      <c r="AL181" s="936">
        <f t="shared" si="116"/>
        <v>0</v>
      </c>
      <c r="AM181" s="936">
        <f t="shared" si="117"/>
        <v>0</v>
      </c>
      <c r="AN181" s="936">
        <f t="shared" si="118"/>
        <v>0</v>
      </c>
      <c r="AO181" s="936">
        <f t="shared" si="119"/>
        <v>0</v>
      </c>
      <c r="AP181" s="936">
        <f t="shared" si="120"/>
        <v>0</v>
      </c>
      <c r="AQ181" s="936">
        <f t="shared" si="121"/>
        <v>0</v>
      </c>
      <c r="AR181" s="936">
        <f t="shared" si="122"/>
        <v>0</v>
      </c>
      <c r="AS181" s="936">
        <f t="shared" si="123"/>
        <v>0</v>
      </c>
      <c r="AT181" s="936">
        <f t="shared" si="124"/>
        <v>0</v>
      </c>
      <c r="AU181" s="936">
        <f t="shared" si="125"/>
        <v>0</v>
      </c>
      <c r="AV181" s="936">
        <f t="shared" si="126"/>
        <v>0</v>
      </c>
      <c r="AW181" s="936">
        <f t="shared" si="127"/>
        <v>0</v>
      </c>
      <c r="AX181" s="936">
        <f t="shared" si="128"/>
        <v>0</v>
      </c>
      <c r="AY181" s="936">
        <f t="shared" si="129"/>
        <v>0</v>
      </c>
      <c r="AZ181" s="936">
        <f t="shared" si="130"/>
        <v>0</v>
      </c>
      <c r="BA181" s="936">
        <f t="shared" si="131"/>
        <v>0</v>
      </c>
      <c r="BB181" s="937">
        <f t="shared" si="132"/>
        <v>0</v>
      </c>
      <c r="BC181" s="938"/>
    </row>
    <row r="182" spans="2:55" s="934" customFormat="1" ht="15">
      <c r="B182" s="909">
        <v>2031</v>
      </c>
      <c r="C182" s="1218" t="s">
        <v>808</v>
      </c>
      <c r="D182" s="932">
        <v>14.031200974231945</v>
      </c>
      <c r="E182" s="932">
        <v>14.031200974231945</v>
      </c>
      <c r="F182" s="932">
        <v>14.031200974231945</v>
      </c>
      <c r="G182" s="932">
        <v>14.031200974231945</v>
      </c>
      <c r="H182" s="932">
        <v>14.031200974231945</v>
      </c>
      <c r="I182" s="932">
        <v>14.031200974231945</v>
      </c>
      <c r="J182" s="932">
        <v>14.031200974231945</v>
      </c>
      <c r="K182" s="932">
        <v>14.031200974231945</v>
      </c>
      <c r="L182" s="932">
        <v>14.031200974231945</v>
      </c>
      <c r="M182" s="932">
        <v>14.031200974231945</v>
      </c>
      <c r="N182" s="932">
        <v>14.031200974231945</v>
      </c>
      <c r="O182" s="932">
        <v>14.031200974231945</v>
      </c>
      <c r="P182" s="932">
        <v>14.031200974231945</v>
      </c>
      <c r="Q182" s="932">
        <v>14.031200974231945</v>
      </c>
      <c r="R182" s="932">
        <v>14.031200974231945</v>
      </c>
      <c r="S182" s="932">
        <v>14.031200974231945</v>
      </c>
      <c r="T182" s="932">
        <v>14.031200974231945</v>
      </c>
      <c r="U182" s="932">
        <v>14.031200974231945</v>
      </c>
      <c r="V182" s="932">
        <v>14.031200974231945</v>
      </c>
      <c r="W182" s="932">
        <v>14.031200974231945</v>
      </c>
      <c r="X182" s="932">
        <v>14.031200974231945</v>
      </c>
      <c r="Y182" s="932">
        <v>14.031200974231945</v>
      </c>
      <c r="Z182" s="932">
        <v>14.031200974231945</v>
      </c>
      <c r="AA182" s="932">
        <v>14.031200974231945</v>
      </c>
      <c r="AB182" s="933">
        <v>14.031200974231945</v>
      </c>
      <c r="AD182" s="935">
        <f t="shared" si="108"/>
        <v>23.858487736196782</v>
      </c>
      <c r="AE182" s="936">
        <f t="shared" si="109"/>
        <v>23.858487736196782</v>
      </c>
      <c r="AF182" s="936">
        <f t="shared" si="110"/>
        <v>23.858487736196782</v>
      </c>
      <c r="AG182" s="936">
        <f t="shared" si="111"/>
        <v>23.858487736196782</v>
      </c>
      <c r="AH182" s="936">
        <f t="shared" si="112"/>
        <v>23.858487736196782</v>
      </c>
      <c r="AI182" s="936">
        <f t="shared" si="113"/>
        <v>23.858487736196782</v>
      </c>
      <c r="AJ182" s="936">
        <f t="shared" si="114"/>
        <v>23.858487736196782</v>
      </c>
      <c r="AK182" s="936">
        <f t="shared" si="115"/>
        <v>23.858487736196782</v>
      </c>
      <c r="AL182" s="936">
        <f t="shared" si="116"/>
        <v>23.858487736196782</v>
      </c>
      <c r="AM182" s="936">
        <f t="shared" si="117"/>
        <v>23.858487736196782</v>
      </c>
      <c r="AN182" s="936">
        <f t="shared" si="118"/>
        <v>23.858487736196782</v>
      </c>
      <c r="AO182" s="936">
        <f t="shared" si="119"/>
        <v>23.858487736196782</v>
      </c>
      <c r="AP182" s="936">
        <f t="shared" si="120"/>
        <v>23.858487736196782</v>
      </c>
      <c r="AQ182" s="936">
        <f t="shared" si="121"/>
        <v>23.858487736196782</v>
      </c>
      <c r="AR182" s="936">
        <f t="shared" si="122"/>
        <v>23.858487736196782</v>
      </c>
      <c r="AS182" s="936">
        <f t="shared" si="123"/>
        <v>23.858487736196782</v>
      </c>
      <c r="AT182" s="936">
        <f t="shared" si="124"/>
        <v>23.858487736196782</v>
      </c>
      <c r="AU182" s="936">
        <f t="shared" si="125"/>
        <v>23.858487736196782</v>
      </c>
      <c r="AV182" s="936">
        <f t="shared" si="126"/>
        <v>23.858487736196782</v>
      </c>
      <c r="AW182" s="936">
        <f t="shared" si="127"/>
        <v>23.858487736196782</v>
      </c>
      <c r="AX182" s="936">
        <f t="shared" si="128"/>
        <v>23.858487736196782</v>
      </c>
      <c r="AY182" s="936">
        <f t="shared" si="129"/>
        <v>23.858487736196782</v>
      </c>
      <c r="AZ182" s="936">
        <f t="shared" si="130"/>
        <v>23.858487736196782</v>
      </c>
      <c r="BA182" s="936">
        <f t="shared" si="131"/>
        <v>23.858487736196782</v>
      </c>
      <c r="BB182" s="937">
        <f t="shared" si="132"/>
        <v>23.858487736196782</v>
      </c>
      <c r="BC182" s="938"/>
    </row>
    <row r="183" spans="2:55" s="934" customFormat="1" ht="15">
      <c r="B183" s="909">
        <v>2032</v>
      </c>
      <c r="C183" s="1218" t="s">
        <v>809</v>
      </c>
      <c r="D183" s="932">
        <v>10.047972676677009</v>
      </c>
      <c r="E183" s="932">
        <v>25.119931691692521</v>
      </c>
      <c r="F183" s="932">
        <v>25.119931691692521</v>
      </c>
      <c r="G183" s="932">
        <v>25.119931691692521</v>
      </c>
      <c r="H183" s="932">
        <v>25.119931691692521</v>
      </c>
      <c r="I183" s="932">
        <v>25.119931691692521</v>
      </c>
      <c r="J183" s="932">
        <v>25.119931691692521</v>
      </c>
      <c r="K183" s="932">
        <v>25.119931691692521</v>
      </c>
      <c r="L183" s="932">
        <v>25.119931691692521</v>
      </c>
      <c r="M183" s="932">
        <v>25.119931691692521</v>
      </c>
      <c r="N183" s="932">
        <v>25.119931691692521</v>
      </c>
      <c r="O183" s="932">
        <v>25.119931691692521</v>
      </c>
      <c r="P183" s="932">
        <v>25.119931691692521</v>
      </c>
      <c r="Q183" s="932">
        <v>25.119931691692521</v>
      </c>
      <c r="R183" s="932">
        <v>25.119931691692521</v>
      </c>
      <c r="S183" s="932">
        <v>25.119931691692521</v>
      </c>
      <c r="T183" s="932">
        <v>25.119931691692521</v>
      </c>
      <c r="U183" s="932">
        <v>25.119931691692521</v>
      </c>
      <c r="V183" s="932">
        <v>25.119931691692521</v>
      </c>
      <c r="W183" s="932">
        <v>25.119931691692521</v>
      </c>
      <c r="X183" s="932">
        <v>25.119931691692521</v>
      </c>
      <c r="Y183" s="932">
        <v>25.119931691692521</v>
      </c>
      <c r="Z183" s="932">
        <v>25.119931691692521</v>
      </c>
      <c r="AA183" s="932">
        <v>25.119931691692521</v>
      </c>
      <c r="AB183" s="933">
        <v>25.119931691692521</v>
      </c>
      <c r="AD183" s="935">
        <f t="shared" si="108"/>
        <v>17.085453577380697</v>
      </c>
      <c r="AE183" s="936">
        <f t="shared" si="109"/>
        <v>42.713633943451747</v>
      </c>
      <c r="AF183" s="936">
        <f t="shared" si="110"/>
        <v>42.713633943451747</v>
      </c>
      <c r="AG183" s="936">
        <f t="shared" si="111"/>
        <v>42.713633943451747</v>
      </c>
      <c r="AH183" s="936">
        <f t="shared" si="112"/>
        <v>42.713633943451747</v>
      </c>
      <c r="AI183" s="936">
        <f t="shared" si="113"/>
        <v>42.713633943451747</v>
      </c>
      <c r="AJ183" s="936">
        <f t="shared" si="114"/>
        <v>42.713633943451747</v>
      </c>
      <c r="AK183" s="936">
        <f t="shared" si="115"/>
        <v>42.713633943451747</v>
      </c>
      <c r="AL183" s="936">
        <f t="shared" si="116"/>
        <v>42.713633943451747</v>
      </c>
      <c r="AM183" s="936">
        <f t="shared" si="117"/>
        <v>42.713633943451747</v>
      </c>
      <c r="AN183" s="936">
        <f t="shared" si="118"/>
        <v>42.713633943451747</v>
      </c>
      <c r="AO183" s="936">
        <f t="shared" si="119"/>
        <v>42.713633943451747</v>
      </c>
      <c r="AP183" s="936">
        <f t="shared" si="120"/>
        <v>42.713633943451747</v>
      </c>
      <c r="AQ183" s="936">
        <f t="shared" si="121"/>
        <v>42.713633943451747</v>
      </c>
      <c r="AR183" s="936">
        <f t="shared" si="122"/>
        <v>42.713633943451747</v>
      </c>
      <c r="AS183" s="936">
        <f t="shared" si="123"/>
        <v>42.713633943451747</v>
      </c>
      <c r="AT183" s="936">
        <f t="shared" si="124"/>
        <v>42.713633943451747</v>
      </c>
      <c r="AU183" s="936">
        <f t="shared" si="125"/>
        <v>42.713633943451747</v>
      </c>
      <c r="AV183" s="936">
        <f t="shared" si="126"/>
        <v>42.713633943451747</v>
      </c>
      <c r="AW183" s="936">
        <f t="shared" si="127"/>
        <v>42.713633943451747</v>
      </c>
      <c r="AX183" s="936">
        <f t="shared" si="128"/>
        <v>42.713633943451747</v>
      </c>
      <c r="AY183" s="936">
        <f t="shared" si="129"/>
        <v>42.713633943451747</v>
      </c>
      <c r="AZ183" s="936">
        <f t="shared" si="130"/>
        <v>42.713633943451747</v>
      </c>
      <c r="BA183" s="936">
        <f t="shared" si="131"/>
        <v>42.713633943451747</v>
      </c>
      <c r="BB183" s="937">
        <f t="shared" si="132"/>
        <v>42.713633943451747</v>
      </c>
      <c r="BC183" s="938"/>
    </row>
    <row r="184" spans="2:55" s="934" customFormat="1" ht="15">
      <c r="B184" s="909">
        <v>2033</v>
      </c>
      <c r="C184" s="1218" t="s">
        <v>810</v>
      </c>
      <c r="D184" s="932">
        <v>10.675641123967834</v>
      </c>
      <c r="E184" s="932">
        <v>21.351282247935668</v>
      </c>
      <c r="F184" s="932">
        <v>37.364743933887411</v>
      </c>
      <c r="G184" s="932">
        <v>37.364743933887411</v>
      </c>
      <c r="H184" s="932">
        <v>37.364743933887411</v>
      </c>
      <c r="I184" s="932">
        <v>37.364743933887411</v>
      </c>
      <c r="J184" s="932">
        <v>37.364743933887411</v>
      </c>
      <c r="K184" s="932">
        <v>37.364743933887411</v>
      </c>
      <c r="L184" s="932">
        <v>37.364743933887411</v>
      </c>
      <c r="M184" s="932">
        <v>37.364743933887411</v>
      </c>
      <c r="N184" s="932">
        <v>37.364743933887411</v>
      </c>
      <c r="O184" s="932">
        <v>37.364743933887411</v>
      </c>
      <c r="P184" s="932">
        <v>37.364743933887411</v>
      </c>
      <c r="Q184" s="932">
        <v>37.364743933887411</v>
      </c>
      <c r="R184" s="932">
        <v>37.364743933887411</v>
      </c>
      <c r="S184" s="932">
        <v>37.364743933887411</v>
      </c>
      <c r="T184" s="932">
        <v>37.364743933887411</v>
      </c>
      <c r="U184" s="932">
        <v>37.364743933887411</v>
      </c>
      <c r="V184" s="932">
        <v>37.364743933887411</v>
      </c>
      <c r="W184" s="932">
        <v>37.364743933887411</v>
      </c>
      <c r="X184" s="932">
        <v>37.364743933887411</v>
      </c>
      <c r="Y184" s="932">
        <v>37.364743933887411</v>
      </c>
      <c r="Z184" s="932">
        <v>37.364743933887411</v>
      </c>
      <c r="AA184" s="932">
        <v>37.364743933887411</v>
      </c>
      <c r="AB184" s="933">
        <v>37.364743933887411</v>
      </c>
      <c r="AD184" s="935">
        <f t="shared" si="108"/>
        <v>18.152733561438197</v>
      </c>
      <c r="AE184" s="936">
        <f t="shared" si="109"/>
        <v>36.305467122876394</v>
      </c>
      <c r="AF184" s="936">
        <f t="shared" si="110"/>
        <v>63.534567465033682</v>
      </c>
      <c r="AG184" s="936">
        <f t="shared" si="111"/>
        <v>63.534567465033682</v>
      </c>
      <c r="AH184" s="936">
        <f t="shared" si="112"/>
        <v>63.534567465033682</v>
      </c>
      <c r="AI184" s="936">
        <f t="shared" si="113"/>
        <v>63.534567465033682</v>
      </c>
      <c r="AJ184" s="936">
        <f t="shared" si="114"/>
        <v>63.534567465033682</v>
      </c>
      <c r="AK184" s="936">
        <f t="shared" si="115"/>
        <v>63.534567465033682</v>
      </c>
      <c r="AL184" s="936">
        <f t="shared" si="116"/>
        <v>63.534567465033682</v>
      </c>
      <c r="AM184" s="936">
        <f t="shared" si="117"/>
        <v>63.534567465033682</v>
      </c>
      <c r="AN184" s="936">
        <f t="shared" si="118"/>
        <v>63.534567465033682</v>
      </c>
      <c r="AO184" s="936">
        <f t="shared" si="119"/>
        <v>63.534567465033682</v>
      </c>
      <c r="AP184" s="936">
        <f t="shared" si="120"/>
        <v>63.534567465033682</v>
      </c>
      <c r="AQ184" s="936">
        <f t="shared" si="121"/>
        <v>63.534567465033682</v>
      </c>
      <c r="AR184" s="936">
        <f t="shared" si="122"/>
        <v>63.534567465033682</v>
      </c>
      <c r="AS184" s="936">
        <f t="shared" si="123"/>
        <v>63.534567465033682</v>
      </c>
      <c r="AT184" s="936">
        <f t="shared" si="124"/>
        <v>63.534567465033682</v>
      </c>
      <c r="AU184" s="936">
        <f t="shared" si="125"/>
        <v>63.534567465033682</v>
      </c>
      <c r="AV184" s="936">
        <f t="shared" si="126"/>
        <v>63.534567465033682</v>
      </c>
      <c r="AW184" s="936">
        <f t="shared" si="127"/>
        <v>63.534567465033682</v>
      </c>
      <c r="AX184" s="936">
        <f t="shared" si="128"/>
        <v>63.534567465033682</v>
      </c>
      <c r="AY184" s="936">
        <f t="shared" si="129"/>
        <v>63.534567465033682</v>
      </c>
      <c r="AZ184" s="936">
        <f t="shared" si="130"/>
        <v>63.534567465033682</v>
      </c>
      <c r="BA184" s="936">
        <f t="shared" si="131"/>
        <v>63.534567465033682</v>
      </c>
      <c r="BB184" s="937">
        <f t="shared" si="132"/>
        <v>63.534567465033682</v>
      </c>
      <c r="BC184" s="938"/>
    </row>
    <row r="185" spans="2:55" s="934" customFormat="1" ht="15">
      <c r="B185" s="909">
        <v>2034</v>
      </c>
      <c r="C185" s="1218" t="s">
        <v>811</v>
      </c>
      <c r="D185" s="932">
        <v>10.56635126414575</v>
      </c>
      <c r="E185" s="932">
        <v>21.1327025282915</v>
      </c>
      <c r="F185" s="932">
        <v>31.699053792437251</v>
      </c>
      <c r="G185" s="932">
        <v>47.548580688655868</v>
      </c>
      <c r="H185" s="932">
        <v>47.548580688655868</v>
      </c>
      <c r="I185" s="932">
        <v>47.548580688655868</v>
      </c>
      <c r="J185" s="932">
        <v>47.548580688655868</v>
      </c>
      <c r="K185" s="932">
        <v>47.548580688655868</v>
      </c>
      <c r="L185" s="932">
        <v>47.548580688655868</v>
      </c>
      <c r="M185" s="932">
        <v>47.548580688655868</v>
      </c>
      <c r="N185" s="932">
        <v>47.548580688655868</v>
      </c>
      <c r="O185" s="932">
        <v>47.548580688655868</v>
      </c>
      <c r="P185" s="932">
        <v>47.548580688655868</v>
      </c>
      <c r="Q185" s="932">
        <v>47.548580688655868</v>
      </c>
      <c r="R185" s="932">
        <v>47.548580688655868</v>
      </c>
      <c r="S185" s="932">
        <v>47.548580688655868</v>
      </c>
      <c r="T185" s="932">
        <v>47.548580688655868</v>
      </c>
      <c r="U185" s="932">
        <v>47.548580688655868</v>
      </c>
      <c r="V185" s="932">
        <v>47.548580688655868</v>
      </c>
      <c r="W185" s="932">
        <v>47.548580688655868</v>
      </c>
      <c r="X185" s="932">
        <v>47.548580688655868</v>
      </c>
      <c r="Y185" s="932">
        <v>47.548580688655868</v>
      </c>
      <c r="Z185" s="932">
        <v>47.548580688655868</v>
      </c>
      <c r="AA185" s="932">
        <v>47.548580688655868</v>
      </c>
      <c r="AB185" s="933">
        <v>47.548580688655868</v>
      </c>
      <c r="AD185" s="935">
        <f t="shared" si="108"/>
        <v>17.966898379899249</v>
      </c>
      <c r="AE185" s="936">
        <f t="shared" si="109"/>
        <v>35.933796759798497</v>
      </c>
      <c r="AF185" s="936">
        <f t="shared" si="110"/>
        <v>53.900695139697746</v>
      </c>
      <c r="AG185" s="936">
        <f t="shared" si="111"/>
        <v>80.851042709546618</v>
      </c>
      <c r="AH185" s="936">
        <f t="shared" si="112"/>
        <v>80.851042709546618</v>
      </c>
      <c r="AI185" s="936">
        <f t="shared" si="113"/>
        <v>80.851042709546618</v>
      </c>
      <c r="AJ185" s="936">
        <f t="shared" si="114"/>
        <v>80.851042709546618</v>
      </c>
      <c r="AK185" s="936">
        <f t="shared" si="115"/>
        <v>80.851042709546618</v>
      </c>
      <c r="AL185" s="936">
        <f t="shared" si="116"/>
        <v>80.851042709546618</v>
      </c>
      <c r="AM185" s="936">
        <f t="shared" si="117"/>
        <v>80.851042709546618</v>
      </c>
      <c r="AN185" s="936">
        <f t="shared" si="118"/>
        <v>80.851042709546618</v>
      </c>
      <c r="AO185" s="936">
        <f t="shared" si="119"/>
        <v>80.851042709546618</v>
      </c>
      <c r="AP185" s="936">
        <f t="shared" si="120"/>
        <v>80.851042709546618</v>
      </c>
      <c r="AQ185" s="936">
        <f t="shared" si="121"/>
        <v>80.851042709546618</v>
      </c>
      <c r="AR185" s="936">
        <f t="shared" si="122"/>
        <v>80.851042709546618</v>
      </c>
      <c r="AS185" s="936">
        <f t="shared" si="123"/>
        <v>80.851042709546618</v>
      </c>
      <c r="AT185" s="936">
        <f t="shared" si="124"/>
        <v>80.851042709546618</v>
      </c>
      <c r="AU185" s="936">
        <f t="shared" si="125"/>
        <v>80.851042709546618</v>
      </c>
      <c r="AV185" s="936">
        <f t="shared" si="126"/>
        <v>80.851042709546618</v>
      </c>
      <c r="AW185" s="936">
        <f t="shared" si="127"/>
        <v>80.851042709546618</v>
      </c>
      <c r="AX185" s="936">
        <f t="shared" si="128"/>
        <v>80.851042709546618</v>
      </c>
      <c r="AY185" s="936">
        <f t="shared" si="129"/>
        <v>80.851042709546618</v>
      </c>
      <c r="AZ185" s="936">
        <f t="shared" si="130"/>
        <v>80.851042709546618</v>
      </c>
      <c r="BA185" s="936">
        <f t="shared" si="131"/>
        <v>80.851042709546618</v>
      </c>
      <c r="BB185" s="937">
        <f t="shared" si="132"/>
        <v>80.851042709546618</v>
      </c>
      <c r="BC185" s="938"/>
    </row>
    <row r="186" spans="2:55" s="934" customFormat="1" ht="15">
      <c r="B186" s="909">
        <v>2035</v>
      </c>
      <c r="C186" s="1218" t="s">
        <v>812</v>
      </c>
      <c r="D186" s="932">
        <v>6.3899798995800197</v>
      </c>
      <c r="E186" s="932">
        <v>19.169939698740059</v>
      </c>
      <c r="F186" s="932">
        <v>31.949899497900095</v>
      </c>
      <c r="G186" s="932">
        <v>44.729859297060138</v>
      </c>
      <c r="H186" s="932">
        <v>63.899798995800182</v>
      </c>
      <c r="I186" s="932">
        <v>63.899798995800182</v>
      </c>
      <c r="J186" s="932">
        <v>63.899798995800182</v>
      </c>
      <c r="K186" s="932">
        <v>63.899798995800182</v>
      </c>
      <c r="L186" s="932">
        <v>63.899798995800182</v>
      </c>
      <c r="M186" s="932">
        <v>63.899798995800182</v>
      </c>
      <c r="N186" s="932">
        <v>63.899798995800182</v>
      </c>
      <c r="O186" s="932">
        <v>63.899798995800182</v>
      </c>
      <c r="P186" s="932">
        <v>63.899798995800182</v>
      </c>
      <c r="Q186" s="932">
        <v>63.899798995800182</v>
      </c>
      <c r="R186" s="932">
        <v>63.899798995800182</v>
      </c>
      <c r="S186" s="932">
        <v>63.899798995800182</v>
      </c>
      <c r="T186" s="932">
        <v>63.899798995800182</v>
      </c>
      <c r="U186" s="932">
        <v>63.899798995800182</v>
      </c>
      <c r="V186" s="932">
        <v>63.899798995800182</v>
      </c>
      <c r="W186" s="932">
        <v>63.899798995800182</v>
      </c>
      <c r="X186" s="932">
        <v>63.899798995800182</v>
      </c>
      <c r="Y186" s="932">
        <v>63.899798995800182</v>
      </c>
      <c r="Z186" s="932">
        <v>63.899798995800182</v>
      </c>
      <c r="AA186" s="932">
        <v>63.899798995800182</v>
      </c>
      <c r="AB186" s="933">
        <v>63.899798995800182</v>
      </c>
      <c r="AD186" s="935">
        <f t="shared" si="108"/>
        <v>10.865446040481869</v>
      </c>
      <c r="AE186" s="936">
        <f t="shared" si="109"/>
        <v>32.596338121445605</v>
      </c>
      <c r="AF186" s="936">
        <f t="shared" si="110"/>
        <v>54.327230202409339</v>
      </c>
      <c r="AG186" s="936">
        <f t="shared" si="111"/>
        <v>76.058122283373081</v>
      </c>
      <c r="AH186" s="936">
        <f t="shared" si="112"/>
        <v>108.65446040481865</v>
      </c>
      <c r="AI186" s="936">
        <f t="shared" si="113"/>
        <v>108.65446040481865</v>
      </c>
      <c r="AJ186" s="936">
        <f t="shared" si="114"/>
        <v>108.65446040481865</v>
      </c>
      <c r="AK186" s="936">
        <f t="shared" si="115"/>
        <v>108.65446040481865</v>
      </c>
      <c r="AL186" s="936">
        <f t="shared" si="116"/>
        <v>108.65446040481865</v>
      </c>
      <c r="AM186" s="936">
        <f t="shared" si="117"/>
        <v>108.65446040481865</v>
      </c>
      <c r="AN186" s="936">
        <f t="shared" si="118"/>
        <v>108.65446040481865</v>
      </c>
      <c r="AO186" s="936">
        <f t="shared" si="119"/>
        <v>108.65446040481865</v>
      </c>
      <c r="AP186" s="936">
        <f t="shared" si="120"/>
        <v>108.65446040481865</v>
      </c>
      <c r="AQ186" s="936">
        <f t="shared" si="121"/>
        <v>108.65446040481865</v>
      </c>
      <c r="AR186" s="936">
        <f t="shared" si="122"/>
        <v>108.65446040481865</v>
      </c>
      <c r="AS186" s="936">
        <f t="shared" si="123"/>
        <v>108.65446040481865</v>
      </c>
      <c r="AT186" s="936">
        <f t="shared" si="124"/>
        <v>108.65446040481865</v>
      </c>
      <c r="AU186" s="936">
        <f t="shared" si="125"/>
        <v>108.65446040481865</v>
      </c>
      <c r="AV186" s="936">
        <f t="shared" si="126"/>
        <v>108.65446040481865</v>
      </c>
      <c r="AW186" s="936">
        <f t="shared" si="127"/>
        <v>108.65446040481865</v>
      </c>
      <c r="AX186" s="936">
        <f t="shared" si="128"/>
        <v>108.65446040481865</v>
      </c>
      <c r="AY186" s="936">
        <f t="shared" si="129"/>
        <v>108.65446040481865</v>
      </c>
      <c r="AZ186" s="936">
        <f t="shared" si="130"/>
        <v>108.65446040481865</v>
      </c>
      <c r="BA186" s="936">
        <f t="shared" si="131"/>
        <v>108.65446040481865</v>
      </c>
      <c r="BB186" s="937">
        <f t="shared" si="132"/>
        <v>108.65446040481865</v>
      </c>
      <c r="BC186" s="938"/>
    </row>
    <row r="187" spans="2:55" s="934" customFormat="1" ht="15">
      <c r="B187" s="909">
        <v>2036</v>
      </c>
      <c r="C187" s="1218" t="s">
        <v>813</v>
      </c>
      <c r="D187" s="932">
        <v>0</v>
      </c>
      <c r="E187" s="932">
        <v>5.0062161210880021</v>
      </c>
      <c r="F187" s="932">
        <v>15.018648363264008</v>
      </c>
      <c r="G187" s="932">
        <v>25.03108060544001</v>
      </c>
      <c r="H187" s="932">
        <v>35.043512847616014</v>
      </c>
      <c r="I187" s="932">
        <v>50.062161210880014</v>
      </c>
      <c r="J187" s="932">
        <v>50.062161210880014</v>
      </c>
      <c r="K187" s="932">
        <v>50.062161210880014</v>
      </c>
      <c r="L187" s="932">
        <v>50.062161210880014</v>
      </c>
      <c r="M187" s="932">
        <v>50.062161210880014</v>
      </c>
      <c r="N187" s="932">
        <v>50.062161210880014</v>
      </c>
      <c r="O187" s="932">
        <v>50.062161210880014</v>
      </c>
      <c r="P187" s="932">
        <v>50.062161210880014</v>
      </c>
      <c r="Q187" s="932">
        <v>50.062161210880014</v>
      </c>
      <c r="R187" s="932">
        <v>50.062161210880014</v>
      </c>
      <c r="S187" s="932">
        <v>50.062161210880014</v>
      </c>
      <c r="T187" s="932">
        <v>50.062161210880014</v>
      </c>
      <c r="U187" s="932">
        <v>50.062161210880014</v>
      </c>
      <c r="V187" s="932">
        <v>50.062161210880014</v>
      </c>
      <c r="W187" s="932">
        <v>50.062161210880014</v>
      </c>
      <c r="X187" s="932">
        <v>50.062161210880014</v>
      </c>
      <c r="Y187" s="932">
        <v>50.062161210880014</v>
      </c>
      <c r="Z187" s="932">
        <v>50.062161210880014</v>
      </c>
      <c r="AA187" s="932">
        <v>50.062161210880014</v>
      </c>
      <c r="AB187" s="933">
        <v>50.062161210880014</v>
      </c>
      <c r="AD187" s="935">
        <f t="shared" si="108"/>
        <v>0</v>
      </c>
      <c r="AE187" s="936">
        <f t="shared" si="109"/>
        <v>8.5125105220201416</v>
      </c>
      <c r="AF187" s="936">
        <f t="shared" si="110"/>
        <v>25.53753156606043</v>
      </c>
      <c r="AG187" s="936">
        <f t="shared" si="111"/>
        <v>42.562552610100717</v>
      </c>
      <c r="AH187" s="936">
        <f t="shared" si="112"/>
        <v>59.587573654141003</v>
      </c>
      <c r="AI187" s="936">
        <f t="shared" si="113"/>
        <v>85.125105220201419</v>
      </c>
      <c r="AJ187" s="936">
        <f t="shared" si="114"/>
        <v>85.125105220201419</v>
      </c>
      <c r="AK187" s="936">
        <f t="shared" si="115"/>
        <v>85.125105220201419</v>
      </c>
      <c r="AL187" s="936">
        <f t="shared" si="116"/>
        <v>85.125105220201419</v>
      </c>
      <c r="AM187" s="936">
        <f t="shared" si="117"/>
        <v>85.125105220201419</v>
      </c>
      <c r="AN187" s="936">
        <f t="shared" si="118"/>
        <v>85.125105220201419</v>
      </c>
      <c r="AO187" s="936">
        <f t="shared" si="119"/>
        <v>85.125105220201419</v>
      </c>
      <c r="AP187" s="936">
        <f t="shared" si="120"/>
        <v>85.125105220201419</v>
      </c>
      <c r="AQ187" s="936">
        <f t="shared" si="121"/>
        <v>85.125105220201419</v>
      </c>
      <c r="AR187" s="936">
        <f t="shared" si="122"/>
        <v>85.125105220201419</v>
      </c>
      <c r="AS187" s="936">
        <f t="shared" si="123"/>
        <v>85.125105220201419</v>
      </c>
      <c r="AT187" s="936">
        <f t="shared" si="124"/>
        <v>85.125105220201419</v>
      </c>
      <c r="AU187" s="936">
        <f t="shared" si="125"/>
        <v>85.125105220201419</v>
      </c>
      <c r="AV187" s="936">
        <f t="shared" si="126"/>
        <v>85.125105220201419</v>
      </c>
      <c r="AW187" s="936">
        <f t="shared" si="127"/>
        <v>85.125105220201419</v>
      </c>
      <c r="AX187" s="936">
        <f t="shared" si="128"/>
        <v>85.125105220201419</v>
      </c>
      <c r="AY187" s="936">
        <f t="shared" si="129"/>
        <v>85.125105220201419</v>
      </c>
      <c r="AZ187" s="936">
        <f t="shared" si="130"/>
        <v>85.125105220201419</v>
      </c>
      <c r="BA187" s="936">
        <f t="shared" si="131"/>
        <v>85.125105220201419</v>
      </c>
      <c r="BB187" s="937">
        <f t="shared" si="132"/>
        <v>85.125105220201419</v>
      </c>
      <c r="BC187" s="938"/>
    </row>
    <row r="188" spans="2:55" s="934" customFormat="1" ht="15">
      <c r="B188" s="909">
        <v>2037</v>
      </c>
      <c r="C188" s="1218" t="s">
        <v>814</v>
      </c>
      <c r="D188" s="932">
        <v>0</v>
      </c>
      <c r="E188" s="932">
        <v>0</v>
      </c>
      <c r="F188" s="932">
        <v>5.1628517693308797</v>
      </c>
      <c r="G188" s="932">
        <v>15.488555307992641</v>
      </c>
      <c r="H188" s="932">
        <v>25.814258846654397</v>
      </c>
      <c r="I188" s="932">
        <v>36.13996238531616</v>
      </c>
      <c r="J188" s="932">
        <v>51.628517693308787</v>
      </c>
      <c r="K188" s="932">
        <v>51.628517693308787</v>
      </c>
      <c r="L188" s="932">
        <v>51.628517693308787</v>
      </c>
      <c r="M188" s="932">
        <v>51.628517693308787</v>
      </c>
      <c r="N188" s="932">
        <v>51.628517693308787</v>
      </c>
      <c r="O188" s="932">
        <v>51.628517693308787</v>
      </c>
      <c r="P188" s="932">
        <v>51.628517693308787</v>
      </c>
      <c r="Q188" s="932">
        <v>51.628517693308787</v>
      </c>
      <c r="R188" s="932">
        <v>51.628517693308787</v>
      </c>
      <c r="S188" s="932">
        <v>51.628517693308787</v>
      </c>
      <c r="T188" s="932">
        <v>51.628517693308787</v>
      </c>
      <c r="U188" s="932">
        <v>51.628517693308787</v>
      </c>
      <c r="V188" s="932">
        <v>51.628517693308787</v>
      </c>
      <c r="W188" s="932">
        <v>51.628517693308787</v>
      </c>
      <c r="X188" s="932">
        <v>51.628517693308787</v>
      </c>
      <c r="Y188" s="932">
        <v>51.628517693308787</v>
      </c>
      <c r="Z188" s="932">
        <v>51.628517693308787</v>
      </c>
      <c r="AA188" s="932">
        <v>51.628517693308787</v>
      </c>
      <c r="AB188" s="933">
        <v>51.628517693308787</v>
      </c>
      <c r="AD188" s="935">
        <f t="shared" si="108"/>
        <v>0</v>
      </c>
      <c r="AE188" s="936">
        <f t="shared" si="109"/>
        <v>0</v>
      </c>
      <c r="AF188" s="936">
        <f t="shared" si="110"/>
        <v>8.7788519207013405</v>
      </c>
      <c r="AG188" s="936">
        <f t="shared" si="111"/>
        <v>26.336555762104027</v>
      </c>
      <c r="AH188" s="936">
        <f t="shared" si="112"/>
        <v>43.894259603506697</v>
      </c>
      <c r="AI188" s="936">
        <f t="shared" si="113"/>
        <v>61.451963444909381</v>
      </c>
      <c r="AJ188" s="936">
        <f t="shared" si="114"/>
        <v>87.788519207013394</v>
      </c>
      <c r="AK188" s="936">
        <f t="shared" si="115"/>
        <v>87.788519207013394</v>
      </c>
      <c r="AL188" s="936">
        <f t="shared" si="116"/>
        <v>87.788519207013394</v>
      </c>
      <c r="AM188" s="936">
        <f t="shared" si="117"/>
        <v>87.788519207013394</v>
      </c>
      <c r="AN188" s="936">
        <f t="shared" si="118"/>
        <v>87.788519207013394</v>
      </c>
      <c r="AO188" s="936">
        <f t="shared" si="119"/>
        <v>87.788519207013394</v>
      </c>
      <c r="AP188" s="936">
        <f t="shared" si="120"/>
        <v>87.788519207013394</v>
      </c>
      <c r="AQ188" s="936">
        <f t="shared" si="121"/>
        <v>87.788519207013394</v>
      </c>
      <c r="AR188" s="936">
        <f t="shared" si="122"/>
        <v>87.788519207013394</v>
      </c>
      <c r="AS188" s="936">
        <f t="shared" si="123"/>
        <v>87.788519207013394</v>
      </c>
      <c r="AT188" s="936">
        <f t="shared" si="124"/>
        <v>87.788519207013394</v>
      </c>
      <c r="AU188" s="936">
        <f t="shared" si="125"/>
        <v>87.788519207013394</v>
      </c>
      <c r="AV188" s="936">
        <f t="shared" si="126"/>
        <v>87.788519207013394</v>
      </c>
      <c r="AW188" s="936">
        <f t="shared" si="127"/>
        <v>87.788519207013394</v>
      </c>
      <c r="AX188" s="936">
        <f t="shared" si="128"/>
        <v>87.788519207013394</v>
      </c>
      <c r="AY188" s="936">
        <f t="shared" si="129"/>
        <v>87.788519207013394</v>
      </c>
      <c r="AZ188" s="936">
        <f t="shared" si="130"/>
        <v>87.788519207013394</v>
      </c>
      <c r="BA188" s="936">
        <f t="shared" si="131"/>
        <v>87.788519207013394</v>
      </c>
      <c r="BB188" s="937">
        <f t="shared" si="132"/>
        <v>87.788519207013394</v>
      </c>
      <c r="BC188" s="938"/>
    </row>
    <row r="189" spans="2:55" s="934" customFormat="1" ht="15">
      <c r="B189" s="909">
        <v>2038</v>
      </c>
      <c r="C189" s="1218" t="s">
        <v>815</v>
      </c>
      <c r="D189" s="932">
        <v>0</v>
      </c>
      <c r="E189" s="932">
        <v>0</v>
      </c>
      <c r="F189" s="932">
        <v>0</v>
      </c>
      <c r="G189" s="932">
        <v>5.324388269975457</v>
      </c>
      <c r="H189" s="932">
        <v>15.973164809926372</v>
      </c>
      <c r="I189" s="932">
        <v>26.621941349877282</v>
      </c>
      <c r="J189" s="932">
        <v>37.270717889828198</v>
      </c>
      <c r="K189" s="932">
        <v>53.243882699754558</v>
      </c>
      <c r="L189" s="932">
        <v>53.243882699754558</v>
      </c>
      <c r="M189" s="932">
        <v>53.243882699754558</v>
      </c>
      <c r="N189" s="932">
        <v>53.243882699754558</v>
      </c>
      <c r="O189" s="932">
        <v>53.243882699754558</v>
      </c>
      <c r="P189" s="932">
        <v>53.243882699754558</v>
      </c>
      <c r="Q189" s="932">
        <v>53.243882699754558</v>
      </c>
      <c r="R189" s="932">
        <v>53.243882699754558</v>
      </c>
      <c r="S189" s="932">
        <v>53.243882699754558</v>
      </c>
      <c r="T189" s="932">
        <v>53.243882699754558</v>
      </c>
      <c r="U189" s="932">
        <v>53.243882699754558</v>
      </c>
      <c r="V189" s="932">
        <v>53.243882699754558</v>
      </c>
      <c r="W189" s="932">
        <v>53.243882699754558</v>
      </c>
      <c r="X189" s="932">
        <v>53.243882699754558</v>
      </c>
      <c r="Y189" s="932">
        <v>53.243882699754558</v>
      </c>
      <c r="Z189" s="932">
        <v>53.243882699754558</v>
      </c>
      <c r="AA189" s="932">
        <v>53.243882699754558</v>
      </c>
      <c r="AB189" s="933">
        <v>53.243882699754558</v>
      </c>
      <c r="AD189" s="935">
        <f t="shared" si="108"/>
        <v>0</v>
      </c>
      <c r="AE189" s="936">
        <f t="shared" si="109"/>
        <v>0</v>
      </c>
      <c r="AF189" s="936">
        <f t="shared" si="110"/>
        <v>0</v>
      </c>
      <c r="AG189" s="936">
        <f t="shared" si="111"/>
        <v>9.0535266706856525</v>
      </c>
      <c r="AH189" s="936">
        <f t="shared" si="112"/>
        <v>27.160580012056954</v>
      </c>
      <c r="AI189" s="936">
        <f t="shared" si="113"/>
        <v>45.267633353428252</v>
      </c>
      <c r="AJ189" s="936">
        <f t="shared" si="114"/>
        <v>63.374686694799564</v>
      </c>
      <c r="AK189" s="936">
        <f t="shared" si="115"/>
        <v>90.535266706856504</v>
      </c>
      <c r="AL189" s="936">
        <f t="shared" si="116"/>
        <v>90.535266706856504</v>
      </c>
      <c r="AM189" s="936">
        <f t="shared" si="117"/>
        <v>90.535266706856504</v>
      </c>
      <c r="AN189" s="936">
        <f t="shared" si="118"/>
        <v>90.535266706856504</v>
      </c>
      <c r="AO189" s="936">
        <f t="shared" si="119"/>
        <v>90.535266706856504</v>
      </c>
      <c r="AP189" s="936">
        <f t="shared" si="120"/>
        <v>90.535266706856504</v>
      </c>
      <c r="AQ189" s="936">
        <f t="shared" si="121"/>
        <v>90.535266706856504</v>
      </c>
      <c r="AR189" s="936">
        <f t="shared" si="122"/>
        <v>90.535266706856504</v>
      </c>
      <c r="AS189" s="936">
        <f t="shared" si="123"/>
        <v>90.535266706856504</v>
      </c>
      <c r="AT189" s="936">
        <f t="shared" si="124"/>
        <v>90.535266706856504</v>
      </c>
      <c r="AU189" s="936">
        <f t="shared" si="125"/>
        <v>90.535266706856504</v>
      </c>
      <c r="AV189" s="936">
        <f t="shared" si="126"/>
        <v>90.535266706856504</v>
      </c>
      <c r="AW189" s="936">
        <f t="shared" si="127"/>
        <v>90.535266706856504</v>
      </c>
      <c r="AX189" s="936">
        <f t="shared" si="128"/>
        <v>90.535266706856504</v>
      </c>
      <c r="AY189" s="936">
        <f t="shared" si="129"/>
        <v>90.535266706856504</v>
      </c>
      <c r="AZ189" s="936">
        <f t="shared" si="130"/>
        <v>90.535266706856504</v>
      </c>
      <c r="BA189" s="936">
        <f t="shared" si="131"/>
        <v>90.535266706856504</v>
      </c>
      <c r="BB189" s="937">
        <f t="shared" si="132"/>
        <v>90.535266706856504</v>
      </c>
      <c r="BC189" s="938"/>
    </row>
    <row r="190" spans="2:55" s="934" customFormat="1" ht="15">
      <c r="B190" s="909">
        <v>2039</v>
      </c>
      <c r="C190" s="1218" t="s">
        <v>816</v>
      </c>
      <c r="D190" s="932">
        <v>0</v>
      </c>
      <c r="E190" s="932">
        <v>0</v>
      </c>
      <c r="F190" s="932">
        <v>0</v>
      </c>
      <c r="G190" s="932">
        <v>0</v>
      </c>
      <c r="H190" s="932">
        <v>5.4909789620255491</v>
      </c>
      <c r="I190" s="932">
        <v>16.472936886076649</v>
      </c>
      <c r="J190" s="932">
        <v>27.454894810127744</v>
      </c>
      <c r="K190" s="932">
        <v>38.436852734178842</v>
      </c>
      <c r="L190" s="932">
        <v>54.909789620255481</v>
      </c>
      <c r="M190" s="932">
        <v>54.909789620255481</v>
      </c>
      <c r="N190" s="932">
        <v>54.909789620255481</v>
      </c>
      <c r="O190" s="932">
        <v>54.909789620255481</v>
      </c>
      <c r="P190" s="932">
        <v>54.909789620255481</v>
      </c>
      <c r="Q190" s="932">
        <v>54.909789620255481</v>
      </c>
      <c r="R190" s="932">
        <v>54.909789620255481</v>
      </c>
      <c r="S190" s="932">
        <v>54.909789620255481</v>
      </c>
      <c r="T190" s="932">
        <v>54.909789620255481</v>
      </c>
      <c r="U190" s="932">
        <v>54.909789620255481</v>
      </c>
      <c r="V190" s="932">
        <v>54.909789620255481</v>
      </c>
      <c r="W190" s="932">
        <v>54.909789620255481</v>
      </c>
      <c r="X190" s="932">
        <v>54.909789620255481</v>
      </c>
      <c r="Y190" s="932">
        <v>54.909789620255481</v>
      </c>
      <c r="Z190" s="932">
        <v>54.909789620255481</v>
      </c>
      <c r="AA190" s="932">
        <v>54.909789620255481</v>
      </c>
      <c r="AB190" s="933">
        <v>54.909789620255481</v>
      </c>
      <c r="AD190" s="935">
        <f t="shared" si="108"/>
        <v>0</v>
      </c>
      <c r="AE190" s="936">
        <f t="shared" si="109"/>
        <v>0</v>
      </c>
      <c r="AF190" s="936">
        <f t="shared" si="110"/>
        <v>0</v>
      </c>
      <c r="AG190" s="936">
        <f t="shared" si="111"/>
        <v>0</v>
      </c>
      <c r="AH190" s="936">
        <f t="shared" si="112"/>
        <v>9.3367955077966691</v>
      </c>
      <c r="AI190" s="936">
        <f t="shared" si="113"/>
        <v>28.010386523390014</v>
      </c>
      <c r="AJ190" s="936">
        <f t="shared" si="114"/>
        <v>46.683977538983349</v>
      </c>
      <c r="AK190" s="936">
        <f t="shared" si="115"/>
        <v>65.357568554576687</v>
      </c>
      <c r="AL190" s="936">
        <f t="shared" si="116"/>
        <v>93.367955077966684</v>
      </c>
      <c r="AM190" s="936">
        <f t="shared" si="117"/>
        <v>93.367955077966684</v>
      </c>
      <c r="AN190" s="936">
        <f t="shared" si="118"/>
        <v>93.367955077966684</v>
      </c>
      <c r="AO190" s="936">
        <f t="shared" si="119"/>
        <v>93.367955077966684</v>
      </c>
      <c r="AP190" s="936">
        <f t="shared" si="120"/>
        <v>93.367955077966684</v>
      </c>
      <c r="AQ190" s="936">
        <f t="shared" si="121"/>
        <v>93.367955077966684</v>
      </c>
      <c r="AR190" s="936">
        <f t="shared" si="122"/>
        <v>93.367955077966684</v>
      </c>
      <c r="AS190" s="936">
        <f t="shared" si="123"/>
        <v>93.367955077966684</v>
      </c>
      <c r="AT190" s="936">
        <f t="shared" si="124"/>
        <v>93.367955077966684</v>
      </c>
      <c r="AU190" s="936">
        <f t="shared" si="125"/>
        <v>93.367955077966684</v>
      </c>
      <c r="AV190" s="936">
        <f t="shared" si="126"/>
        <v>93.367955077966684</v>
      </c>
      <c r="AW190" s="936">
        <f t="shared" si="127"/>
        <v>93.367955077966684</v>
      </c>
      <c r="AX190" s="936">
        <f t="shared" si="128"/>
        <v>93.367955077966684</v>
      </c>
      <c r="AY190" s="936">
        <f t="shared" si="129"/>
        <v>93.367955077966684</v>
      </c>
      <c r="AZ190" s="936">
        <f t="shared" si="130"/>
        <v>93.367955077966684</v>
      </c>
      <c r="BA190" s="936">
        <f t="shared" si="131"/>
        <v>93.367955077966684</v>
      </c>
      <c r="BB190" s="937">
        <f t="shared" si="132"/>
        <v>93.367955077966684</v>
      </c>
      <c r="BC190" s="938"/>
    </row>
    <row r="191" spans="2:55" s="934" customFormat="1" ht="15">
      <c r="B191" s="909">
        <v>2040</v>
      </c>
      <c r="C191" s="1218" t="s">
        <v>817</v>
      </c>
      <c r="D191" s="932">
        <v>0</v>
      </c>
      <c r="E191" s="932">
        <v>0</v>
      </c>
      <c r="F191" s="932">
        <v>0</v>
      </c>
      <c r="G191" s="932">
        <v>0</v>
      </c>
      <c r="H191" s="932">
        <v>0</v>
      </c>
      <c r="I191" s="932">
        <v>5.6627819821911967</v>
      </c>
      <c r="J191" s="932">
        <v>16.988345946573592</v>
      </c>
      <c r="K191" s="932">
        <v>28.313909910955982</v>
      </c>
      <c r="L191" s="932">
        <v>39.639473875338375</v>
      </c>
      <c r="M191" s="932">
        <v>56.627819821911956</v>
      </c>
      <c r="N191" s="932">
        <v>56.627819821911956</v>
      </c>
      <c r="O191" s="932">
        <v>56.627819821911956</v>
      </c>
      <c r="P191" s="932">
        <v>56.627819821911956</v>
      </c>
      <c r="Q191" s="932">
        <v>56.627819821911956</v>
      </c>
      <c r="R191" s="932">
        <v>56.627819821911956</v>
      </c>
      <c r="S191" s="932">
        <v>56.627819821911956</v>
      </c>
      <c r="T191" s="932">
        <v>56.627819821911956</v>
      </c>
      <c r="U191" s="932">
        <v>56.627819821911956</v>
      </c>
      <c r="V191" s="932">
        <v>56.627819821911956</v>
      </c>
      <c r="W191" s="932">
        <v>56.627819821911956</v>
      </c>
      <c r="X191" s="932">
        <v>56.627819821911956</v>
      </c>
      <c r="Y191" s="932">
        <v>56.627819821911956</v>
      </c>
      <c r="Z191" s="932">
        <v>56.627819821911956</v>
      </c>
      <c r="AA191" s="932">
        <v>56.627819821911956</v>
      </c>
      <c r="AB191" s="933">
        <v>56.627819821911956</v>
      </c>
      <c r="AD191" s="935">
        <f t="shared" si="108"/>
        <v>0</v>
      </c>
      <c r="AE191" s="936">
        <f t="shared" si="109"/>
        <v>0</v>
      </c>
      <c r="AF191" s="936">
        <f t="shared" si="110"/>
        <v>0</v>
      </c>
      <c r="AG191" s="936">
        <f t="shared" si="111"/>
        <v>0</v>
      </c>
      <c r="AH191" s="936">
        <f t="shared" si="112"/>
        <v>0</v>
      </c>
      <c r="AI191" s="936">
        <f t="shared" si="113"/>
        <v>9.6289273258207526</v>
      </c>
      <c r="AJ191" s="936">
        <f t="shared" si="114"/>
        <v>28.886781977462267</v>
      </c>
      <c r="AK191" s="936">
        <f t="shared" si="115"/>
        <v>48.144636629103758</v>
      </c>
      <c r="AL191" s="936">
        <f t="shared" si="116"/>
        <v>67.402491280745267</v>
      </c>
      <c r="AM191" s="936">
        <f t="shared" si="117"/>
        <v>96.289273258207515</v>
      </c>
      <c r="AN191" s="936">
        <f t="shared" si="118"/>
        <v>96.289273258207515</v>
      </c>
      <c r="AO191" s="936">
        <f t="shared" si="119"/>
        <v>96.289273258207515</v>
      </c>
      <c r="AP191" s="936">
        <f t="shared" si="120"/>
        <v>96.289273258207515</v>
      </c>
      <c r="AQ191" s="936">
        <f t="shared" si="121"/>
        <v>96.289273258207515</v>
      </c>
      <c r="AR191" s="936">
        <f t="shared" si="122"/>
        <v>96.289273258207515</v>
      </c>
      <c r="AS191" s="936">
        <f t="shared" si="123"/>
        <v>96.289273258207515</v>
      </c>
      <c r="AT191" s="936">
        <f t="shared" si="124"/>
        <v>96.289273258207515</v>
      </c>
      <c r="AU191" s="936">
        <f t="shared" si="125"/>
        <v>96.289273258207515</v>
      </c>
      <c r="AV191" s="936">
        <f t="shared" si="126"/>
        <v>96.289273258207515</v>
      </c>
      <c r="AW191" s="936">
        <f t="shared" si="127"/>
        <v>96.289273258207515</v>
      </c>
      <c r="AX191" s="936">
        <f t="shared" si="128"/>
        <v>96.289273258207515</v>
      </c>
      <c r="AY191" s="936">
        <f t="shared" si="129"/>
        <v>96.289273258207515</v>
      </c>
      <c r="AZ191" s="936">
        <f t="shared" si="130"/>
        <v>96.289273258207515</v>
      </c>
      <c r="BA191" s="936">
        <f t="shared" si="131"/>
        <v>96.289273258207515</v>
      </c>
      <c r="BB191" s="937">
        <f t="shared" si="132"/>
        <v>96.289273258207515</v>
      </c>
      <c r="BC191" s="938"/>
    </row>
    <row r="192" spans="2:55" s="934" customFormat="1" ht="15">
      <c r="B192" s="909">
        <v>2041</v>
      </c>
      <c r="C192" s="1218" t="s">
        <v>818</v>
      </c>
      <c r="D192" s="932">
        <v>0</v>
      </c>
      <c r="E192" s="932">
        <v>0</v>
      </c>
      <c r="F192" s="932">
        <v>0</v>
      </c>
      <c r="G192" s="932">
        <v>0</v>
      </c>
      <c r="H192" s="932">
        <v>0</v>
      </c>
      <c r="I192" s="932">
        <v>0</v>
      </c>
      <c r="J192" s="932">
        <v>5.8399604150004123</v>
      </c>
      <c r="K192" s="932">
        <v>17.519881245001237</v>
      </c>
      <c r="L192" s="932">
        <v>29.199802075002058</v>
      </c>
      <c r="M192" s="932">
        <v>40.879722905002886</v>
      </c>
      <c r="N192" s="932">
        <v>58.399604150004109</v>
      </c>
      <c r="O192" s="932">
        <v>58.399604150004109</v>
      </c>
      <c r="P192" s="932">
        <v>58.399604150004109</v>
      </c>
      <c r="Q192" s="932">
        <v>58.399604150004109</v>
      </c>
      <c r="R192" s="932">
        <v>58.399604150004109</v>
      </c>
      <c r="S192" s="932">
        <v>58.399604150004109</v>
      </c>
      <c r="T192" s="932">
        <v>58.399604150004109</v>
      </c>
      <c r="U192" s="932">
        <v>58.399604150004109</v>
      </c>
      <c r="V192" s="932">
        <v>58.399604150004109</v>
      </c>
      <c r="W192" s="932">
        <v>58.399604150004109</v>
      </c>
      <c r="X192" s="932">
        <v>58.399604150004109</v>
      </c>
      <c r="Y192" s="932">
        <v>58.399604150004109</v>
      </c>
      <c r="Z192" s="932">
        <v>58.399604150004109</v>
      </c>
      <c r="AA192" s="932">
        <v>58.399604150004109</v>
      </c>
      <c r="AB192" s="933">
        <v>58.399604150004109</v>
      </c>
      <c r="AD192" s="935">
        <f t="shared" si="108"/>
        <v>0</v>
      </c>
      <c r="AE192" s="936">
        <f t="shared" si="109"/>
        <v>0</v>
      </c>
      <c r="AF192" s="936">
        <f t="shared" si="110"/>
        <v>0</v>
      </c>
      <c r="AG192" s="936">
        <f t="shared" si="111"/>
        <v>0</v>
      </c>
      <c r="AH192" s="936">
        <f t="shared" si="112"/>
        <v>0</v>
      </c>
      <c r="AI192" s="936">
        <f t="shared" si="113"/>
        <v>0</v>
      </c>
      <c r="AJ192" s="936">
        <f t="shared" si="114"/>
        <v>9.9301994317552662</v>
      </c>
      <c r="AK192" s="936">
        <f t="shared" si="115"/>
        <v>29.790598295265795</v>
      </c>
      <c r="AL192" s="936">
        <f t="shared" si="116"/>
        <v>49.65099715877632</v>
      </c>
      <c r="AM192" s="936">
        <f t="shared" si="117"/>
        <v>69.51139602228686</v>
      </c>
      <c r="AN192" s="936">
        <f t="shared" si="118"/>
        <v>99.301994317552641</v>
      </c>
      <c r="AO192" s="936">
        <f t="shared" si="119"/>
        <v>99.301994317552641</v>
      </c>
      <c r="AP192" s="936">
        <f t="shared" si="120"/>
        <v>99.301994317552641</v>
      </c>
      <c r="AQ192" s="936">
        <f t="shared" si="121"/>
        <v>99.301994317552641</v>
      </c>
      <c r="AR192" s="936">
        <f t="shared" si="122"/>
        <v>99.301994317552641</v>
      </c>
      <c r="AS192" s="936">
        <f t="shared" si="123"/>
        <v>99.301994317552641</v>
      </c>
      <c r="AT192" s="936">
        <f t="shared" si="124"/>
        <v>99.301994317552641</v>
      </c>
      <c r="AU192" s="936">
        <f t="shared" si="125"/>
        <v>99.301994317552641</v>
      </c>
      <c r="AV192" s="936">
        <f t="shared" si="126"/>
        <v>99.301994317552641</v>
      </c>
      <c r="AW192" s="936">
        <f t="shared" si="127"/>
        <v>99.301994317552641</v>
      </c>
      <c r="AX192" s="936">
        <f t="shared" si="128"/>
        <v>99.301994317552641</v>
      </c>
      <c r="AY192" s="936">
        <f t="shared" si="129"/>
        <v>99.301994317552641</v>
      </c>
      <c r="AZ192" s="936">
        <f t="shared" si="130"/>
        <v>99.301994317552641</v>
      </c>
      <c r="BA192" s="936">
        <f t="shared" si="131"/>
        <v>99.301994317552641</v>
      </c>
      <c r="BB192" s="937">
        <f t="shared" si="132"/>
        <v>99.301994317552641</v>
      </c>
      <c r="BC192" s="938"/>
    </row>
    <row r="193" spans="2:55" s="934" customFormat="1" ht="15">
      <c r="B193" s="909">
        <v>2042</v>
      </c>
      <c r="C193" s="1218" t="s">
        <v>819</v>
      </c>
      <c r="D193" s="932">
        <v>0</v>
      </c>
      <c r="E193" s="932">
        <v>0</v>
      </c>
      <c r="F193" s="932">
        <v>0</v>
      </c>
      <c r="G193" s="932">
        <v>0</v>
      </c>
      <c r="H193" s="932">
        <v>0</v>
      </c>
      <c r="I193" s="932">
        <v>0</v>
      </c>
      <c r="J193" s="932">
        <v>0</v>
      </c>
      <c r="K193" s="932">
        <v>6.022682447607651</v>
      </c>
      <c r="L193" s="932">
        <v>18.068047342822954</v>
      </c>
      <c r="M193" s="932">
        <v>30.113412238038254</v>
      </c>
      <c r="N193" s="932">
        <v>42.158777133253558</v>
      </c>
      <c r="O193" s="932">
        <v>60.226824476076501</v>
      </c>
      <c r="P193" s="932">
        <v>60.226824476076501</v>
      </c>
      <c r="Q193" s="932">
        <v>60.226824476076501</v>
      </c>
      <c r="R193" s="932">
        <v>60.226824476076501</v>
      </c>
      <c r="S193" s="932">
        <v>60.226824476076501</v>
      </c>
      <c r="T193" s="932">
        <v>60.226824476076501</v>
      </c>
      <c r="U193" s="932">
        <v>60.226824476076501</v>
      </c>
      <c r="V193" s="932">
        <v>60.226824476076501</v>
      </c>
      <c r="W193" s="932">
        <v>60.226824476076501</v>
      </c>
      <c r="X193" s="932">
        <v>60.226824476076501</v>
      </c>
      <c r="Y193" s="932">
        <v>60.226824476076501</v>
      </c>
      <c r="Z193" s="932">
        <v>60.226824476076501</v>
      </c>
      <c r="AA193" s="932">
        <v>60.226824476076501</v>
      </c>
      <c r="AB193" s="933">
        <v>60.226824476076501</v>
      </c>
      <c r="AD193" s="935">
        <f t="shared" si="108"/>
        <v>0</v>
      </c>
      <c r="AE193" s="936">
        <f t="shared" si="109"/>
        <v>0</v>
      </c>
      <c r="AF193" s="936">
        <f t="shared" si="110"/>
        <v>0</v>
      </c>
      <c r="AG193" s="936">
        <f t="shared" si="111"/>
        <v>0</v>
      </c>
      <c r="AH193" s="936">
        <f t="shared" si="112"/>
        <v>0</v>
      </c>
      <c r="AI193" s="936">
        <f t="shared" si="113"/>
        <v>0</v>
      </c>
      <c r="AJ193" s="936">
        <f t="shared" si="114"/>
        <v>0</v>
      </c>
      <c r="AK193" s="936">
        <f t="shared" si="115"/>
        <v>10.240897809043057</v>
      </c>
      <c r="AL193" s="936">
        <f t="shared" si="116"/>
        <v>30.722693427129176</v>
      </c>
      <c r="AM193" s="936">
        <f t="shared" si="117"/>
        <v>51.20448904521529</v>
      </c>
      <c r="AN193" s="936">
        <f t="shared" si="118"/>
        <v>71.686284663301407</v>
      </c>
      <c r="AO193" s="936">
        <f t="shared" si="119"/>
        <v>102.40897809043055</v>
      </c>
      <c r="AP193" s="936">
        <f t="shared" si="120"/>
        <v>102.40897809043055</v>
      </c>
      <c r="AQ193" s="936">
        <f t="shared" si="121"/>
        <v>102.40897809043055</v>
      </c>
      <c r="AR193" s="936">
        <f t="shared" si="122"/>
        <v>102.40897809043055</v>
      </c>
      <c r="AS193" s="936">
        <f t="shared" si="123"/>
        <v>102.40897809043055</v>
      </c>
      <c r="AT193" s="936">
        <f t="shared" si="124"/>
        <v>102.40897809043055</v>
      </c>
      <c r="AU193" s="936">
        <f t="shared" si="125"/>
        <v>102.40897809043055</v>
      </c>
      <c r="AV193" s="936">
        <f t="shared" si="126"/>
        <v>102.40897809043055</v>
      </c>
      <c r="AW193" s="936">
        <f t="shared" si="127"/>
        <v>102.40897809043055</v>
      </c>
      <c r="AX193" s="936">
        <f t="shared" si="128"/>
        <v>102.40897809043055</v>
      </c>
      <c r="AY193" s="936">
        <f t="shared" si="129"/>
        <v>102.40897809043055</v>
      </c>
      <c r="AZ193" s="936">
        <f t="shared" si="130"/>
        <v>102.40897809043055</v>
      </c>
      <c r="BA193" s="936">
        <f t="shared" si="131"/>
        <v>102.40897809043055</v>
      </c>
      <c r="BB193" s="937">
        <f t="shared" si="132"/>
        <v>102.40897809043055</v>
      </c>
      <c r="BC193" s="938"/>
    </row>
    <row r="194" spans="2:55" s="934" customFormat="1" ht="15">
      <c r="B194" s="909">
        <v>2043</v>
      </c>
      <c r="C194" s="1218" t="s">
        <v>820</v>
      </c>
      <c r="D194" s="932">
        <v>0</v>
      </c>
      <c r="E194" s="932">
        <v>0</v>
      </c>
      <c r="F194" s="932">
        <v>0</v>
      </c>
      <c r="G194" s="932">
        <v>0</v>
      </c>
      <c r="H194" s="932">
        <v>0</v>
      </c>
      <c r="I194" s="932">
        <v>0</v>
      </c>
      <c r="J194" s="932">
        <v>0</v>
      </c>
      <c r="K194" s="932">
        <v>0</v>
      </c>
      <c r="L194" s="932">
        <v>6.2111215294459718</v>
      </c>
      <c r="M194" s="932">
        <v>18.633364588337916</v>
      </c>
      <c r="N194" s="932">
        <v>31.055607647229856</v>
      </c>
      <c r="O194" s="932">
        <v>43.477850706121799</v>
      </c>
      <c r="P194" s="932">
        <v>62.111215294459704</v>
      </c>
      <c r="Q194" s="932">
        <v>62.111215294459704</v>
      </c>
      <c r="R194" s="932">
        <v>62.111215294459704</v>
      </c>
      <c r="S194" s="932">
        <v>62.111215294459704</v>
      </c>
      <c r="T194" s="932">
        <v>62.111215294459704</v>
      </c>
      <c r="U194" s="932">
        <v>62.111215294459704</v>
      </c>
      <c r="V194" s="932">
        <v>62.111215294459704</v>
      </c>
      <c r="W194" s="932">
        <v>62.111215294459704</v>
      </c>
      <c r="X194" s="932">
        <v>62.111215294459704</v>
      </c>
      <c r="Y194" s="932">
        <v>62.111215294459704</v>
      </c>
      <c r="Z194" s="932">
        <v>62.111215294459704</v>
      </c>
      <c r="AA194" s="932">
        <v>62.111215294459704</v>
      </c>
      <c r="AB194" s="933">
        <v>62.111215294459704</v>
      </c>
      <c r="AD194" s="935">
        <f t="shared" si="108"/>
        <v>0</v>
      </c>
      <c r="AE194" s="936">
        <f t="shared" si="109"/>
        <v>0</v>
      </c>
      <c r="AF194" s="936">
        <f t="shared" si="110"/>
        <v>0</v>
      </c>
      <c r="AG194" s="936">
        <f t="shared" si="111"/>
        <v>0</v>
      </c>
      <c r="AH194" s="936">
        <f t="shared" si="112"/>
        <v>0</v>
      </c>
      <c r="AI194" s="936">
        <f t="shared" si="113"/>
        <v>0</v>
      </c>
      <c r="AJ194" s="936">
        <f t="shared" si="114"/>
        <v>0</v>
      </c>
      <c r="AK194" s="936">
        <f t="shared" si="115"/>
        <v>0</v>
      </c>
      <c r="AL194" s="936">
        <f t="shared" si="116"/>
        <v>10.561317389043113</v>
      </c>
      <c r="AM194" s="936">
        <f t="shared" si="117"/>
        <v>31.683952167129341</v>
      </c>
      <c r="AN194" s="936">
        <f t="shared" si="118"/>
        <v>52.806586945215557</v>
      </c>
      <c r="AO194" s="936">
        <f t="shared" si="119"/>
        <v>73.929221723301779</v>
      </c>
      <c r="AP194" s="936">
        <f t="shared" si="120"/>
        <v>105.61317389043111</v>
      </c>
      <c r="AQ194" s="936">
        <f t="shared" si="121"/>
        <v>105.61317389043111</v>
      </c>
      <c r="AR194" s="936">
        <f t="shared" si="122"/>
        <v>105.61317389043111</v>
      </c>
      <c r="AS194" s="936">
        <f t="shared" si="123"/>
        <v>105.61317389043111</v>
      </c>
      <c r="AT194" s="936">
        <f t="shared" si="124"/>
        <v>105.61317389043111</v>
      </c>
      <c r="AU194" s="936">
        <f t="shared" si="125"/>
        <v>105.61317389043111</v>
      </c>
      <c r="AV194" s="936">
        <f t="shared" si="126"/>
        <v>105.61317389043111</v>
      </c>
      <c r="AW194" s="936">
        <f t="shared" si="127"/>
        <v>105.61317389043111</v>
      </c>
      <c r="AX194" s="936">
        <f t="shared" si="128"/>
        <v>105.61317389043111</v>
      </c>
      <c r="AY194" s="936">
        <f t="shared" si="129"/>
        <v>105.61317389043111</v>
      </c>
      <c r="AZ194" s="936">
        <f t="shared" si="130"/>
        <v>105.61317389043111</v>
      </c>
      <c r="BA194" s="936">
        <f t="shared" si="131"/>
        <v>105.61317389043111</v>
      </c>
      <c r="BB194" s="937">
        <f t="shared" si="132"/>
        <v>105.61317389043111</v>
      </c>
      <c r="BC194" s="938"/>
    </row>
    <row r="195" spans="2:55" s="934" customFormat="1" ht="15">
      <c r="B195" s="909">
        <v>2044</v>
      </c>
      <c r="C195" s="1218" t="s">
        <v>821</v>
      </c>
      <c r="D195" s="932">
        <v>0</v>
      </c>
      <c r="E195" s="932">
        <v>0</v>
      </c>
      <c r="F195" s="932">
        <v>0</v>
      </c>
      <c r="G195" s="932">
        <v>0</v>
      </c>
      <c r="H195" s="932">
        <v>0</v>
      </c>
      <c r="I195" s="932">
        <v>0</v>
      </c>
      <c r="J195" s="932">
        <v>0</v>
      </c>
      <c r="K195" s="932">
        <v>0</v>
      </c>
      <c r="L195" s="932">
        <v>0</v>
      </c>
      <c r="M195" s="932">
        <v>6.4054565368744214</v>
      </c>
      <c r="N195" s="932">
        <v>19.216369610623264</v>
      </c>
      <c r="O195" s="932">
        <v>32.027282684372103</v>
      </c>
      <c r="P195" s="932">
        <v>44.838195758120946</v>
      </c>
      <c r="Q195" s="932">
        <v>64.054565368744193</v>
      </c>
      <c r="R195" s="932">
        <v>64.054565368744193</v>
      </c>
      <c r="S195" s="932">
        <v>64.054565368744193</v>
      </c>
      <c r="T195" s="932">
        <v>64.054565368744193</v>
      </c>
      <c r="U195" s="932">
        <v>64.054565368744193</v>
      </c>
      <c r="V195" s="932">
        <v>64.054565368744193</v>
      </c>
      <c r="W195" s="932">
        <v>64.054565368744193</v>
      </c>
      <c r="X195" s="932">
        <v>64.054565368744193</v>
      </c>
      <c r="Y195" s="932">
        <v>64.054565368744193</v>
      </c>
      <c r="Z195" s="932">
        <v>64.054565368744193</v>
      </c>
      <c r="AA195" s="932">
        <v>64.054565368744193</v>
      </c>
      <c r="AB195" s="933">
        <v>64.054565368744193</v>
      </c>
      <c r="AD195" s="935">
        <f t="shared" si="108"/>
        <v>0</v>
      </c>
      <c r="AE195" s="936">
        <f t="shared" si="109"/>
        <v>0</v>
      </c>
      <c r="AF195" s="936">
        <f t="shared" si="110"/>
        <v>0</v>
      </c>
      <c r="AG195" s="936">
        <f t="shared" si="111"/>
        <v>0</v>
      </c>
      <c r="AH195" s="936">
        <f t="shared" si="112"/>
        <v>0</v>
      </c>
      <c r="AI195" s="936">
        <f t="shared" si="113"/>
        <v>0</v>
      </c>
      <c r="AJ195" s="936">
        <f t="shared" si="114"/>
        <v>0</v>
      </c>
      <c r="AK195" s="936">
        <f t="shared" si="115"/>
        <v>0</v>
      </c>
      <c r="AL195" s="936">
        <f t="shared" si="116"/>
        <v>0</v>
      </c>
      <c r="AM195" s="936">
        <f t="shared" si="117"/>
        <v>10.891762330995004</v>
      </c>
      <c r="AN195" s="936">
        <f t="shared" si="118"/>
        <v>32.675286992985008</v>
      </c>
      <c r="AO195" s="936">
        <f t="shared" si="119"/>
        <v>54.458811654975015</v>
      </c>
      <c r="AP195" s="936">
        <f t="shared" si="120"/>
        <v>76.242336316965009</v>
      </c>
      <c r="AQ195" s="936">
        <f t="shared" si="121"/>
        <v>108.91762330994999</v>
      </c>
      <c r="AR195" s="936">
        <f t="shared" si="122"/>
        <v>108.91762330994999</v>
      </c>
      <c r="AS195" s="936">
        <f t="shared" si="123"/>
        <v>108.91762330994999</v>
      </c>
      <c r="AT195" s="936">
        <f t="shared" si="124"/>
        <v>108.91762330994999</v>
      </c>
      <c r="AU195" s="936">
        <f t="shared" si="125"/>
        <v>108.91762330994999</v>
      </c>
      <c r="AV195" s="936">
        <f t="shared" si="126"/>
        <v>108.91762330994999</v>
      </c>
      <c r="AW195" s="936">
        <f t="shared" si="127"/>
        <v>108.91762330994999</v>
      </c>
      <c r="AX195" s="936">
        <f t="shared" si="128"/>
        <v>108.91762330994999</v>
      </c>
      <c r="AY195" s="936">
        <f t="shared" si="129"/>
        <v>108.91762330994999</v>
      </c>
      <c r="AZ195" s="936">
        <f t="shared" si="130"/>
        <v>108.91762330994999</v>
      </c>
      <c r="BA195" s="936">
        <f t="shared" si="131"/>
        <v>108.91762330994999</v>
      </c>
      <c r="BB195" s="937">
        <f t="shared" si="132"/>
        <v>108.91762330994999</v>
      </c>
      <c r="BC195" s="938"/>
    </row>
    <row r="196" spans="2:55" s="934" customFormat="1" ht="15">
      <c r="B196" s="909">
        <v>2045</v>
      </c>
      <c r="C196" s="1218" t="s">
        <v>822</v>
      </c>
      <c r="D196" s="932">
        <v>0</v>
      </c>
      <c r="E196" s="932">
        <v>0</v>
      </c>
      <c r="F196" s="932">
        <v>0</v>
      </c>
      <c r="G196" s="932">
        <v>0</v>
      </c>
      <c r="H196" s="932">
        <v>0</v>
      </c>
      <c r="I196" s="932">
        <v>0</v>
      </c>
      <c r="J196" s="932">
        <v>0</v>
      </c>
      <c r="K196" s="932">
        <v>0</v>
      </c>
      <c r="L196" s="932">
        <v>0</v>
      </c>
      <c r="M196" s="932">
        <v>0</v>
      </c>
      <c r="N196" s="932">
        <v>6.605871942976953</v>
      </c>
      <c r="O196" s="932">
        <v>19.817615828930862</v>
      </c>
      <c r="P196" s="932">
        <v>33.029359714884762</v>
      </c>
      <c r="Q196" s="932">
        <v>46.24110360083867</v>
      </c>
      <c r="R196" s="932">
        <v>66.058719429769511</v>
      </c>
      <c r="S196" s="932">
        <v>66.058719429769511</v>
      </c>
      <c r="T196" s="932">
        <v>66.058719429769511</v>
      </c>
      <c r="U196" s="932">
        <v>66.058719429769511</v>
      </c>
      <c r="V196" s="932">
        <v>66.058719429769511</v>
      </c>
      <c r="W196" s="932">
        <v>66.058719429769511</v>
      </c>
      <c r="X196" s="932">
        <v>66.058719429769511</v>
      </c>
      <c r="Y196" s="932">
        <v>66.058719429769511</v>
      </c>
      <c r="Z196" s="932">
        <v>66.058719429769511</v>
      </c>
      <c r="AA196" s="932">
        <v>66.058719429769511</v>
      </c>
      <c r="AB196" s="933">
        <v>66.058719429769511</v>
      </c>
      <c r="AD196" s="935">
        <f t="shared" si="108"/>
        <v>0</v>
      </c>
      <c r="AE196" s="936">
        <f t="shared" si="109"/>
        <v>0</v>
      </c>
      <c r="AF196" s="936">
        <f t="shared" si="110"/>
        <v>0</v>
      </c>
      <c r="AG196" s="936">
        <f t="shared" si="111"/>
        <v>0</v>
      </c>
      <c r="AH196" s="936">
        <f t="shared" si="112"/>
        <v>0</v>
      </c>
      <c r="AI196" s="936">
        <f t="shared" si="113"/>
        <v>0</v>
      </c>
      <c r="AJ196" s="936">
        <f t="shared" si="114"/>
        <v>0</v>
      </c>
      <c r="AK196" s="936">
        <f t="shared" si="115"/>
        <v>0</v>
      </c>
      <c r="AL196" s="936">
        <f t="shared" si="116"/>
        <v>0</v>
      </c>
      <c r="AM196" s="936">
        <f t="shared" si="117"/>
        <v>0</v>
      </c>
      <c r="AN196" s="936">
        <f t="shared" si="118"/>
        <v>11.232546310742956</v>
      </c>
      <c r="AO196" s="936">
        <f t="shared" si="119"/>
        <v>33.697638932228877</v>
      </c>
      <c r="AP196" s="936">
        <f t="shared" si="120"/>
        <v>56.162731553714785</v>
      </c>
      <c r="AQ196" s="936">
        <f t="shared" si="121"/>
        <v>78.627824175200701</v>
      </c>
      <c r="AR196" s="936">
        <f t="shared" si="122"/>
        <v>112.32546310742953</v>
      </c>
      <c r="AS196" s="936">
        <f t="shared" si="123"/>
        <v>112.32546310742953</v>
      </c>
      <c r="AT196" s="936">
        <f t="shared" si="124"/>
        <v>112.32546310742953</v>
      </c>
      <c r="AU196" s="936">
        <f t="shared" si="125"/>
        <v>112.32546310742953</v>
      </c>
      <c r="AV196" s="936">
        <f t="shared" si="126"/>
        <v>112.32546310742953</v>
      </c>
      <c r="AW196" s="936">
        <f t="shared" si="127"/>
        <v>112.32546310742953</v>
      </c>
      <c r="AX196" s="936">
        <f t="shared" si="128"/>
        <v>112.32546310742953</v>
      </c>
      <c r="AY196" s="936">
        <f t="shared" si="129"/>
        <v>112.32546310742953</v>
      </c>
      <c r="AZ196" s="936">
        <f t="shared" si="130"/>
        <v>112.32546310742953</v>
      </c>
      <c r="BA196" s="936">
        <f t="shared" si="131"/>
        <v>112.32546310742953</v>
      </c>
      <c r="BB196" s="937">
        <f t="shared" si="132"/>
        <v>112.32546310742953</v>
      </c>
      <c r="BC196" s="938"/>
    </row>
    <row r="197" spans="2:55" s="934" customFormat="1" ht="15">
      <c r="B197" s="909">
        <v>2046</v>
      </c>
      <c r="C197" s="1218" t="s">
        <v>823</v>
      </c>
      <c r="D197" s="932">
        <v>0</v>
      </c>
      <c r="E197" s="932">
        <v>0</v>
      </c>
      <c r="F197" s="932">
        <v>0</v>
      </c>
      <c r="G197" s="932">
        <v>0</v>
      </c>
      <c r="H197" s="932">
        <v>0</v>
      </c>
      <c r="I197" s="932">
        <v>0</v>
      </c>
      <c r="J197" s="932">
        <v>0</v>
      </c>
      <c r="K197" s="932">
        <v>0</v>
      </c>
      <c r="L197" s="932">
        <v>0</v>
      </c>
      <c r="M197" s="932">
        <v>0</v>
      </c>
      <c r="N197" s="932">
        <v>0</v>
      </c>
      <c r="O197" s="932">
        <v>6.8125579926740558</v>
      </c>
      <c r="P197" s="932">
        <v>20.437673978022168</v>
      </c>
      <c r="Q197" s="932">
        <v>34.062789963370278</v>
      </c>
      <c r="R197" s="932">
        <v>47.687905948718395</v>
      </c>
      <c r="S197" s="932">
        <v>68.125579926740542</v>
      </c>
      <c r="T197" s="932">
        <v>68.125579926740542</v>
      </c>
      <c r="U197" s="932">
        <v>68.125579926740542</v>
      </c>
      <c r="V197" s="932">
        <v>68.125579926740542</v>
      </c>
      <c r="W197" s="932">
        <v>68.125579926740542</v>
      </c>
      <c r="X197" s="932">
        <v>68.125579926740542</v>
      </c>
      <c r="Y197" s="932">
        <v>68.125579926740542</v>
      </c>
      <c r="Z197" s="932">
        <v>68.125579926740542</v>
      </c>
      <c r="AA197" s="932">
        <v>68.125579926740542</v>
      </c>
      <c r="AB197" s="933">
        <v>68.125579926740542</v>
      </c>
      <c r="AD197" s="935">
        <f t="shared" si="108"/>
        <v>0</v>
      </c>
      <c r="AE197" s="936">
        <f t="shared" si="109"/>
        <v>0</v>
      </c>
      <c r="AF197" s="936">
        <f t="shared" si="110"/>
        <v>0</v>
      </c>
      <c r="AG197" s="936">
        <f t="shared" si="111"/>
        <v>0</v>
      </c>
      <c r="AH197" s="936">
        <f t="shared" si="112"/>
        <v>0</v>
      </c>
      <c r="AI197" s="936">
        <f t="shared" si="113"/>
        <v>0</v>
      </c>
      <c r="AJ197" s="936">
        <f t="shared" si="114"/>
        <v>0</v>
      </c>
      <c r="AK197" s="936">
        <f t="shared" si="115"/>
        <v>0</v>
      </c>
      <c r="AL197" s="936">
        <f t="shared" si="116"/>
        <v>0</v>
      </c>
      <c r="AM197" s="936">
        <f t="shared" si="117"/>
        <v>0</v>
      </c>
      <c r="AN197" s="936">
        <f t="shared" si="118"/>
        <v>0</v>
      </c>
      <c r="AO197" s="936">
        <f t="shared" si="119"/>
        <v>11.583992818493602</v>
      </c>
      <c r="AP197" s="936">
        <f t="shared" si="120"/>
        <v>34.75197845548081</v>
      </c>
      <c r="AQ197" s="936">
        <f t="shared" si="121"/>
        <v>57.919964092468014</v>
      </c>
      <c r="AR197" s="936">
        <f t="shared" si="122"/>
        <v>81.087949729455232</v>
      </c>
      <c r="AS197" s="936">
        <f t="shared" si="123"/>
        <v>115.839928184936</v>
      </c>
      <c r="AT197" s="936">
        <f t="shared" si="124"/>
        <v>115.839928184936</v>
      </c>
      <c r="AU197" s="936">
        <f t="shared" si="125"/>
        <v>115.839928184936</v>
      </c>
      <c r="AV197" s="936">
        <f t="shared" si="126"/>
        <v>115.839928184936</v>
      </c>
      <c r="AW197" s="936">
        <f t="shared" si="127"/>
        <v>115.839928184936</v>
      </c>
      <c r="AX197" s="936">
        <f t="shared" si="128"/>
        <v>115.839928184936</v>
      </c>
      <c r="AY197" s="936">
        <f t="shared" si="129"/>
        <v>115.839928184936</v>
      </c>
      <c r="AZ197" s="936">
        <f t="shared" si="130"/>
        <v>115.839928184936</v>
      </c>
      <c r="BA197" s="936">
        <f t="shared" si="131"/>
        <v>115.839928184936</v>
      </c>
      <c r="BB197" s="937">
        <f t="shared" si="132"/>
        <v>115.839928184936</v>
      </c>
      <c r="BC197" s="938"/>
    </row>
    <row r="198" spans="2:55" s="934" customFormat="1" ht="15">
      <c r="B198" s="909">
        <v>2047</v>
      </c>
      <c r="C198" s="1218" t="s">
        <v>824</v>
      </c>
      <c r="D198" s="932">
        <v>0</v>
      </c>
      <c r="E198" s="932">
        <v>0</v>
      </c>
      <c r="F198" s="932">
        <v>0</v>
      </c>
      <c r="G198" s="932">
        <v>0</v>
      </c>
      <c r="H198" s="932">
        <v>0</v>
      </c>
      <c r="I198" s="932">
        <v>0</v>
      </c>
      <c r="J198" s="932">
        <v>0</v>
      </c>
      <c r="K198" s="932">
        <v>0</v>
      </c>
      <c r="L198" s="932">
        <v>0</v>
      </c>
      <c r="M198" s="932">
        <v>0</v>
      </c>
      <c r="N198" s="932">
        <v>0</v>
      </c>
      <c r="O198" s="932">
        <v>0</v>
      </c>
      <c r="P198" s="932">
        <v>7.0257108833132991</v>
      </c>
      <c r="Q198" s="932">
        <v>21.077132649939898</v>
      </c>
      <c r="R198" s="932">
        <v>35.128554416566494</v>
      </c>
      <c r="S198" s="932">
        <v>49.179976183193098</v>
      </c>
      <c r="T198" s="932">
        <v>70.257108833132975</v>
      </c>
      <c r="U198" s="932">
        <v>70.257108833132975</v>
      </c>
      <c r="V198" s="932">
        <v>70.257108833132975</v>
      </c>
      <c r="W198" s="932">
        <v>70.257108833132975</v>
      </c>
      <c r="X198" s="932">
        <v>70.257108833132975</v>
      </c>
      <c r="Y198" s="932">
        <v>70.257108833132975</v>
      </c>
      <c r="Z198" s="932">
        <v>70.257108833132975</v>
      </c>
      <c r="AA198" s="932">
        <v>70.257108833132975</v>
      </c>
      <c r="AB198" s="933">
        <v>70.257108833132975</v>
      </c>
      <c r="AD198" s="935">
        <f t="shared" si="108"/>
        <v>0</v>
      </c>
      <c r="AE198" s="936">
        <f t="shared" si="109"/>
        <v>0</v>
      </c>
      <c r="AF198" s="936">
        <f t="shared" si="110"/>
        <v>0</v>
      </c>
      <c r="AG198" s="936">
        <f t="shared" si="111"/>
        <v>0</v>
      </c>
      <c r="AH198" s="936">
        <f t="shared" si="112"/>
        <v>0</v>
      </c>
      <c r="AI198" s="936">
        <f t="shared" si="113"/>
        <v>0</v>
      </c>
      <c r="AJ198" s="936">
        <f t="shared" si="114"/>
        <v>0</v>
      </c>
      <c r="AK198" s="936">
        <f t="shared" si="115"/>
        <v>0</v>
      </c>
      <c r="AL198" s="936">
        <f t="shared" si="116"/>
        <v>0</v>
      </c>
      <c r="AM198" s="936">
        <f t="shared" si="117"/>
        <v>0</v>
      </c>
      <c r="AN198" s="936">
        <f t="shared" si="118"/>
        <v>0</v>
      </c>
      <c r="AO198" s="936">
        <f t="shared" si="119"/>
        <v>0</v>
      </c>
      <c r="AP198" s="936">
        <f t="shared" si="120"/>
        <v>11.946435465889982</v>
      </c>
      <c r="AQ198" s="936">
        <f t="shared" si="121"/>
        <v>35.839306397669951</v>
      </c>
      <c r="AR198" s="936">
        <f t="shared" si="122"/>
        <v>59.732177329449911</v>
      </c>
      <c r="AS198" s="936">
        <f t="shared" si="123"/>
        <v>83.625048261229878</v>
      </c>
      <c r="AT198" s="936">
        <f t="shared" si="124"/>
        <v>119.46435465889981</v>
      </c>
      <c r="AU198" s="936">
        <f t="shared" si="125"/>
        <v>119.46435465889981</v>
      </c>
      <c r="AV198" s="936">
        <f t="shared" si="126"/>
        <v>119.46435465889981</v>
      </c>
      <c r="AW198" s="936">
        <f t="shared" si="127"/>
        <v>119.46435465889981</v>
      </c>
      <c r="AX198" s="936">
        <f t="shared" si="128"/>
        <v>119.46435465889981</v>
      </c>
      <c r="AY198" s="936">
        <f t="shared" si="129"/>
        <v>119.46435465889981</v>
      </c>
      <c r="AZ198" s="936">
        <f t="shared" si="130"/>
        <v>119.46435465889981</v>
      </c>
      <c r="BA198" s="936">
        <f t="shared" si="131"/>
        <v>119.46435465889981</v>
      </c>
      <c r="BB198" s="937">
        <f t="shared" si="132"/>
        <v>119.46435465889981</v>
      </c>
      <c r="BC198" s="938"/>
    </row>
    <row r="199" spans="2:55" s="934" customFormat="1" ht="15">
      <c r="B199" s="909">
        <v>2048</v>
      </c>
      <c r="C199" s="1218" t="s">
        <v>825</v>
      </c>
      <c r="D199" s="932">
        <v>0</v>
      </c>
      <c r="E199" s="932">
        <v>0</v>
      </c>
      <c r="F199" s="932">
        <v>0</v>
      </c>
      <c r="G199" s="932">
        <v>0</v>
      </c>
      <c r="H199" s="932">
        <v>0</v>
      </c>
      <c r="I199" s="932">
        <v>0</v>
      </c>
      <c r="J199" s="932">
        <v>0</v>
      </c>
      <c r="K199" s="932">
        <v>0</v>
      </c>
      <c r="L199" s="932">
        <v>0</v>
      </c>
      <c r="M199" s="932">
        <v>0</v>
      </c>
      <c r="N199" s="932">
        <v>0</v>
      </c>
      <c r="O199" s="932">
        <v>0</v>
      </c>
      <c r="P199" s="932">
        <v>0</v>
      </c>
      <c r="Q199" s="932">
        <v>7.2455329509102633</v>
      </c>
      <c r="R199" s="932">
        <v>21.73659885273079</v>
      </c>
      <c r="S199" s="932">
        <v>36.227664754551313</v>
      </c>
      <c r="T199" s="932">
        <v>50.718730656371839</v>
      </c>
      <c r="U199" s="932">
        <v>72.455329509102611</v>
      </c>
      <c r="V199" s="932">
        <v>72.455329509102611</v>
      </c>
      <c r="W199" s="932">
        <v>72.455329509102611</v>
      </c>
      <c r="X199" s="932">
        <v>72.455329509102611</v>
      </c>
      <c r="Y199" s="932">
        <v>72.455329509102611</v>
      </c>
      <c r="Z199" s="932">
        <v>72.455329509102611</v>
      </c>
      <c r="AA199" s="932">
        <v>72.455329509102611</v>
      </c>
      <c r="AB199" s="933">
        <v>72.455329509102611</v>
      </c>
      <c r="AD199" s="935">
        <f t="shared" si="108"/>
        <v>0</v>
      </c>
      <c r="AE199" s="936">
        <f t="shared" si="109"/>
        <v>0</v>
      </c>
      <c r="AF199" s="936">
        <f t="shared" si="110"/>
        <v>0</v>
      </c>
      <c r="AG199" s="936">
        <f t="shared" si="111"/>
        <v>0</v>
      </c>
      <c r="AH199" s="936">
        <f t="shared" si="112"/>
        <v>0</v>
      </c>
      <c r="AI199" s="936">
        <f t="shared" si="113"/>
        <v>0</v>
      </c>
      <c r="AJ199" s="936">
        <f t="shared" si="114"/>
        <v>0</v>
      </c>
      <c r="AK199" s="936">
        <f t="shared" si="115"/>
        <v>0</v>
      </c>
      <c r="AL199" s="936">
        <f t="shared" si="116"/>
        <v>0</v>
      </c>
      <c r="AM199" s="936">
        <f t="shared" si="117"/>
        <v>0</v>
      </c>
      <c r="AN199" s="936">
        <f t="shared" si="118"/>
        <v>0</v>
      </c>
      <c r="AO199" s="936">
        <f t="shared" si="119"/>
        <v>0</v>
      </c>
      <c r="AP199" s="936">
        <f t="shared" si="120"/>
        <v>0</v>
      </c>
      <c r="AQ199" s="936">
        <f t="shared" si="121"/>
        <v>12.320218302693423</v>
      </c>
      <c r="AR199" s="936">
        <f t="shared" si="122"/>
        <v>36.960654908080265</v>
      </c>
      <c r="AS199" s="936">
        <f t="shared" si="123"/>
        <v>61.601091513467111</v>
      </c>
      <c r="AT199" s="936">
        <f t="shared" si="124"/>
        <v>86.24152811885395</v>
      </c>
      <c r="AU199" s="936">
        <f t="shared" si="125"/>
        <v>123.20218302693418</v>
      </c>
      <c r="AV199" s="936">
        <f t="shared" si="126"/>
        <v>123.20218302693418</v>
      </c>
      <c r="AW199" s="936">
        <f t="shared" si="127"/>
        <v>123.20218302693418</v>
      </c>
      <c r="AX199" s="936">
        <f t="shared" si="128"/>
        <v>123.20218302693418</v>
      </c>
      <c r="AY199" s="936">
        <f t="shared" si="129"/>
        <v>123.20218302693418</v>
      </c>
      <c r="AZ199" s="936">
        <f t="shared" si="130"/>
        <v>123.20218302693418</v>
      </c>
      <c r="BA199" s="936">
        <f t="shared" si="131"/>
        <v>123.20218302693418</v>
      </c>
      <c r="BB199" s="937">
        <f t="shared" si="132"/>
        <v>123.20218302693418</v>
      </c>
      <c r="BC199" s="938"/>
    </row>
    <row r="200" spans="2:55" s="934" customFormat="1" ht="15">
      <c r="B200" s="909">
        <v>2049</v>
      </c>
      <c r="C200" s="1218" t="s">
        <v>826</v>
      </c>
      <c r="D200" s="932">
        <v>0</v>
      </c>
      <c r="E200" s="932">
        <v>0</v>
      </c>
      <c r="F200" s="932">
        <v>0</v>
      </c>
      <c r="G200" s="932">
        <v>0</v>
      </c>
      <c r="H200" s="932">
        <v>0</v>
      </c>
      <c r="I200" s="932">
        <v>0</v>
      </c>
      <c r="J200" s="932">
        <v>0</v>
      </c>
      <c r="K200" s="932">
        <v>0</v>
      </c>
      <c r="L200" s="932">
        <v>0</v>
      </c>
      <c r="M200" s="932">
        <v>0</v>
      </c>
      <c r="N200" s="932">
        <v>0</v>
      </c>
      <c r="O200" s="932">
        <v>0</v>
      </c>
      <c r="P200" s="932">
        <v>0</v>
      </c>
      <c r="Q200" s="932">
        <v>0</v>
      </c>
      <c r="R200" s="932">
        <v>7.4722328622165897</v>
      </c>
      <c r="S200" s="932">
        <v>22.416698586649769</v>
      </c>
      <c r="T200" s="932">
        <v>37.361164311082945</v>
      </c>
      <c r="U200" s="932">
        <v>52.305630035516131</v>
      </c>
      <c r="V200" s="932">
        <v>74.722328622165875</v>
      </c>
      <c r="W200" s="932">
        <v>74.722328622165875</v>
      </c>
      <c r="X200" s="932">
        <v>74.722328622165875</v>
      </c>
      <c r="Y200" s="932">
        <v>74.722328622165875</v>
      </c>
      <c r="Z200" s="932">
        <v>74.722328622165875</v>
      </c>
      <c r="AA200" s="932">
        <v>74.722328622165875</v>
      </c>
      <c r="AB200" s="933">
        <v>74.722328622165875</v>
      </c>
      <c r="AD200" s="935">
        <f t="shared" si="108"/>
        <v>0</v>
      </c>
      <c r="AE200" s="936">
        <f t="shared" si="109"/>
        <v>0</v>
      </c>
      <c r="AF200" s="936">
        <f t="shared" si="110"/>
        <v>0</v>
      </c>
      <c r="AG200" s="936">
        <f t="shared" si="111"/>
        <v>0</v>
      </c>
      <c r="AH200" s="936">
        <f t="shared" si="112"/>
        <v>0</v>
      </c>
      <c r="AI200" s="936">
        <f t="shared" si="113"/>
        <v>0</v>
      </c>
      <c r="AJ200" s="936">
        <f t="shared" si="114"/>
        <v>0</v>
      </c>
      <c r="AK200" s="936">
        <f t="shared" si="115"/>
        <v>0</v>
      </c>
      <c r="AL200" s="936">
        <f t="shared" si="116"/>
        <v>0</v>
      </c>
      <c r="AM200" s="936">
        <f t="shared" si="117"/>
        <v>0</v>
      </c>
      <c r="AN200" s="936">
        <f t="shared" si="118"/>
        <v>0</v>
      </c>
      <c r="AO200" s="936">
        <f t="shared" si="119"/>
        <v>0</v>
      </c>
      <c r="AP200" s="936">
        <f t="shared" si="120"/>
        <v>0</v>
      </c>
      <c r="AQ200" s="936">
        <f t="shared" si="121"/>
        <v>0</v>
      </c>
      <c r="AR200" s="936">
        <f t="shared" si="122"/>
        <v>12.705696143373766</v>
      </c>
      <c r="AS200" s="936">
        <f t="shared" si="123"/>
        <v>38.117088430121299</v>
      </c>
      <c r="AT200" s="936">
        <f t="shared" si="124"/>
        <v>63.528480716868827</v>
      </c>
      <c r="AU200" s="936">
        <f t="shared" si="125"/>
        <v>88.93987300361637</v>
      </c>
      <c r="AV200" s="936">
        <f t="shared" si="126"/>
        <v>127.05696143373763</v>
      </c>
      <c r="AW200" s="936">
        <f t="shared" si="127"/>
        <v>127.05696143373763</v>
      </c>
      <c r="AX200" s="936">
        <f t="shared" si="128"/>
        <v>127.05696143373763</v>
      </c>
      <c r="AY200" s="936">
        <f t="shared" si="129"/>
        <v>127.05696143373763</v>
      </c>
      <c r="AZ200" s="936">
        <f t="shared" si="130"/>
        <v>127.05696143373763</v>
      </c>
      <c r="BA200" s="936">
        <f t="shared" si="131"/>
        <v>127.05696143373763</v>
      </c>
      <c r="BB200" s="937">
        <f t="shared" si="132"/>
        <v>127.05696143373763</v>
      </c>
      <c r="BC200" s="938"/>
    </row>
    <row r="201" spans="2:55" s="934" customFormat="1" ht="15">
      <c r="B201" s="916">
        <v>2050</v>
      </c>
      <c r="C201" s="1219" t="s">
        <v>827</v>
      </c>
      <c r="D201" s="932">
        <v>0</v>
      </c>
      <c r="E201" s="932">
        <v>0</v>
      </c>
      <c r="F201" s="932">
        <v>0</v>
      </c>
      <c r="G201" s="932">
        <v>0</v>
      </c>
      <c r="H201" s="932">
        <v>0</v>
      </c>
      <c r="I201" s="932">
        <v>0</v>
      </c>
      <c r="J201" s="932">
        <v>0</v>
      </c>
      <c r="K201" s="932">
        <v>0</v>
      </c>
      <c r="L201" s="932">
        <v>0</v>
      </c>
      <c r="M201" s="932">
        <v>0</v>
      </c>
      <c r="N201" s="932">
        <v>0</v>
      </c>
      <c r="O201" s="932">
        <v>0</v>
      </c>
      <c r="P201" s="932">
        <v>0</v>
      </c>
      <c r="Q201" s="932">
        <v>0</v>
      </c>
      <c r="R201" s="932">
        <v>0</v>
      </c>
      <c r="S201" s="932">
        <v>7.7060258127975274</v>
      </c>
      <c r="T201" s="932">
        <v>23.118077438392586</v>
      </c>
      <c r="U201" s="932">
        <v>38.530129063987637</v>
      </c>
      <c r="V201" s="932">
        <v>53.942180689582699</v>
      </c>
      <c r="W201" s="932">
        <v>77.06025812797526</v>
      </c>
      <c r="X201" s="932">
        <v>77.06025812797526</v>
      </c>
      <c r="Y201" s="932">
        <v>77.06025812797526</v>
      </c>
      <c r="Z201" s="932">
        <v>77.06025812797526</v>
      </c>
      <c r="AA201" s="932">
        <v>77.06025812797526</v>
      </c>
      <c r="AB201" s="933">
        <v>77.06025812797526</v>
      </c>
      <c r="AD201" s="935">
        <f t="shared" si="108"/>
        <v>0</v>
      </c>
      <c r="AE201" s="936">
        <f t="shared" si="109"/>
        <v>0</v>
      </c>
      <c r="AF201" s="936">
        <f t="shared" si="110"/>
        <v>0</v>
      </c>
      <c r="AG201" s="936">
        <f t="shared" si="111"/>
        <v>0</v>
      </c>
      <c r="AH201" s="936">
        <f t="shared" si="112"/>
        <v>0</v>
      </c>
      <c r="AI201" s="936">
        <f t="shared" si="113"/>
        <v>0</v>
      </c>
      <c r="AJ201" s="936">
        <f t="shared" si="114"/>
        <v>0</v>
      </c>
      <c r="AK201" s="936">
        <f t="shared" si="115"/>
        <v>0</v>
      </c>
      <c r="AL201" s="936">
        <f t="shared" si="116"/>
        <v>0</v>
      </c>
      <c r="AM201" s="936">
        <f t="shared" si="117"/>
        <v>0</v>
      </c>
      <c r="AN201" s="936">
        <f t="shared" si="118"/>
        <v>0</v>
      </c>
      <c r="AO201" s="936">
        <f t="shared" si="119"/>
        <v>0</v>
      </c>
      <c r="AP201" s="936">
        <f t="shared" si="120"/>
        <v>0</v>
      </c>
      <c r="AQ201" s="936">
        <f t="shared" si="121"/>
        <v>0</v>
      </c>
      <c r="AR201" s="936">
        <f t="shared" si="122"/>
        <v>0</v>
      </c>
      <c r="AS201" s="936">
        <f t="shared" si="123"/>
        <v>13.103234903918096</v>
      </c>
      <c r="AT201" s="936">
        <f t="shared" si="124"/>
        <v>39.309704711754293</v>
      </c>
      <c r="AU201" s="936">
        <f t="shared" si="125"/>
        <v>65.516174519590493</v>
      </c>
      <c r="AV201" s="936">
        <f t="shared" si="126"/>
        <v>91.722644327426693</v>
      </c>
      <c r="AW201" s="936">
        <f t="shared" si="127"/>
        <v>131.03234903918093</v>
      </c>
      <c r="AX201" s="936">
        <f t="shared" si="128"/>
        <v>131.03234903918093</v>
      </c>
      <c r="AY201" s="936">
        <f t="shared" si="129"/>
        <v>131.03234903918093</v>
      </c>
      <c r="AZ201" s="936">
        <f t="shared" si="130"/>
        <v>131.03234903918093</v>
      </c>
      <c r="BA201" s="936">
        <f t="shared" si="131"/>
        <v>131.03234903918093</v>
      </c>
      <c r="BB201" s="937">
        <f t="shared" si="132"/>
        <v>131.03234903918093</v>
      </c>
      <c r="BC201" s="938"/>
    </row>
    <row r="202" spans="2:55" s="934" customFormat="1" ht="15">
      <c r="B202" s="909" t="s">
        <v>830</v>
      </c>
      <c r="C202" s="931"/>
      <c r="D202" s="940">
        <f>NPV(realdiscrt3,D169:D201)/(1+realdiscrt3)^-Half_Year</f>
        <v>42.085975945165728</v>
      </c>
      <c r="E202" s="940">
        <f t="shared" ref="E202:AB202" si="133">NPV(realdiscrt3,E169:E201)/(1+realdiscrt3)^-Half_Year</f>
        <v>85.551474822646497</v>
      </c>
      <c r="F202" s="940">
        <f t="shared" si="133"/>
        <v>128.82048075783564</v>
      </c>
      <c r="G202" s="940">
        <f t="shared" si="133"/>
        <v>171.33140432914283</v>
      </c>
      <c r="H202" s="940">
        <f t="shared" si="133"/>
        <v>214.3455706561619</v>
      </c>
      <c r="I202" s="940">
        <f t="shared" si="133"/>
        <v>254.41085990087177</v>
      </c>
      <c r="J202" s="940">
        <f t="shared" si="133"/>
        <v>295.17369010511425</v>
      </c>
      <c r="K202" s="940">
        <f t="shared" si="133"/>
        <v>336.64620553140168</v>
      </c>
      <c r="L202" s="940">
        <f t="shared" si="133"/>
        <v>378.8407618751524</v>
      </c>
      <c r="M202" s="940">
        <f t="shared" si="133"/>
        <v>421.76992994575988</v>
      </c>
      <c r="N202" s="940">
        <f t="shared" si="133"/>
        <v>465.4464994117501</v>
      </c>
      <c r="O202" s="940">
        <f t="shared" si="133"/>
        <v>509.88348261114209</v>
      </c>
      <c r="P202" s="940">
        <f t="shared" si="133"/>
        <v>555.09411842814836</v>
      </c>
      <c r="Q202" s="940">
        <f t="shared" si="133"/>
        <v>601.09187623736727</v>
      </c>
      <c r="R202" s="940">
        <f t="shared" si="133"/>
        <v>647.8904599166458</v>
      </c>
      <c r="S202" s="940">
        <f t="shared" si="133"/>
        <v>695.50381192980615</v>
      </c>
      <c r="T202" s="940">
        <f t="shared" si="133"/>
        <v>738.89838835052501</v>
      </c>
      <c r="U202" s="940">
        <f t="shared" si="133"/>
        <v>772.95301071579149</v>
      </c>
      <c r="V202" s="940">
        <f t="shared" si="133"/>
        <v>797.50506942920276</v>
      </c>
      <c r="W202" s="940">
        <f t="shared" si="133"/>
        <v>812.38912384393745</v>
      </c>
      <c r="X202" s="940">
        <f t="shared" si="133"/>
        <v>812.38912384393745</v>
      </c>
      <c r="Y202" s="940">
        <f t="shared" si="133"/>
        <v>812.38912384393745</v>
      </c>
      <c r="Z202" s="940">
        <f t="shared" si="133"/>
        <v>812.38912384393745</v>
      </c>
      <c r="AA202" s="940">
        <f t="shared" si="133"/>
        <v>812.38912384393745</v>
      </c>
      <c r="AB202" s="940">
        <f t="shared" si="133"/>
        <v>812.38912384393745</v>
      </c>
      <c r="AD202" s="1478">
        <f t="shared" ref="AD202:BB202" si="134">NPV(realdiscrt3,AD177:AD201)/(1+realdiscrt3)^(2-Half_Year)</f>
        <v>77.62284491679506</v>
      </c>
      <c r="AE202" s="1478">
        <f t="shared" si="134"/>
        <v>157.79006458621018</v>
      </c>
      <c r="AF202" s="1478">
        <f t="shared" si="134"/>
        <v>237.59487514322592</v>
      </c>
      <c r="AG202" s="1478">
        <f t="shared" si="134"/>
        <v>316.00148811911788</v>
      </c>
      <c r="AH202" s="1478">
        <f t="shared" si="134"/>
        <v>395.33627570673843</v>
      </c>
      <c r="AI202" s="1478">
        <f t="shared" si="134"/>
        <v>469.23219147784187</v>
      </c>
      <c r="AJ202" s="1478">
        <f t="shared" si="134"/>
        <v>544.41464302503016</v>
      </c>
      <c r="AK202" s="1478">
        <f t="shared" si="134"/>
        <v>620.90602907340087</v>
      </c>
      <c r="AL202" s="1478">
        <f t="shared" si="134"/>
        <v>698.72913831224344</v>
      </c>
      <c r="AM202" s="1478">
        <f t="shared" si="134"/>
        <v>777.90715618436002</v>
      </c>
      <c r="AN202" s="1478">
        <f t="shared" si="134"/>
        <v>858.46367179358424</v>
      </c>
      <c r="AO202" s="1478">
        <f t="shared" si="134"/>
        <v>940.42268493256461</v>
      </c>
      <c r="AP202" s="1478">
        <f t="shared" si="134"/>
        <v>1023.8086132328988</v>
      </c>
      <c r="AQ202" s="1478">
        <f t="shared" si="134"/>
        <v>1108.6462994397555</v>
      </c>
      <c r="AR202" s="1478">
        <f t="shared" si="134"/>
        <v>1194.9610188131471</v>
      </c>
      <c r="AS202" s="1478">
        <f t="shared" si="134"/>
        <v>1282.7784866580594</v>
      </c>
      <c r="AT202" s="1478">
        <f t="shared" si="134"/>
        <v>1362.8148978398794</v>
      </c>
      <c r="AU202" s="1478">
        <f t="shared" si="134"/>
        <v>1425.6248151862953</v>
      </c>
      <c r="AV202" s="1478">
        <f t="shared" si="134"/>
        <v>1470.9083236020736</v>
      </c>
      <c r="AW202" s="1478">
        <f t="shared" si="134"/>
        <v>1498.3602864381835</v>
      </c>
      <c r="AX202" s="1478">
        <f t="shared" si="134"/>
        <v>1498.3602864381835</v>
      </c>
      <c r="AY202" s="1478">
        <f t="shared" si="134"/>
        <v>1498.3602864381835</v>
      </c>
      <c r="AZ202" s="1478">
        <f t="shared" si="134"/>
        <v>1498.3602864381835</v>
      </c>
      <c r="BA202" s="1478">
        <f t="shared" si="134"/>
        <v>1498.3602864381835</v>
      </c>
      <c r="BB202" s="1478">
        <f t="shared" si="134"/>
        <v>1498.3602864381835</v>
      </c>
      <c r="BC202" s="938"/>
    </row>
    <row r="203" spans="2:55" s="934" customFormat="1" ht="15" hidden="1">
      <c r="B203" s="941"/>
      <c r="C203" s="931"/>
      <c r="D203" s="940"/>
      <c r="E203" s="940"/>
      <c r="F203" s="940"/>
      <c r="G203" s="940"/>
      <c r="H203" s="940"/>
      <c r="I203" s="940"/>
      <c r="J203" s="940"/>
      <c r="K203" s="940"/>
      <c r="L203" s="940"/>
      <c r="M203" s="940"/>
      <c r="N203" s="940"/>
      <c r="O203" s="940"/>
      <c r="P203" s="940"/>
      <c r="Q203" s="940"/>
      <c r="R203" s="940"/>
      <c r="S203" s="940"/>
      <c r="T203" s="940"/>
      <c r="U203" s="940"/>
      <c r="V203" s="940"/>
      <c r="W203" s="940"/>
      <c r="X203" s="940"/>
      <c r="Y203" s="940"/>
      <c r="Z203" s="940"/>
      <c r="AA203" s="940"/>
      <c r="AB203" s="940"/>
      <c r="AD203" s="940"/>
      <c r="AE203" s="940"/>
      <c r="AF203" s="940"/>
      <c r="AG203" s="940"/>
      <c r="AH203" s="940"/>
      <c r="AI203" s="940"/>
      <c r="AJ203" s="940"/>
      <c r="AK203" s="940"/>
      <c r="AL203" s="940"/>
      <c r="AM203" s="940"/>
      <c r="AN203" s="940"/>
      <c r="AO203" s="940"/>
      <c r="AP203" s="940"/>
      <c r="AQ203" s="940"/>
      <c r="AR203" s="940"/>
      <c r="AS203" s="940"/>
      <c r="AT203" s="940"/>
      <c r="AU203" s="940"/>
      <c r="AV203" s="940"/>
      <c r="AW203" s="940"/>
      <c r="AX203" s="940"/>
      <c r="AY203" s="940"/>
      <c r="AZ203" s="940"/>
      <c r="BA203" s="940"/>
      <c r="BB203" s="940"/>
    </row>
    <row r="204" spans="2:55" s="934" customFormat="1" ht="15" hidden="1">
      <c r="B204" s="941"/>
      <c r="C204" s="931"/>
      <c r="D204" s="940"/>
      <c r="E204" s="940"/>
      <c r="F204" s="940"/>
      <c r="G204" s="940"/>
      <c r="H204" s="940"/>
      <c r="I204" s="940"/>
      <c r="J204" s="940"/>
      <c r="K204" s="940"/>
      <c r="L204" s="940"/>
      <c r="M204" s="940"/>
      <c r="N204" s="940"/>
      <c r="O204" s="940"/>
      <c r="P204" s="940"/>
      <c r="Q204" s="940"/>
      <c r="R204" s="940"/>
      <c r="S204" s="940"/>
      <c r="T204" s="940"/>
      <c r="U204" s="940"/>
      <c r="V204" s="940"/>
      <c r="W204" s="940"/>
      <c r="X204" s="940"/>
      <c r="Y204" s="940"/>
      <c r="Z204" s="940"/>
      <c r="AA204" s="940"/>
      <c r="AB204" s="940"/>
      <c r="AD204" s="940"/>
      <c r="AE204" s="940"/>
      <c r="AF204" s="940"/>
      <c r="AG204" s="940"/>
      <c r="AH204" s="940"/>
      <c r="AI204" s="940"/>
      <c r="AJ204" s="940"/>
      <c r="AK204" s="940"/>
      <c r="AL204" s="940"/>
      <c r="AM204" s="940"/>
      <c r="AN204" s="940"/>
      <c r="AO204" s="940"/>
      <c r="AP204" s="940"/>
      <c r="AQ204" s="940"/>
      <c r="AR204" s="940"/>
      <c r="AS204" s="940"/>
      <c r="AT204" s="940"/>
      <c r="AU204" s="940"/>
      <c r="AV204" s="940"/>
      <c r="AW204" s="940"/>
      <c r="AX204" s="940"/>
      <c r="AY204" s="940"/>
      <c r="AZ204" s="940"/>
      <c r="BA204" s="940"/>
      <c r="BB204" s="940"/>
    </row>
    <row r="205" spans="2:55" s="934" customFormat="1" ht="15" hidden="1">
      <c r="B205" s="942"/>
      <c r="C205" s="939"/>
      <c r="D205" s="940"/>
      <c r="E205" s="940"/>
      <c r="F205" s="940"/>
      <c r="G205" s="940"/>
      <c r="H205" s="940"/>
      <c r="I205" s="940"/>
      <c r="J205" s="940"/>
      <c r="K205" s="940"/>
      <c r="L205" s="940"/>
      <c r="M205" s="940"/>
      <c r="N205" s="940"/>
      <c r="O205" s="940"/>
      <c r="P205" s="940"/>
      <c r="Q205" s="940"/>
      <c r="R205" s="940"/>
      <c r="S205" s="940"/>
      <c r="T205" s="940"/>
      <c r="U205" s="940"/>
      <c r="V205" s="940"/>
      <c r="W205" s="940"/>
      <c r="X205" s="940"/>
      <c r="Y205" s="940"/>
      <c r="Z205" s="940"/>
      <c r="AA205" s="940"/>
      <c r="AB205" s="940"/>
      <c r="AD205" s="940"/>
      <c r="AE205" s="940"/>
      <c r="AF205" s="940"/>
      <c r="AG205" s="940"/>
      <c r="AH205" s="940"/>
      <c r="AI205" s="940"/>
      <c r="AJ205" s="940"/>
      <c r="AK205" s="940"/>
      <c r="AL205" s="940"/>
      <c r="AM205" s="940"/>
      <c r="AN205" s="940"/>
      <c r="AO205" s="940"/>
      <c r="AP205" s="940"/>
      <c r="AQ205" s="940"/>
      <c r="AR205" s="940"/>
      <c r="AS205" s="940"/>
      <c r="AT205" s="940"/>
      <c r="AU205" s="940"/>
      <c r="AV205" s="940"/>
      <c r="AW205" s="940"/>
      <c r="AX205" s="940"/>
      <c r="AY205" s="940"/>
      <c r="AZ205" s="940"/>
      <c r="BA205" s="940"/>
      <c r="BB205" s="940"/>
    </row>
    <row r="207" spans="2:55" s="928" customFormat="1" ht="31.5" customHeight="1" thickBot="1">
      <c r="B207" s="924"/>
      <c r="C207" s="925"/>
      <c r="D207" s="926" t="s">
        <v>953</v>
      </c>
      <c r="E207" s="925"/>
      <c r="F207" s="925"/>
      <c r="G207" s="925"/>
      <c r="H207" s="925"/>
      <c r="I207" s="925"/>
      <c r="J207" s="925"/>
      <c r="K207" s="925"/>
      <c r="L207" s="925"/>
      <c r="M207" s="925"/>
      <c r="N207" s="925"/>
      <c r="O207" s="925"/>
      <c r="P207" s="925"/>
      <c r="Q207" s="925"/>
      <c r="R207" s="925"/>
      <c r="S207" s="925"/>
      <c r="T207" s="925"/>
      <c r="U207" s="925"/>
      <c r="V207" s="925"/>
      <c r="W207" s="925"/>
      <c r="X207" s="925"/>
      <c r="Y207" s="925"/>
      <c r="Z207" s="925"/>
      <c r="AA207" s="925"/>
      <c r="AB207" s="927"/>
      <c r="AD207" s="926" t="s">
        <v>954</v>
      </c>
      <c r="AE207" s="929"/>
      <c r="AF207" s="929"/>
      <c r="AG207" s="929"/>
      <c r="AH207" s="929"/>
      <c r="AI207" s="929"/>
      <c r="AJ207" s="929"/>
      <c r="AK207" s="929"/>
      <c r="AL207" s="929"/>
      <c r="AM207" s="929"/>
      <c r="AN207" s="929"/>
      <c r="AO207" s="929"/>
      <c r="AP207" s="929"/>
      <c r="AQ207" s="929"/>
      <c r="AR207" s="929"/>
      <c r="AS207" s="929"/>
      <c r="AT207" s="929"/>
      <c r="AU207" s="929"/>
      <c r="AV207" s="929"/>
      <c r="AW207" s="929"/>
      <c r="AX207" s="929"/>
      <c r="AY207" s="929"/>
      <c r="AZ207" s="929"/>
      <c r="BA207" s="929"/>
      <c r="BB207" s="930"/>
    </row>
    <row r="208" spans="2:55" s="934" customFormat="1" ht="15.75" thickTop="1">
      <c r="B208" s="909">
        <v>2018</v>
      </c>
      <c r="C208" s="1218" t="s">
        <v>29</v>
      </c>
      <c r="D208" s="932">
        <v>0</v>
      </c>
      <c r="E208" s="932">
        <v>0</v>
      </c>
      <c r="F208" s="932">
        <v>0</v>
      </c>
      <c r="G208" s="932">
        <v>0</v>
      </c>
      <c r="H208" s="932">
        <v>0</v>
      </c>
      <c r="I208" s="932">
        <v>0</v>
      </c>
      <c r="J208" s="932">
        <v>0</v>
      </c>
      <c r="K208" s="932">
        <v>0</v>
      </c>
      <c r="L208" s="932">
        <v>0</v>
      </c>
      <c r="M208" s="932">
        <v>0</v>
      </c>
      <c r="N208" s="932">
        <v>0</v>
      </c>
      <c r="O208" s="932">
        <v>0</v>
      </c>
      <c r="P208" s="932">
        <v>0</v>
      </c>
      <c r="Q208" s="932">
        <v>0</v>
      </c>
      <c r="R208" s="932">
        <v>0</v>
      </c>
      <c r="S208" s="932">
        <v>0</v>
      </c>
      <c r="T208" s="932">
        <v>0</v>
      </c>
      <c r="U208" s="932">
        <v>0</v>
      </c>
      <c r="V208" s="932">
        <v>0</v>
      </c>
      <c r="W208" s="932">
        <v>0</v>
      </c>
      <c r="X208" s="932">
        <v>0</v>
      </c>
      <c r="Y208" s="932">
        <v>0</v>
      </c>
      <c r="Z208" s="932">
        <v>0</v>
      </c>
      <c r="AA208" s="932">
        <v>0</v>
      </c>
      <c r="AB208" s="933">
        <v>0</v>
      </c>
      <c r="AD208" s="935">
        <f t="shared" ref="AD208:AD240" si="135">D208*(1+WholesaleRiskPremium)*(1+PeakDemandLosses)*(1+Inflation3)^(Year3-Real_Year)</f>
        <v>0</v>
      </c>
      <c r="AE208" s="936">
        <f t="shared" ref="AE208:AE240" si="136">E208*(1+WholesaleRiskPremium)*(1+PeakDemandLosses)*(1+Inflation3)^(Year3-Real_Year)</f>
        <v>0</v>
      </c>
      <c r="AF208" s="936">
        <f t="shared" ref="AF208:AF240" si="137">F208*(1+WholesaleRiskPremium)*(1+PeakDemandLosses)*(1+Inflation3)^(Year3-Real_Year)</f>
        <v>0</v>
      </c>
      <c r="AG208" s="936">
        <f t="shared" ref="AG208:AG240" si="138">G208*(1+WholesaleRiskPremium)*(1+PeakDemandLosses)*(1+Inflation3)^(Year3-Real_Year)</f>
        <v>0</v>
      </c>
      <c r="AH208" s="936">
        <f t="shared" ref="AH208:AH240" si="139">H208*(1+WholesaleRiskPremium)*(1+PeakDemandLosses)*(1+Inflation3)^(Year3-Real_Year)</f>
        <v>0</v>
      </c>
      <c r="AI208" s="936">
        <f t="shared" ref="AI208:AI240" si="140">I208*(1+WholesaleRiskPremium)*(1+PeakDemandLosses)*(1+Inflation3)^(Year3-Real_Year)</f>
        <v>0</v>
      </c>
      <c r="AJ208" s="936">
        <f t="shared" ref="AJ208:AJ240" si="141">J208*(1+WholesaleRiskPremium)*(1+PeakDemandLosses)*(1+Inflation3)^(Year3-Real_Year)</f>
        <v>0</v>
      </c>
      <c r="AK208" s="936">
        <f t="shared" ref="AK208:AK240" si="142">K208*(1+WholesaleRiskPremium)*(1+PeakDemandLosses)*(1+Inflation3)^(Year3-Real_Year)</f>
        <v>0</v>
      </c>
      <c r="AL208" s="936">
        <f t="shared" ref="AL208:AL240" si="143">L208*(1+WholesaleRiskPremium)*(1+PeakDemandLosses)*(1+Inflation3)^(Year3-Real_Year)</f>
        <v>0</v>
      </c>
      <c r="AM208" s="936">
        <f t="shared" ref="AM208:AM240" si="144">M208*(1+WholesaleRiskPremium)*(1+PeakDemandLosses)*(1+Inflation3)^(Year3-Real_Year)</f>
        <v>0</v>
      </c>
      <c r="AN208" s="936">
        <f t="shared" ref="AN208:AN240" si="145">N208*(1+WholesaleRiskPremium)*(1+PeakDemandLosses)*(1+Inflation3)^(Year3-Real_Year)</f>
        <v>0</v>
      </c>
      <c r="AO208" s="936">
        <f t="shared" ref="AO208:AO240" si="146">O208*(1+WholesaleRiskPremium)*(1+PeakDemandLosses)*(1+Inflation3)^(Year3-Real_Year)</f>
        <v>0</v>
      </c>
      <c r="AP208" s="936">
        <f t="shared" ref="AP208:AP240" si="147">P208*(1+WholesaleRiskPremium)*(1+PeakDemandLosses)*(1+Inflation3)^(Year3-Real_Year)</f>
        <v>0</v>
      </c>
      <c r="AQ208" s="936">
        <f t="shared" ref="AQ208:AQ240" si="148">Q208*(1+WholesaleRiskPremium)*(1+PeakDemandLosses)*(1+Inflation3)^(Year3-Real_Year)</f>
        <v>0</v>
      </c>
      <c r="AR208" s="936">
        <f t="shared" ref="AR208:AR240" si="149">R208*(1+WholesaleRiskPremium)*(1+PeakDemandLosses)*(1+Inflation3)^(Year3-Real_Year)</f>
        <v>0</v>
      </c>
      <c r="AS208" s="936">
        <f t="shared" ref="AS208:AS240" si="150">S208*(1+WholesaleRiskPremium)*(1+PeakDemandLosses)*(1+Inflation3)^(Year3-Real_Year)</f>
        <v>0</v>
      </c>
      <c r="AT208" s="936">
        <f t="shared" ref="AT208:AT240" si="151">T208*(1+WholesaleRiskPremium)*(1+PeakDemandLosses)*(1+Inflation3)^(Year3-Real_Year)</f>
        <v>0</v>
      </c>
      <c r="AU208" s="936">
        <f t="shared" ref="AU208:AU240" si="152">U208*(1+WholesaleRiskPremium)*(1+PeakDemandLosses)*(1+Inflation3)^(Year3-Real_Year)</f>
        <v>0</v>
      </c>
      <c r="AV208" s="936">
        <f t="shared" ref="AV208:AV240" si="153">V208*(1+WholesaleRiskPremium)*(1+PeakDemandLosses)*(1+Inflation3)^(Year3-Real_Year)</f>
        <v>0</v>
      </c>
      <c r="AW208" s="936">
        <f t="shared" ref="AW208:AW240" si="154">W208*(1+WholesaleRiskPremium)*(1+PeakDemandLosses)*(1+Inflation3)^(Year3-Real_Year)</f>
        <v>0</v>
      </c>
      <c r="AX208" s="936">
        <f t="shared" ref="AX208:AX240" si="155">X208*(1+WholesaleRiskPremium)*(1+PeakDemandLosses)*(1+Inflation3)^(Year3-Real_Year)</f>
        <v>0</v>
      </c>
      <c r="AY208" s="936">
        <f t="shared" ref="AY208:AY240" si="156">Y208*(1+WholesaleRiskPremium)*(1+PeakDemandLosses)*(1+Inflation3)^(Year3-Real_Year)</f>
        <v>0</v>
      </c>
      <c r="AZ208" s="936">
        <f t="shared" ref="AZ208:AZ240" si="157">Z208*(1+WholesaleRiskPremium)*(1+PeakDemandLosses)*(1+Inflation3)^(Year3-Real_Year)</f>
        <v>0</v>
      </c>
      <c r="BA208" s="936">
        <f t="shared" ref="BA208:BA240" si="158">AA208*(1+WholesaleRiskPremium)*(1+PeakDemandLosses)*(1+Inflation3)^(Year3-Real_Year)</f>
        <v>0</v>
      </c>
      <c r="BB208" s="937">
        <f t="shared" ref="BB208:BB240" si="159">AB208*(1+WholesaleRiskPremium)*(1+PeakDemandLosses)*(1+Inflation3)^(Year3-Real_Year)</f>
        <v>0</v>
      </c>
      <c r="BC208" s="938"/>
    </row>
    <row r="209" spans="2:55" s="934" customFormat="1" ht="15">
      <c r="B209" s="909">
        <v>2019</v>
      </c>
      <c r="C209" s="1218" t="s">
        <v>29</v>
      </c>
      <c r="D209" s="932">
        <v>0</v>
      </c>
      <c r="E209" s="932">
        <v>0</v>
      </c>
      <c r="F209" s="932">
        <v>0</v>
      </c>
      <c r="G209" s="932">
        <v>0</v>
      </c>
      <c r="H209" s="932">
        <v>0</v>
      </c>
      <c r="I209" s="932">
        <v>0</v>
      </c>
      <c r="J209" s="932">
        <v>0</v>
      </c>
      <c r="K209" s="932">
        <v>0</v>
      </c>
      <c r="L209" s="932">
        <v>0</v>
      </c>
      <c r="M209" s="932">
        <v>0</v>
      </c>
      <c r="N209" s="932">
        <v>0</v>
      </c>
      <c r="O209" s="932">
        <v>0</v>
      </c>
      <c r="P209" s="932">
        <v>0</v>
      </c>
      <c r="Q209" s="932">
        <v>0</v>
      </c>
      <c r="R209" s="932">
        <v>0</v>
      </c>
      <c r="S209" s="932">
        <v>0</v>
      </c>
      <c r="T209" s="932">
        <v>0</v>
      </c>
      <c r="U209" s="932">
        <v>0</v>
      </c>
      <c r="V209" s="932">
        <v>0</v>
      </c>
      <c r="W209" s="932">
        <v>0</v>
      </c>
      <c r="X209" s="932">
        <v>0</v>
      </c>
      <c r="Y209" s="932">
        <v>0</v>
      </c>
      <c r="Z209" s="932">
        <v>0</v>
      </c>
      <c r="AA209" s="932">
        <v>0</v>
      </c>
      <c r="AB209" s="933">
        <v>0</v>
      </c>
      <c r="AD209" s="935">
        <f t="shared" si="135"/>
        <v>0</v>
      </c>
      <c r="AE209" s="936">
        <f t="shared" si="136"/>
        <v>0</v>
      </c>
      <c r="AF209" s="936">
        <f t="shared" si="137"/>
        <v>0</v>
      </c>
      <c r="AG209" s="936">
        <f t="shared" si="138"/>
        <v>0</v>
      </c>
      <c r="AH209" s="936">
        <f t="shared" si="139"/>
        <v>0</v>
      </c>
      <c r="AI209" s="936">
        <f t="shared" si="140"/>
        <v>0</v>
      </c>
      <c r="AJ209" s="936">
        <f t="shared" si="141"/>
        <v>0</v>
      </c>
      <c r="AK209" s="936">
        <f t="shared" si="142"/>
        <v>0</v>
      </c>
      <c r="AL209" s="936">
        <f t="shared" si="143"/>
        <v>0</v>
      </c>
      <c r="AM209" s="936">
        <f t="shared" si="144"/>
        <v>0</v>
      </c>
      <c r="AN209" s="936">
        <f t="shared" si="145"/>
        <v>0</v>
      </c>
      <c r="AO209" s="936">
        <f t="shared" si="146"/>
        <v>0</v>
      </c>
      <c r="AP209" s="936">
        <f t="shared" si="147"/>
        <v>0</v>
      </c>
      <c r="AQ209" s="936">
        <f t="shared" si="148"/>
        <v>0</v>
      </c>
      <c r="AR209" s="936">
        <f t="shared" si="149"/>
        <v>0</v>
      </c>
      <c r="AS209" s="936">
        <f t="shared" si="150"/>
        <v>0</v>
      </c>
      <c r="AT209" s="936">
        <f t="shared" si="151"/>
        <v>0</v>
      </c>
      <c r="AU209" s="936">
        <f t="shared" si="152"/>
        <v>0</v>
      </c>
      <c r="AV209" s="936">
        <f t="shared" si="153"/>
        <v>0</v>
      </c>
      <c r="AW209" s="936">
        <f t="shared" si="154"/>
        <v>0</v>
      </c>
      <c r="AX209" s="936">
        <f t="shared" si="155"/>
        <v>0</v>
      </c>
      <c r="AY209" s="936">
        <f t="shared" si="156"/>
        <v>0</v>
      </c>
      <c r="AZ209" s="936">
        <f t="shared" si="157"/>
        <v>0</v>
      </c>
      <c r="BA209" s="936">
        <f t="shared" si="158"/>
        <v>0</v>
      </c>
      <c r="BB209" s="937">
        <f t="shared" si="159"/>
        <v>0</v>
      </c>
      <c r="BC209" s="938"/>
    </row>
    <row r="210" spans="2:55" s="934" customFormat="1" ht="15">
      <c r="B210" s="909">
        <v>2020</v>
      </c>
      <c r="C210" s="1218" t="s">
        <v>29</v>
      </c>
      <c r="D210" s="932">
        <v>0</v>
      </c>
      <c r="E210" s="932">
        <v>0</v>
      </c>
      <c r="F210" s="932">
        <v>0</v>
      </c>
      <c r="G210" s="932">
        <v>0</v>
      </c>
      <c r="H210" s="932">
        <v>0</v>
      </c>
      <c r="I210" s="932">
        <v>0</v>
      </c>
      <c r="J210" s="932">
        <v>0</v>
      </c>
      <c r="K210" s="932">
        <v>0</v>
      </c>
      <c r="L210" s="932">
        <v>0</v>
      </c>
      <c r="M210" s="932">
        <v>0</v>
      </c>
      <c r="N210" s="932">
        <v>0</v>
      </c>
      <c r="O210" s="932">
        <v>0</v>
      </c>
      <c r="P210" s="932">
        <v>0</v>
      </c>
      <c r="Q210" s="932">
        <v>0</v>
      </c>
      <c r="R210" s="932">
        <v>0</v>
      </c>
      <c r="S210" s="932">
        <v>0</v>
      </c>
      <c r="T210" s="932">
        <v>0</v>
      </c>
      <c r="U210" s="932">
        <v>0</v>
      </c>
      <c r="V210" s="932">
        <v>0</v>
      </c>
      <c r="W210" s="932">
        <v>0</v>
      </c>
      <c r="X210" s="932">
        <v>0</v>
      </c>
      <c r="Y210" s="932">
        <v>0</v>
      </c>
      <c r="Z210" s="932">
        <v>0</v>
      </c>
      <c r="AA210" s="932">
        <v>0</v>
      </c>
      <c r="AB210" s="933">
        <v>0</v>
      </c>
      <c r="AD210" s="935">
        <f t="shared" si="135"/>
        <v>0</v>
      </c>
      <c r="AE210" s="936">
        <f t="shared" si="136"/>
        <v>0</v>
      </c>
      <c r="AF210" s="936">
        <f t="shared" si="137"/>
        <v>0</v>
      </c>
      <c r="AG210" s="936">
        <f t="shared" si="138"/>
        <v>0</v>
      </c>
      <c r="AH210" s="936">
        <f t="shared" si="139"/>
        <v>0</v>
      </c>
      <c r="AI210" s="936">
        <f t="shared" si="140"/>
        <v>0</v>
      </c>
      <c r="AJ210" s="936">
        <f t="shared" si="141"/>
        <v>0</v>
      </c>
      <c r="AK210" s="936">
        <f t="shared" si="142"/>
        <v>0</v>
      </c>
      <c r="AL210" s="936">
        <f t="shared" si="143"/>
        <v>0</v>
      </c>
      <c r="AM210" s="936">
        <f t="shared" si="144"/>
        <v>0</v>
      </c>
      <c r="AN210" s="936">
        <f t="shared" si="145"/>
        <v>0</v>
      </c>
      <c r="AO210" s="936">
        <f t="shared" si="146"/>
        <v>0</v>
      </c>
      <c r="AP210" s="936">
        <f t="shared" si="147"/>
        <v>0</v>
      </c>
      <c r="AQ210" s="936">
        <f t="shared" si="148"/>
        <v>0</v>
      </c>
      <c r="AR210" s="936">
        <f t="shared" si="149"/>
        <v>0</v>
      </c>
      <c r="AS210" s="936">
        <f t="shared" si="150"/>
        <v>0</v>
      </c>
      <c r="AT210" s="936">
        <f t="shared" si="151"/>
        <v>0</v>
      </c>
      <c r="AU210" s="936">
        <f t="shared" si="152"/>
        <v>0</v>
      </c>
      <c r="AV210" s="936">
        <f t="shared" si="153"/>
        <v>0</v>
      </c>
      <c r="AW210" s="936">
        <f t="shared" si="154"/>
        <v>0</v>
      </c>
      <c r="AX210" s="936">
        <f t="shared" si="155"/>
        <v>0</v>
      </c>
      <c r="AY210" s="936">
        <f t="shared" si="156"/>
        <v>0</v>
      </c>
      <c r="AZ210" s="936">
        <f t="shared" si="157"/>
        <v>0</v>
      </c>
      <c r="BA210" s="936">
        <f t="shared" si="158"/>
        <v>0</v>
      </c>
      <c r="BB210" s="937">
        <f t="shared" si="159"/>
        <v>0</v>
      </c>
      <c r="BC210" s="938"/>
    </row>
    <row r="211" spans="2:55" s="934" customFormat="1" ht="15">
      <c r="B211" s="909">
        <v>2021</v>
      </c>
      <c r="C211" s="1218" t="s">
        <v>29</v>
      </c>
      <c r="D211" s="932">
        <v>0</v>
      </c>
      <c r="E211" s="932">
        <v>0</v>
      </c>
      <c r="F211" s="932">
        <v>0</v>
      </c>
      <c r="G211" s="932">
        <v>0</v>
      </c>
      <c r="H211" s="932">
        <v>0</v>
      </c>
      <c r="I211" s="932">
        <v>0</v>
      </c>
      <c r="J211" s="932">
        <v>0</v>
      </c>
      <c r="K211" s="932">
        <v>0</v>
      </c>
      <c r="L211" s="932">
        <v>0</v>
      </c>
      <c r="M211" s="932">
        <v>0</v>
      </c>
      <c r="N211" s="932">
        <v>0</v>
      </c>
      <c r="O211" s="932">
        <v>0</v>
      </c>
      <c r="P211" s="932">
        <v>0</v>
      </c>
      <c r="Q211" s="932">
        <v>0</v>
      </c>
      <c r="R211" s="932">
        <v>0</v>
      </c>
      <c r="S211" s="932">
        <v>0</v>
      </c>
      <c r="T211" s="932">
        <v>0</v>
      </c>
      <c r="U211" s="932">
        <v>0</v>
      </c>
      <c r="V211" s="932">
        <v>0</v>
      </c>
      <c r="W211" s="932">
        <v>0</v>
      </c>
      <c r="X211" s="932">
        <v>0</v>
      </c>
      <c r="Y211" s="932">
        <v>0</v>
      </c>
      <c r="Z211" s="932">
        <v>0</v>
      </c>
      <c r="AA211" s="932">
        <v>0</v>
      </c>
      <c r="AB211" s="933">
        <v>0</v>
      </c>
      <c r="AD211" s="935">
        <f t="shared" si="135"/>
        <v>0</v>
      </c>
      <c r="AE211" s="936">
        <f t="shared" si="136"/>
        <v>0</v>
      </c>
      <c r="AF211" s="936">
        <f t="shared" si="137"/>
        <v>0</v>
      </c>
      <c r="AG211" s="936">
        <f t="shared" si="138"/>
        <v>0</v>
      </c>
      <c r="AH211" s="936">
        <f t="shared" si="139"/>
        <v>0</v>
      </c>
      <c r="AI211" s="936">
        <f t="shared" si="140"/>
        <v>0</v>
      </c>
      <c r="AJ211" s="936">
        <f t="shared" si="141"/>
        <v>0</v>
      </c>
      <c r="AK211" s="936">
        <f t="shared" si="142"/>
        <v>0</v>
      </c>
      <c r="AL211" s="936">
        <f t="shared" si="143"/>
        <v>0</v>
      </c>
      <c r="AM211" s="936">
        <f t="shared" si="144"/>
        <v>0</v>
      </c>
      <c r="AN211" s="936">
        <f t="shared" si="145"/>
        <v>0</v>
      </c>
      <c r="AO211" s="936">
        <f t="shared" si="146"/>
        <v>0</v>
      </c>
      <c r="AP211" s="936">
        <f t="shared" si="147"/>
        <v>0</v>
      </c>
      <c r="AQ211" s="936">
        <f t="shared" si="148"/>
        <v>0</v>
      </c>
      <c r="AR211" s="936">
        <f t="shared" si="149"/>
        <v>0</v>
      </c>
      <c r="AS211" s="936">
        <f t="shared" si="150"/>
        <v>0</v>
      </c>
      <c r="AT211" s="936">
        <f t="shared" si="151"/>
        <v>0</v>
      </c>
      <c r="AU211" s="936">
        <f t="shared" si="152"/>
        <v>0</v>
      </c>
      <c r="AV211" s="936">
        <f t="shared" si="153"/>
        <v>0</v>
      </c>
      <c r="AW211" s="936">
        <f t="shared" si="154"/>
        <v>0</v>
      </c>
      <c r="AX211" s="936">
        <f t="shared" si="155"/>
        <v>0</v>
      </c>
      <c r="AY211" s="936">
        <f t="shared" si="156"/>
        <v>0</v>
      </c>
      <c r="AZ211" s="936">
        <f t="shared" si="157"/>
        <v>0</v>
      </c>
      <c r="BA211" s="936">
        <f t="shared" si="158"/>
        <v>0</v>
      </c>
      <c r="BB211" s="937">
        <f t="shared" si="159"/>
        <v>0</v>
      </c>
      <c r="BC211" s="938"/>
    </row>
    <row r="212" spans="2:55" s="934" customFormat="1" ht="15">
      <c r="B212" s="909">
        <v>2022</v>
      </c>
      <c r="C212" s="1218" t="s">
        <v>29</v>
      </c>
      <c r="D212" s="932">
        <v>0</v>
      </c>
      <c r="E212" s="932">
        <v>0</v>
      </c>
      <c r="F212" s="932">
        <v>0</v>
      </c>
      <c r="G212" s="932">
        <v>0</v>
      </c>
      <c r="H212" s="932">
        <v>0</v>
      </c>
      <c r="I212" s="932">
        <v>0</v>
      </c>
      <c r="J212" s="932">
        <v>0</v>
      </c>
      <c r="K212" s="932">
        <v>0</v>
      </c>
      <c r="L212" s="932">
        <v>0</v>
      </c>
      <c r="M212" s="932">
        <v>0</v>
      </c>
      <c r="N212" s="932">
        <v>0</v>
      </c>
      <c r="O212" s="932">
        <v>0</v>
      </c>
      <c r="P212" s="932">
        <v>0</v>
      </c>
      <c r="Q212" s="932">
        <v>0</v>
      </c>
      <c r="R212" s="932">
        <v>0</v>
      </c>
      <c r="S212" s="932">
        <v>0</v>
      </c>
      <c r="T212" s="932">
        <v>0</v>
      </c>
      <c r="U212" s="932">
        <v>0</v>
      </c>
      <c r="V212" s="932">
        <v>0</v>
      </c>
      <c r="W212" s="932">
        <v>0</v>
      </c>
      <c r="X212" s="932">
        <v>0</v>
      </c>
      <c r="Y212" s="932">
        <v>0</v>
      </c>
      <c r="Z212" s="932">
        <v>0</v>
      </c>
      <c r="AA212" s="932">
        <v>0</v>
      </c>
      <c r="AB212" s="933">
        <v>0</v>
      </c>
      <c r="AD212" s="935">
        <f t="shared" si="135"/>
        <v>0</v>
      </c>
      <c r="AE212" s="936">
        <f t="shared" si="136"/>
        <v>0</v>
      </c>
      <c r="AF212" s="936">
        <f t="shared" si="137"/>
        <v>0</v>
      </c>
      <c r="AG212" s="936">
        <f t="shared" si="138"/>
        <v>0</v>
      </c>
      <c r="AH212" s="936">
        <f t="shared" si="139"/>
        <v>0</v>
      </c>
      <c r="AI212" s="936">
        <f t="shared" si="140"/>
        <v>0</v>
      </c>
      <c r="AJ212" s="936">
        <f t="shared" si="141"/>
        <v>0</v>
      </c>
      <c r="AK212" s="936">
        <f t="shared" si="142"/>
        <v>0</v>
      </c>
      <c r="AL212" s="936">
        <f t="shared" si="143"/>
        <v>0</v>
      </c>
      <c r="AM212" s="936">
        <f t="shared" si="144"/>
        <v>0</v>
      </c>
      <c r="AN212" s="936">
        <f t="shared" si="145"/>
        <v>0</v>
      </c>
      <c r="AO212" s="936">
        <f t="shared" si="146"/>
        <v>0</v>
      </c>
      <c r="AP212" s="936">
        <f t="shared" si="147"/>
        <v>0</v>
      </c>
      <c r="AQ212" s="936">
        <f t="shared" si="148"/>
        <v>0</v>
      </c>
      <c r="AR212" s="936">
        <f t="shared" si="149"/>
        <v>0</v>
      </c>
      <c r="AS212" s="936">
        <f t="shared" si="150"/>
        <v>0</v>
      </c>
      <c r="AT212" s="936">
        <f t="shared" si="151"/>
        <v>0</v>
      </c>
      <c r="AU212" s="936">
        <f t="shared" si="152"/>
        <v>0</v>
      </c>
      <c r="AV212" s="936">
        <f t="shared" si="153"/>
        <v>0</v>
      </c>
      <c r="AW212" s="936">
        <f t="shared" si="154"/>
        <v>0</v>
      </c>
      <c r="AX212" s="936">
        <f t="shared" si="155"/>
        <v>0</v>
      </c>
      <c r="AY212" s="936">
        <f t="shared" si="156"/>
        <v>0</v>
      </c>
      <c r="AZ212" s="936">
        <f t="shared" si="157"/>
        <v>0</v>
      </c>
      <c r="BA212" s="936">
        <f t="shared" si="158"/>
        <v>0</v>
      </c>
      <c r="BB212" s="937">
        <f t="shared" si="159"/>
        <v>0</v>
      </c>
      <c r="BC212" s="938"/>
    </row>
    <row r="213" spans="2:55" s="934" customFormat="1" ht="15">
      <c r="B213" s="909">
        <v>2023</v>
      </c>
      <c r="C213" s="1218" t="s">
        <v>29</v>
      </c>
      <c r="D213" s="932">
        <v>0</v>
      </c>
      <c r="E213" s="932">
        <v>0</v>
      </c>
      <c r="F213" s="932">
        <v>0</v>
      </c>
      <c r="G213" s="932">
        <v>0</v>
      </c>
      <c r="H213" s="932">
        <v>0</v>
      </c>
      <c r="I213" s="932">
        <v>0</v>
      </c>
      <c r="J213" s="932">
        <v>0</v>
      </c>
      <c r="K213" s="932">
        <v>0</v>
      </c>
      <c r="L213" s="932">
        <v>0</v>
      </c>
      <c r="M213" s="932">
        <v>0</v>
      </c>
      <c r="N213" s="932">
        <v>0</v>
      </c>
      <c r="O213" s="932">
        <v>0</v>
      </c>
      <c r="P213" s="932">
        <v>0</v>
      </c>
      <c r="Q213" s="932">
        <v>0</v>
      </c>
      <c r="R213" s="932">
        <v>0</v>
      </c>
      <c r="S213" s="932">
        <v>0</v>
      </c>
      <c r="T213" s="932">
        <v>0</v>
      </c>
      <c r="U213" s="932">
        <v>0</v>
      </c>
      <c r="V213" s="932">
        <v>0</v>
      </c>
      <c r="W213" s="932">
        <v>0</v>
      </c>
      <c r="X213" s="932">
        <v>0</v>
      </c>
      <c r="Y213" s="932">
        <v>0</v>
      </c>
      <c r="Z213" s="932">
        <v>0</v>
      </c>
      <c r="AA213" s="932">
        <v>0</v>
      </c>
      <c r="AB213" s="933">
        <v>0</v>
      </c>
      <c r="AD213" s="935">
        <f t="shared" si="135"/>
        <v>0</v>
      </c>
      <c r="AE213" s="936">
        <f t="shared" si="136"/>
        <v>0</v>
      </c>
      <c r="AF213" s="936">
        <f t="shared" si="137"/>
        <v>0</v>
      </c>
      <c r="AG213" s="936">
        <f t="shared" si="138"/>
        <v>0</v>
      </c>
      <c r="AH213" s="936">
        <f t="shared" si="139"/>
        <v>0</v>
      </c>
      <c r="AI213" s="936">
        <f t="shared" si="140"/>
        <v>0</v>
      </c>
      <c r="AJ213" s="936">
        <f t="shared" si="141"/>
        <v>0</v>
      </c>
      <c r="AK213" s="936">
        <f t="shared" si="142"/>
        <v>0</v>
      </c>
      <c r="AL213" s="936">
        <f t="shared" si="143"/>
        <v>0</v>
      </c>
      <c r="AM213" s="936">
        <f t="shared" si="144"/>
        <v>0</v>
      </c>
      <c r="AN213" s="936">
        <f t="shared" si="145"/>
        <v>0</v>
      </c>
      <c r="AO213" s="936">
        <f t="shared" si="146"/>
        <v>0</v>
      </c>
      <c r="AP213" s="936">
        <f t="shared" si="147"/>
        <v>0</v>
      </c>
      <c r="AQ213" s="936">
        <f t="shared" si="148"/>
        <v>0</v>
      </c>
      <c r="AR213" s="936">
        <f t="shared" si="149"/>
        <v>0</v>
      </c>
      <c r="AS213" s="936">
        <f t="shared" si="150"/>
        <v>0</v>
      </c>
      <c r="AT213" s="936">
        <f t="shared" si="151"/>
        <v>0</v>
      </c>
      <c r="AU213" s="936">
        <f t="shared" si="152"/>
        <v>0</v>
      </c>
      <c r="AV213" s="936">
        <f t="shared" si="153"/>
        <v>0</v>
      </c>
      <c r="AW213" s="936">
        <f t="shared" si="154"/>
        <v>0</v>
      </c>
      <c r="AX213" s="936">
        <f t="shared" si="155"/>
        <v>0</v>
      </c>
      <c r="AY213" s="936">
        <f t="shared" si="156"/>
        <v>0</v>
      </c>
      <c r="AZ213" s="936">
        <f t="shared" si="157"/>
        <v>0</v>
      </c>
      <c r="BA213" s="936">
        <f t="shared" si="158"/>
        <v>0</v>
      </c>
      <c r="BB213" s="937">
        <f t="shared" si="159"/>
        <v>0</v>
      </c>
      <c r="BC213" s="938"/>
    </row>
    <row r="214" spans="2:55" s="934" customFormat="1" ht="15">
      <c r="B214" s="909">
        <v>2024</v>
      </c>
      <c r="C214" s="1218" t="s">
        <v>29</v>
      </c>
      <c r="D214" s="932">
        <v>0</v>
      </c>
      <c r="E214" s="932">
        <v>0</v>
      </c>
      <c r="F214" s="932">
        <v>0</v>
      </c>
      <c r="G214" s="932">
        <v>0</v>
      </c>
      <c r="H214" s="932">
        <v>0</v>
      </c>
      <c r="I214" s="932">
        <v>0</v>
      </c>
      <c r="J214" s="932">
        <v>0</v>
      </c>
      <c r="K214" s="932">
        <v>0</v>
      </c>
      <c r="L214" s="932">
        <v>0</v>
      </c>
      <c r="M214" s="932">
        <v>0</v>
      </c>
      <c r="N214" s="932">
        <v>0</v>
      </c>
      <c r="O214" s="932">
        <v>0</v>
      </c>
      <c r="P214" s="932">
        <v>0</v>
      </c>
      <c r="Q214" s="932">
        <v>0</v>
      </c>
      <c r="R214" s="932">
        <v>0</v>
      </c>
      <c r="S214" s="932">
        <v>0</v>
      </c>
      <c r="T214" s="932">
        <v>0</v>
      </c>
      <c r="U214" s="932">
        <v>0</v>
      </c>
      <c r="V214" s="932">
        <v>0</v>
      </c>
      <c r="W214" s="932">
        <v>0</v>
      </c>
      <c r="X214" s="932">
        <v>0</v>
      </c>
      <c r="Y214" s="932">
        <v>0</v>
      </c>
      <c r="Z214" s="932">
        <v>0</v>
      </c>
      <c r="AA214" s="932">
        <v>0</v>
      </c>
      <c r="AB214" s="933">
        <v>0</v>
      </c>
      <c r="AD214" s="935">
        <f t="shared" si="135"/>
        <v>0</v>
      </c>
      <c r="AE214" s="936">
        <f t="shared" si="136"/>
        <v>0</v>
      </c>
      <c r="AF214" s="936">
        <f t="shared" si="137"/>
        <v>0</v>
      </c>
      <c r="AG214" s="936">
        <f t="shared" si="138"/>
        <v>0</v>
      </c>
      <c r="AH214" s="936">
        <f t="shared" si="139"/>
        <v>0</v>
      </c>
      <c r="AI214" s="936">
        <f t="shared" si="140"/>
        <v>0</v>
      </c>
      <c r="AJ214" s="936">
        <f t="shared" si="141"/>
        <v>0</v>
      </c>
      <c r="AK214" s="936">
        <f t="shared" si="142"/>
        <v>0</v>
      </c>
      <c r="AL214" s="936">
        <f t="shared" si="143"/>
        <v>0</v>
      </c>
      <c r="AM214" s="936">
        <f t="shared" si="144"/>
        <v>0</v>
      </c>
      <c r="AN214" s="936">
        <f t="shared" si="145"/>
        <v>0</v>
      </c>
      <c r="AO214" s="936">
        <f t="shared" si="146"/>
        <v>0</v>
      </c>
      <c r="AP214" s="936">
        <f t="shared" si="147"/>
        <v>0</v>
      </c>
      <c r="AQ214" s="936">
        <f t="shared" si="148"/>
        <v>0</v>
      </c>
      <c r="AR214" s="936">
        <f t="shared" si="149"/>
        <v>0</v>
      </c>
      <c r="AS214" s="936">
        <f t="shared" si="150"/>
        <v>0</v>
      </c>
      <c r="AT214" s="936">
        <f t="shared" si="151"/>
        <v>0</v>
      </c>
      <c r="AU214" s="936">
        <f t="shared" si="152"/>
        <v>0</v>
      </c>
      <c r="AV214" s="936">
        <f t="shared" si="153"/>
        <v>0</v>
      </c>
      <c r="AW214" s="936">
        <f t="shared" si="154"/>
        <v>0</v>
      </c>
      <c r="AX214" s="936">
        <f t="shared" si="155"/>
        <v>0</v>
      </c>
      <c r="AY214" s="936">
        <f t="shared" si="156"/>
        <v>0</v>
      </c>
      <c r="AZ214" s="936">
        <f t="shared" si="157"/>
        <v>0</v>
      </c>
      <c r="BA214" s="936">
        <f t="shared" si="158"/>
        <v>0</v>
      </c>
      <c r="BB214" s="937">
        <f t="shared" si="159"/>
        <v>0</v>
      </c>
      <c r="BC214" s="938"/>
    </row>
    <row r="215" spans="2:55" s="934" customFormat="1" ht="15">
      <c r="B215" s="909">
        <v>2025</v>
      </c>
      <c r="C215" s="1218" t="s">
        <v>29</v>
      </c>
      <c r="D215" s="932">
        <v>0</v>
      </c>
      <c r="E215" s="932">
        <v>0</v>
      </c>
      <c r="F215" s="932">
        <v>0</v>
      </c>
      <c r="G215" s="932">
        <v>0</v>
      </c>
      <c r="H215" s="932">
        <v>0</v>
      </c>
      <c r="I215" s="932">
        <v>0</v>
      </c>
      <c r="J215" s="932">
        <v>0</v>
      </c>
      <c r="K215" s="932">
        <v>0</v>
      </c>
      <c r="L215" s="932">
        <v>0</v>
      </c>
      <c r="M215" s="932">
        <v>0</v>
      </c>
      <c r="N215" s="932">
        <v>0</v>
      </c>
      <c r="O215" s="932">
        <v>0</v>
      </c>
      <c r="P215" s="932">
        <v>0</v>
      </c>
      <c r="Q215" s="932">
        <v>0</v>
      </c>
      <c r="R215" s="932">
        <v>0</v>
      </c>
      <c r="S215" s="932">
        <v>0</v>
      </c>
      <c r="T215" s="932">
        <v>0</v>
      </c>
      <c r="U215" s="932">
        <v>0</v>
      </c>
      <c r="V215" s="932">
        <v>0</v>
      </c>
      <c r="W215" s="932">
        <v>0</v>
      </c>
      <c r="X215" s="932">
        <v>0</v>
      </c>
      <c r="Y215" s="932">
        <v>0</v>
      </c>
      <c r="Z215" s="932">
        <v>0</v>
      </c>
      <c r="AA215" s="932">
        <v>0</v>
      </c>
      <c r="AB215" s="933">
        <v>0</v>
      </c>
      <c r="AD215" s="935">
        <f t="shared" si="135"/>
        <v>0</v>
      </c>
      <c r="AE215" s="936">
        <f t="shared" si="136"/>
        <v>0</v>
      </c>
      <c r="AF215" s="936">
        <f t="shared" si="137"/>
        <v>0</v>
      </c>
      <c r="AG215" s="936">
        <f t="shared" si="138"/>
        <v>0</v>
      </c>
      <c r="AH215" s="936">
        <f t="shared" si="139"/>
        <v>0</v>
      </c>
      <c r="AI215" s="936">
        <f t="shared" si="140"/>
        <v>0</v>
      </c>
      <c r="AJ215" s="936">
        <f t="shared" si="141"/>
        <v>0</v>
      </c>
      <c r="AK215" s="936">
        <f t="shared" si="142"/>
        <v>0</v>
      </c>
      <c r="AL215" s="936">
        <f t="shared" si="143"/>
        <v>0</v>
      </c>
      <c r="AM215" s="936">
        <f t="shared" si="144"/>
        <v>0</v>
      </c>
      <c r="AN215" s="936">
        <f t="shared" si="145"/>
        <v>0</v>
      </c>
      <c r="AO215" s="936">
        <f t="shared" si="146"/>
        <v>0</v>
      </c>
      <c r="AP215" s="936">
        <f t="shared" si="147"/>
        <v>0</v>
      </c>
      <c r="AQ215" s="936">
        <f t="shared" si="148"/>
        <v>0</v>
      </c>
      <c r="AR215" s="936">
        <f t="shared" si="149"/>
        <v>0</v>
      </c>
      <c r="AS215" s="936">
        <f t="shared" si="150"/>
        <v>0</v>
      </c>
      <c r="AT215" s="936">
        <f t="shared" si="151"/>
        <v>0</v>
      </c>
      <c r="AU215" s="936">
        <f t="shared" si="152"/>
        <v>0</v>
      </c>
      <c r="AV215" s="936">
        <f t="shared" si="153"/>
        <v>0</v>
      </c>
      <c r="AW215" s="936">
        <f t="shared" si="154"/>
        <v>0</v>
      </c>
      <c r="AX215" s="936">
        <f t="shared" si="155"/>
        <v>0</v>
      </c>
      <c r="AY215" s="936">
        <f t="shared" si="156"/>
        <v>0</v>
      </c>
      <c r="AZ215" s="936">
        <f t="shared" si="157"/>
        <v>0</v>
      </c>
      <c r="BA215" s="936">
        <f t="shared" si="158"/>
        <v>0</v>
      </c>
      <c r="BB215" s="937">
        <f t="shared" si="159"/>
        <v>0</v>
      </c>
      <c r="BC215" s="938"/>
    </row>
    <row r="216" spans="2:55" s="934" customFormat="1" ht="15">
      <c r="B216" s="909">
        <v>2026</v>
      </c>
      <c r="C216" s="1218" t="s">
        <v>803</v>
      </c>
      <c r="D216" s="932">
        <v>0</v>
      </c>
      <c r="E216" s="932">
        <v>0</v>
      </c>
      <c r="F216" s="932">
        <v>0</v>
      </c>
      <c r="G216" s="932">
        <v>0</v>
      </c>
      <c r="H216" s="932">
        <v>0</v>
      </c>
      <c r="I216" s="932">
        <v>0</v>
      </c>
      <c r="J216" s="932">
        <v>0</v>
      </c>
      <c r="K216" s="932">
        <v>0</v>
      </c>
      <c r="L216" s="932">
        <v>0</v>
      </c>
      <c r="M216" s="932">
        <v>0</v>
      </c>
      <c r="N216" s="932">
        <v>0</v>
      </c>
      <c r="O216" s="932">
        <v>0</v>
      </c>
      <c r="P216" s="932">
        <v>0</v>
      </c>
      <c r="Q216" s="932">
        <v>0</v>
      </c>
      <c r="R216" s="932">
        <v>0</v>
      </c>
      <c r="S216" s="932">
        <v>0</v>
      </c>
      <c r="T216" s="932">
        <v>0</v>
      </c>
      <c r="U216" s="932">
        <v>0</v>
      </c>
      <c r="V216" s="932">
        <v>0</v>
      </c>
      <c r="W216" s="932">
        <v>0</v>
      </c>
      <c r="X216" s="932">
        <v>0</v>
      </c>
      <c r="Y216" s="932">
        <v>0</v>
      </c>
      <c r="Z216" s="932">
        <v>0</v>
      </c>
      <c r="AA216" s="932">
        <v>0</v>
      </c>
      <c r="AB216" s="933">
        <v>0</v>
      </c>
      <c r="AD216" s="935">
        <f t="shared" si="135"/>
        <v>0</v>
      </c>
      <c r="AE216" s="936">
        <f t="shared" si="136"/>
        <v>0</v>
      </c>
      <c r="AF216" s="936">
        <f t="shared" si="137"/>
        <v>0</v>
      </c>
      <c r="AG216" s="936">
        <f t="shared" si="138"/>
        <v>0</v>
      </c>
      <c r="AH216" s="936">
        <f t="shared" si="139"/>
        <v>0</v>
      </c>
      <c r="AI216" s="936">
        <f t="shared" si="140"/>
        <v>0</v>
      </c>
      <c r="AJ216" s="936">
        <f t="shared" si="141"/>
        <v>0</v>
      </c>
      <c r="AK216" s="936">
        <f t="shared" si="142"/>
        <v>0</v>
      </c>
      <c r="AL216" s="936">
        <f t="shared" si="143"/>
        <v>0</v>
      </c>
      <c r="AM216" s="936">
        <f t="shared" si="144"/>
        <v>0</v>
      </c>
      <c r="AN216" s="936">
        <f t="shared" si="145"/>
        <v>0</v>
      </c>
      <c r="AO216" s="936">
        <f t="shared" si="146"/>
        <v>0</v>
      </c>
      <c r="AP216" s="936">
        <f t="shared" si="147"/>
        <v>0</v>
      </c>
      <c r="AQ216" s="936">
        <f t="shared" si="148"/>
        <v>0</v>
      </c>
      <c r="AR216" s="936">
        <f t="shared" si="149"/>
        <v>0</v>
      </c>
      <c r="AS216" s="936">
        <f t="shared" si="150"/>
        <v>0</v>
      </c>
      <c r="AT216" s="936">
        <f t="shared" si="151"/>
        <v>0</v>
      </c>
      <c r="AU216" s="936">
        <f t="shared" si="152"/>
        <v>0</v>
      </c>
      <c r="AV216" s="936">
        <f t="shared" si="153"/>
        <v>0</v>
      </c>
      <c r="AW216" s="936">
        <f t="shared" si="154"/>
        <v>0</v>
      </c>
      <c r="AX216" s="936">
        <f t="shared" si="155"/>
        <v>0</v>
      </c>
      <c r="AY216" s="936">
        <f t="shared" si="156"/>
        <v>0</v>
      </c>
      <c r="AZ216" s="936">
        <f t="shared" si="157"/>
        <v>0</v>
      </c>
      <c r="BA216" s="936">
        <f t="shared" si="158"/>
        <v>0</v>
      </c>
      <c r="BB216" s="937">
        <f t="shared" si="159"/>
        <v>0</v>
      </c>
      <c r="BC216" s="938"/>
    </row>
    <row r="217" spans="2:55" s="934" customFormat="1" ht="15">
      <c r="B217" s="909">
        <v>2027</v>
      </c>
      <c r="C217" s="1218" t="s">
        <v>804</v>
      </c>
      <c r="D217" s="932">
        <v>0</v>
      </c>
      <c r="E217" s="932">
        <v>0</v>
      </c>
      <c r="F217" s="932">
        <v>0</v>
      </c>
      <c r="G217" s="932">
        <v>0</v>
      </c>
      <c r="H217" s="932">
        <v>0</v>
      </c>
      <c r="I217" s="932">
        <v>0</v>
      </c>
      <c r="J217" s="932">
        <v>0</v>
      </c>
      <c r="K217" s="932">
        <v>0</v>
      </c>
      <c r="L217" s="932">
        <v>0</v>
      </c>
      <c r="M217" s="932">
        <v>0</v>
      </c>
      <c r="N217" s="932">
        <v>0</v>
      </c>
      <c r="O217" s="932">
        <v>0</v>
      </c>
      <c r="P217" s="932">
        <v>0</v>
      </c>
      <c r="Q217" s="932">
        <v>0</v>
      </c>
      <c r="R217" s="932">
        <v>0</v>
      </c>
      <c r="S217" s="932">
        <v>0</v>
      </c>
      <c r="T217" s="932">
        <v>0</v>
      </c>
      <c r="U217" s="932">
        <v>0</v>
      </c>
      <c r="V217" s="932">
        <v>0</v>
      </c>
      <c r="W217" s="932">
        <v>0</v>
      </c>
      <c r="X217" s="932">
        <v>0</v>
      </c>
      <c r="Y217" s="932">
        <v>0</v>
      </c>
      <c r="Z217" s="932">
        <v>0</v>
      </c>
      <c r="AA217" s="932">
        <v>0</v>
      </c>
      <c r="AB217" s="933">
        <v>0</v>
      </c>
      <c r="AD217" s="935">
        <f t="shared" si="135"/>
        <v>0</v>
      </c>
      <c r="AE217" s="936">
        <f t="shared" si="136"/>
        <v>0</v>
      </c>
      <c r="AF217" s="936">
        <f t="shared" si="137"/>
        <v>0</v>
      </c>
      <c r="AG217" s="936">
        <f t="shared" si="138"/>
        <v>0</v>
      </c>
      <c r="AH217" s="936">
        <f t="shared" si="139"/>
        <v>0</v>
      </c>
      <c r="AI217" s="936">
        <f t="shared" si="140"/>
        <v>0</v>
      </c>
      <c r="AJ217" s="936">
        <f t="shared" si="141"/>
        <v>0</v>
      </c>
      <c r="AK217" s="936">
        <f t="shared" si="142"/>
        <v>0</v>
      </c>
      <c r="AL217" s="936">
        <f t="shared" si="143"/>
        <v>0</v>
      </c>
      <c r="AM217" s="936">
        <f t="shared" si="144"/>
        <v>0</v>
      </c>
      <c r="AN217" s="936">
        <f t="shared" si="145"/>
        <v>0</v>
      </c>
      <c r="AO217" s="936">
        <f t="shared" si="146"/>
        <v>0</v>
      </c>
      <c r="AP217" s="936">
        <f t="shared" si="147"/>
        <v>0</v>
      </c>
      <c r="AQ217" s="936">
        <f t="shared" si="148"/>
        <v>0</v>
      </c>
      <c r="AR217" s="936">
        <f t="shared" si="149"/>
        <v>0</v>
      </c>
      <c r="AS217" s="936">
        <f t="shared" si="150"/>
        <v>0</v>
      </c>
      <c r="AT217" s="936">
        <f t="shared" si="151"/>
        <v>0</v>
      </c>
      <c r="AU217" s="936">
        <f t="shared" si="152"/>
        <v>0</v>
      </c>
      <c r="AV217" s="936">
        <f t="shared" si="153"/>
        <v>0</v>
      </c>
      <c r="AW217" s="936">
        <f t="shared" si="154"/>
        <v>0</v>
      </c>
      <c r="AX217" s="936">
        <f t="shared" si="155"/>
        <v>0</v>
      </c>
      <c r="AY217" s="936">
        <f t="shared" si="156"/>
        <v>0</v>
      </c>
      <c r="AZ217" s="936">
        <f t="shared" si="157"/>
        <v>0</v>
      </c>
      <c r="BA217" s="936">
        <f t="shared" si="158"/>
        <v>0</v>
      </c>
      <c r="BB217" s="937">
        <f t="shared" si="159"/>
        <v>0</v>
      </c>
      <c r="BC217" s="938"/>
    </row>
    <row r="218" spans="2:55" s="934" customFormat="1" ht="15">
      <c r="B218" s="909">
        <v>2028</v>
      </c>
      <c r="C218" s="1218" t="s">
        <v>805</v>
      </c>
      <c r="D218" s="932">
        <v>0</v>
      </c>
      <c r="E218" s="932">
        <v>0</v>
      </c>
      <c r="F218" s="932">
        <v>0</v>
      </c>
      <c r="G218" s="932">
        <v>0</v>
      </c>
      <c r="H218" s="932">
        <v>0</v>
      </c>
      <c r="I218" s="932">
        <v>0</v>
      </c>
      <c r="J218" s="932">
        <v>0</v>
      </c>
      <c r="K218" s="932">
        <v>0</v>
      </c>
      <c r="L218" s="932">
        <v>0</v>
      </c>
      <c r="M218" s="932">
        <v>0</v>
      </c>
      <c r="N218" s="932">
        <v>0</v>
      </c>
      <c r="O218" s="932">
        <v>0</v>
      </c>
      <c r="P218" s="932">
        <v>0</v>
      </c>
      <c r="Q218" s="932">
        <v>0</v>
      </c>
      <c r="R218" s="932">
        <v>0</v>
      </c>
      <c r="S218" s="932">
        <v>0</v>
      </c>
      <c r="T218" s="932">
        <v>0</v>
      </c>
      <c r="U218" s="932">
        <v>0</v>
      </c>
      <c r="V218" s="932">
        <v>0</v>
      </c>
      <c r="W218" s="932">
        <v>0</v>
      </c>
      <c r="X218" s="932">
        <v>0</v>
      </c>
      <c r="Y218" s="932">
        <v>0</v>
      </c>
      <c r="Z218" s="932">
        <v>0</v>
      </c>
      <c r="AA218" s="932">
        <v>0</v>
      </c>
      <c r="AB218" s="933">
        <v>0</v>
      </c>
      <c r="AD218" s="935">
        <f t="shared" si="135"/>
        <v>0</v>
      </c>
      <c r="AE218" s="936">
        <f t="shared" si="136"/>
        <v>0</v>
      </c>
      <c r="AF218" s="936">
        <f t="shared" si="137"/>
        <v>0</v>
      </c>
      <c r="AG218" s="936">
        <f t="shared" si="138"/>
        <v>0</v>
      </c>
      <c r="AH218" s="936">
        <f t="shared" si="139"/>
        <v>0</v>
      </c>
      <c r="AI218" s="936">
        <f t="shared" si="140"/>
        <v>0</v>
      </c>
      <c r="AJ218" s="936">
        <f t="shared" si="141"/>
        <v>0</v>
      </c>
      <c r="AK218" s="936">
        <f t="shared" si="142"/>
        <v>0</v>
      </c>
      <c r="AL218" s="936">
        <f t="shared" si="143"/>
        <v>0</v>
      </c>
      <c r="AM218" s="936">
        <f t="shared" si="144"/>
        <v>0</v>
      </c>
      <c r="AN218" s="936">
        <f t="shared" si="145"/>
        <v>0</v>
      </c>
      <c r="AO218" s="936">
        <f t="shared" si="146"/>
        <v>0</v>
      </c>
      <c r="AP218" s="936">
        <f t="shared" si="147"/>
        <v>0</v>
      </c>
      <c r="AQ218" s="936">
        <f t="shared" si="148"/>
        <v>0</v>
      </c>
      <c r="AR218" s="936">
        <f t="shared" si="149"/>
        <v>0</v>
      </c>
      <c r="AS218" s="936">
        <f t="shared" si="150"/>
        <v>0</v>
      </c>
      <c r="AT218" s="936">
        <f t="shared" si="151"/>
        <v>0</v>
      </c>
      <c r="AU218" s="936">
        <f t="shared" si="152"/>
        <v>0</v>
      </c>
      <c r="AV218" s="936">
        <f t="shared" si="153"/>
        <v>0</v>
      </c>
      <c r="AW218" s="936">
        <f t="shared" si="154"/>
        <v>0</v>
      </c>
      <c r="AX218" s="936">
        <f t="shared" si="155"/>
        <v>0</v>
      </c>
      <c r="AY218" s="936">
        <f t="shared" si="156"/>
        <v>0</v>
      </c>
      <c r="AZ218" s="936">
        <f t="shared" si="157"/>
        <v>0</v>
      </c>
      <c r="BA218" s="936">
        <f t="shared" si="158"/>
        <v>0</v>
      </c>
      <c r="BB218" s="937">
        <f t="shared" si="159"/>
        <v>0</v>
      </c>
      <c r="BC218" s="938"/>
    </row>
    <row r="219" spans="2:55" s="934" customFormat="1" ht="15">
      <c r="B219" s="909">
        <v>2029</v>
      </c>
      <c r="C219" s="1218" t="s">
        <v>806</v>
      </c>
      <c r="D219" s="932">
        <v>0</v>
      </c>
      <c r="E219" s="932">
        <v>0</v>
      </c>
      <c r="F219" s="932">
        <v>0</v>
      </c>
      <c r="G219" s="932">
        <v>0</v>
      </c>
      <c r="H219" s="932">
        <v>0</v>
      </c>
      <c r="I219" s="932">
        <v>0</v>
      </c>
      <c r="J219" s="932">
        <v>0</v>
      </c>
      <c r="K219" s="932">
        <v>0</v>
      </c>
      <c r="L219" s="932">
        <v>0</v>
      </c>
      <c r="M219" s="932">
        <v>0</v>
      </c>
      <c r="N219" s="932">
        <v>0</v>
      </c>
      <c r="O219" s="932">
        <v>0</v>
      </c>
      <c r="P219" s="932">
        <v>0</v>
      </c>
      <c r="Q219" s="932">
        <v>0</v>
      </c>
      <c r="R219" s="932">
        <v>0</v>
      </c>
      <c r="S219" s="932">
        <v>0</v>
      </c>
      <c r="T219" s="932">
        <v>0</v>
      </c>
      <c r="U219" s="932">
        <v>0</v>
      </c>
      <c r="V219" s="932">
        <v>0</v>
      </c>
      <c r="W219" s="932">
        <v>0</v>
      </c>
      <c r="X219" s="932">
        <v>0</v>
      </c>
      <c r="Y219" s="932">
        <v>0</v>
      </c>
      <c r="Z219" s="932">
        <v>0</v>
      </c>
      <c r="AA219" s="932">
        <v>0</v>
      </c>
      <c r="AB219" s="933">
        <v>0</v>
      </c>
      <c r="AD219" s="935">
        <f t="shared" si="135"/>
        <v>0</v>
      </c>
      <c r="AE219" s="936">
        <f t="shared" si="136"/>
        <v>0</v>
      </c>
      <c r="AF219" s="936">
        <f t="shared" si="137"/>
        <v>0</v>
      </c>
      <c r="AG219" s="936">
        <f t="shared" si="138"/>
        <v>0</v>
      </c>
      <c r="AH219" s="936">
        <f t="shared" si="139"/>
        <v>0</v>
      </c>
      <c r="AI219" s="936">
        <f t="shared" si="140"/>
        <v>0</v>
      </c>
      <c r="AJ219" s="936">
        <f t="shared" si="141"/>
        <v>0</v>
      </c>
      <c r="AK219" s="936">
        <f t="shared" si="142"/>
        <v>0</v>
      </c>
      <c r="AL219" s="936">
        <f t="shared" si="143"/>
        <v>0</v>
      </c>
      <c r="AM219" s="936">
        <f t="shared" si="144"/>
        <v>0</v>
      </c>
      <c r="AN219" s="936">
        <f t="shared" si="145"/>
        <v>0</v>
      </c>
      <c r="AO219" s="936">
        <f t="shared" si="146"/>
        <v>0</v>
      </c>
      <c r="AP219" s="936">
        <f t="shared" si="147"/>
        <v>0</v>
      </c>
      <c r="AQ219" s="936">
        <f t="shared" si="148"/>
        <v>0</v>
      </c>
      <c r="AR219" s="936">
        <f t="shared" si="149"/>
        <v>0</v>
      </c>
      <c r="AS219" s="936">
        <f t="shared" si="150"/>
        <v>0</v>
      </c>
      <c r="AT219" s="936">
        <f t="shared" si="151"/>
        <v>0</v>
      </c>
      <c r="AU219" s="936">
        <f t="shared" si="152"/>
        <v>0</v>
      </c>
      <c r="AV219" s="936">
        <f t="shared" si="153"/>
        <v>0</v>
      </c>
      <c r="AW219" s="936">
        <f t="shared" si="154"/>
        <v>0</v>
      </c>
      <c r="AX219" s="936">
        <f t="shared" si="155"/>
        <v>0</v>
      </c>
      <c r="AY219" s="936">
        <f t="shared" si="156"/>
        <v>0</v>
      </c>
      <c r="AZ219" s="936">
        <f t="shared" si="157"/>
        <v>0</v>
      </c>
      <c r="BA219" s="936">
        <f t="shared" si="158"/>
        <v>0</v>
      </c>
      <c r="BB219" s="937">
        <f t="shared" si="159"/>
        <v>0</v>
      </c>
      <c r="BC219" s="938"/>
    </row>
    <row r="220" spans="2:55" s="934" customFormat="1" ht="15">
      <c r="B220" s="909">
        <v>2030</v>
      </c>
      <c r="C220" s="1218" t="s">
        <v>807</v>
      </c>
      <c r="D220" s="932">
        <v>0</v>
      </c>
      <c r="E220" s="932">
        <v>0</v>
      </c>
      <c r="F220" s="932">
        <v>0</v>
      </c>
      <c r="G220" s="932">
        <v>0</v>
      </c>
      <c r="H220" s="932">
        <v>0</v>
      </c>
      <c r="I220" s="932">
        <v>0</v>
      </c>
      <c r="J220" s="932">
        <v>0</v>
      </c>
      <c r="K220" s="932">
        <v>0</v>
      </c>
      <c r="L220" s="932">
        <v>0</v>
      </c>
      <c r="M220" s="932">
        <v>0</v>
      </c>
      <c r="N220" s="932">
        <v>0</v>
      </c>
      <c r="O220" s="932">
        <v>0</v>
      </c>
      <c r="P220" s="932">
        <v>0</v>
      </c>
      <c r="Q220" s="932">
        <v>0</v>
      </c>
      <c r="R220" s="932">
        <v>0</v>
      </c>
      <c r="S220" s="932">
        <v>0</v>
      </c>
      <c r="T220" s="932">
        <v>0</v>
      </c>
      <c r="U220" s="932">
        <v>0</v>
      </c>
      <c r="V220" s="932">
        <v>0</v>
      </c>
      <c r="W220" s="932">
        <v>0</v>
      </c>
      <c r="X220" s="932">
        <v>0</v>
      </c>
      <c r="Y220" s="932">
        <v>0</v>
      </c>
      <c r="Z220" s="932">
        <v>0</v>
      </c>
      <c r="AA220" s="932">
        <v>0</v>
      </c>
      <c r="AB220" s="933">
        <v>0</v>
      </c>
      <c r="AD220" s="935">
        <f t="shared" si="135"/>
        <v>0</v>
      </c>
      <c r="AE220" s="936">
        <f t="shared" si="136"/>
        <v>0</v>
      </c>
      <c r="AF220" s="936">
        <f t="shared" si="137"/>
        <v>0</v>
      </c>
      <c r="AG220" s="936">
        <f t="shared" si="138"/>
        <v>0</v>
      </c>
      <c r="AH220" s="936">
        <f t="shared" si="139"/>
        <v>0</v>
      </c>
      <c r="AI220" s="936">
        <f t="shared" si="140"/>
        <v>0</v>
      </c>
      <c r="AJ220" s="936">
        <f t="shared" si="141"/>
        <v>0</v>
      </c>
      <c r="AK220" s="936">
        <f t="shared" si="142"/>
        <v>0</v>
      </c>
      <c r="AL220" s="936">
        <f t="shared" si="143"/>
        <v>0</v>
      </c>
      <c r="AM220" s="936">
        <f t="shared" si="144"/>
        <v>0</v>
      </c>
      <c r="AN220" s="936">
        <f t="shared" si="145"/>
        <v>0</v>
      </c>
      <c r="AO220" s="936">
        <f t="shared" si="146"/>
        <v>0</v>
      </c>
      <c r="AP220" s="936">
        <f t="shared" si="147"/>
        <v>0</v>
      </c>
      <c r="AQ220" s="936">
        <f t="shared" si="148"/>
        <v>0</v>
      </c>
      <c r="AR220" s="936">
        <f t="shared" si="149"/>
        <v>0</v>
      </c>
      <c r="AS220" s="936">
        <f t="shared" si="150"/>
        <v>0</v>
      </c>
      <c r="AT220" s="936">
        <f t="shared" si="151"/>
        <v>0</v>
      </c>
      <c r="AU220" s="936">
        <f t="shared" si="152"/>
        <v>0</v>
      </c>
      <c r="AV220" s="936">
        <f t="shared" si="153"/>
        <v>0</v>
      </c>
      <c r="AW220" s="936">
        <f t="shared" si="154"/>
        <v>0</v>
      </c>
      <c r="AX220" s="936">
        <f t="shared" si="155"/>
        <v>0</v>
      </c>
      <c r="AY220" s="936">
        <f t="shared" si="156"/>
        <v>0</v>
      </c>
      <c r="AZ220" s="936">
        <f t="shared" si="157"/>
        <v>0</v>
      </c>
      <c r="BA220" s="936">
        <f t="shared" si="158"/>
        <v>0</v>
      </c>
      <c r="BB220" s="937">
        <f t="shared" si="159"/>
        <v>0</v>
      </c>
      <c r="BC220" s="938"/>
    </row>
    <row r="221" spans="2:55" s="934" customFormat="1" ht="15">
      <c r="B221" s="909">
        <v>2031</v>
      </c>
      <c r="C221" s="1218" t="s">
        <v>808</v>
      </c>
      <c r="D221" s="932">
        <v>9.8715447810227399</v>
      </c>
      <c r="E221" s="932">
        <v>9.8715447810227399</v>
      </c>
      <c r="F221" s="932">
        <v>9.8715447810227399</v>
      </c>
      <c r="G221" s="932">
        <v>9.8715447810227399</v>
      </c>
      <c r="H221" s="932">
        <v>9.8715447810227399</v>
      </c>
      <c r="I221" s="932">
        <v>9.8715447810227399</v>
      </c>
      <c r="J221" s="932">
        <v>9.8715447810227399</v>
      </c>
      <c r="K221" s="932">
        <v>9.8715447810227399</v>
      </c>
      <c r="L221" s="932">
        <v>9.8715447810227399</v>
      </c>
      <c r="M221" s="932">
        <v>9.8715447810227399</v>
      </c>
      <c r="N221" s="932">
        <v>9.8715447810227399</v>
      </c>
      <c r="O221" s="932">
        <v>9.8715447810227399</v>
      </c>
      <c r="P221" s="932">
        <v>9.8715447810227399</v>
      </c>
      <c r="Q221" s="932">
        <v>9.8715447810227399</v>
      </c>
      <c r="R221" s="932">
        <v>9.8715447810227399</v>
      </c>
      <c r="S221" s="932">
        <v>9.8715447810227399</v>
      </c>
      <c r="T221" s="932">
        <v>9.8715447810227399</v>
      </c>
      <c r="U221" s="932">
        <v>9.8715447810227399</v>
      </c>
      <c r="V221" s="932">
        <v>9.8715447810227399</v>
      </c>
      <c r="W221" s="932">
        <v>9.8715447810227399</v>
      </c>
      <c r="X221" s="932">
        <v>9.8715447810227399</v>
      </c>
      <c r="Y221" s="932">
        <v>9.8715447810227399</v>
      </c>
      <c r="Z221" s="932">
        <v>9.8715447810227399</v>
      </c>
      <c r="AA221" s="932">
        <v>9.8715447810227399</v>
      </c>
      <c r="AB221" s="933">
        <v>9.8715447810227399</v>
      </c>
      <c r="AD221" s="935">
        <f t="shared" si="135"/>
        <v>16.785457675923602</v>
      </c>
      <c r="AE221" s="936">
        <f t="shared" si="136"/>
        <v>16.785457675923602</v>
      </c>
      <c r="AF221" s="936">
        <f t="shared" si="137"/>
        <v>16.785457675923602</v>
      </c>
      <c r="AG221" s="936">
        <f t="shared" si="138"/>
        <v>16.785457675923602</v>
      </c>
      <c r="AH221" s="936">
        <f t="shared" si="139"/>
        <v>16.785457675923602</v>
      </c>
      <c r="AI221" s="936">
        <f t="shared" si="140"/>
        <v>16.785457675923602</v>
      </c>
      <c r="AJ221" s="936">
        <f t="shared" si="141"/>
        <v>16.785457675923602</v>
      </c>
      <c r="AK221" s="936">
        <f t="shared" si="142"/>
        <v>16.785457675923602</v>
      </c>
      <c r="AL221" s="936">
        <f t="shared" si="143"/>
        <v>16.785457675923602</v>
      </c>
      <c r="AM221" s="936">
        <f t="shared" si="144"/>
        <v>16.785457675923602</v>
      </c>
      <c r="AN221" s="936">
        <f t="shared" si="145"/>
        <v>16.785457675923602</v>
      </c>
      <c r="AO221" s="936">
        <f t="shared" si="146"/>
        <v>16.785457675923602</v>
      </c>
      <c r="AP221" s="936">
        <f t="shared" si="147"/>
        <v>16.785457675923602</v>
      </c>
      <c r="AQ221" s="936">
        <f t="shared" si="148"/>
        <v>16.785457675923602</v>
      </c>
      <c r="AR221" s="936">
        <f t="shared" si="149"/>
        <v>16.785457675923602</v>
      </c>
      <c r="AS221" s="936">
        <f t="shared" si="150"/>
        <v>16.785457675923602</v>
      </c>
      <c r="AT221" s="936">
        <f t="shared" si="151"/>
        <v>16.785457675923602</v>
      </c>
      <c r="AU221" s="936">
        <f t="shared" si="152"/>
        <v>16.785457675923602</v>
      </c>
      <c r="AV221" s="936">
        <f t="shared" si="153"/>
        <v>16.785457675923602</v>
      </c>
      <c r="AW221" s="936">
        <f t="shared" si="154"/>
        <v>16.785457675923602</v>
      </c>
      <c r="AX221" s="936">
        <f t="shared" si="155"/>
        <v>16.785457675923602</v>
      </c>
      <c r="AY221" s="936">
        <f t="shared" si="156"/>
        <v>16.785457675923602</v>
      </c>
      <c r="AZ221" s="936">
        <f t="shared" si="157"/>
        <v>16.785457675923602</v>
      </c>
      <c r="BA221" s="936">
        <f t="shared" si="158"/>
        <v>16.785457675923602</v>
      </c>
      <c r="BB221" s="937">
        <f t="shared" si="159"/>
        <v>16.785457675923602</v>
      </c>
      <c r="BC221" s="938"/>
    </row>
    <row r="222" spans="2:55" s="934" customFormat="1" ht="15">
      <c r="B222" s="909">
        <v>2032</v>
      </c>
      <c r="C222" s="1218" t="s">
        <v>809</v>
      </c>
      <c r="D222" s="932">
        <v>4.981155263757012</v>
      </c>
      <c r="E222" s="932">
        <v>15.010326935750998</v>
      </c>
      <c r="F222" s="932">
        <v>15.010326935750998</v>
      </c>
      <c r="G222" s="932">
        <v>15.010326935750998</v>
      </c>
      <c r="H222" s="932">
        <v>15.010326935750998</v>
      </c>
      <c r="I222" s="932">
        <v>15.010326935750998</v>
      </c>
      <c r="J222" s="932">
        <v>15.010326935750998</v>
      </c>
      <c r="K222" s="932">
        <v>15.010326935750998</v>
      </c>
      <c r="L222" s="932">
        <v>15.010326935750998</v>
      </c>
      <c r="M222" s="932">
        <v>15.010326935750998</v>
      </c>
      <c r="N222" s="932">
        <v>15.010326935750998</v>
      </c>
      <c r="O222" s="932">
        <v>15.010326935750998</v>
      </c>
      <c r="P222" s="932">
        <v>15.010326935750998</v>
      </c>
      <c r="Q222" s="932">
        <v>15.010326935750998</v>
      </c>
      <c r="R222" s="932">
        <v>15.010326935750998</v>
      </c>
      <c r="S222" s="932">
        <v>15.010326935750998</v>
      </c>
      <c r="T222" s="932">
        <v>15.010326935750998</v>
      </c>
      <c r="U222" s="932">
        <v>15.010326935750998</v>
      </c>
      <c r="V222" s="932">
        <v>15.010326935750998</v>
      </c>
      <c r="W222" s="932">
        <v>15.010326935750998</v>
      </c>
      <c r="X222" s="932">
        <v>15.010326935750998</v>
      </c>
      <c r="Y222" s="932">
        <v>15.010326935750998</v>
      </c>
      <c r="Z222" s="932">
        <v>15.010326935750998</v>
      </c>
      <c r="AA222" s="932">
        <v>15.010326935750998</v>
      </c>
      <c r="AB222" s="933">
        <v>15.010326935750998</v>
      </c>
      <c r="AD222" s="935">
        <f t="shared" si="135"/>
        <v>8.4698973374190487</v>
      </c>
      <c r="AE222" s="936">
        <f t="shared" si="136"/>
        <v>25.52338190940371</v>
      </c>
      <c r="AF222" s="936">
        <f t="shared" si="137"/>
        <v>25.52338190940371</v>
      </c>
      <c r="AG222" s="936">
        <f t="shared" si="138"/>
        <v>25.52338190940371</v>
      </c>
      <c r="AH222" s="936">
        <f t="shared" si="139"/>
        <v>25.52338190940371</v>
      </c>
      <c r="AI222" s="936">
        <f t="shared" si="140"/>
        <v>25.52338190940371</v>
      </c>
      <c r="AJ222" s="936">
        <f t="shared" si="141"/>
        <v>25.52338190940371</v>
      </c>
      <c r="AK222" s="936">
        <f t="shared" si="142"/>
        <v>25.52338190940371</v>
      </c>
      <c r="AL222" s="936">
        <f t="shared" si="143"/>
        <v>25.52338190940371</v>
      </c>
      <c r="AM222" s="936">
        <f t="shared" si="144"/>
        <v>25.52338190940371</v>
      </c>
      <c r="AN222" s="936">
        <f t="shared" si="145"/>
        <v>25.52338190940371</v>
      </c>
      <c r="AO222" s="936">
        <f t="shared" si="146"/>
        <v>25.52338190940371</v>
      </c>
      <c r="AP222" s="936">
        <f t="shared" si="147"/>
        <v>25.52338190940371</v>
      </c>
      <c r="AQ222" s="936">
        <f t="shared" si="148"/>
        <v>25.52338190940371</v>
      </c>
      <c r="AR222" s="936">
        <f t="shared" si="149"/>
        <v>25.52338190940371</v>
      </c>
      <c r="AS222" s="936">
        <f t="shared" si="150"/>
        <v>25.52338190940371</v>
      </c>
      <c r="AT222" s="936">
        <f t="shared" si="151"/>
        <v>25.52338190940371</v>
      </c>
      <c r="AU222" s="936">
        <f t="shared" si="152"/>
        <v>25.52338190940371</v>
      </c>
      <c r="AV222" s="936">
        <f t="shared" si="153"/>
        <v>25.52338190940371</v>
      </c>
      <c r="AW222" s="936">
        <f t="shared" si="154"/>
        <v>25.52338190940371</v>
      </c>
      <c r="AX222" s="936">
        <f t="shared" si="155"/>
        <v>25.52338190940371</v>
      </c>
      <c r="AY222" s="936">
        <f t="shared" si="156"/>
        <v>25.52338190940371</v>
      </c>
      <c r="AZ222" s="936">
        <f t="shared" si="157"/>
        <v>25.52338190940371</v>
      </c>
      <c r="BA222" s="936">
        <f t="shared" si="158"/>
        <v>25.52338190940371</v>
      </c>
      <c r="BB222" s="937">
        <f t="shared" si="159"/>
        <v>25.52338190940371</v>
      </c>
      <c r="BC222" s="938"/>
    </row>
    <row r="223" spans="2:55" s="934" customFormat="1" ht="15">
      <c r="B223" s="909">
        <v>2033</v>
      </c>
      <c r="C223" s="1218" t="s">
        <v>810</v>
      </c>
      <c r="D223" s="932">
        <v>3.9903170047527214</v>
      </c>
      <c r="E223" s="932">
        <v>9.0289376293981061</v>
      </c>
      <c r="F223" s="932">
        <v>19.173811370294853</v>
      </c>
      <c r="G223" s="932">
        <v>19.173811370294853</v>
      </c>
      <c r="H223" s="932">
        <v>19.173811370294853</v>
      </c>
      <c r="I223" s="932">
        <v>19.173811370294853</v>
      </c>
      <c r="J223" s="932">
        <v>19.173811370294853</v>
      </c>
      <c r="K223" s="932">
        <v>19.173811370294853</v>
      </c>
      <c r="L223" s="932">
        <v>19.173811370294853</v>
      </c>
      <c r="M223" s="932">
        <v>19.173811370294853</v>
      </c>
      <c r="N223" s="932">
        <v>19.173811370294853</v>
      </c>
      <c r="O223" s="932">
        <v>19.173811370294853</v>
      </c>
      <c r="P223" s="932">
        <v>19.173811370294853</v>
      </c>
      <c r="Q223" s="932">
        <v>19.173811370294853</v>
      </c>
      <c r="R223" s="932">
        <v>19.173811370294853</v>
      </c>
      <c r="S223" s="932">
        <v>19.173811370294853</v>
      </c>
      <c r="T223" s="932">
        <v>19.173811370294853</v>
      </c>
      <c r="U223" s="932">
        <v>19.173811370294853</v>
      </c>
      <c r="V223" s="932">
        <v>19.173811370294853</v>
      </c>
      <c r="W223" s="932">
        <v>19.173811370294853</v>
      </c>
      <c r="X223" s="932">
        <v>19.173811370294853</v>
      </c>
      <c r="Y223" s="932">
        <v>19.173811370294853</v>
      </c>
      <c r="Z223" s="932">
        <v>19.173811370294853</v>
      </c>
      <c r="AA223" s="932">
        <v>19.173811370294853</v>
      </c>
      <c r="AB223" s="933">
        <v>19.173811370294853</v>
      </c>
      <c r="AD223" s="935">
        <f t="shared" si="135"/>
        <v>6.7850877124680045</v>
      </c>
      <c r="AE223" s="936">
        <f t="shared" si="136"/>
        <v>15.352698468042009</v>
      </c>
      <c r="AF223" s="936">
        <f t="shared" si="137"/>
        <v>32.602921465842016</v>
      </c>
      <c r="AG223" s="936">
        <f t="shared" si="138"/>
        <v>32.602921465842016</v>
      </c>
      <c r="AH223" s="936">
        <f t="shared" si="139"/>
        <v>32.602921465842016</v>
      </c>
      <c r="AI223" s="936">
        <f t="shared" si="140"/>
        <v>32.602921465842016</v>
      </c>
      <c r="AJ223" s="936">
        <f t="shared" si="141"/>
        <v>32.602921465842016</v>
      </c>
      <c r="AK223" s="936">
        <f t="shared" si="142"/>
        <v>32.602921465842016</v>
      </c>
      <c r="AL223" s="936">
        <f t="shared" si="143"/>
        <v>32.602921465842016</v>
      </c>
      <c r="AM223" s="936">
        <f t="shared" si="144"/>
        <v>32.602921465842016</v>
      </c>
      <c r="AN223" s="936">
        <f t="shared" si="145"/>
        <v>32.602921465842016</v>
      </c>
      <c r="AO223" s="936">
        <f t="shared" si="146"/>
        <v>32.602921465842016</v>
      </c>
      <c r="AP223" s="936">
        <f t="shared" si="147"/>
        <v>32.602921465842016</v>
      </c>
      <c r="AQ223" s="936">
        <f t="shared" si="148"/>
        <v>32.602921465842016</v>
      </c>
      <c r="AR223" s="936">
        <f t="shared" si="149"/>
        <v>32.602921465842016</v>
      </c>
      <c r="AS223" s="936">
        <f t="shared" si="150"/>
        <v>32.602921465842016</v>
      </c>
      <c r="AT223" s="936">
        <f t="shared" si="151"/>
        <v>32.602921465842016</v>
      </c>
      <c r="AU223" s="936">
        <f t="shared" si="152"/>
        <v>32.602921465842016</v>
      </c>
      <c r="AV223" s="936">
        <f t="shared" si="153"/>
        <v>32.602921465842016</v>
      </c>
      <c r="AW223" s="936">
        <f t="shared" si="154"/>
        <v>32.602921465842016</v>
      </c>
      <c r="AX223" s="936">
        <f t="shared" si="155"/>
        <v>32.602921465842016</v>
      </c>
      <c r="AY223" s="936">
        <f t="shared" si="156"/>
        <v>32.602921465842016</v>
      </c>
      <c r="AZ223" s="936">
        <f t="shared" si="157"/>
        <v>32.602921465842016</v>
      </c>
      <c r="BA223" s="936">
        <f t="shared" si="158"/>
        <v>32.602921465842016</v>
      </c>
      <c r="BB223" s="937">
        <f t="shared" si="159"/>
        <v>32.602921465842016</v>
      </c>
      <c r="BC223" s="938"/>
    </row>
    <row r="224" spans="2:55" s="934" customFormat="1" ht="15">
      <c r="B224" s="909">
        <v>2034</v>
      </c>
      <c r="C224" s="1218" t="s">
        <v>811</v>
      </c>
      <c r="D224" s="932">
        <v>2.8650423503324185</v>
      </c>
      <c r="E224" s="932">
        <v>6.9382350893592291</v>
      </c>
      <c r="F224" s="932">
        <v>12.081503886943935</v>
      </c>
      <c r="G224" s="932">
        <v>22.437078647181583</v>
      </c>
      <c r="H224" s="932">
        <v>22.437078647181583</v>
      </c>
      <c r="I224" s="932">
        <v>22.437078647181583</v>
      </c>
      <c r="J224" s="932">
        <v>22.437078647181583</v>
      </c>
      <c r="K224" s="932">
        <v>22.437078647181583</v>
      </c>
      <c r="L224" s="932">
        <v>22.437078647181583</v>
      </c>
      <c r="M224" s="932">
        <v>22.437078647181583</v>
      </c>
      <c r="N224" s="932">
        <v>22.437078647181583</v>
      </c>
      <c r="O224" s="932">
        <v>22.437078647181583</v>
      </c>
      <c r="P224" s="932">
        <v>22.437078647181583</v>
      </c>
      <c r="Q224" s="932">
        <v>22.437078647181583</v>
      </c>
      <c r="R224" s="932">
        <v>22.437078647181583</v>
      </c>
      <c r="S224" s="932">
        <v>22.437078647181583</v>
      </c>
      <c r="T224" s="932">
        <v>22.437078647181583</v>
      </c>
      <c r="U224" s="932">
        <v>22.437078647181583</v>
      </c>
      <c r="V224" s="932">
        <v>22.437078647181583</v>
      </c>
      <c r="W224" s="932">
        <v>22.437078647181583</v>
      </c>
      <c r="X224" s="932">
        <v>22.437078647181583</v>
      </c>
      <c r="Y224" s="932">
        <v>22.437078647181583</v>
      </c>
      <c r="Z224" s="932">
        <v>22.437078647181583</v>
      </c>
      <c r="AA224" s="932">
        <v>22.437078647181583</v>
      </c>
      <c r="AB224" s="933">
        <v>22.437078647181583</v>
      </c>
      <c r="AD224" s="935">
        <f t="shared" si="135"/>
        <v>4.8716840350747042</v>
      </c>
      <c r="AE224" s="936">
        <f t="shared" si="136"/>
        <v>11.797692663253198</v>
      </c>
      <c r="AF224" s="936">
        <f t="shared" si="137"/>
        <v>20.543245931037912</v>
      </c>
      <c r="AG224" s="936">
        <f t="shared" si="138"/>
        <v>38.151742443356106</v>
      </c>
      <c r="AH224" s="936">
        <f t="shared" si="139"/>
        <v>38.151742443356106</v>
      </c>
      <c r="AI224" s="936">
        <f t="shared" si="140"/>
        <v>38.151742443356106</v>
      </c>
      <c r="AJ224" s="936">
        <f t="shared" si="141"/>
        <v>38.151742443356106</v>
      </c>
      <c r="AK224" s="936">
        <f t="shared" si="142"/>
        <v>38.151742443356106</v>
      </c>
      <c r="AL224" s="936">
        <f t="shared" si="143"/>
        <v>38.151742443356106</v>
      </c>
      <c r="AM224" s="936">
        <f t="shared" si="144"/>
        <v>38.151742443356106</v>
      </c>
      <c r="AN224" s="936">
        <f t="shared" si="145"/>
        <v>38.151742443356106</v>
      </c>
      <c r="AO224" s="936">
        <f t="shared" si="146"/>
        <v>38.151742443356106</v>
      </c>
      <c r="AP224" s="936">
        <f t="shared" si="147"/>
        <v>38.151742443356106</v>
      </c>
      <c r="AQ224" s="936">
        <f t="shared" si="148"/>
        <v>38.151742443356106</v>
      </c>
      <c r="AR224" s="936">
        <f t="shared" si="149"/>
        <v>38.151742443356106</v>
      </c>
      <c r="AS224" s="936">
        <f t="shared" si="150"/>
        <v>38.151742443356106</v>
      </c>
      <c r="AT224" s="936">
        <f t="shared" si="151"/>
        <v>38.151742443356106</v>
      </c>
      <c r="AU224" s="936">
        <f t="shared" si="152"/>
        <v>38.151742443356106</v>
      </c>
      <c r="AV224" s="936">
        <f t="shared" si="153"/>
        <v>38.151742443356106</v>
      </c>
      <c r="AW224" s="936">
        <f t="shared" si="154"/>
        <v>38.151742443356106</v>
      </c>
      <c r="AX224" s="936">
        <f t="shared" si="155"/>
        <v>38.151742443356106</v>
      </c>
      <c r="AY224" s="936">
        <f t="shared" si="156"/>
        <v>38.151742443356106</v>
      </c>
      <c r="AZ224" s="936">
        <f t="shared" si="157"/>
        <v>38.151742443356106</v>
      </c>
      <c r="BA224" s="936">
        <f t="shared" si="158"/>
        <v>38.151742443356106</v>
      </c>
      <c r="BB224" s="937">
        <f t="shared" si="159"/>
        <v>38.151742443356106</v>
      </c>
      <c r="BC224" s="938"/>
    </row>
    <row r="225" spans="2:55" s="934" customFormat="1" ht="15">
      <c r="B225" s="909">
        <v>2035</v>
      </c>
      <c r="C225" s="1218" t="s">
        <v>812</v>
      </c>
      <c r="D225" s="932">
        <v>0</v>
      </c>
      <c r="E225" s="932">
        <v>22.351165337678662</v>
      </c>
      <c r="F225" s="932">
        <v>104.77108752036862</v>
      </c>
      <c r="G225" s="932">
        <v>208.84370112393484</v>
      </c>
      <c r="H225" s="932">
        <v>418.38587616467191</v>
      </c>
      <c r="I225" s="932">
        <v>418.38587616467191</v>
      </c>
      <c r="J225" s="932">
        <v>418.38587616467191</v>
      </c>
      <c r="K225" s="932">
        <v>418.38587616467191</v>
      </c>
      <c r="L225" s="932">
        <v>418.38587616467191</v>
      </c>
      <c r="M225" s="932">
        <v>418.38587616467191</v>
      </c>
      <c r="N225" s="932">
        <v>418.38587616467191</v>
      </c>
      <c r="O225" s="932">
        <v>418.38587616467191</v>
      </c>
      <c r="P225" s="932">
        <v>418.38587616467191</v>
      </c>
      <c r="Q225" s="932">
        <v>418.38587616467191</v>
      </c>
      <c r="R225" s="932">
        <v>418.38587616467191</v>
      </c>
      <c r="S225" s="932">
        <v>418.38587616467191</v>
      </c>
      <c r="T225" s="932">
        <v>418.38587616467191</v>
      </c>
      <c r="U225" s="932">
        <v>418.38587616467191</v>
      </c>
      <c r="V225" s="932">
        <v>418.38587616467191</v>
      </c>
      <c r="W225" s="932">
        <v>418.38587616467191</v>
      </c>
      <c r="X225" s="932">
        <v>418.38587616467191</v>
      </c>
      <c r="Y225" s="932">
        <v>418.38587616467191</v>
      </c>
      <c r="Z225" s="932">
        <v>418.38587616467191</v>
      </c>
      <c r="AA225" s="932">
        <v>418.38587616467191</v>
      </c>
      <c r="AB225" s="933">
        <v>418.38587616467191</v>
      </c>
      <c r="AD225" s="935">
        <f t="shared" si="135"/>
        <v>0</v>
      </c>
      <c r="AE225" s="936">
        <f t="shared" si="136"/>
        <v>38.005656470750061</v>
      </c>
      <c r="AF225" s="936">
        <f t="shared" si="137"/>
        <v>178.15151470664074</v>
      </c>
      <c r="AG225" s="936">
        <f t="shared" si="138"/>
        <v>355.11535264857059</v>
      </c>
      <c r="AH225" s="936">
        <f t="shared" si="139"/>
        <v>711.41838206185184</v>
      </c>
      <c r="AI225" s="936">
        <f t="shared" si="140"/>
        <v>711.41838206185184</v>
      </c>
      <c r="AJ225" s="936">
        <f t="shared" si="141"/>
        <v>711.41838206185184</v>
      </c>
      <c r="AK225" s="936">
        <f t="shared" si="142"/>
        <v>711.41838206185184</v>
      </c>
      <c r="AL225" s="936">
        <f t="shared" si="143"/>
        <v>711.41838206185184</v>
      </c>
      <c r="AM225" s="936">
        <f t="shared" si="144"/>
        <v>711.41838206185184</v>
      </c>
      <c r="AN225" s="936">
        <f t="shared" si="145"/>
        <v>711.41838206185184</v>
      </c>
      <c r="AO225" s="936">
        <f t="shared" si="146"/>
        <v>711.41838206185184</v>
      </c>
      <c r="AP225" s="936">
        <f t="shared" si="147"/>
        <v>711.41838206185184</v>
      </c>
      <c r="AQ225" s="936">
        <f t="shared" si="148"/>
        <v>711.41838206185184</v>
      </c>
      <c r="AR225" s="936">
        <f t="shared" si="149"/>
        <v>711.41838206185184</v>
      </c>
      <c r="AS225" s="936">
        <f t="shared" si="150"/>
        <v>711.41838206185184</v>
      </c>
      <c r="AT225" s="936">
        <f t="shared" si="151"/>
        <v>711.41838206185184</v>
      </c>
      <c r="AU225" s="936">
        <f t="shared" si="152"/>
        <v>711.41838206185184</v>
      </c>
      <c r="AV225" s="936">
        <f t="shared" si="153"/>
        <v>711.41838206185184</v>
      </c>
      <c r="AW225" s="936">
        <f t="shared" si="154"/>
        <v>711.41838206185184</v>
      </c>
      <c r="AX225" s="936">
        <f t="shared" si="155"/>
        <v>711.41838206185184</v>
      </c>
      <c r="AY225" s="936">
        <f t="shared" si="156"/>
        <v>711.41838206185184</v>
      </c>
      <c r="AZ225" s="936">
        <f t="shared" si="157"/>
        <v>711.41838206185184</v>
      </c>
      <c r="BA225" s="936">
        <f t="shared" si="158"/>
        <v>711.41838206185184</v>
      </c>
      <c r="BB225" s="937">
        <f t="shared" si="159"/>
        <v>711.41838206185184</v>
      </c>
      <c r="BC225" s="938"/>
    </row>
    <row r="226" spans="2:55" s="934" customFormat="1" ht="15">
      <c r="B226" s="909">
        <v>2036</v>
      </c>
      <c r="C226" s="1218" t="s">
        <v>813</v>
      </c>
      <c r="D226" s="932">
        <v>0</v>
      </c>
      <c r="E226" s="932">
        <v>0</v>
      </c>
      <c r="F226" s="932">
        <v>0</v>
      </c>
      <c r="G226" s="932">
        <v>0</v>
      </c>
      <c r="H226" s="932">
        <v>4.7966417456403336</v>
      </c>
      <c r="I226" s="932">
        <v>15.535391922447035</v>
      </c>
      <c r="J226" s="932">
        <v>15.535391922447035</v>
      </c>
      <c r="K226" s="932">
        <v>15.535391922447035</v>
      </c>
      <c r="L226" s="932">
        <v>15.535391922447035</v>
      </c>
      <c r="M226" s="932">
        <v>15.535391922447035</v>
      </c>
      <c r="N226" s="932">
        <v>15.535391922447035</v>
      </c>
      <c r="O226" s="932">
        <v>15.535391922447035</v>
      </c>
      <c r="P226" s="932">
        <v>15.535391922447035</v>
      </c>
      <c r="Q226" s="932">
        <v>15.535391922447035</v>
      </c>
      <c r="R226" s="932">
        <v>15.535391922447035</v>
      </c>
      <c r="S226" s="932">
        <v>15.535391922447035</v>
      </c>
      <c r="T226" s="932">
        <v>15.535391922447035</v>
      </c>
      <c r="U226" s="932">
        <v>15.535391922447035</v>
      </c>
      <c r="V226" s="932">
        <v>15.535391922447035</v>
      </c>
      <c r="W226" s="932">
        <v>15.535391922447035</v>
      </c>
      <c r="X226" s="932">
        <v>15.535391922447035</v>
      </c>
      <c r="Y226" s="932">
        <v>15.535391922447035</v>
      </c>
      <c r="Z226" s="932">
        <v>15.535391922447035</v>
      </c>
      <c r="AA226" s="932">
        <v>15.535391922447035</v>
      </c>
      <c r="AB226" s="933">
        <v>15.535391922447035</v>
      </c>
      <c r="AD226" s="935">
        <f t="shared" si="135"/>
        <v>0</v>
      </c>
      <c r="AE226" s="936">
        <f t="shared" si="136"/>
        <v>0</v>
      </c>
      <c r="AF226" s="936">
        <f t="shared" si="137"/>
        <v>0</v>
      </c>
      <c r="AG226" s="936">
        <f t="shared" si="138"/>
        <v>0</v>
      </c>
      <c r="AH226" s="936">
        <f t="shared" si="139"/>
        <v>8.1561527394167896</v>
      </c>
      <c r="AI226" s="936">
        <f t="shared" si="140"/>
        <v>26.416196185872263</v>
      </c>
      <c r="AJ226" s="936">
        <f t="shared" si="141"/>
        <v>26.416196185872263</v>
      </c>
      <c r="AK226" s="936">
        <f t="shared" si="142"/>
        <v>26.416196185872263</v>
      </c>
      <c r="AL226" s="936">
        <f t="shared" si="143"/>
        <v>26.416196185872263</v>
      </c>
      <c r="AM226" s="936">
        <f t="shared" si="144"/>
        <v>26.416196185872263</v>
      </c>
      <c r="AN226" s="936">
        <f t="shared" si="145"/>
        <v>26.416196185872263</v>
      </c>
      <c r="AO226" s="936">
        <f t="shared" si="146"/>
        <v>26.416196185872263</v>
      </c>
      <c r="AP226" s="936">
        <f t="shared" si="147"/>
        <v>26.416196185872263</v>
      </c>
      <c r="AQ226" s="936">
        <f t="shared" si="148"/>
        <v>26.416196185872263</v>
      </c>
      <c r="AR226" s="936">
        <f t="shared" si="149"/>
        <v>26.416196185872263</v>
      </c>
      <c r="AS226" s="936">
        <f t="shared" si="150"/>
        <v>26.416196185872263</v>
      </c>
      <c r="AT226" s="936">
        <f t="shared" si="151"/>
        <v>26.416196185872263</v>
      </c>
      <c r="AU226" s="936">
        <f t="shared" si="152"/>
        <v>26.416196185872263</v>
      </c>
      <c r="AV226" s="936">
        <f t="shared" si="153"/>
        <v>26.416196185872263</v>
      </c>
      <c r="AW226" s="936">
        <f t="shared" si="154"/>
        <v>26.416196185872263</v>
      </c>
      <c r="AX226" s="936">
        <f t="shared" si="155"/>
        <v>26.416196185872263</v>
      </c>
      <c r="AY226" s="936">
        <f t="shared" si="156"/>
        <v>26.416196185872263</v>
      </c>
      <c r="AZ226" s="936">
        <f t="shared" si="157"/>
        <v>26.416196185872263</v>
      </c>
      <c r="BA226" s="936">
        <f t="shared" si="158"/>
        <v>26.416196185872263</v>
      </c>
      <c r="BB226" s="937">
        <f t="shared" si="159"/>
        <v>26.416196185872263</v>
      </c>
      <c r="BC226" s="938"/>
    </row>
    <row r="227" spans="2:55" s="934" customFormat="1" ht="15">
      <c r="B227" s="909">
        <v>2037</v>
      </c>
      <c r="C227" s="1218" t="s">
        <v>814</v>
      </c>
      <c r="D227" s="932">
        <v>0</v>
      </c>
      <c r="E227" s="932">
        <v>0</v>
      </c>
      <c r="F227" s="932">
        <v>0</v>
      </c>
      <c r="G227" s="932">
        <v>0</v>
      </c>
      <c r="H227" s="932">
        <v>0</v>
      </c>
      <c r="I227" s="932">
        <v>0</v>
      </c>
      <c r="J227" s="932">
        <v>9.7207513886289352</v>
      </c>
      <c r="K227" s="932">
        <v>9.7207513886289352</v>
      </c>
      <c r="L227" s="932">
        <v>9.7207513886289352</v>
      </c>
      <c r="M227" s="932">
        <v>9.7207513886289352</v>
      </c>
      <c r="N227" s="932">
        <v>9.7207513886289352</v>
      </c>
      <c r="O227" s="932">
        <v>9.7207513886289352</v>
      </c>
      <c r="P227" s="932">
        <v>9.7207513886289352</v>
      </c>
      <c r="Q227" s="932">
        <v>9.7207513886289352</v>
      </c>
      <c r="R227" s="932">
        <v>9.7207513886289352</v>
      </c>
      <c r="S227" s="932">
        <v>9.7207513886289352</v>
      </c>
      <c r="T227" s="932">
        <v>9.7207513886289352</v>
      </c>
      <c r="U227" s="932">
        <v>9.7207513886289352</v>
      </c>
      <c r="V227" s="932">
        <v>9.7207513886289352</v>
      </c>
      <c r="W227" s="932">
        <v>9.7207513886289352</v>
      </c>
      <c r="X227" s="932">
        <v>9.7207513886289352</v>
      </c>
      <c r="Y227" s="932">
        <v>9.7207513886289352</v>
      </c>
      <c r="Z227" s="932">
        <v>9.7207513886289352</v>
      </c>
      <c r="AA227" s="932">
        <v>9.7207513886289352</v>
      </c>
      <c r="AB227" s="933">
        <v>9.7207513886289352</v>
      </c>
      <c r="AD227" s="935">
        <f t="shared" si="135"/>
        <v>0</v>
      </c>
      <c r="AE227" s="936">
        <f t="shared" si="136"/>
        <v>0</v>
      </c>
      <c r="AF227" s="936">
        <f t="shared" si="137"/>
        <v>0</v>
      </c>
      <c r="AG227" s="936">
        <f t="shared" si="138"/>
        <v>0</v>
      </c>
      <c r="AH227" s="936">
        <f t="shared" si="139"/>
        <v>0</v>
      </c>
      <c r="AI227" s="936">
        <f t="shared" si="140"/>
        <v>0</v>
      </c>
      <c r="AJ227" s="936">
        <f t="shared" si="141"/>
        <v>16.529050379803035</v>
      </c>
      <c r="AK227" s="936">
        <f t="shared" si="142"/>
        <v>16.529050379803035</v>
      </c>
      <c r="AL227" s="936">
        <f t="shared" si="143"/>
        <v>16.529050379803035</v>
      </c>
      <c r="AM227" s="936">
        <f t="shared" si="144"/>
        <v>16.529050379803035</v>
      </c>
      <c r="AN227" s="936">
        <f t="shared" si="145"/>
        <v>16.529050379803035</v>
      </c>
      <c r="AO227" s="936">
        <f t="shared" si="146"/>
        <v>16.529050379803035</v>
      </c>
      <c r="AP227" s="936">
        <f t="shared" si="147"/>
        <v>16.529050379803035</v>
      </c>
      <c r="AQ227" s="936">
        <f t="shared" si="148"/>
        <v>16.529050379803035</v>
      </c>
      <c r="AR227" s="936">
        <f t="shared" si="149"/>
        <v>16.529050379803035</v>
      </c>
      <c r="AS227" s="936">
        <f t="shared" si="150"/>
        <v>16.529050379803035</v>
      </c>
      <c r="AT227" s="936">
        <f t="shared" si="151"/>
        <v>16.529050379803035</v>
      </c>
      <c r="AU227" s="936">
        <f t="shared" si="152"/>
        <v>16.529050379803035</v>
      </c>
      <c r="AV227" s="936">
        <f t="shared" si="153"/>
        <v>16.529050379803035</v>
      </c>
      <c r="AW227" s="936">
        <f t="shared" si="154"/>
        <v>16.529050379803035</v>
      </c>
      <c r="AX227" s="936">
        <f t="shared" si="155"/>
        <v>16.529050379803035</v>
      </c>
      <c r="AY227" s="936">
        <f t="shared" si="156"/>
        <v>16.529050379803035</v>
      </c>
      <c r="AZ227" s="936">
        <f t="shared" si="157"/>
        <v>16.529050379803035</v>
      </c>
      <c r="BA227" s="936">
        <f t="shared" si="158"/>
        <v>16.529050379803035</v>
      </c>
      <c r="BB227" s="937">
        <f t="shared" si="159"/>
        <v>16.529050379803035</v>
      </c>
      <c r="BC227" s="938"/>
    </row>
    <row r="228" spans="2:55" s="934" customFormat="1" ht="15">
      <c r="B228" s="909">
        <v>2038</v>
      </c>
      <c r="C228" s="1218" t="s">
        <v>815</v>
      </c>
      <c r="D228" s="932">
        <v>0</v>
      </c>
      <c r="E228" s="932">
        <v>0</v>
      </c>
      <c r="F228" s="932">
        <v>0</v>
      </c>
      <c r="G228" s="932">
        <v>0</v>
      </c>
      <c r="H228" s="932">
        <v>0</v>
      </c>
      <c r="I228" s="932">
        <v>0</v>
      </c>
      <c r="J228" s="932">
        <v>0</v>
      </c>
      <c r="K228" s="932">
        <v>5.5543842907543306</v>
      </c>
      <c r="L228" s="932">
        <v>5.5543842907543306</v>
      </c>
      <c r="M228" s="932">
        <v>5.5543842907543306</v>
      </c>
      <c r="N228" s="932">
        <v>5.5543842907543306</v>
      </c>
      <c r="O228" s="932">
        <v>5.5543842907543306</v>
      </c>
      <c r="P228" s="932">
        <v>5.5543842907543306</v>
      </c>
      <c r="Q228" s="932">
        <v>5.5543842907543306</v>
      </c>
      <c r="R228" s="932">
        <v>5.5543842907543306</v>
      </c>
      <c r="S228" s="932">
        <v>5.5543842907543306</v>
      </c>
      <c r="T228" s="932">
        <v>5.5543842907543306</v>
      </c>
      <c r="U228" s="932">
        <v>5.5543842907543306</v>
      </c>
      <c r="V228" s="932">
        <v>5.5543842907543306</v>
      </c>
      <c r="W228" s="932">
        <v>5.5543842907543306</v>
      </c>
      <c r="X228" s="932">
        <v>5.5543842907543306</v>
      </c>
      <c r="Y228" s="932">
        <v>5.5543842907543306</v>
      </c>
      <c r="Z228" s="932">
        <v>5.5543842907543306</v>
      </c>
      <c r="AA228" s="932">
        <v>5.5543842907543306</v>
      </c>
      <c r="AB228" s="933">
        <v>5.5543842907543306</v>
      </c>
      <c r="AD228" s="935">
        <f t="shared" si="135"/>
        <v>0</v>
      </c>
      <c r="AE228" s="936">
        <f t="shared" si="136"/>
        <v>0</v>
      </c>
      <c r="AF228" s="936">
        <f t="shared" si="137"/>
        <v>0</v>
      </c>
      <c r="AG228" s="936">
        <f t="shared" si="138"/>
        <v>0</v>
      </c>
      <c r="AH228" s="936">
        <f t="shared" si="139"/>
        <v>0</v>
      </c>
      <c r="AI228" s="936">
        <f t="shared" si="140"/>
        <v>0</v>
      </c>
      <c r="AJ228" s="936">
        <f t="shared" si="141"/>
        <v>0</v>
      </c>
      <c r="AK228" s="936">
        <f t="shared" si="142"/>
        <v>9.4446091768235263</v>
      </c>
      <c r="AL228" s="936">
        <f t="shared" si="143"/>
        <v>9.4446091768235263</v>
      </c>
      <c r="AM228" s="936">
        <f t="shared" si="144"/>
        <v>9.4446091768235263</v>
      </c>
      <c r="AN228" s="936">
        <f t="shared" si="145"/>
        <v>9.4446091768235263</v>
      </c>
      <c r="AO228" s="936">
        <f t="shared" si="146"/>
        <v>9.4446091768235263</v>
      </c>
      <c r="AP228" s="936">
        <f t="shared" si="147"/>
        <v>9.4446091768235263</v>
      </c>
      <c r="AQ228" s="936">
        <f t="shared" si="148"/>
        <v>9.4446091768235263</v>
      </c>
      <c r="AR228" s="936">
        <f t="shared" si="149"/>
        <v>9.4446091768235263</v>
      </c>
      <c r="AS228" s="936">
        <f t="shared" si="150"/>
        <v>9.4446091768235263</v>
      </c>
      <c r="AT228" s="936">
        <f t="shared" si="151"/>
        <v>9.4446091768235263</v>
      </c>
      <c r="AU228" s="936">
        <f t="shared" si="152"/>
        <v>9.4446091768235263</v>
      </c>
      <c r="AV228" s="936">
        <f t="shared" si="153"/>
        <v>9.4446091768235263</v>
      </c>
      <c r="AW228" s="936">
        <f t="shared" si="154"/>
        <v>9.4446091768235263</v>
      </c>
      <c r="AX228" s="936">
        <f t="shared" si="155"/>
        <v>9.4446091768235263</v>
      </c>
      <c r="AY228" s="936">
        <f t="shared" si="156"/>
        <v>9.4446091768235263</v>
      </c>
      <c r="AZ228" s="936">
        <f t="shared" si="157"/>
        <v>9.4446091768235263</v>
      </c>
      <c r="BA228" s="936">
        <f t="shared" si="158"/>
        <v>9.4446091768235263</v>
      </c>
      <c r="BB228" s="937">
        <f t="shared" si="159"/>
        <v>9.4446091768235263</v>
      </c>
      <c r="BC228" s="938"/>
    </row>
    <row r="229" spans="2:55" s="934" customFormat="1" ht="15">
      <c r="B229" s="909">
        <v>2039</v>
      </c>
      <c r="C229" s="1218" t="s">
        <v>816</v>
      </c>
      <c r="D229" s="932">
        <v>0</v>
      </c>
      <c r="E229" s="932">
        <v>0</v>
      </c>
      <c r="F229" s="932">
        <v>0</v>
      </c>
      <c r="G229" s="932">
        <v>0</v>
      </c>
      <c r="H229" s="932">
        <v>0</v>
      </c>
      <c r="I229" s="932">
        <v>0</v>
      </c>
      <c r="J229" s="932">
        <v>0</v>
      </c>
      <c r="K229" s="932">
        <v>0</v>
      </c>
      <c r="L229" s="932">
        <v>2.523338754410033</v>
      </c>
      <c r="M229" s="932">
        <v>2.523338754410033</v>
      </c>
      <c r="N229" s="932">
        <v>2.523338754410033</v>
      </c>
      <c r="O229" s="932">
        <v>2.523338754410033</v>
      </c>
      <c r="P229" s="932">
        <v>2.523338754410033</v>
      </c>
      <c r="Q229" s="932">
        <v>2.523338754410033</v>
      </c>
      <c r="R229" s="932">
        <v>2.523338754410033</v>
      </c>
      <c r="S229" s="932">
        <v>2.523338754410033</v>
      </c>
      <c r="T229" s="932">
        <v>2.523338754410033</v>
      </c>
      <c r="U229" s="932">
        <v>2.523338754410033</v>
      </c>
      <c r="V229" s="932">
        <v>2.523338754410033</v>
      </c>
      <c r="W229" s="932">
        <v>2.523338754410033</v>
      </c>
      <c r="X229" s="932">
        <v>2.523338754410033</v>
      </c>
      <c r="Y229" s="932">
        <v>2.523338754410033</v>
      </c>
      <c r="Z229" s="932">
        <v>2.523338754410033</v>
      </c>
      <c r="AA229" s="932">
        <v>2.523338754410033</v>
      </c>
      <c r="AB229" s="933">
        <v>2.523338754410033</v>
      </c>
      <c r="AD229" s="935">
        <f t="shared" si="135"/>
        <v>0</v>
      </c>
      <c r="AE229" s="936">
        <f t="shared" si="136"/>
        <v>0</v>
      </c>
      <c r="AF229" s="936">
        <f t="shared" si="137"/>
        <v>0</v>
      </c>
      <c r="AG229" s="936">
        <f t="shared" si="138"/>
        <v>0</v>
      </c>
      <c r="AH229" s="936">
        <f t="shared" si="139"/>
        <v>0</v>
      </c>
      <c r="AI229" s="936">
        <f t="shared" si="140"/>
        <v>0</v>
      </c>
      <c r="AJ229" s="936">
        <f t="shared" si="141"/>
        <v>0</v>
      </c>
      <c r="AK229" s="936">
        <f t="shared" si="142"/>
        <v>0</v>
      </c>
      <c r="AL229" s="936">
        <f t="shared" si="143"/>
        <v>4.2906552929377657</v>
      </c>
      <c r="AM229" s="936">
        <f t="shared" si="144"/>
        <v>4.2906552929377657</v>
      </c>
      <c r="AN229" s="936">
        <f t="shared" si="145"/>
        <v>4.2906552929377657</v>
      </c>
      <c r="AO229" s="936">
        <f t="shared" si="146"/>
        <v>4.2906552929377657</v>
      </c>
      <c r="AP229" s="936">
        <f t="shared" si="147"/>
        <v>4.2906552929377657</v>
      </c>
      <c r="AQ229" s="936">
        <f t="shared" si="148"/>
        <v>4.2906552929377657</v>
      </c>
      <c r="AR229" s="936">
        <f t="shared" si="149"/>
        <v>4.2906552929377657</v>
      </c>
      <c r="AS229" s="936">
        <f t="shared" si="150"/>
        <v>4.2906552929377657</v>
      </c>
      <c r="AT229" s="936">
        <f t="shared" si="151"/>
        <v>4.2906552929377657</v>
      </c>
      <c r="AU229" s="936">
        <f t="shared" si="152"/>
        <v>4.2906552929377657</v>
      </c>
      <c r="AV229" s="936">
        <f t="shared" si="153"/>
        <v>4.2906552929377657</v>
      </c>
      <c r="AW229" s="936">
        <f t="shared" si="154"/>
        <v>4.2906552929377657</v>
      </c>
      <c r="AX229" s="936">
        <f t="shared" si="155"/>
        <v>4.2906552929377657</v>
      </c>
      <c r="AY229" s="936">
        <f t="shared" si="156"/>
        <v>4.2906552929377657</v>
      </c>
      <c r="AZ229" s="936">
        <f t="shared" si="157"/>
        <v>4.2906552929377657</v>
      </c>
      <c r="BA229" s="936">
        <f t="shared" si="158"/>
        <v>4.2906552929377657</v>
      </c>
      <c r="BB229" s="937">
        <f t="shared" si="159"/>
        <v>4.2906552929377657</v>
      </c>
      <c r="BC229" s="938"/>
    </row>
    <row r="230" spans="2:55" s="934" customFormat="1" ht="15">
      <c r="B230" s="909">
        <v>2040</v>
      </c>
      <c r="C230" s="1218" t="s">
        <v>817</v>
      </c>
      <c r="D230" s="932">
        <v>0</v>
      </c>
      <c r="E230" s="932">
        <v>0</v>
      </c>
      <c r="F230" s="932">
        <v>0</v>
      </c>
      <c r="G230" s="932">
        <v>0</v>
      </c>
      <c r="H230" s="932">
        <v>0</v>
      </c>
      <c r="I230" s="932">
        <v>0</v>
      </c>
      <c r="J230" s="932">
        <v>0</v>
      </c>
      <c r="K230" s="932">
        <v>0</v>
      </c>
      <c r="L230" s="932">
        <v>0</v>
      </c>
      <c r="M230" s="932">
        <v>0.65118706715321317</v>
      </c>
      <c r="N230" s="932">
        <v>0.65118706715321317</v>
      </c>
      <c r="O230" s="932">
        <v>0.65118706715321317</v>
      </c>
      <c r="P230" s="932">
        <v>0.65118706715321317</v>
      </c>
      <c r="Q230" s="932">
        <v>0.65118706715321317</v>
      </c>
      <c r="R230" s="932">
        <v>0.65118706715321317</v>
      </c>
      <c r="S230" s="932">
        <v>0.65118706715321317</v>
      </c>
      <c r="T230" s="932">
        <v>0.65118706715321317</v>
      </c>
      <c r="U230" s="932">
        <v>0.65118706715321317</v>
      </c>
      <c r="V230" s="932">
        <v>0.65118706715321317</v>
      </c>
      <c r="W230" s="932">
        <v>0.65118706715321317</v>
      </c>
      <c r="X230" s="932">
        <v>0.65118706715321317</v>
      </c>
      <c r="Y230" s="932">
        <v>0.65118706715321317</v>
      </c>
      <c r="Z230" s="932">
        <v>0.65118706715321317</v>
      </c>
      <c r="AA230" s="932">
        <v>0.65118706715321317</v>
      </c>
      <c r="AB230" s="933">
        <v>0.65118706715321317</v>
      </c>
      <c r="AD230" s="935">
        <f t="shared" si="135"/>
        <v>0</v>
      </c>
      <c r="AE230" s="936">
        <f t="shared" si="136"/>
        <v>0</v>
      </c>
      <c r="AF230" s="936">
        <f t="shared" si="137"/>
        <v>0</v>
      </c>
      <c r="AG230" s="936">
        <f t="shared" si="138"/>
        <v>0</v>
      </c>
      <c r="AH230" s="936">
        <f t="shared" si="139"/>
        <v>0</v>
      </c>
      <c r="AI230" s="936">
        <f t="shared" si="140"/>
        <v>0</v>
      </c>
      <c r="AJ230" s="936">
        <f t="shared" si="141"/>
        <v>0</v>
      </c>
      <c r="AK230" s="936">
        <f t="shared" si="142"/>
        <v>0</v>
      </c>
      <c r="AL230" s="936">
        <f t="shared" si="143"/>
        <v>0</v>
      </c>
      <c r="AM230" s="936">
        <f t="shared" si="144"/>
        <v>1.1072707663568571</v>
      </c>
      <c r="AN230" s="936">
        <f t="shared" si="145"/>
        <v>1.1072707663568571</v>
      </c>
      <c r="AO230" s="936">
        <f t="shared" si="146"/>
        <v>1.1072707663568571</v>
      </c>
      <c r="AP230" s="936">
        <f t="shared" si="147"/>
        <v>1.1072707663568571</v>
      </c>
      <c r="AQ230" s="936">
        <f t="shared" si="148"/>
        <v>1.1072707663568571</v>
      </c>
      <c r="AR230" s="936">
        <f t="shared" si="149"/>
        <v>1.1072707663568571</v>
      </c>
      <c r="AS230" s="936">
        <f t="shared" si="150"/>
        <v>1.1072707663568571</v>
      </c>
      <c r="AT230" s="936">
        <f t="shared" si="151"/>
        <v>1.1072707663568571</v>
      </c>
      <c r="AU230" s="936">
        <f t="shared" si="152"/>
        <v>1.1072707663568571</v>
      </c>
      <c r="AV230" s="936">
        <f t="shared" si="153"/>
        <v>1.1072707663568571</v>
      </c>
      <c r="AW230" s="936">
        <f t="shared" si="154"/>
        <v>1.1072707663568571</v>
      </c>
      <c r="AX230" s="936">
        <f t="shared" si="155"/>
        <v>1.1072707663568571</v>
      </c>
      <c r="AY230" s="936">
        <f t="shared" si="156"/>
        <v>1.1072707663568571</v>
      </c>
      <c r="AZ230" s="936">
        <f t="shared" si="157"/>
        <v>1.1072707663568571</v>
      </c>
      <c r="BA230" s="936">
        <f t="shared" si="158"/>
        <v>1.1072707663568571</v>
      </c>
      <c r="BB230" s="937">
        <f t="shared" si="159"/>
        <v>1.1072707663568571</v>
      </c>
      <c r="BC230" s="938"/>
    </row>
    <row r="231" spans="2:55" s="934" customFormat="1" ht="15">
      <c r="B231" s="909">
        <v>2041</v>
      </c>
      <c r="C231" s="1218" t="s">
        <v>818</v>
      </c>
      <c r="D231" s="932">
        <v>0</v>
      </c>
      <c r="E231" s="932">
        <v>0</v>
      </c>
      <c r="F231" s="932">
        <v>0</v>
      </c>
      <c r="G231" s="932">
        <v>0</v>
      </c>
      <c r="H231" s="932">
        <v>0</v>
      </c>
      <c r="I231" s="932">
        <v>0</v>
      </c>
      <c r="J231" s="932">
        <v>0</v>
      </c>
      <c r="K231" s="932">
        <v>0</v>
      </c>
      <c r="L231" s="932">
        <v>0</v>
      </c>
      <c r="M231" s="932">
        <v>0</v>
      </c>
      <c r="N231" s="932">
        <v>2.1626845100460251E-15</v>
      </c>
      <c r="O231" s="932">
        <v>2.1626845100460251E-15</v>
      </c>
      <c r="P231" s="932">
        <v>2.1626845100460251E-15</v>
      </c>
      <c r="Q231" s="932">
        <v>2.1626845100460251E-15</v>
      </c>
      <c r="R231" s="932">
        <v>2.1626845100460251E-15</v>
      </c>
      <c r="S231" s="932">
        <v>2.1626845100460251E-15</v>
      </c>
      <c r="T231" s="932">
        <v>2.1626845100460251E-15</v>
      </c>
      <c r="U231" s="932">
        <v>2.1626845100460251E-15</v>
      </c>
      <c r="V231" s="932">
        <v>2.1626845100460251E-15</v>
      </c>
      <c r="W231" s="932">
        <v>2.1626845100460251E-15</v>
      </c>
      <c r="X231" s="932">
        <v>2.1626845100460251E-15</v>
      </c>
      <c r="Y231" s="932">
        <v>2.1626845100460251E-15</v>
      </c>
      <c r="Z231" s="932">
        <v>2.1626845100460251E-15</v>
      </c>
      <c r="AA231" s="932">
        <v>2.1626845100460251E-15</v>
      </c>
      <c r="AB231" s="933">
        <v>2.1626845100460251E-15</v>
      </c>
      <c r="AD231" s="935">
        <f t="shared" si="135"/>
        <v>0</v>
      </c>
      <c r="AE231" s="936">
        <f t="shared" si="136"/>
        <v>0</v>
      </c>
      <c r="AF231" s="936">
        <f t="shared" si="137"/>
        <v>0</v>
      </c>
      <c r="AG231" s="936">
        <f t="shared" si="138"/>
        <v>0</v>
      </c>
      <c r="AH231" s="936">
        <f t="shared" si="139"/>
        <v>0</v>
      </c>
      <c r="AI231" s="936">
        <f t="shared" si="140"/>
        <v>0</v>
      </c>
      <c r="AJ231" s="936">
        <f t="shared" si="141"/>
        <v>0</v>
      </c>
      <c r="AK231" s="936">
        <f t="shared" si="142"/>
        <v>0</v>
      </c>
      <c r="AL231" s="936">
        <f t="shared" si="143"/>
        <v>0</v>
      </c>
      <c r="AM231" s="936">
        <f t="shared" si="144"/>
        <v>0</v>
      </c>
      <c r="AN231" s="936">
        <f t="shared" si="145"/>
        <v>3.6774030929323407E-15</v>
      </c>
      <c r="AO231" s="936">
        <f t="shared" si="146"/>
        <v>3.6774030929323407E-15</v>
      </c>
      <c r="AP231" s="936">
        <f t="shared" si="147"/>
        <v>3.6774030929323407E-15</v>
      </c>
      <c r="AQ231" s="936">
        <f t="shared" si="148"/>
        <v>3.6774030929323407E-15</v>
      </c>
      <c r="AR231" s="936">
        <f t="shared" si="149"/>
        <v>3.6774030929323407E-15</v>
      </c>
      <c r="AS231" s="936">
        <f t="shared" si="150"/>
        <v>3.6774030929323407E-15</v>
      </c>
      <c r="AT231" s="936">
        <f t="shared" si="151"/>
        <v>3.6774030929323407E-15</v>
      </c>
      <c r="AU231" s="936">
        <f t="shared" si="152"/>
        <v>3.6774030929323407E-15</v>
      </c>
      <c r="AV231" s="936">
        <f t="shared" si="153"/>
        <v>3.6774030929323407E-15</v>
      </c>
      <c r="AW231" s="936">
        <f t="shared" si="154"/>
        <v>3.6774030929323407E-15</v>
      </c>
      <c r="AX231" s="936">
        <f t="shared" si="155"/>
        <v>3.6774030929323407E-15</v>
      </c>
      <c r="AY231" s="936">
        <f t="shared" si="156"/>
        <v>3.6774030929323407E-15</v>
      </c>
      <c r="AZ231" s="936">
        <f t="shared" si="157"/>
        <v>3.6774030929323407E-15</v>
      </c>
      <c r="BA231" s="936">
        <f t="shared" si="158"/>
        <v>3.6774030929323407E-15</v>
      </c>
      <c r="BB231" s="937">
        <f t="shared" si="159"/>
        <v>3.6774030929323407E-15</v>
      </c>
      <c r="BC231" s="938"/>
    </row>
    <row r="232" spans="2:55" s="934" customFormat="1" ht="15">
      <c r="B232" s="909">
        <v>2042</v>
      </c>
      <c r="C232" s="1218" t="s">
        <v>819</v>
      </c>
      <c r="D232" s="932">
        <v>0</v>
      </c>
      <c r="E232" s="932">
        <v>0</v>
      </c>
      <c r="F232" s="932">
        <v>0</v>
      </c>
      <c r="G232" s="932">
        <v>0</v>
      </c>
      <c r="H232" s="932">
        <v>0</v>
      </c>
      <c r="I232" s="932">
        <v>0</v>
      </c>
      <c r="J232" s="932">
        <v>0</v>
      </c>
      <c r="K232" s="932">
        <v>0</v>
      </c>
      <c r="L232" s="932">
        <v>0</v>
      </c>
      <c r="M232" s="932">
        <v>0</v>
      </c>
      <c r="N232" s="932">
        <v>0</v>
      </c>
      <c r="O232" s="932">
        <v>2.1996281039412471E-15</v>
      </c>
      <c r="P232" s="932">
        <v>2.1996281039412471E-15</v>
      </c>
      <c r="Q232" s="932">
        <v>2.1996281039412471E-15</v>
      </c>
      <c r="R232" s="932">
        <v>2.1996281039412471E-15</v>
      </c>
      <c r="S232" s="932">
        <v>2.1996281039412471E-15</v>
      </c>
      <c r="T232" s="932">
        <v>2.1996281039412471E-15</v>
      </c>
      <c r="U232" s="932">
        <v>2.1996281039412471E-15</v>
      </c>
      <c r="V232" s="932">
        <v>2.1996281039412471E-15</v>
      </c>
      <c r="W232" s="932">
        <v>2.1996281039412471E-15</v>
      </c>
      <c r="X232" s="932">
        <v>2.1996281039412471E-15</v>
      </c>
      <c r="Y232" s="932">
        <v>2.1996281039412471E-15</v>
      </c>
      <c r="Z232" s="932">
        <v>2.1996281039412471E-15</v>
      </c>
      <c r="AA232" s="932">
        <v>2.1996281039412471E-15</v>
      </c>
      <c r="AB232" s="933">
        <v>2.1996281039412471E-15</v>
      </c>
      <c r="AD232" s="935">
        <f t="shared" si="135"/>
        <v>0</v>
      </c>
      <c r="AE232" s="936">
        <f t="shared" si="136"/>
        <v>0</v>
      </c>
      <c r="AF232" s="936">
        <f t="shared" si="137"/>
        <v>0</v>
      </c>
      <c r="AG232" s="936">
        <f t="shared" si="138"/>
        <v>0</v>
      </c>
      <c r="AH232" s="936">
        <f t="shared" si="139"/>
        <v>0</v>
      </c>
      <c r="AI232" s="936">
        <f t="shared" si="140"/>
        <v>0</v>
      </c>
      <c r="AJ232" s="936">
        <f t="shared" si="141"/>
        <v>0</v>
      </c>
      <c r="AK232" s="936">
        <f t="shared" si="142"/>
        <v>0</v>
      </c>
      <c r="AL232" s="936">
        <f t="shared" si="143"/>
        <v>0</v>
      </c>
      <c r="AM232" s="936">
        <f t="shared" si="144"/>
        <v>0</v>
      </c>
      <c r="AN232" s="936">
        <f t="shared" si="145"/>
        <v>0</v>
      </c>
      <c r="AO232" s="936">
        <f t="shared" si="146"/>
        <v>3.7402215418661771E-15</v>
      </c>
      <c r="AP232" s="936">
        <f t="shared" si="147"/>
        <v>3.7402215418661771E-15</v>
      </c>
      <c r="AQ232" s="936">
        <f t="shared" si="148"/>
        <v>3.7402215418661771E-15</v>
      </c>
      <c r="AR232" s="936">
        <f t="shared" si="149"/>
        <v>3.7402215418661771E-15</v>
      </c>
      <c r="AS232" s="936">
        <f t="shared" si="150"/>
        <v>3.7402215418661771E-15</v>
      </c>
      <c r="AT232" s="936">
        <f t="shared" si="151"/>
        <v>3.7402215418661771E-15</v>
      </c>
      <c r="AU232" s="936">
        <f t="shared" si="152"/>
        <v>3.7402215418661771E-15</v>
      </c>
      <c r="AV232" s="936">
        <f t="shared" si="153"/>
        <v>3.7402215418661771E-15</v>
      </c>
      <c r="AW232" s="936">
        <f t="shared" si="154"/>
        <v>3.7402215418661771E-15</v>
      </c>
      <c r="AX232" s="936">
        <f t="shared" si="155"/>
        <v>3.7402215418661771E-15</v>
      </c>
      <c r="AY232" s="936">
        <f t="shared" si="156"/>
        <v>3.7402215418661771E-15</v>
      </c>
      <c r="AZ232" s="936">
        <f t="shared" si="157"/>
        <v>3.7402215418661771E-15</v>
      </c>
      <c r="BA232" s="936">
        <f t="shared" si="158"/>
        <v>3.7402215418661771E-15</v>
      </c>
      <c r="BB232" s="937">
        <f t="shared" si="159"/>
        <v>3.7402215418661771E-15</v>
      </c>
      <c r="BC232" s="938"/>
    </row>
    <row r="233" spans="2:55" s="934" customFormat="1" ht="15">
      <c r="B233" s="909">
        <v>2043</v>
      </c>
      <c r="C233" s="1218" t="s">
        <v>820</v>
      </c>
      <c r="D233" s="932">
        <v>0</v>
      </c>
      <c r="E233" s="932">
        <v>0</v>
      </c>
      <c r="F233" s="932">
        <v>0</v>
      </c>
      <c r="G233" s="932">
        <v>0</v>
      </c>
      <c r="H233" s="932">
        <v>0</v>
      </c>
      <c r="I233" s="932">
        <v>0</v>
      </c>
      <c r="J233" s="932">
        <v>0</v>
      </c>
      <c r="K233" s="932">
        <v>0</v>
      </c>
      <c r="L233" s="932">
        <v>0</v>
      </c>
      <c r="M233" s="932">
        <v>0</v>
      </c>
      <c r="N233" s="932">
        <v>0</v>
      </c>
      <c r="O233" s="932">
        <v>0</v>
      </c>
      <c r="P233" s="932">
        <v>2.2372027788487739E-15</v>
      </c>
      <c r="Q233" s="932">
        <v>2.2372027788487739E-15</v>
      </c>
      <c r="R233" s="932">
        <v>2.2372027788487739E-15</v>
      </c>
      <c r="S233" s="932">
        <v>2.2372027788487739E-15</v>
      </c>
      <c r="T233" s="932">
        <v>2.2372027788487739E-15</v>
      </c>
      <c r="U233" s="932">
        <v>2.2372027788487739E-15</v>
      </c>
      <c r="V233" s="932">
        <v>2.2372027788487739E-15</v>
      </c>
      <c r="W233" s="932">
        <v>2.2372027788487739E-15</v>
      </c>
      <c r="X233" s="932">
        <v>2.2372027788487739E-15</v>
      </c>
      <c r="Y233" s="932">
        <v>2.2372027788487739E-15</v>
      </c>
      <c r="Z233" s="932">
        <v>2.2372027788487739E-15</v>
      </c>
      <c r="AA233" s="932">
        <v>2.2372027788487739E-15</v>
      </c>
      <c r="AB233" s="933">
        <v>2.2372027788487739E-15</v>
      </c>
      <c r="AD233" s="935">
        <f t="shared" si="135"/>
        <v>0</v>
      </c>
      <c r="AE233" s="936">
        <f t="shared" si="136"/>
        <v>0</v>
      </c>
      <c r="AF233" s="936">
        <f t="shared" si="137"/>
        <v>0</v>
      </c>
      <c r="AG233" s="936">
        <f t="shared" si="138"/>
        <v>0</v>
      </c>
      <c r="AH233" s="936">
        <f t="shared" si="139"/>
        <v>0</v>
      </c>
      <c r="AI233" s="936">
        <f t="shared" si="140"/>
        <v>0</v>
      </c>
      <c r="AJ233" s="936">
        <f t="shared" si="141"/>
        <v>0</v>
      </c>
      <c r="AK233" s="936">
        <f t="shared" si="142"/>
        <v>0</v>
      </c>
      <c r="AL233" s="936">
        <f t="shared" si="143"/>
        <v>0</v>
      </c>
      <c r="AM233" s="936">
        <f t="shared" si="144"/>
        <v>0</v>
      </c>
      <c r="AN233" s="936">
        <f t="shared" si="145"/>
        <v>0</v>
      </c>
      <c r="AO233" s="936">
        <f t="shared" si="146"/>
        <v>0</v>
      </c>
      <c r="AP233" s="936">
        <f t="shared" si="147"/>
        <v>3.8041130734691504E-15</v>
      </c>
      <c r="AQ233" s="936">
        <f t="shared" si="148"/>
        <v>3.8041130734691504E-15</v>
      </c>
      <c r="AR233" s="936">
        <f t="shared" si="149"/>
        <v>3.8041130734691504E-15</v>
      </c>
      <c r="AS233" s="936">
        <f t="shared" si="150"/>
        <v>3.8041130734691504E-15</v>
      </c>
      <c r="AT233" s="936">
        <f t="shared" si="151"/>
        <v>3.8041130734691504E-15</v>
      </c>
      <c r="AU233" s="936">
        <f t="shared" si="152"/>
        <v>3.8041130734691504E-15</v>
      </c>
      <c r="AV233" s="936">
        <f t="shared" si="153"/>
        <v>3.8041130734691504E-15</v>
      </c>
      <c r="AW233" s="936">
        <f t="shared" si="154"/>
        <v>3.8041130734691504E-15</v>
      </c>
      <c r="AX233" s="936">
        <f t="shared" si="155"/>
        <v>3.8041130734691504E-15</v>
      </c>
      <c r="AY233" s="936">
        <f t="shared" si="156"/>
        <v>3.8041130734691504E-15</v>
      </c>
      <c r="AZ233" s="936">
        <f t="shared" si="157"/>
        <v>3.8041130734691504E-15</v>
      </c>
      <c r="BA233" s="936">
        <f t="shared" si="158"/>
        <v>3.8041130734691504E-15</v>
      </c>
      <c r="BB233" s="937">
        <f t="shared" si="159"/>
        <v>3.8041130734691504E-15</v>
      </c>
      <c r="BC233" s="938"/>
    </row>
    <row r="234" spans="2:55" s="934" customFormat="1" ht="15">
      <c r="B234" s="909">
        <v>2044</v>
      </c>
      <c r="C234" s="1218" t="s">
        <v>821</v>
      </c>
      <c r="D234" s="932">
        <v>0</v>
      </c>
      <c r="E234" s="932">
        <v>0</v>
      </c>
      <c r="F234" s="932">
        <v>0</v>
      </c>
      <c r="G234" s="932">
        <v>0</v>
      </c>
      <c r="H234" s="932">
        <v>0</v>
      </c>
      <c r="I234" s="932">
        <v>0</v>
      </c>
      <c r="J234" s="932">
        <v>0</v>
      </c>
      <c r="K234" s="932">
        <v>0</v>
      </c>
      <c r="L234" s="932">
        <v>0</v>
      </c>
      <c r="M234" s="932">
        <v>0</v>
      </c>
      <c r="N234" s="932">
        <v>0</v>
      </c>
      <c r="O234" s="932">
        <v>0</v>
      </c>
      <c r="P234" s="932">
        <v>0</v>
      </c>
      <c r="Q234" s="932">
        <v>2.2754193150745284E-15</v>
      </c>
      <c r="R234" s="932">
        <v>2.2754193150745284E-15</v>
      </c>
      <c r="S234" s="932">
        <v>2.2754193150745284E-15</v>
      </c>
      <c r="T234" s="932">
        <v>2.2754193150745284E-15</v>
      </c>
      <c r="U234" s="932">
        <v>2.2754193150745284E-15</v>
      </c>
      <c r="V234" s="932">
        <v>2.2754193150745284E-15</v>
      </c>
      <c r="W234" s="932">
        <v>2.2754193150745284E-15</v>
      </c>
      <c r="X234" s="932">
        <v>2.2754193150745284E-15</v>
      </c>
      <c r="Y234" s="932">
        <v>2.2754193150745284E-15</v>
      </c>
      <c r="Z234" s="932">
        <v>2.2754193150745284E-15</v>
      </c>
      <c r="AA234" s="932">
        <v>2.2754193150745284E-15</v>
      </c>
      <c r="AB234" s="933">
        <v>2.2754193150745284E-15</v>
      </c>
      <c r="AD234" s="935">
        <f t="shared" si="135"/>
        <v>0</v>
      </c>
      <c r="AE234" s="936">
        <f t="shared" si="136"/>
        <v>0</v>
      </c>
      <c r="AF234" s="936">
        <f t="shared" si="137"/>
        <v>0</v>
      </c>
      <c r="AG234" s="936">
        <f t="shared" si="138"/>
        <v>0</v>
      </c>
      <c r="AH234" s="936">
        <f t="shared" si="139"/>
        <v>0</v>
      </c>
      <c r="AI234" s="936">
        <f t="shared" si="140"/>
        <v>0</v>
      </c>
      <c r="AJ234" s="936">
        <f t="shared" si="141"/>
        <v>0</v>
      </c>
      <c r="AK234" s="936">
        <f t="shared" si="142"/>
        <v>0</v>
      </c>
      <c r="AL234" s="936">
        <f t="shared" si="143"/>
        <v>0</v>
      </c>
      <c r="AM234" s="936">
        <f t="shared" si="144"/>
        <v>0</v>
      </c>
      <c r="AN234" s="936">
        <f t="shared" si="145"/>
        <v>0</v>
      </c>
      <c r="AO234" s="936">
        <f t="shared" si="146"/>
        <v>0</v>
      </c>
      <c r="AP234" s="936">
        <f t="shared" si="147"/>
        <v>0</v>
      </c>
      <c r="AQ234" s="936">
        <f t="shared" si="148"/>
        <v>3.8690960184456044E-15</v>
      </c>
      <c r="AR234" s="936">
        <f t="shared" si="149"/>
        <v>3.8690960184456044E-15</v>
      </c>
      <c r="AS234" s="936">
        <f t="shared" si="150"/>
        <v>3.8690960184456044E-15</v>
      </c>
      <c r="AT234" s="936">
        <f t="shared" si="151"/>
        <v>3.8690960184456044E-15</v>
      </c>
      <c r="AU234" s="936">
        <f t="shared" si="152"/>
        <v>3.8690960184456044E-15</v>
      </c>
      <c r="AV234" s="936">
        <f t="shared" si="153"/>
        <v>3.8690960184456044E-15</v>
      </c>
      <c r="AW234" s="936">
        <f t="shared" si="154"/>
        <v>3.8690960184456044E-15</v>
      </c>
      <c r="AX234" s="936">
        <f t="shared" si="155"/>
        <v>3.8690960184456044E-15</v>
      </c>
      <c r="AY234" s="936">
        <f t="shared" si="156"/>
        <v>3.8690960184456044E-15</v>
      </c>
      <c r="AZ234" s="936">
        <f t="shared" si="157"/>
        <v>3.8690960184456044E-15</v>
      </c>
      <c r="BA234" s="936">
        <f t="shared" si="158"/>
        <v>3.8690960184456044E-15</v>
      </c>
      <c r="BB234" s="937">
        <f t="shared" si="159"/>
        <v>3.8690960184456044E-15</v>
      </c>
      <c r="BC234" s="938"/>
    </row>
    <row r="235" spans="2:55" s="934" customFormat="1" ht="15">
      <c r="B235" s="909">
        <v>2045</v>
      </c>
      <c r="C235" s="1218" t="s">
        <v>822</v>
      </c>
      <c r="D235" s="932">
        <v>0</v>
      </c>
      <c r="E235" s="932">
        <v>0</v>
      </c>
      <c r="F235" s="932">
        <v>0</v>
      </c>
      <c r="G235" s="932">
        <v>0</v>
      </c>
      <c r="H235" s="932">
        <v>0</v>
      </c>
      <c r="I235" s="932">
        <v>0</v>
      </c>
      <c r="J235" s="932">
        <v>0</v>
      </c>
      <c r="K235" s="932">
        <v>0</v>
      </c>
      <c r="L235" s="932">
        <v>0</v>
      </c>
      <c r="M235" s="932">
        <v>0</v>
      </c>
      <c r="N235" s="932">
        <v>0</v>
      </c>
      <c r="O235" s="932">
        <v>0</v>
      </c>
      <c r="P235" s="932">
        <v>0</v>
      </c>
      <c r="Q235" s="932">
        <v>0</v>
      </c>
      <c r="R235" s="932">
        <v>0</v>
      </c>
      <c r="S235" s="932">
        <v>0</v>
      </c>
      <c r="T235" s="932">
        <v>0</v>
      </c>
      <c r="U235" s="932">
        <v>0</v>
      </c>
      <c r="V235" s="932">
        <v>0</v>
      </c>
      <c r="W235" s="932">
        <v>0</v>
      </c>
      <c r="X235" s="932">
        <v>0</v>
      </c>
      <c r="Y235" s="932">
        <v>0</v>
      </c>
      <c r="Z235" s="932">
        <v>0</v>
      </c>
      <c r="AA235" s="932">
        <v>0</v>
      </c>
      <c r="AB235" s="933">
        <v>0</v>
      </c>
      <c r="AD235" s="935">
        <f t="shared" si="135"/>
        <v>0</v>
      </c>
      <c r="AE235" s="936">
        <f t="shared" si="136"/>
        <v>0</v>
      </c>
      <c r="AF235" s="936">
        <f t="shared" si="137"/>
        <v>0</v>
      </c>
      <c r="AG235" s="936">
        <f t="shared" si="138"/>
        <v>0</v>
      </c>
      <c r="AH235" s="936">
        <f t="shared" si="139"/>
        <v>0</v>
      </c>
      <c r="AI235" s="936">
        <f t="shared" si="140"/>
        <v>0</v>
      </c>
      <c r="AJ235" s="936">
        <f t="shared" si="141"/>
        <v>0</v>
      </c>
      <c r="AK235" s="936">
        <f t="shared" si="142"/>
        <v>0</v>
      </c>
      <c r="AL235" s="936">
        <f t="shared" si="143"/>
        <v>0</v>
      </c>
      <c r="AM235" s="936">
        <f t="shared" si="144"/>
        <v>0</v>
      </c>
      <c r="AN235" s="936">
        <f t="shared" si="145"/>
        <v>0</v>
      </c>
      <c r="AO235" s="936">
        <f t="shared" si="146"/>
        <v>0</v>
      </c>
      <c r="AP235" s="936">
        <f t="shared" si="147"/>
        <v>0</v>
      </c>
      <c r="AQ235" s="936">
        <f t="shared" si="148"/>
        <v>0</v>
      </c>
      <c r="AR235" s="936">
        <f t="shared" si="149"/>
        <v>0</v>
      </c>
      <c r="AS235" s="936">
        <f t="shared" si="150"/>
        <v>0</v>
      </c>
      <c r="AT235" s="936">
        <f t="shared" si="151"/>
        <v>0</v>
      </c>
      <c r="AU235" s="936">
        <f t="shared" si="152"/>
        <v>0</v>
      </c>
      <c r="AV235" s="936">
        <f t="shared" si="153"/>
        <v>0</v>
      </c>
      <c r="AW235" s="936">
        <f t="shared" si="154"/>
        <v>0</v>
      </c>
      <c r="AX235" s="936">
        <f t="shared" si="155"/>
        <v>0</v>
      </c>
      <c r="AY235" s="936">
        <f t="shared" si="156"/>
        <v>0</v>
      </c>
      <c r="AZ235" s="936">
        <f t="shared" si="157"/>
        <v>0</v>
      </c>
      <c r="BA235" s="936">
        <f t="shared" si="158"/>
        <v>0</v>
      </c>
      <c r="BB235" s="937">
        <f t="shared" si="159"/>
        <v>0</v>
      </c>
      <c r="BC235" s="938"/>
    </row>
    <row r="236" spans="2:55" s="934" customFormat="1" ht="15">
      <c r="B236" s="909">
        <v>2046</v>
      </c>
      <c r="C236" s="1218" t="s">
        <v>823</v>
      </c>
      <c r="D236" s="932">
        <v>0</v>
      </c>
      <c r="E236" s="932">
        <v>0</v>
      </c>
      <c r="F236" s="932">
        <v>0</v>
      </c>
      <c r="G236" s="932">
        <v>0</v>
      </c>
      <c r="H236" s="932">
        <v>0</v>
      </c>
      <c r="I236" s="932">
        <v>0</v>
      </c>
      <c r="J236" s="932">
        <v>0</v>
      </c>
      <c r="K236" s="932">
        <v>0</v>
      </c>
      <c r="L236" s="932">
        <v>0</v>
      </c>
      <c r="M236" s="932">
        <v>0</v>
      </c>
      <c r="N236" s="932">
        <v>0</v>
      </c>
      <c r="O236" s="932">
        <v>0</v>
      </c>
      <c r="P236" s="932">
        <v>0</v>
      </c>
      <c r="Q236" s="932">
        <v>0</v>
      </c>
      <c r="R236" s="932">
        <v>0</v>
      </c>
      <c r="S236" s="932">
        <v>0</v>
      </c>
      <c r="T236" s="932">
        <v>0</v>
      </c>
      <c r="U236" s="932">
        <v>0</v>
      </c>
      <c r="V236" s="932">
        <v>0</v>
      </c>
      <c r="W236" s="932">
        <v>0</v>
      </c>
      <c r="X236" s="932">
        <v>0</v>
      </c>
      <c r="Y236" s="932">
        <v>0</v>
      </c>
      <c r="Z236" s="932">
        <v>0</v>
      </c>
      <c r="AA236" s="932">
        <v>0</v>
      </c>
      <c r="AB236" s="933">
        <v>0</v>
      </c>
      <c r="AD236" s="935">
        <f t="shared" si="135"/>
        <v>0</v>
      </c>
      <c r="AE236" s="936">
        <f t="shared" si="136"/>
        <v>0</v>
      </c>
      <c r="AF236" s="936">
        <f t="shared" si="137"/>
        <v>0</v>
      </c>
      <c r="AG236" s="936">
        <f t="shared" si="138"/>
        <v>0</v>
      </c>
      <c r="AH236" s="936">
        <f t="shared" si="139"/>
        <v>0</v>
      </c>
      <c r="AI236" s="936">
        <f t="shared" si="140"/>
        <v>0</v>
      </c>
      <c r="AJ236" s="936">
        <f t="shared" si="141"/>
        <v>0</v>
      </c>
      <c r="AK236" s="936">
        <f t="shared" si="142"/>
        <v>0</v>
      </c>
      <c r="AL236" s="936">
        <f t="shared" si="143"/>
        <v>0</v>
      </c>
      <c r="AM236" s="936">
        <f t="shared" si="144"/>
        <v>0</v>
      </c>
      <c r="AN236" s="936">
        <f t="shared" si="145"/>
        <v>0</v>
      </c>
      <c r="AO236" s="936">
        <f t="shared" si="146"/>
        <v>0</v>
      </c>
      <c r="AP236" s="936">
        <f t="shared" si="147"/>
        <v>0</v>
      </c>
      <c r="AQ236" s="936">
        <f t="shared" si="148"/>
        <v>0</v>
      </c>
      <c r="AR236" s="936">
        <f t="shared" si="149"/>
        <v>0</v>
      </c>
      <c r="AS236" s="936">
        <f t="shared" si="150"/>
        <v>0</v>
      </c>
      <c r="AT236" s="936">
        <f t="shared" si="151"/>
        <v>0</v>
      </c>
      <c r="AU236" s="936">
        <f t="shared" si="152"/>
        <v>0</v>
      </c>
      <c r="AV236" s="936">
        <f t="shared" si="153"/>
        <v>0</v>
      </c>
      <c r="AW236" s="936">
        <f t="shared" si="154"/>
        <v>0</v>
      </c>
      <c r="AX236" s="936">
        <f t="shared" si="155"/>
        <v>0</v>
      </c>
      <c r="AY236" s="936">
        <f t="shared" si="156"/>
        <v>0</v>
      </c>
      <c r="AZ236" s="936">
        <f t="shared" si="157"/>
        <v>0</v>
      </c>
      <c r="BA236" s="936">
        <f t="shared" si="158"/>
        <v>0</v>
      </c>
      <c r="BB236" s="937">
        <f t="shared" si="159"/>
        <v>0</v>
      </c>
      <c r="BC236" s="938"/>
    </row>
    <row r="237" spans="2:55" s="934" customFormat="1" ht="15">
      <c r="B237" s="909">
        <v>2047</v>
      </c>
      <c r="C237" s="1218" t="s">
        <v>824</v>
      </c>
      <c r="D237" s="932">
        <v>0</v>
      </c>
      <c r="E237" s="932">
        <v>0</v>
      </c>
      <c r="F237" s="932">
        <v>0</v>
      </c>
      <c r="G237" s="932">
        <v>0</v>
      </c>
      <c r="H237" s="932">
        <v>0</v>
      </c>
      <c r="I237" s="932">
        <v>0</v>
      </c>
      <c r="J237" s="932">
        <v>0</v>
      </c>
      <c r="K237" s="932">
        <v>0</v>
      </c>
      <c r="L237" s="932">
        <v>0</v>
      </c>
      <c r="M237" s="932">
        <v>0</v>
      </c>
      <c r="N237" s="932">
        <v>0</v>
      </c>
      <c r="O237" s="932">
        <v>0</v>
      </c>
      <c r="P237" s="932">
        <v>0</v>
      </c>
      <c r="Q237" s="932">
        <v>0</v>
      </c>
      <c r="R237" s="932">
        <v>0</v>
      </c>
      <c r="S237" s="932">
        <v>0</v>
      </c>
      <c r="T237" s="932">
        <v>0</v>
      </c>
      <c r="U237" s="932">
        <v>0</v>
      </c>
      <c r="V237" s="932">
        <v>0</v>
      </c>
      <c r="W237" s="932">
        <v>0</v>
      </c>
      <c r="X237" s="932">
        <v>0</v>
      </c>
      <c r="Y237" s="932">
        <v>0</v>
      </c>
      <c r="Z237" s="932">
        <v>0</v>
      </c>
      <c r="AA237" s="932">
        <v>0</v>
      </c>
      <c r="AB237" s="933">
        <v>0</v>
      </c>
      <c r="AD237" s="935">
        <f t="shared" si="135"/>
        <v>0</v>
      </c>
      <c r="AE237" s="936">
        <f t="shared" si="136"/>
        <v>0</v>
      </c>
      <c r="AF237" s="936">
        <f t="shared" si="137"/>
        <v>0</v>
      </c>
      <c r="AG237" s="936">
        <f t="shared" si="138"/>
        <v>0</v>
      </c>
      <c r="AH237" s="936">
        <f t="shared" si="139"/>
        <v>0</v>
      </c>
      <c r="AI237" s="936">
        <f t="shared" si="140"/>
        <v>0</v>
      </c>
      <c r="AJ237" s="936">
        <f t="shared" si="141"/>
        <v>0</v>
      </c>
      <c r="AK237" s="936">
        <f t="shared" si="142"/>
        <v>0</v>
      </c>
      <c r="AL237" s="936">
        <f t="shared" si="143"/>
        <v>0</v>
      </c>
      <c r="AM237" s="936">
        <f t="shared" si="144"/>
        <v>0</v>
      </c>
      <c r="AN237" s="936">
        <f t="shared" si="145"/>
        <v>0</v>
      </c>
      <c r="AO237" s="936">
        <f t="shared" si="146"/>
        <v>0</v>
      </c>
      <c r="AP237" s="936">
        <f t="shared" si="147"/>
        <v>0</v>
      </c>
      <c r="AQ237" s="936">
        <f t="shared" si="148"/>
        <v>0</v>
      </c>
      <c r="AR237" s="936">
        <f t="shared" si="149"/>
        <v>0</v>
      </c>
      <c r="AS237" s="936">
        <f t="shared" si="150"/>
        <v>0</v>
      </c>
      <c r="AT237" s="936">
        <f t="shared" si="151"/>
        <v>0</v>
      </c>
      <c r="AU237" s="936">
        <f t="shared" si="152"/>
        <v>0</v>
      </c>
      <c r="AV237" s="936">
        <f t="shared" si="153"/>
        <v>0</v>
      </c>
      <c r="AW237" s="936">
        <f t="shared" si="154"/>
        <v>0</v>
      </c>
      <c r="AX237" s="936">
        <f t="shared" si="155"/>
        <v>0</v>
      </c>
      <c r="AY237" s="936">
        <f t="shared" si="156"/>
        <v>0</v>
      </c>
      <c r="AZ237" s="936">
        <f t="shared" si="157"/>
        <v>0</v>
      </c>
      <c r="BA237" s="936">
        <f t="shared" si="158"/>
        <v>0</v>
      </c>
      <c r="BB237" s="937">
        <f t="shared" si="159"/>
        <v>0</v>
      </c>
      <c r="BC237" s="938"/>
    </row>
    <row r="238" spans="2:55" s="934" customFormat="1" ht="15">
      <c r="B238" s="909">
        <v>2048</v>
      </c>
      <c r="C238" s="1218" t="s">
        <v>825</v>
      </c>
      <c r="D238" s="932">
        <v>0</v>
      </c>
      <c r="E238" s="932">
        <v>0</v>
      </c>
      <c r="F238" s="932">
        <v>0</v>
      </c>
      <c r="G238" s="932">
        <v>0</v>
      </c>
      <c r="H238" s="932">
        <v>0</v>
      </c>
      <c r="I238" s="932">
        <v>0</v>
      </c>
      <c r="J238" s="932">
        <v>0</v>
      </c>
      <c r="K238" s="932">
        <v>0</v>
      </c>
      <c r="L238" s="932">
        <v>0</v>
      </c>
      <c r="M238" s="932">
        <v>0</v>
      </c>
      <c r="N238" s="932">
        <v>0</v>
      </c>
      <c r="O238" s="932">
        <v>0</v>
      </c>
      <c r="P238" s="932">
        <v>0</v>
      </c>
      <c r="Q238" s="932">
        <v>0</v>
      </c>
      <c r="R238" s="932">
        <v>0</v>
      </c>
      <c r="S238" s="932">
        <v>0</v>
      </c>
      <c r="T238" s="932">
        <v>0</v>
      </c>
      <c r="U238" s="932">
        <v>0</v>
      </c>
      <c r="V238" s="932">
        <v>0</v>
      </c>
      <c r="W238" s="932">
        <v>0</v>
      </c>
      <c r="X238" s="932">
        <v>0</v>
      </c>
      <c r="Y238" s="932">
        <v>0</v>
      </c>
      <c r="Z238" s="932">
        <v>0</v>
      </c>
      <c r="AA238" s="932">
        <v>0</v>
      </c>
      <c r="AB238" s="933">
        <v>0</v>
      </c>
      <c r="AD238" s="935">
        <f t="shared" si="135"/>
        <v>0</v>
      </c>
      <c r="AE238" s="936">
        <f t="shared" si="136"/>
        <v>0</v>
      </c>
      <c r="AF238" s="936">
        <f t="shared" si="137"/>
        <v>0</v>
      </c>
      <c r="AG238" s="936">
        <f t="shared" si="138"/>
        <v>0</v>
      </c>
      <c r="AH238" s="936">
        <f t="shared" si="139"/>
        <v>0</v>
      </c>
      <c r="AI238" s="936">
        <f t="shared" si="140"/>
        <v>0</v>
      </c>
      <c r="AJ238" s="936">
        <f t="shared" si="141"/>
        <v>0</v>
      </c>
      <c r="AK238" s="936">
        <f t="shared" si="142"/>
        <v>0</v>
      </c>
      <c r="AL238" s="936">
        <f t="shared" si="143"/>
        <v>0</v>
      </c>
      <c r="AM238" s="936">
        <f t="shared" si="144"/>
        <v>0</v>
      </c>
      <c r="AN238" s="936">
        <f t="shared" si="145"/>
        <v>0</v>
      </c>
      <c r="AO238" s="936">
        <f t="shared" si="146"/>
        <v>0</v>
      </c>
      <c r="AP238" s="936">
        <f t="shared" si="147"/>
        <v>0</v>
      </c>
      <c r="AQ238" s="936">
        <f t="shared" si="148"/>
        <v>0</v>
      </c>
      <c r="AR238" s="936">
        <f t="shared" si="149"/>
        <v>0</v>
      </c>
      <c r="AS238" s="936">
        <f t="shared" si="150"/>
        <v>0</v>
      </c>
      <c r="AT238" s="936">
        <f t="shared" si="151"/>
        <v>0</v>
      </c>
      <c r="AU238" s="936">
        <f t="shared" si="152"/>
        <v>0</v>
      </c>
      <c r="AV238" s="936">
        <f t="shared" si="153"/>
        <v>0</v>
      </c>
      <c r="AW238" s="936">
        <f t="shared" si="154"/>
        <v>0</v>
      </c>
      <c r="AX238" s="936">
        <f t="shared" si="155"/>
        <v>0</v>
      </c>
      <c r="AY238" s="936">
        <f t="shared" si="156"/>
        <v>0</v>
      </c>
      <c r="AZ238" s="936">
        <f t="shared" si="157"/>
        <v>0</v>
      </c>
      <c r="BA238" s="936">
        <f t="shared" si="158"/>
        <v>0</v>
      </c>
      <c r="BB238" s="937">
        <f t="shared" si="159"/>
        <v>0</v>
      </c>
      <c r="BC238" s="938"/>
    </row>
    <row r="239" spans="2:55" s="934" customFormat="1" ht="15">
      <c r="B239" s="909">
        <v>2049</v>
      </c>
      <c r="C239" s="1218" t="s">
        <v>826</v>
      </c>
      <c r="D239" s="932">
        <v>0</v>
      </c>
      <c r="E239" s="932">
        <v>0</v>
      </c>
      <c r="F239" s="932">
        <v>0</v>
      </c>
      <c r="G239" s="932">
        <v>0</v>
      </c>
      <c r="H239" s="932">
        <v>0</v>
      </c>
      <c r="I239" s="932">
        <v>0</v>
      </c>
      <c r="J239" s="932">
        <v>0</v>
      </c>
      <c r="K239" s="932">
        <v>0</v>
      </c>
      <c r="L239" s="932">
        <v>0</v>
      </c>
      <c r="M239" s="932">
        <v>0</v>
      </c>
      <c r="N239" s="932">
        <v>0</v>
      </c>
      <c r="O239" s="932">
        <v>0</v>
      </c>
      <c r="P239" s="932">
        <v>0</v>
      </c>
      <c r="Q239" s="932">
        <v>0</v>
      </c>
      <c r="R239" s="932">
        <v>0</v>
      </c>
      <c r="S239" s="932">
        <v>0</v>
      </c>
      <c r="T239" s="932">
        <v>0</v>
      </c>
      <c r="U239" s="932">
        <v>0</v>
      </c>
      <c r="V239" s="932">
        <v>0</v>
      </c>
      <c r="W239" s="932">
        <v>0</v>
      </c>
      <c r="X239" s="932">
        <v>0</v>
      </c>
      <c r="Y239" s="932">
        <v>0</v>
      </c>
      <c r="Z239" s="932">
        <v>0</v>
      </c>
      <c r="AA239" s="932">
        <v>0</v>
      </c>
      <c r="AB239" s="933">
        <v>0</v>
      </c>
      <c r="AD239" s="935">
        <f t="shared" si="135"/>
        <v>0</v>
      </c>
      <c r="AE239" s="936">
        <f t="shared" si="136"/>
        <v>0</v>
      </c>
      <c r="AF239" s="936">
        <f t="shared" si="137"/>
        <v>0</v>
      </c>
      <c r="AG239" s="936">
        <f t="shared" si="138"/>
        <v>0</v>
      </c>
      <c r="AH239" s="936">
        <f t="shared" si="139"/>
        <v>0</v>
      </c>
      <c r="AI239" s="936">
        <f t="shared" si="140"/>
        <v>0</v>
      </c>
      <c r="AJ239" s="936">
        <f t="shared" si="141"/>
        <v>0</v>
      </c>
      <c r="AK239" s="936">
        <f t="shared" si="142"/>
        <v>0</v>
      </c>
      <c r="AL239" s="936">
        <f t="shared" si="143"/>
        <v>0</v>
      </c>
      <c r="AM239" s="936">
        <f t="shared" si="144"/>
        <v>0</v>
      </c>
      <c r="AN239" s="936">
        <f t="shared" si="145"/>
        <v>0</v>
      </c>
      <c r="AO239" s="936">
        <f t="shared" si="146"/>
        <v>0</v>
      </c>
      <c r="AP239" s="936">
        <f t="shared" si="147"/>
        <v>0</v>
      </c>
      <c r="AQ239" s="936">
        <f t="shared" si="148"/>
        <v>0</v>
      </c>
      <c r="AR239" s="936">
        <f t="shared" si="149"/>
        <v>0</v>
      </c>
      <c r="AS239" s="936">
        <f t="shared" si="150"/>
        <v>0</v>
      </c>
      <c r="AT239" s="936">
        <f t="shared" si="151"/>
        <v>0</v>
      </c>
      <c r="AU239" s="936">
        <f t="shared" si="152"/>
        <v>0</v>
      </c>
      <c r="AV239" s="936">
        <f t="shared" si="153"/>
        <v>0</v>
      </c>
      <c r="AW239" s="936">
        <f t="shared" si="154"/>
        <v>0</v>
      </c>
      <c r="AX239" s="936">
        <f t="shared" si="155"/>
        <v>0</v>
      </c>
      <c r="AY239" s="936">
        <f t="shared" si="156"/>
        <v>0</v>
      </c>
      <c r="AZ239" s="936">
        <f t="shared" si="157"/>
        <v>0</v>
      </c>
      <c r="BA239" s="936">
        <f t="shared" si="158"/>
        <v>0</v>
      </c>
      <c r="BB239" s="937">
        <f t="shared" si="159"/>
        <v>0</v>
      </c>
      <c r="BC239" s="938"/>
    </row>
    <row r="240" spans="2:55" s="934" customFormat="1" ht="15">
      <c r="B240" s="916">
        <v>2050</v>
      </c>
      <c r="C240" s="1219" t="s">
        <v>827</v>
      </c>
      <c r="D240" s="932">
        <v>0</v>
      </c>
      <c r="E240" s="932">
        <v>0</v>
      </c>
      <c r="F240" s="932">
        <v>0</v>
      </c>
      <c r="G240" s="932">
        <v>0</v>
      </c>
      <c r="H240" s="932">
        <v>0</v>
      </c>
      <c r="I240" s="932">
        <v>0</v>
      </c>
      <c r="J240" s="932">
        <v>0</v>
      </c>
      <c r="K240" s="932">
        <v>0</v>
      </c>
      <c r="L240" s="932">
        <v>0</v>
      </c>
      <c r="M240" s="932">
        <v>0</v>
      </c>
      <c r="N240" s="932">
        <v>0</v>
      </c>
      <c r="O240" s="932">
        <v>0</v>
      </c>
      <c r="P240" s="932">
        <v>0</v>
      </c>
      <c r="Q240" s="932">
        <v>0</v>
      </c>
      <c r="R240" s="932">
        <v>0</v>
      </c>
      <c r="S240" s="932">
        <v>0</v>
      </c>
      <c r="T240" s="932">
        <v>0</v>
      </c>
      <c r="U240" s="932">
        <v>0</v>
      </c>
      <c r="V240" s="932">
        <v>0</v>
      </c>
      <c r="W240" s="932">
        <v>0</v>
      </c>
      <c r="X240" s="932">
        <v>0</v>
      </c>
      <c r="Y240" s="932">
        <v>0</v>
      </c>
      <c r="Z240" s="932">
        <v>0</v>
      </c>
      <c r="AA240" s="932">
        <v>0</v>
      </c>
      <c r="AB240" s="933">
        <v>0</v>
      </c>
      <c r="AD240" s="935">
        <f t="shared" si="135"/>
        <v>0</v>
      </c>
      <c r="AE240" s="936">
        <f t="shared" si="136"/>
        <v>0</v>
      </c>
      <c r="AF240" s="936">
        <f t="shared" si="137"/>
        <v>0</v>
      </c>
      <c r="AG240" s="936">
        <f t="shared" si="138"/>
        <v>0</v>
      </c>
      <c r="AH240" s="936">
        <f t="shared" si="139"/>
        <v>0</v>
      </c>
      <c r="AI240" s="936">
        <f t="shared" si="140"/>
        <v>0</v>
      </c>
      <c r="AJ240" s="936">
        <f t="shared" si="141"/>
        <v>0</v>
      </c>
      <c r="AK240" s="936">
        <f t="shared" si="142"/>
        <v>0</v>
      </c>
      <c r="AL240" s="936">
        <f t="shared" si="143"/>
        <v>0</v>
      </c>
      <c r="AM240" s="936">
        <f t="shared" si="144"/>
        <v>0</v>
      </c>
      <c r="AN240" s="936">
        <f t="shared" si="145"/>
        <v>0</v>
      </c>
      <c r="AO240" s="936">
        <f t="shared" si="146"/>
        <v>0</v>
      </c>
      <c r="AP240" s="936">
        <f t="shared" si="147"/>
        <v>0</v>
      </c>
      <c r="AQ240" s="936">
        <f t="shared" si="148"/>
        <v>0</v>
      </c>
      <c r="AR240" s="936">
        <f t="shared" si="149"/>
        <v>0</v>
      </c>
      <c r="AS240" s="936">
        <f t="shared" si="150"/>
        <v>0</v>
      </c>
      <c r="AT240" s="936">
        <f t="shared" si="151"/>
        <v>0</v>
      </c>
      <c r="AU240" s="936">
        <f t="shared" si="152"/>
        <v>0</v>
      </c>
      <c r="AV240" s="936">
        <f t="shared" si="153"/>
        <v>0</v>
      </c>
      <c r="AW240" s="936">
        <f t="shared" si="154"/>
        <v>0</v>
      </c>
      <c r="AX240" s="936">
        <f t="shared" si="155"/>
        <v>0</v>
      </c>
      <c r="AY240" s="936">
        <f t="shared" si="156"/>
        <v>0</v>
      </c>
      <c r="AZ240" s="936">
        <f t="shared" si="157"/>
        <v>0</v>
      </c>
      <c r="BA240" s="936">
        <f t="shared" si="158"/>
        <v>0</v>
      </c>
      <c r="BB240" s="937">
        <f t="shared" si="159"/>
        <v>0</v>
      </c>
      <c r="BC240" s="938"/>
    </row>
    <row r="241" spans="2:55" s="934" customFormat="1" ht="15">
      <c r="B241" s="909" t="s">
        <v>830</v>
      </c>
      <c r="C241" s="931"/>
      <c r="D241" s="940">
        <f t="shared" ref="D241:AB241" si="160">NPV(realdiscrt3,D208:D240)/(1+realdiscrt3)^-Half_Year</f>
        <v>17.839805227391242</v>
      </c>
      <c r="E241" s="940">
        <f t="shared" si="160"/>
        <v>51.054783911793301</v>
      </c>
      <c r="F241" s="940">
        <f t="shared" si="160"/>
        <v>128.41324077183322</v>
      </c>
      <c r="G241" s="940">
        <f t="shared" si="160"/>
        <v>218.79869792965147</v>
      </c>
      <c r="H241" s="940">
        <f t="shared" si="160"/>
        <v>387.8427014736485</v>
      </c>
      <c r="I241" s="940">
        <f t="shared" si="160"/>
        <v>396.20064581075411</v>
      </c>
      <c r="J241" s="940">
        <f t="shared" si="160"/>
        <v>403.66447268076877</v>
      </c>
      <c r="K241" s="940">
        <f t="shared" si="160"/>
        <v>407.87187101440958</v>
      </c>
      <c r="L241" s="940">
        <f t="shared" si="160"/>
        <v>409.7575564648464</v>
      </c>
      <c r="M241" s="940">
        <f t="shared" si="160"/>
        <v>410.2376384888575</v>
      </c>
      <c r="N241" s="940">
        <f t="shared" si="160"/>
        <v>410.2376384888575</v>
      </c>
      <c r="O241" s="940">
        <f t="shared" si="160"/>
        <v>410.2376384888575</v>
      </c>
      <c r="P241" s="940">
        <f t="shared" si="160"/>
        <v>410.2376384888575</v>
      </c>
      <c r="Q241" s="940">
        <f t="shared" si="160"/>
        <v>410.2376384888575</v>
      </c>
      <c r="R241" s="940">
        <f t="shared" si="160"/>
        <v>410.2376384888575</v>
      </c>
      <c r="S241" s="940">
        <f t="shared" si="160"/>
        <v>410.2376384888575</v>
      </c>
      <c r="T241" s="940">
        <f t="shared" si="160"/>
        <v>410.2376384888575</v>
      </c>
      <c r="U241" s="940">
        <f t="shared" si="160"/>
        <v>410.2376384888575</v>
      </c>
      <c r="V241" s="940">
        <f t="shared" si="160"/>
        <v>410.2376384888575</v>
      </c>
      <c r="W241" s="940">
        <f t="shared" si="160"/>
        <v>410.2376384888575</v>
      </c>
      <c r="X241" s="940">
        <f t="shared" si="160"/>
        <v>410.2376384888575</v>
      </c>
      <c r="Y241" s="940">
        <f t="shared" si="160"/>
        <v>410.2376384888575</v>
      </c>
      <c r="Z241" s="940">
        <f t="shared" si="160"/>
        <v>410.2376384888575</v>
      </c>
      <c r="AA241" s="940">
        <f t="shared" si="160"/>
        <v>410.2376384888575</v>
      </c>
      <c r="AB241" s="940">
        <f t="shared" si="160"/>
        <v>410.2376384888575</v>
      </c>
      <c r="AD241" s="1478">
        <f t="shared" ref="AD241:BB241" si="161">NPV(realdiscrt3,AD216:AD240)/(1+realdiscrt3)^(2-Half_Year)</f>
        <v>32.903512474460868</v>
      </c>
      <c r="AE241" s="1478">
        <f t="shared" si="161"/>
        <v>94.164801572121632</v>
      </c>
      <c r="AF241" s="1478">
        <f t="shared" si="161"/>
        <v>236.8437668329762</v>
      </c>
      <c r="AG241" s="1478">
        <f t="shared" si="161"/>
        <v>403.54956766402125</v>
      </c>
      <c r="AH241" s="1478">
        <f t="shared" si="161"/>
        <v>715.33220253284821</v>
      </c>
      <c r="AI241" s="1478">
        <f t="shared" si="161"/>
        <v>730.74748998983011</v>
      </c>
      <c r="AJ241" s="1478">
        <f t="shared" si="161"/>
        <v>744.51367843160017</v>
      </c>
      <c r="AK241" s="1478">
        <f t="shared" si="161"/>
        <v>752.27375102159806</v>
      </c>
      <c r="AL241" s="1478">
        <f t="shared" si="161"/>
        <v>755.75168555902735</v>
      </c>
      <c r="AM241" s="1478">
        <f t="shared" si="161"/>
        <v>756.63714280838997</v>
      </c>
      <c r="AN241" s="1478">
        <f t="shared" si="161"/>
        <v>756.63714280838997</v>
      </c>
      <c r="AO241" s="1478">
        <f t="shared" si="161"/>
        <v>756.63714280838997</v>
      </c>
      <c r="AP241" s="1478">
        <f t="shared" si="161"/>
        <v>756.63714280838997</v>
      </c>
      <c r="AQ241" s="1478">
        <f t="shared" si="161"/>
        <v>756.63714280838997</v>
      </c>
      <c r="AR241" s="1478">
        <f t="shared" si="161"/>
        <v>756.63714280838997</v>
      </c>
      <c r="AS241" s="1478">
        <f t="shared" si="161"/>
        <v>756.63714280838997</v>
      </c>
      <c r="AT241" s="1478">
        <f t="shared" si="161"/>
        <v>756.63714280838997</v>
      </c>
      <c r="AU241" s="1478">
        <f t="shared" si="161"/>
        <v>756.63714280838997</v>
      </c>
      <c r="AV241" s="1478">
        <f t="shared" si="161"/>
        <v>756.63714280838997</v>
      </c>
      <c r="AW241" s="1478">
        <f t="shared" si="161"/>
        <v>756.63714280838997</v>
      </c>
      <c r="AX241" s="1478">
        <f t="shared" si="161"/>
        <v>756.63714280838997</v>
      </c>
      <c r="AY241" s="1478">
        <f t="shared" si="161"/>
        <v>756.63714280838997</v>
      </c>
      <c r="AZ241" s="1478">
        <f t="shared" si="161"/>
        <v>756.63714280838997</v>
      </c>
      <c r="BA241" s="1478">
        <f t="shared" si="161"/>
        <v>756.63714280838997</v>
      </c>
      <c r="BB241" s="1478">
        <f t="shared" si="161"/>
        <v>756.63714280838997</v>
      </c>
      <c r="BC241" s="938"/>
    </row>
    <row r="242" spans="2:55" s="934" customFormat="1" ht="15" hidden="1">
      <c r="B242" s="941"/>
      <c r="C242" s="931"/>
      <c r="D242" s="940"/>
      <c r="E242" s="940"/>
      <c r="F242" s="940"/>
      <c r="G242" s="940"/>
      <c r="H242" s="940"/>
      <c r="I242" s="940"/>
      <c r="J242" s="940"/>
      <c r="K242" s="940"/>
      <c r="L242" s="940"/>
      <c r="M242" s="940"/>
      <c r="N242" s="940"/>
      <c r="O242" s="940"/>
      <c r="P242" s="940"/>
      <c r="Q242" s="940"/>
      <c r="R242" s="940"/>
      <c r="S242" s="940"/>
      <c r="T242" s="940"/>
      <c r="U242" s="940"/>
      <c r="V242" s="940"/>
      <c r="W242" s="940"/>
      <c r="X242" s="940"/>
      <c r="Y242" s="940"/>
      <c r="Z242" s="940"/>
      <c r="AA242" s="940"/>
      <c r="AB242" s="940"/>
      <c r="AD242" s="940"/>
      <c r="AE242" s="940"/>
      <c r="AF242" s="940"/>
      <c r="AG242" s="940"/>
      <c r="AH242" s="940"/>
      <c r="AI242" s="940"/>
      <c r="AJ242" s="940"/>
      <c r="AK242" s="940"/>
      <c r="AL242" s="940"/>
      <c r="AM242" s="940"/>
      <c r="AN242" s="940"/>
      <c r="AO242" s="940"/>
      <c r="AP242" s="940"/>
      <c r="AQ242" s="940"/>
      <c r="AR242" s="940"/>
      <c r="AS242" s="940"/>
      <c r="AT242" s="940"/>
      <c r="AU242" s="940"/>
      <c r="AV242" s="940"/>
      <c r="AW242" s="940"/>
      <c r="AX242" s="940"/>
      <c r="AY242" s="940"/>
      <c r="AZ242" s="940"/>
      <c r="BA242" s="940"/>
      <c r="BB242" s="940"/>
    </row>
    <row r="243" spans="2:55" s="934" customFormat="1" ht="15" hidden="1">
      <c r="B243" s="941"/>
      <c r="C243" s="931"/>
      <c r="D243" s="940"/>
      <c r="E243" s="940"/>
      <c r="F243" s="940"/>
      <c r="G243" s="940"/>
      <c r="H243" s="940"/>
      <c r="I243" s="940"/>
      <c r="J243" s="940"/>
      <c r="K243" s="940"/>
      <c r="L243" s="940"/>
      <c r="M243" s="940"/>
      <c r="N243" s="940"/>
      <c r="O243" s="940"/>
      <c r="P243" s="940"/>
      <c r="Q243" s="940"/>
      <c r="R243" s="940"/>
      <c r="S243" s="940"/>
      <c r="T243" s="940"/>
      <c r="U243" s="940"/>
      <c r="V243" s="940"/>
      <c r="W243" s="940"/>
      <c r="X243" s="940"/>
      <c r="Y243" s="940"/>
      <c r="Z243" s="940"/>
      <c r="AA243" s="940"/>
      <c r="AB243" s="940"/>
      <c r="AD243" s="940"/>
      <c r="AE243" s="940"/>
      <c r="AF243" s="940"/>
      <c r="AG243" s="940"/>
      <c r="AH243" s="940"/>
      <c r="AI243" s="940"/>
      <c r="AJ243" s="940"/>
      <c r="AK243" s="940"/>
      <c r="AL243" s="940"/>
      <c r="AM243" s="940"/>
      <c r="AN243" s="940"/>
      <c r="AO243" s="940"/>
      <c r="AP243" s="940"/>
      <c r="AQ243" s="940"/>
      <c r="AR243" s="940"/>
      <c r="AS243" s="940"/>
      <c r="AT243" s="940"/>
      <c r="AU243" s="940"/>
      <c r="AV243" s="940"/>
      <c r="AW243" s="940"/>
      <c r="AX243" s="940"/>
      <c r="AY243" s="940"/>
      <c r="AZ243" s="940"/>
      <c r="BA243" s="940"/>
      <c r="BB243" s="940"/>
    </row>
    <row r="244" spans="2:55" s="934" customFormat="1" ht="15" hidden="1">
      <c r="B244" s="942"/>
      <c r="C244" s="939"/>
      <c r="D244" s="940"/>
      <c r="E244" s="940"/>
      <c r="F244" s="940"/>
      <c r="G244" s="940"/>
      <c r="H244" s="940"/>
      <c r="I244" s="940"/>
      <c r="J244" s="940"/>
      <c r="K244" s="940"/>
      <c r="L244" s="940"/>
      <c r="M244" s="940"/>
      <c r="N244" s="940"/>
      <c r="O244" s="940"/>
      <c r="P244" s="940"/>
      <c r="Q244" s="940"/>
      <c r="R244" s="940"/>
      <c r="S244" s="940"/>
      <c r="T244" s="940"/>
      <c r="U244" s="940"/>
      <c r="V244" s="940"/>
      <c r="W244" s="940"/>
      <c r="X244" s="940"/>
      <c r="Y244" s="940"/>
      <c r="Z244" s="940"/>
      <c r="AA244" s="940"/>
      <c r="AB244" s="940"/>
      <c r="AD244" s="940"/>
      <c r="AE244" s="940"/>
      <c r="AF244" s="940"/>
      <c r="AG244" s="940"/>
      <c r="AH244" s="940"/>
      <c r="AI244" s="940"/>
      <c r="AJ244" s="940"/>
      <c r="AK244" s="940"/>
      <c r="AL244" s="940"/>
      <c r="AM244" s="940"/>
      <c r="AN244" s="940"/>
      <c r="AO244" s="940"/>
      <c r="AP244" s="940"/>
      <c r="AQ244" s="940"/>
      <c r="AR244" s="940"/>
      <c r="AS244" s="940"/>
      <c r="AT244" s="940"/>
      <c r="AU244" s="940"/>
      <c r="AV244" s="940"/>
      <c r="AW244" s="940"/>
      <c r="AX244" s="940"/>
      <c r="AY244" s="940"/>
      <c r="AZ244" s="940"/>
      <c r="BA244" s="940"/>
      <c r="BB244" s="940"/>
    </row>
  </sheetData>
  <mergeCells count="5">
    <mergeCell ref="B4:AB4"/>
    <mergeCell ref="AD4:BB4"/>
    <mergeCell ref="B7:C7"/>
    <mergeCell ref="B87:C87"/>
    <mergeCell ref="B167:C16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9BDD-19E3-4255-9477-4EB21417D5CD}">
  <sheetPr>
    <tabColor theme="1" tint="0.34998626667073579"/>
  </sheetPr>
  <dimension ref="A1:V620"/>
  <sheetViews>
    <sheetView showGridLines="0" zoomScale="80" zoomScaleNormal="80" workbookViewId="0">
      <pane ySplit="12" topLeftCell="A13" activePane="bottomLeft" state="frozen"/>
      <selection pane="bottomLeft" activeCell="D594" sqref="D594"/>
    </sheetView>
  </sheetViews>
  <sheetFormatPr defaultColWidth="9.140625" defaultRowHeight="14.25"/>
  <cols>
    <col min="1" max="1" width="25.85546875" style="979" customWidth="1"/>
    <col min="2" max="2" width="10.28515625" style="979" customWidth="1"/>
    <col min="3" max="3" width="16.28515625" style="979" bestFit="1" customWidth="1"/>
    <col min="4" max="6" width="19.5703125" style="979" customWidth="1"/>
    <col min="7" max="7" width="33.5703125" style="979" bestFit="1" customWidth="1"/>
    <col min="8" max="8" width="13.5703125" style="979" bestFit="1" customWidth="1"/>
    <col min="9" max="9" width="12" style="979" bestFit="1" customWidth="1"/>
    <col min="10" max="10" width="21" style="979" customWidth="1"/>
    <col min="11" max="12" width="22.5703125" style="979" customWidth="1"/>
    <col min="13" max="13" width="26.28515625" style="979" customWidth="1"/>
    <col min="14" max="14" width="13.85546875" style="979" customWidth="1"/>
    <col min="15" max="15" width="12.140625" style="979" bestFit="1" customWidth="1"/>
    <col min="16" max="16" width="12.140625" style="979" customWidth="1"/>
    <col min="17" max="17" width="8.85546875" style="979" bestFit="1" customWidth="1"/>
    <col min="18" max="18" width="12.140625" style="979" bestFit="1" customWidth="1"/>
    <col min="19" max="19" width="10" style="979" bestFit="1" customWidth="1"/>
    <col min="20" max="20" width="12.140625" style="979" bestFit="1" customWidth="1"/>
    <col min="21" max="21" width="13.85546875" style="979" customWidth="1"/>
    <col min="22" max="22" width="2.7109375" style="979" customWidth="1"/>
    <col min="23" max="16384" width="9.140625" style="979"/>
  </cols>
  <sheetData>
    <row r="1" spans="1:22">
      <c r="D1" s="1484"/>
      <c r="L1" s="1484"/>
    </row>
    <row r="2" spans="1:22" ht="20.25">
      <c r="A2" s="977" t="s">
        <v>833</v>
      </c>
      <c r="B2" s="978"/>
      <c r="C2" s="978"/>
      <c r="D2" s="978"/>
      <c r="E2" s="978"/>
      <c r="F2" s="978"/>
      <c r="G2" s="978"/>
      <c r="H2" s="1157"/>
      <c r="Q2" s="1158"/>
    </row>
    <row r="3" spans="1:22" s="983" customFormat="1" ht="15">
      <c r="A3" s="980" t="s">
        <v>796</v>
      </c>
      <c r="B3" s="981" t="s">
        <v>834</v>
      </c>
      <c r="C3" s="981" t="s">
        <v>835</v>
      </c>
      <c r="D3" s="981" t="s">
        <v>836</v>
      </c>
      <c r="E3" s="981" t="s">
        <v>837</v>
      </c>
      <c r="F3" s="981" t="s">
        <v>838</v>
      </c>
      <c r="G3" s="981" t="s">
        <v>880</v>
      </c>
      <c r="H3" s="982" t="s">
        <v>879</v>
      </c>
      <c r="I3" s="979"/>
      <c r="J3" s="979"/>
      <c r="K3" s="979"/>
      <c r="L3" s="979"/>
      <c r="M3" s="979"/>
      <c r="Q3" s="1159"/>
    </row>
    <row r="4" spans="1:22">
      <c r="A4" s="984" t="s">
        <v>839</v>
      </c>
      <c r="B4" s="985" t="s">
        <v>840</v>
      </c>
      <c r="C4" s="986" t="s">
        <v>955</v>
      </c>
      <c r="D4" s="986" t="s">
        <v>841</v>
      </c>
      <c r="E4" s="987">
        <v>2.3E-3</v>
      </c>
      <c r="F4" s="1156" t="s">
        <v>842</v>
      </c>
      <c r="G4" s="1156" t="s">
        <v>55</v>
      </c>
      <c r="H4" s="1160">
        <f>INDEX(Lookups!$G$47:$G$50,MATCH(G4,Lookups!$E$47:$E$50,0))</f>
        <v>0.09</v>
      </c>
      <c r="Q4" s="1158"/>
    </row>
    <row r="5" spans="1:22">
      <c r="A5" s="984" t="s">
        <v>868</v>
      </c>
      <c r="B5" s="944" t="s">
        <v>844</v>
      </c>
      <c r="C5" s="986" t="s">
        <v>955</v>
      </c>
      <c r="D5" s="986" t="s">
        <v>841</v>
      </c>
      <c r="E5" s="987">
        <f>20/2928</f>
        <v>6.8306010928961746E-3</v>
      </c>
      <c r="F5" s="1156" t="s">
        <v>870</v>
      </c>
      <c r="G5" s="1156" t="s">
        <v>55</v>
      </c>
      <c r="H5" s="1160">
        <f>INDEX(Lookups!$G$47:$G$50,MATCH(G5,Lookups!$E$47:$E$50,0))</f>
        <v>0.09</v>
      </c>
      <c r="Q5" s="1158"/>
    </row>
    <row r="6" spans="1:22">
      <c r="A6" s="984" t="s">
        <v>843</v>
      </c>
      <c r="B6" s="944" t="s">
        <v>848</v>
      </c>
      <c r="C6" s="986" t="s">
        <v>955</v>
      </c>
      <c r="D6" s="986" t="s">
        <v>845</v>
      </c>
      <c r="E6" s="986" t="s">
        <v>846</v>
      </c>
      <c r="F6" s="1156" t="s">
        <v>85</v>
      </c>
      <c r="G6" s="1156" t="s">
        <v>55</v>
      </c>
      <c r="H6" s="1160">
        <f>INDEX(Lookups!$G$47:$G$50,MATCH(G6,Lookups!$E$47:$E$50,0))</f>
        <v>0.09</v>
      </c>
    </row>
    <row r="7" spans="1:22">
      <c r="A7" s="984" t="s">
        <v>847</v>
      </c>
      <c r="B7" s="944" t="s">
        <v>851</v>
      </c>
      <c r="C7" s="986" t="s">
        <v>955</v>
      </c>
      <c r="D7" s="986" t="s">
        <v>845</v>
      </c>
      <c r="E7" s="986" t="s">
        <v>849</v>
      </c>
      <c r="F7" s="1156" t="s">
        <v>85</v>
      </c>
      <c r="G7" s="1156" t="s">
        <v>56</v>
      </c>
      <c r="H7" s="1160">
        <f>INDEX(Lookups!$G$47:$G$50,MATCH(G7,Lookups!$E$47:$E$50,0))</f>
        <v>0.09</v>
      </c>
    </row>
    <row r="8" spans="1:22">
      <c r="A8" s="984" t="s">
        <v>850</v>
      </c>
      <c r="B8" s="944" t="s">
        <v>854</v>
      </c>
      <c r="C8" s="986" t="s">
        <v>955</v>
      </c>
      <c r="D8" s="986" t="s">
        <v>845</v>
      </c>
      <c r="E8" s="986" t="s">
        <v>852</v>
      </c>
      <c r="F8" s="1156" t="s">
        <v>85</v>
      </c>
      <c r="G8" s="1156" t="s">
        <v>56</v>
      </c>
      <c r="H8" s="1160">
        <f>INDEX(Lookups!$G$47:$G$50,MATCH(G8,Lookups!$E$47:$E$50,0))</f>
        <v>0.09</v>
      </c>
      <c r="K8" s="1725" t="s">
        <v>857</v>
      </c>
      <c r="L8" s="1726"/>
      <c r="M8" s="1727"/>
    </row>
    <row r="9" spans="1:22">
      <c r="A9" s="984" t="s">
        <v>853</v>
      </c>
      <c r="B9" s="944" t="s">
        <v>859</v>
      </c>
      <c r="C9" s="986" t="s">
        <v>955</v>
      </c>
      <c r="D9" s="986" t="s">
        <v>841</v>
      </c>
      <c r="E9" s="988" t="s">
        <v>855</v>
      </c>
      <c r="F9" s="1156" t="s">
        <v>856</v>
      </c>
      <c r="G9" s="1156" t="s">
        <v>53</v>
      </c>
      <c r="H9" s="1160">
        <f>INDEX(Lookups!$G$47:$G$50,MATCH(G9,Lookups!$E$47:$E$50,0))</f>
        <v>0.09</v>
      </c>
      <c r="K9" s="1728"/>
      <c r="L9" s="1729"/>
      <c r="M9" s="1730"/>
    </row>
    <row r="10" spans="1:22">
      <c r="A10" s="989" t="s">
        <v>858</v>
      </c>
      <c r="B10" s="945" t="s">
        <v>869</v>
      </c>
      <c r="C10" s="990" t="s">
        <v>955</v>
      </c>
      <c r="D10" s="990" t="s">
        <v>845</v>
      </c>
      <c r="E10" s="990" t="s">
        <v>860</v>
      </c>
      <c r="F10" s="990" t="s">
        <v>85</v>
      </c>
      <c r="G10" s="990" t="s">
        <v>54</v>
      </c>
      <c r="H10" s="1161">
        <f>INDEX(Lookups!$G$47:$G$50,MATCH(G10,Lookups!$E$47:$E$50,0))</f>
        <v>0.09</v>
      </c>
    </row>
    <row r="11" spans="1:22" ht="15" customHeight="1">
      <c r="A11" s="991">
        <v>1</v>
      </c>
      <c r="B11" s="992">
        <f t="shared" ref="B11:G11" si="0">A11+1</f>
        <v>2</v>
      </c>
      <c r="C11" s="992">
        <f t="shared" si="0"/>
        <v>3</v>
      </c>
      <c r="D11" s="992">
        <f t="shared" si="0"/>
        <v>4</v>
      </c>
      <c r="E11" s="992">
        <f t="shared" si="0"/>
        <v>5</v>
      </c>
      <c r="F11" s="992">
        <f t="shared" si="0"/>
        <v>6</v>
      </c>
      <c r="G11" s="992">
        <f t="shared" si="0"/>
        <v>7</v>
      </c>
      <c r="H11" s="992"/>
      <c r="I11" s="992">
        <v>1</v>
      </c>
      <c r="J11" s="992">
        <f>I11+1</f>
        <v>2</v>
      </c>
      <c r="K11" s="992">
        <f>J11+1</f>
        <v>3</v>
      </c>
      <c r="L11" s="992">
        <f>K11+1</f>
        <v>4</v>
      </c>
      <c r="M11" s="992">
        <f>L11+1</f>
        <v>5</v>
      </c>
      <c r="N11" s="992">
        <f>M11+1</f>
        <v>6</v>
      </c>
      <c r="O11" s="992"/>
      <c r="P11" s="992"/>
      <c r="Q11" s="992"/>
      <c r="R11" s="992"/>
      <c r="S11" s="992"/>
      <c r="T11" s="992"/>
      <c r="U11" s="992"/>
      <c r="V11" s="466"/>
    </row>
    <row r="12" spans="1:22" s="992" customFormat="1" ht="15" customHeight="1">
      <c r="C12" s="992">
        <v>2</v>
      </c>
      <c r="D12" s="992">
        <v>4</v>
      </c>
      <c r="V12" s="466"/>
    </row>
    <row r="13" spans="1:22" s="466" customFormat="1" ht="21" customHeight="1">
      <c r="A13" s="1735" t="str">
        <f>A4</f>
        <v>Top 20 All Hours</v>
      </c>
      <c r="B13" s="1736"/>
      <c r="C13" s="1736"/>
      <c r="D13" s="1736"/>
      <c r="E13" s="1736"/>
      <c r="F13" s="1736"/>
      <c r="G13" s="1736"/>
      <c r="H13" s="1736"/>
      <c r="I13" s="1736"/>
      <c r="J13" s="1736"/>
      <c r="K13" s="1736"/>
      <c r="L13" s="1736"/>
      <c r="M13" s="1736"/>
      <c r="N13" s="1737"/>
    </row>
    <row r="14" spans="1:22" s="996" customFormat="1" ht="15" customHeight="1">
      <c r="A14" s="1733" t="s">
        <v>564</v>
      </c>
      <c r="B14" s="1734"/>
      <c r="C14" s="993" t="s">
        <v>865</v>
      </c>
      <c r="D14" s="994" t="s">
        <v>61</v>
      </c>
      <c r="E14" s="993" t="s">
        <v>865</v>
      </c>
      <c r="F14" s="993" t="s">
        <v>61</v>
      </c>
      <c r="G14" s="995" t="s">
        <v>667</v>
      </c>
      <c r="I14" s="1731" t="s">
        <v>74</v>
      </c>
      <c r="J14" s="997" t="s">
        <v>861</v>
      </c>
      <c r="K14" s="997" t="s">
        <v>862</v>
      </c>
      <c r="L14" s="998" t="s">
        <v>957</v>
      </c>
      <c r="M14" s="998" t="s">
        <v>863</v>
      </c>
      <c r="N14" s="1732" t="s">
        <v>864</v>
      </c>
    </row>
    <row r="15" spans="1:22" s="466" customFormat="1" ht="15">
      <c r="A15" s="999"/>
      <c r="B15" s="1000"/>
      <c r="C15" s="1001" t="s">
        <v>69</v>
      </c>
      <c r="D15" s="1002" t="s">
        <v>69</v>
      </c>
      <c r="E15" s="1001" t="s">
        <v>69</v>
      </c>
      <c r="F15" s="1001" t="s">
        <v>69</v>
      </c>
      <c r="G15" s="1003"/>
      <c r="I15" s="1731"/>
      <c r="J15" s="1004" t="s">
        <v>866</v>
      </c>
      <c r="K15" s="1004" t="s">
        <v>866</v>
      </c>
      <c r="L15" s="1005" t="s">
        <v>866</v>
      </c>
      <c r="M15" s="1005" t="s">
        <v>866</v>
      </c>
      <c r="N15" s="1732"/>
    </row>
    <row r="16" spans="1:22" s="466" customFormat="1" ht="20.25">
      <c r="A16" s="1041" t="s">
        <v>571</v>
      </c>
      <c r="B16" s="1042"/>
      <c r="C16" s="1043"/>
      <c r="D16" s="1044"/>
      <c r="E16" s="1045" t="s">
        <v>604</v>
      </c>
      <c r="F16" s="973"/>
      <c r="G16" s="974"/>
      <c r="I16" s="1731"/>
      <c r="J16" s="1006" t="s">
        <v>69</v>
      </c>
      <c r="K16" s="1006" t="s">
        <v>69</v>
      </c>
      <c r="L16" s="1007" t="s">
        <v>69</v>
      </c>
      <c r="M16" s="1007" t="s">
        <v>69</v>
      </c>
      <c r="N16" s="1732"/>
    </row>
    <row r="17" spans="1:14" s="1010" customFormat="1" ht="18">
      <c r="A17" s="975">
        <f>Year1</f>
        <v>2024</v>
      </c>
      <c r="B17" s="976" t="str">
        <f>Year1&amp;"$"</f>
        <v>2024$</v>
      </c>
      <c r="C17" s="1008"/>
      <c r="D17" s="1480" t="s">
        <v>993</v>
      </c>
      <c r="E17" s="1481">
        <v>2024</v>
      </c>
      <c r="F17" s="1482" t="s">
        <v>992</v>
      </c>
      <c r="G17" s="1009"/>
      <c r="I17" s="1011" t="s">
        <v>956</v>
      </c>
      <c r="J17" s="1012"/>
      <c r="K17" s="1012"/>
      <c r="L17" s="1012"/>
      <c r="M17" s="1013"/>
      <c r="N17" s="1014"/>
    </row>
    <row r="18" spans="1:14" s="466" customFormat="1">
      <c r="A18" s="1015">
        <v>1</v>
      </c>
      <c r="B18" s="1016">
        <f>Year1</f>
        <v>2024</v>
      </c>
      <c r="C18" s="1017">
        <f>VLOOKUP($B18,$I$18:$N$50,C$12,FALSE)*(1+Inflation1)^(Year1-Real_Year)</f>
        <v>5.8763252971184315E-2</v>
      </c>
      <c r="D18" s="1485">
        <f t="shared" ref="D18:D44" si="1">VLOOKUP($B18-3,$I$18:$N$50,IF($A$17=Year1,D$12,D$12+1),FALSE)*(1+Inflation1)^(Year1-Real_Year)</f>
        <v>6.1376222460676495E-3</v>
      </c>
      <c r="E18" s="1018">
        <f>NPV(realdiscrt1,C$18:C18)/(1+realdiscrt1)^-Half_Year</f>
        <v>5.836652294656914E-2</v>
      </c>
      <c r="F18" s="1018">
        <f>NPV(realdiscrt1,D$18:D18)/(1+realdiscrt1)^-Half_Year</f>
        <v>6.0961851420673809E-3</v>
      </c>
      <c r="G18" s="1019" t="str">
        <f>$A$17&amp;"-"&amp;$A$13&amp;"-"&amp;A18</f>
        <v>2024-Top 20 All Hours-1</v>
      </c>
      <c r="I18" s="1020">
        <v>2018</v>
      </c>
      <c r="J18" s="1319">
        <f t="shared" ref="J18:J50" si="2">(K18+$N18)*(1+WholesaleRiskPremium)</f>
        <v>0</v>
      </c>
      <c r="K18" s="1022"/>
      <c r="L18" s="1023"/>
      <c r="M18" s="1023"/>
      <c r="N18" s="1321">
        <f>INDEX(AESC!$H$184:$H$216,MATCH(I18,AESC!$B$184:$B$216,0))</f>
        <v>0</v>
      </c>
    </row>
    <row r="19" spans="1:14" s="466" customFormat="1">
      <c r="A19" s="1015">
        <v>2</v>
      </c>
      <c r="B19" s="1016">
        <f t="shared" ref="B19:B44" si="3">B18+1</f>
        <v>2025</v>
      </c>
      <c r="C19" s="1017">
        <f t="shared" ref="C19:C44" si="4">VLOOKUP($B19,$I$18:$N$50,C$12,FALSE)*(1+Inflation1)^(Year1-Real_Year)</f>
        <v>5.7460638186442425E-2</v>
      </c>
      <c r="D19" s="1485">
        <f t="shared" si="1"/>
        <v>8.9421633753327175E-3</v>
      </c>
      <c r="E19" s="1018">
        <f>NPV(realdiscrt1,C$18:C19)/(1+realdiscrt1)^-Half_Year</f>
        <v>0.11467119376077348</v>
      </c>
      <c r="F19" s="1018">
        <f>NPV(realdiscrt1,D$18:D19)/(1+realdiscrt1)^-Half_Year</f>
        <v>1.4858454081393885E-2</v>
      </c>
      <c r="G19" s="1019" t="str">
        <f t="shared" ref="G19:G42" si="5">$A$17&amp;"-"&amp;$A$13&amp;"-"&amp;A19</f>
        <v>2024-Top 20 All Hours-2</v>
      </c>
      <c r="I19" s="1020">
        <v>2019</v>
      </c>
      <c r="J19" s="1319">
        <f t="shared" si="2"/>
        <v>0</v>
      </c>
      <c r="K19" s="1022"/>
      <c r="L19" s="1023"/>
      <c r="M19" s="1023"/>
      <c r="N19" s="1321">
        <f>INDEX(AESC!$H$184:$H$216,MATCH(I19,AESC!$B$184:$B$216,0))</f>
        <v>0</v>
      </c>
    </row>
    <row r="20" spans="1:14" s="466" customFormat="1">
      <c r="A20" s="1015">
        <f t="shared" ref="A20:A44" si="6">A19+1</f>
        <v>3</v>
      </c>
      <c r="B20" s="1016">
        <f t="shared" si="3"/>
        <v>2026</v>
      </c>
      <c r="C20" s="1017">
        <f t="shared" si="4"/>
        <v>5.4953049169471323E-2</v>
      </c>
      <c r="D20" s="1485">
        <f t="shared" si="1"/>
        <v>9.5208007353359946E-3</v>
      </c>
      <c r="E20" s="1018">
        <f>NPV(realdiscrt1,C$18:C20)/(1+realdiscrt1)^-Half_Year</f>
        <v>0.16779409179836127</v>
      </c>
      <c r="F20" s="1018">
        <f>NPV(realdiscrt1,D$18:D20)/(1+realdiscrt1)^-Half_Year</f>
        <v>2.4062174973016812E-2</v>
      </c>
      <c r="G20" s="1019" t="str">
        <f t="shared" si="5"/>
        <v>2024-Top 20 All Hours-3</v>
      </c>
      <c r="I20" s="1020">
        <v>2020</v>
      </c>
      <c r="J20" s="1319">
        <f t="shared" si="2"/>
        <v>0</v>
      </c>
      <c r="K20" s="1022"/>
      <c r="L20" s="1023"/>
      <c r="M20" s="1023"/>
      <c r="N20" s="1321">
        <f>INDEX(AESC!$H$184:$H$216,MATCH(I20,AESC!$B$184:$B$216,0))</f>
        <v>0</v>
      </c>
    </row>
    <row r="21" spans="1:14" s="466" customFormat="1">
      <c r="A21" s="1015">
        <f t="shared" si="6"/>
        <v>4</v>
      </c>
      <c r="B21" s="1016">
        <f t="shared" si="3"/>
        <v>2027</v>
      </c>
      <c r="C21" s="1017">
        <f t="shared" si="4"/>
        <v>5.5958245673826158E-2</v>
      </c>
      <c r="D21" s="1485">
        <f t="shared" si="1"/>
        <v>1.1646791285257111E-2</v>
      </c>
      <c r="E21" s="1018">
        <f>NPV(realdiscrt1,C$18:C21)/(1+realdiscrt1)^-Half_Year</f>
        <v>0.22116075396086865</v>
      </c>
      <c r="F21" s="1018">
        <f>NPV(realdiscrt1,D$18:D21)/(1+realdiscrt1)^-Half_Year</f>
        <v>3.5169570644791315E-2</v>
      </c>
      <c r="G21" s="1019" t="str">
        <f t="shared" si="5"/>
        <v>2024-Top 20 All Hours-4</v>
      </c>
      <c r="I21" s="1020">
        <v>2021</v>
      </c>
      <c r="J21" s="1021">
        <f>(K21+$N21)*(1+WholesaleRiskPremium)</f>
        <v>5.134078598869294E-2</v>
      </c>
      <c r="K21" s="1022">
        <v>3.5858527359604861E-2</v>
      </c>
      <c r="L21" s="1023">
        <v>5.1097583462519957E-3</v>
      </c>
      <c r="M21" s="1023"/>
      <c r="N21" s="1024">
        <f>INDEX(AESC!$H$184:$H$216,MATCH(I21,AESC!$B$184:$B$216,0))</f>
        <v>1.1679237444740446E-2</v>
      </c>
    </row>
    <row r="22" spans="1:14" s="466" customFormat="1">
      <c r="A22" s="1015">
        <f t="shared" si="6"/>
        <v>5</v>
      </c>
      <c r="B22" s="1016">
        <f t="shared" si="3"/>
        <v>2028</v>
      </c>
      <c r="C22" s="1017">
        <f t="shared" si="4"/>
        <v>5.5620302846035675E-2</v>
      </c>
      <c r="D22" s="1485">
        <f t="shared" si="1"/>
        <v>1.1730393692789432E-2</v>
      </c>
      <c r="E22" s="1018">
        <f>NPV(realdiscrt1,C$18:C22)/(1+realdiscrt1)^-Half_Year</f>
        <v>0.27349130222293316</v>
      </c>
      <c r="F22" s="1018">
        <f>NPV(realdiscrt1,D$18:D22)/(1+realdiscrt1)^-Half_Year</f>
        <v>4.62061508477574E-2</v>
      </c>
      <c r="G22" s="1019" t="str">
        <f t="shared" si="5"/>
        <v>2024-Top 20 All Hours-5</v>
      </c>
      <c r="I22" s="1020">
        <v>2022</v>
      </c>
      <c r="J22" s="1021">
        <f t="shared" si="2"/>
        <v>4.8150066960526976E-2</v>
      </c>
      <c r="K22" s="1022">
        <v>3.3675540003157228E-2</v>
      </c>
      <c r="L22" s="1023">
        <v>7.4446246622509463E-3</v>
      </c>
      <c r="M22" s="1023"/>
      <c r="N22" s="1024">
        <f>INDEX(AESC!$H$184:$H$216,MATCH(I22,AESC!$B$184:$B$216,0))</f>
        <v>1.0907855330664046E-2</v>
      </c>
    </row>
    <row r="23" spans="1:14" s="466" customFormat="1">
      <c r="A23" s="1015">
        <f t="shared" si="6"/>
        <v>6</v>
      </c>
      <c r="B23" s="1016">
        <f t="shared" si="3"/>
        <v>2029</v>
      </c>
      <c r="C23" s="1017">
        <f t="shared" si="4"/>
        <v>5.9209085100138663E-2</v>
      </c>
      <c r="D23" s="1485">
        <f t="shared" si="1"/>
        <v>1.1000106254636611E-2</v>
      </c>
      <c r="E23" s="1018">
        <f>NPV(realdiscrt1,C$18:C23)/(1+realdiscrt1)^-Half_Year</f>
        <v>0.32844871403792281</v>
      </c>
      <c r="F23" s="1018">
        <f>NPV(realdiscrt1,D$18:D23)/(1+realdiscrt1)^-Half_Year</f>
        <v>5.6416363831495779E-2</v>
      </c>
      <c r="G23" s="1019" t="str">
        <f t="shared" si="5"/>
        <v>2024-Top 20 All Hours-6</v>
      </c>
      <c r="I23" s="1020">
        <v>2023</v>
      </c>
      <c r="J23" s="1021">
        <f t="shared" si="2"/>
        <v>4.3758918189977972E-2</v>
      </c>
      <c r="K23" s="1022">
        <v>2.9632486726861501E-2</v>
      </c>
      <c r="L23" s="1023">
        <v>7.9263579721861269E-3</v>
      </c>
      <c r="M23" s="1023"/>
      <c r="N23" s="1024">
        <f>INDEX(AESC!$H$184:$H$216,MATCH(I23,AESC!$B$184:$B$216,0))</f>
        <v>1.0885030115710697E-2</v>
      </c>
    </row>
    <row r="24" spans="1:14" s="466" customFormat="1">
      <c r="A24" s="1015">
        <f t="shared" si="6"/>
        <v>7</v>
      </c>
      <c r="B24" s="1016">
        <f t="shared" si="3"/>
        <v>2030</v>
      </c>
      <c r="C24" s="1017">
        <f t="shared" si="4"/>
        <v>6.4889439619057784E-2</v>
      </c>
      <c r="D24" s="1485">
        <f t="shared" si="1"/>
        <v>1.0497809538844858E-2</v>
      </c>
      <c r="E24" s="1018">
        <f>NPV(realdiscrt1,C$18:C24)/(1+realdiscrt1)^-Half_Year</f>
        <v>0.38786806868483736</v>
      </c>
      <c r="F24" s="1018">
        <f>NPV(realdiscrt1,D$18:D24)/(1+realdiscrt1)^-Half_Year</f>
        <v>6.6029223360971293E-2</v>
      </c>
      <c r="G24" s="1019" t="str">
        <f t="shared" si="5"/>
        <v>2024-Top 20 All Hours-7</v>
      </c>
      <c r="I24" s="1020">
        <v>2024</v>
      </c>
      <c r="J24" s="1021">
        <f t="shared" si="2"/>
        <v>4.8922206399197296E-2</v>
      </c>
      <c r="K24" s="1022">
        <v>3.650425822852188E-2</v>
      </c>
      <c r="L24" s="1023">
        <v>9.6963101655574892E-3</v>
      </c>
      <c r="M24" s="1023"/>
      <c r="N24" s="1024">
        <f>INDEX(AESC!$H$184:$H$216,MATCH(I24,AESC!$B$184:$B$216,0))</f>
        <v>8.7940810299941326E-3</v>
      </c>
    </row>
    <row r="25" spans="1:14" s="466" customFormat="1">
      <c r="A25" s="1015">
        <f t="shared" si="6"/>
        <v>8</v>
      </c>
      <c r="B25" s="1016">
        <f t="shared" si="3"/>
        <v>2031</v>
      </c>
      <c r="C25" s="1017">
        <f t="shared" si="4"/>
        <v>6.7179755284132531E-2</v>
      </c>
      <c r="D25" s="1485">
        <f t="shared" si="1"/>
        <v>9.6429630025085186E-3</v>
      </c>
      <c r="E25" s="1018">
        <f>NPV(realdiscrt1,C$18:C25)/(1+realdiscrt1)^-Half_Year</f>
        <v>0.44855683513493644</v>
      </c>
      <c r="F25" s="1018">
        <f>NPV(realdiscrt1,D$18:D25)/(1+realdiscrt1)^-Half_Year</f>
        <v>7.4740471668903297E-2</v>
      </c>
      <c r="G25" s="1019" t="str">
        <f t="shared" si="5"/>
        <v>2024-Top 20 All Hours-8</v>
      </c>
      <c r="I25" s="1020">
        <v>2025</v>
      </c>
      <c r="J25" s="1021">
        <f t="shared" si="2"/>
        <v>4.7837739727669797E-2</v>
      </c>
      <c r="K25" s="1022">
        <v>3.7371160941480457E-2</v>
      </c>
      <c r="L25" s="1023">
        <v>9.7659117282683141E-3</v>
      </c>
      <c r="M25" s="1023"/>
      <c r="N25" s="1024">
        <f>INDEX(AESC!$H$184:$H$216,MATCH(I25,AESC!$B$184:$B$216,0))</f>
        <v>6.923042510065645E-3</v>
      </c>
    </row>
    <row r="26" spans="1:14" s="466" customFormat="1">
      <c r="A26" s="1015">
        <f t="shared" si="6"/>
        <v>9</v>
      </c>
      <c r="B26" s="1016">
        <f t="shared" si="3"/>
        <v>2032</v>
      </c>
      <c r="C26" s="1017">
        <f t="shared" si="4"/>
        <v>6.7048698749783073E-2</v>
      </c>
      <c r="D26" s="1485">
        <f t="shared" si="1"/>
        <v>9.446245461517221E-3</v>
      </c>
      <c r="E26" s="1018">
        <f>NPV(realdiscrt1,C$18:C26)/(1+realdiscrt1)^-Half_Year</f>
        <v>0.50831210774700075</v>
      </c>
      <c r="F26" s="1018">
        <f>NPV(realdiscrt1,D$18:D26)/(1+realdiscrt1)^-Half_Year</f>
        <v>8.315917304922299E-2</v>
      </c>
      <c r="G26" s="1019" t="str">
        <f t="shared" si="5"/>
        <v>2024-Top 20 All Hours-9</v>
      </c>
      <c r="I26" s="1020">
        <v>2026</v>
      </c>
      <c r="J26" s="1021">
        <f t="shared" si="2"/>
        <v>4.575009513262368E-2</v>
      </c>
      <c r="K26" s="1022">
        <v>3.5894722109728799E-2</v>
      </c>
      <c r="L26" s="1023">
        <v>9.1579250874066712E-3</v>
      </c>
      <c r="M26" s="1023"/>
      <c r="N26" s="1024">
        <f>INDEX(AESC!$H$184:$H$216,MATCH(I26,AESC!$B$184:$B$216,0))</f>
        <v>6.4664770871449753E-3</v>
      </c>
    </row>
    <row r="27" spans="1:14" s="466" customFormat="1">
      <c r="A27" s="1015">
        <f t="shared" si="6"/>
        <v>10</v>
      </c>
      <c r="B27" s="1016">
        <f t="shared" si="3"/>
        <v>2033</v>
      </c>
      <c r="C27" s="1017">
        <f t="shared" si="4"/>
        <v>6.6524430164842288E-2</v>
      </c>
      <c r="D27" s="1485">
        <f t="shared" si="1"/>
        <v>8.3164601816665216E-3</v>
      </c>
      <c r="E27" s="1018">
        <f>NPV(realdiscrt1,C$18:C27)/(1+realdiscrt1)^-Half_Year</f>
        <v>0.5668022970853458</v>
      </c>
      <c r="F27" s="1018">
        <f>NPV(realdiscrt1,D$18:D27)/(1+realdiscrt1)^-Half_Year</f>
        <v>9.0471243659149964E-2</v>
      </c>
      <c r="G27" s="1019" t="str">
        <f t="shared" si="5"/>
        <v>2024-Top 20 All Hours-10</v>
      </c>
      <c r="I27" s="1020">
        <v>2027</v>
      </c>
      <c r="J27" s="1021">
        <f t="shared" si="2"/>
        <v>4.6586951983994956E-2</v>
      </c>
      <c r="K27" s="1022">
        <v>3.7050334312315518E-2</v>
      </c>
      <c r="L27" s="1023">
        <v>8.7397476999898586E-3</v>
      </c>
      <c r="M27" s="1023"/>
      <c r="N27" s="1024">
        <f>INDEX(AESC!$H$184:$H$216,MATCH(I27,AESC!$B$184:$B$216,0))</f>
        <v>6.0857323395316605E-3</v>
      </c>
    </row>
    <row r="28" spans="1:14" s="466" customFormat="1">
      <c r="A28" s="1015">
        <f t="shared" si="6"/>
        <v>11</v>
      </c>
      <c r="B28" s="1016">
        <f t="shared" si="3"/>
        <v>2034</v>
      </c>
      <c r="C28" s="1017">
        <f t="shared" si="4"/>
        <v>7.0570455983865146E-2</v>
      </c>
      <c r="D28" s="1485">
        <f t="shared" si="1"/>
        <v>5.7127840803761817E-3</v>
      </c>
      <c r="E28" s="1018">
        <f>NPV(realdiscrt1,C$18:C28)/(1+realdiscrt1)^-Half_Year</f>
        <v>0.62801488959136953</v>
      </c>
      <c r="F28" s="1018">
        <f>NPV(realdiscrt1,D$18:D28)/(1+realdiscrt1)^-Half_Year</f>
        <v>9.5426494679023213E-2</v>
      </c>
      <c r="G28" s="1019" t="str">
        <f t="shared" si="5"/>
        <v>2024-Top 20 All Hours-11</v>
      </c>
      <c r="I28" s="1020">
        <v>2028</v>
      </c>
      <c r="J28" s="1021">
        <f t="shared" si="2"/>
        <v>4.6305604237974127E-2</v>
      </c>
      <c r="K28" s="1022">
        <v>3.7244696282274309E-2</v>
      </c>
      <c r="L28" s="1023">
        <v>8.02806179807437E-3</v>
      </c>
      <c r="M28" s="1023"/>
      <c r="N28" s="1024">
        <f>INDEX(AESC!$H$184:$H$216,MATCH(I28,AESC!$B$184:$B$216,0))</f>
        <v>5.6308631973313586E-3</v>
      </c>
    </row>
    <row r="29" spans="1:14" s="466" customFormat="1">
      <c r="A29" s="1015">
        <f t="shared" si="6"/>
        <v>12</v>
      </c>
      <c r="B29" s="1016">
        <f t="shared" si="3"/>
        <v>2035</v>
      </c>
      <c r="C29" s="1017">
        <f t="shared" si="4"/>
        <v>7.5187735694628735E-2</v>
      </c>
      <c r="D29" s="1485">
        <f t="shared" si="1"/>
        <v>0</v>
      </c>
      <c r="E29" s="1018">
        <f>NPV(realdiscrt1,C$18:C29)/(1+realdiscrt1)^-Half_Year</f>
        <v>0.69235485773431293</v>
      </c>
      <c r="F29" s="1018">
        <f>NPV(realdiscrt1,D$18:D29)/(1+realdiscrt1)^-Half_Year</f>
        <v>9.5426494679023213E-2</v>
      </c>
      <c r="G29" s="1019" t="str">
        <f t="shared" si="5"/>
        <v>2024-Top 20 All Hours-12</v>
      </c>
      <c r="I29" s="1020">
        <v>2029</v>
      </c>
      <c r="J29" s="1021">
        <f t="shared" si="2"/>
        <v>4.9293375290116147E-2</v>
      </c>
      <c r="K29" s="1022">
        <v>4.0282570426246993E-2</v>
      </c>
      <c r="L29" s="1023">
        <v>7.8642884251564679E-3</v>
      </c>
      <c r="M29" s="1023"/>
      <c r="N29" s="1024">
        <f>INDEX(AESC!$H$184:$H$216,MATCH(I29,AESC!$B$184:$B$216,0))</f>
        <v>5.3594437312679526E-3</v>
      </c>
    </row>
    <row r="30" spans="1:14" s="466" customFormat="1">
      <c r="A30" s="1015">
        <f t="shared" si="6"/>
        <v>13</v>
      </c>
      <c r="B30" s="1016">
        <f t="shared" si="3"/>
        <v>2036</v>
      </c>
      <c r="C30" s="1017">
        <f t="shared" si="4"/>
        <v>7.7700872116165179E-2</v>
      </c>
      <c r="D30" s="1485">
        <f t="shared" si="1"/>
        <v>0</v>
      </c>
      <c r="E30" s="1018">
        <f>NPV(realdiscrt1,C$18:C30)/(1+realdiscrt1)^-Half_Year</f>
        <v>0.75795060961963379</v>
      </c>
      <c r="F30" s="1018">
        <f>NPV(realdiscrt1,D$18:D30)/(1+realdiscrt1)^-Half_Year</f>
        <v>9.5426494679023213E-2</v>
      </c>
      <c r="G30" s="1019" t="str">
        <f t="shared" si="5"/>
        <v>2024-Top 20 All Hours-13</v>
      </c>
      <c r="I30" s="1020">
        <v>2030</v>
      </c>
      <c r="J30" s="1021">
        <f t="shared" si="2"/>
        <v>5.4022444259995091E-2</v>
      </c>
      <c r="K30" s="1022">
        <v>4.1872689055248928E-2</v>
      </c>
      <c r="L30" s="1023">
        <v>6.9237076054606229E-3</v>
      </c>
      <c r="M30" s="1023"/>
      <c r="N30" s="1024">
        <f>INDEX(AESC!$H$184:$H$216,MATCH(I30,AESC!$B$184:$B$216,0))</f>
        <v>8.1480926669687433E-3</v>
      </c>
    </row>
    <row r="31" spans="1:14" s="466" customFormat="1">
      <c r="A31" s="1015">
        <f t="shared" si="6"/>
        <v>14</v>
      </c>
      <c r="B31" s="1016">
        <f t="shared" si="3"/>
        <v>2037</v>
      </c>
      <c r="C31" s="1017">
        <f t="shared" si="4"/>
        <v>8.0478815303128851E-2</v>
      </c>
      <c r="D31" s="1485">
        <f t="shared" si="1"/>
        <v>0</v>
      </c>
      <c r="E31" s="1018">
        <f>NPV(realdiscrt1,C$18:C31)/(1+realdiscrt1)^-Half_Year</f>
        <v>0.82497723919461585</v>
      </c>
      <c r="F31" s="1018">
        <f>NPV(realdiscrt1,D$18:D31)/(1+realdiscrt1)^-Half_Year</f>
        <v>9.5426494679023213E-2</v>
      </c>
      <c r="G31" s="1019" t="str">
        <f t="shared" si="5"/>
        <v>2024-Top 20 All Hours-14</v>
      </c>
      <c r="I31" s="1020">
        <v>2031</v>
      </c>
      <c r="J31" s="1021">
        <f t="shared" si="2"/>
        <v>5.5929202140486252E-2</v>
      </c>
      <c r="K31" s="1022">
        <v>4.3884597211300953E-2</v>
      </c>
      <c r="L31" s="1023">
        <v>4.7560675722166275E-3</v>
      </c>
      <c r="M31" s="1023"/>
      <c r="N31" s="1024">
        <f>INDEX(AESC!$H$184:$H$216,MATCH(I31,AESC!$B$184:$B$216,0))</f>
        <v>7.901701066927053E-3</v>
      </c>
    </row>
    <row r="32" spans="1:14" s="466" customFormat="1">
      <c r="A32" s="1015">
        <f t="shared" si="6"/>
        <v>15</v>
      </c>
      <c r="B32" s="1016">
        <f t="shared" si="3"/>
        <v>2038</v>
      </c>
      <c r="C32" s="1017">
        <f t="shared" si="4"/>
        <v>8.3515834063506336E-2</v>
      </c>
      <c r="D32" s="1485">
        <f t="shared" si="1"/>
        <v>0</v>
      </c>
      <c r="E32" s="1018">
        <f>NPV(realdiscrt1,C$18:C32)/(1+realdiscrt1)^-Half_Year</f>
        <v>0.89359722363371696</v>
      </c>
      <c r="F32" s="1018">
        <f>NPV(realdiscrt1,D$18:D32)/(1+realdiscrt1)^-Half_Year</f>
        <v>9.5426494679023213E-2</v>
      </c>
      <c r="G32" s="1019" t="str">
        <f t="shared" si="5"/>
        <v>2024-Top 20 All Hours-15</v>
      </c>
      <c r="I32" s="1020">
        <v>2032</v>
      </c>
      <c r="J32" s="1021">
        <f t="shared" si="2"/>
        <v>5.582009356498667E-2</v>
      </c>
      <c r="K32" s="1022">
        <v>4.4012851962131228E-2</v>
      </c>
      <c r="L32" s="1023">
        <v>0</v>
      </c>
      <c r="M32" s="1023"/>
      <c r="N32" s="1024">
        <f>INDEX(AESC!$H$184:$H$216,MATCH(I32,AESC!$B$184:$B$216,0))</f>
        <v>7.6724198573008698E-3</v>
      </c>
    </row>
    <row r="33" spans="1:14" s="466" customFormat="1">
      <c r="A33" s="1015">
        <f t="shared" si="6"/>
        <v>16</v>
      </c>
      <c r="B33" s="1016">
        <f t="shared" si="3"/>
        <v>2039</v>
      </c>
      <c r="C33" s="1017">
        <f t="shared" si="4"/>
        <v>8.6808305929443816E-2</v>
      </c>
      <c r="D33" s="1485">
        <f t="shared" si="1"/>
        <v>0</v>
      </c>
      <c r="E33" s="1018">
        <f>NPV(realdiscrt1,C$18:C33)/(1+realdiscrt1)^-Half_Year</f>
        <v>0.96396260717423998</v>
      </c>
      <c r="F33" s="1018">
        <f>NPV(realdiscrt1,D$18:D33)/(1+realdiscrt1)^-Half_Year</f>
        <v>9.5426494679023213E-2</v>
      </c>
      <c r="G33" s="1019" t="str">
        <f t="shared" si="5"/>
        <v>2024-Top 20 All Hours-16</v>
      </c>
      <c r="I33" s="1020">
        <v>2033</v>
      </c>
      <c r="J33" s="1021">
        <f t="shared" si="2"/>
        <v>5.5383623924109823E-2</v>
      </c>
      <c r="K33" s="1022">
        <v>4.6721391364257875E-2</v>
      </c>
      <c r="L33" s="1040">
        <v>0</v>
      </c>
      <c r="M33" s="1023"/>
      <c r="N33" s="1024">
        <f>INDEX(AESC!$H$184:$H$216,MATCH(I33,AESC!$B$184:$B$216,0))</f>
        <v>4.5597418988067746E-3</v>
      </c>
    </row>
    <row r="34" spans="1:14" s="466" customFormat="1">
      <c r="A34" s="1015">
        <f t="shared" si="6"/>
        <v>17</v>
      </c>
      <c r="B34" s="1016">
        <f t="shared" si="3"/>
        <v>2040</v>
      </c>
      <c r="C34" s="1017">
        <f t="shared" si="4"/>
        <v>9.0354511449814462E-2</v>
      </c>
      <c r="D34" s="1485">
        <f t="shared" si="1"/>
        <v>0</v>
      </c>
      <c r="E34" s="1018">
        <f>NPV(realdiscrt1,C$18:C34)/(1+realdiscrt1)^-Half_Year</f>
        <v>1.0362168918593648</v>
      </c>
      <c r="F34" s="1018">
        <f>NPV(realdiscrt1,D$18:D34)/(1+realdiscrt1)^-Half_Year</f>
        <v>9.5426494679023213E-2</v>
      </c>
      <c r="G34" s="1019" t="str">
        <f t="shared" si="5"/>
        <v>2024-Top 20 All Hours-17</v>
      </c>
      <c r="I34" s="1020">
        <v>2034</v>
      </c>
      <c r="J34" s="1021">
        <f t="shared" si="2"/>
        <v>5.8752064236830111E-2</v>
      </c>
      <c r="K34" s="1022">
        <v>4.9720523926973091E-2</v>
      </c>
      <c r="L34" s="1040">
        <v>0</v>
      </c>
      <c r="M34" s="1023"/>
      <c r="N34" s="1024">
        <f>INDEX(AESC!$H$184:$H$216,MATCH(I34,AESC!$B$184:$B$216,0))</f>
        <v>4.6795355515733099E-3</v>
      </c>
    </row>
    <row r="35" spans="1:14" s="466" customFormat="1">
      <c r="A35" s="1015">
        <f t="shared" si="6"/>
        <v>18</v>
      </c>
      <c r="B35" s="1016">
        <f t="shared" si="3"/>
        <v>2041</v>
      </c>
      <c r="C35" s="1017">
        <f t="shared" si="4"/>
        <v>9.4154458184916856E-2</v>
      </c>
      <c r="D35" s="1485">
        <f t="shared" si="1"/>
        <v>0</v>
      </c>
      <c r="E35" s="1018">
        <f>NPV(realdiscrt1,C$18:C35)/(1+realdiscrt1)^-Half_Year</f>
        <v>1.1104966768789375</v>
      </c>
      <c r="F35" s="1018">
        <f>NPV(realdiscrt1,D$18:D35)/(1+realdiscrt1)^-Half_Year</f>
        <v>9.5426494679023213E-2</v>
      </c>
      <c r="G35" s="1019" t="str">
        <f t="shared" si="5"/>
        <v>2024-Top 20 All Hours-18</v>
      </c>
      <c r="I35" s="1020">
        <v>2035</v>
      </c>
      <c r="J35" s="1021">
        <f t="shared" si="2"/>
        <v>6.2596090896204645E-2</v>
      </c>
      <c r="K35" s="1022">
        <v>5.3111709351453019E-2</v>
      </c>
      <c r="L35" s="1040">
        <v>0</v>
      </c>
      <c r="M35" s="1023"/>
      <c r="N35" s="1024">
        <f>INDEX(AESC!$H$184:$H$216,MATCH(I35,AESC!$B$184:$B$216,0))</f>
        <v>4.8476340709586799E-3</v>
      </c>
    </row>
    <row r="36" spans="1:14" s="466" customFormat="1">
      <c r="A36" s="1015">
        <f t="shared" si="6"/>
        <v>19</v>
      </c>
      <c r="B36" s="1016">
        <f t="shared" si="3"/>
        <v>2042</v>
      </c>
      <c r="C36" s="1017">
        <f t="shared" si="4"/>
        <v>9.8209730728742603E-2</v>
      </c>
      <c r="D36" s="1485">
        <f t="shared" si="1"/>
        <v>0</v>
      </c>
      <c r="E36" s="1018">
        <f>NPV(realdiscrt1,C$18:C36)/(1+realdiscrt1)^-Half_Year</f>
        <v>1.1869330823524322</v>
      </c>
      <c r="F36" s="1018">
        <f>NPV(realdiscrt1,D$18:D36)/(1+realdiscrt1)^-Half_Year</f>
        <v>9.5426494679023213E-2</v>
      </c>
      <c r="G36" s="1019" t="str">
        <f t="shared" si="5"/>
        <v>2024-Top 20 All Hours-19</v>
      </c>
      <c r="I36" s="1020">
        <v>2036</v>
      </c>
      <c r="J36" s="1021">
        <f t="shared" si="2"/>
        <v>6.4688353875315685E-2</v>
      </c>
      <c r="K36" s="1022">
        <v>5.5673809657717684E-2</v>
      </c>
      <c r="L36" s="1040">
        <v>0</v>
      </c>
      <c r="M36" s="1023"/>
      <c r="N36" s="1024">
        <f>INDEX(AESC!$H$184:$H$216,MATCH(I36,AESC!$B$184:$B$216,0))</f>
        <v>4.2228143009079497E-3</v>
      </c>
    </row>
    <row r="37" spans="1:14" s="466" customFormat="1">
      <c r="A37" s="1015">
        <f t="shared" si="6"/>
        <v>20</v>
      </c>
      <c r="B37" s="1016">
        <f t="shared" si="3"/>
        <v>2043</v>
      </c>
      <c r="C37" s="1017">
        <f t="shared" si="4"/>
        <v>0.10252336356529039</v>
      </c>
      <c r="D37" s="1485">
        <f t="shared" si="1"/>
        <v>0</v>
      </c>
      <c r="E37" s="1018">
        <f>NPV(realdiscrt1,C$18:C37)/(1+realdiscrt1)^-Half_Year</f>
        <v>1.2656529883751311</v>
      </c>
      <c r="F37" s="1018">
        <f>NPV(realdiscrt1,D$18:D37)/(1+realdiscrt1)^-Half_Year</f>
        <v>9.5426494679023213E-2</v>
      </c>
      <c r="G37" s="1019" t="str">
        <f t="shared" si="5"/>
        <v>2024-Top 20 All Hours-20</v>
      </c>
      <c r="I37" s="1020">
        <v>2037</v>
      </c>
      <c r="J37" s="1021">
        <f t="shared" si="2"/>
        <v>6.7001076590385997E-2</v>
      </c>
      <c r="K37" s="1022">
        <v>5.8359505270168477E-2</v>
      </c>
      <c r="L37" s="1040">
        <v>0</v>
      </c>
      <c r="M37" s="1023"/>
      <c r="N37" s="1024">
        <f>INDEX(AESC!$H$184:$H$216,MATCH(I37,AESC!$B$184:$B$216,0))</f>
        <v>3.6785286098185554E-3</v>
      </c>
    </row>
    <row r="38" spans="1:14" s="466" customFormat="1">
      <c r="A38" s="1015">
        <f t="shared" si="6"/>
        <v>21</v>
      </c>
      <c r="B38" s="1016">
        <f t="shared" si="3"/>
        <v>2044</v>
      </c>
      <c r="C38" s="1017">
        <f t="shared" si="4"/>
        <v>0.10709973398479972</v>
      </c>
      <c r="D38" s="1485">
        <f t="shared" si="1"/>
        <v>0</v>
      </c>
      <c r="E38" s="1018">
        <f>NPV(realdiscrt1,C$18:C38)/(1+realdiscrt1)^-Half_Year</f>
        <v>1.3467801158321029</v>
      </c>
      <c r="F38" s="1018">
        <f>NPV(realdiscrt1,D$18:D38)/(1+realdiscrt1)^-Half_Year</f>
        <v>9.5426494679023213E-2</v>
      </c>
      <c r="G38" s="1019" t="str">
        <f t="shared" si="5"/>
        <v>2024-Top 20 All Hours-21</v>
      </c>
      <c r="I38" s="1020">
        <v>2038</v>
      </c>
      <c r="J38" s="1021">
        <f t="shared" si="2"/>
        <v>6.9529487648675767E-2</v>
      </c>
      <c r="K38" s="1022">
        <v>6.1174758406472629E-2</v>
      </c>
      <c r="L38" s="1040">
        <v>0</v>
      </c>
      <c r="M38" s="1023"/>
      <c r="N38" s="1024">
        <f>INDEX(AESC!$H$184:$H$216,MATCH(I38,AESC!$B$184:$B$216,0))</f>
        <v>3.2043968237827087E-3</v>
      </c>
    </row>
    <row r="39" spans="1:14" s="466" customFormat="1">
      <c r="A39" s="1015">
        <f t="shared" si="6"/>
        <v>22</v>
      </c>
      <c r="B39" s="1016">
        <f t="shared" si="3"/>
        <v>2045</v>
      </c>
      <c r="C39" s="1017">
        <f t="shared" si="4"/>
        <v>0.11194447265149124</v>
      </c>
      <c r="D39" s="1485">
        <f t="shared" si="1"/>
        <v>0</v>
      </c>
      <c r="E39" s="1018">
        <f>NPV(realdiscrt1,C$18:C39)/(1+realdiscrt1)^-Half_Year</f>
        <v>1.4304359717756654</v>
      </c>
      <c r="F39" s="1018">
        <f>NPV(realdiscrt1,D$18:D39)/(1+realdiscrt1)^-Half_Year</f>
        <v>9.5426494679023213E-2</v>
      </c>
      <c r="G39" s="1019" t="str">
        <f t="shared" si="5"/>
        <v>2024-Top 20 All Hours-22</v>
      </c>
      <c r="I39" s="1020">
        <v>2039</v>
      </c>
      <c r="J39" s="1021">
        <f t="shared" si="2"/>
        <v>7.2270571234840236E-2</v>
      </c>
      <c r="K39" s="1022">
        <v>6.4125818900717529E-2</v>
      </c>
      <c r="L39" s="1040">
        <v>0</v>
      </c>
      <c r="M39" s="1023"/>
      <c r="N39" s="1024">
        <f>INDEX(AESC!$H$184:$H$216,MATCH(I39,AESC!$B$184:$B$216,0))</f>
        <v>2.7913766870975056E-3</v>
      </c>
    </row>
    <row r="40" spans="1:14" s="466" customFormat="1">
      <c r="A40" s="1015">
        <f t="shared" si="6"/>
        <v>23</v>
      </c>
      <c r="B40" s="1016">
        <f t="shared" si="3"/>
        <v>2046</v>
      </c>
      <c r="C40" s="1017">
        <f t="shared" si="4"/>
        <v>0.1170643897333708</v>
      </c>
      <c r="D40" s="1485">
        <f t="shared" si="1"/>
        <v>0</v>
      </c>
      <c r="E40" s="1018">
        <f>NPV(realdiscrt1,C$18:C40)/(1+realdiscrt1)^-Half_Year</f>
        <v>1.5167406789752536</v>
      </c>
      <c r="F40" s="1018">
        <f>NPV(realdiscrt1,D$18:D40)/(1+realdiscrt1)^-Half_Year</f>
        <v>9.5426494679023213E-2</v>
      </c>
      <c r="G40" s="1019" t="str">
        <f t="shared" si="5"/>
        <v>2024-Top 20 All Hours-23</v>
      </c>
      <c r="I40" s="1020">
        <v>2040</v>
      </c>
      <c r="J40" s="1021">
        <f t="shared" si="2"/>
        <v>7.5222895853196858E-2</v>
      </c>
      <c r="K40" s="1022">
        <v>6.7219238077980484E-2</v>
      </c>
      <c r="L40" s="1040">
        <v>0</v>
      </c>
      <c r="M40" s="1023"/>
      <c r="N40" s="1024">
        <f>INDEX(AESC!$H$184:$H$216,MATCH(I40,AESC!$B$184:$B$216,0))</f>
        <v>2.4315914157203053E-3</v>
      </c>
    </row>
    <row r="41" spans="1:14" s="466" customFormat="1">
      <c r="A41" s="1015">
        <f t="shared" si="6"/>
        <v>24</v>
      </c>
      <c r="B41" s="1016">
        <f t="shared" si="3"/>
        <v>2047</v>
      </c>
      <c r="C41" s="1017">
        <f t="shared" si="4"/>
        <v>0.12246741478292357</v>
      </c>
      <c r="D41" s="1485">
        <f t="shared" si="1"/>
        <v>0</v>
      </c>
      <c r="E41" s="1018">
        <f>NPV(realdiscrt1,C$18:C41)/(1+realdiscrt1)^-Half_Year</f>
        <v>1.6058137065105964</v>
      </c>
      <c r="F41" s="1018">
        <f>NPV(realdiscrt1,D$18:D41)/(1+realdiscrt1)^-Half_Year</f>
        <v>9.5426494679023213E-2</v>
      </c>
      <c r="G41" s="1019" t="str">
        <f t="shared" si="5"/>
        <v>2024-Top 20 All Hours-24</v>
      </c>
      <c r="I41" s="1020">
        <v>2041</v>
      </c>
      <c r="J41" s="1021">
        <f t="shared" si="2"/>
        <v>7.8386467797925574E-2</v>
      </c>
      <c r="K41" s="1022">
        <v>7.0461883298205533E-2</v>
      </c>
      <c r="L41" s="1040">
        <v>0</v>
      </c>
      <c r="M41" s="1023"/>
      <c r="N41" s="1024">
        <f>INDEX(AESC!$H$184:$H$216,MATCH(I41,AESC!$B$184:$B$216,0))</f>
        <v>2.1181794776514674E-3</v>
      </c>
    </row>
    <row r="42" spans="1:14" s="466" customFormat="1">
      <c r="A42" s="1015">
        <f t="shared" si="6"/>
        <v>25</v>
      </c>
      <c r="B42" s="1016">
        <f t="shared" si="3"/>
        <v>2048</v>
      </c>
      <c r="C42" s="1017">
        <f t="shared" si="4"/>
        <v>0.12816254880035968</v>
      </c>
      <c r="D42" s="1485">
        <f t="shared" si="1"/>
        <v>0</v>
      </c>
      <c r="E42" s="1018">
        <f>NPV(realdiscrt1,C$18:C42)/(1+realdiscrt1)^-Half_Year</f>
        <v>1.6977745159267366</v>
      </c>
      <c r="F42" s="1018">
        <f>NPV(realdiscrt1,D$18:D42)/(1+realdiscrt1)^-Half_Year</f>
        <v>9.5426494679023213E-2</v>
      </c>
      <c r="G42" s="1019" t="str">
        <f t="shared" si="5"/>
        <v>2024-Top 20 All Hours-25</v>
      </c>
      <c r="I42" s="1020">
        <v>2042</v>
      </c>
      <c r="J42" s="1021">
        <f t="shared" si="2"/>
        <v>8.1762606292016884E-2</v>
      </c>
      <c r="K42" s="1022">
        <v>7.3860953201674545E-2</v>
      </c>
      <c r="L42" s="1040">
        <v>0</v>
      </c>
      <c r="M42" s="1023"/>
      <c r="N42" s="1024">
        <f>INDEX(AESC!$H$184:$H$216,MATCH(I42,AESC!$B$184:$B$216,0))</f>
        <v>1.8451637353781175E-3</v>
      </c>
    </row>
    <row r="43" spans="1:14" s="466" customFormat="1">
      <c r="A43" s="1015">
        <f t="shared" si="6"/>
        <v>26</v>
      </c>
      <c r="B43" s="1016">
        <f t="shared" si="3"/>
        <v>2049</v>
      </c>
      <c r="C43" s="1017">
        <f t="shared" si="4"/>
        <v>0.13415982712306102</v>
      </c>
      <c r="D43" s="1485">
        <f t="shared" si="1"/>
        <v>0</v>
      </c>
      <c r="E43" s="1018">
        <f>NPV(realdiscrt1,C$18:C43)/(1+realdiscrt1)^-Half_Year</f>
        <v>1.7927431354485395</v>
      </c>
      <c r="F43" s="1018">
        <f>NPV(realdiscrt1,D$18:D43)/(1+realdiscrt1)^-Half_Year</f>
        <v>9.5426494679023213E-2</v>
      </c>
      <c r="G43" s="1019" t="str">
        <f>$A$17&amp;"-"&amp;$A$13&amp;"-"&amp;A43</f>
        <v>2024-Top 20 All Hours-26</v>
      </c>
      <c r="I43" s="1020">
        <v>2043</v>
      </c>
      <c r="J43" s="1021">
        <f t="shared" si="2"/>
        <v>8.5353837636262406E-2</v>
      </c>
      <c r="K43" s="1022">
        <v>7.7423993689917328E-2</v>
      </c>
      <c r="L43" s="1040">
        <v>0</v>
      </c>
      <c r="M43" s="1023"/>
      <c r="N43" s="1024">
        <f>INDEX(AESC!$H$184:$H$216,MATCH(I43,AESC!$B$184:$B$216,0))</f>
        <v>1.6073374547700802E-3</v>
      </c>
    </row>
    <row r="44" spans="1:14" s="466" customFormat="1">
      <c r="A44" s="1015">
        <f t="shared" si="6"/>
        <v>27</v>
      </c>
      <c r="B44" s="1016">
        <f t="shared" si="3"/>
        <v>2050</v>
      </c>
      <c r="C44" s="1017">
        <f t="shared" si="4"/>
        <v>0.14047029197001962</v>
      </c>
      <c r="D44" s="1485">
        <f t="shared" si="1"/>
        <v>0</v>
      </c>
      <c r="E44" s="1018">
        <f>NPV(realdiscrt1,C$18:C44)/(1+realdiscrt1)^-Half_Year</f>
        <v>1.8908406730162894</v>
      </c>
      <c r="F44" s="1018">
        <f>NPV(realdiscrt1,D$18:D44)/(1+realdiscrt1)^-Half_Year</f>
        <v>9.5426494679023213E-2</v>
      </c>
      <c r="G44" s="1019" t="str">
        <f>$A$17&amp;"-"&amp;$A$13&amp;"-"&amp;A44</f>
        <v>2024-Top 20 All Hours-27</v>
      </c>
      <c r="I44" s="1020">
        <v>2044</v>
      </c>
      <c r="J44" s="1021">
        <f t="shared" si="2"/>
        <v>8.9163806058742412E-2</v>
      </c>
      <c r="K44" s="1022">
        <v>8.1158914677538371E-2</v>
      </c>
      <c r="L44" s="1040">
        <v>0</v>
      </c>
      <c r="M44" s="1023"/>
      <c r="N44" s="1024">
        <f>INDEX(AESC!$H$184:$H$216,MATCH(I44,AESC!$B$184:$B$216,0))</f>
        <v>1.4001650064823829E-3</v>
      </c>
    </row>
    <row r="45" spans="1:14" s="466" customFormat="1" ht="20.25">
      <c r="A45" s="975">
        <f>Year2</f>
        <v>2025</v>
      </c>
      <c r="B45" s="976" t="str">
        <f>Year2&amp;"$"</f>
        <v>2025$</v>
      </c>
      <c r="C45" s="1483"/>
      <c r="D45" s="1480" t="s">
        <v>993</v>
      </c>
      <c r="E45" s="1481">
        <f>Year2</f>
        <v>2025</v>
      </c>
      <c r="F45" s="1481" t="s">
        <v>992</v>
      </c>
      <c r="G45" s="1047"/>
      <c r="I45" s="1020">
        <v>2045</v>
      </c>
      <c r="J45" s="1021">
        <f t="shared" si="2"/>
        <v>9.3197199259732827E-2</v>
      </c>
      <c r="K45" s="1022">
        <v>8.507400765214887E-2</v>
      </c>
      <c r="L45" s="1040">
        <v>0</v>
      </c>
      <c r="M45" s="1023"/>
      <c r="N45" s="1024">
        <f>INDEX(AESC!$H$184:$H$216,MATCH(I45,AESC!$B$184:$B$216,0))</f>
        <v>1.219695366122258E-3</v>
      </c>
    </row>
    <row r="46" spans="1:14" s="466" customFormat="1">
      <c r="A46" s="1015">
        <v>1</v>
      </c>
      <c r="B46" s="1016">
        <f>Year2</f>
        <v>2025</v>
      </c>
      <c r="C46" s="1017">
        <f>VLOOKUP($B46,$I$18:$N$50,C$12,FALSE)*(1+Inflation2)^(Year2-Real_Year)</f>
        <v>6.1080658392188292E-2</v>
      </c>
      <c r="D46" s="1487">
        <f t="shared" ref="D46:D70" si="7">VLOOKUP($B46-4,$I$18:$N$50,IF($A$17=Year1,D$12,D$12+1),FALSE)*(1+Inflation2)^(Year2-Real_Year)</f>
        <v>6.5242924475699101E-3</v>
      </c>
      <c r="E46" s="1018">
        <f>NPV(realdiscrt2,C$46:C46)/(1+realdiscrt2)^(1-Half_Year)</f>
        <v>5.9851865075499208E-2</v>
      </c>
      <c r="F46" s="1018">
        <f>NPV(realdiscrt2,D$46:D46)/(1+realdiscrt2)^(1-Half_Year)</f>
        <v>6.3930396554958109E-3</v>
      </c>
      <c r="G46" s="1019" t="str">
        <f t="shared" ref="G46:G70" si="8">$A$45&amp;"-"&amp;$A$13&amp;"-"&amp;A46</f>
        <v>2025-Top 20 All Hours-1</v>
      </c>
      <c r="I46" s="1020">
        <v>2046</v>
      </c>
      <c r="J46" s="1021">
        <f t="shared" si="2"/>
        <v>9.7459686912506477E-2</v>
      </c>
      <c r="K46" s="1022">
        <v>8.9177964081387201E-2</v>
      </c>
      <c r="L46" s="1040">
        <v>0</v>
      </c>
      <c r="M46" s="1023"/>
      <c r="N46" s="1024">
        <f>INDEX(AESC!$H$184:$H$216,MATCH(I46,AESC!$B$184:$B$216,0))</f>
        <v>1.0624867635262009E-3</v>
      </c>
    </row>
    <row r="47" spans="1:14" s="466" customFormat="1">
      <c r="A47" s="1015">
        <v>2</v>
      </c>
      <c r="B47" s="1016">
        <f t="shared" ref="B47:B70" si="9">B46+1</f>
        <v>2026</v>
      </c>
      <c r="C47" s="1017">
        <f>VLOOKUP($B47,$I$18:$N$50,C$12,FALSE)*(1+Inflation2)^(Year2-Real_Year)</f>
        <v>5.8415091267148007E-2</v>
      </c>
      <c r="D47" s="1485">
        <f t="shared" si="7"/>
        <v>9.5055196679786763E-3</v>
      </c>
      <c r="E47" s="1018">
        <f>NPV(realdiscrt2,C$46:C47)/(1+realdiscrt2)^(1-Half_Year)</f>
        <v>0.11632150568945504</v>
      </c>
      <c r="F47" s="1018">
        <f>NPV(realdiscrt2,D$46:D47)/(1+realdiscrt2)^(1-Half_Year)</f>
        <v>1.558198839897779E-2</v>
      </c>
      <c r="G47" s="1019" t="str">
        <f t="shared" si="8"/>
        <v>2025-Top 20 All Hours-2</v>
      </c>
      <c r="I47" s="1020">
        <v>2047</v>
      </c>
      <c r="J47" s="1021">
        <f t="shared" si="2"/>
        <v>0.10195787061217117</v>
      </c>
      <c r="K47" s="1022">
        <v>9.3479894707890948E-2</v>
      </c>
      <c r="L47" s="1040">
        <v>0</v>
      </c>
      <c r="M47" s="1023"/>
      <c r="N47" s="1024">
        <f>INDEX(AESC!$H$184:$H$216,MATCH(I47,AESC!$B$184:$B$216,0))</f>
        <v>9.255410441193939E-4</v>
      </c>
    </row>
    <row r="48" spans="1:14" s="466" customFormat="1">
      <c r="A48" s="1015">
        <f t="shared" ref="A48:A70" si="10">A47+1</f>
        <v>3</v>
      </c>
      <c r="B48" s="1016">
        <f t="shared" si="9"/>
        <v>2027</v>
      </c>
      <c r="C48" s="1017">
        <f t="shared" ref="C48:C70" si="11">VLOOKUP($B48,$I$18:$N$50,C$12,FALSE)*(1+Inflation2)^(Year2-Real_Year)</f>
        <v>5.9483615151277203E-2</v>
      </c>
      <c r="D48" s="1485">
        <f t="shared" si="7"/>
        <v>1.0120611181662161E-2</v>
      </c>
      <c r="E48" s="1018">
        <f>NPV(realdiscrt2,C$46:C48)/(1+realdiscrt2)^(1-Half_Year)</f>
        <v>0.17305026756820038</v>
      </c>
      <c r="F48" s="1018">
        <f>NPV(realdiscrt2,D$46:D48)/(1+realdiscrt2)^(1-Half_Year)</f>
        <v>2.5233885653907037E-2</v>
      </c>
      <c r="G48" s="1019" t="str">
        <f t="shared" si="8"/>
        <v>2025-Top 20 All Hours-3</v>
      </c>
      <c r="I48" s="1020">
        <v>2048</v>
      </c>
      <c r="J48" s="1021">
        <f t="shared" si="2"/>
        <v>0.10669924396685466</v>
      </c>
      <c r="K48" s="1022">
        <v>9.7989349775055412E-2</v>
      </c>
      <c r="L48" s="1040">
        <v>0</v>
      </c>
      <c r="M48" s="1023"/>
      <c r="N48" s="1024">
        <f>INDEX(AESC!$H$184:$H$216,MATCH(I48,AESC!$B$184:$B$216,0))</f>
        <v>8.0624649055074406E-4</v>
      </c>
    </row>
    <row r="49" spans="1:14" s="466" customFormat="1">
      <c r="A49" s="1015">
        <f t="shared" si="10"/>
        <v>4</v>
      </c>
      <c r="B49" s="1016">
        <f t="shared" si="9"/>
        <v>2028</v>
      </c>
      <c r="C49" s="1017">
        <f t="shared" si="11"/>
        <v>5.9124381925335916E-2</v>
      </c>
      <c r="D49" s="1485">
        <f t="shared" si="7"/>
        <v>1.2380539136228309E-2</v>
      </c>
      <c r="E49" s="1018">
        <f>NPV(realdiscrt2,C$46:C49)/(1+realdiscrt2)^(1-Half_Year)</f>
        <v>0.22867764037077501</v>
      </c>
      <c r="F49" s="1018">
        <f>NPV(realdiscrt2,D$46:D49)/(1+realdiscrt2)^(1-Half_Year)</f>
        <v>3.6882157375335692E-2</v>
      </c>
      <c r="G49" s="1019" t="str">
        <f t="shared" si="8"/>
        <v>2025-Top 20 All Hours-4</v>
      </c>
      <c r="I49" s="1020">
        <v>2049</v>
      </c>
      <c r="J49" s="1021">
        <f t="shared" si="2"/>
        <v>0.1116921617020335</v>
      </c>
      <c r="K49" s="1022">
        <v>0.10271634022847934</v>
      </c>
      <c r="L49" s="1040">
        <v>0</v>
      </c>
      <c r="M49" s="1023"/>
      <c r="N49" s="1024">
        <f>INDEX(AESC!$H$184:$H$216,MATCH(I49,AESC!$B$184:$B$216,0))</f>
        <v>7.0232801414427321E-4</v>
      </c>
    </row>
    <row r="50" spans="1:14" s="466" customFormat="1">
      <c r="A50" s="1015">
        <f t="shared" si="10"/>
        <v>5</v>
      </c>
      <c r="B50" s="1016">
        <f t="shared" si="9"/>
        <v>2029</v>
      </c>
      <c r="C50" s="1017">
        <f t="shared" si="11"/>
        <v>6.2939257461447393E-2</v>
      </c>
      <c r="D50" s="1485">
        <f t="shared" si="7"/>
        <v>1.2469408495435165E-2</v>
      </c>
      <c r="E50" s="1018">
        <f>NPV(realdiscrt2,C$46:C50)/(1+realdiscrt2)^(1-Half_Year)</f>
        <v>0.28709736913010897</v>
      </c>
      <c r="F50" s="1018">
        <f>NPV(realdiscrt2,D$46:D50)/(1+realdiscrt2)^(1-Half_Year)</f>
        <v>4.8456165259665507E-2</v>
      </c>
      <c r="G50" s="1019" t="str">
        <f t="shared" si="8"/>
        <v>2025-Top 20 All Hours-5</v>
      </c>
      <c r="I50" s="1025">
        <v>2050</v>
      </c>
      <c r="J50" s="1026">
        <f t="shared" si="2"/>
        <v>0.11694581680293771</v>
      </c>
      <c r="K50" s="1027">
        <v>0.10767135994016505</v>
      </c>
      <c r="L50" s="1028">
        <v>0</v>
      </c>
      <c r="M50" s="1028"/>
      <c r="N50" s="1029">
        <f>INDEX(AESC!$H$184:$H$216,MATCH(I50,AESC!$B$184:$B$216,0))</f>
        <v>6.1180376625874196E-4</v>
      </c>
    </row>
    <row r="51" spans="1:14" s="466" customFormat="1">
      <c r="A51" s="1015">
        <f t="shared" si="10"/>
        <v>6</v>
      </c>
      <c r="B51" s="1016">
        <f t="shared" si="9"/>
        <v>2030</v>
      </c>
      <c r="C51" s="1017">
        <f t="shared" si="11"/>
        <v>6.8977474315058421E-2</v>
      </c>
      <c r="D51" s="1485">
        <f t="shared" si="7"/>
        <v>1.1693112948678717E-2</v>
      </c>
      <c r="E51" s="1018">
        <f>NPV(realdiscrt2,C$46:C51)/(1+realdiscrt2)^(1-Half_Year)</f>
        <v>0.35026014311977915</v>
      </c>
      <c r="F51" s="1018">
        <f>NPV(realdiscrt2,D$46:D51)/(1+realdiscrt2)^(1-Half_Year)</f>
        <v>5.9163565867574451E-2</v>
      </c>
      <c r="G51" s="1019" t="str">
        <f t="shared" si="8"/>
        <v>2025-Top 20 All Hours-6</v>
      </c>
    </row>
    <row r="52" spans="1:14" s="466" customFormat="1">
      <c r="A52" s="1015">
        <f t="shared" si="10"/>
        <v>7</v>
      </c>
      <c r="B52" s="1016">
        <f t="shared" si="9"/>
        <v>2031</v>
      </c>
      <c r="C52" s="1017">
        <f t="shared" si="11"/>
        <v>7.1412079867032865E-2</v>
      </c>
      <c r="D52" s="1485">
        <f t="shared" si="7"/>
        <v>1.1159171539792083E-2</v>
      </c>
      <c r="E52" s="1018">
        <f>NPV(realdiscrt2,C$46:C52)/(1+realdiscrt2)^(1-Half_Year)</f>
        <v>0.41477230185623459</v>
      </c>
      <c r="F52" s="1018">
        <f>NPV(realdiscrt2,D$46:D52)/(1+realdiscrt2)^(1-Half_Year)</f>
        <v>6.9244524818536782E-2</v>
      </c>
      <c r="G52" s="1019" t="str">
        <f t="shared" si="8"/>
        <v>2025-Top 20 All Hours-7</v>
      </c>
    </row>
    <row r="53" spans="1:14" s="466" customFormat="1">
      <c r="A53" s="1015">
        <f t="shared" si="10"/>
        <v>8</v>
      </c>
      <c r="B53" s="1016">
        <f t="shared" si="9"/>
        <v>2032</v>
      </c>
      <c r="C53" s="1017">
        <f t="shared" si="11"/>
        <v>7.1272766771019402E-2</v>
      </c>
      <c r="D53" s="1485">
        <f t="shared" si="7"/>
        <v>1.0250469671666554E-2</v>
      </c>
      <c r="E53" s="1018">
        <f>NPV(realdiscrt2,C$46:C53)/(1+realdiscrt2)^(1-Half_Year)</f>
        <v>0.47829215664285901</v>
      </c>
      <c r="F53" s="1018">
        <f>NPV(realdiscrt2,D$46:D53)/(1+realdiscrt2)^(1-Half_Year)</f>
        <v>7.8379968474467765E-2</v>
      </c>
      <c r="G53" s="1019" t="str">
        <f t="shared" si="8"/>
        <v>2025-Top 20 All Hours-8</v>
      </c>
    </row>
    <row r="54" spans="1:14" s="466" customFormat="1">
      <c r="A54" s="1015">
        <f t="shared" si="10"/>
        <v>9</v>
      </c>
      <c r="B54" s="1016">
        <f t="shared" si="9"/>
        <v>2033</v>
      </c>
      <c r="C54" s="1017">
        <f t="shared" si="11"/>
        <v>7.0715469265227343E-2</v>
      </c>
      <c r="D54" s="1485">
        <f t="shared" si="7"/>
        <v>1.0041358925592806E-2</v>
      </c>
      <c r="E54" s="1018">
        <f>NPV(realdiscrt2,C$46:C54)/(1+realdiscrt2)^(1-Half_Year)</f>
        <v>0.54046722790951984</v>
      </c>
      <c r="F54" s="1018">
        <f>NPV(realdiscrt2,D$46:D54)/(1+realdiscrt2)^(1-Half_Year)</f>
        <v>8.7208619592814354E-2</v>
      </c>
      <c r="G54" s="1019" t="str">
        <f t="shared" si="8"/>
        <v>2025-Top 20 All Hours-9</v>
      </c>
    </row>
    <row r="55" spans="1:14" s="466" customFormat="1">
      <c r="A55" s="1015">
        <f t="shared" si="10"/>
        <v>10</v>
      </c>
      <c r="B55" s="1016">
        <f t="shared" si="9"/>
        <v>2034</v>
      </c>
      <c r="C55" s="1017">
        <f t="shared" si="11"/>
        <v>7.5016394710848644E-2</v>
      </c>
      <c r="D55" s="1485">
        <f t="shared" si="7"/>
        <v>8.8403971731115111E-3</v>
      </c>
      <c r="E55" s="1018">
        <f>NPV(realdiscrt2,C$46:C55)/(1+realdiscrt2)^(1-Half_Year)</f>
        <v>0.60553621374342315</v>
      </c>
      <c r="F55" s="1018">
        <f>NPV(realdiscrt2,D$46:D55)/(1+realdiscrt2)^(1-Half_Year)</f>
        <v>9.4876752414186583E-2</v>
      </c>
      <c r="G55" s="1019" t="str">
        <f t="shared" si="8"/>
        <v>2025-Top 20 All Hours-10</v>
      </c>
    </row>
    <row r="56" spans="1:14" s="466" customFormat="1">
      <c r="A56" s="1015">
        <f t="shared" si="10"/>
        <v>11</v>
      </c>
      <c r="B56" s="1016">
        <f t="shared" si="9"/>
        <v>2035</v>
      </c>
      <c r="C56" s="1017">
        <f t="shared" si="11"/>
        <v>7.9924563043390337E-2</v>
      </c>
      <c r="D56" s="1485">
        <f t="shared" si="7"/>
        <v>6.0726894774398811E-3</v>
      </c>
      <c r="E56" s="1018">
        <f>NPV(realdiscrt2,C$46:C56)/(1+realdiscrt2)^(1-Half_Year)</f>
        <v>0.67392959987937184</v>
      </c>
      <c r="F56" s="1018">
        <f>NPV(realdiscrt2,D$46:D56)/(1+realdiscrt2)^(1-Half_Year)</f>
        <v>0.10007330001481317</v>
      </c>
      <c r="G56" s="1019" t="str">
        <f t="shared" si="8"/>
        <v>2025-Top 20 All Hours-11</v>
      </c>
    </row>
    <row r="57" spans="1:14" s="466" customFormat="1">
      <c r="A57" s="1015">
        <f t="shared" si="10"/>
        <v>12</v>
      </c>
      <c r="B57" s="1016">
        <f t="shared" si="9"/>
        <v>2036</v>
      </c>
      <c r="C57" s="1017">
        <f t="shared" si="11"/>
        <v>8.2596027059483573E-2</v>
      </c>
      <c r="D57" s="1485">
        <f t="shared" si="7"/>
        <v>0</v>
      </c>
      <c r="E57" s="1018">
        <f>NPV(realdiscrt2,C$46:C57)/(1+realdiscrt2)^(1-Half_Year)</f>
        <v>0.74365788413346789</v>
      </c>
      <c r="F57" s="1018">
        <f>NPV(realdiscrt2,D$46:D57)/(1+realdiscrt2)^(1-Half_Year)</f>
        <v>0.10007330001481317</v>
      </c>
      <c r="G57" s="1019" t="str">
        <f t="shared" si="8"/>
        <v>2025-Top 20 All Hours-12</v>
      </c>
    </row>
    <row r="58" spans="1:14" s="466" customFormat="1">
      <c r="A58" s="1015">
        <f t="shared" si="10"/>
        <v>13</v>
      </c>
      <c r="B58" s="1016">
        <f t="shared" si="9"/>
        <v>2037</v>
      </c>
      <c r="C58" s="1017">
        <f t="shared" si="11"/>
        <v>8.5548980667225966E-2</v>
      </c>
      <c r="D58" s="1485">
        <f t="shared" si="7"/>
        <v>0</v>
      </c>
      <c r="E58" s="1018">
        <f>NPV(realdiscrt2,C$46:C58)/(1+realdiscrt2)^(1-Half_Year)</f>
        <v>0.81490719137167389</v>
      </c>
      <c r="F58" s="1018">
        <f>NPV(realdiscrt2,D$46:D58)/(1+realdiscrt2)^(1-Half_Year)</f>
        <v>0.10007330001481317</v>
      </c>
      <c r="G58" s="1019" t="str">
        <f t="shared" si="8"/>
        <v>2025-Top 20 All Hours-13</v>
      </c>
    </row>
    <row r="59" spans="1:14" s="466" customFormat="1">
      <c r="A59" s="1015">
        <f t="shared" si="10"/>
        <v>14</v>
      </c>
      <c r="B59" s="1016">
        <f t="shared" si="9"/>
        <v>2038</v>
      </c>
      <c r="C59" s="1017">
        <f t="shared" si="11"/>
        <v>8.8777331609507223E-2</v>
      </c>
      <c r="D59" s="1485">
        <f t="shared" si="7"/>
        <v>0</v>
      </c>
      <c r="E59" s="1018">
        <f>NPV(realdiscrt2,C$46:C59)/(1+realdiscrt2)^(1-Half_Year)</f>
        <v>0.88785023483043857</v>
      </c>
      <c r="F59" s="1018">
        <f>NPV(realdiscrt2,D$46:D59)/(1+realdiscrt2)^(1-Half_Year)</f>
        <v>0.10007330001481317</v>
      </c>
      <c r="G59" s="1019" t="str">
        <f t="shared" si="8"/>
        <v>2025-Top 20 All Hours-14</v>
      </c>
    </row>
    <row r="60" spans="1:14" s="466" customFormat="1">
      <c r="A60" s="1015">
        <f t="shared" si="10"/>
        <v>15</v>
      </c>
      <c r="B60" s="1016">
        <f t="shared" si="9"/>
        <v>2039</v>
      </c>
      <c r="C60" s="1017">
        <f t="shared" si="11"/>
        <v>9.2277229202998773E-2</v>
      </c>
      <c r="D60" s="1485">
        <f t="shared" si="7"/>
        <v>0</v>
      </c>
      <c r="E60" s="1018">
        <f>NPV(realdiscrt2,C$46:C60)/(1+realdiscrt2)^(1-Half_Year)</f>
        <v>0.96264863753401431</v>
      </c>
      <c r="F60" s="1018">
        <f>NPV(realdiscrt2,D$46:D60)/(1+realdiscrt2)^(1-Half_Year)</f>
        <v>0.10007330001481317</v>
      </c>
      <c r="G60" s="1019" t="str">
        <f t="shared" si="8"/>
        <v>2025-Top 20 All Hours-15</v>
      </c>
    </row>
    <row r="61" spans="1:14" s="466" customFormat="1">
      <c r="A61" s="1015">
        <f t="shared" si="10"/>
        <v>16</v>
      </c>
      <c r="B61" s="1016">
        <f t="shared" si="9"/>
        <v>2040</v>
      </c>
      <c r="C61" s="1017">
        <f t="shared" si="11"/>
        <v>9.6046845671152764E-2</v>
      </c>
      <c r="D61" s="1485">
        <f t="shared" si="7"/>
        <v>0</v>
      </c>
      <c r="E61" s="1018">
        <f>NPV(realdiscrt2,C$46:C61)/(1+realdiscrt2)^(1-Half_Year)</f>
        <v>1.0394549421543022</v>
      </c>
      <c r="F61" s="1018">
        <f>NPV(realdiscrt2,D$46:D61)/(1+realdiscrt2)^(1-Half_Year)</f>
        <v>0.10007330001481317</v>
      </c>
      <c r="G61" s="1019" t="str">
        <f t="shared" si="8"/>
        <v>2025-Top 20 All Hours-16</v>
      </c>
    </row>
    <row r="62" spans="1:14" s="466" customFormat="1">
      <c r="A62" s="1015">
        <f t="shared" si="10"/>
        <v>17</v>
      </c>
      <c r="B62" s="1016">
        <f t="shared" si="9"/>
        <v>2041</v>
      </c>
      <c r="C62" s="1017">
        <f t="shared" si="11"/>
        <v>0.1000861890505666</v>
      </c>
      <c r="D62" s="1485">
        <f t="shared" si="7"/>
        <v>0</v>
      </c>
      <c r="E62" s="1018">
        <f>NPV(realdiscrt2,C$46:C62)/(1+realdiscrt2)^(1-Half_Year)</f>
        <v>1.1184143536301079</v>
      </c>
      <c r="F62" s="1018">
        <f>NPV(realdiscrt2,D$46:D62)/(1+realdiscrt2)^(1-Half_Year)</f>
        <v>0.10007330001481317</v>
      </c>
      <c r="G62" s="1019" t="str">
        <f t="shared" si="8"/>
        <v>2025-Top 20 All Hours-17</v>
      </c>
    </row>
    <row r="63" spans="1:14" s="466" customFormat="1">
      <c r="A63" s="1015">
        <f t="shared" si="10"/>
        <v>18</v>
      </c>
      <c r="B63" s="1016">
        <f t="shared" si="9"/>
        <v>2042</v>
      </c>
      <c r="C63" s="1017">
        <f t="shared" si="11"/>
        <v>0.10439694376465337</v>
      </c>
      <c r="D63" s="1485">
        <f t="shared" si="7"/>
        <v>0</v>
      </c>
      <c r="E63" s="1018">
        <f>NPV(realdiscrt2,C$46:C63)/(1+realdiscrt2)^(1-Half_Year)</f>
        <v>1.199666252648433</v>
      </c>
      <c r="F63" s="1018">
        <f>NPV(realdiscrt2,D$46:D63)/(1+realdiscrt2)^(1-Half_Year)</f>
        <v>0.10007330001481317</v>
      </c>
      <c r="G63" s="1019" t="str">
        <f t="shared" si="8"/>
        <v>2025-Top 20 All Hours-18</v>
      </c>
    </row>
    <row r="64" spans="1:14" s="466" customFormat="1">
      <c r="A64" s="1015">
        <f t="shared" si="10"/>
        <v>19</v>
      </c>
      <c r="B64" s="1016">
        <f t="shared" si="9"/>
        <v>2043</v>
      </c>
      <c r="C64" s="1017">
        <f t="shared" si="11"/>
        <v>0.10898233546990367</v>
      </c>
      <c r="D64" s="1485">
        <f t="shared" si="7"/>
        <v>0</v>
      </c>
      <c r="E64" s="1018">
        <f>NPV(realdiscrt2,C$46:C64)/(1+realdiscrt2)^(1-Half_Year)</f>
        <v>1.2833455127505617</v>
      </c>
      <c r="F64" s="1018">
        <f>NPV(realdiscrt2,D$46:D64)/(1+realdiscrt2)^(1-Half_Year)</f>
        <v>0.10007330001481317</v>
      </c>
      <c r="G64" s="1019" t="str">
        <f t="shared" si="8"/>
        <v>2025-Top 20 All Hours-19</v>
      </c>
    </row>
    <row r="65" spans="1:7" s="466" customFormat="1">
      <c r="A65" s="1015">
        <f t="shared" si="10"/>
        <v>20</v>
      </c>
      <c r="B65" s="1016">
        <f t="shared" si="9"/>
        <v>2044</v>
      </c>
      <c r="C65" s="1017">
        <f t="shared" si="11"/>
        <v>0.11384701722584209</v>
      </c>
      <c r="D65" s="1485">
        <f t="shared" si="7"/>
        <v>0</v>
      </c>
      <c r="E65" s="1018">
        <f>NPV(realdiscrt2,C$46:C65)/(1+realdiscrt2)^(1-Half_Year)</f>
        <v>1.3695836492373228</v>
      </c>
      <c r="F65" s="1018">
        <f>NPV(realdiscrt2,D$46:D65)/(1+realdiscrt2)^(1-Half_Year)</f>
        <v>0.10007330001481317</v>
      </c>
      <c r="G65" s="1019" t="str">
        <f t="shared" si="8"/>
        <v>2025-Top 20 All Hours-20</v>
      </c>
    </row>
    <row r="66" spans="1:7" s="466" customFormat="1">
      <c r="A66" s="1015">
        <f t="shared" si="10"/>
        <v>21</v>
      </c>
      <c r="B66" s="1016">
        <f t="shared" si="9"/>
        <v>2045</v>
      </c>
      <c r="C66" s="1017">
        <f t="shared" si="11"/>
        <v>0.11899697442853517</v>
      </c>
      <c r="D66" s="1485">
        <f t="shared" si="7"/>
        <v>0</v>
      </c>
      <c r="E66" s="1018">
        <f>NPV(realdiscrt2,C$46:C66)/(1+realdiscrt2)^(1-Half_Year)</f>
        <v>1.4585098241053296</v>
      </c>
      <c r="F66" s="1018">
        <f>NPV(realdiscrt2,D$46:D66)/(1+realdiscrt2)^(1-Half_Year)</f>
        <v>0.10007330001481317</v>
      </c>
      <c r="G66" s="1019" t="str">
        <f t="shared" si="8"/>
        <v>2025-Top 20 All Hours-21</v>
      </c>
    </row>
    <row r="67" spans="1:7" s="466" customFormat="1">
      <c r="A67" s="1015">
        <f t="shared" si="10"/>
        <v>22</v>
      </c>
      <c r="B67" s="1016">
        <f t="shared" si="9"/>
        <v>2046</v>
      </c>
      <c r="C67" s="1017">
        <f t="shared" si="11"/>
        <v>0.12443944628657315</v>
      </c>
      <c r="D67" s="1485">
        <f t="shared" si="7"/>
        <v>0</v>
      </c>
      <c r="E67" s="1018">
        <f>NPV(realdiscrt2,C$46:C67)/(1+realdiscrt2)^(1-Half_Year)</f>
        <v>1.550251727858492</v>
      </c>
      <c r="F67" s="1018">
        <f>NPV(realdiscrt2,D$46:D67)/(1+realdiscrt2)^(1-Half_Year)</f>
        <v>0.10007330001481317</v>
      </c>
      <c r="G67" s="1019" t="str">
        <f t="shared" si="8"/>
        <v>2025-Top 20 All Hours-22</v>
      </c>
    </row>
    <row r="68" spans="1:7" s="466" customFormat="1">
      <c r="A68" s="1015">
        <f t="shared" si="10"/>
        <v>23</v>
      </c>
      <c r="B68" s="1016">
        <f t="shared" si="9"/>
        <v>2047</v>
      </c>
      <c r="C68" s="1017">
        <f t="shared" si="11"/>
        <v>0.13018286191424774</v>
      </c>
      <c r="D68" s="1485">
        <f t="shared" si="7"/>
        <v>0</v>
      </c>
      <c r="E68" s="1018">
        <f>NPV(realdiscrt2,C$46:C68)/(1+realdiscrt2)^(1-Half_Year)</f>
        <v>1.6449363561285613</v>
      </c>
      <c r="F68" s="1018">
        <f>NPV(realdiscrt2,D$46:D68)/(1+realdiscrt2)^(1-Half_Year)</f>
        <v>0.10007330001481317</v>
      </c>
      <c r="G68" s="1019" t="str">
        <f t="shared" si="8"/>
        <v>2025-Top 20 All Hours-23</v>
      </c>
    </row>
    <row r="69" spans="1:7" s="466" customFormat="1">
      <c r="A69" s="1015">
        <f t="shared" si="10"/>
        <v>24</v>
      </c>
      <c r="B69" s="1016">
        <f t="shared" si="9"/>
        <v>2048</v>
      </c>
      <c r="C69" s="1017">
        <f t="shared" si="11"/>
        <v>0.13623678937478234</v>
      </c>
      <c r="D69" s="1485">
        <f t="shared" si="7"/>
        <v>0</v>
      </c>
      <c r="E69" s="1018">
        <f>NPV(realdiscrt2,C$46:C69)/(1+realdiscrt2)^(1-Half_Year)</f>
        <v>1.7426906965379185</v>
      </c>
      <c r="F69" s="1018">
        <f>NPV(realdiscrt2,D$46:D69)/(1+realdiscrt2)^(1-Half_Year)</f>
        <v>0.10007330001481317</v>
      </c>
      <c r="G69" s="1019" t="str">
        <f t="shared" si="8"/>
        <v>2025-Top 20 All Hours-24</v>
      </c>
    </row>
    <row r="70" spans="1:7" s="466" customFormat="1">
      <c r="A70" s="1015">
        <f t="shared" si="10"/>
        <v>25</v>
      </c>
      <c r="B70" s="1016">
        <f t="shared" si="9"/>
        <v>2049</v>
      </c>
      <c r="C70" s="1017">
        <f t="shared" si="11"/>
        <v>0.14261189623181386</v>
      </c>
      <c r="D70" s="1488">
        <f t="shared" si="7"/>
        <v>0</v>
      </c>
      <c r="E70" s="1018">
        <f>NPV(realdiscrt2,C$46:C70)/(1+realdiscrt2)^(1-Half_Year)</f>
        <v>1.8436423390895951</v>
      </c>
      <c r="F70" s="1018">
        <f>NPV(realdiscrt2,D$46:D70)/(1+realdiscrt2)^(1-Half_Year)</f>
        <v>0.10007330001481317</v>
      </c>
      <c r="G70" s="1019" t="str">
        <f t="shared" si="8"/>
        <v>2025-Top 20 All Hours-25</v>
      </c>
    </row>
    <row r="71" spans="1:7" s="466" customFormat="1" ht="20.25">
      <c r="A71" s="975">
        <f>Year3</f>
        <v>2026</v>
      </c>
      <c r="B71" s="976" t="str">
        <f>Year3&amp;"$"</f>
        <v>2026$</v>
      </c>
      <c r="C71" s="1046"/>
      <c r="D71" s="1480" t="s">
        <v>993</v>
      </c>
      <c r="E71" s="975">
        <f>Year3</f>
        <v>2026</v>
      </c>
      <c r="F71" s="1481" t="s">
        <v>992</v>
      </c>
      <c r="G71" s="1047"/>
    </row>
    <row r="72" spans="1:7" s="466" customFormat="1">
      <c r="A72" s="1015">
        <v>1</v>
      </c>
      <c r="B72" s="1016">
        <f>Year3</f>
        <v>2026</v>
      </c>
      <c r="C72" s="1048">
        <f t="shared" ref="C72:C96" si="12">VLOOKUP($B72,$I$18:$N$50,C$12,FALSE)*(1+Inflation3)^(Year3-Real_Year)</f>
        <v>6.209524201697833E-2</v>
      </c>
      <c r="D72" s="1487">
        <f t="shared" ref="D72:D96" si="13">VLOOKUP($B72-5,$I$18:$N$50,IF($A$17=Year1,D$12,D$12+1),FALSE)*(1+Inflation3)^(Year3-Real_Year)</f>
        <v>6.935322871766814E-3</v>
      </c>
      <c r="E72" s="1053">
        <f>NPV(realdiscrt3,C$72:C72)/(1+realdiscrt3)^(2-Half_Year)</f>
        <v>6.0027227972635051E-2</v>
      </c>
      <c r="F72" s="1054">
        <f>NPV(realdiscrt3,D$72:D72)/(1+realdiscrt3)^(2-Half_Year)</f>
        <v>6.7043495373373041E-3</v>
      </c>
      <c r="G72" s="1019" t="str">
        <f t="shared" ref="G72:G96" si="14">$A$71&amp;"-"&amp;$A$13&amp;"-"&amp;A72</f>
        <v>2026-Top 20 All Hours-1</v>
      </c>
    </row>
    <row r="73" spans="1:7" s="466" customFormat="1">
      <c r="A73" s="1015">
        <v>2</v>
      </c>
      <c r="B73" s="1016">
        <f t="shared" ref="B73:B96" si="15">B72+1</f>
        <v>2027</v>
      </c>
      <c r="C73" s="1049">
        <f t="shared" si="12"/>
        <v>6.3231082905807659E-2</v>
      </c>
      <c r="D73" s="1485">
        <f t="shared" si="13"/>
        <v>1.0104367407061334E-2</v>
      </c>
      <c r="E73" s="1055">
        <f>NPV(realdiscrt3,C$72:C73)/(1+realdiscrt3)^(2-Half_Year)</f>
        <v>0.12032990184974135</v>
      </c>
      <c r="F73" s="1030">
        <f>NPV(realdiscrt3,D$72:D73)/(1+realdiscrt3)^(2-Half_Year)</f>
        <v>1.6340755312486802E-2</v>
      </c>
      <c r="G73" s="1019" t="str">
        <f t="shared" si="14"/>
        <v>2026-Top 20 All Hours-2</v>
      </c>
    </row>
    <row r="74" spans="1:7" s="466" customFormat="1">
      <c r="A74" s="1015">
        <f t="shared" ref="A74:A96" si="16">A73+1</f>
        <v>3</v>
      </c>
      <c r="B74" s="1016">
        <f t="shared" si="15"/>
        <v>2028</v>
      </c>
      <c r="C74" s="1049">
        <f t="shared" si="12"/>
        <v>6.284921798663208E-2</v>
      </c>
      <c r="D74" s="1485">
        <f t="shared" si="13"/>
        <v>1.0758209686106876E-2</v>
      </c>
      <c r="E74" s="1055">
        <f>NPV(realdiscrt3,C$72:C74)/(1+realdiscrt3)^(2-Half_Year)</f>
        <v>0.17946179913887819</v>
      </c>
      <c r="F74" s="1030">
        <f>NPV(realdiscrt3,D$72:D74)/(1+realdiscrt3)^(2-Half_Year)</f>
        <v>2.6462652935925455E-2</v>
      </c>
      <c r="G74" s="1019" t="str">
        <f t="shared" si="14"/>
        <v>2026-Top 20 All Hours-3</v>
      </c>
    </row>
    <row r="75" spans="1:7" s="466" customFormat="1">
      <c r="A75" s="1015">
        <f t="shared" si="16"/>
        <v>4</v>
      </c>
      <c r="B75" s="1016">
        <f t="shared" si="15"/>
        <v>2029</v>
      </c>
      <c r="C75" s="1049">
        <f t="shared" si="12"/>
        <v>6.6904430681518579E-2</v>
      </c>
      <c r="D75" s="1485">
        <f t="shared" si="13"/>
        <v>1.3160513101810692E-2</v>
      </c>
      <c r="E75" s="1055">
        <f>NPV(realdiscrt3,C$72:C75)/(1+realdiscrt3)^(2-Half_Year)</f>
        <v>0.24156197081005015</v>
      </c>
      <c r="F75" s="1030">
        <f>NPV(realdiscrt3,D$72:D75)/(1+realdiscrt3)^(2-Half_Year)</f>
        <v>3.8678138735267459E-2</v>
      </c>
      <c r="G75" s="1019" t="str">
        <f t="shared" si="14"/>
        <v>2026-Top 20 All Hours-4</v>
      </c>
    </row>
    <row r="76" spans="1:7" s="466" customFormat="1">
      <c r="A76" s="1015">
        <f t="shared" si="16"/>
        <v>5</v>
      </c>
      <c r="B76" s="1016">
        <f t="shared" si="15"/>
        <v>2030</v>
      </c>
      <c r="C76" s="1049">
        <f t="shared" si="12"/>
        <v>7.33230551969071E-2</v>
      </c>
      <c r="D76" s="1485">
        <f t="shared" si="13"/>
        <v>1.325498123064758E-2</v>
      </c>
      <c r="E76" s="1055">
        <f>NPV(realdiscrt3,C$72:C76)/(1+realdiscrt3)^(2-Half_Year)</f>
        <v>0.30870399956106953</v>
      </c>
      <c r="F76" s="1030">
        <f>NPV(realdiscrt3,D$72:D76)/(1+realdiscrt3)^(2-Half_Year)</f>
        <v>5.0815744410486273E-2</v>
      </c>
      <c r="G76" s="1019" t="str">
        <f t="shared" si="14"/>
        <v>2026-Top 20 All Hours-5</v>
      </c>
    </row>
    <row r="77" spans="1:7" s="466" customFormat="1">
      <c r="A77" s="1015">
        <f t="shared" si="16"/>
        <v>6</v>
      </c>
      <c r="B77" s="1016">
        <f t="shared" si="15"/>
        <v>2031</v>
      </c>
      <c r="C77" s="1049">
        <f t="shared" si="12"/>
        <v>7.591104089865594E-2</v>
      </c>
      <c r="D77" s="1485">
        <f t="shared" si="13"/>
        <v>1.2429779064445475E-2</v>
      </c>
      <c r="E77" s="1055">
        <f>NPV(realdiscrt3,C$72:C77)/(1+realdiscrt3)^(2-Half_Year)</f>
        <v>0.37728042429792158</v>
      </c>
      <c r="F77" s="1030">
        <f>NPV(realdiscrt3,D$72:D77)/(1+realdiscrt3)^(2-Half_Year)</f>
        <v>6.2044543257370965E-2</v>
      </c>
      <c r="G77" s="1019" t="str">
        <f t="shared" si="14"/>
        <v>2026-Top 20 All Hours-6</v>
      </c>
    </row>
    <row r="78" spans="1:7" s="466" customFormat="1">
      <c r="A78" s="1015">
        <f t="shared" si="16"/>
        <v>7</v>
      </c>
      <c r="B78" s="1016">
        <f t="shared" si="15"/>
        <v>2032</v>
      </c>
      <c r="C78" s="1049">
        <f t="shared" si="12"/>
        <v>7.5762951077593621E-2</v>
      </c>
      <c r="D78" s="1485">
        <f t="shared" si="13"/>
        <v>1.1862199346798984E-2</v>
      </c>
      <c r="E78" s="1055">
        <f>NPV(realdiscrt3,C$72:C78)/(1+realdiscrt3)^(2-Half_Year)</f>
        <v>0.44480202993610329</v>
      </c>
      <c r="F78" s="1030">
        <f>NPV(realdiscrt3,D$72:D78)/(1+realdiscrt3)^(2-Half_Year)</f>
        <v>7.2616395790883692E-2</v>
      </c>
      <c r="G78" s="1019" t="str">
        <f t="shared" si="14"/>
        <v>2026-Top 20 All Hours-7</v>
      </c>
    </row>
    <row r="79" spans="1:7" s="466" customFormat="1">
      <c r="A79" s="1015">
        <f t="shared" si="16"/>
        <v>8</v>
      </c>
      <c r="B79" s="1016">
        <f t="shared" si="15"/>
        <v>2033</v>
      </c>
      <c r="C79" s="1049">
        <f t="shared" si="12"/>
        <v>7.5170543828936662E-2</v>
      </c>
      <c r="D79" s="1485">
        <f t="shared" si="13"/>
        <v>1.0896249260981546E-2</v>
      </c>
      <c r="E79" s="1055">
        <f>NPV(realdiscrt3,C$72:C79)/(1+realdiscrt3)^(2-Half_Year)</f>
        <v>0.51089413069256373</v>
      </c>
      <c r="F79" s="1030">
        <f>NPV(realdiscrt3,D$72:D79)/(1+realdiscrt3)^(2-Half_Year)</f>
        <v>8.2196691041416081E-2</v>
      </c>
      <c r="G79" s="1019" t="str">
        <f t="shared" si="14"/>
        <v>2026-Top 20 All Hours-8</v>
      </c>
    </row>
    <row r="80" spans="1:7" s="466" customFormat="1">
      <c r="A80" s="1015">
        <f t="shared" si="16"/>
        <v>9</v>
      </c>
      <c r="B80" s="1016">
        <f t="shared" si="15"/>
        <v>2034</v>
      </c>
      <c r="C80" s="1049">
        <f t="shared" si="12"/>
        <v>7.97424275776321E-2</v>
      </c>
      <c r="D80" s="1485">
        <f t="shared" si="13"/>
        <v>1.067396453790515E-2</v>
      </c>
      <c r="E80" s="1055">
        <f>NPV(realdiscrt3,C$72:C80)/(1+realdiscrt3)^(2-Half_Year)</f>
        <v>0.58006246263400296</v>
      </c>
      <c r="F80" s="1030">
        <f>NPV(realdiscrt3,D$72:D80)/(1+realdiscrt3)^(2-Half_Year)</f>
        <v>9.1455254452596571E-2</v>
      </c>
      <c r="G80" s="1019" t="str">
        <f t="shared" si="14"/>
        <v>2026-Top 20 All Hours-9</v>
      </c>
    </row>
    <row r="81" spans="1:7" s="466" customFormat="1">
      <c r="A81" s="1015">
        <f t="shared" si="16"/>
        <v>10</v>
      </c>
      <c r="B81" s="1016">
        <f t="shared" si="15"/>
        <v>2035</v>
      </c>
      <c r="C81" s="1049">
        <f t="shared" si="12"/>
        <v>8.4959810515123926E-2</v>
      </c>
      <c r="D81" s="1485">
        <f t="shared" si="13"/>
        <v>9.3973421950175346E-3</v>
      </c>
      <c r="E81" s="1055">
        <f>NPV(realdiscrt3,C$72:C81)/(1+realdiscrt3)^(2-Half_Year)</f>
        <v>0.65276463209651636</v>
      </c>
      <c r="F81" s="1030">
        <f>NPV(realdiscrt3,D$72:D81)/(1+realdiscrt3)^(2-Half_Year)</f>
        <v>9.9496787980237547E-2</v>
      </c>
      <c r="G81" s="1019" t="str">
        <f t="shared" si="14"/>
        <v>2026-Top 20 All Hours-10</v>
      </c>
    </row>
    <row r="82" spans="1:7" s="466" customFormat="1">
      <c r="A82" s="1015">
        <f t="shared" si="16"/>
        <v>11</v>
      </c>
      <c r="B82" s="1016">
        <f t="shared" si="15"/>
        <v>2036</v>
      </c>
      <c r="C82" s="1049">
        <f t="shared" si="12"/>
        <v>8.779957676423103E-2</v>
      </c>
      <c r="D82" s="1485">
        <f t="shared" si="13"/>
        <v>6.4552689145185929E-3</v>
      </c>
      <c r="E82" s="1055">
        <f>NPV(realdiscrt3,C$72:C82)/(1+realdiscrt3)^(2-Half_Year)</f>
        <v>0.72688579825862043</v>
      </c>
      <c r="F82" s="1030">
        <f>NPV(realdiscrt3,D$72:D82)/(1+realdiscrt3)^(2-Half_Year)</f>
        <v>0.10494638212940915</v>
      </c>
      <c r="G82" s="1019" t="str">
        <f t="shared" si="14"/>
        <v>2026-Top 20 All Hours-11</v>
      </c>
    </row>
    <row r="83" spans="1:7" s="466" customFormat="1">
      <c r="A83" s="1015">
        <f t="shared" si="16"/>
        <v>12</v>
      </c>
      <c r="B83" s="1016">
        <f t="shared" si="15"/>
        <v>2037</v>
      </c>
      <c r="C83" s="1049">
        <f t="shared" si="12"/>
        <v>9.0938566449261196E-2</v>
      </c>
      <c r="D83" s="1485">
        <f t="shared" si="13"/>
        <v>0</v>
      </c>
      <c r="E83" s="1055">
        <f>NPV(realdiscrt3,C$72:C83)/(1+realdiscrt3)^(2-Half_Year)</f>
        <v>0.80262381185283349</v>
      </c>
      <c r="F83" s="1030">
        <f>NPV(realdiscrt3,D$72:D83)/(1+realdiscrt3)^(2-Half_Year)</f>
        <v>0.10494638212940915</v>
      </c>
      <c r="G83" s="1019" t="str">
        <f t="shared" si="14"/>
        <v>2026-Top 20 All Hours-12</v>
      </c>
    </row>
    <row r="84" spans="1:7" s="466" customFormat="1">
      <c r="A84" s="1015">
        <f t="shared" si="16"/>
        <v>13</v>
      </c>
      <c r="B84" s="1016">
        <f t="shared" si="15"/>
        <v>2038</v>
      </c>
      <c r="C84" s="1049">
        <f t="shared" si="12"/>
        <v>9.437030350090618E-2</v>
      </c>
      <c r="D84" s="1485">
        <f t="shared" si="13"/>
        <v>0</v>
      </c>
      <c r="E84" s="1055">
        <f>NPV(realdiscrt3,C$72:C84)/(1+realdiscrt3)^(2-Half_Year)</f>
        <v>0.88016226704950007</v>
      </c>
      <c r="F84" s="1030">
        <f>NPV(realdiscrt3,D$72:D84)/(1+realdiscrt3)^(2-Half_Year)</f>
        <v>0.10494638212940915</v>
      </c>
      <c r="G84" s="1019" t="str">
        <f t="shared" si="14"/>
        <v>2026-Top 20 All Hours-13</v>
      </c>
    </row>
    <row r="85" spans="1:7" s="466" customFormat="1">
      <c r="A85" s="1015">
        <f t="shared" si="16"/>
        <v>14</v>
      </c>
      <c r="B85" s="1016">
        <f t="shared" si="15"/>
        <v>2039</v>
      </c>
      <c r="C85" s="1049">
        <f t="shared" si="12"/>
        <v>9.809069464278769E-2</v>
      </c>
      <c r="D85" s="1485">
        <f t="shared" si="13"/>
        <v>0</v>
      </c>
      <c r="E85" s="1055">
        <f>NPV(realdiscrt3,C$72:C85)/(1+realdiscrt3)^(2-Half_Year)</f>
        <v>0.95967296912340105</v>
      </c>
      <c r="F85" s="1030">
        <f>NPV(realdiscrt3,D$72:D85)/(1+realdiscrt3)^(2-Half_Year)</f>
        <v>0.10494638212940915</v>
      </c>
      <c r="G85" s="1019" t="str">
        <f t="shared" si="14"/>
        <v>2026-Top 20 All Hours-14</v>
      </c>
    </row>
    <row r="86" spans="1:7" s="466" customFormat="1">
      <c r="A86" s="1015">
        <f t="shared" si="16"/>
        <v>15</v>
      </c>
      <c r="B86" s="1016">
        <f t="shared" si="15"/>
        <v>2040</v>
      </c>
      <c r="C86" s="1049">
        <f t="shared" si="12"/>
        <v>0.10209779694843538</v>
      </c>
      <c r="D86" s="1485">
        <f t="shared" si="13"/>
        <v>0</v>
      </c>
      <c r="E86" s="1055">
        <f>NPV(realdiscrt3,C$72:C86)/(1+realdiscrt3)^(2-Half_Year)</f>
        <v>1.0413180709347671</v>
      </c>
      <c r="F86" s="1030">
        <f>NPV(realdiscrt3,D$72:D86)/(1+realdiscrt3)^(2-Half_Year)</f>
        <v>0.10494638212940915</v>
      </c>
      <c r="G86" s="1019" t="str">
        <f t="shared" si="14"/>
        <v>2026-Top 20 All Hours-15</v>
      </c>
    </row>
    <row r="87" spans="1:7" s="466" customFormat="1">
      <c r="A87" s="1015">
        <f t="shared" si="16"/>
        <v>16</v>
      </c>
      <c r="B87" s="1016">
        <f t="shared" si="15"/>
        <v>2041</v>
      </c>
      <c r="C87" s="1049">
        <f t="shared" si="12"/>
        <v>0.10639161896075229</v>
      </c>
      <c r="D87" s="1485">
        <f t="shared" si="13"/>
        <v>0</v>
      </c>
      <c r="E87" s="1055">
        <f>NPV(realdiscrt3,C$72:C87)/(1+realdiscrt3)^(2-Half_Year)</f>
        <v>1.1252519253335487</v>
      </c>
      <c r="F87" s="1030">
        <f>NPV(realdiscrt3,D$72:D87)/(1+realdiscrt3)^(2-Half_Year)</f>
        <v>0.10494638212940915</v>
      </c>
      <c r="G87" s="1019" t="str">
        <f t="shared" si="14"/>
        <v>2026-Top 20 All Hours-16</v>
      </c>
    </row>
    <row r="88" spans="1:7" s="466" customFormat="1">
      <c r="A88" s="1015">
        <f t="shared" si="16"/>
        <v>17</v>
      </c>
      <c r="B88" s="1016">
        <f t="shared" si="15"/>
        <v>2042</v>
      </c>
      <c r="C88" s="1049">
        <f t="shared" si="12"/>
        <v>0.11097395122182653</v>
      </c>
      <c r="D88" s="1485">
        <f t="shared" si="13"/>
        <v>0</v>
      </c>
      <c r="E88" s="1055">
        <f>NPV(realdiscrt3,C$72:C88)/(1+realdiscrt3)^(2-Half_Year)</f>
        <v>1.2116226939900279</v>
      </c>
      <c r="F88" s="1030">
        <f>NPV(realdiscrt3,D$72:D88)/(1+realdiscrt3)^(2-Half_Year)</f>
        <v>0.10494638212940915</v>
      </c>
      <c r="G88" s="1019" t="str">
        <f t="shared" si="14"/>
        <v>2026-Top 20 All Hours-17</v>
      </c>
    </row>
    <row r="89" spans="1:7" s="466" customFormat="1">
      <c r="A89" s="1015">
        <f t="shared" si="16"/>
        <v>18</v>
      </c>
      <c r="B89" s="1016">
        <f t="shared" si="15"/>
        <v>2043</v>
      </c>
      <c r="C89" s="1049">
        <f t="shared" si="12"/>
        <v>0.1158482226045076</v>
      </c>
      <c r="D89" s="1485">
        <f t="shared" si="13"/>
        <v>0</v>
      </c>
      <c r="E89" s="1055">
        <f>NPV(realdiscrt3,C$72:C89)/(1+realdiscrt3)^(2-Half_Year)</f>
        <v>1.3005737474785908</v>
      </c>
      <c r="F89" s="1030">
        <f>NPV(realdiscrt3,D$72:D89)/(1+realdiscrt3)^(2-Half_Year)</f>
        <v>0.10494638212940915</v>
      </c>
      <c r="G89" s="1019" t="str">
        <f t="shared" si="14"/>
        <v>2026-Top 20 All Hours-18</v>
      </c>
    </row>
    <row r="90" spans="1:7" s="466" customFormat="1">
      <c r="A90" s="1015">
        <f t="shared" si="16"/>
        <v>19</v>
      </c>
      <c r="B90" s="1016">
        <f t="shared" si="15"/>
        <v>2044</v>
      </c>
      <c r="C90" s="1049">
        <f t="shared" si="12"/>
        <v>0.12101937931107014</v>
      </c>
      <c r="D90" s="1485">
        <f t="shared" si="13"/>
        <v>0</v>
      </c>
      <c r="E90" s="1055">
        <f>NPV(realdiscrt3,C$72:C90)/(1+realdiscrt3)^(2-Half_Year)</f>
        <v>1.3922448865640178</v>
      </c>
      <c r="F90" s="1030">
        <f>NPV(realdiscrt3,D$72:D90)/(1+realdiscrt3)^(2-Half_Year)</f>
        <v>0.10494638212940915</v>
      </c>
      <c r="G90" s="1019" t="str">
        <f t="shared" si="14"/>
        <v>2026-Top 20 All Hours-19</v>
      </c>
    </row>
    <row r="91" spans="1:7" s="466" customFormat="1">
      <c r="A91" s="1015">
        <f t="shared" si="16"/>
        <v>20</v>
      </c>
      <c r="B91" s="1016">
        <f t="shared" si="15"/>
        <v>2045</v>
      </c>
      <c r="C91" s="1049">
        <f t="shared" si="12"/>
        <v>0.12649378381753287</v>
      </c>
      <c r="D91" s="1485">
        <f t="shared" si="13"/>
        <v>0</v>
      </c>
      <c r="E91" s="1055">
        <f>NPV(realdiscrt3,C$72:C91)/(1+realdiscrt3)^(2-Half_Year)</f>
        <v>1.4867734104487089</v>
      </c>
      <c r="F91" s="1030">
        <f>NPV(realdiscrt3,D$72:D91)/(1+realdiscrt3)^(2-Half_Year)</f>
        <v>0.10494638212940915</v>
      </c>
      <c r="G91" s="1019" t="str">
        <f t="shared" si="14"/>
        <v>2026-Top 20 All Hours-20</v>
      </c>
    </row>
    <row r="92" spans="1:7" s="466" customFormat="1">
      <c r="A92" s="1015">
        <f t="shared" si="16"/>
        <v>21</v>
      </c>
      <c r="B92" s="1016">
        <f t="shared" si="15"/>
        <v>2046</v>
      </c>
      <c r="C92" s="1049">
        <f t="shared" si="12"/>
        <v>0.13227913140262726</v>
      </c>
      <c r="D92" s="1485">
        <f t="shared" si="13"/>
        <v>0</v>
      </c>
      <c r="E92" s="1055">
        <f>NPV(realdiscrt3,C$72:C92)/(1+realdiscrt3)^(2-Half_Year)</f>
        <v>1.5842950541383207</v>
      </c>
      <c r="F92" s="1030">
        <f>NPV(realdiscrt3,D$72:D92)/(1+realdiscrt3)^(2-Half_Year)</f>
        <v>0.10494638212940915</v>
      </c>
      <c r="G92" s="1019" t="str">
        <f t="shared" si="14"/>
        <v>2026-Top 20 All Hours-21</v>
      </c>
    </row>
    <row r="93" spans="1:7" s="466" customFormat="1">
      <c r="A93" s="1015">
        <f t="shared" si="16"/>
        <v>22</v>
      </c>
      <c r="B93" s="1016">
        <f t="shared" si="15"/>
        <v>2047</v>
      </c>
      <c r="C93" s="1049">
        <f t="shared" si="12"/>
        <v>0.13838438221484534</v>
      </c>
      <c r="D93" s="1485">
        <f t="shared" si="13"/>
        <v>0</v>
      </c>
      <c r="E93" s="1055">
        <f>NPV(realdiscrt3,C$72:C93)/(1+realdiscrt3)^(2-Half_Year)</f>
        <v>1.6849448139894045</v>
      </c>
      <c r="F93" s="1030">
        <f>NPV(realdiscrt3,D$72:D93)/(1+realdiscrt3)^(2-Half_Year)</f>
        <v>0.10494638212940915</v>
      </c>
      <c r="G93" s="1019" t="str">
        <f t="shared" si="14"/>
        <v>2026-Top 20 All Hours-22</v>
      </c>
    </row>
    <row r="94" spans="1:7" s="466" customFormat="1">
      <c r="A94" s="1015">
        <f t="shared" si="16"/>
        <v>23</v>
      </c>
      <c r="B94" s="1016">
        <f t="shared" si="15"/>
        <v>2048</v>
      </c>
      <c r="C94" s="1049">
        <f t="shared" si="12"/>
        <v>0.1448197071053936</v>
      </c>
      <c r="D94" s="1485">
        <f t="shared" si="13"/>
        <v>0</v>
      </c>
      <c r="E94" s="1055">
        <f>NPV(realdiscrt3,C$72:C94)/(1+realdiscrt3)^(2-Half_Year)</f>
        <v>1.7888576778445513</v>
      </c>
      <c r="F94" s="1030">
        <f>NPV(realdiscrt3,D$72:D94)/(1+realdiscrt3)^(2-Half_Year)</f>
        <v>0.10494638212940915</v>
      </c>
      <c r="G94" s="1019" t="str">
        <f t="shared" si="14"/>
        <v>2026-Top 20 All Hours-23</v>
      </c>
    </row>
    <row r="95" spans="1:7" s="466" customFormat="1">
      <c r="A95" s="1015">
        <f t="shared" si="16"/>
        <v>24</v>
      </c>
      <c r="B95" s="1016">
        <f t="shared" si="15"/>
        <v>2049</v>
      </c>
      <c r="C95" s="1049">
        <f t="shared" si="12"/>
        <v>0.1515964456944181</v>
      </c>
      <c r="D95" s="1485">
        <f t="shared" si="13"/>
        <v>0</v>
      </c>
      <c r="E95" s="1055">
        <f>NPV(realdiscrt3,C$72:C95)/(1+realdiscrt3)^(2-Half_Year)</f>
        <v>1.8961692738769833</v>
      </c>
      <c r="F95" s="1030">
        <f>NPV(realdiscrt3,D$72:D95)/(1+realdiscrt3)^(2-Half_Year)</f>
        <v>0.10494638212940915</v>
      </c>
      <c r="G95" s="1019" t="str">
        <f t="shared" si="14"/>
        <v>2026-Top 20 All Hours-24</v>
      </c>
    </row>
    <row r="96" spans="1:7" s="466" customFormat="1">
      <c r="A96" s="1039">
        <f t="shared" si="16"/>
        <v>25</v>
      </c>
      <c r="B96" s="1051">
        <f t="shared" si="15"/>
        <v>2050</v>
      </c>
      <c r="C96" s="1050">
        <f t="shared" si="12"/>
        <v>0.15872707534707106</v>
      </c>
      <c r="D96" s="1488">
        <f t="shared" si="13"/>
        <v>0</v>
      </c>
      <c r="E96" s="1052">
        <f>NPV(realdiscrt3,C$72:C96)/(1+realdiscrt3)^(2-Half_Year)</f>
        <v>2.0070164503048757</v>
      </c>
      <c r="F96" s="1031">
        <f>NPV(realdiscrt3,D$72:D96)/(1+realdiscrt3)^(2-Half_Year)</f>
        <v>0.10494638212940915</v>
      </c>
      <c r="G96" s="1032" t="str">
        <f t="shared" si="14"/>
        <v>2026-Top 20 All Hours-25</v>
      </c>
    </row>
    <row r="97" spans="1:17" s="466" customFormat="1"/>
    <row r="98" spans="1:17" ht="23.25">
      <c r="A98" s="1735" t="str">
        <f>A5</f>
        <v>Top 20 Summer Hours</v>
      </c>
      <c r="B98" s="1736"/>
      <c r="C98" s="1736"/>
      <c r="D98" s="1736"/>
      <c r="E98" s="1736"/>
      <c r="F98" s="1736"/>
      <c r="G98" s="1736"/>
      <c r="H98" s="1736"/>
      <c r="I98" s="1736"/>
      <c r="J98" s="1736"/>
      <c r="K98" s="1736"/>
      <c r="L98" s="1736"/>
      <c r="M98" s="1736"/>
      <c r="N98" s="1737"/>
      <c r="O98" s="466"/>
      <c r="P98" s="466"/>
      <c r="Q98" s="466"/>
    </row>
    <row r="99" spans="1:17" s="1059" customFormat="1" ht="15">
      <c r="A99" s="1738" t="s">
        <v>564</v>
      </c>
      <c r="B99" s="1739"/>
      <c r="C99" s="1056" t="s">
        <v>865</v>
      </c>
      <c r="D99" s="1057" t="s">
        <v>61</v>
      </c>
      <c r="E99" s="1056" t="s">
        <v>865</v>
      </c>
      <c r="F99" s="1056" t="s">
        <v>61</v>
      </c>
      <c r="G99" s="1058" t="s">
        <v>667</v>
      </c>
      <c r="I99" s="1742" t="s">
        <v>74</v>
      </c>
      <c r="J99" s="1034" t="s">
        <v>861</v>
      </c>
      <c r="K99" s="1034" t="s">
        <v>862</v>
      </c>
      <c r="L99" s="1320" t="s">
        <v>957</v>
      </c>
      <c r="M99" s="1035" t="s">
        <v>863</v>
      </c>
      <c r="N99" s="1743" t="s">
        <v>864</v>
      </c>
    </row>
    <row r="100" spans="1:17" s="996" customFormat="1" ht="15">
      <c r="A100" s="999"/>
      <c r="B100" s="1000"/>
      <c r="C100" s="1001" t="s">
        <v>69</v>
      </c>
      <c r="D100" s="1002" t="s">
        <v>69</v>
      </c>
      <c r="E100" s="1001" t="s">
        <v>69</v>
      </c>
      <c r="F100" s="1001" t="s">
        <v>69</v>
      </c>
      <c r="G100" s="1003"/>
      <c r="H100" s="979"/>
      <c r="I100" s="1731"/>
      <c r="J100" s="1004" t="s">
        <v>866</v>
      </c>
      <c r="K100" s="1004" t="s">
        <v>866</v>
      </c>
      <c r="L100" s="1005" t="s">
        <v>866</v>
      </c>
      <c r="M100" s="1005" t="s">
        <v>866</v>
      </c>
      <c r="N100" s="1732"/>
      <c r="O100" s="466"/>
      <c r="P100" s="466"/>
      <c r="Q100" s="466"/>
    </row>
    <row r="101" spans="1:17" s="1033" customFormat="1" ht="20.25">
      <c r="A101" s="1041" t="s">
        <v>571</v>
      </c>
      <c r="B101" s="1042"/>
      <c r="C101" s="1043"/>
      <c r="D101" s="1044"/>
      <c r="E101" s="1045" t="s">
        <v>604</v>
      </c>
      <c r="F101" s="973"/>
      <c r="G101" s="974"/>
      <c r="H101" s="979"/>
      <c r="I101" s="1740"/>
      <c r="J101" s="1036" t="s">
        <v>69</v>
      </c>
      <c r="K101" s="1036" t="s">
        <v>69</v>
      </c>
      <c r="L101" s="1007" t="s">
        <v>69</v>
      </c>
      <c r="M101" s="1037" t="s">
        <v>69</v>
      </c>
      <c r="N101" s="1741"/>
      <c r="O101" s="466"/>
      <c r="P101" s="466"/>
      <c r="Q101" s="466"/>
    </row>
    <row r="102" spans="1:17" s="466" customFormat="1" ht="18">
      <c r="A102" s="975">
        <f>Year1</f>
        <v>2024</v>
      </c>
      <c r="B102" s="976" t="str">
        <f>Year1&amp;"$"</f>
        <v>2024$</v>
      </c>
      <c r="C102" s="1008"/>
      <c r="D102" s="1480" t="s">
        <v>993</v>
      </c>
      <c r="E102" s="1481">
        <v>2024</v>
      </c>
      <c r="F102" s="1482" t="s">
        <v>992</v>
      </c>
      <c r="G102" s="1009"/>
      <c r="I102" s="1011" t="s">
        <v>956</v>
      </c>
      <c r="J102" s="1012"/>
      <c r="K102" s="1012"/>
      <c r="L102" s="1012"/>
      <c r="M102" s="1013"/>
      <c r="N102" s="1014"/>
    </row>
    <row r="103" spans="1:17" s="466" customFormat="1">
      <c r="A103" s="1015">
        <v>1</v>
      </c>
      <c r="B103" s="1016">
        <f>Year1</f>
        <v>2024</v>
      </c>
      <c r="C103" s="1017">
        <f>VLOOKUP($B103,$I$103:$N$135,C$12,FALSE)*(1+Inflation1)^(Year1-Real_Year)</f>
        <v>5.8763252971184302E-2</v>
      </c>
      <c r="D103" s="1485">
        <f t="shared" ref="D103:D129" si="17">VLOOKUP($B103-3,$I$103:$N$135,IF($A$17=Year1,D$12,D$12+1),FALSE)*(1+Inflation1)^(Year1-Real_Year)</f>
        <v>6.1376222460676495E-3</v>
      </c>
      <c r="E103" s="1018">
        <f>NPV(realdiscrt1,C103:C$103)/(1+realdiscrt1)^-Half_Year</f>
        <v>5.8366522946569133E-2</v>
      </c>
      <c r="F103" s="1018">
        <f>NPV(realdiscrt1,D103:D$103)/(1+realdiscrt1)^-Half_Year</f>
        <v>6.0961851420673809E-3</v>
      </c>
      <c r="G103" s="1019" t="str">
        <f t="shared" ref="G103:G129" si="18">$A$17&amp;"-"&amp;$A$98&amp;"-"&amp;A103</f>
        <v>2024-Top 20 Summer Hours-1</v>
      </c>
      <c r="H103" s="996"/>
      <c r="I103" s="1020">
        <v>2018</v>
      </c>
      <c r="J103" s="1021">
        <f>(K103+$N103)*(1+WholesaleRiskPremium)</f>
        <v>0</v>
      </c>
      <c r="K103" s="1022"/>
      <c r="L103" s="1023"/>
      <c r="M103" s="1023"/>
      <c r="N103" s="1322">
        <f>INDEX(AESC!$H$184:$H$216,MATCH(I103,AESC!$B$184:$B$216,0))</f>
        <v>0</v>
      </c>
    </row>
    <row r="104" spans="1:17" s="466" customFormat="1">
      <c r="A104" s="1015">
        <v>2</v>
      </c>
      <c r="B104" s="1016">
        <f t="shared" ref="B104:B129" si="19">B103+1</f>
        <v>2025</v>
      </c>
      <c r="C104" s="1017">
        <f t="shared" ref="C104:C129" si="20">VLOOKUP($B104,$I$103:$N$135,C$12,FALSE)*(1+Inflation1)^(Year1-Real_Year)</f>
        <v>5.7460638186442425E-2</v>
      </c>
      <c r="D104" s="1485">
        <f t="shared" si="17"/>
        <v>8.9421633753327175E-3</v>
      </c>
      <c r="E104" s="1018">
        <f>NPV(realdiscrt1,C$103:C104)/(1+realdiscrt1)^-Half_Year</f>
        <v>0.11467119376077345</v>
      </c>
      <c r="F104" s="1018">
        <f>NPV(realdiscrt1,D$103:D104)/(1+realdiscrt1)^-Half_Year</f>
        <v>1.4858454081393885E-2</v>
      </c>
      <c r="G104" s="1019" t="str">
        <f t="shared" si="18"/>
        <v>2024-Top 20 Summer Hours-2</v>
      </c>
      <c r="H104" s="1033"/>
      <c r="I104" s="1020">
        <v>2019</v>
      </c>
      <c r="J104" s="1021">
        <f>(K104+$N104)*(1+WholesaleRiskPremium)</f>
        <v>0</v>
      </c>
      <c r="K104" s="1022"/>
      <c r="L104" s="1023"/>
      <c r="M104" s="1023"/>
      <c r="N104" s="1321">
        <f>INDEX(AESC!$H$184:$H$216,MATCH(I104,AESC!$B$184:$B$216,0))</f>
        <v>0</v>
      </c>
    </row>
    <row r="105" spans="1:17" s="466" customFormat="1">
      <c r="A105" s="1015">
        <f t="shared" ref="A105:A129" si="21">A104+1</f>
        <v>3</v>
      </c>
      <c r="B105" s="1016">
        <f t="shared" si="19"/>
        <v>2026</v>
      </c>
      <c r="C105" s="1017">
        <f t="shared" si="20"/>
        <v>5.4953049169471309E-2</v>
      </c>
      <c r="D105" s="1485">
        <f t="shared" si="17"/>
        <v>9.5208007353359946E-3</v>
      </c>
      <c r="E105" s="1018">
        <f>NPV(realdiscrt1,C$103:C105)/(1+realdiscrt1)^-Half_Year</f>
        <v>0.16779409179836124</v>
      </c>
      <c r="F105" s="1018">
        <f>NPV(realdiscrt1,D$103:D105)/(1+realdiscrt1)^-Half_Year</f>
        <v>2.4062174973016812E-2</v>
      </c>
      <c r="G105" s="1019" t="str">
        <f t="shared" si="18"/>
        <v>2024-Top 20 Summer Hours-3</v>
      </c>
      <c r="I105" s="1020">
        <v>2020</v>
      </c>
      <c r="J105" s="1021">
        <f>(K105+$N105)*(1+WholesaleRiskPremium)</f>
        <v>0</v>
      </c>
      <c r="K105" s="1022"/>
      <c r="L105" s="1023"/>
      <c r="M105" s="1023"/>
      <c r="N105" s="1321">
        <f>INDEX(AESC!$H$184:$H$216,MATCH(I105,AESC!$B$184:$B$216,0))</f>
        <v>0</v>
      </c>
    </row>
    <row r="106" spans="1:17" s="466" customFormat="1">
      <c r="A106" s="1015">
        <f t="shared" si="21"/>
        <v>4</v>
      </c>
      <c r="B106" s="1016">
        <f t="shared" si="19"/>
        <v>2027</v>
      </c>
      <c r="C106" s="1017">
        <f t="shared" si="20"/>
        <v>5.5958245673826165E-2</v>
      </c>
      <c r="D106" s="1485">
        <f t="shared" si="17"/>
        <v>1.1646791285257111E-2</v>
      </c>
      <c r="E106" s="1018">
        <f>NPV(realdiscrt1,C$103:C106)/(1+realdiscrt1)^-Half_Year</f>
        <v>0.22116075396086862</v>
      </c>
      <c r="F106" s="1018">
        <f>NPV(realdiscrt1,D$103:D106)/(1+realdiscrt1)^-Half_Year</f>
        <v>3.5169570644791315E-2</v>
      </c>
      <c r="G106" s="1019" t="str">
        <f t="shared" si="18"/>
        <v>2024-Top 20 Summer Hours-4</v>
      </c>
      <c r="I106" s="1020">
        <v>2021</v>
      </c>
      <c r="J106" s="1021">
        <f>(K106+$N106)*(1+WholesaleRiskPremium)</f>
        <v>5.134078598869294E-2</v>
      </c>
      <c r="K106" s="1022">
        <v>3.5858527359604861E-2</v>
      </c>
      <c r="L106" s="1023">
        <v>5.1097583462519957E-3</v>
      </c>
      <c r="M106" s="1023"/>
      <c r="N106" s="1024">
        <f>INDEX(AESC!$H$184:$H$216,MATCH(I106,AESC!$B$184:$B$216,0))</f>
        <v>1.1679237444740446E-2</v>
      </c>
    </row>
    <row r="107" spans="1:17" s="466" customFormat="1">
      <c r="A107" s="1015">
        <f t="shared" si="21"/>
        <v>5</v>
      </c>
      <c r="B107" s="1016">
        <f t="shared" si="19"/>
        <v>2028</v>
      </c>
      <c r="C107" s="1017">
        <f t="shared" si="20"/>
        <v>5.5620302846035655E-2</v>
      </c>
      <c r="D107" s="1485">
        <f t="shared" si="17"/>
        <v>1.1730393692789432E-2</v>
      </c>
      <c r="E107" s="1018">
        <f>NPV(realdiscrt1,C$103:C107)/(1+realdiscrt1)^-Half_Year</f>
        <v>0.27349130222293311</v>
      </c>
      <c r="F107" s="1018">
        <f>NPV(realdiscrt1,D$103:D107)/(1+realdiscrt1)^-Half_Year</f>
        <v>4.62061508477574E-2</v>
      </c>
      <c r="G107" s="1019" t="str">
        <f t="shared" si="18"/>
        <v>2024-Top 20 Summer Hours-5</v>
      </c>
      <c r="I107" s="1020">
        <v>2022</v>
      </c>
      <c r="J107" s="1021">
        <f t="shared" ref="J107:J135" si="22">(K107+$N107)*(1+WholesaleRiskPremium)</f>
        <v>4.8150066960526976E-2</v>
      </c>
      <c r="K107" s="1022">
        <v>3.3675540003157228E-2</v>
      </c>
      <c r="L107" s="1023">
        <v>7.4446246622509463E-3</v>
      </c>
      <c r="M107" s="1023"/>
      <c r="N107" s="1024">
        <f>INDEX(AESC!$H$184:$H$216,MATCH(I107,AESC!$B$184:$B$216,0))</f>
        <v>1.0907855330664046E-2</v>
      </c>
    </row>
    <row r="108" spans="1:17" s="466" customFormat="1">
      <c r="A108" s="1015">
        <f t="shared" si="21"/>
        <v>6</v>
      </c>
      <c r="B108" s="1016">
        <f t="shared" si="19"/>
        <v>2029</v>
      </c>
      <c r="C108" s="1017">
        <f t="shared" si="20"/>
        <v>5.9209085100138663E-2</v>
      </c>
      <c r="D108" s="1485">
        <f t="shared" si="17"/>
        <v>1.1000106254636611E-2</v>
      </c>
      <c r="E108" s="1018">
        <f>NPV(realdiscrt1,C$103:C108)/(1+realdiscrt1)^-Half_Year</f>
        <v>0.32844871403792275</v>
      </c>
      <c r="F108" s="1018">
        <f>NPV(realdiscrt1,D$103:D108)/(1+realdiscrt1)^-Half_Year</f>
        <v>5.6416363831495779E-2</v>
      </c>
      <c r="G108" s="1019" t="str">
        <f t="shared" si="18"/>
        <v>2024-Top 20 Summer Hours-6</v>
      </c>
      <c r="I108" s="1020">
        <v>2023</v>
      </c>
      <c r="J108" s="1021">
        <f t="shared" si="22"/>
        <v>4.3758918189977965E-2</v>
      </c>
      <c r="K108" s="1022">
        <v>2.9632486726861491E-2</v>
      </c>
      <c r="L108" s="1023">
        <v>7.9263579721861269E-3</v>
      </c>
      <c r="M108" s="1023"/>
      <c r="N108" s="1024">
        <f>INDEX(AESC!$H$184:$H$216,MATCH(I108,AESC!$B$184:$B$216,0))</f>
        <v>1.0885030115710697E-2</v>
      </c>
    </row>
    <row r="109" spans="1:17" s="466" customFormat="1">
      <c r="A109" s="1015">
        <f t="shared" si="21"/>
        <v>7</v>
      </c>
      <c r="B109" s="1016">
        <f t="shared" si="19"/>
        <v>2030</v>
      </c>
      <c r="C109" s="1017">
        <f t="shared" si="20"/>
        <v>6.4889439619057784E-2</v>
      </c>
      <c r="D109" s="1485">
        <f t="shared" si="17"/>
        <v>1.0497809538844858E-2</v>
      </c>
      <c r="E109" s="1018">
        <f>NPV(realdiscrt1,C$103:C109)/(1+realdiscrt1)^-Half_Year</f>
        <v>0.38786806868483731</v>
      </c>
      <c r="F109" s="1018">
        <f>NPV(realdiscrt1,D$103:D109)/(1+realdiscrt1)^-Half_Year</f>
        <v>6.6029223360971293E-2</v>
      </c>
      <c r="G109" s="1019" t="str">
        <f t="shared" si="18"/>
        <v>2024-Top 20 Summer Hours-7</v>
      </c>
      <c r="I109" s="1020">
        <v>2024</v>
      </c>
      <c r="J109" s="1021">
        <f t="shared" si="22"/>
        <v>4.8922206399197289E-2</v>
      </c>
      <c r="K109" s="1022">
        <v>3.6504258228521873E-2</v>
      </c>
      <c r="L109" s="1023">
        <v>9.6963101655574892E-3</v>
      </c>
      <c r="M109" s="1023"/>
      <c r="N109" s="1024">
        <f>INDEX(AESC!$H$184:$H$216,MATCH(I109,AESC!$B$184:$B$216,0))</f>
        <v>8.7940810299941326E-3</v>
      </c>
    </row>
    <row r="110" spans="1:17" s="996" customFormat="1" ht="15" customHeight="1">
      <c r="A110" s="1015">
        <f t="shared" si="21"/>
        <v>8</v>
      </c>
      <c r="B110" s="1016">
        <f t="shared" si="19"/>
        <v>2031</v>
      </c>
      <c r="C110" s="1017">
        <f t="shared" si="20"/>
        <v>6.7179755284132531E-2</v>
      </c>
      <c r="D110" s="1485">
        <f t="shared" si="17"/>
        <v>9.6429630025085186E-3</v>
      </c>
      <c r="E110" s="1018">
        <f>NPV(realdiscrt1,C$103:C110)/(1+realdiscrt1)^-Half_Year</f>
        <v>0.44855683513493644</v>
      </c>
      <c r="F110" s="1018">
        <f>NPV(realdiscrt1,D$103:D110)/(1+realdiscrt1)^-Half_Year</f>
        <v>7.4740471668903297E-2</v>
      </c>
      <c r="G110" s="1019" t="str">
        <f t="shared" si="18"/>
        <v>2024-Top 20 Summer Hours-8</v>
      </c>
      <c r="H110" s="466"/>
      <c r="I110" s="1020">
        <v>2025</v>
      </c>
      <c r="J110" s="1021">
        <f t="shared" si="22"/>
        <v>4.7837739727669797E-2</v>
      </c>
      <c r="K110" s="1022">
        <v>3.7371160941480457E-2</v>
      </c>
      <c r="L110" s="1023">
        <v>9.7659117282683141E-3</v>
      </c>
      <c r="M110" s="1023"/>
      <c r="N110" s="1024">
        <f>INDEX(AESC!$H$184:$H$216,MATCH(I110,AESC!$B$184:$B$216,0))</f>
        <v>6.923042510065645E-3</v>
      </c>
    </row>
    <row r="111" spans="1:17" s="466" customFormat="1">
      <c r="A111" s="1015">
        <f t="shared" si="21"/>
        <v>9</v>
      </c>
      <c r="B111" s="1016">
        <f t="shared" si="19"/>
        <v>2032</v>
      </c>
      <c r="C111" s="1017">
        <f t="shared" si="20"/>
        <v>6.7048698749783073E-2</v>
      </c>
      <c r="D111" s="1485">
        <f t="shared" si="17"/>
        <v>9.446245461517221E-3</v>
      </c>
      <c r="E111" s="1018">
        <f>NPV(realdiscrt1,C$103:C111)/(1+realdiscrt1)^-Half_Year</f>
        <v>0.50831210774700075</v>
      </c>
      <c r="F111" s="1018">
        <f>NPV(realdiscrt1,D$103:D111)/(1+realdiscrt1)^-Half_Year</f>
        <v>8.315917304922299E-2</v>
      </c>
      <c r="G111" s="1019" t="str">
        <f t="shared" si="18"/>
        <v>2024-Top 20 Summer Hours-9</v>
      </c>
      <c r="H111" s="1018"/>
      <c r="I111" s="1020">
        <v>2026</v>
      </c>
      <c r="J111" s="1021">
        <f t="shared" si="22"/>
        <v>4.5750095132623673E-2</v>
      </c>
      <c r="K111" s="1022">
        <v>3.5894722109728792E-2</v>
      </c>
      <c r="L111" s="1023">
        <v>9.1579250874066712E-3</v>
      </c>
      <c r="M111" s="1023"/>
      <c r="N111" s="1024">
        <f>INDEX(AESC!$H$184:$H$216,MATCH(I111,AESC!$B$184:$B$216,0))</f>
        <v>6.4664770871449753E-3</v>
      </c>
    </row>
    <row r="112" spans="1:17" s="466" customFormat="1">
      <c r="A112" s="1015">
        <f t="shared" si="21"/>
        <v>10</v>
      </c>
      <c r="B112" s="1016">
        <f t="shared" si="19"/>
        <v>2033</v>
      </c>
      <c r="C112" s="1017">
        <f t="shared" si="20"/>
        <v>6.6524430164842274E-2</v>
      </c>
      <c r="D112" s="1485">
        <f t="shared" si="17"/>
        <v>8.3164601816665216E-3</v>
      </c>
      <c r="E112" s="1018">
        <f>NPV(realdiscrt1,C$103:C112)/(1+realdiscrt1)^-Half_Year</f>
        <v>0.5668022970853458</v>
      </c>
      <c r="F112" s="1018">
        <f>NPV(realdiscrt1,D$103:D112)/(1+realdiscrt1)^-Half_Year</f>
        <v>9.0471243659149964E-2</v>
      </c>
      <c r="G112" s="1019" t="str">
        <f t="shared" si="18"/>
        <v>2024-Top 20 Summer Hours-10</v>
      </c>
      <c r="I112" s="1020">
        <v>2027</v>
      </c>
      <c r="J112" s="1021">
        <f t="shared" si="22"/>
        <v>4.6586951983994963E-2</v>
      </c>
      <c r="K112" s="1022">
        <v>3.7050334312315525E-2</v>
      </c>
      <c r="L112" s="1023">
        <v>8.7397476999898586E-3</v>
      </c>
      <c r="M112" s="1023"/>
      <c r="N112" s="1024">
        <f>INDEX(AESC!$H$184:$H$216,MATCH(I112,AESC!$B$184:$B$216,0))</f>
        <v>6.0857323395316605E-3</v>
      </c>
    </row>
    <row r="113" spans="1:14" s="466" customFormat="1">
      <c r="A113" s="1015">
        <f t="shared" si="21"/>
        <v>11</v>
      </c>
      <c r="B113" s="1016">
        <f t="shared" si="19"/>
        <v>2034</v>
      </c>
      <c r="C113" s="1017">
        <f t="shared" si="20"/>
        <v>7.0570455983865146E-2</v>
      </c>
      <c r="D113" s="1485">
        <f t="shared" si="17"/>
        <v>5.7127840803761817E-3</v>
      </c>
      <c r="E113" s="1018">
        <f>NPV(realdiscrt1,C$103:C113)/(1+realdiscrt1)^-Half_Year</f>
        <v>0.62801488959136953</v>
      </c>
      <c r="F113" s="1018">
        <f>NPV(realdiscrt1,D$103:D113)/(1+realdiscrt1)^-Half_Year</f>
        <v>9.5426494679023213E-2</v>
      </c>
      <c r="G113" s="1019" t="str">
        <f t="shared" si="18"/>
        <v>2024-Top 20 Summer Hours-11</v>
      </c>
      <c r="H113" s="996"/>
      <c r="I113" s="1020">
        <v>2028</v>
      </c>
      <c r="J113" s="1021">
        <f t="shared" si="22"/>
        <v>4.6305604237974113E-2</v>
      </c>
      <c r="K113" s="1022">
        <v>3.7244696282274295E-2</v>
      </c>
      <c r="L113" s="1023">
        <v>8.02806179807437E-3</v>
      </c>
      <c r="M113" s="1023"/>
      <c r="N113" s="1024">
        <f>INDEX(AESC!$H$184:$H$216,MATCH(I113,AESC!$B$184:$B$216,0))</f>
        <v>5.6308631973313586E-3</v>
      </c>
    </row>
    <row r="114" spans="1:14" s="466" customFormat="1">
      <c r="A114" s="1015">
        <f t="shared" si="21"/>
        <v>12</v>
      </c>
      <c r="B114" s="1016">
        <f t="shared" si="19"/>
        <v>2035</v>
      </c>
      <c r="C114" s="1017">
        <f t="shared" si="20"/>
        <v>7.5187735694628735E-2</v>
      </c>
      <c r="D114" s="1485">
        <f t="shared" si="17"/>
        <v>0</v>
      </c>
      <c r="E114" s="1018">
        <f>NPV(realdiscrt1,C$103:C114)/(1+realdiscrt1)^-Half_Year</f>
        <v>0.69235485773431293</v>
      </c>
      <c r="F114" s="1018">
        <f>NPV(realdiscrt1,D$103:D114)/(1+realdiscrt1)^-Half_Year</f>
        <v>9.5426494679023213E-2</v>
      </c>
      <c r="G114" s="1019" t="str">
        <f t="shared" si="18"/>
        <v>2024-Top 20 Summer Hours-12</v>
      </c>
      <c r="I114" s="1020">
        <v>2029</v>
      </c>
      <c r="J114" s="1021">
        <f t="shared" si="22"/>
        <v>4.9293375290116147E-2</v>
      </c>
      <c r="K114" s="1022">
        <v>4.0282570426246993E-2</v>
      </c>
      <c r="L114" s="1040">
        <v>7.8642884251564679E-3</v>
      </c>
      <c r="M114" s="1040"/>
      <c r="N114" s="1024">
        <f>INDEX(AESC!$H$184:$H$216,MATCH(I114,AESC!$B$184:$B$216,0))</f>
        <v>5.3594437312679526E-3</v>
      </c>
    </row>
    <row r="115" spans="1:14" s="466" customFormat="1">
      <c r="A115" s="1015">
        <f t="shared" si="21"/>
        <v>13</v>
      </c>
      <c r="B115" s="1016">
        <f t="shared" si="19"/>
        <v>2036</v>
      </c>
      <c r="C115" s="1017">
        <f t="shared" si="20"/>
        <v>7.7700872116165179E-2</v>
      </c>
      <c r="D115" s="1485">
        <f t="shared" si="17"/>
        <v>0</v>
      </c>
      <c r="E115" s="1018">
        <f>NPV(realdiscrt1,C$103:C115)/(1+realdiscrt1)^-Half_Year</f>
        <v>0.75795060961963379</v>
      </c>
      <c r="F115" s="1018">
        <f>NPV(realdiscrt1,D$103:D115)/(1+realdiscrt1)^-Half_Year</f>
        <v>9.5426494679023213E-2</v>
      </c>
      <c r="G115" s="1019" t="str">
        <f t="shared" si="18"/>
        <v>2024-Top 20 Summer Hours-13</v>
      </c>
      <c r="I115" s="1020">
        <v>2030</v>
      </c>
      <c r="J115" s="1021">
        <f t="shared" si="22"/>
        <v>5.4022444259995091E-2</v>
      </c>
      <c r="K115" s="1022">
        <v>4.1872689055248928E-2</v>
      </c>
      <c r="L115" s="1040">
        <v>6.9237076054606229E-3</v>
      </c>
      <c r="M115" s="1040"/>
      <c r="N115" s="1024">
        <f>INDEX(AESC!$H$184:$H$216,MATCH(I115,AESC!$B$184:$B$216,0))</f>
        <v>8.1480926669687433E-3</v>
      </c>
    </row>
    <row r="116" spans="1:14" s="466" customFormat="1">
      <c r="A116" s="1015">
        <f t="shared" si="21"/>
        <v>14</v>
      </c>
      <c r="B116" s="1016">
        <f t="shared" si="19"/>
        <v>2037</v>
      </c>
      <c r="C116" s="1017">
        <f t="shared" si="20"/>
        <v>8.0478815303128851E-2</v>
      </c>
      <c r="D116" s="1485">
        <f t="shared" si="17"/>
        <v>0</v>
      </c>
      <c r="E116" s="1018">
        <f>NPV(realdiscrt1,C$103:C116)/(1+realdiscrt1)^-Half_Year</f>
        <v>0.82497723919461585</v>
      </c>
      <c r="F116" s="1018">
        <f>NPV(realdiscrt1,D$103:D116)/(1+realdiscrt1)^-Half_Year</f>
        <v>9.5426494679023213E-2</v>
      </c>
      <c r="G116" s="1019" t="str">
        <f t="shared" si="18"/>
        <v>2024-Top 20 Summer Hours-14</v>
      </c>
      <c r="I116" s="1020">
        <v>2031</v>
      </c>
      <c r="J116" s="1021">
        <f t="shared" si="22"/>
        <v>5.5929202140486259E-2</v>
      </c>
      <c r="K116" s="1022">
        <v>4.388459721130096E-2</v>
      </c>
      <c r="L116" s="1040">
        <v>4.7560675722166275E-3</v>
      </c>
      <c r="M116" s="1040"/>
      <c r="N116" s="1024">
        <f>INDEX(AESC!$H$184:$H$216,MATCH(I116,AESC!$B$184:$B$216,0))</f>
        <v>7.901701066927053E-3</v>
      </c>
    </row>
    <row r="117" spans="1:14" s="466" customFormat="1">
      <c r="A117" s="1015">
        <f t="shared" si="21"/>
        <v>15</v>
      </c>
      <c r="B117" s="1016">
        <f t="shared" si="19"/>
        <v>2038</v>
      </c>
      <c r="C117" s="1017">
        <f t="shared" si="20"/>
        <v>8.3515834063506336E-2</v>
      </c>
      <c r="D117" s="1485">
        <f t="shared" si="17"/>
        <v>0</v>
      </c>
      <c r="E117" s="1018">
        <f>NPV(realdiscrt1,C$103:C117)/(1+realdiscrt1)^-Half_Year</f>
        <v>0.89359722363371696</v>
      </c>
      <c r="F117" s="1018">
        <f>NPV(realdiscrt1,D$103:D117)/(1+realdiscrt1)^-Half_Year</f>
        <v>9.5426494679023213E-2</v>
      </c>
      <c r="G117" s="1019" t="str">
        <f t="shared" si="18"/>
        <v>2024-Top 20 Summer Hours-15</v>
      </c>
      <c r="I117" s="1020">
        <v>2032</v>
      </c>
      <c r="J117" s="1021">
        <f t="shared" si="22"/>
        <v>5.582009356498667E-2</v>
      </c>
      <c r="K117" s="1022">
        <v>4.4012851962131228E-2</v>
      </c>
      <c r="L117" s="1040">
        <v>0</v>
      </c>
      <c r="M117" s="1040"/>
      <c r="N117" s="1024">
        <f>INDEX(AESC!$H$184:$H$216,MATCH(I117,AESC!$B$184:$B$216,0))</f>
        <v>7.6724198573008698E-3</v>
      </c>
    </row>
    <row r="118" spans="1:14" s="466" customFormat="1">
      <c r="A118" s="1015">
        <f t="shared" si="21"/>
        <v>16</v>
      </c>
      <c r="B118" s="1016">
        <f t="shared" si="19"/>
        <v>2039</v>
      </c>
      <c r="C118" s="1017">
        <f t="shared" si="20"/>
        <v>8.6808305929443816E-2</v>
      </c>
      <c r="D118" s="1485">
        <f t="shared" si="17"/>
        <v>0</v>
      </c>
      <c r="E118" s="1018">
        <f>NPV(realdiscrt1,C$103:C118)/(1+realdiscrt1)^-Half_Year</f>
        <v>0.96396260717423998</v>
      </c>
      <c r="F118" s="1018">
        <f>NPV(realdiscrt1,D$103:D118)/(1+realdiscrt1)^-Half_Year</f>
        <v>9.5426494679023213E-2</v>
      </c>
      <c r="G118" s="1019" t="str">
        <f t="shared" si="18"/>
        <v>2024-Top 20 Summer Hours-16</v>
      </c>
      <c r="I118" s="1020">
        <v>2033</v>
      </c>
      <c r="J118" s="1021">
        <f t="shared" si="22"/>
        <v>5.5383623924109809E-2</v>
      </c>
      <c r="K118" s="1022">
        <v>4.6721391364257861E-2</v>
      </c>
      <c r="L118" s="1040">
        <v>0</v>
      </c>
      <c r="M118" s="1040"/>
      <c r="N118" s="1024">
        <f>INDEX(AESC!$H$184:$H$216,MATCH(I118,AESC!$B$184:$B$216,0))</f>
        <v>4.5597418988067746E-3</v>
      </c>
    </row>
    <row r="119" spans="1:14" s="466" customFormat="1">
      <c r="A119" s="1015">
        <f t="shared" si="21"/>
        <v>17</v>
      </c>
      <c r="B119" s="1016">
        <f t="shared" si="19"/>
        <v>2040</v>
      </c>
      <c r="C119" s="1017">
        <f t="shared" si="20"/>
        <v>9.0354511449814462E-2</v>
      </c>
      <c r="D119" s="1485">
        <f t="shared" si="17"/>
        <v>0</v>
      </c>
      <c r="E119" s="1018">
        <f>NPV(realdiscrt1,C$103:C119)/(1+realdiscrt1)^-Half_Year</f>
        <v>1.0362168918593648</v>
      </c>
      <c r="F119" s="1018">
        <f>NPV(realdiscrt1,D$103:D119)/(1+realdiscrt1)^-Half_Year</f>
        <v>9.5426494679023213E-2</v>
      </c>
      <c r="G119" s="1019" t="str">
        <f t="shared" si="18"/>
        <v>2024-Top 20 Summer Hours-17</v>
      </c>
      <c r="I119" s="1020">
        <v>2034</v>
      </c>
      <c r="J119" s="1021">
        <f t="shared" si="22"/>
        <v>5.8752064236830111E-2</v>
      </c>
      <c r="K119" s="1022">
        <v>4.9720523926973091E-2</v>
      </c>
      <c r="L119" s="1040">
        <v>0</v>
      </c>
      <c r="M119" s="1040"/>
      <c r="N119" s="1024">
        <f>INDEX(AESC!$H$184:$H$216,MATCH(I119,AESC!$B$184:$B$216,0))</f>
        <v>4.6795355515733099E-3</v>
      </c>
    </row>
    <row r="120" spans="1:14" s="466" customFormat="1">
      <c r="A120" s="1015">
        <f t="shared" si="21"/>
        <v>18</v>
      </c>
      <c r="B120" s="1016">
        <f t="shared" si="19"/>
        <v>2041</v>
      </c>
      <c r="C120" s="1017">
        <f t="shared" si="20"/>
        <v>9.4154458184916856E-2</v>
      </c>
      <c r="D120" s="1485">
        <f t="shared" si="17"/>
        <v>0</v>
      </c>
      <c r="E120" s="1018">
        <f>NPV(realdiscrt1,C$103:C120)/(1+realdiscrt1)^-Half_Year</f>
        <v>1.1104966768789375</v>
      </c>
      <c r="F120" s="1018">
        <f>NPV(realdiscrt1,D$103:D120)/(1+realdiscrt1)^-Half_Year</f>
        <v>9.5426494679023213E-2</v>
      </c>
      <c r="G120" s="1019" t="str">
        <f t="shared" si="18"/>
        <v>2024-Top 20 Summer Hours-18</v>
      </c>
      <c r="I120" s="1020">
        <v>2035</v>
      </c>
      <c r="J120" s="1021">
        <f t="shared" si="22"/>
        <v>6.2596090896204645E-2</v>
      </c>
      <c r="K120" s="1022">
        <v>5.3111709351453019E-2</v>
      </c>
      <c r="L120" s="1040">
        <v>0</v>
      </c>
      <c r="M120" s="1040"/>
      <c r="N120" s="1024">
        <f>INDEX(AESC!$H$184:$H$216,MATCH(I120,AESC!$B$184:$B$216,0))</f>
        <v>4.8476340709586799E-3</v>
      </c>
    </row>
    <row r="121" spans="1:14" s="466" customFormat="1">
      <c r="A121" s="1015">
        <f t="shared" si="21"/>
        <v>19</v>
      </c>
      <c r="B121" s="1016">
        <f t="shared" si="19"/>
        <v>2042</v>
      </c>
      <c r="C121" s="1017">
        <f t="shared" si="20"/>
        <v>9.8209730728742603E-2</v>
      </c>
      <c r="D121" s="1485">
        <f t="shared" si="17"/>
        <v>0</v>
      </c>
      <c r="E121" s="1018">
        <f>NPV(realdiscrt1,C$103:C121)/(1+realdiscrt1)^-Half_Year</f>
        <v>1.1869330823524322</v>
      </c>
      <c r="F121" s="1018">
        <f>NPV(realdiscrt1,D$103:D121)/(1+realdiscrt1)^-Half_Year</f>
        <v>9.5426494679023213E-2</v>
      </c>
      <c r="G121" s="1019" t="str">
        <f t="shared" si="18"/>
        <v>2024-Top 20 Summer Hours-19</v>
      </c>
      <c r="I121" s="1020">
        <v>2036</v>
      </c>
      <c r="J121" s="1021">
        <f t="shared" si="22"/>
        <v>6.4688353875315685E-2</v>
      </c>
      <c r="K121" s="1022">
        <v>5.5673809657717684E-2</v>
      </c>
      <c r="L121" s="1040">
        <v>0</v>
      </c>
      <c r="M121" s="1040"/>
      <c r="N121" s="1024">
        <f>INDEX(AESC!$H$184:$H$216,MATCH(I121,AESC!$B$184:$B$216,0))</f>
        <v>4.2228143009079497E-3</v>
      </c>
    </row>
    <row r="122" spans="1:14" s="466" customFormat="1">
      <c r="A122" s="1015">
        <f t="shared" si="21"/>
        <v>20</v>
      </c>
      <c r="B122" s="1016">
        <f t="shared" si="19"/>
        <v>2043</v>
      </c>
      <c r="C122" s="1017">
        <f t="shared" si="20"/>
        <v>0.10252336356529039</v>
      </c>
      <c r="D122" s="1485">
        <f t="shared" si="17"/>
        <v>0</v>
      </c>
      <c r="E122" s="1018">
        <f>NPV(realdiscrt1,C$103:C122)/(1+realdiscrt1)^-Half_Year</f>
        <v>1.2656529883751311</v>
      </c>
      <c r="F122" s="1018">
        <f>NPV(realdiscrt1,D$103:D122)/(1+realdiscrt1)^-Half_Year</f>
        <v>9.5426494679023213E-2</v>
      </c>
      <c r="G122" s="1019" t="str">
        <f t="shared" si="18"/>
        <v>2024-Top 20 Summer Hours-20</v>
      </c>
      <c r="I122" s="1020">
        <v>2037</v>
      </c>
      <c r="J122" s="1021">
        <f t="shared" si="22"/>
        <v>6.7001076590385997E-2</v>
      </c>
      <c r="K122" s="1022">
        <v>5.8359505270168477E-2</v>
      </c>
      <c r="L122" s="1040">
        <v>0</v>
      </c>
      <c r="M122" s="1040"/>
      <c r="N122" s="1024">
        <f>INDEX(AESC!$H$184:$H$216,MATCH(I122,AESC!$B$184:$B$216,0))</f>
        <v>3.6785286098185554E-3</v>
      </c>
    </row>
    <row r="123" spans="1:14" s="466" customFormat="1">
      <c r="A123" s="1015">
        <f t="shared" si="21"/>
        <v>21</v>
      </c>
      <c r="B123" s="1016">
        <f t="shared" si="19"/>
        <v>2044</v>
      </c>
      <c r="C123" s="1017">
        <f t="shared" si="20"/>
        <v>0.10709973398479972</v>
      </c>
      <c r="D123" s="1485">
        <f t="shared" si="17"/>
        <v>0</v>
      </c>
      <c r="E123" s="1018">
        <f>NPV(realdiscrt1,C$103:C123)/(1+realdiscrt1)^-Half_Year</f>
        <v>1.3467801158321029</v>
      </c>
      <c r="F123" s="1018">
        <f>NPV(realdiscrt1,D$103:D123)/(1+realdiscrt1)^-Half_Year</f>
        <v>9.5426494679023213E-2</v>
      </c>
      <c r="G123" s="1019" t="str">
        <f t="shared" si="18"/>
        <v>2024-Top 20 Summer Hours-21</v>
      </c>
      <c r="I123" s="1020">
        <v>2038</v>
      </c>
      <c r="J123" s="1021">
        <f t="shared" si="22"/>
        <v>6.9529487648675767E-2</v>
      </c>
      <c r="K123" s="1022">
        <v>6.1174758406472629E-2</v>
      </c>
      <c r="L123" s="1040">
        <v>0</v>
      </c>
      <c r="M123" s="1040"/>
      <c r="N123" s="1024">
        <f>INDEX(AESC!$H$184:$H$216,MATCH(I123,AESC!$B$184:$B$216,0))</f>
        <v>3.2043968237827087E-3</v>
      </c>
    </row>
    <row r="124" spans="1:14" s="466" customFormat="1">
      <c r="A124" s="1015">
        <f t="shared" si="21"/>
        <v>22</v>
      </c>
      <c r="B124" s="1016">
        <f t="shared" si="19"/>
        <v>2045</v>
      </c>
      <c r="C124" s="1017">
        <f t="shared" si="20"/>
        <v>0.11194447265149124</v>
      </c>
      <c r="D124" s="1485">
        <f t="shared" si="17"/>
        <v>0</v>
      </c>
      <c r="E124" s="1018">
        <f>NPV(realdiscrt1,C$103:C124)/(1+realdiscrt1)^-Half_Year</f>
        <v>1.4304359717756654</v>
      </c>
      <c r="F124" s="1018">
        <f>NPV(realdiscrt1,D$103:D124)/(1+realdiscrt1)^-Half_Year</f>
        <v>9.5426494679023213E-2</v>
      </c>
      <c r="G124" s="1019" t="str">
        <f t="shared" si="18"/>
        <v>2024-Top 20 Summer Hours-22</v>
      </c>
      <c r="I124" s="1020">
        <v>2039</v>
      </c>
      <c r="J124" s="1021">
        <f t="shared" si="22"/>
        <v>7.2270571234840236E-2</v>
      </c>
      <c r="K124" s="1022">
        <v>6.4125818900717529E-2</v>
      </c>
      <c r="L124" s="1040">
        <v>0</v>
      </c>
      <c r="M124" s="1040"/>
      <c r="N124" s="1024">
        <f>INDEX(AESC!$H$184:$H$216,MATCH(I124,AESC!$B$184:$B$216,0))</f>
        <v>2.7913766870975056E-3</v>
      </c>
    </row>
    <row r="125" spans="1:14" s="466" customFormat="1">
      <c r="A125" s="1015">
        <f t="shared" si="21"/>
        <v>23</v>
      </c>
      <c r="B125" s="1016">
        <f t="shared" si="19"/>
        <v>2046</v>
      </c>
      <c r="C125" s="1017">
        <f t="shared" si="20"/>
        <v>0.1170643897333708</v>
      </c>
      <c r="D125" s="1485">
        <f t="shared" si="17"/>
        <v>0</v>
      </c>
      <c r="E125" s="1018">
        <f>NPV(realdiscrt1,C$103:C125)/(1+realdiscrt1)^-Half_Year</f>
        <v>1.5167406789752536</v>
      </c>
      <c r="F125" s="1018">
        <f>NPV(realdiscrt1,D$103:D125)/(1+realdiscrt1)^-Half_Year</f>
        <v>9.5426494679023213E-2</v>
      </c>
      <c r="G125" s="1019" t="str">
        <f t="shared" si="18"/>
        <v>2024-Top 20 Summer Hours-23</v>
      </c>
      <c r="I125" s="1020">
        <v>2040</v>
      </c>
      <c r="J125" s="1021">
        <f t="shared" si="22"/>
        <v>7.5222895853196858E-2</v>
      </c>
      <c r="K125" s="1022">
        <v>6.7219238077980484E-2</v>
      </c>
      <c r="L125" s="1040">
        <v>0</v>
      </c>
      <c r="M125" s="1040"/>
      <c r="N125" s="1024">
        <f>INDEX(AESC!$H$184:$H$216,MATCH(I125,AESC!$B$184:$B$216,0))</f>
        <v>2.4315914157203053E-3</v>
      </c>
    </row>
    <row r="126" spans="1:14" s="466" customFormat="1">
      <c r="A126" s="1015">
        <f t="shared" si="21"/>
        <v>24</v>
      </c>
      <c r="B126" s="1016">
        <f t="shared" si="19"/>
        <v>2047</v>
      </c>
      <c r="C126" s="1017">
        <f t="shared" si="20"/>
        <v>0.12246741478292357</v>
      </c>
      <c r="D126" s="1485">
        <f t="shared" si="17"/>
        <v>0</v>
      </c>
      <c r="E126" s="1018">
        <f>NPV(realdiscrt1,C$103:C126)/(1+realdiscrt1)^-Half_Year</f>
        <v>1.6058137065105964</v>
      </c>
      <c r="F126" s="1018">
        <f>NPV(realdiscrt1,D$103:D126)/(1+realdiscrt1)^-Half_Year</f>
        <v>9.5426494679023213E-2</v>
      </c>
      <c r="G126" s="1019" t="str">
        <f t="shared" si="18"/>
        <v>2024-Top 20 Summer Hours-24</v>
      </c>
      <c r="I126" s="1020">
        <v>2041</v>
      </c>
      <c r="J126" s="1021">
        <f t="shared" si="22"/>
        <v>7.8386467797925574E-2</v>
      </c>
      <c r="K126" s="1022">
        <v>7.0461883298205533E-2</v>
      </c>
      <c r="L126" s="1040">
        <v>0</v>
      </c>
      <c r="M126" s="1040"/>
      <c r="N126" s="1024">
        <f>INDEX(AESC!$H$184:$H$216,MATCH(I126,AESC!$B$184:$B$216,0))</f>
        <v>2.1181794776514674E-3</v>
      </c>
    </row>
    <row r="127" spans="1:14" s="466" customFormat="1">
      <c r="A127" s="1015">
        <f t="shared" si="21"/>
        <v>25</v>
      </c>
      <c r="B127" s="1016">
        <f t="shared" si="19"/>
        <v>2048</v>
      </c>
      <c r="C127" s="1017">
        <f t="shared" si="20"/>
        <v>0.12816254880035968</v>
      </c>
      <c r="D127" s="1485">
        <f t="shared" si="17"/>
        <v>0</v>
      </c>
      <c r="E127" s="1018">
        <f>NPV(realdiscrt1,C$103:C127)/(1+realdiscrt1)^-Half_Year</f>
        <v>1.6977745159267366</v>
      </c>
      <c r="F127" s="1018">
        <f>NPV(realdiscrt1,D$103:D127)/(1+realdiscrt1)^-Half_Year</f>
        <v>9.5426494679023213E-2</v>
      </c>
      <c r="G127" s="1019" t="str">
        <f t="shared" si="18"/>
        <v>2024-Top 20 Summer Hours-25</v>
      </c>
      <c r="I127" s="1020">
        <v>2042</v>
      </c>
      <c r="J127" s="1021">
        <f t="shared" si="22"/>
        <v>8.1762606292016884E-2</v>
      </c>
      <c r="K127" s="1022">
        <v>7.3860953201674545E-2</v>
      </c>
      <c r="L127" s="1040">
        <v>0</v>
      </c>
      <c r="M127" s="1040"/>
      <c r="N127" s="1024">
        <f>INDEX(AESC!$H$184:$H$216,MATCH(I127,AESC!$B$184:$B$216,0))</f>
        <v>1.8451637353781175E-3</v>
      </c>
    </row>
    <row r="128" spans="1:14" s="466" customFormat="1">
      <c r="A128" s="1015">
        <f t="shared" si="21"/>
        <v>26</v>
      </c>
      <c r="B128" s="1016">
        <f t="shared" si="19"/>
        <v>2049</v>
      </c>
      <c r="C128" s="1017">
        <f t="shared" si="20"/>
        <v>0.13415982712306102</v>
      </c>
      <c r="D128" s="1485">
        <f t="shared" si="17"/>
        <v>0</v>
      </c>
      <c r="E128" s="1018">
        <f>NPV(realdiscrt1,C$103:C128)/(1+realdiscrt1)^-Half_Year</f>
        <v>1.7927431354485395</v>
      </c>
      <c r="F128" s="1018">
        <f>NPV(realdiscrt1,D$103:D128)/(1+realdiscrt1)^-Half_Year</f>
        <v>9.5426494679023213E-2</v>
      </c>
      <c r="G128" s="1019" t="str">
        <f t="shared" si="18"/>
        <v>2024-Top 20 Summer Hours-26</v>
      </c>
      <c r="I128" s="1020">
        <v>2043</v>
      </c>
      <c r="J128" s="1021">
        <f t="shared" si="22"/>
        <v>8.5353837636262406E-2</v>
      </c>
      <c r="K128" s="1022">
        <v>7.7423993689917328E-2</v>
      </c>
      <c r="L128" s="1040">
        <v>0</v>
      </c>
      <c r="M128" s="1040"/>
      <c r="N128" s="1024">
        <f>INDEX(AESC!$H$184:$H$216,MATCH(I128,AESC!$B$184:$B$216,0))</f>
        <v>1.6073374547700802E-3</v>
      </c>
    </row>
    <row r="129" spans="1:14" s="466" customFormat="1">
      <c r="A129" s="1015">
        <f t="shared" si="21"/>
        <v>27</v>
      </c>
      <c r="B129" s="1016">
        <f t="shared" si="19"/>
        <v>2050</v>
      </c>
      <c r="C129" s="1017">
        <f t="shared" si="20"/>
        <v>0.14047029197001962</v>
      </c>
      <c r="D129" s="1485">
        <f t="shared" si="17"/>
        <v>0</v>
      </c>
      <c r="E129" s="1018">
        <f>NPV(realdiscrt1,C$103:C129)/(1+realdiscrt1)^-Half_Year</f>
        <v>1.8908406730162894</v>
      </c>
      <c r="F129" s="1018">
        <f>NPV(realdiscrt1,D$103:D129)/(1+realdiscrt1)^-Half_Year</f>
        <v>9.5426494679023213E-2</v>
      </c>
      <c r="G129" s="1019" t="str">
        <f t="shared" si="18"/>
        <v>2024-Top 20 Summer Hours-27</v>
      </c>
      <c r="I129" s="1020">
        <v>2044</v>
      </c>
      <c r="J129" s="1021">
        <f t="shared" si="22"/>
        <v>8.9163806058742412E-2</v>
      </c>
      <c r="K129" s="1022">
        <v>8.1158914677538371E-2</v>
      </c>
      <c r="L129" s="1040">
        <v>0</v>
      </c>
      <c r="M129" s="1040"/>
      <c r="N129" s="1024">
        <f>INDEX(AESC!$H$184:$H$216,MATCH(I129,AESC!$B$184:$B$216,0))</f>
        <v>1.4001650064823829E-3</v>
      </c>
    </row>
    <row r="130" spans="1:14" s="466" customFormat="1" ht="20.25">
      <c r="A130" s="975">
        <f>Year2</f>
        <v>2025</v>
      </c>
      <c r="B130" s="976" t="str">
        <f>Year2&amp;"$"</f>
        <v>2025$</v>
      </c>
      <c r="C130" s="1046"/>
      <c r="D130" s="1480" t="s">
        <v>993</v>
      </c>
      <c r="E130" s="1481">
        <f>A130</f>
        <v>2025</v>
      </c>
      <c r="F130" s="1482" t="s">
        <v>992</v>
      </c>
      <c r="G130" s="1047"/>
      <c r="I130" s="1020">
        <v>2045</v>
      </c>
      <c r="J130" s="1021">
        <f t="shared" si="22"/>
        <v>9.3197199259732827E-2</v>
      </c>
      <c r="K130" s="1022">
        <v>8.507400765214887E-2</v>
      </c>
      <c r="L130" s="1040">
        <v>0</v>
      </c>
      <c r="M130" s="1040"/>
      <c r="N130" s="1024">
        <f>INDEX(AESC!$H$184:$H$216,MATCH(I130,AESC!$B$184:$B$216,0))</f>
        <v>1.219695366122258E-3</v>
      </c>
    </row>
    <row r="131" spans="1:14" s="466" customFormat="1">
      <c r="A131" s="1015">
        <v>1</v>
      </c>
      <c r="B131" s="1016">
        <f>Year2</f>
        <v>2025</v>
      </c>
      <c r="C131" s="1017">
        <f t="shared" ref="C131:C155" si="23">VLOOKUP($B131,$I$103:$N$135,C$12,FALSE)*(1+Inflation2)^(Year2-Real_Year)</f>
        <v>6.1080658392188292E-2</v>
      </c>
      <c r="D131" s="1485">
        <f t="shared" ref="D131:D155" si="24">VLOOKUP($B131-4,$I$103:$N$135,IF($A$17=Year1,D$12,D$12+1),FALSE)*(1+Inflation2)^(Year2-Real_Year)</f>
        <v>6.5242924475699101E-3</v>
      </c>
      <c r="E131" s="1018">
        <f>NPV(realdiscrt2,C131:C$131)/(1+realdiscrt2)^(1-Half_Year)</f>
        <v>5.9851865075499208E-2</v>
      </c>
      <c r="F131" s="1018">
        <f>NPV(realdiscrt2,D131:D$131)/(1+realdiscrt2)^(1-Half_Year)</f>
        <v>6.3930396554958109E-3</v>
      </c>
      <c r="G131" s="1019" t="str">
        <f t="shared" ref="G131:G155" si="25">$A$45&amp;"-"&amp;$A$98&amp;"-"&amp;A131</f>
        <v>2025-Top 20 Summer Hours-1</v>
      </c>
      <c r="I131" s="1020">
        <v>2046</v>
      </c>
      <c r="J131" s="1021">
        <f t="shared" si="22"/>
        <v>9.7459686912506477E-2</v>
      </c>
      <c r="K131" s="1022">
        <v>8.9177964081387201E-2</v>
      </c>
      <c r="L131" s="1040">
        <v>0</v>
      </c>
      <c r="M131" s="1040"/>
      <c r="N131" s="1024">
        <f>INDEX(AESC!$H$184:$H$216,MATCH(I131,AESC!$B$184:$B$216,0))</f>
        <v>1.0624867635262009E-3</v>
      </c>
    </row>
    <row r="132" spans="1:14" s="466" customFormat="1">
      <c r="A132" s="1015">
        <v>2</v>
      </c>
      <c r="B132" s="1016">
        <f t="shared" ref="B132:B155" si="26">B131+1</f>
        <v>2026</v>
      </c>
      <c r="C132" s="1017">
        <f t="shared" si="23"/>
        <v>5.8415091267148E-2</v>
      </c>
      <c r="D132" s="1485">
        <f t="shared" si="24"/>
        <v>9.5055196679786763E-3</v>
      </c>
      <c r="E132" s="1018">
        <f>NPV(realdiscrt2,C$131:C132)/(1+realdiscrt2)^(1-Half_Year)</f>
        <v>0.11632150568945504</v>
      </c>
      <c r="F132" s="1018">
        <f>NPV(realdiscrt2,D$131:D132)/(1+realdiscrt2)^(1-Half_Year)</f>
        <v>1.558198839897779E-2</v>
      </c>
      <c r="G132" s="1019" t="str">
        <f t="shared" si="25"/>
        <v>2025-Top 20 Summer Hours-2</v>
      </c>
      <c r="I132" s="1020">
        <v>2047</v>
      </c>
      <c r="J132" s="1021">
        <f t="shared" si="22"/>
        <v>0.10195787061217117</v>
      </c>
      <c r="K132" s="1022">
        <v>9.3479894707890948E-2</v>
      </c>
      <c r="L132" s="1040">
        <v>0</v>
      </c>
      <c r="M132" s="1040"/>
      <c r="N132" s="1024">
        <f>INDEX(AESC!$H$184:$H$216,MATCH(I132,AESC!$B$184:$B$216,0))</f>
        <v>9.255410441193939E-4</v>
      </c>
    </row>
    <row r="133" spans="1:14" s="466" customFormat="1">
      <c r="A133" s="1015">
        <f t="shared" ref="A133:A155" si="27">A132+1</f>
        <v>3</v>
      </c>
      <c r="B133" s="1016">
        <f t="shared" si="26"/>
        <v>2027</v>
      </c>
      <c r="C133" s="1017">
        <f t="shared" si="23"/>
        <v>5.948361515127721E-2</v>
      </c>
      <c r="D133" s="1485">
        <f t="shared" si="24"/>
        <v>1.0120611181662161E-2</v>
      </c>
      <c r="E133" s="1018">
        <f>NPV(realdiscrt2,C$131:C133)/(1+realdiscrt2)^(1-Half_Year)</f>
        <v>0.17305026756820041</v>
      </c>
      <c r="F133" s="1018">
        <f>NPV(realdiscrt2,D$131:D133)/(1+realdiscrt2)^(1-Half_Year)</f>
        <v>2.5233885653907037E-2</v>
      </c>
      <c r="G133" s="1019" t="str">
        <f t="shared" si="25"/>
        <v>2025-Top 20 Summer Hours-3</v>
      </c>
      <c r="I133" s="1020">
        <v>2048</v>
      </c>
      <c r="J133" s="1021">
        <f t="shared" si="22"/>
        <v>0.10669924396685466</v>
      </c>
      <c r="K133" s="1022">
        <v>9.7989349775055412E-2</v>
      </c>
      <c r="L133" s="1040">
        <v>0</v>
      </c>
      <c r="M133" s="1040"/>
      <c r="N133" s="1024">
        <f>INDEX(AESC!$H$184:$H$216,MATCH(I133,AESC!$B$184:$B$216,0))</f>
        <v>8.0624649055074406E-4</v>
      </c>
    </row>
    <row r="134" spans="1:14" s="466" customFormat="1">
      <c r="A134" s="1015">
        <f t="shared" si="27"/>
        <v>4</v>
      </c>
      <c r="B134" s="1016">
        <f t="shared" si="26"/>
        <v>2028</v>
      </c>
      <c r="C134" s="1017">
        <f t="shared" si="23"/>
        <v>5.9124381925335895E-2</v>
      </c>
      <c r="D134" s="1485">
        <f t="shared" si="24"/>
        <v>1.2380539136228309E-2</v>
      </c>
      <c r="E134" s="1018">
        <f>NPV(realdiscrt2,C$131:C134)/(1+realdiscrt2)^(1-Half_Year)</f>
        <v>0.22867764037077504</v>
      </c>
      <c r="F134" s="1018">
        <f>NPV(realdiscrt2,D$131:D134)/(1+realdiscrt2)^(1-Half_Year)</f>
        <v>3.6882157375335692E-2</v>
      </c>
      <c r="G134" s="1019" t="str">
        <f t="shared" si="25"/>
        <v>2025-Top 20 Summer Hours-4</v>
      </c>
      <c r="I134" s="1020">
        <v>2049</v>
      </c>
      <c r="J134" s="1021">
        <f t="shared" si="22"/>
        <v>0.1116921617020335</v>
      </c>
      <c r="K134" s="1022">
        <v>0.10271634022847934</v>
      </c>
      <c r="L134" s="1040">
        <v>0</v>
      </c>
      <c r="M134" s="1040"/>
      <c r="N134" s="1024">
        <f>INDEX(AESC!$H$184:$H$216,MATCH(I134,AESC!$B$184:$B$216,0))</f>
        <v>7.0232801414427321E-4</v>
      </c>
    </row>
    <row r="135" spans="1:14" s="466" customFormat="1">
      <c r="A135" s="1015">
        <f t="shared" si="27"/>
        <v>5</v>
      </c>
      <c r="B135" s="1016">
        <f t="shared" si="26"/>
        <v>2029</v>
      </c>
      <c r="C135" s="1017">
        <f t="shared" si="23"/>
        <v>6.2939257461447393E-2</v>
      </c>
      <c r="D135" s="1485">
        <f t="shared" si="24"/>
        <v>1.2469408495435165E-2</v>
      </c>
      <c r="E135" s="1018">
        <f>NPV(realdiscrt2,C$131:C135)/(1+realdiscrt2)^(1-Half_Year)</f>
        <v>0.28709736913010897</v>
      </c>
      <c r="F135" s="1018">
        <f>NPV(realdiscrt2,D$131:D135)/(1+realdiscrt2)^(1-Half_Year)</f>
        <v>4.8456165259665507E-2</v>
      </c>
      <c r="G135" s="1019" t="str">
        <f t="shared" si="25"/>
        <v>2025-Top 20 Summer Hours-5</v>
      </c>
      <c r="I135" s="1025">
        <v>2050</v>
      </c>
      <c r="J135" s="1026">
        <f t="shared" si="22"/>
        <v>0.11694581680293771</v>
      </c>
      <c r="K135" s="1027">
        <v>0.10767135994016505</v>
      </c>
      <c r="L135" s="1028">
        <v>0</v>
      </c>
      <c r="M135" s="1028"/>
      <c r="N135" s="1029">
        <f>INDEX(AESC!$H$184:$H$216,MATCH(I135,AESC!$B$184:$B$216,0))</f>
        <v>6.1180376625874196E-4</v>
      </c>
    </row>
    <row r="136" spans="1:14" s="466" customFormat="1">
      <c r="A136" s="1015">
        <f t="shared" si="27"/>
        <v>6</v>
      </c>
      <c r="B136" s="1016">
        <f t="shared" si="26"/>
        <v>2030</v>
      </c>
      <c r="C136" s="1017">
        <f t="shared" si="23"/>
        <v>6.8977474315058421E-2</v>
      </c>
      <c r="D136" s="1485">
        <f t="shared" si="24"/>
        <v>1.1693112948678717E-2</v>
      </c>
      <c r="E136" s="1018">
        <f>NPV(realdiscrt2,C$131:C136)/(1+realdiscrt2)^(1-Half_Year)</f>
        <v>0.35026014311977915</v>
      </c>
      <c r="F136" s="1018">
        <f>NPV(realdiscrt2,D$131:D136)/(1+realdiscrt2)^(1-Half_Year)</f>
        <v>5.9163565867574451E-2</v>
      </c>
      <c r="G136" s="1019" t="str">
        <f t="shared" si="25"/>
        <v>2025-Top 20 Summer Hours-6</v>
      </c>
    </row>
    <row r="137" spans="1:14" s="466" customFormat="1">
      <c r="A137" s="1015">
        <f t="shared" si="27"/>
        <v>7</v>
      </c>
      <c r="B137" s="1016">
        <f t="shared" si="26"/>
        <v>2031</v>
      </c>
      <c r="C137" s="1017">
        <f t="shared" si="23"/>
        <v>7.1412079867032879E-2</v>
      </c>
      <c r="D137" s="1485">
        <f t="shared" si="24"/>
        <v>1.1159171539792083E-2</v>
      </c>
      <c r="E137" s="1018">
        <f>NPV(realdiscrt2,C$131:C137)/(1+realdiscrt2)^(1-Half_Year)</f>
        <v>0.41477230185623459</v>
      </c>
      <c r="F137" s="1018">
        <f>NPV(realdiscrt2,D$131:D137)/(1+realdiscrt2)^(1-Half_Year)</f>
        <v>6.9244524818536782E-2</v>
      </c>
      <c r="G137" s="1019" t="str">
        <f t="shared" si="25"/>
        <v>2025-Top 20 Summer Hours-7</v>
      </c>
    </row>
    <row r="138" spans="1:14" s="466" customFormat="1">
      <c r="A138" s="1015">
        <f t="shared" si="27"/>
        <v>8</v>
      </c>
      <c r="B138" s="1016">
        <f t="shared" si="26"/>
        <v>2032</v>
      </c>
      <c r="C138" s="1017">
        <f t="shared" si="23"/>
        <v>7.1272766771019402E-2</v>
      </c>
      <c r="D138" s="1485">
        <f t="shared" si="24"/>
        <v>1.0250469671666554E-2</v>
      </c>
      <c r="E138" s="1018">
        <f>NPV(realdiscrt2,C$131:C138)/(1+realdiscrt2)^(1-Half_Year)</f>
        <v>0.47829215664285901</v>
      </c>
      <c r="F138" s="1018">
        <f>NPV(realdiscrt2,D$131:D138)/(1+realdiscrt2)^(1-Half_Year)</f>
        <v>7.8379968474467765E-2</v>
      </c>
      <c r="G138" s="1019" t="str">
        <f t="shared" si="25"/>
        <v>2025-Top 20 Summer Hours-8</v>
      </c>
    </row>
    <row r="139" spans="1:14" s="466" customFormat="1">
      <c r="A139" s="1015">
        <f t="shared" si="27"/>
        <v>9</v>
      </c>
      <c r="B139" s="1016">
        <f t="shared" si="26"/>
        <v>2033</v>
      </c>
      <c r="C139" s="1017">
        <f t="shared" si="23"/>
        <v>7.0715469265227329E-2</v>
      </c>
      <c r="D139" s="1485">
        <f t="shared" si="24"/>
        <v>1.0041358925592806E-2</v>
      </c>
      <c r="E139" s="1018">
        <f>NPV(realdiscrt2,C$131:C139)/(1+realdiscrt2)^(1-Half_Year)</f>
        <v>0.54046722790951973</v>
      </c>
      <c r="F139" s="1018">
        <f>NPV(realdiscrt2,D$131:D139)/(1+realdiscrt2)^(1-Half_Year)</f>
        <v>8.7208619592814354E-2</v>
      </c>
      <c r="G139" s="1019" t="str">
        <f t="shared" si="25"/>
        <v>2025-Top 20 Summer Hours-9</v>
      </c>
    </row>
    <row r="140" spans="1:14" s="466" customFormat="1">
      <c r="A140" s="1015">
        <f t="shared" si="27"/>
        <v>10</v>
      </c>
      <c r="B140" s="1016">
        <f t="shared" si="26"/>
        <v>2034</v>
      </c>
      <c r="C140" s="1017">
        <f t="shared" si="23"/>
        <v>7.5016394710848644E-2</v>
      </c>
      <c r="D140" s="1485">
        <f t="shared" si="24"/>
        <v>8.8403971731115111E-3</v>
      </c>
      <c r="E140" s="1018">
        <f>NPV(realdiscrt2,C$131:C140)/(1+realdiscrt2)^(1-Half_Year)</f>
        <v>0.60553621374342304</v>
      </c>
      <c r="F140" s="1018">
        <f>NPV(realdiscrt2,D$131:D140)/(1+realdiscrt2)^(1-Half_Year)</f>
        <v>9.4876752414186583E-2</v>
      </c>
      <c r="G140" s="1019" t="str">
        <f t="shared" si="25"/>
        <v>2025-Top 20 Summer Hours-10</v>
      </c>
    </row>
    <row r="141" spans="1:14" s="466" customFormat="1">
      <c r="A141" s="1015">
        <f t="shared" si="27"/>
        <v>11</v>
      </c>
      <c r="B141" s="1016">
        <f t="shared" si="26"/>
        <v>2035</v>
      </c>
      <c r="C141" s="1017">
        <f t="shared" si="23"/>
        <v>7.9924563043390337E-2</v>
      </c>
      <c r="D141" s="1485">
        <f t="shared" si="24"/>
        <v>6.0726894774398811E-3</v>
      </c>
      <c r="E141" s="1018">
        <f>NPV(realdiscrt2,C$131:C141)/(1+realdiscrt2)^(1-Half_Year)</f>
        <v>0.67392959987937173</v>
      </c>
      <c r="F141" s="1018">
        <f>NPV(realdiscrt2,D$131:D141)/(1+realdiscrt2)^(1-Half_Year)</f>
        <v>0.10007330001481317</v>
      </c>
      <c r="G141" s="1019" t="str">
        <f t="shared" si="25"/>
        <v>2025-Top 20 Summer Hours-11</v>
      </c>
    </row>
    <row r="142" spans="1:14" s="466" customFormat="1">
      <c r="A142" s="1015">
        <f t="shared" si="27"/>
        <v>12</v>
      </c>
      <c r="B142" s="1016">
        <f t="shared" si="26"/>
        <v>2036</v>
      </c>
      <c r="C142" s="1017">
        <f t="shared" si="23"/>
        <v>8.2596027059483573E-2</v>
      </c>
      <c r="D142" s="1485">
        <f t="shared" si="24"/>
        <v>0</v>
      </c>
      <c r="E142" s="1018">
        <f>NPV(realdiscrt2,C$131:C142)/(1+realdiscrt2)^(1-Half_Year)</f>
        <v>0.74365788413346778</v>
      </c>
      <c r="F142" s="1018">
        <f>NPV(realdiscrt2,D$131:D142)/(1+realdiscrt2)^(1-Half_Year)</f>
        <v>0.10007330001481317</v>
      </c>
      <c r="G142" s="1019" t="str">
        <f t="shared" si="25"/>
        <v>2025-Top 20 Summer Hours-12</v>
      </c>
    </row>
    <row r="143" spans="1:14" s="466" customFormat="1">
      <c r="A143" s="1015">
        <f t="shared" si="27"/>
        <v>13</v>
      </c>
      <c r="B143" s="1016">
        <f t="shared" si="26"/>
        <v>2037</v>
      </c>
      <c r="C143" s="1017">
        <f t="shared" si="23"/>
        <v>8.5548980667225966E-2</v>
      </c>
      <c r="D143" s="1485">
        <f t="shared" si="24"/>
        <v>0</v>
      </c>
      <c r="E143" s="1018">
        <f>NPV(realdiscrt2,C$131:C143)/(1+realdiscrt2)^(1-Half_Year)</f>
        <v>0.81490719137167367</v>
      </c>
      <c r="F143" s="1018">
        <f>NPV(realdiscrt2,D$131:D143)/(1+realdiscrt2)^(1-Half_Year)</f>
        <v>0.10007330001481317</v>
      </c>
      <c r="G143" s="1019" t="str">
        <f t="shared" si="25"/>
        <v>2025-Top 20 Summer Hours-13</v>
      </c>
    </row>
    <row r="144" spans="1:14" s="466" customFormat="1">
      <c r="A144" s="1015">
        <f t="shared" si="27"/>
        <v>14</v>
      </c>
      <c r="B144" s="1016">
        <f t="shared" si="26"/>
        <v>2038</v>
      </c>
      <c r="C144" s="1017">
        <f t="shared" si="23"/>
        <v>8.8777331609507223E-2</v>
      </c>
      <c r="D144" s="1485">
        <f t="shared" si="24"/>
        <v>0</v>
      </c>
      <c r="E144" s="1018">
        <f>NPV(realdiscrt2,C$131:C144)/(1+realdiscrt2)^(1-Half_Year)</f>
        <v>0.88785023483043835</v>
      </c>
      <c r="F144" s="1018">
        <f>NPV(realdiscrt2,D$131:D144)/(1+realdiscrt2)^(1-Half_Year)</f>
        <v>0.10007330001481317</v>
      </c>
      <c r="G144" s="1019" t="str">
        <f t="shared" si="25"/>
        <v>2025-Top 20 Summer Hours-14</v>
      </c>
    </row>
    <row r="145" spans="1:7" s="466" customFormat="1">
      <c r="A145" s="1015">
        <f t="shared" si="27"/>
        <v>15</v>
      </c>
      <c r="B145" s="1016">
        <f t="shared" si="26"/>
        <v>2039</v>
      </c>
      <c r="C145" s="1017">
        <f t="shared" si="23"/>
        <v>9.2277229202998773E-2</v>
      </c>
      <c r="D145" s="1485">
        <f t="shared" si="24"/>
        <v>0</v>
      </c>
      <c r="E145" s="1018">
        <f>NPV(realdiscrt2,C$131:C145)/(1+realdiscrt2)^(1-Half_Year)</f>
        <v>0.96264863753401408</v>
      </c>
      <c r="F145" s="1018">
        <f>NPV(realdiscrt2,D$131:D145)/(1+realdiscrt2)^(1-Half_Year)</f>
        <v>0.10007330001481317</v>
      </c>
      <c r="G145" s="1019" t="str">
        <f t="shared" si="25"/>
        <v>2025-Top 20 Summer Hours-15</v>
      </c>
    </row>
    <row r="146" spans="1:7" s="466" customFormat="1">
      <c r="A146" s="1015">
        <f t="shared" si="27"/>
        <v>16</v>
      </c>
      <c r="B146" s="1016">
        <f t="shared" si="26"/>
        <v>2040</v>
      </c>
      <c r="C146" s="1017">
        <f t="shared" si="23"/>
        <v>9.6046845671152764E-2</v>
      </c>
      <c r="D146" s="1485">
        <f t="shared" si="24"/>
        <v>0</v>
      </c>
      <c r="E146" s="1018">
        <f>NPV(realdiscrt2,C$131:C146)/(1+realdiscrt2)^(1-Half_Year)</f>
        <v>1.039454942154302</v>
      </c>
      <c r="F146" s="1018">
        <f>NPV(realdiscrt2,D$131:D146)/(1+realdiscrt2)^(1-Half_Year)</f>
        <v>0.10007330001481317</v>
      </c>
      <c r="G146" s="1019" t="str">
        <f t="shared" si="25"/>
        <v>2025-Top 20 Summer Hours-16</v>
      </c>
    </row>
    <row r="147" spans="1:7" s="466" customFormat="1">
      <c r="A147" s="1015">
        <f t="shared" si="27"/>
        <v>17</v>
      </c>
      <c r="B147" s="1016">
        <f t="shared" si="26"/>
        <v>2041</v>
      </c>
      <c r="C147" s="1017">
        <f t="shared" si="23"/>
        <v>0.1000861890505666</v>
      </c>
      <c r="D147" s="1485">
        <f t="shared" si="24"/>
        <v>0</v>
      </c>
      <c r="E147" s="1018">
        <f>NPV(realdiscrt2,C$131:C147)/(1+realdiscrt2)^(1-Half_Year)</f>
        <v>1.1184143536301077</v>
      </c>
      <c r="F147" s="1018">
        <f>NPV(realdiscrt2,D$131:D147)/(1+realdiscrt2)^(1-Half_Year)</f>
        <v>0.10007330001481317</v>
      </c>
      <c r="G147" s="1019" t="str">
        <f t="shared" si="25"/>
        <v>2025-Top 20 Summer Hours-17</v>
      </c>
    </row>
    <row r="148" spans="1:7" s="466" customFormat="1">
      <c r="A148" s="1015">
        <f t="shared" si="27"/>
        <v>18</v>
      </c>
      <c r="B148" s="1016">
        <f t="shared" si="26"/>
        <v>2042</v>
      </c>
      <c r="C148" s="1017">
        <f t="shared" si="23"/>
        <v>0.10439694376465337</v>
      </c>
      <c r="D148" s="1485">
        <f t="shared" si="24"/>
        <v>0</v>
      </c>
      <c r="E148" s="1018">
        <f>NPV(realdiscrt2,C$131:C148)/(1+realdiscrt2)^(1-Half_Year)</f>
        <v>1.1996662526484327</v>
      </c>
      <c r="F148" s="1018">
        <f>NPV(realdiscrt2,D$131:D148)/(1+realdiscrt2)^(1-Half_Year)</f>
        <v>0.10007330001481317</v>
      </c>
      <c r="G148" s="1019" t="str">
        <f t="shared" si="25"/>
        <v>2025-Top 20 Summer Hours-18</v>
      </c>
    </row>
    <row r="149" spans="1:7" s="466" customFormat="1">
      <c r="A149" s="1015">
        <f t="shared" si="27"/>
        <v>19</v>
      </c>
      <c r="B149" s="1016">
        <f t="shared" si="26"/>
        <v>2043</v>
      </c>
      <c r="C149" s="1017">
        <f t="shared" si="23"/>
        <v>0.10898233546990367</v>
      </c>
      <c r="D149" s="1485">
        <f t="shared" si="24"/>
        <v>0</v>
      </c>
      <c r="E149" s="1018">
        <f>NPV(realdiscrt2,C$131:C149)/(1+realdiscrt2)^(1-Half_Year)</f>
        <v>1.2833455127505615</v>
      </c>
      <c r="F149" s="1018">
        <f>NPV(realdiscrt2,D$131:D149)/(1+realdiscrt2)^(1-Half_Year)</f>
        <v>0.10007330001481317</v>
      </c>
      <c r="G149" s="1019" t="str">
        <f t="shared" si="25"/>
        <v>2025-Top 20 Summer Hours-19</v>
      </c>
    </row>
    <row r="150" spans="1:7" s="466" customFormat="1">
      <c r="A150" s="1015">
        <f t="shared" si="27"/>
        <v>20</v>
      </c>
      <c r="B150" s="1016">
        <f t="shared" si="26"/>
        <v>2044</v>
      </c>
      <c r="C150" s="1017">
        <f t="shared" si="23"/>
        <v>0.11384701722584209</v>
      </c>
      <c r="D150" s="1485">
        <f t="shared" si="24"/>
        <v>0</v>
      </c>
      <c r="E150" s="1018">
        <f>NPV(realdiscrt2,C$131:C150)/(1+realdiscrt2)^(1-Half_Year)</f>
        <v>1.3695836492373226</v>
      </c>
      <c r="F150" s="1018">
        <f>NPV(realdiscrt2,D$131:D150)/(1+realdiscrt2)^(1-Half_Year)</f>
        <v>0.10007330001481317</v>
      </c>
      <c r="G150" s="1019" t="str">
        <f t="shared" si="25"/>
        <v>2025-Top 20 Summer Hours-20</v>
      </c>
    </row>
    <row r="151" spans="1:7" s="466" customFormat="1">
      <c r="A151" s="1015">
        <f t="shared" si="27"/>
        <v>21</v>
      </c>
      <c r="B151" s="1016">
        <f t="shared" si="26"/>
        <v>2045</v>
      </c>
      <c r="C151" s="1017">
        <f t="shared" si="23"/>
        <v>0.11899697442853517</v>
      </c>
      <c r="D151" s="1485">
        <f t="shared" si="24"/>
        <v>0</v>
      </c>
      <c r="E151" s="1018">
        <f>NPV(realdiscrt2,C$131:C151)/(1+realdiscrt2)^(1-Half_Year)</f>
        <v>1.4585098241053294</v>
      </c>
      <c r="F151" s="1018">
        <f>NPV(realdiscrt2,D$131:D151)/(1+realdiscrt2)^(1-Half_Year)</f>
        <v>0.10007330001481317</v>
      </c>
      <c r="G151" s="1019" t="str">
        <f t="shared" si="25"/>
        <v>2025-Top 20 Summer Hours-21</v>
      </c>
    </row>
    <row r="152" spans="1:7" s="466" customFormat="1">
      <c r="A152" s="1015">
        <f t="shared" si="27"/>
        <v>22</v>
      </c>
      <c r="B152" s="1016">
        <f t="shared" si="26"/>
        <v>2046</v>
      </c>
      <c r="C152" s="1017">
        <f t="shared" si="23"/>
        <v>0.12443944628657315</v>
      </c>
      <c r="D152" s="1485">
        <f t="shared" si="24"/>
        <v>0</v>
      </c>
      <c r="E152" s="1018">
        <f>NPV(realdiscrt2,C$131:C152)/(1+realdiscrt2)^(1-Half_Year)</f>
        <v>1.5502517278584917</v>
      </c>
      <c r="F152" s="1018">
        <f>NPV(realdiscrt2,D$131:D152)/(1+realdiscrt2)^(1-Half_Year)</f>
        <v>0.10007330001481317</v>
      </c>
      <c r="G152" s="1019" t="str">
        <f t="shared" si="25"/>
        <v>2025-Top 20 Summer Hours-22</v>
      </c>
    </row>
    <row r="153" spans="1:7" s="466" customFormat="1">
      <c r="A153" s="1015">
        <f t="shared" si="27"/>
        <v>23</v>
      </c>
      <c r="B153" s="1016">
        <f t="shared" si="26"/>
        <v>2047</v>
      </c>
      <c r="C153" s="1017">
        <f t="shared" si="23"/>
        <v>0.13018286191424774</v>
      </c>
      <c r="D153" s="1485">
        <f t="shared" si="24"/>
        <v>0</v>
      </c>
      <c r="E153" s="1018">
        <f>NPV(realdiscrt2,C$131:C153)/(1+realdiscrt2)^(1-Half_Year)</f>
        <v>1.644936356128561</v>
      </c>
      <c r="F153" s="1018">
        <f>NPV(realdiscrt2,D$131:D153)/(1+realdiscrt2)^(1-Half_Year)</f>
        <v>0.10007330001481317</v>
      </c>
      <c r="G153" s="1019" t="str">
        <f t="shared" si="25"/>
        <v>2025-Top 20 Summer Hours-23</v>
      </c>
    </row>
    <row r="154" spans="1:7" s="466" customFormat="1">
      <c r="A154" s="1015">
        <f t="shared" si="27"/>
        <v>24</v>
      </c>
      <c r="B154" s="1016">
        <f t="shared" si="26"/>
        <v>2048</v>
      </c>
      <c r="C154" s="1017">
        <f t="shared" si="23"/>
        <v>0.13623678937478234</v>
      </c>
      <c r="D154" s="1485">
        <f t="shared" si="24"/>
        <v>0</v>
      </c>
      <c r="E154" s="1018">
        <f>NPV(realdiscrt2,C$131:C154)/(1+realdiscrt2)^(1-Half_Year)</f>
        <v>1.7426906965379183</v>
      </c>
      <c r="F154" s="1018">
        <f>NPV(realdiscrt2,D$131:D154)/(1+realdiscrt2)^(1-Half_Year)</f>
        <v>0.10007330001481317</v>
      </c>
      <c r="G154" s="1019" t="str">
        <f t="shared" si="25"/>
        <v>2025-Top 20 Summer Hours-24</v>
      </c>
    </row>
    <row r="155" spans="1:7" s="466" customFormat="1">
      <c r="A155" s="1015">
        <f t="shared" si="27"/>
        <v>25</v>
      </c>
      <c r="B155" s="1016">
        <f t="shared" si="26"/>
        <v>2049</v>
      </c>
      <c r="C155" s="1017">
        <f t="shared" si="23"/>
        <v>0.14261189623181386</v>
      </c>
      <c r="D155" s="1485">
        <f t="shared" si="24"/>
        <v>0</v>
      </c>
      <c r="E155" s="1052">
        <f>NPV(realdiscrt2,C$131:C155)/(1+realdiscrt2)^(1-Half_Year)</f>
        <v>1.8436423390895949</v>
      </c>
      <c r="F155" s="1031">
        <f>NPV(realdiscrt2,D$131:D155)/(1+realdiscrt2)^(1-Half_Year)</f>
        <v>0.10007330001481317</v>
      </c>
      <c r="G155" s="1019" t="str">
        <f t="shared" si="25"/>
        <v>2025-Top 20 Summer Hours-25</v>
      </c>
    </row>
    <row r="156" spans="1:7" s="466" customFormat="1" ht="20.25">
      <c r="A156" s="975">
        <f>Year3</f>
        <v>2026</v>
      </c>
      <c r="B156" s="976" t="str">
        <f>Year3&amp;"$"</f>
        <v>2026$</v>
      </c>
      <c r="C156" s="1046"/>
      <c r="D156" s="1480" t="s">
        <v>993</v>
      </c>
      <c r="E156" s="1481">
        <f>A156</f>
        <v>2026</v>
      </c>
      <c r="F156" s="1482" t="s">
        <v>992</v>
      </c>
      <c r="G156" s="1047"/>
    </row>
    <row r="157" spans="1:7" s="466" customFormat="1">
      <c r="A157" s="1015">
        <v>1</v>
      </c>
      <c r="B157" s="1016">
        <f>Year3</f>
        <v>2026</v>
      </c>
      <c r="C157" s="1048">
        <f t="shared" ref="C157:C181" si="28">VLOOKUP($B157,$I$103:$N$135,C$12,FALSE)*(1+Inflation3)^(Year3-Real_Year)</f>
        <v>6.2095242016978316E-2</v>
      </c>
      <c r="D157" s="1485">
        <f t="shared" ref="D157:D181" si="29">VLOOKUP($B157-5,$I$103:$N$135,IF($A$17=Year1,D$12,D$12+1),FALSE)*(1+Inflation3)^(Year3-Real_Year)</f>
        <v>6.935322871766814E-3</v>
      </c>
      <c r="E157" s="1055">
        <f>NPV(realdiscrt3,C157:C$157)/(1+realdiscrt3)^(2-Half_Year)</f>
        <v>6.0027227972635037E-2</v>
      </c>
      <c r="F157" s="1030">
        <f>NPV(realdiscrt3,D157:D$157)/(1+realdiscrt3)^(2-Half_Year)</f>
        <v>6.7043495373373041E-3</v>
      </c>
      <c r="G157" s="1019" t="str">
        <f t="shared" ref="G157:G181" si="30">$A$71&amp;"-"&amp;$A$98&amp;"-"&amp;A157</f>
        <v>2026-Top 20 Summer Hours-1</v>
      </c>
    </row>
    <row r="158" spans="1:7" s="466" customFormat="1">
      <c r="A158" s="1015">
        <v>2</v>
      </c>
      <c r="B158" s="1016">
        <f t="shared" ref="B158:B181" si="31">B157+1</f>
        <v>2027</v>
      </c>
      <c r="C158" s="1049">
        <f t="shared" si="28"/>
        <v>6.3231082905807673E-2</v>
      </c>
      <c r="D158" s="1485">
        <f t="shared" si="29"/>
        <v>1.0104367407061334E-2</v>
      </c>
      <c r="E158" s="1055">
        <f>NPV(realdiscrt3,C$157:C158)/(1+realdiscrt3)^(2-Half_Year)</f>
        <v>0.12032990184974135</v>
      </c>
      <c r="F158" s="1030">
        <f>NPV(realdiscrt3,D$157:D158)/(1+realdiscrt3)^(2-Half_Year)</f>
        <v>1.6340755312486802E-2</v>
      </c>
      <c r="G158" s="1019" t="str">
        <f t="shared" si="30"/>
        <v>2026-Top 20 Summer Hours-2</v>
      </c>
    </row>
    <row r="159" spans="1:7" s="466" customFormat="1">
      <c r="A159" s="1015">
        <f t="shared" ref="A159:A181" si="32">A158+1</f>
        <v>3</v>
      </c>
      <c r="B159" s="1016">
        <f t="shared" si="31"/>
        <v>2028</v>
      </c>
      <c r="C159" s="1049">
        <f t="shared" si="28"/>
        <v>6.2849217986632053E-2</v>
      </c>
      <c r="D159" s="1485">
        <f t="shared" si="29"/>
        <v>1.0758209686106876E-2</v>
      </c>
      <c r="E159" s="1055">
        <f>NPV(realdiscrt3,C$157:C159)/(1+realdiscrt3)^(2-Half_Year)</f>
        <v>0.17946179913887816</v>
      </c>
      <c r="F159" s="1030">
        <f>NPV(realdiscrt3,D$157:D159)/(1+realdiscrt3)^(2-Half_Year)</f>
        <v>2.6462652935925455E-2</v>
      </c>
      <c r="G159" s="1019" t="str">
        <f t="shared" si="30"/>
        <v>2026-Top 20 Summer Hours-3</v>
      </c>
    </row>
    <row r="160" spans="1:7" s="466" customFormat="1">
      <c r="A160" s="1015">
        <f t="shared" si="32"/>
        <v>4</v>
      </c>
      <c r="B160" s="1016">
        <f t="shared" si="31"/>
        <v>2029</v>
      </c>
      <c r="C160" s="1049">
        <f t="shared" si="28"/>
        <v>6.6904430681518579E-2</v>
      </c>
      <c r="D160" s="1485">
        <f t="shared" si="29"/>
        <v>1.3160513101810692E-2</v>
      </c>
      <c r="E160" s="1055">
        <f>NPV(realdiscrt3,C$157:C160)/(1+realdiscrt3)^(2-Half_Year)</f>
        <v>0.24156197081005013</v>
      </c>
      <c r="F160" s="1030">
        <f>NPV(realdiscrt3,D$157:D160)/(1+realdiscrt3)^(2-Half_Year)</f>
        <v>3.8678138735267459E-2</v>
      </c>
      <c r="G160" s="1019" t="str">
        <f t="shared" si="30"/>
        <v>2026-Top 20 Summer Hours-4</v>
      </c>
    </row>
    <row r="161" spans="1:7" s="466" customFormat="1">
      <c r="A161" s="1015">
        <f t="shared" si="32"/>
        <v>5</v>
      </c>
      <c r="B161" s="1016">
        <f t="shared" si="31"/>
        <v>2030</v>
      </c>
      <c r="C161" s="1049">
        <f t="shared" si="28"/>
        <v>7.33230551969071E-2</v>
      </c>
      <c r="D161" s="1485">
        <f t="shared" si="29"/>
        <v>1.325498123064758E-2</v>
      </c>
      <c r="E161" s="1055">
        <f>NPV(realdiscrt3,C$157:C161)/(1+realdiscrt3)^(2-Half_Year)</f>
        <v>0.30870399956106953</v>
      </c>
      <c r="F161" s="1030">
        <f>NPV(realdiscrt3,D$157:D161)/(1+realdiscrt3)^(2-Half_Year)</f>
        <v>5.0815744410486273E-2</v>
      </c>
      <c r="G161" s="1019" t="str">
        <f t="shared" si="30"/>
        <v>2026-Top 20 Summer Hours-5</v>
      </c>
    </row>
    <row r="162" spans="1:7" s="466" customFormat="1">
      <c r="A162" s="1015">
        <f t="shared" si="32"/>
        <v>6</v>
      </c>
      <c r="B162" s="1016">
        <f t="shared" si="31"/>
        <v>2031</v>
      </c>
      <c r="C162" s="1049">
        <f t="shared" si="28"/>
        <v>7.591104089865594E-2</v>
      </c>
      <c r="D162" s="1485">
        <f t="shared" si="29"/>
        <v>1.2429779064445475E-2</v>
      </c>
      <c r="E162" s="1055">
        <f>NPV(realdiscrt3,C$157:C162)/(1+realdiscrt3)^(2-Half_Year)</f>
        <v>0.37728042429792158</v>
      </c>
      <c r="F162" s="1030">
        <f>NPV(realdiscrt3,D$157:D162)/(1+realdiscrt3)^(2-Half_Year)</f>
        <v>6.2044543257370965E-2</v>
      </c>
      <c r="G162" s="1019" t="str">
        <f t="shared" si="30"/>
        <v>2026-Top 20 Summer Hours-6</v>
      </c>
    </row>
    <row r="163" spans="1:7" s="466" customFormat="1">
      <c r="A163" s="1015">
        <f t="shared" si="32"/>
        <v>7</v>
      </c>
      <c r="B163" s="1016">
        <f t="shared" si="31"/>
        <v>2032</v>
      </c>
      <c r="C163" s="1049">
        <f t="shared" si="28"/>
        <v>7.5762951077593621E-2</v>
      </c>
      <c r="D163" s="1485">
        <f t="shared" si="29"/>
        <v>1.1862199346798984E-2</v>
      </c>
      <c r="E163" s="1055">
        <f>NPV(realdiscrt3,C$157:C163)/(1+realdiscrt3)^(2-Half_Year)</f>
        <v>0.44480202993610329</v>
      </c>
      <c r="F163" s="1030">
        <f>NPV(realdiscrt3,D$157:D163)/(1+realdiscrt3)^(2-Half_Year)</f>
        <v>7.2616395790883692E-2</v>
      </c>
      <c r="G163" s="1019" t="str">
        <f t="shared" si="30"/>
        <v>2026-Top 20 Summer Hours-7</v>
      </c>
    </row>
    <row r="164" spans="1:7" s="466" customFormat="1">
      <c r="A164" s="1015">
        <f t="shared" si="32"/>
        <v>8</v>
      </c>
      <c r="B164" s="1016">
        <f t="shared" si="31"/>
        <v>2033</v>
      </c>
      <c r="C164" s="1049">
        <f t="shared" si="28"/>
        <v>7.5170543828936648E-2</v>
      </c>
      <c r="D164" s="1485">
        <f t="shared" si="29"/>
        <v>1.0896249260981546E-2</v>
      </c>
      <c r="E164" s="1055">
        <f>NPV(realdiscrt3,C$157:C164)/(1+realdiscrt3)^(2-Half_Year)</f>
        <v>0.51089413069256373</v>
      </c>
      <c r="F164" s="1030">
        <f>NPV(realdiscrt3,D$157:D164)/(1+realdiscrt3)^(2-Half_Year)</f>
        <v>8.2196691041416081E-2</v>
      </c>
      <c r="G164" s="1019" t="str">
        <f t="shared" si="30"/>
        <v>2026-Top 20 Summer Hours-8</v>
      </c>
    </row>
    <row r="165" spans="1:7" s="466" customFormat="1">
      <c r="A165" s="1015">
        <f t="shared" si="32"/>
        <v>9</v>
      </c>
      <c r="B165" s="1016">
        <f t="shared" si="31"/>
        <v>2034</v>
      </c>
      <c r="C165" s="1049">
        <f t="shared" si="28"/>
        <v>7.97424275776321E-2</v>
      </c>
      <c r="D165" s="1485">
        <f t="shared" si="29"/>
        <v>1.067396453790515E-2</v>
      </c>
      <c r="E165" s="1055">
        <f>NPV(realdiscrt3,C$157:C165)/(1+realdiscrt3)^(2-Half_Year)</f>
        <v>0.58006246263400296</v>
      </c>
      <c r="F165" s="1030">
        <f>NPV(realdiscrt3,D$157:D165)/(1+realdiscrt3)^(2-Half_Year)</f>
        <v>9.1455254452596571E-2</v>
      </c>
      <c r="G165" s="1019" t="str">
        <f t="shared" si="30"/>
        <v>2026-Top 20 Summer Hours-9</v>
      </c>
    </row>
    <row r="166" spans="1:7" s="466" customFormat="1">
      <c r="A166" s="1015">
        <f t="shared" si="32"/>
        <v>10</v>
      </c>
      <c r="B166" s="1016">
        <f t="shared" si="31"/>
        <v>2035</v>
      </c>
      <c r="C166" s="1049">
        <f t="shared" si="28"/>
        <v>8.4959810515123926E-2</v>
      </c>
      <c r="D166" s="1485">
        <f t="shared" si="29"/>
        <v>9.3973421950175346E-3</v>
      </c>
      <c r="E166" s="1055">
        <f>NPV(realdiscrt3,C$157:C166)/(1+realdiscrt3)^(2-Half_Year)</f>
        <v>0.65276463209651636</v>
      </c>
      <c r="F166" s="1030">
        <f>NPV(realdiscrt3,D$157:D166)/(1+realdiscrt3)^(2-Half_Year)</f>
        <v>9.9496787980237547E-2</v>
      </c>
      <c r="G166" s="1019" t="str">
        <f t="shared" si="30"/>
        <v>2026-Top 20 Summer Hours-10</v>
      </c>
    </row>
    <row r="167" spans="1:7" s="466" customFormat="1">
      <c r="A167" s="1015">
        <f t="shared" si="32"/>
        <v>11</v>
      </c>
      <c r="B167" s="1016">
        <f t="shared" si="31"/>
        <v>2036</v>
      </c>
      <c r="C167" s="1049">
        <f t="shared" si="28"/>
        <v>8.779957676423103E-2</v>
      </c>
      <c r="D167" s="1485">
        <f t="shared" si="29"/>
        <v>6.4552689145185929E-3</v>
      </c>
      <c r="E167" s="1055">
        <f>NPV(realdiscrt3,C$157:C167)/(1+realdiscrt3)^(2-Half_Year)</f>
        <v>0.72688579825862043</v>
      </c>
      <c r="F167" s="1030">
        <f>NPV(realdiscrt3,D$157:D167)/(1+realdiscrt3)^(2-Half_Year)</f>
        <v>0.10494638212940915</v>
      </c>
      <c r="G167" s="1019" t="str">
        <f t="shared" si="30"/>
        <v>2026-Top 20 Summer Hours-11</v>
      </c>
    </row>
    <row r="168" spans="1:7" s="466" customFormat="1">
      <c r="A168" s="1015">
        <f t="shared" si="32"/>
        <v>12</v>
      </c>
      <c r="B168" s="1016">
        <f t="shared" si="31"/>
        <v>2037</v>
      </c>
      <c r="C168" s="1049">
        <f t="shared" si="28"/>
        <v>9.0938566449261196E-2</v>
      </c>
      <c r="D168" s="1485">
        <f t="shared" si="29"/>
        <v>0</v>
      </c>
      <c r="E168" s="1055">
        <f>NPV(realdiscrt3,C$157:C168)/(1+realdiscrt3)^(2-Half_Year)</f>
        <v>0.80262381185283349</v>
      </c>
      <c r="F168" s="1030">
        <f>NPV(realdiscrt3,D$157:D168)/(1+realdiscrt3)^(2-Half_Year)</f>
        <v>0.10494638212940915</v>
      </c>
      <c r="G168" s="1019" t="str">
        <f t="shared" si="30"/>
        <v>2026-Top 20 Summer Hours-12</v>
      </c>
    </row>
    <row r="169" spans="1:7" s="466" customFormat="1">
      <c r="A169" s="1015">
        <f t="shared" si="32"/>
        <v>13</v>
      </c>
      <c r="B169" s="1016">
        <f t="shared" si="31"/>
        <v>2038</v>
      </c>
      <c r="C169" s="1049">
        <f t="shared" si="28"/>
        <v>9.437030350090618E-2</v>
      </c>
      <c r="D169" s="1485">
        <f t="shared" si="29"/>
        <v>0</v>
      </c>
      <c r="E169" s="1055">
        <f>NPV(realdiscrt3,C$157:C169)/(1+realdiscrt3)^(2-Half_Year)</f>
        <v>0.88016226704950007</v>
      </c>
      <c r="F169" s="1030">
        <f>NPV(realdiscrt3,D$157:D169)/(1+realdiscrt3)^(2-Half_Year)</f>
        <v>0.10494638212940915</v>
      </c>
      <c r="G169" s="1019" t="str">
        <f t="shared" si="30"/>
        <v>2026-Top 20 Summer Hours-13</v>
      </c>
    </row>
    <row r="170" spans="1:7" s="466" customFormat="1">
      <c r="A170" s="1015">
        <f t="shared" si="32"/>
        <v>14</v>
      </c>
      <c r="B170" s="1016">
        <f t="shared" si="31"/>
        <v>2039</v>
      </c>
      <c r="C170" s="1049">
        <f t="shared" si="28"/>
        <v>9.809069464278769E-2</v>
      </c>
      <c r="D170" s="1485">
        <f t="shared" si="29"/>
        <v>0</v>
      </c>
      <c r="E170" s="1055">
        <f>NPV(realdiscrt3,C$157:C170)/(1+realdiscrt3)^(2-Half_Year)</f>
        <v>0.95967296912340105</v>
      </c>
      <c r="F170" s="1030">
        <f>NPV(realdiscrt3,D$157:D170)/(1+realdiscrt3)^(2-Half_Year)</f>
        <v>0.10494638212940915</v>
      </c>
      <c r="G170" s="1019" t="str">
        <f t="shared" si="30"/>
        <v>2026-Top 20 Summer Hours-14</v>
      </c>
    </row>
    <row r="171" spans="1:7" s="466" customFormat="1">
      <c r="A171" s="1015">
        <f t="shared" si="32"/>
        <v>15</v>
      </c>
      <c r="B171" s="1016">
        <f t="shared" si="31"/>
        <v>2040</v>
      </c>
      <c r="C171" s="1049">
        <f t="shared" si="28"/>
        <v>0.10209779694843538</v>
      </c>
      <c r="D171" s="1485">
        <f t="shared" si="29"/>
        <v>0</v>
      </c>
      <c r="E171" s="1055">
        <f>NPV(realdiscrt3,C$157:C171)/(1+realdiscrt3)^(2-Half_Year)</f>
        <v>1.0413180709347671</v>
      </c>
      <c r="F171" s="1030">
        <f>NPV(realdiscrt3,D$157:D171)/(1+realdiscrt3)^(2-Half_Year)</f>
        <v>0.10494638212940915</v>
      </c>
      <c r="G171" s="1019" t="str">
        <f t="shared" si="30"/>
        <v>2026-Top 20 Summer Hours-15</v>
      </c>
    </row>
    <row r="172" spans="1:7" s="466" customFormat="1">
      <c r="A172" s="1015">
        <f t="shared" si="32"/>
        <v>16</v>
      </c>
      <c r="B172" s="1016">
        <f t="shared" si="31"/>
        <v>2041</v>
      </c>
      <c r="C172" s="1049">
        <f t="shared" si="28"/>
        <v>0.10639161896075229</v>
      </c>
      <c r="D172" s="1485">
        <f t="shared" si="29"/>
        <v>0</v>
      </c>
      <c r="E172" s="1055">
        <f>NPV(realdiscrt3,C$157:C172)/(1+realdiscrt3)^(2-Half_Year)</f>
        <v>1.1252519253335487</v>
      </c>
      <c r="F172" s="1030">
        <f>NPV(realdiscrt3,D$157:D172)/(1+realdiscrt3)^(2-Half_Year)</f>
        <v>0.10494638212940915</v>
      </c>
      <c r="G172" s="1019" t="str">
        <f t="shared" si="30"/>
        <v>2026-Top 20 Summer Hours-16</v>
      </c>
    </row>
    <row r="173" spans="1:7" s="466" customFormat="1">
      <c r="A173" s="1015">
        <f t="shared" si="32"/>
        <v>17</v>
      </c>
      <c r="B173" s="1016">
        <f t="shared" si="31"/>
        <v>2042</v>
      </c>
      <c r="C173" s="1049">
        <f t="shared" si="28"/>
        <v>0.11097395122182653</v>
      </c>
      <c r="D173" s="1485">
        <f t="shared" si="29"/>
        <v>0</v>
      </c>
      <c r="E173" s="1055">
        <f>NPV(realdiscrt3,C$157:C173)/(1+realdiscrt3)^(2-Half_Year)</f>
        <v>1.2116226939900279</v>
      </c>
      <c r="F173" s="1030">
        <f>NPV(realdiscrt3,D$157:D173)/(1+realdiscrt3)^(2-Half_Year)</f>
        <v>0.10494638212940915</v>
      </c>
      <c r="G173" s="1019" t="str">
        <f t="shared" si="30"/>
        <v>2026-Top 20 Summer Hours-17</v>
      </c>
    </row>
    <row r="174" spans="1:7" s="466" customFormat="1">
      <c r="A174" s="1015">
        <f t="shared" si="32"/>
        <v>18</v>
      </c>
      <c r="B174" s="1016">
        <f t="shared" si="31"/>
        <v>2043</v>
      </c>
      <c r="C174" s="1049">
        <f t="shared" si="28"/>
        <v>0.1158482226045076</v>
      </c>
      <c r="D174" s="1485">
        <f t="shared" si="29"/>
        <v>0</v>
      </c>
      <c r="E174" s="1055">
        <f>NPV(realdiscrt3,C$157:C174)/(1+realdiscrt3)^(2-Half_Year)</f>
        <v>1.3005737474785908</v>
      </c>
      <c r="F174" s="1030">
        <f>NPV(realdiscrt3,D$157:D174)/(1+realdiscrt3)^(2-Half_Year)</f>
        <v>0.10494638212940915</v>
      </c>
      <c r="G174" s="1019" t="str">
        <f t="shared" si="30"/>
        <v>2026-Top 20 Summer Hours-18</v>
      </c>
    </row>
    <row r="175" spans="1:7" s="466" customFormat="1">
      <c r="A175" s="1015">
        <f t="shared" si="32"/>
        <v>19</v>
      </c>
      <c r="B175" s="1016">
        <f t="shared" si="31"/>
        <v>2044</v>
      </c>
      <c r="C175" s="1049">
        <f t="shared" si="28"/>
        <v>0.12101937931107014</v>
      </c>
      <c r="D175" s="1485">
        <f t="shared" si="29"/>
        <v>0</v>
      </c>
      <c r="E175" s="1055">
        <f>NPV(realdiscrt3,C$157:C175)/(1+realdiscrt3)^(2-Half_Year)</f>
        <v>1.3922448865640178</v>
      </c>
      <c r="F175" s="1030">
        <f>NPV(realdiscrt3,D$157:D175)/(1+realdiscrt3)^(2-Half_Year)</f>
        <v>0.10494638212940915</v>
      </c>
      <c r="G175" s="1019" t="str">
        <f t="shared" si="30"/>
        <v>2026-Top 20 Summer Hours-19</v>
      </c>
    </row>
    <row r="176" spans="1:7" s="466" customFormat="1">
      <c r="A176" s="1015">
        <f t="shared" si="32"/>
        <v>20</v>
      </c>
      <c r="B176" s="1016">
        <f t="shared" si="31"/>
        <v>2045</v>
      </c>
      <c r="C176" s="1049">
        <f t="shared" si="28"/>
        <v>0.12649378381753287</v>
      </c>
      <c r="D176" s="1485">
        <f t="shared" si="29"/>
        <v>0</v>
      </c>
      <c r="E176" s="1055">
        <f>NPV(realdiscrt3,C$157:C176)/(1+realdiscrt3)^(2-Half_Year)</f>
        <v>1.4867734104487089</v>
      </c>
      <c r="F176" s="1030">
        <f>NPV(realdiscrt3,D$157:D176)/(1+realdiscrt3)^(2-Half_Year)</f>
        <v>0.10494638212940915</v>
      </c>
      <c r="G176" s="1019" t="str">
        <f t="shared" si="30"/>
        <v>2026-Top 20 Summer Hours-20</v>
      </c>
    </row>
    <row r="177" spans="1:17" s="466" customFormat="1">
      <c r="A177" s="1015">
        <f t="shared" si="32"/>
        <v>21</v>
      </c>
      <c r="B177" s="1016">
        <f t="shared" si="31"/>
        <v>2046</v>
      </c>
      <c r="C177" s="1049">
        <f t="shared" si="28"/>
        <v>0.13227913140262726</v>
      </c>
      <c r="D177" s="1485">
        <f t="shared" si="29"/>
        <v>0</v>
      </c>
      <c r="E177" s="1055">
        <f>NPV(realdiscrt3,C$157:C177)/(1+realdiscrt3)^(2-Half_Year)</f>
        <v>1.5842950541383207</v>
      </c>
      <c r="F177" s="1030">
        <f>NPV(realdiscrt3,D$157:D177)/(1+realdiscrt3)^(2-Half_Year)</f>
        <v>0.10494638212940915</v>
      </c>
      <c r="G177" s="1019" t="str">
        <f t="shared" si="30"/>
        <v>2026-Top 20 Summer Hours-21</v>
      </c>
    </row>
    <row r="178" spans="1:17" s="466" customFormat="1">
      <c r="A178" s="1015">
        <f t="shared" si="32"/>
        <v>22</v>
      </c>
      <c r="B178" s="1016">
        <f t="shared" si="31"/>
        <v>2047</v>
      </c>
      <c r="C178" s="1049">
        <f t="shared" si="28"/>
        <v>0.13838438221484534</v>
      </c>
      <c r="D178" s="1485">
        <f t="shared" si="29"/>
        <v>0</v>
      </c>
      <c r="E178" s="1055">
        <f>NPV(realdiscrt3,C$157:C178)/(1+realdiscrt3)^(2-Half_Year)</f>
        <v>1.6849448139894045</v>
      </c>
      <c r="F178" s="1030">
        <f>NPV(realdiscrt3,D$157:D178)/(1+realdiscrt3)^(2-Half_Year)</f>
        <v>0.10494638212940915</v>
      </c>
      <c r="G178" s="1019" t="str">
        <f t="shared" si="30"/>
        <v>2026-Top 20 Summer Hours-22</v>
      </c>
    </row>
    <row r="179" spans="1:17" s="466" customFormat="1">
      <c r="A179" s="1015">
        <f t="shared" si="32"/>
        <v>23</v>
      </c>
      <c r="B179" s="1016">
        <f t="shared" si="31"/>
        <v>2048</v>
      </c>
      <c r="C179" s="1049">
        <f t="shared" si="28"/>
        <v>0.1448197071053936</v>
      </c>
      <c r="D179" s="1485">
        <f t="shared" si="29"/>
        <v>0</v>
      </c>
      <c r="E179" s="1055">
        <f>NPV(realdiscrt3,C$157:C179)/(1+realdiscrt3)^(2-Half_Year)</f>
        <v>1.7888576778445513</v>
      </c>
      <c r="F179" s="1030">
        <f>NPV(realdiscrt3,D$157:D179)/(1+realdiscrt3)^(2-Half_Year)</f>
        <v>0.10494638212940915</v>
      </c>
      <c r="G179" s="1019" t="str">
        <f t="shared" si="30"/>
        <v>2026-Top 20 Summer Hours-23</v>
      </c>
    </row>
    <row r="180" spans="1:17" s="466" customFormat="1">
      <c r="A180" s="1015">
        <f t="shared" si="32"/>
        <v>24</v>
      </c>
      <c r="B180" s="1016">
        <f t="shared" si="31"/>
        <v>2049</v>
      </c>
      <c r="C180" s="1049">
        <f t="shared" si="28"/>
        <v>0.1515964456944181</v>
      </c>
      <c r="D180" s="1485">
        <f t="shared" si="29"/>
        <v>0</v>
      </c>
      <c r="E180" s="1055">
        <f>NPV(realdiscrt3,C$157:C180)/(1+realdiscrt3)^(2-Half_Year)</f>
        <v>1.8961692738769833</v>
      </c>
      <c r="F180" s="1030">
        <f>NPV(realdiscrt3,D$157:D180)/(1+realdiscrt3)^(2-Half_Year)</f>
        <v>0.10494638212940915</v>
      </c>
      <c r="G180" s="1019" t="str">
        <f t="shared" si="30"/>
        <v>2026-Top 20 Summer Hours-24</v>
      </c>
    </row>
    <row r="181" spans="1:17" s="466" customFormat="1">
      <c r="A181" s="1039">
        <f t="shared" si="32"/>
        <v>25</v>
      </c>
      <c r="B181" s="1051">
        <f t="shared" si="31"/>
        <v>2050</v>
      </c>
      <c r="C181" s="1050">
        <f t="shared" si="28"/>
        <v>0.15872707534707106</v>
      </c>
      <c r="D181" s="1488">
        <f t="shared" si="29"/>
        <v>0</v>
      </c>
      <c r="E181" s="1052">
        <f>NPV(realdiscrt3,C$157:C181)/(1+realdiscrt3)^(2-Half_Year)</f>
        <v>2.0070164503048757</v>
      </c>
      <c r="F181" s="1031">
        <f>NPV(realdiscrt3,D$157:D181)/(1+realdiscrt3)^(2-Half_Year)</f>
        <v>0.10494638212940915</v>
      </c>
      <c r="G181" s="1032" t="str">
        <f t="shared" si="30"/>
        <v>2026-Top 20 Summer Hours-25</v>
      </c>
    </row>
    <row r="182" spans="1:17" s="466" customFormat="1"/>
    <row r="183" spans="1:17" ht="23.25">
      <c r="A183" s="1735" t="str">
        <f>A6</f>
        <v>Summer Daily Discharge</v>
      </c>
      <c r="B183" s="1736"/>
      <c r="C183" s="1736"/>
      <c r="D183" s="1736"/>
      <c r="E183" s="1736"/>
      <c r="F183" s="1736"/>
      <c r="G183" s="1736"/>
      <c r="H183" s="1736"/>
      <c r="I183" s="1736"/>
      <c r="J183" s="1736"/>
      <c r="K183" s="1736"/>
      <c r="L183" s="1736"/>
      <c r="M183" s="1736"/>
      <c r="N183" s="1737"/>
      <c r="O183" s="466"/>
      <c r="P183" s="466"/>
      <c r="Q183" s="466"/>
    </row>
    <row r="184" spans="1:17" s="1059" customFormat="1" ht="15">
      <c r="A184" s="1738" t="s">
        <v>564</v>
      </c>
      <c r="B184" s="1739"/>
      <c r="C184" s="1056" t="s">
        <v>865</v>
      </c>
      <c r="D184" s="1057" t="s">
        <v>61</v>
      </c>
      <c r="E184" s="1056" t="s">
        <v>865</v>
      </c>
      <c r="F184" s="1056" t="s">
        <v>61</v>
      </c>
      <c r="G184" s="1058" t="s">
        <v>667</v>
      </c>
      <c r="I184" s="1742" t="s">
        <v>74</v>
      </c>
      <c r="J184" s="1034" t="s">
        <v>861</v>
      </c>
      <c r="K184" s="1034" t="s">
        <v>862</v>
      </c>
      <c r="L184" s="998" t="s">
        <v>957</v>
      </c>
      <c r="M184" s="1035" t="s">
        <v>863</v>
      </c>
      <c r="N184" s="1743" t="s">
        <v>864</v>
      </c>
    </row>
    <row r="185" spans="1:17" s="996" customFormat="1" ht="15">
      <c r="A185" s="999"/>
      <c r="B185" s="1000"/>
      <c r="C185" s="1001" t="s">
        <v>69</v>
      </c>
      <c r="D185" s="1002" t="s">
        <v>69</v>
      </c>
      <c r="E185" s="1001" t="s">
        <v>69</v>
      </c>
      <c r="F185" s="1001" t="s">
        <v>69</v>
      </c>
      <c r="G185" s="1003"/>
      <c r="H185" s="979"/>
      <c r="I185" s="1731"/>
      <c r="J185" s="1004" t="s">
        <v>866</v>
      </c>
      <c r="K185" s="1004" t="s">
        <v>866</v>
      </c>
      <c r="L185" s="1005" t="s">
        <v>866</v>
      </c>
      <c r="M185" s="1005" t="s">
        <v>866</v>
      </c>
      <c r="N185" s="1732"/>
      <c r="O185" s="466"/>
      <c r="P185" s="466"/>
      <c r="Q185" s="466"/>
    </row>
    <row r="186" spans="1:17" s="1033" customFormat="1" ht="20.25">
      <c r="A186" s="1041" t="s">
        <v>571</v>
      </c>
      <c r="B186" s="1042"/>
      <c r="C186" s="1043"/>
      <c r="D186" s="1044"/>
      <c r="E186" s="1045" t="s">
        <v>604</v>
      </c>
      <c r="F186" s="973"/>
      <c r="G186" s="974"/>
      <c r="H186" s="979"/>
      <c r="I186" s="1740"/>
      <c r="J186" s="1036" t="s">
        <v>69</v>
      </c>
      <c r="K186" s="1036" t="s">
        <v>69</v>
      </c>
      <c r="L186" s="1007" t="s">
        <v>69</v>
      </c>
      <c r="M186" s="1037" t="s">
        <v>69</v>
      </c>
      <c r="N186" s="1741"/>
      <c r="O186" s="466"/>
      <c r="P186" s="466"/>
      <c r="Q186" s="466"/>
    </row>
    <row r="187" spans="1:17" s="466" customFormat="1" ht="18">
      <c r="A187" s="975">
        <f>Year1</f>
        <v>2024</v>
      </c>
      <c r="B187" s="976" t="str">
        <f>Year1&amp;"$"</f>
        <v>2024$</v>
      </c>
      <c r="C187" s="1008"/>
      <c r="D187" s="1480" t="s">
        <v>993</v>
      </c>
      <c r="E187" s="1481">
        <f>A187</f>
        <v>2024</v>
      </c>
      <c r="F187" s="1482" t="s">
        <v>992</v>
      </c>
      <c r="G187" s="1009"/>
      <c r="I187" s="1011" t="s">
        <v>956</v>
      </c>
      <c r="J187" s="1012"/>
      <c r="K187" s="1012"/>
      <c r="L187" s="1012"/>
      <c r="M187" s="1013"/>
      <c r="N187" s="1014"/>
    </row>
    <row r="188" spans="1:17" s="466" customFormat="1">
      <c r="A188" s="1015">
        <v>1</v>
      </c>
      <c r="B188" s="1016">
        <f>Year1</f>
        <v>2024</v>
      </c>
      <c r="C188" s="1017">
        <f>VLOOKUP($B188,$I$188:$N$220,C$12,FALSE)*(1+Inflation1)^(Year1-Real_Year)</f>
        <v>5.1562065272623185E-2</v>
      </c>
      <c r="D188" s="1485">
        <f t="shared" ref="D188:D214" si="33">VLOOKUP($B188-3,$I$188:$N$220,IF($A$17=Year1,D$12,D$12+1),FALSE)*(1+Inflation1)^(Year1-Real_Year)</f>
        <v>1.9939258669934121E-3</v>
      </c>
      <c r="E188" s="1018">
        <f>NPV(realdiscrt1,C$188:C188)/(1+realdiscrt1)^-Half_Year</f>
        <v>5.1213952831760723E-2</v>
      </c>
      <c r="F188" s="1018">
        <f>NPV(realdiscrt1,D$188:D188)/(1+realdiscrt1)^-Half_Year</f>
        <v>1.9804642184580419E-3</v>
      </c>
      <c r="G188" s="1019" t="str">
        <f t="shared" ref="G188:G214" si="34">$A$17&amp;"-"&amp;$A$183&amp;"-"&amp;A188</f>
        <v>2024-Summer Daily Discharge-1</v>
      </c>
      <c r="H188" s="996"/>
      <c r="I188" s="1020">
        <v>2018</v>
      </c>
      <c r="J188" s="1319">
        <f t="shared" ref="J188:J220" si="35">(K188+$N188)*(1+WholesaleRiskPremium)</f>
        <v>0</v>
      </c>
      <c r="K188" s="1323"/>
      <c r="L188" s="1324"/>
      <c r="M188" s="1324"/>
      <c r="N188" s="1322">
        <f>INDEX(AESC!$H$184:$H$216,MATCH(I188,AESC!$B$184:$B$216,0))</f>
        <v>0</v>
      </c>
    </row>
    <row r="189" spans="1:17" s="466" customFormat="1">
      <c r="A189" s="1015">
        <v>2</v>
      </c>
      <c r="B189" s="1016">
        <f t="shared" ref="B189:B214" si="36">B188+1</f>
        <v>2025</v>
      </c>
      <c r="C189" s="1017">
        <f t="shared" ref="C189:C214" si="37">VLOOKUP($B189,$I$188:$N$220,C$12,FALSE)*(1+Inflation1)^(Year1-Real_Year)</f>
        <v>5.0180955849269689E-2</v>
      </c>
      <c r="D189" s="1485">
        <f t="shared" si="33"/>
        <v>2.9069473503717269E-3</v>
      </c>
      <c r="E189" s="1018">
        <f>NPV(realdiscrt1,C$188:C189)/(1+realdiscrt1)^-Half_Year</f>
        <v>0.10038539069619254</v>
      </c>
      <c r="F189" s="1018">
        <f>NPV(realdiscrt1,D$188:D189)/(1+realdiscrt1)^-Half_Year</f>
        <v>4.8289309045715604E-3</v>
      </c>
      <c r="G189" s="1019" t="str">
        <f t="shared" si="34"/>
        <v>2024-Summer Daily Discharge-2</v>
      </c>
      <c r="H189" s="1033"/>
      <c r="I189" s="1020">
        <v>2019</v>
      </c>
      <c r="J189" s="1319">
        <f t="shared" si="35"/>
        <v>0</v>
      </c>
      <c r="K189" s="1323"/>
      <c r="L189" s="1324"/>
      <c r="M189" s="1324"/>
      <c r="N189" s="1321">
        <f>INDEX(AESC!$H$184:$H$216,MATCH(I189,AESC!$B$184:$B$216,0))</f>
        <v>0</v>
      </c>
    </row>
    <row r="190" spans="1:17" s="466" customFormat="1">
      <c r="A190" s="1015">
        <f t="shared" ref="A190:A214" si="38">A189+1</f>
        <v>3</v>
      </c>
      <c r="B190" s="1016">
        <f t="shared" si="36"/>
        <v>2026</v>
      </c>
      <c r="C190" s="1017">
        <f>VLOOKUP($B190,$I$188:$N$220,C$12,FALSE)*(1+Inflation1)^(Year1-Real_Year)</f>
        <v>5.0682136542900456E-2</v>
      </c>
      <c r="D190" s="1485">
        <f t="shared" si="33"/>
        <v>3.3020988121522797E-3</v>
      </c>
      <c r="E190" s="1018">
        <f>NPV(realdiscrt1,C$188:C190)/(1+realdiscrt1)^-Half_Year</f>
        <v>0.14937961417581216</v>
      </c>
      <c r="F190" s="1018">
        <f>NPV(realdiscrt1,D$188:D190)/(1+realdiscrt1)^-Half_Year</f>
        <v>8.021056931410064E-3</v>
      </c>
      <c r="G190" s="1019" t="str">
        <f t="shared" si="34"/>
        <v>2024-Summer Daily Discharge-3</v>
      </c>
      <c r="I190" s="1020">
        <v>2020</v>
      </c>
      <c r="J190" s="1319">
        <f t="shared" si="35"/>
        <v>0</v>
      </c>
      <c r="K190" s="1323"/>
      <c r="L190" s="1324"/>
      <c r="M190" s="1324"/>
      <c r="N190" s="1321">
        <f>INDEX(AESC!$H$184:$H$216,MATCH(I190,AESC!$B$184:$B$216,0))</f>
        <v>0</v>
      </c>
    </row>
    <row r="191" spans="1:17" s="466" customFormat="1">
      <c r="A191" s="1015">
        <f t="shared" si="38"/>
        <v>4</v>
      </c>
      <c r="B191" s="1016">
        <f t="shared" si="36"/>
        <v>2027</v>
      </c>
      <c r="C191" s="1017">
        <f t="shared" si="37"/>
        <v>5.1424860911355424E-2</v>
      </c>
      <c r="D191" s="1485">
        <f t="shared" si="33"/>
        <v>3.6863976532286518E-3</v>
      </c>
      <c r="E191" s="1018">
        <f>NPV(realdiscrt1,C$188:C191)/(1+realdiscrt1)^-Half_Year</f>
        <v>0.19842284535583976</v>
      </c>
      <c r="F191" s="1018">
        <f>NPV(realdiscrt1,D$188:D191)/(1+realdiscrt1)^-Half_Year</f>
        <v>1.1536727156370887E-2</v>
      </c>
      <c r="G191" s="1019" t="str">
        <f t="shared" si="34"/>
        <v>2024-Summer Daily Discharge-4</v>
      </c>
      <c r="I191" s="1020">
        <v>2021</v>
      </c>
      <c r="J191" s="1021">
        <f>(K191+$N191)*(1+WholesaleRiskPremium)</f>
        <v>4.6467704554066812E-2</v>
      </c>
      <c r="K191" s="1022">
        <v>3.1346414920136227E-2</v>
      </c>
      <c r="L191" s="1023">
        <v>1.6600043033285492E-3</v>
      </c>
      <c r="M191" s="1023">
        <v>0</v>
      </c>
      <c r="N191" s="1024">
        <f>INDEX(AESC!$H$184:$H$216,MATCH(I191,AESC!$B$184:$B$216,0))</f>
        <v>1.1679237444740446E-2</v>
      </c>
    </row>
    <row r="192" spans="1:17" s="466" customFormat="1">
      <c r="A192" s="1015">
        <f t="shared" si="38"/>
        <v>5</v>
      </c>
      <c r="B192" s="1016">
        <f t="shared" si="36"/>
        <v>2028</v>
      </c>
      <c r="C192" s="1017">
        <f t="shared" si="37"/>
        <v>5.2193164807859536E-2</v>
      </c>
      <c r="D192" s="1485">
        <f t="shared" si="33"/>
        <v>3.7067087732206511E-3</v>
      </c>
      <c r="E192" s="1018">
        <f>NPV(realdiscrt1,C$188:C192)/(1+realdiscrt1)^-Half_Year</f>
        <v>0.24752895931369026</v>
      </c>
      <c r="F192" s="1018">
        <f>NPV(realdiscrt1,D$188:D192)/(1+realdiscrt1)^-Half_Year</f>
        <v>1.5024196523220385E-2</v>
      </c>
      <c r="G192" s="1019" t="str">
        <f t="shared" si="34"/>
        <v>2024-Summer Daily Discharge-5</v>
      </c>
      <c r="I192" s="1020">
        <v>2022</v>
      </c>
      <c r="J192" s="1021">
        <f t="shared" si="35"/>
        <v>4.3346173561693103E-2</v>
      </c>
      <c r="K192" s="1022">
        <v>2.9227490559792523E-2</v>
      </c>
      <c r="L192" s="1023">
        <v>2.420122628953554E-3</v>
      </c>
      <c r="M192" s="1023">
        <v>0</v>
      </c>
      <c r="N192" s="1024">
        <f>INDEX(AESC!$H$184:$H$216,MATCH(I192,AESC!$B$184:$B$216,0))</f>
        <v>1.0907855330664046E-2</v>
      </c>
    </row>
    <row r="193" spans="1:14" s="466" customFormat="1">
      <c r="A193" s="1015">
        <f t="shared" si="38"/>
        <v>6</v>
      </c>
      <c r="B193" s="1016">
        <f t="shared" si="36"/>
        <v>2029</v>
      </c>
      <c r="C193" s="1017">
        <f t="shared" si="37"/>
        <v>5.3910793156261003E-2</v>
      </c>
      <c r="D193" s="1485">
        <f t="shared" si="33"/>
        <v>3.7168024414161779E-3</v>
      </c>
      <c r="E193" s="1018">
        <f>NPV(realdiscrt1,C$188:C193)/(1+realdiscrt1)^-Half_Year</f>
        <v>0.29756853779645964</v>
      </c>
      <c r="F193" s="1018">
        <f>NPV(realdiscrt1,D$188:D193)/(1+realdiscrt1)^-Half_Year</f>
        <v>1.8474103612012561E-2</v>
      </c>
      <c r="G193" s="1019" t="str">
        <f t="shared" si="34"/>
        <v>2024-Summer Daily Discharge-6</v>
      </c>
      <c r="I193" s="1020">
        <v>2023</v>
      </c>
      <c r="J193" s="1021">
        <f t="shared" si="35"/>
        <v>4.1455905078401793E-2</v>
      </c>
      <c r="K193" s="1022">
        <v>2.7500067179105771E-2</v>
      </c>
      <c r="L193" s="1023">
        <v>2.7490983134966203E-3</v>
      </c>
      <c r="M193" s="1023">
        <v>0</v>
      </c>
      <c r="N193" s="1024">
        <f>INDEX(AESC!$H$184:$H$216,MATCH(I193,AESC!$B$184:$B$216,0))</f>
        <v>1.0885030115710697E-2</v>
      </c>
    </row>
    <row r="194" spans="1:14" s="466" customFormat="1">
      <c r="A194" s="1015">
        <f t="shared" si="38"/>
        <v>7</v>
      </c>
      <c r="B194" s="1016">
        <f t="shared" si="36"/>
        <v>2030</v>
      </c>
      <c r="C194" s="1017">
        <f t="shared" si="37"/>
        <v>5.7928043569037753E-2</v>
      </c>
      <c r="D194" s="1485">
        <f t="shared" si="33"/>
        <v>3.6981425621930297E-3</v>
      </c>
      <c r="E194" s="1018">
        <f>NPV(realdiscrt1,C$188:C194)/(1+realdiscrt1)^-Half_Year</f>
        <v>0.35061333191145849</v>
      </c>
      <c r="F194" s="1018">
        <f>NPV(realdiscrt1,D$188:D194)/(1+realdiscrt1)^-Half_Year</f>
        <v>2.1860498158302648E-2</v>
      </c>
      <c r="G194" s="1019" t="str">
        <f t="shared" si="34"/>
        <v>2024-Summer Daily Discharge-7</v>
      </c>
      <c r="I194" s="1020">
        <v>2024</v>
      </c>
      <c r="J194" s="1021">
        <f t="shared" si="35"/>
        <v>4.2926997266014622E-2</v>
      </c>
      <c r="K194" s="1022">
        <v>3.0953138660760139E-2</v>
      </c>
      <c r="L194" s="1023">
        <v>3.0690388591864564E-3</v>
      </c>
      <c r="M194" s="1023">
        <v>0</v>
      </c>
      <c r="N194" s="1024">
        <f>INDEX(AESC!$H$184:$H$216,MATCH(I194,AESC!$B$184:$B$216,0))</f>
        <v>8.7940810299941326E-3</v>
      </c>
    </row>
    <row r="195" spans="1:14" s="996" customFormat="1" ht="15" customHeight="1">
      <c r="A195" s="1015">
        <f t="shared" si="38"/>
        <v>8</v>
      </c>
      <c r="B195" s="1016">
        <f t="shared" si="36"/>
        <v>2031</v>
      </c>
      <c r="C195" s="1017">
        <f t="shared" si="37"/>
        <v>5.896823877918661E-2</v>
      </c>
      <c r="D195" s="1485">
        <f t="shared" si="33"/>
        <v>3.5427945969428039E-3</v>
      </c>
      <c r="E195" s="1018">
        <f>NPV(realdiscrt1,C$188:C195)/(1+realdiscrt1)^-Half_Year</f>
        <v>0.40388398846725881</v>
      </c>
      <c r="F195" s="1018">
        <f>NPV(realdiscrt1,D$188:D195)/(1+realdiscrt1)^-Half_Year</f>
        <v>2.5060983676077651E-2</v>
      </c>
      <c r="G195" s="1019" t="str">
        <f t="shared" si="34"/>
        <v>2024-Summer Daily Discharge-8</v>
      </c>
      <c r="H195" s="466"/>
      <c r="I195" s="1020">
        <v>2025</v>
      </c>
      <c r="J195" s="1021">
        <f t="shared" si="35"/>
        <v>4.177718140571314E-2</v>
      </c>
      <c r="K195" s="1022">
        <v>3.1759532865594665E-2</v>
      </c>
      <c r="L195" s="1023">
        <v>3.0859484881502362E-3</v>
      </c>
      <c r="M195" s="1023">
        <v>0</v>
      </c>
      <c r="N195" s="1024">
        <f>INDEX(AESC!$H$184:$H$216,MATCH(I195,AESC!$B$184:$B$216,0))</f>
        <v>6.923042510065645E-3</v>
      </c>
    </row>
    <row r="196" spans="1:14" s="466" customFormat="1">
      <c r="A196" s="1015">
        <f t="shared" si="38"/>
        <v>9</v>
      </c>
      <c r="B196" s="1016">
        <f t="shared" si="36"/>
        <v>2032</v>
      </c>
      <c r="C196" s="1017">
        <f t="shared" si="37"/>
        <v>6.1458589999016405E-2</v>
      </c>
      <c r="D196" s="1485">
        <f t="shared" si="33"/>
        <v>3.3463675832472476E-3</v>
      </c>
      <c r="E196" s="1018">
        <f>NPV(realdiscrt1,C$188:C196)/(1+realdiscrt1)^-Half_Year</f>
        <v>0.45865723341045317</v>
      </c>
      <c r="F196" s="1018">
        <f>NPV(realdiscrt1,D$188:D196)/(1+realdiscrt1)^-Half_Year</f>
        <v>2.8043339947350719E-2</v>
      </c>
      <c r="G196" s="1019" t="str">
        <f t="shared" si="34"/>
        <v>2024-Summer Daily Discharge-9</v>
      </c>
      <c r="H196" s="1018"/>
      <c r="I196" s="1020">
        <v>2026</v>
      </c>
      <c r="J196" s="1021">
        <f t="shared" si="35"/>
        <v>4.2194429670527896E-2</v>
      </c>
      <c r="K196" s="1022">
        <v>3.2602439274454921E-2</v>
      </c>
      <c r="L196" s="1023">
        <v>3.0943517758141902E-3</v>
      </c>
      <c r="M196" s="1023">
        <v>0</v>
      </c>
      <c r="N196" s="1024">
        <f>INDEX(AESC!$H$184:$H$216,MATCH(I196,AESC!$B$184:$B$216,0))</f>
        <v>6.4664770871449753E-3</v>
      </c>
    </row>
    <row r="197" spans="1:14" s="466" customFormat="1">
      <c r="A197" s="1015">
        <f t="shared" si="38"/>
        <v>10</v>
      </c>
      <c r="B197" s="1016">
        <f t="shared" si="36"/>
        <v>2033</v>
      </c>
      <c r="C197" s="1017">
        <f t="shared" si="37"/>
        <v>5.8213826033102857E-2</v>
      </c>
      <c r="D197" s="1485">
        <f t="shared" si="33"/>
        <v>2.7893405179644729E-3</v>
      </c>
      <c r="E197" s="1018">
        <f>NPV(realdiscrt1,C$188:C197)/(1+realdiscrt1)^-Half_Year</f>
        <v>0.50984050094613143</v>
      </c>
      <c r="F197" s="1018">
        <f>NPV(realdiscrt1,D$188:D197)/(1+realdiscrt1)^-Half_Year</f>
        <v>3.0495808230364779E-2</v>
      </c>
      <c r="G197" s="1019" t="str">
        <f t="shared" si="34"/>
        <v>2024-Summer Daily Discharge-10</v>
      </c>
      <c r="I197" s="1020">
        <v>2027</v>
      </c>
      <c r="J197" s="1021">
        <f t="shared" si="35"/>
        <v>4.2812770436466863E-2</v>
      </c>
      <c r="K197" s="1022">
        <v>3.3555721768308025E-2</v>
      </c>
      <c r="L197" s="1023">
        <v>3.0788168553225253E-3</v>
      </c>
      <c r="M197" s="1023">
        <v>0</v>
      </c>
      <c r="N197" s="1024">
        <f>INDEX(AESC!$H$184:$H$216,MATCH(I197,AESC!$B$184:$B$216,0))</f>
        <v>6.0857323395316605E-3</v>
      </c>
    </row>
    <row r="198" spans="1:14" s="466" customFormat="1">
      <c r="A198" s="1015">
        <f t="shared" si="38"/>
        <v>11</v>
      </c>
      <c r="B198" s="1016">
        <f t="shared" si="36"/>
        <v>2034</v>
      </c>
      <c r="C198" s="1017">
        <f t="shared" si="37"/>
        <v>5.8628952885358063E-2</v>
      </c>
      <c r="D198" s="1485">
        <f t="shared" si="33"/>
        <v>1.9764420406797652E-3</v>
      </c>
      <c r="E198" s="1018">
        <f>NPV(realdiscrt1,C$188:C198)/(1+realdiscrt1)^-Half_Year</f>
        <v>0.56069507106321881</v>
      </c>
      <c r="F198" s="1018">
        <f>NPV(realdiscrt1,D$188:D198)/(1+realdiscrt1)^-Half_Year</f>
        <v>3.2210167866578064E-2</v>
      </c>
      <c r="G198" s="1019" t="str">
        <f t="shared" si="34"/>
        <v>2024-Summer Daily Discharge-11</v>
      </c>
      <c r="H198" s="996"/>
      <c r="I198" s="1020">
        <v>2028</v>
      </c>
      <c r="J198" s="1021">
        <f t="shared" si="35"/>
        <v>4.3452406942303484E-2</v>
      </c>
      <c r="K198" s="1022">
        <v>3.4602846934431122E-2</v>
      </c>
      <c r="L198" s="1023">
        <v>2.9494849202202655E-3</v>
      </c>
      <c r="M198" s="1023">
        <v>0</v>
      </c>
      <c r="N198" s="1024">
        <f>INDEX(AESC!$H$184:$H$216,MATCH(I198,AESC!$B$184:$B$216,0))</f>
        <v>5.6308631973313586E-3</v>
      </c>
    </row>
    <row r="199" spans="1:14" s="466" customFormat="1">
      <c r="A199" s="1015">
        <f t="shared" si="38"/>
        <v>12</v>
      </c>
      <c r="B199" s="1016">
        <f t="shared" si="36"/>
        <v>2035</v>
      </c>
      <c r="C199" s="1017">
        <f t="shared" si="37"/>
        <v>6.0490698177515068E-2</v>
      </c>
      <c r="D199" s="1485">
        <f t="shared" si="33"/>
        <v>0</v>
      </c>
      <c r="E199" s="1018">
        <f>NPV(realdiscrt1,C$188:C199)/(1+realdiscrt1)^-Half_Year</f>
        <v>0.61245842791562843</v>
      </c>
      <c r="F199" s="1018">
        <f>NPV(realdiscrt1,D$188:D199)/(1+realdiscrt1)^-Half_Year</f>
        <v>3.2210167866578064E-2</v>
      </c>
      <c r="G199" s="1019" t="str">
        <f t="shared" si="34"/>
        <v>2024-Summer Daily Discharge-12</v>
      </c>
      <c r="I199" s="1020">
        <v>2029</v>
      </c>
      <c r="J199" s="1021">
        <f t="shared" si="35"/>
        <v>4.4882385106017712E-2</v>
      </c>
      <c r="K199" s="1022">
        <v>3.6198320255785482E-2</v>
      </c>
      <c r="L199" s="1023">
        <v>2.7859534201669207E-3</v>
      </c>
      <c r="M199" s="1023">
        <v>0</v>
      </c>
      <c r="N199" s="1024">
        <f>INDEX(AESC!$H$184:$H$216,MATCH(I199,AESC!$B$184:$B$216,0))</f>
        <v>5.3594437312679526E-3</v>
      </c>
    </row>
    <row r="200" spans="1:14" s="466" customFormat="1">
      <c r="A200" s="1015">
        <f t="shared" si="38"/>
        <v>13</v>
      </c>
      <c r="B200" s="1016">
        <f t="shared" si="36"/>
        <v>2036</v>
      </c>
      <c r="C200" s="1017">
        <f t="shared" si="37"/>
        <v>6.1110830243833458E-2</v>
      </c>
      <c r="D200" s="1485">
        <f t="shared" si="33"/>
        <v>0</v>
      </c>
      <c r="E200" s="1018">
        <f>NPV(realdiscrt1,C$188:C200)/(1+realdiscrt1)^-Half_Year</f>
        <v>0.66404872219427502</v>
      </c>
      <c r="F200" s="1018">
        <f>NPV(realdiscrt1,D$188:D200)/(1+realdiscrt1)^-Half_Year</f>
        <v>3.2210167866578064E-2</v>
      </c>
      <c r="G200" s="1019" t="str">
        <f t="shared" si="34"/>
        <v>2024-Summer Daily Discharge-13</v>
      </c>
      <c r="I200" s="1020">
        <v>2030</v>
      </c>
      <c r="J200" s="1021">
        <f t="shared" si="35"/>
        <v>4.822686901243961E-2</v>
      </c>
      <c r="K200" s="1022">
        <v>3.6506415677882743E-2</v>
      </c>
      <c r="L200" s="1023">
        <v>2.3222113419149541E-3</v>
      </c>
      <c r="M200" s="1023">
        <v>0</v>
      </c>
      <c r="N200" s="1024">
        <f>INDEX(AESC!$H$184:$H$216,MATCH(I200,AESC!$B$184:$B$216,0))</f>
        <v>8.1480926669687433E-3</v>
      </c>
    </row>
    <row r="201" spans="1:14" s="466" customFormat="1">
      <c r="A201" s="1015">
        <f t="shared" si="38"/>
        <v>14</v>
      </c>
      <c r="B201" s="1016">
        <f t="shared" si="36"/>
        <v>2037</v>
      </c>
      <c r="C201" s="1017">
        <f t="shared" si="37"/>
        <v>6.1873198279064297E-2</v>
      </c>
      <c r="D201" s="1485">
        <f t="shared" si="33"/>
        <v>0</v>
      </c>
      <c r="E201" s="1018">
        <f>NPV(realdiscrt1,C$188:C201)/(1+realdiscrt1)^-Half_Year</f>
        <v>0.7155796987133719</v>
      </c>
      <c r="F201" s="1018">
        <f>NPV(realdiscrt1,D$188:D201)/(1+realdiscrt1)^-Half_Year</f>
        <v>3.2210167866578064E-2</v>
      </c>
      <c r="G201" s="1019" t="str">
        <f t="shared" si="34"/>
        <v>2024-Summer Daily Discharge-14</v>
      </c>
      <c r="I201" s="1020">
        <v>2031</v>
      </c>
      <c r="J201" s="1021">
        <f t="shared" si="35"/>
        <v>4.9092863357431252E-2</v>
      </c>
      <c r="K201" s="1022">
        <v>3.755465389365744E-2</v>
      </c>
      <c r="L201" s="1023">
        <v>1.645448482874168E-3</v>
      </c>
      <c r="M201" s="1023">
        <v>0</v>
      </c>
      <c r="N201" s="1024">
        <f>INDEX(AESC!$H$184:$H$216,MATCH(I201,AESC!$B$184:$B$216,0))</f>
        <v>7.901701066927053E-3</v>
      </c>
    </row>
    <row r="202" spans="1:14" s="466" customFormat="1">
      <c r="A202" s="1015">
        <f t="shared" si="38"/>
        <v>15</v>
      </c>
      <c r="B202" s="1016">
        <f t="shared" si="36"/>
        <v>2038</v>
      </c>
      <c r="C202" s="1017">
        <f t="shared" si="37"/>
        <v>6.2765333375636237E-2</v>
      </c>
      <c r="D202" s="1485">
        <f t="shared" si="33"/>
        <v>0</v>
      </c>
      <c r="E202" s="1018">
        <f>NPV(realdiscrt1,C$188:C202)/(1+realdiscrt1)^-Half_Year</f>
        <v>0.76715023318562658</v>
      </c>
      <c r="F202" s="1018">
        <f>NPV(realdiscrt1,D$188:D202)/(1+realdiscrt1)^-Half_Year</f>
        <v>3.2210167866578064E-2</v>
      </c>
      <c r="G202" s="1019" t="str">
        <f t="shared" si="34"/>
        <v>2024-Summer Daily Discharge-15</v>
      </c>
      <c r="I202" s="1020">
        <v>2032</v>
      </c>
      <c r="J202" s="1021">
        <f t="shared" si="35"/>
        <v>5.1166156958838055E-2</v>
      </c>
      <c r="K202" s="1022">
        <v>3.9703651400882514E-2</v>
      </c>
      <c r="L202" s="1023">
        <v>0</v>
      </c>
      <c r="M202" s="1023">
        <v>0</v>
      </c>
      <c r="N202" s="1024">
        <f>INDEX(AESC!$H$184:$H$216,MATCH(I202,AESC!$B$184:$B$216,0))</f>
        <v>7.6724198573008698E-3</v>
      </c>
    </row>
    <row r="203" spans="1:14" s="466" customFormat="1">
      <c r="A203" s="1015">
        <f t="shared" si="38"/>
        <v>16</v>
      </c>
      <c r="B203" s="1016">
        <f t="shared" si="36"/>
        <v>2039</v>
      </c>
      <c r="C203" s="1017">
        <f t="shared" si="37"/>
        <v>6.3776528549835634E-2</v>
      </c>
      <c r="D203" s="1485">
        <f t="shared" si="33"/>
        <v>0</v>
      </c>
      <c r="E203" s="1018">
        <f>NPV(realdiscrt1,C$188:C203)/(1+realdiscrt1)^-Half_Year</f>
        <v>0.81884643718642536</v>
      </c>
      <c r="F203" s="1018">
        <f>NPV(realdiscrt1,D$188:D203)/(1+realdiscrt1)^-Half_Year</f>
        <v>3.2210167866578064E-2</v>
      </c>
      <c r="G203" s="1019" t="str">
        <f t="shared" si="34"/>
        <v>2024-Summer Daily Discharge-16</v>
      </c>
      <c r="I203" s="1020">
        <v>2033</v>
      </c>
      <c r="J203" s="1021">
        <f t="shared" si="35"/>
        <v>4.8464791659423093E-2</v>
      </c>
      <c r="K203" s="1022">
        <v>4.0315065193251641E-2</v>
      </c>
      <c r="L203" s="1023">
        <v>0</v>
      </c>
      <c r="M203" s="1023">
        <v>0</v>
      </c>
      <c r="N203" s="1024">
        <f>INDEX(AESC!$H$184:$H$216,MATCH(I203,AESC!$B$184:$B$216,0))</f>
        <v>4.5597418988067746E-3</v>
      </c>
    </row>
    <row r="204" spans="1:14" s="466" customFormat="1">
      <c r="A204" s="1015">
        <f t="shared" si="38"/>
        <v>17</v>
      </c>
      <c r="B204" s="1016">
        <f t="shared" si="36"/>
        <v>2040</v>
      </c>
      <c r="C204" s="1017">
        <f t="shared" si="37"/>
        <v>6.4897615730052732E-2</v>
      </c>
      <c r="D204" s="1485">
        <f t="shared" si="33"/>
        <v>0</v>
      </c>
      <c r="E204" s="1018">
        <f>NPV(realdiscrt1,C$188:C204)/(1+realdiscrt1)^-Half_Year</f>
        <v>0.87074346730815377</v>
      </c>
      <c r="F204" s="1018">
        <f>NPV(realdiscrt1,D$188:D204)/(1+realdiscrt1)^-Half_Year</f>
        <v>3.2210167866578064E-2</v>
      </c>
      <c r="G204" s="1019" t="str">
        <f t="shared" si="34"/>
        <v>2024-Summer Daily Discharge-17</v>
      </c>
      <c r="I204" s="1020">
        <v>2034</v>
      </c>
      <c r="J204" s="1021">
        <f t="shared" si="35"/>
        <v>4.8810397467832597E-2</v>
      </c>
      <c r="K204" s="1022">
        <v>4.0515276918642061E-2</v>
      </c>
      <c r="L204" s="1023">
        <v>0</v>
      </c>
      <c r="M204" s="1023">
        <v>0</v>
      </c>
      <c r="N204" s="1024">
        <f>INDEX(AESC!$H$184:$H$216,MATCH(I204,AESC!$B$184:$B$216,0))</f>
        <v>4.6795355515733099E-3</v>
      </c>
    </row>
    <row r="205" spans="1:14" s="466" customFormat="1">
      <c r="A205" s="1015">
        <f t="shared" si="38"/>
        <v>18</v>
      </c>
      <c r="B205" s="1016">
        <f t="shared" si="36"/>
        <v>2041</v>
      </c>
      <c r="C205" s="1017">
        <f t="shared" si="37"/>
        <v>6.6120771597231481E-2</v>
      </c>
      <c r="D205" s="1485">
        <f t="shared" si="33"/>
        <v>0</v>
      </c>
      <c r="E205" s="1018">
        <f>NPV(realdiscrt1,C$188:C205)/(1+realdiscrt1)^-Half_Year</f>
        <v>0.9229070801019813</v>
      </c>
      <c r="F205" s="1018">
        <f>NPV(realdiscrt1,D$188:D205)/(1+realdiscrt1)^-Half_Year</f>
        <v>3.2210167866578064E-2</v>
      </c>
      <c r="G205" s="1019" t="str">
        <f t="shared" si="34"/>
        <v>2024-Summer Daily Discharge-18</v>
      </c>
      <c r="I205" s="1020">
        <v>2035</v>
      </c>
      <c r="J205" s="1021">
        <f t="shared" si="35"/>
        <v>5.0360357397557759E-2</v>
      </c>
      <c r="K205" s="1022">
        <v>4.1782326482335541E-2</v>
      </c>
      <c r="L205" s="1023">
        <v>0</v>
      </c>
      <c r="M205" s="1023">
        <v>0</v>
      </c>
      <c r="N205" s="1024">
        <f>INDEX(AESC!$H$184:$H$216,MATCH(I205,AESC!$B$184:$B$216,0))</f>
        <v>4.8476340709586799E-3</v>
      </c>
    </row>
    <row r="206" spans="1:14" s="466" customFormat="1">
      <c r="A206" s="1015">
        <f t="shared" si="38"/>
        <v>19</v>
      </c>
      <c r="B206" s="1016">
        <f t="shared" si="36"/>
        <v>2042</v>
      </c>
      <c r="C206" s="1017">
        <f t="shared" si="37"/>
        <v>6.7439348561559476E-2</v>
      </c>
      <c r="D206" s="1485">
        <f t="shared" si="33"/>
        <v>0</v>
      </c>
      <c r="E206" s="1018">
        <f>NPV(realdiscrt1,C$188:C206)/(1+realdiscrt1)^-Half_Year</f>
        <v>0.97539496855528973</v>
      </c>
      <c r="F206" s="1018">
        <f>NPV(realdiscrt1,D$188:D206)/(1+realdiscrt1)^-Half_Year</f>
        <v>3.2210167866578064E-2</v>
      </c>
      <c r="G206" s="1019" t="str">
        <f t="shared" si="34"/>
        <v>2024-Summer Daily Discharge-19</v>
      </c>
      <c r="I206" s="1020">
        <v>2036</v>
      </c>
      <c r="J206" s="1021">
        <f t="shared" si="35"/>
        <v>5.0876636320340778E-2</v>
      </c>
      <c r="K206" s="1022">
        <v>4.2885182292000175E-2</v>
      </c>
      <c r="L206" s="1023">
        <v>0</v>
      </c>
      <c r="M206" s="1023">
        <v>0</v>
      </c>
      <c r="N206" s="1024">
        <f>INDEX(AESC!$H$184:$H$216,MATCH(I206,AESC!$B$184:$B$216,0))</f>
        <v>4.2228143009079497E-3</v>
      </c>
    </row>
    <row r="207" spans="1:14" s="466" customFormat="1">
      <c r="A207" s="1015">
        <f t="shared" si="38"/>
        <v>20</v>
      </c>
      <c r="B207" s="1016">
        <f t="shared" si="36"/>
        <v>2043</v>
      </c>
      <c r="C207" s="1017">
        <f t="shared" si="37"/>
        <v>6.8847727638467374E-2</v>
      </c>
      <c r="D207" s="1485">
        <f t="shared" si="33"/>
        <v>0</v>
      </c>
      <c r="E207" s="1018">
        <f>NPV(realdiscrt1,C$188:C207)/(1+realdiscrt1)^-Half_Year</f>
        <v>1.0282579108262493</v>
      </c>
      <c r="F207" s="1018">
        <f>NPV(realdiscrt1,D$188:D207)/(1+realdiscrt1)^-Half_Year</f>
        <v>3.2210167866578064E-2</v>
      </c>
      <c r="G207" s="1019" t="str">
        <f t="shared" si="34"/>
        <v>2024-Summer Daily Discharge-20</v>
      </c>
      <c r="I207" s="1020">
        <v>2037</v>
      </c>
      <c r="J207" s="1021">
        <f t="shared" si="35"/>
        <v>5.151133104001538E-2</v>
      </c>
      <c r="K207" s="1022">
        <v>4.4017148279084567E-2</v>
      </c>
      <c r="L207" s="1023">
        <v>0</v>
      </c>
      <c r="M207" s="1023">
        <v>0</v>
      </c>
      <c r="N207" s="1024">
        <f>INDEX(AESC!$H$184:$H$216,MATCH(I207,AESC!$B$184:$B$216,0))</f>
        <v>3.6785286098185554E-3</v>
      </c>
    </row>
    <row r="208" spans="1:14" s="466" customFormat="1">
      <c r="A208" s="1015">
        <f t="shared" si="38"/>
        <v>21</v>
      </c>
      <c r="B208" s="1016">
        <f t="shared" si="36"/>
        <v>2044</v>
      </c>
      <c r="C208" s="1017">
        <f t="shared" si="37"/>
        <v>7.034119040429751E-2</v>
      </c>
      <c r="D208" s="1485">
        <f t="shared" si="33"/>
        <v>0</v>
      </c>
      <c r="E208" s="1018">
        <f>NPV(realdiscrt1,C$188:C208)/(1+realdiscrt1)^-Half_Year</f>
        <v>1.0815407576371898</v>
      </c>
      <c r="F208" s="1018">
        <f>NPV(realdiscrt1,D$188:D208)/(1+realdiscrt1)^-Half_Year</f>
        <v>3.2210167866578064E-2</v>
      </c>
      <c r="G208" s="1019" t="str">
        <f t="shared" si="34"/>
        <v>2024-Summer Daily Discharge-21</v>
      </c>
      <c r="I208" s="1020">
        <v>2038</v>
      </c>
      <c r="J208" s="1021">
        <f t="shared" si="35"/>
        <v>5.2254060809449054E-2</v>
      </c>
      <c r="K208" s="1022">
        <v>4.5178992814596045E-2</v>
      </c>
      <c r="L208" s="1023">
        <v>0</v>
      </c>
      <c r="M208" s="1023">
        <v>0</v>
      </c>
      <c r="N208" s="1024">
        <f>INDEX(AESC!$H$184:$H$216,MATCH(I208,AESC!$B$184:$B$216,0))</f>
        <v>3.2043968237827087E-3</v>
      </c>
    </row>
    <row r="209" spans="1:14" s="466" customFormat="1">
      <c r="A209" s="1015">
        <f t="shared" si="38"/>
        <v>22</v>
      </c>
      <c r="B209" s="1016">
        <f t="shared" si="36"/>
        <v>2045</v>
      </c>
      <c r="C209" s="1017">
        <f t="shared" si="37"/>
        <v>7.1915807575508278E-2</v>
      </c>
      <c r="D209" s="1485">
        <f t="shared" si="33"/>
        <v>0</v>
      </c>
      <c r="E209" s="1018">
        <f>NPV(realdiscrt1,C$188:C209)/(1+realdiscrt1)^-Half_Year</f>
        <v>1.135283281016003</v>
      </c>
      <c r="F209" s="1018">
        <f>NPV(realdiscrt1,D$188:D209)/(1+realdiscrt1)^-Half_Year</f>
        <v>3.2210167866578064E-2</v>
      </c>
      <c r="G209" s="1019" t="str">
        <f t="shared" si="34"/>
        <v>2024-Summer Daily Discharge-22</v>
      </c>
      <c r="I209" s="1020">
        <v>2039</v>
      </c>
      <c r="J209" s="1021">
        <f t="shared" si="35"/>
        <v>5.3095911737040036E-2</v>
      </c>
      <c r="K209" s="1022">
        <v>4.6371504550902519E-2</v>
      </c>
      <c r="L209" s="1023">
        <v>0</v>
      </c>
      <c r="M209" s="1023">
        <v>0</v>
      </c>
      <c r="N209" s="1024">
        <f>INDEX(AESC!$H$184:$H$216,MATCH(I209,AESC!$B$184:$B$216,0))</f>
        <v>2.7913766870975056E-3</v>
      </c>
    </row>
    <row r="210" spans="1:14" s="466" customFormat="1">
      <c r="A210" s="1015">
        <f t="shared" si="38"/>
        <v>23</v>
      </c>
      <c r="B210" s="1016">
        <f t="shared" si="36"/>
        <v>2046</v>
      </c>
      <c r="C210" s="1017">
        <f t="shared" si="37"/>
        <v>7.3568342071938131E-2</v>
      </c>
      <c r="D210" s="1485">
        <f t="shared" si="33"/>
        <v>0</v>
      </c>
      <c r="E210" s="1018">
        <f>NPV(realdiscrt1,C$188:C210)/(1+realdiscrt1)^-Half_Year</f>
        <v>1.1895209038844015</v>
      </c>
      <c r="F210" s="1018">
        <f>NPV(realdiscrt1,D$188:D210)/(1+realdiscrt1)^-Half_Year</f>
        <v>3.2210167866578064E-2</v>
      </c>
      <c r="G210" s="1019" t="str">
        <f t="shared" si="34"/>
        <v>2024-Summer Daily Discharge-23</v>
      </c>
      <c r="I210" s="1020">
        <v>2040</v>
      </c>
      <c r="J210" s="1021">
        <f t="shared" si="35"/>
        <v>5.4029251122607577E-2</v>
      </c>
      <c r="K210" s="1022">
        <v>4.7595492957064486E-2</v>
      </c>
      <c r="L210" s="1023">
        <v>0</v>
      </c>
      <c r="M210" s="1023">
        <v>0</v>
      </c>
      <c r="N210" s="1024">
        <f>INDEX(AESC!$H$184:$H$216,MATCH(I210,AESC!$B$184:$B$216,0))</f>
        <v>2.4315914157203053E-3</v>
      </c>
    </row>
    <row r="211" spans="1:14" s="466" customFormat="1">
      <c r="A211" s="1015">
        <f t="shared" si="38"/>
        <v>24</v>
      </c>
      <c r="B211" s="1016">
        <f t="shared" si="36"/>
        <v>2047</v>
      </c>
      <c r="C211" s="1017">
        <f t="shared" si="37"/>
        <v>7.5296164700496437E-2</v>
      </c>
      <c r="D211" s="1485">
        <f t="shared" si="33"/>
        <v>0</v>
      </c>
      <c r="E211" s="1018">
        <f>NPV(realdiscrt1,C$188:C211)/(1+realdiscrt1)^-Half_Year</f>
        <v>1.2442853272500867</v>
      </c>
      <c r="F211" s="1018">
        <f>NPV(realdiscrt1,D$188:D211)/(1+realdiscrt1)^-Half_Year</f>
        <v>3.2210167866578064E-2</v>
      </c>
      <c r="G211" s="1019" t="str">
        <f t="shared" si="34"/>
        <v>2024-Summer Daily Discharge-24</v>
      </c>
      <c r="I211" s="1020">
        <v>2041</v>
      </c>
      <c r="J211" s="1021">
        <f t="shared" si="35"/>
        <v>5.5047565813624619E-2</v>
      </c>
      <c r="K211" s="1022">
        <v>4.8851788868297254E-2</v>
      </c>
      <c r="L211" s="1023">
        <v>0</v>
      </c>
      <c r="M211" s="1023">
        <v>0</v>
      </c>
      <c r="N211" s="1024">
        <f>INDEX(AESC!$H$184:$H$216,MATCH(I211,AESC!$B$184:$B$216,0))</f>
        <v>2.1181794776514674E-3</v>
      </c>
    </row>
    <row r="212" spans="1:14" s="466" customFormat="1">
      <c r="A212" s="1015">
        <f t="shared" si="38"/>
        <v>25</v>
      </c>
      <c r="B212" s="1016">
        <f t="shared" si="36"/>
        <v>2048</v>
      </c>
      <c r="C212" s="1017">
        <f t="shared" si="37"/>
        <v>7.7097180835941331E-2</v>
      </c>
      <c r="D212" s="1485">
        <f t="shared" si="33"/>
        <v>0</v>
      </c>
      <c r="E212" s="1018">
        <f>NPV(realdiscrt1,C$188:C212)/(1+realdiscrt1)^-Half_Year</f>
        <v>1.2996050694036214</v>
      </c>
      <c r="F212" s="1018">
        <f>NPV(realdiscrt1,D$188:D212)/(1+realdiscrt1)^-Half_Year</f>
        <v>3.2210167866578064E-2</v>
      </c>
      <c r="G212" s="1019" t="str">
        <f t="shared" si="34"/>
        <v>2024-Summer Daily Discharge-25</v>
      </c>
      <c r="I212" s="1020">
        <v>2042</v>
      </c>
      <c r="J212" s="1021">
        <f t="shared" si="35"/>
        <v>5.6145321488139666E-2</v>
      </c>
      <c r="K212" s="1022">
        <v>5.0141245049936382E-2</v>
      </c>
      <c r="L212" s="1023">
        <v>0</v>
      </c>
      <c r="M212" s="1023">
        <v>0</v>
      </c>
      <c r="N212" s="1024">
        <f>INDEX(AESC!$H$184:$H$216,MATCH(I212,AESC!$B$184:$B$216,0))</f>
        <v>1.8451637353781175E-3</v>
      </c>
    </row>
    <row r="213" spans="1:14" s="466" customFormat="1">
      <c r="A213" s="1015">
        <f t="shared" si="38"/>
        <v>26</v>
      </c>
      <c r="B213" s="1016">
        <f t="shared" si="36"/>
        <v>2049</v>
      </c>
      <c r="C213" s="1017">
        <f t="shared" si="37"/>
        <v>7.8969766684727008E-2</v>
      </c>
      <c r="D213" s="1485">
        <f t="shared" si="33"/>
        <v>0</v>
      </c>
      <c r="E213" s="1018">
        <f>NPV(realdiscrt1,C$188:C213)/(1+realdiscrt1)^-Half_Year</f>
        <v>1.3555059294958767</v>
      </c>
      <c r="F213" s="1018">
        <f>NPV(realdiscrt1,D$188:D213)/(1+realdiscrt1)^-Half_Year</f>
        <v>3.2210167866578064E-2</v>
      </c>
      <c r="G213" s="1019" t="str">
        <f t="shared" si="34"/>
        <v>2024-Summer Daily Discharge-26</v>
      </c>
      <c r="I213" s="1020">
        <v>2043</v>
      </c>
      <c r="J213" s="1021">
        <f t="shared" si="35"/>
        <v>5.731784016954395E-2</v>
      </c>
      <c r="K213" s="1022">
        <v>5.1464736776289127E-2</v>
      </c>
      <c r="L213" s="1023">
        <v>0</v>
      </c>
      <c r="M213" s="1023">
        <v>0</v>
      </c>
      <c r="N213" s="1024">
        <f>INDEX(AESC!$H$184:$H$216,MATCH(I213,AESC!$B$184:$B$216,0))</f>
        <v>1.6073374547700802E-3</v>
      </c>
    </row>
    <row r="214" spans="1:14" s="466" customFormat="1">
      <c r="A214" s="1015">
        <f t="shared" si="38"/>
        <v>27</v>
      </c>
      <c r="B214" s="1016">
        <f t="shared" si="36"/>
        <v>2050</v>
      </c>
      <c r="C214" s="1017">
        <f t="shared" si="37"/>
        <v>8.0912713900248831E-2</v>
      </c>
      <c r="D214" s="1485">
        <f t="shared" si="33"/>
        <v>0</v>
      </c>
      <c r="E214" s="1018">
        <f>NPV(realdiscrt1,C$188:C214)/(1+realdiscrt1)^-Half_Year</f>
        <v>1.4120113861317347</v>
      </c>
      <c r="F214" s="1018">
        <f>NPV(realdiscrt1,D$188:D214)/(1+realdiscrt1)^-Half_Year</f>
        <v>3.2210167866578064E-2</v>
      </c>
      <c r="G214" s="1019" t="str">
        <f t="shared" si="34"/>
        <v>2024-Summer Daily Discharge-27</v>
      </c>
      <c r="I214" s="1020">
        <v>2044</v>
      </c>
      <c r="J214" s="1021">
        <f t="shared" si="35"/>
        <v>5.8561193625747035E-2</v>
      </c>
      <c r="K214" s="1022">
        <v>5.2823162424764862E-2</v>
      </c>
      <c r="L214" s="1023">
        <v>0</v>
      </c>
      <c r="M214" s="1023">
        <v>0</v>
      </c>
      <c r="N214" s="1024">
        <f>INDEX(AESC!$H$184:$H$216,MATCH(I214,AESC!$B$184:$B$216,0))</f>
        <v>1.4001650064823829E-3</v>
      </c>
    </row>
    <row r="215" spans="1:14" s="466" customFormat="1" ht="20.25">
      <c r="A215" s="975">
        <f>Year2</f>
        <v>2025</v>
      </c>
      <c r="B215" s="976" t="str">
        <f>Year2&amp;"$"</f>
        <v>2025$</v>
      </c>
      <c r="C215" s="1046"/>
      <c r="D215" s="1480" t="s">
        <v>993</v>
      </c>
      <c r="E215" s="1481">
        <f>Year2</f>
        <v>2025</v>
      </c>
      <c r="F215" s="1481" t="s">
        <v>992</v>
      </c>
      <c r="G215" s="1047"/>
      <c r="I215" s="1020">
        <v>2045</v>
      </c>
      <c r="J215" s="1021">
        <f t="shared" si="35"/>
        <v>5.9872110607954748E-2</v>
      </c>
      <c r="K215" s="1022">
        <v>5.421744408568769E-2</v>
      </c>
      <c r="L215" s="1023">
        <v>0</v>
      </c>
      <c r="M215" s="1023">
        <v>0</v>
      </c>
      <c r="N215" s="1024">
        <f>INDEX(AESC!$H$184:$H$216,MATCH(I215,AESC!$B$184:$B$216,0))</f>
        <v>1.219695366122258E-3</v>
      </c>
    </row>
    <row r="216" spans="1:14" s="466" customFormat="1">
      <c r="A216" s="1015">
        <v>1</v>
      </c>
      <c r="B216" s="1016">
        <f>Year2</f>
        <v>2025</v>
      </c>
      <c r="C216" s="1017">
        <f t="shared" ref="C216:C240" si="39">VLOOKUP($B216,$I$188:$N$220,C$12,FALSE)*(1+Inflation2)^(Year2-Real_Year)</f>
        <v>5.3342356067773676E-2</v>
      </c>
      <c r="D216" s="1485">
        <f t="shared" ref="D216:D240" si="40">VLOOKUP($B216-4,$I$188:$N$220,IF($A$17=Year1,D$12,D$12+1),FALSE)*(1+Inflation2)^(Year2-Real_Year)</f>
        <v>2.1195431966139966E-3</v>
      </c>
      <c r="E216" s="1018">
        <f>NPV(realdiscrt2,C$216:C216)/(1+realdiscrt2)^(1-Half_Year)</f>
        <v>5.2269238449891016E-2</v>
      </c>
      <c r="F216" s="1018">
        <f>NPV(realdiscrt2,D$216:D216)/(1+realdiscrt2)^(1-Half_Year)</f>
        <v>2.0769031763033085E-3</v>
      </c>
      <c r="G216" s="1019" t="str">
        <f t="shared" ref="G216:G240" si="41">$A$45&amp;"-"&amp;$A$183&amp;"-"&amp;A216</f>
        <v>2025-Summer Daily Discharge-1</v>
      </c>
      <c r="I216" s="1020">
        <v>2046</v>
      </c>
      <c r="J216" s="1021">
        <f t="shared" si="35"/>
        <v>6.1247896147869955E-2</v>
      </c>
      <c r="K216" s="1022">
        <v>5.5648528188205232E-2</v>
      </c>
      <c r="L216" s="1023">
        <v>0</v>
      </c>
      <c r="M216" s="1023">
        <v>0</v>
      </c>
      <c r="N216" s="1024">
        <f>INDEX(AESC!$H$184:$H$216,MATCH(I216,AESC!$B$184:$B$216,0))</f>
        <v>1.0624867635262009E-3</v>
      </c>
    </row>
    <row r="217" spans="1:14" s="466" customFormat="1">
      <c r="A217" s="1015">
        <v>2</v>
      </c>
      <c r="B217" s="1016">
        <f t="shared" ref="B217:B240" si="42">B216+1</f>
        <v>2026</v>
      </c>
      <c r="C217" s="1017">
        <f t="shared" si="39"/>
        <v>5.3875111145103183E-2</v>
      </c>
      <c r="D217" s="1485">
        <f t="shared" si="40"/>
        <v>3.0900850334451453E-3</v>
      </c>
      <c r="E217" s="1018">
        <f>NPV(realdiscrt2,C$216:C217)/(1+realdiscrt2)^(1-Half_Year)</f>
        <v>0.10435009800872669</v>
      </c>
      <c r="F217" s="1018">
        <f>NPV(realdiscrt2,D$216:D217)/(1+realdiscrt2)^(1-Half_Year)</f>
        <v>5.064076311190554E-3</v>
      </c>
      <c r="G217" s="1019" t="str">
        <f t="shared" si="41"/>
        <v>2025-Summer Daily Discharge-2</v>
      </c>
      <c r="I217" s="1020">
        <v>2047</v>
      </c>
      <c r="J217" s="1021">
        <f t="shared" si="35"/>
        <v>6.2686361361784904E-2</v>
      </c>
      <c r="K217" s="1022">
        <v>5.7117386142718482E-2</v>
      </c>
      <c r="L217" s="1023">
        <v>0</v>
      </c>
      <c r="M217" s="1023">
        <v>0</v>
      </c>
      <c r="N217" s="1024">
        <f>INDEX(AESC!$H$184:$H$216,MATCH(I217,AESC!$B$184:$B$216,0))</f>
        <v>9.255410441193939E-4</v>
      </c>
    </row>
    <row r="218" spans="1:14" s="466" customFormat="1">
      <c r="A218" s="1015">
        <f t="shared" ref="A218:A240" si="43">A217+1</f>
        <v>3</v>
      </c>
      <c r="B218" s="1016">
        <f t="shared" si="42"/>
        <v>2027</v>
      </c>
      <c r="C218" s="1017">
        <f t="shared" si="39"/>
        <v>5.4664627148770809E-2</v>
      </c>
      <c r="D218" s="1485">
        <f t="shared" si="40"/>
        <v>3.5101310373178733E-3</v>
      </c>
      <c r="E218" s="1018">
        <f>NPV(realdiscrt2,C$216:C218)/(1+realdiscrt2)^(1-Half_Year)</f>
        <v>0.15648305275309601</v>
      </c>
      <c r="F218" s="1018">
        <f>NPV(realdiscrt2,D$216:D218)/(1+realdiscrt2)^(1-Half_Year)</f>
        <v>8.411643322253826E-3</v>
      </c>
      <c r="G218" s="1019" t="str">
        <f t="shared" si="41"/>
        <v>2025-Summer Daily Discharge-3</v>
      </c>
      <c r="I218" s="1020">
        <v>2048</v>
      </c>
      <c r="J218" s="1021">
        <f t="shared" si="35"/>
        <v>6.4185762410085043E-2</v>
      </c>
      <c r="K218" s="1022">
        <v>5.8625015000268739E-2</v>
      </c>
      <c r="L218" s="1023">
        <v>0</v>
      </c>
      <c r="M218" s="1023">
        <v>0</v>
      </c>
      <c r="N218" s="1024">
        <f>INDEX(AESC!$H$184:$H$216,MATCH(I218,AESC!$B$184:$B$216,0))</f>
        <v>8.0624649055074406E-4</v>
      </c>
    </row>
    <row r="219" spans="1:14" s="466" customFormat="1">
      <c r="A219" s="1015">
        <f t="shared" si="43"/>
        <v>4</v>
      </c>
      <c r="B219" s="1016">
        <f t="shared" si="42"/>
        <v>2028</v>
      </c>
      <c r="C219" s="1017">
        <f t="shared" si="39"/>
        <v>5.5481334190754683E-2</v>
      </c>
      <c r="D219" s="1485">
        <f t="shared" si="40"/>
        <v>3.9186407053820567E-3</v>
      </c>
      <c r="E219" s="1018">
        <f>NPV(realdiscrt2,C$216:C219)/(1+realdiscrt2)^(1-Half_Year)</f>
        <v>0.20868285189029109</v>
      </c>
      <c r="F219" s="1018">
        <f>NPV(realdiscrt2,D$216:D219)/(1+realdiscrt2)^(1-Half_Year)</f>
        <v>1.2098509557454531E-2</v>
      </c>
      <c r="G219" s="1019" t="str">
        <f t="shared" si="41"/>
        <v>2025-Summer Daily Discharge-4</v>
      </c>
      <c r="I219" s="1020">
        <v>2049</v>
      </c>
      <c r="J219" s="1021">
        <f t="shared" si="35"/>
        <v>6.5744747434951387E-2</v>
      </c>
      <c r="K219" s="1022">
        <v>6.017243812932923E-2</v>
      </c>
      <c r="L219" s="1023">
        <v>0</v>
      </c>
      <c r="M219" s="1023">
        <v>0</v>
      </c>
      <c r="N219" s="1024">
        <f>INDEX(AESC!$H$184:$H$216,MATCH(I219,AESC!$B$184:$B$216,0))</f>
        <v>7.0232801414427321E-4</v>
      </c>
    </row>
    <row r="220" spans="1:14" s="466" customFormat="1">
      <c r="A220" s="1015">
        <f t="shared" si="43"/>
        <v>5</v>
      </c>
      <c r="B220" s="1016">
        <f t="shared" si="42"/>
        <v>2029</v>
      </c>
      <c r="C220" s="1017">
        <f t="shared" si="39"/>
        <v>5.7307173125105443E-2</v>
      </c>
      <c r="D220" s="1485">
        <f t="shared" si="40"/>
        <v>3.9402314259335521E-3</v>
      </c>
      <c r="E220" s="1018">
        <f>NPV(realdiscrt2,C$216:C220)/(1+realdiscrt2)^(1-Half_Year)</f>
        <v>0.2618749238174749</v>
      </c>
      <c r="F220" s="1018">
        <f>NPV(realdiscrt2,D$216:D220)/(1+realdiscrt2)^(1-Half_Year)</f>
        <v>1.5755801690159461E-2</v>
      </c>
      <c r="G220" s="1019" t="str">
        <f t="shared" si="41"/>
        <v>2025-Summer Daily Discharge-5</v>
      </c>
      <c r="I220" s="1025">
        <v>2050</v>
      </c>
      <c r="J220" s="1026">
        <f t="shared" si="35"/>
        <v>6.736231045085718E-2</v>
      </c>
      <c r="K220" s="1027">
        <v>6.1760705910460859E-2</v>
      </c>
      <c r="L220" s="1038">
        <v>0</v>
      </c>
      <c r="M220" s="1038">
        <v>0</v>
      </c>
      <c r="N220" s="1029">
        <f>INDEX(AESC!$H$184:$H$216,MATCH(I220,AESC!$B$184:$B$216,0))</f>
        <v>6.1180376625874196E-4</v>
      </c>
    </row>
    <row r="221" spans="1:14" s="466" customFormat="1">
      <c r="A221" s="1015">
        <f t="shared" si="43"/>
        <v>6</v>
      </c>
      <c r="B221" s="1016">
        <f t="shared" si="42"/>
        <v>2030</v>
      </c>
      <c r="C221" s="1017">
        <f t="shared" si="39"/>
        <v>6.1577510313887127E-2</v>
      </c>
      <c r="D221" s="1485">
        <f t="shared" si="40"/>
        <v>3.9509609952253968E-3</v>
      </c>
      <c r="E221" s="1018">
        <f>NPV(realdiscrt2,C$216:C221)/(1+realdiscrt2)^(1-Half_Year)</f>
        <v>0.31826153996171874</v>
      </c>
      <c r="F221" s="1018">
        <f>NPV(realdiscrt2,D$216:D221)/(1+realdiscrt2)^(1-Half_Year)</f>
        <v>1.9373702444883734E-2</v>
      </c>
      <c r="G221" s="1019" t="str">
        <f t="shared" si="41"/>
        <v>2025-Summer Daily Discharge-6</v>
      </c>
    </row>
    <row r="222" spans="1:14" s="466" customFormat="1">
      <c r="A222" s="1015">
        <f t="shared" si="43"/>
        <v>7</v>
      </c>
      <c r="B222" s="1016">
        <f t="shared" si="42"/>
        <v>2031</v>
      </c>
      <c r="C222" s="1017">
        <f t="shared" si="39"/>
        <v>6.2683237822275362E-2</v>
      </c>
      <c r="D222" s="1485">
        <f t="shared" si="40"/>
        <v>3.9311255436111905E-3</v>
      </c>
      <c r="E222" s="1018">
        <f>NPV(realdiscrt2,C$216:C222)/(1+realdiscrt2)^(1-Half_Year)</f>
        <v>0.37488824788053443</v>
      </c>
      <c r="F222" s="1018">
        <f>NPV(realdiscrt2,D$216:D222)/(1+realdiscrt2)^(1-Half_Year)</f>
        <v>2.2924997905743927E-2</v>
      </c>
      <c r="G222" s="1019" t="str">
        <f t="shared" si="41"/>
        <v>2025-Summer Daily Discharge-7</v>
      </c>
    </row>
    <row r="223" spans="1:14" s="466" customFormat="1">
      <c r="A223" s="1015">
        <f t="shared" si="43"/>
        <v>8</v>
      </c>
      <c r="B223" s="1016">
        <f t="shared" si="42"/>
        <v>2032</v>
      </c>
      <c r="C223" s="1017">
        <f t="shared" si="39"/>
        <v>6.533048116895443E-2</v>
      </c>
      <c r="D223" s="1485">
        <f t="shared" si="40"/>
        <v>3.7659906565501999E-3</v>
      </c>
      <c r="E223" s="1018">
        <f>NPV(realdiscrt2,C$216:C223)/(1+realdiscrt2)^(1-Half_Year)</f>
        <v>0.43311220725515004</v>
      </c>
      <c r="F223" s="1018">
        <f>NPV(realdiscrt2,D$216:D223)/(1+realdiscrt2)^(1-Half_Year)</f>
        <v>2.6281331474221608E-2</v>
      </c>
      <c r="G223" s="1019" t="str">
        <f t="shared" si="41"/>
        <v>2025-Summer Daily Discharge-8</v>
      </c>
    </row>
    <row r="224" spans="1:14" s="466" customFormat="1">
      <c r="A224" s="1015">
        <f t="shared" si="43"/>
        <v>9</v>
      </c>
      <c r="B224" s="1016">
        <f t="shared" si="42"/>
        <v>2033</v>
      </c>
      <c r="C224" s="1017">
        <f t="shared" si="39"/>
        <v>6.1881297073188332E-2</v>
      </c>
      <c r="D224" s="1485">
        <f t="shared" si="40"/>
        <v>3.5571887409918241E-3</v>
      </c>
      <c r="E224" s="1018">
        <f>NPV(realdiscrt2,C$216:C224)/(1+realdiscrt2)^(1-Half_Year)</f>
        <v>0.48752002064557604</v>
      </c>
      <c r="F224" s="1018">
        <f>NPV(realdiscrt2,D$216:D224)/(1+realdiscrt2)^(1-Half_Year)</f>
        <v>2.9408913964703427E-2</v>
      </c>
      <c r="G224" s="1019" t="str">
        <f t="shared" si="41"/>
        <v>2025-Summer Daily Discharge-9</v>
      </c>
    </row>
    <row r="225" spans="1:7" s="466" customFormat="1">
      <c r="A225" s="1015">
        <f t="shared" si="43"/>
        <v>10</v>
      </c>
      <c r="B225" s="1016">
        <f t="shared" si="42"/>
        <v>2034</v>
      </c>
      <c r="C225" s="1017">
        <f t="shared" si="39"/>
        <v>6.2322576917135615E-2</v>
      </c>
      <c r="D225" s="1485">
        <f t="shared" si="40"/>
        <v>2.9650689705962344E-3</v>
      </c>
      <c r="E225" s="1018">
        <f>NPV(realdiscrt2,C$216:C225)/(1+realdiscrt2)^(1-Half_Year)</f>
        <v>0.5415784286800398</v>
      </c>
      <c r="F225" s="1018">
        <f>NPV(realdiscrt2,D$216:D225)/(1+realdiscrt2)^(1-Half_Year)</f>
        <v>3.1980805503718845E-2</v>
      </c>
      <c r="G225" s="1019" t="str">
        <f t="shared" si="41"/>
        <v>2025-Summer Daily Discharge-10</v>
      </c>
    </row>
    <row r="226" spans="1:7" s="466" customFormat="1">
      <c r="A226" s="1015">
        <f t="shared" si="43"/>
        <v>11</v>
      </c>
      <c r="B226" s="1016">
        <f t="shared" si="42"/>
        <v>2035</v>
      </c>
      <c r="C226" s="1017">
        <f t="shared" si="39"/>
        <v>6.4301612162698515E-2</v>
      </c>
      <c r="D226" s="1485">
        <f t="shared" si="40"/>
        <v>2.1009578892425902E-3</v>
      </c>
      <c r="E226" s="1018">
        <f>NPV(realdiscrt2,C$216:C226)/(1+realdiscrt2)^(1-Half_Year)</f>
        <v>0.59660287701415116</v>
      </c>
      <c r="F226" s="1018">
        <f>NPV(realdiscrt2,D$216:D226)/(1+realdiscrt2)^(1-Half_Year)</f>
        <v>3.3778646101187325E-2</v>
      </c>
      <c r="G226" s="1019" t="str">
        <f t="shared" si="41"/>
        <v>2025-Summer Daily Discharge-11</v>
      </c>
    </row>
    <row r="227" spans="1:7" s="466" customFormat="1">
      <c r="A227" s="1015">
        <f t="shared" si="43"/>
        <v>12</v>
      </c>
      <c r="B227" s="1016">
        <f t="shared" si="42"/>
        <v>2036</v>
      </c>
      <c r="C227" s="1017">
        <f t="shared" si="39"/>
        <v>6.496081254919496E-2</v>
      </c>
      <c r="D227" s="1485">
        <f t="shared" si="40"/>
        <v>0</v>
      </c>
      <c r="E227" s="1018">
        <f>NPV(realdiscrt2,C$216:C227)/(1+realdiscrt2)^(1-Half_Year)</f>
        <v>0.65144335983235269</v>
      </c>
      <c r="F227" s="1018">
        <f>NPV(realdiscrt2,D$216:D227)/(1+realdiscrt2)^(1-Half_Year)</f>
        <v>3.3778646101187325E-2</v>
      </c>
      <c r="G227" s="1019" t="str">
        <f t="shared" si="41"/>
        <v>2025-Summer Daily Discharge-12</v>
      </c>
    </row>
    <row r="228" spans="1:7" s="466" customFormat="1">
      <c r="A228" s="1015">
        <f t="shared" si="43"/>
        <v>13</v>
      </c>
      <c r="B228" s="1016">
        <f t="shared" si="42"/>
        <v>2037</v>
      </c>
      <c r="C228" s="1017">
        <f t="shared" si="39"/>
        <v>6.5771209770645336E-2</v>
      </c>
      <c r="D228" s="1485">
        <f t="shared" si="40"/>
        <v>0</v>
      </c>
      <c r="E228" s="1018">
        <f>NPV(realdiscrt2,C$216:C228)/(1+realdiscrt2)^(1-Half_Year)</f>
        <v>0.70622078787215259</v>
      </c>
      <c r="F228" s="1018">
        <f>NPV(realdiscrt2,D$216:D228)/(1+realdiscrt2)^(1-Half_Year)</f>
        <v>3.3778646101187325E-2</v>
      </c>
      <c r="G228" s="1019" t="str">
        <f t="shared" si="41"/>
        <v>2025-Summer Daily Discharge-13</v>
      </c>
    </row>
    <row r="229" spans="1:7" s="466" customFormat="1">
      <c r="A229" s="1015">
        <f t="shared" si="43"/>
        <v>14</v>
      </c>
      <c r="B229" s="1016">
        <f t="shared" si="42"/>
        <v>2038</v>
      </c>
      <c r="C229" s="1017">
        <f t="shared" si="39"/>
        <v>6.671954937830131E-2</v>
      </c>
      <c r="D229" s="1485">
        <f t="shared" si="40"/>
        <v>0</v>
      </c>
      <c r="E229" s="1018">
        <f>NPV(realdiscrt2,C$216:C229)/(1+realdiscrt2)^(1-Half_Year)</f>
        <v>0.76104026601615926</v>
      </c>
      <c r="F229" s="1018">
        <f>NPV(realdiscrt2,D$216:D229)/(1+realdiscrt2)^(1-Half_Year)</f>
        <v>3.3778646101187325E-2</v>
      </c>
      <c r="G229" s="1019" t="str">
        <f t="shared" si="41"/>
        <v>2025-Summer Daily Discharge-14</v>
      </c>
    </row>
    <row r="230" spans="1:7" s="466" customFormat="1">
      <c r="A230" s="1015">
        <f t="shared" si="43"/>
        <v>15</v>
      </c>
      <c r="B230" s="1016">
        <f t="shared" si="42"/>
        <v>2039</v>
      </c>
      <c r="C230" s="1017">
        <f t="shared" si="39"/>
        <v>6.7794449848475269E-2</v>
      </c>
      <c r="D230" s="1485">
        <f t="shared" si="40"/>
        <v>0</v>
      </c>
      <c r="E230" s="1018">
        <f>NPV(realdiscrt2,C$216:C230)/(1+realdiscrt2)^(1-Half_Year)</f>
        <v>0.81599333086900849</v>
      </c>
      <c r="F230" s="1018">
        <f>NPV(realdiscrt2,D$216:D230)/(1+realdiscrt2)^(1-Half_Year)</f>
        <v>3.3778646101187325E-2</v>
      </c>
      <c r="G230" s="1019" t="str">
        <f t="shared" si="41"/>
        <v>2025-Summer Daily Discharge-15</v>
      </c>
    </row>
    <row r="231" spans="1:7" s="466" customFormat="1">
      <c r="A231" s="1015">
        <f t="shared" si="43"/>
        <v>16</v>
      </c>
      <c r="B231" s="1016">
        <f t="shared" si="42"/>
        <v>2040</v>
      </c>
      <c r="C231" s="1017">
        <f t="shared" si="39"/>
        <v>6.8986165521046056E-2</v>
      </c>
      <c r="D231" s="1485">
        <f t="shared" si="40"/>
        <v>0</v>
      </c>
      <c r="E231" s="1018">
        <f>NPV(realdiscrt2,C$216:C231)/(1+realdiscrt2)^(1-Half_Year)</f>
        <v>0.87115987388840577</v>
      </c>
      <c r="F231" s="1018">
        <f>NPV(realdiscrt2,D$216:D231)/(1+realdiscrt2)^(1-Half_Year)</f>
        <v>3.3778646101187325E-2</v>
      </c>
      <c r="G231" s="1019" t="str">
        <f t="shared" si="41"/>
        <v>2025-Summer Daily Discharge-16</v>
      </c>
    </row>
    <row r="232" spans="1:7" s="466" customFormat="1">
      <c r="A232" s="1015">
        <f t="shared" si="43"/>
        <v>17</v>
      </c>
      <c r="B232" s="1016">
        <f t="shared" si="42"/>
        <v>2041</v>
      </c>
      <c r="C232" s="1017">
        <f t="shared" si="39"/>
        <v>7.028638020785706E-2</v>
      </c>
      <c r="D232" s="1485">
        <f t="shared" si="40"/>
        <v>0</v>
      </c>
      <c r="E232" s="1018">
        <f>NPV(realdiscrt2,C$216:C232)/(1+realdiscrt2)^(1-Half_Year)</f>
        <v>0.92660979428824441</v>
      </c>
      <c r="F232" s="1018">
        <f>NPV(realdiscrt2,D$216:D232)/(1+realdiscrt2)^(1-Half_Year)</f>
        <v>3.3778646101187325E-2</v>
      </c>
      <c r="G232" s="1019" t="str">
        <f t="shared" si="41"/>
        <v>2025-Summer Daily Discharge-17</v>
      </c>
    </row>
    <row r="233" spans="1:7" s="466" customFormat="1">
      <c r="A233" s="1015">
        <f t="shared" si="43"/>
        <v>18</v>
      </c>
      <c r="B233" s="1016">
        <f t="shared" si="42"/>
        <v>2042</v>
      </c>
      <c r="C233" s="1017">
        <f t="shared" si="39"/>
        <v>7.1688027520937711E-2</v>
      </c>
      <c r="D233" s="1485">
        <f t="shared" si="40"/>
        <v>0</v>
      </c>
      <c r="E233" s="1018">
        <f>NPV(realdiscrt2,C$216:C233)/(1+realdiscrt2)^(1-Half_Year)</f>
        <v>0.9824044197141113</v>
      </c>
      <c r="F233" s="1018">
        <f>NPV(realdiscrt2,D$216:D233)/(1+realdiscrt2)^(1-Half_Year)</f>
        <v>3.3778646101187325E-2</v>
      </c>
      <c r="G233" s="1019" t="str">
        <f t="shared" si="41"/>
        <v>2025-Summer Daily Discharge-18</v>
      </c>
    </row>
    <row r="234" spans="1:7" s="466" customFormat="1">
      <c r="A234" s="1015">
        <f t="shared" si="43"/>
        <v>19</v>
      </c>
      <c r="B234" s="1016">
        <f t="shared" si="42"/>
        <v>2043</v>
      </c>
      <c r="C234" s="1017">
        <f t="shared" si="39"/>
        <v>7.3185134479690814E-2</v>
      </c>
      <c r="D234" s="1485">
        <f t="shared" si="40"/>
        <v>0</v>
      </c>
      <c r="E234" s="1018">
        <f>NPV(realdiscrt2,C$216:C234)/(1+realdiscrt2)^(1-Half_Year)</f>
        <v>1.038597727348141</v>
      </c>
      <c r="F234" s="1018">
        <f>NPV(realdiscrt2,D$216:D234)/(1+realdiscrt2)^(1-Half_Year)</f>
        <v>3.3778646101187325E-2</v>
      </c>
      <c r="G234" s="1019" t="str">
        <f t="shared" si="41"/>
        <v>2025-Summer Daily Discharge-19</v>
      </c>
    </row>
    <row r="235" spans="1:7" s="466" customFormat="1">
      <c r="A235" s="1015">
        <f t="shared" si="43"/>
        <v>20</v>
      </c>
      <c r="B235" s="1016">
        <f t="shared" si="42"/>
        <v>2044</v>
      </c>
      <c r="C235" s="1017">
        <f t="shared" si="39"/>
        <v>7.4772685399768252E-2</v>
      </c>
      <c r="D235" s="1485">
        <f t="shared" si="40"/>
        <v>0</v>
      </c>
      <c r="E235" s="1018">
        <f>NPV(realdiscrt2,C$216:C235)/(1+realdiscrt2)^(1-Half_Year)</f>
        <v>1.095237393508171</v>
      </c>
      <c r="F235" s="1018">
        <f>NPV(realdiscrt2,D$216:D235)/(1+realdiscrt2)^(1-Half_Year)</f>
        <v>3.3778646101187325E-2</v>
      </c>
      <c r="G235" s="1019" t="str">
        <f t="shared" si="41"/>
        <v>2025-Summer Daily Discharge-20</v>
      </c>
    </row>
    <row r="236" spans="1:7" s="466" customFormat="1">
      <c r="A236" s="1015">
        <f t="shared" si="43"/>
        <v>21</v>
      </c>
      <c r="B236" s="1016">
        <f t="shared" si="42"/>
        <v>2045</v>
      </c>
      <c r="C236" s="1017">
        <f t="shared" si="39"/>
        <v>7.6446503452765296E-2</v>
      </c>
      <c r="D236" s="1485">
        <f t="shared" si="40"/>
        <v>0</v>
      </c>
      <c r="E236" s="1018">
        <f>NPV(realdiscrt2,C$216:C236)/(1+realdiscrt2)^(1-Half_Year)</f>
        <v>1.1523656958598494</v>
      </c>
      <c r="F236" s="1018">
        <f>NPV(realdiscrt2,D$216:D236)/(1+realdiscrt2)^(1-Half_Year)</f>
        <v>3.3778646101187325E-2</v>
      </c>
      <c r="G236" s="1019" t="str">
        <f t="shared" si="41"/>
        <v>2025-Summer Daily Discharge-21</v>
      </c>
    </row>
    <row r="237" spans="1:7" s="466" customFormat="1">
      <c r="A237" s="1015">
        <f t="shared" si="43"/>
        <v>22</v>
      </c>
      <c r="B237" s="1016">
        <f t="shared" si="42"/>
        <v>2046</v>
      </c>
      <c r="C237" s="1017">
        <f t="shared" si="39"/>
        <v>7.8203147622470229E-2</v>
      </c>
      <c r="D237" s="1485">
        <f t="shared" si="40"/>
        <v>0</v>
      </c>
      <c r="E237" s="1018">
        <f>NPV(realdiscrt2,C$216:C237)/(1+realdiscrt2)^(1-Half_Year)</f>
        <v>1.2100202889689569</v>
      </c>
      <c r="F237" s="1018">
        <f>NPV(realdiscrt2,D$216:D237)/(1+realdiscrt2)^(1-Half_Year)</f>
        <v>3.3778646101187325E-2</v>
      </c>
      <c r="G237" s="1019" t="str">
        <f t="shared" si="41"/>
        <v>2025-Summer Daily Discharge-22</v>
      </c>
    </row>
    <row r="238" spans="1:7" s="466" customFormat="1">
      <c r="A238" s="1015">
        <f t="shared" si="43"/>
        <v>23</v>
      </c>
      <c r="B238" s="1016">
        <f t="shared" si="42"/>
        <v>2047</v>
      </c>
      <c r="C238" s="1017">
        <f t="shared" si="39"/>
        <v>8.00398230766277E-2</v>
      </c>
      <c r="D238" s="1485">
        <f t="shared" si="40"/>
        <v>0</v>
      </c>
      <c r="E238" s="1018">
        <f>NPV(realdiscrt2,C$216:C238)/(1+realdiscrt2)^(1-Half_Year)</f>
        <v>1.2682348710066804</v>
      </c>
      <c r="F238" s="1018">
        <f>NPV(realdiscrt2,D$216:D238)/(1+realdiscrt2)^(1-Half_Year)</f>
        <v>3.3778646101187325E-2</v>
      </c>
      <c r="G238" s="1019" t="str">
        <f t="shared" si="41"/>
        <v>2025-Summer Daily Discharge-23</v>
      </c>
    </row>
    <row r="239" spans="1:7" s="466" customFormat="1">
      <c r="A239" s="1015">
        <f t="shared" si="43"/>
        <v>24</v>
      </c>
      <c r="B239" s="1016">
        <f t="shared" si="42"/>
        <v>2048</v>
      </c>
      <c r="C239" s="1017">
        <f t="shared" si="39"/>
        <v>8.1954303228605627E-2</v>
      </c>
      <c r="D239" s="1485">
        <f t="shared" si="40"/>
        <v>0</v>
      </c>
      <c r="E239" s="1018">
        <f>NPV(realdiscrt2,C$216:C239)/(1+realdiscrt2)^(1-Half_Year)</f>
        <v>1.3270397569158876</v>
      </c>
      <c r="F239" s="1018">
        <f>NPV(realdiscrt2,D$216:D239)/(1+realdiscrt2)^(1-Half_Year)</f>
        <v>3.3778646101187325E-2</v>
      </c>
      <c r="G239" s="1019" t="str">
        <f t="shared" si="41"/>
        <v>2025-Summer Daily Discharge-24</v>
      </c>
    </row>
    <row r="240" spans="1:7" s="466" customFormat="1">
      <c r="A240" s="1015">
        <f t="shared" si="43"/>
        <v>25</v>
      </c>
      <c r="B240" s="1016">
        <f t="shared" si="42"/>
        <v>2049</v>
      </c>
      <c r="C240" s="1017">
        <f t="shared" si="39"/>
        <v>8.3944861985864802E-2</v>
      </c>
      <c r="D240" s="1485">
        <f t="shared" si="40"/>
        <v>0</v>
      </c>
      <c r="E240" s="1052">
        <f>NPV(realdiscrt2,C$216:C240)/(1+realdiscrt2)^(1-Half_Year)</f>
        <v>1.386462371193955</v>
      </c>
      <c r="F240" s="1031">
        <f>NPV(realdiscrt2,D$216:D240)/(1+realdiscrt2)^(1-Half_Year)</f>
        <v>3.3778646101187325E-2</v>
      </c>
      <c r="G240" s="1019" t="str">
        <f t="shared" si="41"/>
        <v>2025-Summer Daily Discharge-25</v>
      </c>
    </row>
    <row r="241" spans="1:7" s="466" customFormat="1" ht="20.25">
      <c r="A241" s="975">
        <f>Year3</f>
        <v>2026</v>
      </c>
      <c r="B241" s="976" t="str">
        <f>Year3&amp;"$"</f>
        <v>2026$</v>
      </c>
      <c r="C241" s="1046"/>
      <c r="D241" s="1480" t="s">
        <v>993</v>
      </c>
      <c r="E241" s="1481">
        <v>2026</v>
      </c>
      <c r="F241" s="1481" t="s">
        <v>992</v>
      </c>
      <c r="G241" s="1047"/>
    </row>
    <row r="242" spans="1:7" s="466" customFormat="1">
      <c r="A242" s="1015">
        <v>1</v>
      </c>
      <c r="B242" s="1016">
        <f>Year3</f>
        <v>2026</v>
      </c>
      <c r="C242" s="1048">
        <f t="shared" ref="C242:C266" si="44">VLOOKUP($B242,$I$188:$N$220,C$12,FALSE)*(1+Inflation3)^(Year3-Real_Year)</f>
        <v>5.7269243147244679E-2</v>
      </c>
      <c r="D242" s="1485">
        <f t="shared" ref="D242:D266" si="45">VLOOKUP($B242-5,$I$188:$N$220,IF($A$17=Year1,D$12,D$12+1),FALSE)*(1+Inflation3)^(Year3-Real_Year)</f>
        <v>2.2530744180006782E-3</v>
      </c>
      <c r="E242" s="1055">
        <f>NPV(realdiscrt3,C$242:C242)/(1+realdiscrt3)^(2-Half_Year)</f>
        <v>5.5361953711042314E-2</v>
      </c>
      <c r="F242" s="1030">
        <f>NPV(realdiscrt3,D$242:D242)/(1+realdiscrt3)^(2-Half_Year)</f>
        <v>2.1780382415074457E-3</v>
      </c>
      <c r="G242" s="1019" t="str">
        <f t="shared" ref="G242:G266" si="46">$A$71&amp;"-"&amp;$A$183&amp;"-"&amp;A242</f>
        <v>2026-Summer Daily Discharge-1</v>
      </c>
    </row>
    <row r="243" spans="1:7" s="466" customFormat="1">
      <c r="A243" s="1015">
        <v>2</v>
      </c>
      <c r="B243" s="1016">
        <f t="shared" ref="B243:B266" si="47">B242+1</f>
        <v>2027</v>
      </c>
      <c r="C243" s="1049">
        <f t="shared" si="44"/>
        <v>5.8108498659143366E-2</v>
      </c>
      <c r="D243" s="1485">
        <f t="shared" si="45"/>
        <v>3.2847603905521894E-3</v>
      </c>
      <c r="E243" s="1055">
        <f>NPV(realdiscrt3,C$242:C243)/(1+realdiscrt3)^(2-Half_Year)</f>
        <v>0.11077928460430693</v>
      </c>
      <c r="F243" s="1030">
        <f>NPV(realdiscrt3,D$242:D243)/(1+realdiscrt3)^(2-Half_Year)</f>
        <v>5.3106721533918129E-3</v>
      </c>
      <c r="G243" s="1019" t="str">
        <f t="shared" si="46"/>
        <v>2026-Summer Daily Discharge-2</v>
      </c>
    </row>
    <row r="244" spans="1:7" s="466" customFormat="1">
      <c r="A244" s="1015">
        <f t="shared" ref="A244:A266" si="48">A243+1</f>
        <v>3</v>
      </c>
      <c r="B244" s="1016">
        <f t="shared" si="47"/>
        <v>2028</v>
      </c>
      <c r="C244" s="1049">
        <f t="shared" si="44"/>
        <v>5.8976658244772225E-2</v>
      </c>
      <c r="D244" s="1485">
        <f t="shared" si="45"/>
        <v>3.7312692926688988E-3</v>
      </c>
      <c r="E244" s="1055">
        <f>NPV(realdiscrt3,C$242:C244)/(1+realdiscrt3)^(2-Half_Year)</f>
        <v>0.1662676710871453</v>
      </c>
      <c r="F244" s="1030">
        <f>NPV(realdiscrt3,D$242:D244)/(1+realdiscrt3)^(2-Half_Year)</f>
        <v>8.8212493672425365E-3</v>
      </c>
      <c r="G244" s="1019" t="str">
        <f t="shared" si="46"/>
        <v>2026-Summer Daily Discharge-3</v>
      </c>
    </row>
    <row r="245" spans="1:7" s="466" customFormat="1">
      <c r="A245" s="1015">
        <f t="shared" si="48"/>
        <v>4</v>
      </c>
      <c r="B245" s="1016">
        <f t="shared" si="47"/>
        <v>2029</v>
      </c>
      <c r="C245" s="1049">
        <f t="shared" si="44"/>
        <v>6.091752503198708E-2</v>
      </c>
      <c r="D245" s="1485">
        <f t="shared" si="45"/>
        <v>4.1655150698211262E-3</v>
      </c>
      <c r="E245" s="1055">
        <f>NPV(realdiscrt3,C$242:C245)/(1+realdiscrt3)^(2-Half_Year)</f>
        <v>0.22281084354574165</v>
      </c>
      <c r="F245" s="1030">
        <f>NPV(realdiscrt3,D$242:D245)/(1+realdiscrt3)^(2-Half_Year)</f>
        <v>1.2687648024248108E-2</v>
      </c>
      <c r="G245" s="1019" t="str">
        <f t="shared" si="46"/>
        <v>2026-Summer Daily Discharge-4</v>
      </c>
    </row>
    <row r="246" spans="1:7" s="466" customFormat="1">
      <c r="A246" s="1015">
        <f t="shared" si="48"/>
        <v>5</v>
      </c>
      <c r="B246" s="1016">
        <f t="shared" si="47"/>
        <v>2030</v>
      </c>
      <c r="C246" s="1049">
        <f t="shared" si="44"/>
        <v>6.5456893463662014E-2</v>
      </c>
      <c r="D246" s="1485">
        <f t="shared" si="45"/>
        <v>4.1884660057673658E-3</v>
      </c>
      <c r="E246" s="1055">
        <f>NPV(realdiscrt3,C$242:C246)/(1+realdiscrt3)^(2-Half_Year)</f>
        <v>0.28274981650707287</v>
      </c>
      <c r="F246" s="1030">
        <f>NPV(realdiscrt3,D$242:D246)/(1+realdiscrt3)^(2-Half_Year)</f>
        <v>1.6523032464062917E-2</v>
      </c>
      <c r="G246" s="1019" t="str">
        <f t="shared" si="46"/>
        <v>2026-Summer Daily Discharge-5</v>
      </c>
    </row>
    <row r="247" spans="1:7" s="466" customFormat="1">
      <c r="A247" s="1015">
        <f t="shared" si="48"/>
        <v>6</v>
      </c>
      <c r="B247" s="1016">
        <f t="shared" si="47"/>
        <v>2031</v>
      </c>
      <c r="C247" s="1049">
        <f t="shared" si="44"/>
        <v>6.6632281805078714E-2</v>
      </c>
      <c r="D247" s="1485">
        <f t="shared" si="45"/>
        <v>4.1998715379245963E-3</v>
      </c>
      <c r="E247" s="1055">
        <f>NPV(realdiscrt3,C$242:C247)/(1+realdiscrt3)^(2-Half_Year)</f>
        <v>0.34294400702477401</v>
      </c>
      <c r="F247" s="1030">
        <f>NPV(realdiscrt3,D$242:D247)/(1+realdiscrt3)^(2-Half_Year)</f>
        <v>2.031710735771956E-2</v>
      </c>
      <c r="G247" s="1019" t="str">
        <f t="shared" si="46"/>
        <v>2026-Summer Daily Discharge-6</v>
      </c>
    </row>
    <row r="248" spans="1:7" s="466" customFormat="1">
      <c r="A248" s="1015">
        <f t="shared" si="48"/>
        <v>7</v>
      </c>
      <c r="B248" s="1016">
        <f t="shared" si="47"/>
        <v>2032</v>
      </c>
      <c r="C248" s="1049">
        <f t="shared" si="44"/>
        <v>6.944630148259856E-2</v>
      </c>
      <c r="D248" s="1485">
        <f t="shared" si="45"/>
        <v>4.1787864528586953E-3</v>
      </c>
      <c r="E248" s="1055">
        <f>NPV(realdiscrt3,C$242:C248)/(1+realdiscrt3)^(2-Half_Year)</f>
        <v>0.40483607583999037</v>
      </c>
      <c r="F248" s="1030">
        <f>NPV(realdiscrt3,D$242:D248)/(1+realdiscrt3)^(2-Half_Year)</f>
        <v>2.4041333604227895E-2</v>
      </c>
      <c r="G248" s="1019" t="str">
        <f t="shared" si="46"/>
        <v>2026-Summer Daily Discharge-7</v>
      </c>
    </row>
    <row r="249" spans="1:7" s="466" customFormat="1">
      <c r="A249" s="1015">
        <f t="shared" si="48"/>
        <v>8</v>
      </c>
      <c r="B249" s="1016">
        <f t="shared" si="47"/>
        <v>2033</v>
      </c>
      <c r="C249" s="1049">
        <f t="shared" si="44"/>
        <v>6.5779818788799196E-2</v>
      </c>
      <c r="D249" s="1485">
        <f t="shared" si="45"/>
        <v>4.003248067912862E-3</v>
      </c>
      <c r="E249" s="1055">
        <f>NPV(realdiscrt3,C$242:C249)/(1+realdiscrt3)^(2-Half_Year)</f>
        <v>0.46267158147401322</v>
      </c>
      <c r="F249" s="1030">
        <f>NPV(realdiscrt3,D$242:D249)/(1+realdiscrt3)^(2-Half_Year)</f>
        <v>2.7561104264125027E-2</v>
      </c>
      <c r="G249" s="1019" t="str">
        <f t="shared" si="46"/>
        <v>2026-Summer Daily Discharge-8</v>
      </c>
    </row>
    <row r="250" spans="1:7" s="466" customFormat="1">
      <c r="A250" s="1015">
        <f t="shared" si="48"/>
        <v>9</v>
      </c>
      <c r="B250" s="1016">
        <f t="shared" si="47"/>
        <v>2034</v>
      </c>
      <c r="C250" s="1049">
        <f t="shared" si="44"/>
        <v>6.6248899262915162E-2</v>
      </c>
      <c r="D250" s="1485">
        <f t="shared" si="45"/>
        <v>3.7812916316743088E-3</v>
      </c>
      <c r="E250" s="1055">
        <f>NPV(realdiscrt3,C$242:C250)/(1+realdiscrt3)^(2-Half_Year)</f>
        <v>0.52013566921464827</v>
      </c>
      <c r="F250" s="1030">
        <f>NPV(realdiscrt3,D$242:D250)/(1+realdiscrt3)^(2-Half_Year)</f>
        <v>3.0840984783092308E-2</v>
      </c>
      <c r="G250" s="1019" t="str">
        <f t="shared" si="46"/>
        <v>2026-Summer Daily Discharge-9</v>
      </c>
    </row>
    <row r="251" spans="1:7" s="466" customFormat="1">
      <c r="A251" s="1015">
        <f t="shared" si="48"/>
        <v>10</v>
      </c>
      <c r="B251" s="1016">
        <f t="shared" si="47"/>
        <v>2035</v>
      </c>
      <c r="C251" s="1049">
        <f t="shared" si="44"/>
        <v>6.8352613728948519E-2</v>
      </c>
      <c r="D251" s="1485">
        <f t="shared" si="45"/>
        <v>3.1518683157437969E-3</v>
      </c>
      <c r="E251" s="1055">
        <f>NPV(realdiscrt3,C$242:C251)/(1+realdiscrt3)^(2-Half_Year)</f>
        <v>0.57862665779380851</v>
      </c>
      <c r="F251" s="1030">
        <f>NPV(realdiscrt3,D$242:D251)/(1+realdiscrt3)^(2-Half_Year)</f>
        <v>3.3538114908799703E-2</v>
      </c>
      <c r="G251" s="1019" t="str">
        <f t="shared" si="46"/>
        <v>2026-Summer Daily Discharge-10</v>
      </c>
    </row>
    <row r="252" spans="1:7" s="466" customFormat="1">
      <c r="A252" s="1015">
        <f t="shared" si="48"/>
        <v>11</v>
      </c>
      <c r="B252" s="1016">
        <f t="shared" si="47"/>
        <v>2036</v>
      </c>
      <c r="C252" s="1049">
        <f t="shared" si="44"/>
        <v>6.9053343739794243E-2</v>
      </c>
      <c r="D252" s="1485">
        <f t="shared" si="45"/>
        <v>2.2333182362648733E-3</v>
      </c>
      <c r="E252" s="1055">
        <f>NPV(realdiscrt3,C$242:C252)/(1+realdiscrt3)^(2-Half_Year)</f>
        <v>0.63692209102955677</v>
      </c>
      <c r="F252" s="1030">
        <f>NPV(realdiscrt3,D$242:D252)/(1+realdiscrt3)^(2-Half_Year)</f>
        <v>3.5423501583584725E-2</v>
      </c>
      <c r="G252" s="1019" t="str">
        <f t="shared" si="46"/>
        <v>2026-Summer Daily Discharge-11</v>
      </c>
    </row>
    <row r="253" spans="1:7" s="466" customFormat="1">
      <c r="A253" s="1015">
        <f t="shared" si="48"/>
        <v>12</v>
      </c>
      <c r="B253" s="1016">
        <f t="shared" si="47"/>
        <v>2037</v>
      </c>
      <c r="C253" s="1049">
        <f t="shared" si="44"/>
        <v>6.9914795986195988E-2</v>
      </c>
      <c r="D253" s="1485">
        <f t="shared" si="45"/>
        <v>0</v>
      </c>
      <c r="E253" s="1055">
        <f>NPV(realdiscrt3,C$242:C253)/(1+realdiscrt3)^(2-Half_Year)</f>
        <v>0.69515049703586418</v>
      </c>
      <c r="F253" s="1030">
        <f>NPV(realdiscrt3,D$242:D253)/(1+realdiscrt3)^(2-Half_Year)</f>
        <v>3.5423501583584725E-2</v>
      </c>
      <c r="G253" s="1019" t="str">
        <f t="shared" si="46"/>
        <v>2026-Summer Daily Discharge-12</v>
      </c>
    </row>
    <row r="254" spans="1:7" s="466" customFormat="1">
      <c r="A254" s="1015">
        <f t="shared" si="48"/>
        <v>13</v>
      </c>
      <c r="B254" s="1016">
        <f t="shared" si="47"/>
        <v>2038</v>
      </c>
      <c r="C254" s="1049">
        <f t="shared" si="44"/>
        <v>7.0922880989134296E-2</v>
      </c>
      <c r="D254" s="1485">
        <f t="shared" si="45"/>
        <v>0</v>
      </c>
      <c r="E254" s="1055">
        <f>NPV(realdiscrt3,C$242:C254)/(1+realdiscrt3)^(2-Half_Year)</f>
        <v>0.75342360230294325</v>
      </c>
      <c r="F254" s="1030">
        <f>NPV(realdiscrt3,D$242:D254)/(1+realdiscrt3)^(2-Half_Year)</f>
        <v>3.5423501583584725E-2</v>
      </c>
      <c r="G254" s="1019" t="str">
        <f t="shared" si="46"/>
        <v>2026-Summer Daily Discharge-13</v>
      </c>
    </row>
    <row r="255" spans="1:7" s="466" customFormat="1">
      <c r="A255" s="1015">
        <f t="shared" si="48"/>
        <v>14</v>
      </c>
      <c r="B255" s="1016">
        <f t="shared" si="47"/>
        <v>2039</v>
      </c>
      <c r="C255" s="1049">
        <f t="shared" si="44"/>
        <v>7.206550018892921E-2</v>
      </c>
      <c r="D255" s="1485">
        <f t="shared" si="45"/>
        <v>0</v>
      </c>
      <c r="E255" s="1055">
        <f>NPV(realdiscrt3,C$242:C255)/(1+realdiscrt3)^(2-Half_Year)</f>
        <v>0.8118387102415221</v>
      </c>
      <c r="F255" s="1030">
        <f>NPV(realdiscrt3,D$242:D255)/(1+realdiscrt3)^(2-Half_Year)</f>
        <v>3.5423501583584725E-2</v>
      </c>
      <c r="G255" s="1019" t="str">
        <f t="shared" si="46"/>
        <v>2026-Summer Daily Discharge-14</v>
      </c>
    </row>
    <row r="256" spans="1:7" s="466" customFormat="1">
      <c r="A256" s="1015">
        <f t="shared" si="48"/>
        <v>15</v>
      </c>
      <c r="B256" s="1016">
        <f t="shared" si="47"/>
        <v>2040</v>
      </c>
      <c r="C256" s="1049">
        <f t="shared" si="44"/>
        <v>7.3332293948871946E-2</v>
      </c>
      <c r="D256" s="1485">
        <f t="shared" si="45"/>
        <v>0</v>
      </c>
      <c r="E256" s="1055">
        <f>NPV(realdiscrt3,C$242:C256)/(1+realdiscrt3)^(2-Half_Year)</f>
        <v>0.87048074547114151</v>
      </c>
      <c r="F256" s="1030">
        <f>NPV(realdiscrt3,D$242:D256)/(1+realdiscrt3)^(2-Half_Year)</f>
        <v>3.5423501583584725E-2</v>
      </c>
      <c r="G256" s="1019" t="str">
        <f t="shared" si="46"/>
        <v>2026-Summer Daily Discharge-15</v>
      </c>
    </row>
    <row r="257" spans="1:17" s="466" customFormat="1">
      <c r="A257" s="1015">
        <f t="shared" si="48"/>
        <v>16</v>
      </c>
      <c r="B257" s="1016">
        <f t="shared" si="47"/>
        <v>2041</v>
      </c>
      <c r="C257" s="1049">
        <f t="shared" si="44"/>
        <v>7.4714422160952046E-2</v>
      </c>
      <c r="D257" s="1485">
        <f t="shared" si="45"/>
        <v>0</v>
      </c>
      <c r="E257" s="1055">
        <f>NPV(realdiscrt3,C$242:C257)/(1+realdiscrt3)^(2-Half_Year)</f>
        <v>0.92942401085616988</v>
      </c>
      <c r="F257" s="1030">
        <f>NPV(realdiscrt3,D$242:D257)/(1+realdiscrt3)^(2-Half_Year)</f>
        <v>3.5423501583584725E-2</v>
      </c>
      <c r="G257" s="1019" t="str">
        <f t="shared" si="46"/>
        <v>2026-Summer Daily Discharge-16</v>
      </c>
    </row>
    <row r="258" spans="1:17" s="466" customFormat="1">
      <c r="A258" s="1015">
        <f t="shared" si="48"/>
        <v>17</v>
      </c>
      <c r="B258" s="1016">
        <f t="shared" si="47"/>
        <v>2042</v>
      </c>
      <c r="C258" s="1049">
        <f t="shared" si="44"/>
        <v>7.6204373254756777E-2</v>
      </c>
      <c r="D258" s="1485">
        <f t="shared" si="45"/>
        <v>0</v>
      </c>
      <c r="E258" s="1055">
        <f>NPV(realdiscrt3,C$242:C258)/(1+realdiscrt3)^(2-Half_Year)</f>
        <v>0.98873369768386621</v>
      </c>
      <c r="F258" s="1030">
        <f>NPV(realdiscrt3,D$242:D258)/(1+realdiscrt3)^(2-Half_Year)</f>
        <v>3.5423501583584725E-2</v>
      </c>
      <c r="G258" s="1019" t="str">
        <f t="shared" si="46"/>
        <v>2026-Summer Daily Discharge-17</v>
      </c>
    </row>
    <row r="259" spans="1:17" s="466" customFormat="1">
      <c r="A259" s="1015">
        <f t="shared" si="48"/>
        <v>18</v>
      </c>
      <c r="B259" s="1016">
        <f t="shared" si="47"/>
        <v>2043</v>
      </c>
      <c r="C259" s="1049">
        <f t="shared" si="44"/>
        <v>7.7795797951911327E-2</v>
      </c>
      <c r="D259" s="1485">
        <f t="shared" si="45"/>
        <v>0</v>
      </c>
      <c r="E259" s="1055">
        <f>NPV(realdiscrt3,C$242:C259)/(1+realdiscrt3)^(2-Half_Year)</f>
        <v>1.04846718369884</v>
      </c>
      <c r="F259" s="1030">
        <f>NPV(realdiscrt3,D$242:D259)/(1+realdiscrt3)^(2-Half_Year)</f>
        <v>3.5423501583584725E-2</v>
      </c>
      <c r="G259" s="1019" t="str">
        <f t="shared" si="46"/>
        <v>2026-Summer Daily Discharge-18</v>
      </c>
    </row>
    <row r="260" spans="1:17" s="466" customFormat="1">
      <c r="A260" s="1015">
        <f t="shared" si="48"/>
        <v>19</v>
      </c>
      <c r="B260" s="1016">
        <f t="shared" si="47"/>
        <v>2044</v>
      </c>
      <c r="C260" s="1049">
        <f t="shared" si="44"/>
        <v>7.9483364579953641E-2</v>
      </c>
      <c r="D260" s="1485">
        <f t="shared" si="45"/>
        <v>0</v>
      </c>
      <c r="E260" s="1055">
        <f>NPV(realdiscrt3,C$242:C260)/(1+realdiscrt3)^(2-Half_Year)</f>
        <v>1.1086751488269515</v>
      </c>
      <c r="F260" s="1030">
        <f>NPV(realdiscrt3,D$242:D260)/(1+realdiscrt3)^(2-Half_Year)</f>
        <v>3.5423501583584725E-2</v>
      </c>
      <c r="G260" s="1019" t="str">
        <f t="shared" si="46"/>
        <v>2026-Summer Daily Discharge-19</v>
      </c>
    </row>
    <row r="261" spans="1:17" s="466" customFormat="1">
      <c r="A261" s="1015">
        <f t="shared" si="48"/>
        <v>20</v>
      </c>
      <c r="B261" s="1016">
        <f t="shared" si="47"/>
        <v>2045</v>
      </c>
      <c r="C261" s="1049">
        <f t="shared" si="44"/>
        <v>8.1262633170289506E-2</v>
      </c>
      <c r="D261" s="1485">
        <f t="shared" si="45"/>
        <v>0</v>
      </c>
      <c r="E261" s="1055">
        <f>NPV(realdiscrt3,C$242:C261)/(1+realdiscrt3)^(2-Half_Year)</f>
        <v>1.1694025342267853</v>
      </c>
      <c r="F261" s="1030">
        <f>NPV(realdiscrt3,D$242:D261)/(1+realdiscrt3)^(2-Half_Year)</f>
        <v>3.5423501583584725E-2</v>
      </c>
      <c r="G261" s="1019" t="str">
        <f t="shared" si="46"/>
        <v>2026-Summer Daily Discharge-20</v>
      </c>
    </row>
    <row r="262" spans="1:17" s="466" customFormat="1">
      <c r="A262" s="1015">
        <f t="shared" si="48"/>
        <v>21</v>
      </c>
      <c r="B262" s="1016">
        <f t="shared" si="47"/>
        <v>2046</v>
      </c>
      <c r="C262" s="1049">
        <f t="shared" si="44"/>
        <v>8.3129945922685841E-2</v>
      </c>
      <c r="D262" s="1485">
        <f t="shared" si="45"/>
        <v>0</v>
      </c>
      <c r="E262" s="1055">
        <f>NPV(realdiscrt3,C$242:C262)/(1+realdiscrt3)^(2-Half_Year)</f>
        <v>1.2306893667017669</v>
      </c>
      <c r="F262" s="1030">
        <f>NPV(realdiscrt3,D$242:D262)/(1+realdiscrt3)^(2-Half_Year)</f>
        <v>3.5423501583584725E-2</v>
      </c>
      <c r="G262" s="1019" t="str">
        <f t="shared" si="46"/>
        <v>2026-Summer Daily Discharge-21</v>
      </c>
    </row>
    <row r="263" spans="1:17" s="466" customFormat="1">
      <c r="A263" s="1015">
        <f t="shared" si="48"/>
        <v>22</v>
      </c>
      <c r="B263" s="1016">
        <f t="shared" si="47"/>
        <v>2047</v>
      </c>
      <c r="C263" s="1049">
        <f t="shared" si="44"/>
        <v>8.5082331930455238E-2</v>
      </c>
      <c r="D263" s="1485">
        <f t="shared" si="45"/>
        <v>0</v>
      </c>
      <c r="E263" s="1055">
        <f>NPV(realdiscrt3,C$242:C263)/(1+realdiscrt3)^(2-Half_Year)</f>
        <v>1.292571467407867</v>
      </c>
      <c r="F263" s="1030">
        <f>NPV(realdiscrt3,D$242:D263)/(1+realdiscrt3)^(2-Half_Year)</f>
        <v>3.5423501583584725E-2</v>
      </c>
      <c r="G263" s="1019" t="str">
        <f t="shared" si="46"/>
        <v>2026-Summer Daily Discharge-22</v>
      </c>
    </row>
    <row r="264" spans="1:17" s="466" customFormat="1">
      <c r="A264" s="1015">
        <f t="shared" si="48"/>
        <v>23</v>
      </c>
      <c r="B264" s="1016">
        <f t="shared" si="47"/>
        <v>2048</v>
      </c>
      <c r="C264" s="1049">
        <f t="shared" si="44"/>
        <v>8.7117424332007781E-2</v>
      </c>
      <c r="D264" s="1485">
        <f t="shared" si="45"/>
        <v>0</v>
      </c>
      <c r="E264" s="1055">
        <f>NPV(realdiscrt3,C$242:C264)/(1+realdiscrt3)^(2-Half_Year)</f>
        <v>1.3550810611293542</v>
      </c>
      <c r="F264" s="1030">
        <f>NPV(realdiscrt3,D$242:D264)/(1+realdiscrt3)^(2-Half_Year)</f>
        <v>3.5423501583584725E-2</v>
      </c>
      <c r="G264" s="1019" t="str">
        <f t="shared" si="46"/>
        <v>2026-Summer Daily Discharge-23</v>
      </c>
    </row>
    <row r="265" spans="1:17" s="466" customFormat="1">
      <c r="A265" s="1015">
        <f t="shared" si="48"/>
        <v>24</v>
      </c>
      <c r="B265" s="1016">
        <f t="shared" si="47"/>
        <v>2049</v>
      </c>
      <c r="C265" s="1049">
        <f t="shared" si="44"/>
        <v>8.9233388290974283E-2</v>
      </c>
      <c r="D265" s="1485">
        <f t="shared" si="45"/>
        <v>0</v>
      </c>
      <c r="E265" s="1055">
        <f>NPV(realdiscrt3,C$242:C265)/(1+realdiscrt3)^(2-Half_Year)</f>
        <v>1.4182473001069398</v>
      </c>
      <c r="F265" s="1030">
        <f>NPV(realdiscrt3,D$242:D265)/(1+realdiscrt3)^(2-Half_Year)</f>
        <v>3.5423501583584725E-2</v>
      </c>
      <c r="G265" s="1019" t="str">
        <f t="shared" si="46"/>
        <v>2026-Summer Daily Discharge-24</v>
      </c>
    </row>
    <row r="266" spans="1:17" s="466" customFormat="1">
      <c r="A266" s="1039">
        <f t="shared" si="48"/>
        <v>25</v>
      </c>
      <c r="B266" s="1051">
        <f t="shared" si="47"/>
        <v>2050</v>
      </c>
      <c r="C266" s="1050">
        <f t="shared" si="44"/>
        <v>9.1428858413150252E-2</v>
      </c>
      <c r="D266" s="1488">
        <f t="shared" si="45"/>
        <v>0</v>
      </c>
      <c r="E266" s="1052">
        <f>NPV(realdiscrt3,C$242:C266)/(1+realdiscrt3)^(2-Half_Year)</f>
        <v>1.4820967144363035</v>
      </c>
      <c r="F266" s="1031">
        <f>NPV(realdiscrt3,D$242:D266)/(1+realdiscrt3)^(2-Half_Year)</f>
        <v>3.5423501583584725E-2</v>
      </c>
      <c r="G266" s="1032" t="str">
        <f t="shared" si="46"/>
        <v>2026-Summer Daily Discharge-25</v>
      </c>
    </row>
    <row r="267" spans="1:17">
      <c r="H267" s="466"/>
      <c r="I267" s="466"/>
      <c r="J267" s="466"/>
      <c r="K267" s="466"/>
      <c r="L267" s="466"/>
      <c r="M267" s="466"/>
      <c r="N267" s="466"/>
      <c r="O267" s="466"/>
      <c r="P267" s="466"/>
      <c r="Q267" s="466"/>
    </row>
    <row r="268" spans="1:17" ht="23.25">
      <c r="A268" s="1735" t="str">
        <f>A7</f>
        <v>Summer Daily Charge</v>
      </c>
      <c r="B268" s="1736"/>
      <c r="C268" s="1736"/>
      <c r="D268" s="1736"/>
      <c r="E268" s="1736"/>
      <c r="F268" s="1736"/>
      <c r="G268" s="1736"/>
      <c r="H268" s="1736"/>
      <c r="I268" s="1736"/>
      <c r="J268" s="1736"/>
      <c r="K268" s="1736"/>
      <c r="L268" s="1736"/>
      <c r="M268" s="1736"/>
      <c r="N268" s="1737"/>
      <c r="O268" s="466"/>
      <c r="P268" s="466"/>
      <c r="Q268" s="466"/>
    </row>
    <row r="269" spans="1:17" s="466" customFormat="1" ht="15">
      <c r="A269" s="1738" t="s">
        <v>564</v>
      </c>
      <c r="B269" s="1739"/>
      <c r="C269" s="1056" t="s">
        <v>865</v>
      </c>
      <c r="D269" s="1057" t="s">
        <v>61</v>
      </c>
      <c r="E269" s="1056" t="s">
        <v>865</v>
      </c>
      <c r="F269" s="1056" t="s">
        <v>61</v>
      </c>
      <c r="G269" s="1058" t="s">
        <v>667</v>
      </c>
      <c r="I269" s="1731" t="s">
        <v>74</v>
      </c>
      <c r="J269" s="997" t="s">
        <v>861</v>
      </c>
      <c r="K269" s="997" t="s">
        <v>862</v>
      </c>
      <c r="L269" s="1320" t="s">
        <v>957</v>
      </c>
      <c r="M269" s="998" t="s">
        <v>863</v>
      </c>
      <c r="N269" s="1732" t="s">
        <v>864</v>
      </c>
    </row>
    <row r="270" spans="1:17" s="996" customFormat="1" ht="15" customHeight="1">
      <c r="A270" s="999"/>
      <c r="B270" s="1000"/>
      <c r="C270" s="1001" t="s">
        <v>69</v>
      </c>
      <c r="D270" s="1002" t="s">
        <v>69</v>
      </c>
      <c r="E270" s="1001" t="s">
        <v>69</v>
      </c>
      <c r="F270" s="1001" t="s">
        <v>69</v>
      </c>
      <c r="G270" s="1003"/>
      <c r="H270" s="979"/>
      <c r="I270" s="1731"/>
      <c r="J270" s="1004" t="s">
        <v>866</v>
      </c>
      <c r="K270" s="1004" t="s">
        <v>866</v>
      </c>
      <c r="L270" s="1005" t="s">
        <v>866</v>
      </c>
      <c r="M270" s="1005" t="s">
        <v>866</v>
      </c>
      <c r="N270" s="1732"/>
      <c r="O270" s="466"/>
      <c r="P270" s="466"/>
      <c r="Q270" s="466"/>
    </row>
    <row r="271" spans="1:17" s="1033" customFormat="1" ht="20.25">
      <c r="A271" s="1041" t="s">
        <v>571</v>
      </c>
      <c r="B271" s="1042"/>
      <c r="C271" s="1043"/>
      <c r="D271" s="1044"/>
      <c r="E271" s="1045" t="s">
        <v>604</v>
      </c>
      <c r="F271" s="973"/>
      <c r="G271" s="974"/>
      <c r="H271" s="979"/>
      <c r="I271" s="1740"/>
      <c r="J271" s="1036" t="s">
        <v>69</v>
      </c>
      <c r="K271" s="1036" t="s">
        <v>69</v>
      </c>
      <c r="L271" s="1007" t="s">
        <v>69</v>
      </c>
      <c r="M271" s="1037" t="s">
        <v>69</v>
      </c>
      <c r="N271" s="1741"/>
      <c r="O271" s="466"/>
      <c r="P271" s="466"/>
      <c r="Q271" s="466"/>
    </row>
    <row r="272" spans="1:17" s="466" customFormat="1" ht="18">
      <c r="A272" s="975">
        <f>Year1</f>
        <v>2024</v>
      </c>
      <c r="B272" s="976" t="str">
        <f>Year1&amp;"$"</f>
        <v>2024$</v>
      </c>
      <c r="C272" s="1008"/>
      <c r="D272" s="1480" t="s">
        <v>993</v>
      </c>
      <c r="E272" s="1481">
        <f>A272</f>
        <v>2024</v>
      </c>
      <c r="F272" s="1481" t="s">
        <v>992</v>
      </c>
      <c r="G272" s="1009"/>
      <c r="I272" s="1011" t="s">
        <v>956</v>
      </c>
      <c r="J272" s="1012"/>
      <c r="K272" s="1012"/>
      <c r="L272" s="1012"/>
      <c r="M272" s="1013"/>
      <c r="N272" s="1014"/>
    </row>
    <row r="273" spans="1:14" s="466" customFormat="1">
      <c r="A273" s="1015">
        <v>1</v>
      </c>
      <c r="B273" s="1016">
        <f>Year1</f>
        <v>2024</v>
      </c>
      <c r="C273" s="1017">
        <f t="shared" ref="C273:C299" si="49">VLOOKUP($B273,$I$273:$N$305,C$12,FALSE)*(1+Inflation1)^(Year1-Real_Year)</f>
        <v>4.3799640701131605E-2</v>
      </c>
      <c r="D273" s="1485">
        <f t="shared" ref="D273:D299" si="50">VLOOKUP($B273-3,$I$273:$N$305,IF($A$17=Year1,D$12,D$12+1),FALSE)*(1+Inflation1)^(Year1-Real_Year)</f>
        <v>1.1929498364553778E-3</v>
      </c>
      <c r="E273" s="1018">
        <f>NPV(realdiscrt1,C$273:C273)/(1+realdiscrt1)^-Half_Year</f>
        <v>4.3503934938518077E-2</v>
      </c>
      <c r="F273" s="1018">
        <f>NPV(realdiscrt1,D$273:D273)/(1+realdiscrt1)^-Half_Year</f>
        <v>1.1848958402238606E-3</v>
      </c>
      <c r="G273" s="1019" t="str">
        <f t="shared" ref="G273:G299" si="51">$A$17&amp;"-"&amp;$A$268&amp;"-"&amp;A273</f>
        <v>2024-Summer Daily Charge-1</v>
      </c>
      <c r="H273" s="996"/>
      <c r="I273" s="1020">
        <v>2018</v>
      </c>
      <c r="J273" s="1325">
        <f t="shared" ref="J273:J305" si="52">(K273+$N273)*(1+WholesaleRiskPremium)</f>
        <v>0</v>
      </c>
      <c r="K273" s="1323"/>
      <c r="L273" s="1324"/>
      <c r="M273" s="1324"/>
      <c r="N273" s="1322">
        <f>INDEX(AESC!$H$184:$H$216,MATCH(I273,AESC!$B$184:$B$216,0))</f>
        <v>0</v>
      </c>
    </row>
    <row r="274" spans="1:14" s="466" customFormat="1">
      <c r="A274" s="1015">
        <v>2</v>
      </c>
      <c r="B274" s="1016">
        <f t="shared" ref="B274:B299" si="53">B273+1</f>
        <v>2025</v>
      </c>
      <c r="C274" s="1017">
        <f t="shared" si="49"/>
        <v>4.2126334395111882E-2</v>
      </c>
      <c r="D274" s="1485">
        <f t="shared" si="50"/>
        <v>1.7298301591769526E-3</v>
      </c>
      <c r="E274" s="1018">
        <f>NPV(realdiscrt1,C$273:C274)/(1+realdiscrt1)^-Half_Year</f>
        <v>8.4782790614115311E-2</v>
      </c>
      <c r="F274" s="1018">
        <f>NPV(realdiscrt1,D$273:D274)/(1+realdiscrt1)^-Half_Year</f>
        <v>2.8799260513557908E-3</v>
      </c>
      <c r="G274" s="1019" t="str">
        <f t="shared" si="51"/>
        <v>2024-Summer Daily Charge-2</v>
      </c>
      <c r="H274" s="1033"/>
      <c r="I274" s="1020">
        <v>2019</v>
      </c>
      <c r="J274" s="1319">
        <f t="shared" si="52"/>
        <v>0</v>
      </c>
      <c r="K274" s="1323"/>
      <c r="L274" s="1324"/>
      <c r="M274" s="1324"/>
      <c r="N274" s="1321">
        <f>INDEX(AESC!$H$184:$H$216,MATCH(I274,AESC!$B$184:$B$216,0))</f>
        <v>0</v>
      </c>
    </row>
    <row r="275" spans="1:14" s="466" customFormat="1">
      <c r="A275" s="1015">
        <f t="shared" ref="A275:A299" si="54">A274+1</f>
        <v>3</v>
      </c>
      <c r="B275" s="1016">
        <f t="shared" si="53"/>
        <v>2026</v>
      </c>
      <c r="C275" s="1017">
        <f t="shared" si="49"/>
        <v>4.2221755875026599E-2</v>
      </c>
      <c r="D275" s="1485">
        <f t="shared" si="50"/>
        <v>2.0160116971103493E-3</v>
      </c>
      <c r="E275" s="1018">
        <f>NPV(realdiscrt1,C$273:C275)/(1+realdiscrt1)^-Half_Year</f>
        <v>0.12559839714033169</v>
      </c>
      <c r="F275" s="1018">
        <f>NPV(realdiscrt1,D$273:D275)/(1+realdiscrt1)^-Half_Year</f>
        <v>4.8287966863209183E-3</v>
      </c>
      <c r="G275" s="1019" t="str">
        <f t="shared" si="51"/>
        <v>2024-Summer Daily Charge-3</v>
      </c>
      <c r="I275" s="1020">
        <v>2020</v>
      </c>
      <c r="J275" s="1319">
        <f t="shared" si="52"/>
        <v>0</v>
      </c>
      <c r="K275" s="1323"/>
      <c r="L275" s="1324"/>
      <c r="M275" s="1324"/>
      <c r="N275" s="1321">
        <f>INDEX(AESC!$H$184:$H$216,MATCH(I275,AESC!$B$184:$B$216,0))</f>
        <v>0</v>
      </c>
    </row>
    <row r="276" spans="1:14" s="466" customFormat="1">
      <c r="A276" s="1015">
        <f t="shared" si="54"/>
        <v>4</v>
      </c>
      <c r="B276" s="1016">
        <f t="shared" si="53"/>
        <v>2027</v>
      </c>
      <c r="C276" s="1017">
        <f t="shared" si="49"/>
        <v>4.262479623359524E-2</v>
      </c>
      <c r="D276" s="1485">
        <f t="shared" si="50"/>
        <v>2.2157701821740742E-3</v>
      </c>
      <c r="E276" s="1018">
        <f>NPV(realdiscrt1,C$273:C276)/(1+realdiscrt1)^-Half_Year</f>
        <v>0.16624911935208928</v>
      </c>
      <c r="F276" s="1018">
        <f>NPV(realdiscrt1,D$273:D276)/(1+realdiscrt1)^-Half_Year</f>
        <v>6.9419483285488763E-3</v>
      </c>
      <c r="G276" s="1019" t="str">
        <f t="shared" si="51"/>
        <v>2024-Summer Daily Charge-4</v>
      </c>
      <c r="I276" s="1020">
        <v>2021</v>
      </c>
      <c r="J276" s="1021">
        <f t="shared" si="52"/>
        <v>3.9971785459948839E-2</v>
      </c>
      <c r="K276" s="1022">
        <v>2.5331675018175143E-2</v>
      </c>
      <c r="L276" s="1023">
        <v>9.9316724606068776E-4</v>
      </c>
      <c r="M276" s="1023">
        <v>0</v>
      </c>
      <c r="N276" s="1024">
        <f>INDEX(AESC!$H$184:$H$216,MATCH(I276,AESC!$B$184:$B$216,0))</f>
        <v>1.1679237444740446E-2</v>
      </c>
    </row>
    <row r="277" spans="1:14" s="466" customFormat="1">
      <c r="A277" s="1015">
        <f t="shared" si="54"/>
        <v>5</v>
      </c>
      <c r="B277" s="1016">
        <f t="shared" si="53"/>
        <v>2028</v>
      </c>
      <c r="C277" s="1017">
        <f t="shared" si="49"/>
        <v>4.2993380909941953E-2</v>
      </c>
      <c r="D277" s="1485">
        <f t="shared" si="50"/>
        <v>2.2247031952101174E-3</v>
      </c>
      <c r="E277" s="1018">
        <f>NPV(realdiscrt1,C$273:C277)/(1+realdiscrt1)^-Half_Year</f>
        <v>0.20669958581008344</v>
      </c>
      <c r="F277" s="1018">
        <f>NPV(realdiscrt1,D$273:D277)/(1+realdiscrt1)^-Half_Year</f>
        <v>9.0350677825723098E-3</v>
      </c>
      <c r="G277" s="1019" t="str">
        <f t="shared" si="51"/>
        <v>2024-Summer Daily Charge-5</v>
      </c>
      <c r="I277" s="1020">
        <v>2022</v>
      </c>
      <c r="J277" s="1021">
        <f t="shared" si="52"/>
        <v>3.7102170485611083E-2</v>
      </c>
      <c r="K277" s="1022">
        <v>2.3446006230086958E-2</v>
      </c>
      <c r="L277" s="1023">
        <v>1.4401365445903703E-3</v>
      </c>
      <c r="M277" s="1023">
        <v>0</v>
      </c>
      <c r="N277" s="1024">
        <f>INDEX(AESC!$H$184:$H$216,MATCH(I277,AESC!$B$184:$B$216,0))</f>
        <v>1.0907855330664046E-2</v>
      </c>
    </row>
    <row r="278" spans="1:14">
      <c r="A278" s="1015">
        <f t="shared" si="54"/>
        <v>6</v>
      </c>
      <c r="B278" s="1016">
        <f t="shared" si="53"/>
        <v>2029</v>
      </c>
      <c r="C278" s="1017">
        <f t="shared" si="49"/>
        <v>4.3724921006423688E-2</v>
      </c>
      <c r="D278" s="1485">
        <f t="shared" si="50"/>
        <v>2.2120180471842921E-3</v>
      </c>
      <c r="E278" s="1018">
        <f>NPV(realdiscrt1,C$273:C278)/(1+realdiscrt1)^-Half_Year</f>
        <v>0.24728471706593338</v>
      </c>
      <c r="F278" s="1018">
        <f>NPV(realdiscrt1,D$273:D278)/(1+realdiscrt1)^-Half_Year</f>
        <v>1.1088245712204119E-2</v>
      </c>
      <c r="G278" s="1019" t="str">
        <f t="shared" si="51"/>
        <v>2024-Summer Daily Charge-6</v>
      </c>
      <c r="H278" s="466"/>
      <c r="I278" s="1020">
        <v>2023</v>
      </c>
      <c r="J278" s="1021">
        <f t="shared" si="52"/>
        <v>3.5915335856778439E-2</v>
      </c>
      <c r="K278" s="1022">
        <v>2.2369910492417485E-2</v>
      </c>
      <c r="L278" s="1023">
        <v>1.6783914327818531E-3</v>
      </c>
      <c r="M278" s="1023">
        <v>0</v>
      </c>
      <c r="N278" s="1024">
        <f>INDEX(AESC!$H$184:$H$216,MATCH(I278,AESC!$B$184:$B$216,0))</f>
        <v>1.0885030115710697E-2</v>
      </c>
    </row>
    <row r="279" spans="1:14" s="466" customFormat="1">
      <c r="A279" s="1015">
        <f t="shared" si="54"/>
        <v>7</v>
      </c>
      <c r="B279" s="1016">
        <f t="shared" si="53"/>
        <v>2030</v>
      </c>
      <c r="C279" s="1017">
        <f t="shared" si="49"/>
        <v>4.8177760587200483E-2</v>
      </c>
      <c r="D279" s="1485">
        <f t="shared" si="50"/>
        <v>2.1791880795501944E-3</v>
      </c>
      <c r="E279" s="1018">
        <f>NPV(realdiscrt1,C$273:C279)/(1+realdiscrt1)^-Half_Year</f>
        <v>0.29140116281166373</v>
      </c>
      <c r="F279" s="1018">
        <f>NPV(realdiscrt1,D$273:D279)/(1+realdiscrt1)^-Half_Year</f>
        <v>1.3083731419913824E-2</v>
      </c>
      <c r="G279" s="1019" t="str">
        <f t="shared" si="51"/>
        <v>2024-Summer Daily Charge-7</v>
      </c>
      <c r="I279" s="1020">
        <v>2024</v>
      </c>
      <c r="J279" s="1021">
        <f t="shared" si="52"/>
        <v>3.6464541260882777E-2</v>
      </c>
      <c r="K279" s="1022">
        <v>2.4969383100452883E-2</v>
      </c>
      <c r="L279" s="1023">
        <v>1.8446964847004513E-3</v>
      </c>
      <c r="M279" s="1023">
        <v>0</v>
      </c>
      <c r="N279" s="1024">
        <f>INDEX(AESC!$H$184:$H$216,MATCH(I279,AESC!$B$184:$B$216,0))</f>
        <v>8.7940810299941326E-3</v>
      </c>
    </row>
    <row r="280" spans="1:14" s="996" customFormat="1" ht="15" customHeight="1">
      <c r="A280" s="1015">
        <f t="shared" si="54"/>
        <v>8</v>
      </c>
      <c r="B280" s="1016">
        <f t="shared" si="53"/>
        <v>2031</v>
      </c>
      <c r="C280" s="1017">
        <f t="shared" si="49"/>
        <v>4.8475731857374013E-2</v>
      </c>
      <c r="D280" s="1485">
        <f t="shared" si="50"/>
        <v>2.1037399654949647E-3</v>
      </c>
      <c r="E280" s="1018">
        <f>NPV(realdiscrt1,C$273:C280)/(1+realdiscrt1)^-Half_Year</f>
        <v>0.33519311109648681</v>
      </c>
      <c r="F280" s="1018">
        <f>NPV(realdiscrt1,D$273:D280)/(1+realdiscrt1)^-Half_Year</f>
        <v>1.4984205497225908E-2</v>
      </c>
      <c r="G280" s="1019" t="str">
        <f t="shared" si="51"/>
        <v>2024-Summer Daily Charge-8</v>
      </c>
      <c r="H280" s="466"/>
      <c r="I280" s="1020">
        <v>2025</v>
      </c>
      <c r="J280" s="1021">
        <f t="shared" si="52"/>
        <v>3.5071462553815325E-2</v>
      </c>
      <c r="K280" s="1022">
        <v>2.5550533928652246E-2</v>
      </c>
      <c r="L280" s="1023">
        <v>1.8521334914252206E-3</v>
      </c>
      <c r="M280" s="1023">
        <v>0</v>
      </c>
      <c r="N280" s="1024">
        <f>INDEX(AESC!$H$184:$H$216,MATCH(I280,AESC!$B$184:$B$216,0))</f>
        <v>6.923042510065645E-3</v>
      </c>
    </row>
    <row r="281" spans="1:14" s="466" customFormat="1">
      <c r="A281" s="1015">
        <f t="shared" si="54"/>
        <v>9</v>
      </c>
      <c r="B281" s="1016">
        <f t="shared" si="53"/>
        <v>2032</v>
      </c>
      <c r="C281" s="1017">
        <f t="shared" si="49"/>
        <v>4.8962477234218003E-2</v>
      </c>
      <c r="D281" s="1485">
        <f t="shared" si="50"/>
        <v>1.9502276991243729E-3</v>
      </c>
      <c r="E281" s="1018">
        <f>NPV(realdiscrt1,C$273:C281)/(1+realdiscrt1)^-Half_Year</f>
        <v>0.37882954594828411</v>
      </c>
      <c r="F281" s="1018">
        <f>NPV(realdiscrt1,D$273:D281)/(1+realdiscrt1)^-Half_Year</f>
        <v>1.6722291246685037E-2</v>
      </c>
      <c r="G281" s="1019" t="str">
        <f t="shared" si="51"/>
        <v>2024-Summer Daily Charge-9</v>
      </c>
      <c r="H281" s="979"/>
      <c r="I281" s="1020">
        <v>2026</v>
      </c>
      <c r="J281" s="1021">
        <f t="shared" si="52"/>
        <v>3.51509038559773E-2</v>
      </c>
      <c r="K281" s="1022">
        <v>2.6080656112834E-2</v>
      </c>
      <c r="L281" s="1023">
        <v>1.8415727174968591E-3</v>
      </c>
      <c r="M281" s="1023">
        <v>0</v>
      </c>
      <c r="N281" s="1024">
        <f>INDEX(AESC!$H$184:$H$216,MATCH(I281,AESC!$B$184:$B$216,0))</f>
        <v>6.4664770871449753E-3</v>
      </c>
    </row>
    <row r="282" spans="1:14" s="466" customFormat="1">
      <c r="A282" s="1015">
        <f t="shared" si="54"/>
        <v>10</v>
      </c>
      <c r="B282" s="1016">
        <f t="shared" si="53"/>
        <v>2033</v>
      </c>
      <c r="C282" s="1017">
        <f t="shared" si="49"/>
        <v>4.601696280976187E-2</v>
      </c>
      <c r="D282" s="1485">
        <f t="shared" si="50"/>
        <v>1.6521444021425212E-3</v>
      </c>
      <c r="E282" s="1018">
        <f>NPV(realdiscrt1,C$273:C282)/(1+realdiscrt1)^-Half_Year</f>
        <v>0.41928898108886525</v>
      </c>
      <c r="F282" s="1018">
        <f>NPV(realdiscrt1,D$273:D282)/(1+realdiscrt1)^-Half_Year</f>
        <v>1.8174904048570764E-2</v>
      </c>
      <c r="G282" s="1019" t="str">
        <f t="shared" si="51"/>
        <v>2024-Summer Daily Charge-10</v>
      </c>
      <c r="I282" s="1020">
        <v>2027</v>
      </c>
      <c r="J282" s="1021">
        <f t="shared" si="52"/>
        <v>3.5486447288516181E-2</v>
      </c>
      <c r="K282" s="1022">
        <v>2.6772089223909248E-2</v>
      </c>
      <c r="L282" s="1023">
        <v>1.814240764763373E-3</v>
      </c>
      <c r="M282" s="1023">
        <v>0</v>
      </c>
      <c r="N282" s="1024">
        <f>INDEX(AESC!$H$184:$H$216,MATCH(I282,AESC!$B$184:$B$216,0))</f>
        <v>6.0857323395316605E-3</v>
      </c>
    </row>
    <row r="283" spans="1:14" s="466" customFormat="1">
      <c r="A283" s="1015">
        <f t="shared" si="54"/>
        <v>11</v>
      </c>
      <c r="B283" s="1016">
        <f t="shared" si="53"/>
        <v>2034</v>
      </c>
      <c r="C283" s="1017">
        <f t="shared" si="49"/>
        <v>4.6611916942495876E-2</v>
      </c>
      <c r="D283" s="1485">
        <f t="shared" si="50"/>
        <v>1.1565975967259231E-3</v>
      </c>
      <c r="E283" s="1018">
        <f>NPV(realdiscrt1,C$273:C283)/(1+realdiscrt1)^-Half_Year</f>
        <v>0.45972001186437816</v>
      </c>
      <c r="F283" s="1018">
        <f>NPV(realdiscrt1,D$273:D283)/(1+realdiscrt1)^-Half_Year</f>
        <v>1.9178133181708537E-2</v>
      </c>
      <c r="G283" s="1019" t="str">
        <f t="shared" si="51"/>
        <v>2024-Summer Daily Charge-11</v>
      </c>
      <c r="H283" s="996"/>
      <c r="I283" s="1020">
        <v>2028</v>
      </c>
      <c r="J283" s="1021">
        <f t="shared" si="52"/>
        <v>3.5793305311176318E-2</v>
      </c>
      <c r="K283" s="1022">
        <v>2.7511086164868935E-2</v>
      </c>
      <c r="L283" s="1023">
        <v>1.7514279009137471E-3</v>
      </c>
      <c r="M283" s="1023">
        <v>0</v>
      </c>
      <c r="N283" s="1024">
        <f>INDEX(AESC!$H$184:$H$216,MATCH(I283,AESC!$B$184:$B$216,0))</f>
        <v>5.6308631973313586E-3</v>
      </c>
    </row>
    <row r="284" spans="1:14" s="466" customFormat="1">
      <c r="A284" s="1015">
        <f t="shared" si="54"/>
        <v>12</v>
      </c>
      <c r="B284" s="1016">
        <f t="shared" si="53"/>
        <v>2035</v>
      </c>
      <c r="C284" s="1017">
        <f t="shared" si="49"/>
        <v>4.7669645372801633E-2</v>
      </c>
      <c r="D284" s="1485">
        <f t="shared" si="50"/>
        <v>0</v>
      </c>
      <c r="E284" s="1018">
        <f>NPV(realdiscrt1,C$273:C284)/(1+realdiscrt1)^-Half_Year</f>
        <v>0.50051208302247474</v>
      </c>
      <c r="F284" s="1018">
        <f>NPV(realdiscrt1,D$273:D284)/(1+realdiscrt1)^-Half_Year</f>
        <v>1.9178133181708537E-2</v>
      </c>
      <c r="G284" s="1019" t="str">
        <f t="shared" si="51"/>
        <v>2024-Summer Daily Charge-12</v>
      </c>
      <c r="I284" s="1020">
        <v>2029</v>
      </c>
      <c r="J284" s="1021">
        <f t="shared" si="52"/>
        <v>3.6402334828431221E-2</v>
      </c>
      <c r="K284" s="1022">
        <v>2.8346421850612806E-2</v>
      </c>
      <c r="L284" s="1023">
        <v>1.6236242413057028E-3</v>
      </c>
      <c r="M284" s="1023">
        <v>0</v>
      </c>
      <c r="N284" s="1024">
        <f>INDEX(AESC!$H$184:$H$216,MATCH(I284,AESC!$B$184:$B$216,0))</f>
        <v>5.3594437312679526E-3</v>
      </c>
    </row>
    <row r="285" spans="1:14" s="466" customFormat="1">
      <c r="A285" s="1015">
        <f t="shared" si="54"/>
        <v>13</v>
      </c>
      <c r="B285" s="1016">
        <f t="shared" si="53"/>
        <v>2036</v>
      </c>
      <c r="C285" s="1017">
        <f t="shared" si="49"/>
        <v>4.7673506361120735E-2</v>
      </c>
      <c r="D285" s="1485">
        <f t="shared" si="50"/>
        <v>0</v>
      </c>
      <c r="E285" s="1018">
        <f>NPV(realdiscrt1,C$273:C285)/(1+realdiscrt1)^-Half_Year</f>
        <v>0.54075847163561819</v>
      </c>
      <c r="F285" s="1018">
        <f>NPV(realdiscrt1,D$273:D285)/(1+realdiscrt1)^-Half_Year</f>
        <v>1.9178133181708537E-2</v>
      </c>
      <c r="G285" s="1019" t="str">
        <f t="shared" si="51"/>
        <v>2024-Summer Daily Charge-13</v>
      </c>
      <c r="I285" s="1020">
        <v>2030</v>
      </c>
      <c r="J285" s="1021">
        <f t="shared" si="52"/>
        <v>4.0109460047317608E-2</v>
      </c>
      <c r="K285" s="1022">
        <v>2.8990296265732744E-2</v>
      </c>
      <c r="L285" s="1023">
        <v>1.3754607744831569E-3</v>
      </c>
      <c r="M285" s="1023">
        <v>0</v>
      </c>
      <c r="N285" s="1024">
        <f>INDEX(AESC!$H$184:$H$216,MATCH(I285,AESC!$B$184:$B$216,0))</f>
        <v>8.1480926669687433E-3</v>
      </c>
    </row>
    <row r="286" spans="1:14" s="466" customFormat="1">
      <c r="A286" s="1015">
        <f t="shared" si="54"/>
        <v>14</v>
      </c>
      <c r="B286" s="1016">
        <f t="shared" si="53"/>
        <v>2037</v>
      </c>
      <c r="C286" s="1017">
        <f t="shared" si="49"/>
        <v>4.7797868276961801E-2</v>
      </c>
      <c r="D286" s="1485">
        <f t="shared" si="50"/>
        <v>0</v>
      </c>
      <c r="E286" s="1018">
        <f>NPV(realdiscrt1,C$273:C286)/(1+realdiscrt1)^-Half_Year</f>
        <v>0.58056683610279691</v>
      </c>
      <c r="F286" s="1018">
        <f>NPV(realdiscrt1,D$273:D286)/(1+realdiscrt1)^-Half_Year</f>
        <v>1.9178133181708537E-2</v>
      </c>
      <c r="G286" s="1019" t="str">
        <f t="shared" si="51"/>
        <v>2024-Summer Daily Charge-14</v>
      </c>
      <c r="I286" s="1020">
        <v>2031</v>
      </c>
      <c r="J286" s="1021">
        <f t="shared" si="52"/>
        <v>4.0357530248393926E-2</v>
      </c>
      <c r="K286" s="1022">
        <v>2.9466382496400653E-2</v>
      </c>
      <c r="L286" s="1023">
        <v>9.6290289401759093E-4</v>
      </c>
      <c r="M286" s="1023">
        <v>0</v>
      </c>
      <c r="N286" s="1024">
        <f>INDEX(AESC!$H$184:$H$216,MATCH(I286,AESC!$B$184:$B$216,0))</f>
        <v>7.901701066927053E-3</v>
      </c>
    </row>
    <row r="287" spans="1:14" s="466" customFormat="1">
      <c r="A287" s="1015">
        <f t="shared" si="54"/>
        <v>15</v>
      </c>
      <c r="B287" s="1016">
        <f t="shared" si="53"/>
        <v>2038</v>
      </c>
      <c r="C287" s="1017">
        <f t="shared" si="49"/>
        <v>4.8029580888513959E-2</v>
      </c>
      <c r="D287" s="1485">
        <f t="shared" si="50"/>
        <v>0</v>
      </c>
      <c r="E287" s="1018">
        <f>NPV(realdiscrt1,C$273:C287)/(1+realdiscrt1)^-Half_Year</f>
        <v>0.62002988080735211</v>
      </c>
      <c r="F287" s="1018">
        <f>NPV(realdiscrt1,D$273:D287)/(1+realdiscrt1)^-Half_Year</f>
        <v>1.9178133181708537E-2</v>
      </c>
      <c r="G287" s="1019" t="str">
        <f t="shared" si="51"/>
        <v>2024-Summer Daily Charge-15</v>
      </c>
      <c r="I287" s="1020">
        <v>2032</v>
      </c>
      <c r="J287" s="1021">
        <f t="shared" si="52"/>
        <v>4.0762760670227341E-2</v>
      </c>
      <c r="K287" s="1022">
        <v>3.0070877059576298E-2</v>
      </c>
      <c r="L287" s="1023">
        <v>0</v>
      </c>
      <c r="M287" s="1023">
        <v>0</v>
      </c>
      <c r="N287" s="1024">
        <f>INDEX(AESC!$H$184:$H$216,MATCH(I287,AESC!$B$184:$B$216,0))</f>
        <v>7.6724198573008698E-3</v>
      </c>
    </row>
    <row r="288" spans="1:14" s="466" customFormat="1">
      <c r="A288" s="1015">
        <f t="shared" si="54"/>
        <v>16</v>
      </c>
      <c r="B288" s="1016">
        <f t="shared" si="53"/>
        <v>2039</v>
      </c>
      <c r="C288" s="1017">
        <f t="shared" si="49"/>
        <v>4.8357235786011012E-2</v>
      </c>
      <c r="D288" s="1485">
        <f t="shared" si="50"/>
        <v>0</v>
      </c>
      <c r="E288" s="1018">
        <f>NPV(realdiscrt1,C$273:C288)/(1+realdiscrt1)^-Half_Year</f>
        <v>0.65922745996305865</v>
      </c>
      <c r="F288" s="1018">
        <f>NPV(realdiscrt1,D$273:D288)/(1+realdiscrt1)^-Half_Year</f>
        <v>1.9178133181708537E-2</v>
      </c>
      <c r="G288" s="1019" t="str">
        <f t="shared" si="51"/>
        <v>2024-Summer Daily Charge-16</v>
      </c>
      <c r="I288" s="1020">
        <v>2033</v>
      </c>
      <c r="J288" s="1021">
        <f t="shared" si="52"/>
        <v>3.8310529771850795E-2</v>
      </c>
      <c r="K288" s="1022">
        <v>3.091297085290692E-2</v>
      </c>
      <c r="L288" s="1023">
        <v>0</v>
      </c>
      <c r="M288" s="1023">
        <v>0</v>
      </c>
      <c r="N288" s="1024">
        <f>INDEX(AESC!$H$184:$H$216,MATCH(I288,AESC!$B$184:$B$216,0))</f>
        <v>4.5597418988067746E-3</v>
      </c>
    </row>
    <row r="289" spans="1:14" s="466" customFormat="1">
      <c r="A289" s="1015">
        <f t="shared" si="54"/>
        <v>17</v>
      </c>
      <c r="B289" s="1016">
        <f t="shared" si="53"/>
        <v>2040</v>
      </c>
      <c r="C289" s="1017">
        <f t="shared" si="49"/>
        <v>4.8770942797699696E-2</v>
      </c>
      <c r="D289" s="1485">
        <f t="shared" si="50"/>
        <v>0</v>
      </c>
      <c r="E289" s="1018">
        <f>NPV(realdiscrt1,C$273:C289)/(1+realdiscrt1)^-Half_Year</f>
        <v>0.69822838563597567</v>
      </c>
      <c r="F289" s="1018">
        <f>NPV(realdiscrt1,D$273:D289)/(1+realdiscrt1)^-Half_Year</f>
        <v>1.9178133181708537E-2</v>
      </c>
      <c r="G289" s="1019" t="str">
        <f t="shared" si="51"/>
        <v>2024-Summer Daily Charge-17</v>
      </c>
      <c r="I289" s="1020">
        <v>2034</v>
      </c>
      <c r="J289" s="1021">
        <f t="shared" si="52"/>
        <v>3.8805847294417856E-2</v>
      </c>
      <c r="K289" s="1022">
        <v>3.1251804535850629E-2</v>
      </c>
      <c r="L289" s="1023">
        <v>0</v>
      </c>
      <c r="M289" s="1023">
        <v>0</v>
      </c>
      <c r="N289" s="1024">
        <f>INDEX(AESC!$H$184:$H$216,MATCH(I289,AESC!$B$184:$B$216,0))</f>
        <v>4.6795355515733099E-3</v>
      </c>
    </row>
    <row r="290" spans="1:14" s="466" customFormat="1">
      <c r="A290" s="1015">
        <f t="shared" si="54"/>
        <v>18</v>
      </c>
      <c r="B290" s="1016">
        <f t="shared" si="53"/>
        <v>2041</v>
      </c>
      <c r="C290" s="1017">
        <f t="shared" si="49"/>
        <v>4.9262135242085628E-2</v>
      </c>
      <c r="D290" s="1485">
        <f t="shared" si="50"/>
        <v>0</v>
      </c>
      <c r="E290" s="1018">
        <f>NPV(realdiscrt1,C$273:C290)/(1+realdiscrt1)^-Half_Year</f>
        <v>0.73709198153921696</v>
      </c>
      <c r="F290" s="1018">
        <f>NPV(realdiscrt1,D$273:D290)/(1+realdiscrt1)^-Half_Year</f>
        <v>1.9178133181708537E-2</v>
      </c>
      <c r="G290" s="1019" t="str">
        <f t="shared" si="51"/>
        <v>2024-Summer Daily Charge-18</v>
      </c>
      <c r="I290" s="1020">
        <v>2035</v>
      </c>
      <c r="J290" s="1021">
        <f t="shared" si="52"/>
        <v>3.9686438581749958E-2</v>
      </c>
      <c r="K290" s="1022">
        <v>3.1899068319550541E-2</v>
      </c>
      <c r="L290" s="1023">
        <v>0</v>
      </c>
      <c r="M290" s="1023">
        <v>0</v>
      </c>
      <c r="N290" s="1024">
        <f>INDEX(AESC!$H$184:$H$216,MATCH(I290,AESC!$B$184:$B$216,0))</f>
        <v>4.8476340709586799E-3</v>
      </c>
    </row>
    <row r="291" spans="1:14" s="466" customFormat="1">
      <c r="A291" s="1015">
        <f t="shared" si="54"/>
        <v>19</v>
      </c>
      <c r="B291" s="1016">
        <f t="shared" si="53"/>
        <v>2042</v>
      </c>
      <c r="C291" s="1017">
        <f t="shared" si="49"/>
        <v>4.9823400300057066E-2</v>
      </c>
      <c r="D291" s="1485">
        <f t="shared" si="50"/>
        <v>0</v>
      </c>
      <c r="E291" s="1018">
        <f>NPV(realdiscrt1,C$273:C291)/(1+realdiscrt1)^-Half_Year</f>
        <v>0.7758694183486311</v>
      </c>
      <c r="F291" s="1018">
        <f>NPV(realdiscrt1,D$273:D291)/(1+realdiscrt1)^-Half_Year</f>
        <v>1.9178133181708537E-2</v>
      </c>
      <c r="G291" s="1019" t="str">
        <f t="shared" si="51"/>
        <v>2024-Summer Daily Charge-19</v>
      </c>
      <c r="I291" s="1020">
        <v>2036</v>
      </c>
      <c r="J291" s="1021">
        <f t="shared" si="52"/>
        <v>3.9689652972681386E-2</v>
      </c>
      <c r="K291" s="1022">
        <v>3.2526864377500742E-2</v>
      </c>
      <c r="L291" s="1023">
        <v>0</v>
      </c>
      <c r="M291" s="1023">
        <v>0</v>
      </c>
      <c r="N291" s="1024">
        <f>INDEX(AESC!$H$184:$H$216,MATCH(I291,AESC!$B$184:$B$216,0))</f>
        <v>4.2228143009079497E-3</v>
      </c>
    </row>
    <row r="292" spans="1:14" s="466" customFormat="1">
      <c r="A292" s="1015">
        <f t="shared" si="54"/>
        <v>20</v>
      </c>
      <c r="B292" s="1016">
        <f t="shared" si="53"/>
        <v>2043</v>
      </c>
      <c r="C292" s="1017">
        <f t="shared" si="49"/>
        <v>5.0448331269507568E-2</v>
      </c>
      <c r="D292" s="1485">
        <f t="shared" si="50"/>
        <v>0</v>
      </c>
      <c r="E292" s="1018">
        <f>NPV(realdiscrt1,C$273:C292)/(1+realdiscrt1)^-Half_Year</f>
        <v>0.81460486126071008</v>
      </c>
      <c r="F292" s="1018">
        <f>NPV(realdiscrt1,D$273:D292)/(1+realdiscrt1)^-Half_Year</f>
        <v>1.9178133181708537E-2</v>
      </c>
      <c r="G292" s="1019" t="str">
        <f t="shared" si="51"/>
        <v>2024-Summer Daily Charge-20</v>
      </c>
      <c r="I292" s="1020">
        <v>2037</v>
      </c>
      <c r="J292" s="1021">
        <f t="shared" si="52"/>
        <v>3.9793188073400876E-2</v>
      </c>
      <c r="K292" s="1022">
        <v>3.3167015902589657E-2</v>
      </c>
      <c r="L292" s="1023">
        <v>0</v>
      </c>
      <c r="M292" s="1023">
        <v>0</v>
      </c>
      <c r="N292" s="1024">
        <f>INDEX(AESC!$H$184:$H$216,MATCH(I292,AESC!$B$184:$B$216,0))</f>
        <v>3.6785286098185554E-3</v>
      </c>
    </row>
    <row r="293" spans="1:14" s="466" customFormat="1">
      <c r="A293" s="1015">
        <f t="shared" si="54"/>
        <v>21</v>
      </c>
      <c r="B293" s="1016">
        <f t="shared" si="53"/>
        <v>2044</v>
      </c>
      <c r="C293" s="1017">
        <f t="shared" si="49"/>
        <v>5.1131398882356342E-2</v>
      </c>
      <c r="D293" s="1485">
        <f t="shared" si="50"/>
        <v>0</v>
      </c>
      <c r="E293" s="1018">
        <f>NPV(realdiscrt1,C$273:C293)/(1+realdiscrt1)^-Half_Year</f>
        <v>0.85333645619418497</v>
      </c>
      <c r="F293" s="1018">
        <f>NPV(realdiscrt1,D$273:D293)/(1+realdiscrt1)^-Half_Year</f>
        <v>1.9178133181708537E-2</v>
      </c>
      <c r="G293" s="1019" t="str">
        <f t="shared" si="51"/>
        <v>2024-Summer Daily Charge-21</v>
      </c>
      <c r="I293" s="1020">
        <v>2038</v>
      </c>
      <c r="J293" s="1021">
        <f t="shared" si="52"/>
        <v>3.9986095913496292E-2</v>
      </c>
      <c r="K293" s="1022">
        <v>3.3819766059084225E-2</v>
      </c>
      <c r="L293" s="1023">
        <v>0</v>
      </c>
      <c r="M293" s="1023">
        <v>0</v>
      </c>
      <c r="N293" s="1024">
        <f>INDEX(AESC!$H$184:$H$216,MATCH(I293,AESC!$B$184:$B$216,0))</f>
        <v>3.2043968237827087E-3</v>
      </c>
    </row>
    <row r="294" spans="1:14" s="466" customFormat="1">
      <c r="A294" s="1015">
        <f t="shared" si="54"/>
        <v>22</v>
      </c>
      <c r="B294" s="1016">
        <f t="shared" si="53"/>
        <v>2045</v>
      </c>
      <c r="C294" s="1017">
        <f t="shared" si="49"/>
        <v>5.1867839227360588E-2</v>
      </c>
      <c r="D294" s="1485">
        <f t="shared" si="50"/>
        <v>0</v>
      </c>
      <c r="E294" s="1018">
        <f>NPV(realdiscrt1,C$273:C294)/(1+realdiscrt1)^-Half_Year</f>
        <v>0.8920971773243509</v>
      </c>
      <c r="F294" s="1018">
        <f>NPV(realdiscrt1,D$273:D294)/(1+realdiscrt1)^-Half_Year</f>
        <v>1.9178133181708537E-2</v>
      </c>
      <c r="G294" s="1019" t="str">
        <f t="shared" si="51"/>
        <v>2024-Summer Daily Charge-22</v>
      </c>
      <c r="I294" s="1020">
        <v>2039</v>
      </c>
      <c r="J294" s="1021">
        <f t="shared" si="52"/>
        <v>4.0258878642711757E-2</v>
      </c>
      <c r="K294" s="1022">
        <v>3.4485362796894854E-2</v>
      </c>
      <c r="L294" s="1023">
        <v>0</v>
      </c>
      <c r="M294" s="1023">
        <v>0</v>
      </c>
      <c r="N294" s="1024">
        <f>INDEX(AESC!$H$184:$H$216,MATCH(I294,AESC!$B$184:$B$216,0))</f>
        <v>2.7913766870975056E-3</v>
      </c>
    </row>
    <row r="295" spans="1:14" s="466" customFormat="1">
      <c r="A295" s="1015">
        <f t="shared" si="54"/>
        <v>23</v>
      </c>
      <c r="B295" s="1016">
        <f t="shared" si="53"/>
        <v>2046</v>
      </c>
      <c r="C295" s="1017">
        <f t="shared" si="49"/>
        <v>5.2653556138757059E-2</v>
      </c>
      <c r="D295" s="1485">
        <f t="shared" si="50"/>
        <v>0</v>
      </c>
      <c r="E295" s="1018">
        <f>NPV(realdiscrt1,C$273:C295)/(1+realdiscrt1)^-Half_Year</f>
        <v>0.93091555544875426</v>
      </c>
      <c r="F295" s="1018">
        <f>NPV(realdiscrt1,D$273:D295)/(1+realdiscrt1)^-Half_Year</f>
        <v>1.9178133181708537E-2</v>
      </c>
      <c r="G295" s="1019" t="str">
        <f t="shared" si="51"/>
        <v>2024-Summer Daily Charge-23</v>
      </c>
      <c r="I295" s="1020">
        <v>2040</v>
      </c>
      <c r="J295" s="1021">
        <f t="shared" si="52"/>
        <v>4.0603302390399006E-2</v>
      </c>
      <c r="K295" s="1022">
        <v>3.5164058945760253E-2</v>
      </c>
      <c r="L295" s="1023">
        <v>0</v>
      </c>
      <c r="M295" s="1023">
        <v>0</v>
      </c>
      <c r="N295" s="1024">
        <f>INDEX(AESC!$H$184:$H$216,MATCH(I295,AESC!$B$184:$B$216,0))</f>
        <v>2.4315914157203053E-3</v>
      </c>
    </row>
    <row r="296" spans="1:14" s="466" customFormat="1">
      <c r="A296" s="1015">
        <f t="shared" si="54"/>
        <v>24</v>
      </c>
      <c r="B296" s="1016">
        <f t="shared" si="53"/>
        <v>2047</v>
      </c>
      <c r="C296" s="1017">
        <f t="shared" si="49"/>
        <v>5.3485036186601796E-2</v>
      </c>
      <c r="D296" s="1485">
        <f t="shared" si="50"/>
        <v>0</v>
      </c>
      <c r="E296" s="1018">
        <f>NPV(realdiscrt1,C$273:C296)/(1+realdiscrt1)^-Half_Year</f>
        <v>0.96981630394109752</v>
      </c>
      <c r="F296" s="1018">
        <f>NPV(realdiscrt1,D$273:D296)/(1+realdiscrt1)^-Half_Year</f>
        <v>1.9178133181708537E-2</v>
      </c>
      <c r="G296" s="1019" t="str">
        <f t="shared" si="51"/>
        <v>2024-Summer Daily Charge-24</v>
      </c>
      <c r="I296" s="1020">
        <v>2041</v>
      </c>
      <c r="J296" s="1021">
        <f t="shared" si="52"/>
        <v>4.1012235132052335E-2</v>
      </c>
      <c r="K296" s="1022">
        <v>3.5856112311285881E-2</v>
      </c>
      <c r="L296" s="1023">
        <v>0</v>
      </c>
      <c r="M296" s="1023">
        <v>0</v>
      </c>
      <c r="N296" s="1024">
        <f>INDEX(AESC!$H$184:$H$216,MATCH(I296,AESC!$B$184:$B$216,0))</f>
        <v>2.1181794776514674E-3</v>
      </c>
    </row>
    <row r="297" spans="1:14" s="466" customFormat="1">
      <c r="A297" s="1015">
        <f t="shared" si="54"/>
        <v>25</v>
      </c>
      <c r="B297" s="1016">
        <f t="shared" si="53"/>
        <v>2048</v>
      </c>
      <c r="C297" s="1017">
        <f t="shared" si="49"/>
        <v>5.4359274644955033E-2</v>
      </c>
      <c r="D297" s="1485">
        <f t="shared" si="50"/>
        <v>0</v>
      </c>
      <c r="E297" s="1018">
        <f>NPV(realdiscrt1,C$273:C297)/(1+realdiscrt1)^-Half_Year</f>
        <v>1.0088208566939552</v>
      </c>
      <c r="F297" s="1018">
        <f>NPV(realdiscrt1,D$273:D297)/(1+realdiscrt1)^-Half_Year</f>
        <v>1.9178133181708537E-2</v>
      </c>
      <c r="G297" s="1019" t="str">
        <f t="shared" si="51"/>
        <v>2024-Summer Daily Charge-25</v>
      </c>
      <c r="I297" s="1020">
        <v>2042</v>
      </c>
      <c r="J297" s="1021">
        <f t="shared" si="52"/>
        <v>4.147950546891066E-2</v>
      </c>
      <c r="K297" s="1022">
        <v>3.6561785772872495E-2</v>
      </c>
      <c r="L297" s="1023">
        <v>0</v>
      </c>
      <c r="M297" s="1023">
        <v>0</v>
      </c>
      <c r="N297" s="1024">
        <f>INDEX(AESC!$H$184:$H$216,MATCH(I297,AESC!$B$184:$B$216,0))</f>
        <v>1.8451637353781175E-3</v>
      </c>
    </row>
    <row r="298" spans="1:14" s="466" customFormat="1">
      <c r="A298" s="1015">
        <f t="shared" si="54"/>
        <v>26</v>
      </c>
      <c r="B298" s="1016">
        <f t="shared" si="53"/>
        <v>2049</v>
      </c>
      <c r="C298" s="1017">
        <f t="shared" si="49"/>
        <v>5.5273711023367901E-2</v>
      </c>
      <c r="D298" s="1485">
        <f t="shared" si="50"/>
        <v>0</v>
      </c>
      <c r="E298" s="1018">
        <f>NPV(realdiscrt1,C$273:C298)/(1+realdiscrt1)^-Half_Year</f>
        <v>1.0479478304259748</v>
      </c>
      <c r="F298" s="1018">
        <f>NPV(realdiscrt1,D$273:D298)/(1+realdiscrt1)^-Half_Year</f>
        <v>1.9178133181708537E-2</v>
      </c>
      <c r="G298" s="1019" t="str">
        <f t="shared" si="51"/>
        <v>2024-Summer Daily Charge-26</v>
      </c>
      <c r="I298" s="1020">
        <v>2043</v>
      </c>
      <c r="J298" s="1021">
        <f t="shared" si="52"/>
        <v>4.1999779625409447E-2</v>
      </c>
      <c r="K298" s="1022">
        <v>3.7281347383571993E-2</v>
      </c>
      <c r="L298" s="1023">
        <v>0</v>
      </c>
      <c r="M298" s="1023">
        <v>0</v>
      </c>
      <c r="N298" s="1024">
        <f>INDEX(AESC!$H$184:$H$216,MATCH(I298,AESC!$B$184:$B$216,0))</f>
        <v>1.6073374547700802E-3</v>
      </c>
    </row>
    <row r="299" spans="1:14" s="466" customFormat="1">
      <c r="A299" s="1015">
        <f t="shared" si="54"/>
        <v>27</v>
      </c>
      <c r="B299" s="1016">
        <f t="shared" si="53"/>
        <v>2050</v>
      </c>
      <c r="C299" s="1017">
        <f t="shared" si="49"/>
        <v>5.6226172929458321E-2</v>
      </c>
      <c r="D299" s="1485">
        <f t="shared" si="50"/>
        <v>0</v>
      </c>
      <c r="E299" s="1018">
        <f>NPV(realdiscrt1,C$273:C299)/(1+realdiscrt1)^-Half_Year</f>
        <v>1.087213421989033</v>
      </c>
      <c r="F299" s="1018">
        <f>NPV(realdiscrt1,D$273:D299)/(1+realdiscrt1)^-Half_Year</f>
        <v>1.9178133181708537E-2</v>
      </c>
      <c r="G299" s="1019" t="str">
        <f t="shared" si="51"/>
        <v>2024-Summer Daily Charge-27</v>
      </c>
      <c r="I299" s="1020">
        <v>2044</v>
      </c>
      <c r="J299" s="1021">
        <f t="shared" si="52"/>
        <v>4.2568454316662188E-2</v>
      </c>
      <c r="K299" s="1022">
        <v>3.8015070471908524E-2</v>
      </c>
      <c r="L299" s="1023">
        <v>0</v>
      </c>
      <c r="M299" s="1023">
        <v>0</v>
      </c>
      <c r="N299" s="1024">
        <f>INDEX(AESC!$H$184:$H$216,MATCH(I299,AESC!$B$184:$B$216,0))</f>
        <v>1.4001650064823829E-3</v>
      </c>
    </row>
    <row r="300" spans="1:14" s="466" customFormat="1" ht="20.25">
      <c r="A300" s="975">
        <f>Year2</f>
        <v>2025</v>
      </c>
      <c r="B300" s="976" t="str">
        <f>Year2&amp;"$"</f>
        <v>2025$</v>
      </c>
      <c r="C300" s="1046"/>
      <c r="D300" s="1480" t="s">
        <v>993</v>
      </c>
      <c r="E300" s="1481">
        <f>A300</f>
        <v>2025</v>
      </c>
      <c r="F300" s="1481" t="s">
        <v>992</v>
      </c>
      <c r="G300" s="1047"/>
      <c r="I300" s="1020">
        <v>2045</v>
      </c>
      <c r="J300" s="1021">
        <f t="shared" si="52"/>
        <v>4.3181563440771786E-2</v>
      </c>
      <c r="K300" s="1022">
        <v>3.8763233745703465E-2</v>
      </c>
      <c r="L300" s="1023">
        <v>0</v>
      </c>
      <c r="M300" s="1023">
        <v>0</v>
      </c>
      <c r="N300" s="1024">
        <f>INDEX(AESC!$H$184:$H$216,MATCH(I300,AESC!$B$184:$B$216,0))</f>
        <v>1.219695366122258E-3</v>
      </c>
    </row>
    <row r="301" spans="1:14" s="466" customFormat="1">
      <c r="A301" s="1015">
        <v>1</v>
      </c>
      <c r="B301" s="1016">
        <f>Year2</f>
        <v>2025</v>
      </c>
      <c r="C301" s="1017">
        <f t="shared" ref="C301:C325" si="55">VLOOKUP($B301,$I$273:$N$305,C$12,FALSE)*(1+Inflation2)^(Year2-Real_Year)</f>
        <v>4.4780293462003927E-2</v>
      </c>
      <c r="D301" s="1485">
        <f t="shared" ref="D301:D325" si="56">VLOOKUP($B301-4,$I$273:$N$305,IF($A$17=Year1,D$12,D$12+1),FALSE)*(1+Inflation2)^(Year2-Real_Year)</f>
        <v>1.2681056761520665E-3</v>
      </c>
      <c r="E301" s="1018">
        <f>NPV(realdiscrt1,C$301:C301)/(1+realdiscrt2)^(1-Half_Year)</f>
        <v>4.3879423583159861E-2</v>
      </c>
      <c r="F301" s="1018">
        <f>NPV(realdiscrt1,D$301:D301)/(1+realdiscrt2)^(1-Half_Year)</f>
        <v>1.2425944943683673E-3</v>
      </c>
      <c r="G301" s="1019" t="str">
        <f t="shared" ref="G301:G325" si="57">$A$45&amp;"-"&amp;$A$268&amp;"-"&amp;A301</f>
        <v>2025-Summer Daily Charge-1</v>
      </c>
      <c r="I301" s="1020">
        <v>2046</v>
      </c>
      <c r="J301" s="1021">
        <f t="shared" si="52"/>
        <v>4.3835696814387565E-2</v>
      </c>
      <c r="K301" s="1022">
        <v>3.9526121397943766E-2</v>
      </c>
      <c r="L301" s="1023">
        <v>0</v>
      </c>
      <c r="M301" s="1023">
        <v>0</v>
      </c>
      <c r="N301" s="1024">
        <f>INDEX(AESC!$H$184:$H$216,MATCH(I301,AESC!$B$184:$B$216,0))</f>
        <v>1.0624867635262009E-3</v>
      </c>
    </row>
    <row r="302" spans="1:14" s="466" customFormat="1">
      <c r="A302" s="1015">
        <v>2</v>
      </c>
      <c r="B302" s="1016">
        <f t="shared" ref="B302:B325" si="58">B301+1</f>
        <v>2026</v>
      </c>
      <c r="C302" s="1017">
        <f t="shared" si="55"/>
        <v>4.4881726495153269E-2</v>
      </c>
      <c r="D302" s="1485">
        <f t="shared" si="56"/>
        <v>1.8388094592051004E-3</v>
      </c>
      <c r="E302" s="1018">
        <f>NPV(realdiscrt1,C$301:C302)/(1+realdiscrt2)^(1-Half_Year)</f>
        <v>8.7266413320527828E-2</v>
      </c>
      <c r="F302" s="1018">
        <f>NPV(realdiscrt1,D$301:D302)/(1+realdiscrt2)^(1-Half_Year)</f>
        <v>3.0201644179345269E-3</v>
      </c>
      <c r="G302" s="1019" t="str">
        <f t="shared" si="57"/>
        <v>2025-Summer Daily Charge-2</v>
      </c>
      <c r="I302" s="1020">
        <v>2047</v>
      </c>
      <c r="J302" s="1021">
        <f t="shared" si="52"/>
        <v>4.4527929399561531E-2</v>
      </c>
      <c r="K302" s="1022">
        <v>4.0304023214733878E-2</v>
      </c>
      <c r="L302" s="1023">
        <v>0</v>
      </c>
      <c r="M302" s="1023">
        <v>0</v>
      </c>
      <c r="N302" s="1024">
        <f>INDEX(AESC!$H$184:$H$216,MATCH(I302,AESC!$B$184:$B$216,0))</f>
        <v>9.255410441193939E-4</v>
      </c>
    </row>
    <row r="303" spans="1:14" s="466" customFormat="1">
      <c r="A303" s="1015">
        <f t="shared" ref="A303:A325" si="59">A302+1</f>
        <v>3</v>
      </c>
      <c r="B303" s="1016">
        <f t="shared" si="58"/>
        <v>2027</v>
      </c>
      <c r="C303" s="1017">
        <f t="shared" si="55"/>
        <v>4.5310158396311737E-2</v>
      </c>
      <c r="D303" s="1485">
        <f t="shared" si="56"/>
        <v>2.143020434028301E-3</v>
      </c>
      <c r="E303" s="1018">
        <f>NPV(realdiscrt1,C$301:C303)/(1+realdiscrt2)^(1-Half_Year)</f>
        <v>0.1304781310316262</v>
      </c>
      <c r="F303" s="1018">
        <f>NPV(realdiscrt1,D$301:D303)/(1+realdiscrt2)^(1-Half_Year)</f>
        <v>5.0639355571650696E-3</v>
      </c>
      <c r="G303" s="1019" t="str">
        <f t="shared" si="57"/>
        <v>2025-Summer Daily Charge-3</v>
      </c>
      <c r="I303" s="1020">
        <v>2048</v>
      </c>
      <c r="J303" s="1021">
        <f t="shared" si="52"/>
        <v>4.5255759669996794E-2</v>
      </c>
      <c r="K303" s="1022">
        <v>4.1097234685372214E-2</v>
      </c>
      <c r="L303" s="1023">
        <v>0</v>
      </c>
      <c r="M303" s="1023">
        <v>0</v>
      </c>
      <c r="N303" s="1024">
        <f>INDEX(AESC!$H$184:$H$216,MATCH(I303,AESC!$B$184:$B$216,0))</f>
        <v>8.0624649055074406E-4</v>
      </c>
    </row>
    <row r="304" spans="1:14" s="466" customFormat="1">
      <c r="A304" s="1015">
        <f t="shared" si="59"/>
        <v>4</v>
      </c>
      <c r="B304" s="1016">
        <f t="shared" si="58"/>
        <v>2028</v>
      </c>
      <c r="C304" s="1017">
        <f t="shared" si="55"/>
        <v>4.5701963907268293E-2</v>
      </c>
      <c r="D304" s="1485">
        <f t="shared" si="56"/>
        <v>2.3553637036510407E-3</v>
      </c>
      <c r="E304" s="1018">
        <f>NPV(realdiscrt1,C$301:C304)/(1+realdiscrt2)^(1-Half_Year)</f>
        <v>0.17347697687647398</v>
      </c>
      <c r="F304" s="1018">
        <f>NPV(realdiscrt1,D$301:D304)/(1+realdiscrt2)^(1-Half_Year)</f>
        <v>7.2799873882710411E-3</v>
      </c>
      <c r="G304" s="1019" t="str">
        <f t="shared" si="57"/>
        <v>2025-Summer Daily Charge-4</v>
      </c>
      <c r="I304" s="1020">
        <v>2049</v>
      </c>
      <c r="J304" s="1021">
        <f t="shared" si="52"/>
        <v>4.6017055939037349E-2</v>
      </c>
      <c r="K304" s="1022">
        <v>4.1906057114594011E-2</v>
      </c>
      <c r="L304" s="1023">
        <v>0</v>
      </c>
      <c r="M304" s="1023">
        <v>0</v>
      </c>
      <c r="N304" s="1024">
        <f>INDEX(AESC!$H$184:$H$216,MATCH(I304,AESC!$B$184:$B$216,0))</f>
        <v>7.0232801414427321E-4</v>
      </c>
    </row>
    <row r="305" spans="1:14" s="466" customFormat="1">
      <c r="A305" s="1015">
        <f t="shared" si="59"/>
        <v>5</v>
      </c>
      <c r="B305" s="1016">
        <f t="shared" si="58"/>
        <v>2029</v>
      </c>
      <c r="C305" s="1017">
        <f t="shared" si="55"/>
        <v>4.6479591029828377E-2</v>
      </c>
      <c r="D305" s="1485">
        <f t="shared" si="56"/>
        <v>2.3648594965083544E-3</v>
      </c>
      <c r="E305" s="1018">
        <f>NPV(realdiscrt1,C$301:C305)/(1+realdiscrt2)^(1-Half_Year)</f>
        <v>0.21661897140144243</v>
      </c>
      <c r="F305" s="1018">
        <f>NPV(realdiscrt1,D$301:D305)/(1+realdiscrt2)^(1-Half_Year)</f>
        <v>9.4750315612115582E-3</v>
      </c>
      <c r="G305" s="1019" t="str">
        <f t="shared" si="57"/>
        <v>2025-Summer Daily Charge-5</v>
      </c>
      <c r="I305" s="1025">
        <v>2050</v>
      </c>
      <c r="J305" s="1026">
        <f t="shared" si="52"/>
        <v>4.6810009623544535E-2</v>
      </c>
      <c r="K305" s="1027">
        <v>4.2730797737023228E-2</v>
      </c>
      <c r="L305" s="1038">
        <v>0</v>
      </c>
      <c r="M305" s="1038">
        <v>0</v>
      </c>
      <c r="N305" s="1029">
        <f>INDEX(AESC!$H$184:$H$216,MATCH(I305,AESC!$B$184:$B$216,0))</f>
        <v>6.1180376625874196E-4</v>
      </c>
    </row>
    <row r="306" spans="1:14" s="466" customFormat="1">
      <c r="A306" s="1015">
        <f t="shared" si="59"/>
        <v>6</v>
      </c>
      <c r="B306" s="1016">
        <f t="shared" si="58"/>
        <v>2030</v>
      </c>
      <c r="C306" s="1017">
        <f t="shared" si="55"/>
        <v>5.1212959504194112E-2</v>
      </c>
      <c r="D306" s="1485">
        <f t="shared" si="56"/>
        <v>2.3513751841569021E-3</v>
      </c>
      <c r="E306" s="1018">
        <f>NPV(realdiscrt1,C$301:C306)/(1+realdiscrt2)^(1-Half_Year)</f>
        <v>0.26351475322915385</v>
      </c>
      <c r="F306" s="1018">
        <f>NPV(realdiscrt1,D$301:D306)/(1+realdiscrt2)^(1-Half_Year)</f>
        <v>1.1628189252133251E-2</v>
      </c>
      <c r="G306" s="1019" t="str">
        <f t="shared" si="57"/>
        <v>2025-Summer Daily Charge-6</v>
      </c>
    </row>
    <row r="307" spans="1:14" s="466" customFormat="1">
      <c r="A307" s="1015">
        <f t="shared" si="59"/>
        <v>7</v>
      </c>
      <c r="B307" s="1016">
        <f t="shared" si="58"/>
        <v>2031</v>
      </c>
      <c r="C307" s="1017">
        <f t="shared" si="55"/>
        <v>5.1529702964388573E-2</v>
      </c>
      <c r="D307" s="1485">
        <f t="shared" si="56"/>
        <v>2.3164769285618564E-3</v>
      </c>
      <c r="E307" s="1018">
        <f>NPV(realdiscrt1,C$301:C307)/(1+realdiscrt2)^(1-Half_Year)</f>
        <v>0.31006559425592073</v>
      </c>
      <c r="F307" s="1018">
        <f>NPV(realdiscrt1,D$301:D307)/(1+realdiscrt2)^(1-Half_Year)</f>
        <v>1.3720845391024227E-2</v>
      </c>
      <c r="G307" s="1019" t="str">
        <f t="shared" si="57"/>
        <v>2025-Summer Daily Charge-7</v>
      </c>
    </row>
    <row r="308" spans="1:14" s="466" customFormat="1">
      <c r="A308" s="1015">
        <f t="shared" si="59"/>
        <v>8</v>
      </c>
      <c r="B308" s="1016">
        <f t="shared" si="58"/>
        <v>2032</v>
      </c>
      <c r="C308" s="1017">
        <f t="shared" si="55"/>
        <v>5.2047113299973732E-2</v>
      </c>
      <c r="D308" s="1485">
        <f t="shared" si="56"/>
        <v>2.2362755833211473E-3</v>
      </c>
      <c r="E308" s="1018">
        <f>NPV(realdiscrt1,C$301:C308)/(1+realdiscrt2)^(1-Half_Year)</f>
        <v>0.35645112450338129</v>
      </c>
      <c r="F308" s="1018">
        <f>NPV(realdiscrt1,D$301:D308)/(1+realdiscrt2)^(1-Half_Year)</f>
        <v>1.5713863296050918E-2</v>
      </c>
      <c r="G308" s="1019" t="str">
        <f t="shared" si="57"/>
        <v>2025-Summer Daily Charge-8</v>
      </c>
    </row>
    <row r="309" spans="1:14" s="466" customFormat="1">
      <c r="A309" s="1015">
        <f t="shared" si="59"/>
        <v>9</v>
      </c>
      <c r="B309" s="1016">
        <f t="shared" si="58"/>
        <v>2033</v>
      </c>
      <c r="C309" s="1017">
        <f t="shared" si="55"/>
        <v>4.8916031466776866E-2</v>
      </c>
      <c r="D309" s="1485">
        <f t="shared" si="56"/>
        <v>2.0730920441692081E-3</v>
      </c>
      <c r="E309" s="1018">
        <f>NPV(realdiscrt1,C$301:C309)/(1+realdiscrt2)^(1-Half_Year)</f>
        <v>0.39945950405781899</v>
      </c>
      <c r="F309" s="1018">
        <f>NPV(realdiscrt1,D$301:D309)/(1+realdiscrt2)^(1-Half_Year)</f>
        <v>1.7536585352877443E-2</v>
      </c>
      <c r="G309" s="1019" t="str">
        <f t="shared" si="57"/>
        <v>2025-Summer Daily Charge-9</v>
      </c>
    </row>
    <row r="310" spans="1:14" s="466" customFormat="1">
      <c r="A310" s="1015">
        <f t="shared" si="59"/>
        <v>10</v>
      </c>
      <c r="B310" s="1016">
        <f t="shared" si="58"/>
        <v>2034</v>
      </c>
      <c r="C310" s="1017">
        <f t="shared" si="55"/>
        <v>4.9548467709873117E-2</v>
      </c>
      <c r="D310" s="1485">
        <f t="shared" si="56"/>
        <v>1.7562294994774999E-3</v>
      </c>
      <c r="E310" s="1018">
        <f>NPV(realdiscrt1,C$301:C310)/(1+realdiscrt2)^(1-Half_Year)</f>
        <v>0.44243768977218922</v>
      </c>
      <c r="F310" s="1018">
        <f>NPV(realdiscrt1,D$301:D310)/(1+realdiscrt2)^(1-Half_Year)</f>
        <v>1.905993332051922E-2</v>
      </c>
      <c r="G310" s="1019" t="str">
        <f t="shared" si="57"/>
        <v>2025-Summer Daily Charge-10</v>
      </c>
    </row>
    <row r="311" spans="1:14" s="466" customFormat="1">
      <c r="A311" s="1015">
        <f t="shared" si="59"/>
        <v>11</v>
      </c>
      <c r="B311" s="1016">
        <f t="shared" si="58"/>
        <v>2035</v>
      </c>
      <c r="C311" s="1017">
        <f t="shared" si="55"/>
        <v>5.0672833031288132E-2</v>
      </c>
      <c r="D311" s="1485">
        <f t="shared" si="56"/>
        <v>1.2294632453196562E-3</v>
      </c>
      <c r="E311" s="1018">
        <f>NPV(realdiscrt1,C$301:C311)/(1+realdiscrt2)^(1-Half_Year)</f>
        <v>0.48579966141324593</v>
      </c>
      <c r="F311" s="1018">
        <f>NPV(realdiscrt1,D$301:D311)/(1+realdiscrt2)^(1-Half_Year)</f>
        <v>2.0112014824317417E-2</v>
      </c>
      <c r="G311" s="1019" t="str">
        <f t="shared" si="57"/>
        <v>2025-Summer Daily Charge-11</v>
      </c>
    </row>
    <row r="312" spans="1:14" s="466" customFormat="1">
      <c r="A312" s="1015">
        <f t="shared" si="59"/>
        <v>12</v>
      </c>
      <c r="B312" s="1016">
        <f t="shared" si="58"/>
        <v>2036</v>
      </c>
      <c r="C312" s="1017">
        <f t="shared" si="55"/>
        <v>5.0676937261871335E-2</v>
      </c>
      <c r="D312" s="1485">
        <f t="shared" si="56"/>
        <v>0</v>
      </c>
      <c r="E312" s="1018">
        <f>NPV(realdiscrt1,C$301:C312)/(1+realdiscrt2)^(1-Half_Year)</f>
        <v>0.52858157250901727</v>
      </c>
      <c r="F312" s="1018">
        <f>NPV(realdiscrt1,D$301:D312)/(1+realdiscrt2)^(1-Half_Year)</f>
        <v>2.0112014824317417E-2</v>
      </c>
      <c r="G312" s="1019" t="str">
        <f t="shared" si="57"/>
        <v>2025-Summer Daily Charge-12</v>
      </c>
    </row>
    <row r="313" spans="1:14" s="466" customFormat="1">
      <c r="A313" s="1015">
        <f t="shared" si="59"/>
        <v>13</v>
      </c>
      <c r="B313" s="1016">
        <f t="shared" si="58"/>
        <v>2037</v>
      </c>
      <c r="C313" s="1017">
        <f t="shared" si="55"/>
        <v>5.0809133978410394E-2</v>
      </c>
      <c r="D313" s="1485">
        <f t="shared" si="56"/>
        <v>0</v>
      </c>
      <c r="E313" s="1018">
        <f>NPV(realdiscrt1,C$301:C313)/(1+realdiscrt2)^(1-Half_Year)</f>
        <v>0.5708978639376282</v>
      </c>
      <c r="F313" s="1018">
        <f>NPV(realdiscrt1,D$301:D313)/(1+realdiscrt2)^(1-Half_Year)</f>
        <v>2.0112014824317417E-2</v>
      </c>
      <c r="G313" s="1019" t="str">
        <f t="shared" si="57"/>
        <v>2025-Summer Daily Charge-13</v>
      </c>
    </row>
    <row r="314" spans="1:14" s="466" customFormat="1">
      <c r="A314" s="1015">
        <f t="shared" si="59"/>
        <v>14</v>
      </c>
      <c r="B314" s="1016">
        <f t="shared" si="58"/>
        <v>2038</v>
      </c>
      <c r="C314" s="1017">
        <f t="shared" si="55"/>
        <v>5.1055444484490335E-2</v>
      </c>
      <c r="D314" s="1485">
        <f t="shared" si="56"/>
        <v>0</v>
      </c>
      <c r="E314" s="1018">
        <f>NPV(realdiscrt1,C$301:C314)/(1+realdiscrt2)^(1-Half_Year)</f>
        <v>0.6128470804585705</v>
      </c>
      <c r="F314" s="1018">
        <f>NPV(realdiscrt1,D$301:D314)/(1+realdiscrt2)^(1-Half_Year)</f>
        <v>2.0112014824317417E-2</v>
      </c>
      <c r="G314" s="1019" t="str">
        <f t="shared" si="57"/>
        <v>2025-Summer Daily Charge-14</v>
      </c>
    </row>
    <row r="315" spans="1:14" s="466" customFormat="1">
      <c r="A315" s="1015">
        <f t="shared" si="59"/>
        <v>15</v>
      </c>
      <c r="B315" s="1016">
        <f t="shared" si="58"/>
        <v>2039</v>
      </c>
      <c r="C315" s="1017">
        <f t="shared" si="55"/>
        <v>5.1403741640529702E-2</v>
      </c>
      <c r="D315" s="1485">
        <f t="shared" si="56"/>
        <v>0</v>
      </c>
      <c r="E315" s="1018">
        <f>NPV(realdiscrt1,C$301:C315)/(1+realdiscrt2)^(1-Half_Year)</f>
        <v>0.6545141071010866</v>
      </c>
      <c r="F315" s="1018">
        <f>NPV(realdiscrt1,D$301:D315)/(1+realdiscrt2)^(1-Half_Year)</f>
        <v>2.0112014824317417E-2</v>
      </c>
      <c r="G315" s="1019" t="str">
        <f t="shared" si="57"/>
        <v>2025-Summer Daily Charge-15</v>
      </c>
    </row>
    <row r="316" spans="1:14" s="466" customFormat="1">
      <c r="A316" s="1015">
        <f t="shared" si="59"/>
        <v>16</v>
      </c>
      <c r="B316" s="1016">
        <f t="shared" si="58"/>
        <v>2040</v>
      </c>
      <c r="C316" s="1017">
        <f t="shared" si="55"/>
        <v>5.1843512193954777E-2</v>
      </c>
      <c r="D316" s="1485">
        <f t="shared" si="56"/>
        <v>0</v>
      </c>
      <c r="E316" s="1018">
        <f>NPV(realdiscrt1,C$301:C316)/(1+realdiscrt2)^(1-Half_Year)</f>
        <v>0.69597209109139735</v>
      </c>
      <c r="F316" s="1018">
        <f>NPV(realdiscrt1,D$301:D316)/(1+realdiscrt2)^(1-Half_Year)</f>
        <v>2.0112014824317417E-2</v>
      </c>
      <c r="G316" s="1019" t="str">
        <f t="shared" si="57"/>
        <v>2025-Summer Daily Charge-16</v>
      </c>
    </row>
    <row r="317" spans="1:14" s="466" customFormat="1">
      <c r="A317" s="1015">
        <f t="shared" si="59"/>
        <v>17</v>
      </c>
      <c r="B317" s="1016">
        <f t="shared" si="58"/>
        <v>2041</v>
      </c>
      <c r="C317" s="1017">
        <f t="shared" si="55"/>
        <v>5.2365649762337013E-2</v>
      </c>
      <c r="D317" s="1485">
        <f t="shared" si="56"/>
        <v>0</v>
      </c>
      <c r="E317" s="1018">
        <f>NPV(realdiscrt1,C$301:C317)/(1+realdiscrt2)^(1-Half_Year)</f>
        <v>0.73728409353654278</v>
      </c>
      <c r="F317" s="1018">
        <f>NPV(realdiscrt1,D$301:D317)/(1+realdiscrt2)^(1-Half_Year)</f>
        <v>2.0112014824317417E-2</v>
      </c>
      <c r="G317" s="1019" t="str">
        <f t="shared" si="57"/>
        <v>2025-Summer Daily Charge-17</v>
      </c>
    </row>
    <row r="318" spans="1:14" s="466" customFormat="1">
      <c r="A318" s="1015">
        <f t="shared" si="59"/>
        <v>18</v>
      </c>
      <c r="B318" s="1016">
        <f t="shared" si="58"/>
        <v>2042</v>
      </c>
      <c r="C318" s="1017">
        <f t="shared" si="55"/>
        <v>5.2962274518960656E-2</v>
      </c>
      <c r="D318" s="1485">
        <f t="shared" si="56"/>
        <v>0</v>
      </c>
      <c r="E318" s="1018">
        <f>NPV(realdiscrt1,C$301:C318)/(1+realdiscrt2)^(1-Half_Year)</f>
        <v>0.77850450886495004</v>
      </c>
      <c r="F318" s="1018">
        <f>NPV(realdiscrt1,D$301:D318)/(1+realdiscrt2)^(1-Half_Year)</f>
        <v>2.0112014824317417E-2</v>
      </c>
      <c r="G318" s="1019" t="str">
        <f t="shared" si="57"/>
        <v>2025-Summer Daily Charge-18</v>
      </c>
    </row>
    <row r="319" spans="1:14" s="466" customFormat="1">
      <c r="A319" s="1015">
        <f t="shared" si="59"/>
        <v>19</v>
      </c>
      <c r="B319" s="1016">
        <f t="shared" si="58"/>
        <v>2043</v>
      </c>
      <c r="C319" s="1017">
        <f t="shared" si="55"/>
        <v>5.3626576139486536E-2</v>
      </c>
      <c r="D319" s="1485">
        <f t="shared" si="56"/>
        <v>0</v>
      </c>
      <c r="E319" s="1018">
        <f>NPV(realdiscrt1,C$301:C319)/(1+realdiscrt2)^(1-Half_Year)</f>
        <v>0.81968028468049003</v>
      </c>
      <c r="F319" s="1018">
        <f>NPV(realdiscrt1,D$301:D319)/(1+realdiscrt2)^(1-Half_Year)</f>
        <v>2.0112014824317417E-2</v>
      </c>
      <c r="G319" s="1019" t="str">
        <f t="shared" si="57"/>
        <v>2025-Summer Daily Charge-19</v>
      </c>
    </row>
    <row r="320" spans="1:14" s="466" customFormat="1">
      <c r="A320" s="1015">
        <f t="shared" si="59"/>
        <v>20</v>
      </c>
      <c r="B320" s="1016">
        <f t="shared" si="58"/>
        <v>2044</v>
      </c>
      <c r="C320" s="1017">
        <f t="shared" si="55"/>
        <v>5.4352677011944787E-2</v>
      </c>
      <c r="D320" s="1485">
        <f t="shared" si="56"/>
        <v>0</v>
      </c>
      <c r="E320" s="1018">
        <f>NPV(realdiscrt1,C$301:C320)/(1+realdiscrt2)^(1-Half_Year)</f>
        <v>0.86085197009477388</v>
      </c>
      <c r="F320" s="1018">
        <f>NPV(realdiscrt1,D$301:D320)/(1+realdiscrt2)^(1-Half_Year)</f>
        <v>2.0112014824317417E-2</v>
      </c>
      <c r="G320" s="1019" t="str">
        <f t="shared" si="57"/>
        <v>2025-Summer Daily Charge-20</v>
      </c>
    </row>
    <row r="321" spans="1:7" s="466" customFormat="1">
      <c r="A321" s="1015">
        <f t="shared" si="59"/>
        <v>21</v>
      </c>
      <c r="B321" s="1016">
        <f t="shared" si="58"/>
        <v>2045</v>
      </c>
      <c r="C321" s="1017">
        <f t="shared" si="55"/>
        <v>5.5135513098684294E-2</v>
      </c>
      <c r="D321" s="1485">
        <f t="shared" si="56"/>
        <v>0</v>
      </c>
      <c r="E321" s="1018">
        <f>NPV(realdiscrt1,C$301:C321)/(1+realdiscrt2)^(1-Half_Year)</f>
        <v>0.90205461665614017</v>
      </c>
      <c r="F321" s="1018">
        <f>NPV(realdiscrt1,D$301:D321)/(1+realdiscrt2)^(1-Half_Year)</f>
        <v>2.0112014824317417E-2</v>
      </c>
      <c r="G321" s="1019" t="str">
        <f t="shared" si="57"/>
        <v>2025-Summer Daily Charge-21</v>
      </c>
    </row>
    <row r="322" spans="1:7" s="466" customFormat="1">
      <c r="A322" s="1015">
        <f t="shared" si="59"/>
        <v>22</v>
      </c>
      <c r="B322" s="1016">
        <f t="shared" si="58"/>
        <v>2046</v>
      </c>
      <c r="C322" s="1017">
        <f t="shared" si="55"/>
        <v>5.5970730175498751E-2</v>
      </c>
      <c r="D322" s="1485">
        <f t="shared" si="56"/>
        <v>0</v>
      </c>
      <c r="E322" s="1018">
        <f>NPV(realdiscrt1,C$301:C322)/(1+realdiscrt2)^(1-Half_Year)</f>
        <v>0.94331855260238107</v>
      </c>
      <c r="F322" s="1018">
        <f>NPV(realdiscrt1,D$301:D322)/(1+realdiscrt2)^(1-Half_Year)</f>
        <v>2.0112014824317417E-2</v>
      </c>
      <c r="G322" s="1019" t="str">
        <f t="shared" si="57"/>
        <v>2025-Summer Daily Charge-22</v>
      </c>
    </row>
    <row r="323" spans="1:7" s="466" customFormat="1">
      <c r="A323" s="1015">
        <f t="shared" si="59"/>
        <v>23</v>
      </c>
      <c r="B323" s="1016">
        <f t="shared" si="58"/>
        <v>2047</v>
      </c>
      <c r="C323" s="1017">
        <f t="shared" si="55"/>
        <v>5.6854593466357704E-2</v>
      </c>
      <c r="D323" s="1485">
        <f t="shared" si="56"/>
        <v>0</v>
      </c>
      <c r="E323" s="1018">
        <f>NPV(realdiscrt1,C$301:C323)/(1+realdiscrt2)^(1-Half_Year)</f>
        <v>0.98467004824974202</v>
      </c>
      <c r="F323" s="1018">
        <f>NPV(realdiscrt1,D$301:D323)/(1+realdiscrt2)^(1-Half_Year)</f>
        <v>2.0112014824317417E-2</v>
      </c>
      <c r="G323" s="1019" t="str">
        <f t="shared" si="57"/>
        <v>2025-Summer Daily Charge-23</v>
      </c>
    </row>
    <row r="324" spans="1:7" s="466" customFormat="1">
      <c r="A324" s="1015">
        <f t="shared" si="59"/>
        <v>24</v>
      </c>
      <c r="B324" s="1016">
        <f t="shared" si="58"/>
        <v>2048</v>
      </c>
      <c r="C324" s="1017">
        <f t="shared" si="55"/>
        <v>5.7783908947587191E-2</v>
      </c>
      <c r="D324" s="1485">
        <f t="shared" si="56"/>
        <v>0</v>
      </c>
      <c r="E324" s="1018">
        <f>NPV(realdiscrt1,C$301:C324)/(1+realdiscrt2)^(1-Half_Year)</f>
        <v>1.0261318878260297</v>
      </c>
      <c r="F324" s="1018">
        <f>NPV(realdiscrt1,D$301:D324)/(1+realdiscrt2)^(1-Half_Year)</f>
        <v>2.0112014824317417E-2</v>
      </c>
      <c r="G324" s="1019" t="str">
        <f t="shared" si="57"/>
        <v>2025-Summer Daily Charge-24</v>
      </c>
    </row>
    <row r="325" spans="1:7" s="466" customFormat="1">
      <c r="A325" s="1015">
        <f t="shared" si="59"/>
        <v>25</v>
      </c>
      <c r="B325" s="1016">
        <f t="shared" si="58"/>
        <v>2049</v>
      </c>
      <c r="C325" s="1017">
        <f t="shared" si="55"/>
        <v>5.8755954817840073E-2</v>
      </c>
      <c r="D325" s="1485">
        <f t="shared" si="56"/>
        <v>0</v>
      </c>
      <c r="E325" s="1052">
        <f>NPV(realdiscrt1,C$301:C325)/(1+realdiscrt2)^(1-Half_Year)</f>
        <v>1.0677238609031667</v>
      </c>
      <c r="F325" s="1031">
        <f>NPV(realdiscrt1,D$301:D325)/(1+realdiscrt2)^(1-Half_Year)</f>
        <v>2.0112014824317417E-2</v>
      </c>
      <c r="G325" s="1019" t="str">
        <f t="shared" si="57"/>
        <v>2025-Summer Daily Charge-25</v>
      </c>
    </row>
    <row r="326" spans="1:7" s="466" customFormat="1" ht="20.25">
      <c r="A326" s="975">
        <f>Year3</f>
        <v>2026</v>
      </c>
      <c r="B326" s="976" t="str">
        <f>Year3&amp;"$"</f>
        <v>2026$</v>
      </c>
      <c r="C326" s="1046"/>
      <c r="D326" s="1480" t="s">
        <v>993</v>
      </c>
      <c r="E326" s="1481">
        <f>A326</f>
        <v>2026</v>
      </c>
      <c r="F326" s="1481" t="s">
        <v>992</v>
      </c>
      <c r="G326" s="1047"/>
    </row>
    <row r="327" spans="1:7" s="466" customFormat="1">
      <c r="A327" s="1015">
        <v>1</v>
      </c>
      <c r="B327" s="1016">
        <f>Year3</f>
        <v>2026</v>
      </c>
      <c r="C327" s="1048">
        <f t="shared" ref="C327:C351" si="60">VLOOKUP($B327,$I$273:$N$305,C$12,FALSE)*(1+Inflation3)^(Year3-Real_Year)</f>
        <v>4.7709275264347921E-2</v>
      </c>
      <c r="D327" s="1485">
        <f t="shared" ref="D327:D351" si="61">VLOOKUP($B327-5,$I$273:$N$305,IF($A$17=Year1,D$12,D$12+1),FALSE)*(1+Inflation3)^(Year3-Real_Year)</f>
        <v>1.3479963337496466E-3</v>
      </c>
      <c r="E327" s="1053">
        <f>NPV(realdiscrt1,C$327:C327)/(1+realdiscrt3)^(2-Half_Year)</f>
        <v>4.6120370090822163E-2</v>
      </c>
      <c r="F327" s="1054">
        <f>NPV(realdiscrt1,D$327:D327)/(1+realdiscrt3)^(2-Half_Year)</f>
        <v>1.3031027918393773E-3</v>
      </c>
      <c r="G327" s="1019" t="str">
        <f t="shared" ref="G327:G351" si="62">$A$71&amp;"-"&amp;$A$268&amp;"-"&amp;A327</f>
        <v>2026-Summer Daily Charge-1</v>
      </c>
    </row>
    <row r="328" spans="1:7" s="466" customFormat="1">
      <c r="A328" s="1015">
        <v>2</v>
      </c>
      <c r="B328" s="1016">
        <f t="shared" ref="B328:B351" si="63">B327+1</f>
        <v>2027</v>
      </c>
      <c r="C328" s="1049">
        <f t="shared" si="60"/>
        <v>4.8164698375279376E-2</v>
      </c>
      <c r="D328" s="1485">
        <f t="shared" si="61"/>
        <v>1.9546544551350214E-3</v>
      </c>
      <c r="E328" s="1055">
        <f>NPV(realdiscrt1,C$327:C328)/(1+realdiscrt3)^(2-Half_Year)</f>
        <v>9.2054426017719695E-2</v>
      </c>
      <c r="F328" s="1030">
        <f>NPV(realdiscrt1,D$327:D328)/(1+realdiscrt3)^(2-Half_Year)</f>
        <v>3.1672317096696602E-3</v>
      </c>
      <c r="G328" s="1019" t="str">
        <f t="shared" si="62"/>
        <v>2026-Summer Daily Charge-2</v>
      </c>
    </row>
    <row r="329" spans="1:7" s="466" customFormat="1">
      <c r="A329" s="1015">
        <f t="shared" ref="A329:A351" si="64">A328+1</f>
        <v>3</v>
      </c>
      <c r="B329" s="1016">
        <f t="shared" si="63"/>
        <v>2028</v>
      </c>
      <c r="C329" s="1049">
        <f t="shared" si="60"/>
        <v>4.8581187633426191E-2</v>
      </c>
      <c r="D329" s="1485">
        <f t="shared" si="61"/>
        <v>2.2780307213720839E-3</v>
      </c>
      <c r="E329" s="1055">
        <f>NPV(realdiscrt1,C$327:C329)/(1+realdiscrt3)^(2-Half_Year)</f>
        <v>0.13776219915079291</v>
      </c>
      <c r="F329" s="1030">
        <f>NPV(realdiscrt1,D$327:D329)/(1+realdiscrt3)^(2-Half_Year)</f>
        <v>5.310524545331095E-3</v>
      </c>
      <c r="G329" s="1019" t="str">
        <f t="shared" si="62"/>
        <v>2026-Summer Daily Charge-3</v>
      </c>
    </row>
    <row r="330" spans="1:7" s="466" customFormat="1">
      <c r="A330" s="1015">
        <f t="shared" si="64"/>
        <v>4</v>
      </c>
      <c r="B330" s="1016">
        <f t="shared" si="63"/>
        <v>2029</v>
      </c>
      <c r="C330" s="1049">
        <f t="shared" si="60"/>
        <v>4.9407805264707561E-2</v>
      </c>
      <c r="D330" s="1485">
        <f t="shared" si="61"/>
        <v>2.5037516169810559E-3</v>
      </c>
      <c r="E330" s="1055">
        <f>NPV(realdiscrt1,C$327:C330)/(1+realdiscrt3)^(2-Half_Year)</f>
        <v>0.18362213933083435</v>
      </c>
      <c r="F330" s="1030">
        <f>NPV(realdiscrt1,D$327:D330)/(1+realdiscrt3)^(2-Half_Year)</f>
        <v>7.634487303143608E-3</v>
      </c>
      <c r="G330" s="1019" t="str">
        <f t="shared" si="62"/>
        <v>2026-Summer Daily Charge-4</v>
      </c>
    </row>
    <row r="331" spans="1:7" s="466" customFormat="1">
      <c r="A331" s="1015">
        <f t="shared" si="64"/>
        <v>5</v>
      </c>
      <c r="B331" s="1016">
        <f t="shared" si="63"/>
        <v>2030</v>
      </c>
      <c r="C331" s="1049">
        <f t="shared" si="60"/>
        <v>5.4439375952958335E-2</v>
      </c>
      <c r="D331" s="1485">
        <f t="shared" si="61"/>
        <v>2.5138456447883805E-3</v>
      </c>
      <c r="E331" s="1055">
        <f>NPV(realdiscrt1,C$327:C331)/(1+realdiscrt3)^(2-Half_Year)</f>
        <v>0.23347235541369157</v>
      </c>
      <c r="F331" s="1030">
        <f>NPV(realdiscrt1,D$327:D331)/(1+realdiscrt3)^(2-Half_Year)</f>
        <v>9.9364194321955087E-3</v>
      </c>
      <c r="G331" s="1019" t="str">
        <f t="shared" si="62"/>
        <v>2026-Summer Daily Charge-5</v>
      </c>
    </row>
    <row r="332" spans="1:7" s="466" customFormat="1">
      <c r="A332" s="1015">
        <f t="shared" si="64"/>
        <v>6</v>
      </c>
      <c r="B332" s="1016">
        <f t="shared" si="63"/>
        <v>2031</v>
      </c>
      <c r="C332" s="1049">
        <f t="shared" si="60"/>
        <v>5.477607425114505E-2</v>
      </c>
      <c r="D332" s="1485">
        <f t="shared" si="61"/>
        <v>2.4995118207587867E-3</v>
      </c>
      <c r="E332" s="1055">
        <f>NPV(realdiscrt1,C$327:C332)/(1+realdiscrt3)^(2-Half_Year)</f>
        <v>0.28295589942514482</v>
      </c>
      <c r="F332" s="1030">
        <f>NPV(realdiscrt1,D$327:D332)/(1+realdiscrt3)^(2-Half_Year)</f>
        <v>1.2194425411641535E-2</v>
      </c>
      <c r="G332" s="1019" t="str">
        <f t="shared" si="62"/>
        <v>2026-Summer Daily Charge-6</v>
      </c>
    </row>
    <row r="333" spans="1:7" s="466" customFormat="1">
      <c r="A333" s="1015">
        <f t="shared" si="64"/>
        <v>7</v>
      </c>
      <c r="B333" s="1016">
        <f t="shared" si="63"/>
        <v>2032</v>
      </c>
      <c r="C333" s="1049">
        <f t="shared" si="60"/>
        <v>5.5326081437872071E-2</v>
      </c>
      <c r="D333" s="1485">
        <f t="shared" si="61"/>
        <v>2.4624149750612531E-3</v>
      </c>
      <c r="E333" s="1055">
        <f>NPV(realdiscrt1,C$327:C333)/(1+realdiscrt3)^(2-Half_Year)</f>
        <v>0.33226371807819538</v>
      </c>
      <c r="F333" s="1030">
        <f>NPV(realdiscrt1,D$327:D333)/(1+realdiscrt3)^(2-Half_Year)</f>
        <v>1.4388983708260092E-2</v>
      </c>
      <c r="G333" s="1019" t="str">
        <f t="shared" si="62"/>
        <v>2026-Summer Daily Charge-7</v>
      </c>
    </row>
    <row r="334" spans="1:7" s="466" customFormat="1">
      <c r="A334" s="1015">
        <f t="shared" si="64"/>
        <v>8</v>
      </c>
      <c r="B334" s="1016">
        <f t="shared" si="63"/>
        <v>2033</v>
      </c>
      <c r="C334" s="1049">
        <f t="shared" si="60"/>
        <v>5.1997741449183808E-2</v>
      </c>
      <c r="D334" s="1485">
        <f t="shared" si="61"/>
        <v>2.3771609450703793E-3</v>
      </c>
      <c r="E334" s="1055">
        <f>NPV(realdiscrt1,C$327:C334)/(1+realdiscrt3)^(2-Half_Year)</f>
        <v>0.3779816255445626</v>
      </c>
      <c r="F334" s="1030">
        <f>NPV(realdiscrt1,D$327:D334)/(1+realdiscrt3)^(2-Half_Year)</f>
        <v>1.6479051874501494E-2</v>
      </c>
      <c r="G334" s="1019" t="str">
        <f t="shared" si="62"/>
        <v>2026-Summer Daily Charge-8</v>
      </c>
    </row>
    <row r="335" spans="1:7" s="466" customFormat="1">
      <c r="A335" s="1015">
        <f t="shared" si="64"/>
        <v>9</v>
      </c>
      <c r="B335" s="1016">
        <f t="shared" si="63"/>
        <v>2034</v>
      </c>
      <c r="C335" s="1049">
        <f t="shared" si="60"/>
        <v>5.2670021175595119E-2</v>
      </c>
      <c r="D335" s="1485">
        <f t="shared" si="61"/>
        <v>2.2036968429518682E-3</v>
      </c>
      <c r="E335" s="1055">
        <f>NPV(realdiscrt1,C$327:C335)/(1+realdiscrt3)^(2-Half_Year)</f>
        <v>0.4236674369589381</v>
      </c>
      <c r="F335" s="1030">
        <f>NPV(realdiscrt1,D$327:D335)/(1+realdiscrt3)^(2-Half_Year)</f>
        <v>1.8390531614483122E-2</v>
      </c>
      <c r="G335" s="1019" t="str">
        <f t="shared" si="62"/>
        <v>2026-Summer Daily Charge-9</v>
      </c>
    </row>
    <row r="336" spans="1:7" s="466" customFormat="1">
      <c r="A336" s="1015">
        <f t="shared" si="64"/>
        <v>10</v>
      </c>
      <c r="B336" s="1016">
        <f t="shared" si="63"/>
        <v>2035</v>
      </c>
      <c r="C336" s="1049">
        <f t="shared" si="60"/>
        <v>5.3865221512259281E-2</v>
      </c>
      <c r="D336" s="1485">
        <f t="shared" si="61"/>
        <v>1.8668719579445824E-3</v>
      </c>
      <c r="E336" s="1055">
        <f>NPV(realdiscrt1,C$327:C336)/(1+realdiscrt3)^(2-Half_Year)</f>
        <v>0.4697612128133814</v>
      </c>
      <c r="F336" s="1030">
        <f>NPV(realdiscrt1,D$327:D336)/(1+realdiscrt3)^(2-Half_Year)</f>
        <v>1.998805920580397E-2</v>
      </c>
      <c r="G336" s="1019" t="str">
        <f t="shared" si="62"/>
        <v>2026-Summer Daily Charge-10</v>
      </c>
    </row>
    <row r="337" spans="1:17" s="466" customFormat="1">
      <c r="A337" s="1015">
        <f t="shared" si="64"/>
        <v>11</v>
      </c>
      <c r="B337" s="1016">
        <f t="shared" si="63"/>
        <v>2036</v>
      </c>
      <c r="C337" s="1049">
        <f t="shared" si="60"/>
        <v>5.3869584309369223E-2</v>
      </c>
      <c r="D337" s="1485">
        <f t="shared" si="61"/>
        <v>1.3069194297747944E-3</v>
      </c>
      <c r="E337" s="1055">
        <f>NPV(realdiscrt1,C$327:C337)/(1+realdiscrt3)^(2-Half_Year)</f>
        <v>0.51523838430818647</v>
      </c>
      <c r="F337" s="1030">
        <f>NPV(realdiscrt1,D$327:D337)/(1+realdiscrt3)^(2-Half_Year)</f>
        <v>2.1091371952685959E-2</v>
      </c>
      <c r="G337" s="1019" t="str">
        <f t="shared" si="62"/>
        <v>2026-Summer Daily Charge-11</v>
      </c>
    </row>
    <row r="338" spans="1:17" s="466" customFormat="1">
      <c r="A338" s="1015">
        <f t="shared" si="64"/>
        <v>12</v>
      </c>
      <c r="B338" s="1016">
        <f t="shared" si="63"/>
        <v>2037</v>
      </c>
      <c r="C338" s="1049">
        <f t="shared" si="60"/>
        <v>5.4010109419050246E-2</v>
      </c>
      <c r="D338" s="1485">
        <f t="shared" si="61"/>
        <v>0</v>
      </c>
      <c r="E338" s="1055">
        <f>NPV(realdiscrt1,C$327:C338)/(1+realdiscrt3)^(2-Half_Year)</f>
        <v>0.56022060209679991</v>
      </c>
      <c r="F338" s="1030">
        <f>NPV(realdiscrt1,D$327:D338)/(1+realdiscrt3)^(2-Half_Year)</f>
        <v>2.1091371952685959E-2</v>
      </c>
      <c r="G338" s="1019" t="str">
        <f t="shared" si="62"/>
        <v>2026-Summer Daily Charge-12</v>
      </c>
    </row>
    <row r="339" spans="1:17" s="466" customFormat="1">
      <c r="A339" s="1015">
        <f t="shared" si="64"/>
        <v>13</v>
      </c>
      <c r="B339" s="1016">
        <f t="shared" si="63"/>
        <v>2038</v>
      </c>
      <c r="C339" s="1049">
        <f t="shared" si="60"/>
        <v>5.4271937487013221E-2</v>
      </c>
      <c r="D339" s="1485">
        <f t="shared" si="61"/>
        <v>0</v>
      </c>
      <c r="E339" s="1055">
        <f>NPV(realdiscrt1,C$327:C339)/(1+realdiscrt3)^(2-Half_Year)</f>
        <v>0.60481261925856167</v>
      </c>
      <c r="F339" s="1030">
        <f>NPV(realdiscrt1,D$327:D339)/(1+realdiscrt3)^(2-Half_Year)</f>
        <v>2.1091371952685959E-2</v>
      </c>
      <c r="G339" s="1019" t="str">
        <f t="shared" si="62"/>
        <v>2026-Summer Daily Charge-13</v>
      </c>
    </row>
    <row r="340" spans="1:17" s="466" customFormat="1">
      <c r="A340" s="1015">
        <f t="shared" si="64"/>
        <v>14</v>
      </c>
      <c r="B340" s="1016">
        <f t="shared" si="63"/>
        <v>2039</v>
      </c>
      <c r="C340" s="1049">
        <f t="shared" si="60"/>
        <v>5.4642177363883063E-2</v>
      </c>
      <c r="D340" s="1485">
        <f t="shared" si="61"/>
        <v>0</v>
      </c>
      <c r="E340" s="1055">
        <f>NPV(realdiscrt1,C$327:C340)/(1+realdiscrt3)^(2-Half_Year)</f>
        <v>0.64910466857955607</v>
      </c>
      <c r="F340" s="1030">
        <f>NPV(realdiscrt1,D$327:D340)/(1+realdiscrt3)^(2-Half_Year)</f>
        <v>2.1091371952685959E-2</v>
      </c>
      <c r="G340" s="1019" t="str">
        <f t="shared" si="62"/>
        <v>2026-Summer Daily Charge-14</v>
      </c>
    </row>
    <row r="341" spans="1:17" s="466" customFormat="1">
      <c r="A341" s="1015">
        <f t="shared" si="64"/>
        <v>15</v>
      </c>
      <c r="B341" s="1016">
        <f t="shared" si="63"/>
        <v>2040</v>
      </c>
      <c r="C341" s="1049">
        <f t="shared" si="60"/>
        <v>5.5109653462173919E-2</v>
      </c>
      <c r="D341" s="1485">
        <f t="shared" si="61"/>
        <v>0</v>
      </c>
      <c r="E341" s="1055">
        <f>NPV(realdiscrt1,C$327:C341)/(1+realdiscrt3)^(2-Half_Year)</f>
        <v>0.69317450556125648</v>
      </c>
      <c r="F341" s="1030">
        <f>NPV(realdiscrt1,D$327:D341)/(1+realdiscrt3)^(2-Half_Year)</f>
        <v>2.1091371952685959E-2</v>
      </c>
      <c r="G341" s="1019" t="str">
        <f t="shared" si="62"/>
        <v>2026-Summer Daily Charge-15</v>
      </c>
    </row>
    <row r="342" spans="1:17" s="466" customFormat="1">
      <c r="A342" s="1015">
        <f t="shared" si="64"/>
        <v>16</v>
      </c>
      <c r="B342" s="1016">
        <f t="shared" si="63"/>
        <v>2041</v>
      </c>
      <c r="C342" s="1049">
        <f t="shared" si="60"/>
        <v>5.5664685697364241E-2</v>
      </c>
      <c r="D342" s="1485">
        <f t="shared" si="61"/>
        <v>0</v>
      </c>
      <c r="E342" s="1055">
        <f>NPV(realdiscrt1,C$327:C342)/(1+realdiscrt3)^(2-Half_Year)</f>
        <v>0.73708916416044601</v>
      </c>
      <c r="F342" s="1030">
        <f>NPV(realdiscrt1,D$327:D342)/(1+realdiscrt3)^(2-Half_Year)</f>
        <v>2.1091371952685959E-2</v>
      </c>
      <c r="G342" s="1019" t="str">
        <f t="shared" si="62"/>
        <v>2026-Summer Daily Charge-16</v>
      </c>
    </row>
    <row r="343" spans="1:17" s="466" customFormat="1">
      <c r="A343" s="1015">
        <f t="shared" si="64"/>
        <v>17</v>
      </c>
      <c r="B343" s="1016">
        <f t="shared" si="63"/>
        <v>2042</v>
      </c>
      <c r="C343" s="1049">
        <f t="shared" si="60"/>
        <v>5.6298897813655172E-2</v>
      </c>
      <c r="D343" s="1485">
        <f t="shared" si="61"/>
        <v>0</v>
      </c>
      <c r="E343" s="1055">
        <f>NPV(realdiscrt1,C$327:C343)/(1+realdiscrt3)^(2-Half_Year)</f>
        <v>0.78090646565454302</v>
      </c>
      <c r="F343" s="1030">
        <f>NPV(realdiscrt1,D$327:D343)/(1+realdiscrt3)^(2-Half_Year)</f>
        <v>2.1091371952685959E-2</v>
      </c>
      <c r="G343" s="1019" t="str">
        <f t="shared" si="62"/>
        <v>2026-Summer Daily Charge-17</v>
      </c>
    </row>
    <row r="344" spans="1:17" s="466" customFormat="1">
      <c r="A344" s="1015">
        <f t="shared" si="64"/>
        <v>18</v>
      </c>
      <c r="B344" s="1016">
        <f t="shared" si="63"/>
        <v>2043</v>
      </c>
      <c r="C344" s="1049">
        <f t="shared" si="60"/>
        <v>5.7005050436274185E-2</v>
      </c>
      <c r="D344" s="1485">
        <f t="shared" si="61"/>
        <v>0</v>
      </c>
      <c r="E344" s="1055">
        <f>NPV(realdiscrt1,C$327:C344)/(1+realdiscrt3)^(2-Half_Year)</f>
        <v>0.82467631534646191</v>
      </c>
      <c r="F344" s="1030">
        <f>NPV(realdiscrt1,D$327:D344)/(1+realdiscrt3)^(2-Half_Year)</f>
        <v>2.1091371952685959E-2</v>
      </c>
      <c r="G344" s="1019" t="str">
        <f t="shared" si="62"/>
        <v>2026-Summer Daily Charge-18</v>
      </c>
    </row>
    <row r="345" spans="1:17" s="466" customFormat="1">
      <c r="A345" s="1015">
        <f t="shared" si="64"/>
        <v>19</v>
      </c>
      <c r="B345" s="1016">
        <f t="shared" si="63"/>
        <v>2044</v>
      </c>
      <c r="C345" s="1049">
        <f t="shared" si="60"/>
        <v>5.7776895663697307E-2</v>
      </c>
      <c r="D345" s="1485">
        <f t="shared" si="61"/>
        <v>0</v>
      </c>
      <c r="E345" s="1055">
        <f>NPV(realdiscrt1,C$327:C345)/(1+realdiscrt3)^(2-Half_Year)</f>
        <v>0.86844181694184575</v>
      </c>
      <c r="F345" s="1030">
        <f>NPV(realdiscrt1,D$327:D345)/(1+realdiscrt3)^(2-Half_Year)</f>
        <v>2.1091371952685959E-2</v>
      </c>
      <c r="G345" s="1019" t="str">
        <f t="shared" si="62"/>
        <v>2026-Summer Daily Charge-19</v>
      </c>
    </row>
    <row r="346" spans="1:17" s="466" customFormat="1">
      <c r="A346" s="1015">
        <f t="shared" si="64"/>
        <v>20</v>
      </c>
      <c r="B346" s="1016">
        <f t="shared" si="63"/>
        <v>2045</v>
      </c>
      <c r="C346" s="1049">
        <f t="shared" si="60"/>
        <v>5.8609050423901403E-2</v>
      </c>
      <c r="D346" s="1485">
        <f t="shared" si="61"/>
        <v>0</v>
      </c>
      <c r="E346" s="1055">
        <f>NPV(realdiscrt1,C$327:C346)/(1+realdiscrt3)^(2-Half_Year)</f>
        <v>0.91224023023657819</v>
      </c>
      <c r="F346" s="1030">
        <f>NPV(realdiscrt1,D$327:D346)/(1+realdiscrt3)^(2-Half_Year)</f>
        <v>2.1091371952685959E-2</v>
      </c>
      <c r="G346" s="1019" t="str">
        <f t="shared" si="62"/>
        <v>2026-Summer Daily Charge-20</v>
      </c>
    </row>
    <row r="347" spans="1:17" s="466" customFormat="1">
      <c r="A347" s="1015">
        <f t="shared" si="64"/>
        <v>21</v>
      </c>
      <c r="B347" s="1016">
        <f t="shared" si="63"/>
        <v>2046</v>
      </c>
      <c r="C347" s="1049">
        <f t="shared" si="60"/>
        <v>5.9496886176555165E-2</v>
      </c>
      <c r="D347" s="1485">
        <f t="shared" si="61"/>
        <v>0</v>
      </c>
      <c r="E347" s="1055">
        <f>NPV(realdiscrt1,C$327:C347)/(1+realdiscrt3)^(2-Half_Year)</f>
        <v>0.95610379414743207</v>
      </c>
      <c r="F347" s="1030">
        <f>NPV(realdiscrt1,D$327:D347)/(1+realdiscrt3)^(2-Half_Year)</f>
        <v>2.1091371952685959E-2</v>
      </c>
      <c r="G347" s="1019" t="str">
        <f t="shared" si="62"/>
        <v>2026-Summer Daily Charge-21</v>
      </c>
    </row>
    <row r="348" spans="1:17" s="466" customFormat="1">
      <c r="A348" s="1015">
        <f t="shared" si="64"/>
        <v>22</v>
      </c>
      <c r="B348" s="1016">
        <f t="shared" si="63"/>
        <v>2047</v>
      </c>
      <c r="C348" s="1049">
        <f t="shared" si="60"/>
        <v>6.0436432854738237E-2</v>
      </c>
      <c r="D348" s="1485">
        <f t="shared" si="61"/>
        <v>0</v>
      </c>
      <c r="E348" s="1055">
        <f>NPV(realdiscrt1,C$327:C348)/(1+realdiscrt3)^(2-Half_Year)</f>
        <v>1.0000604340205768</v>
      </c>
      <c r="F348" s="1030">
        <f>NPV(realdiscrt1,D$327:D348)/(1+realdiscrt3)^(2-Half_Year)</f>
        <v>2.1091371952685959E-2</v>
      </c>
      <c r="G348" s="1019" t="str">
        <f t="shared" si="62"/>
        <v>2026-Summer Daily Charge-22</v>
      </c>
    </row>
    <row r="349" spans="1:17" s="466" customFormat="1">
      <c r="A349" s="1015">
        <f t="shared" si="64"/>
        <v>23</v>
      </c>
      <c r="B349" s="1016">
        <f t="shared" si="63"/>
        <v>2048</v>
      </c>
      <c r="C349" s="1049">
        <f t="shared" si="60"/>
        <v>6.1424295211285181E-2</v>
      </c>
      <c r="D349" s="1485">
        <f t="shared" si="61"/>
        <v>0</v>
      </c>
      <c r="E349" s="1055">
        <f>NPV(realdiscrt1,C$327:C349)/(1+realdiscrt3)^(2-Half_Year)</f>
        <v>1.0441343694901706</v>
      </c>
      <c r="F349" s="1030">
        <f>NPV(realdiscrt1,D$327:D349)/(1+realdiscrt3)^(2-Half_Year)</f>
        <v>2.1091371952685959E-2</v>
      </c>
      <c r="G349" s="1019" t="str">
        <f t="shared" si="62"/>
        <v>2026-Summer Daily Charge-23</v>
      </c>
    </row>
    <row r="350" spans="1:17" s="466" customFormat="1">
      <c r="A350" s="1015">
        <f t="shared" si="64"/>
        <v>24</v>
      </c>
      <c r="B350" s="1016">
        <f t="shared" si="63"/>
        <v>2049</v>
      </c>
      <c r="C350" s="1049">
        <f t="shared" si="60"/>
        <v>6.2457579971363995E-2</v>
      </c>
      <c r="D350" s="1485">
        <f t="shared" si="61"/>
        <v>0</v>
      </c>
      <c r="E350" s="1055">
        <f>NPV(realdiscrt1,C$327:C350)/(1+realdiscrt3)^(2-Half_Year)</f>
        <v>1.0883466368711672</v>
      </c>
      <c r="F350" s="1030">
        <f>NPV(realdiscrt1,D$327:D350)/(1+realdiscrt3)^(2-Half_Year)</f>
        <v>2.1091371952685959E-2</v>
      </c>
      <c r="G350" s="1019" t="str">
        <f t="shared" si="62"/>
        <v>2026-Summer Daily Charge-24</v>
      </c>
    </row>
    <row r="351" spans="1:17" s="466" customFormat="1">
      <c r="A351" s="1039">
        <f t="shared" si="64"/>
        <v>25</v>
      </c>
      <c r="B351" s="1051">
        <f t="shared" si="63"/>
        <v>2050</v>
      </c>
      <c r="C351" s="1050">
        <f t="shared" si="60"/>
        <v>6.3533832398927084E-2</v>
      </c>
      <c r="D351" s="1488">
        <f t="shared" si="61"/>
        <v>0</v>
      </c>
      <c r="E351" s="1052">
        <f>NPV(realdiscrt1,C$327:C351)/(1+realdiscrt3)^(2-Half_Year)</f>
        <v>1.1327155381040843</v>
      </c>
      <c r="F351" s="1031">
        <f>NPV(realdiscrt1,D$327:D351)/(1+realdiscrt3)^(2-Half_Year)</f>
        <v>2.1091371952685959E-2</v>
      </c>
      <c r="G351" s="1032" t="str">
        <f t="shared" si="62"/>
        <v>2026-Summer Daily Charge-25</v>
      </c>
    </row>
    <row r="352" spans="1:17">
      <c r="H352" s="466"/>
      <c r="I352" s="466"/>
      <c r="J352" s="466"/>
      <c r="K352" s="466"/>
      <c r="L352" s="466"/>
      <c r="M352" s="466"/>
      <c r="N352" s="466"/>
      <c r="O352" s="466"/>
      <c r="P352" s="466"/>
      <c r="Q352" s="466"/>
    </row>
    <row r="353" spans="1:17" ht="23.25">
      <c r="A353" s="1735" t="str">
        <f>A8</f>
        <v>Summer Targeted Charge</v>
      </c>
      <c r="B353" s="1736"/>
      <c r="C353" s="1736"/>
      <c r="D353" s="1736"/>
      <c r="E353" s="1736"/>
      <c r="F353" s="1736"/>
      <c r="G353" s="1736"/>
      <c r="H353" s="1736"/>
      <c r="I353" s="1736"/>
      <c r="J353" s="1736"/>
      <c r="K353" s="1736"/>
      <c r="L353" s="1736"/>
      <c r="M353" s="1736"/>
      <c r="N353" s="1737"/>
      <c r="O353" s="466"/>
      <c r="P353" s="466"/>
      <c r="Q353" s="466"/>
    </row>
    <row r="354" spans="1:17" s="466" customFormat="1" ht="15">
      <c r="A354" s="1738" t="s">
        <v>564</v>
      </c>
      <c r="B354" s="1739"/>
      <c r="C354" s="1056" t="s">
        <v>865</v>
      </c>
      <c r="D354" s="1057" t="s">
        <v>61</v>
      </c>
      <c r="E354" s="1056" t="s">
        <v>865</v>
      </c>
      <c r="F354" s="1056" t="s">
        <v>61</v>
      </c>
      <c r="G354" s="1058" t="s">
        <v>667</v>
      </c>
      <c r="I354" s="1731" t="s">
        <v>74</v>
      </c>
      <c r="J354" s="997" t="s">
        <v>861</v>
      </c>
      <c r="K354" s="997" t="s">
        <v>862</v>
      </c>
      <c r="L354" s="1320" t="s">
        <v>957</v>
      </c>
      <c r="M354" s="998" t="s">
        <v>863</v>
      </c>
      <c r="N354" s="1732" t="s">
        <v>864</v>
      </c>
    </row>
    <row r="355" spans="1:17" s="996" customFormat="1" ht="15" customHeight="1">
      <c r="A355" s="999"/>
      <c r="B355" s="1000"/>
      <c r="C355" s="1001" t="s">
        <v>69</v>
      </c>
      <c r="D355" s="1002" t="s">
        <v>69</v>
      </c>
      <c r="E355" s="1001" t="s">
        <v>69</v>
      </c>
      <c r="F355" s="1001" t="s">
        <v>69</v>
      </c>
      <c r="G355" s="1003"/>
      <c r="H355" s="979"/>
      <c r="I355" s="1731"/>
      <c r="J355" s="1004" t="s">
        <v>866</v>
      </c>
      <c r="K355" s="1004" t="s">
        <v>866</v>
      </c>
      <c r="L355" s="1005" t="s">
        <v>866</v>
      </c>
      <c r="M355" s="1005" t="s">
        <v>866</v>
      </c>
      <c r="N355" s="1732"/>
      <c r="O355" s="466"/>
      <c r="P355" s="466"/>
      <c r="Q355" s="466"/>
    </row>
    <row r="356" spans="1:17" s="1033" customFormat="1" ht="20.25">
      <c r="A356" s="1041" t="s">
        <v>571</v>
      </c>
      <c r="B356" s="1042"/>
      <c r="C356" s="1043"/>
      <c r="D356" s="1044"/>
      <c r="E356" s="1045" t="s">
        <v>604</v>
      </c>
      <c r="F356" s="973"/>
      <c r="G356" s="974"/>
      <c r="H356" s="979"/>
      <c r="I356" s="1740"/>
      <c r="J356" s="1036" t="s">
        <v>69</v>
      </c>
      <c r="K356" s="1036" t="s">
        <v>69</v>
      </c>
      <c r="L356" s="1007" t="s">
        <v>69</v>
      </c>
      <c r="M356" s="1037" t="s">
        <v>69</v>
      </c>
      <c r="N356" s="1741"/>
      <c r="O356" s="466"/>
      <c r="P356" s="466"/>
      <c r="Q356" s="466"/>
    </row>
    <row r="357" spans="1:17" s="466" customFormat="1" ht="18">
      <c r="A357" s="975">
        <f>Year1</f>
        <v>2024</v>
      </c>
      <c r="B357" s="976" t="str">
        <f>Year1&amp;"$"</f>
        <v>2024$</v>
      </c>
      <c r="C357" s="1008"/>
      <c r="D357" s="1480" t="s">
        <v>993</v>
      </c>
      <c r="E357" s="1481">
        <f>A357</f>
        <v>2024</v>
      </c>
      <c r="F357" s="1481" t="s">
        <v>992</v>
      </c>
      <c r="G357" s="1009"/>
      <c r="I357" s="1011" t="s">
        <v>956</v>
      </c>
      <c r="J357" s="1012"/>
      <c r="K357" s="1012"/>
      <c r="L357" s="1012"/>
      <c r="M357" s="1013"/>
      <c r="N357" s="1014"/>
    </row>
    <row r="358" spans="1:17" s="466" customFormat="1">
      <c r="A358" s="1015">
        <v>1</v>
      </c>
      <c r="B358" s="1016">
        <f>Year1</f>
        <v>2024</v>
      </c>
      <c r="C358" s="1017">
        <f t="shared" ref="C358:C384" si="65">VLOOKUP($B358,$I$358:$N$390,C$12,FALSE)*(1+Inflation1)^(Year1-Real_Year)</f>
        <v>4.6511409356225407E-2</v>
      </c>
      <c r="D358" s="1485">
        <f t="shared" ref="D358:D384" si="66">VLOOKUP($B358-3,$I$358:$N$390,IF($A$17=Year1,D$12,D$12+1),FALSE)*(1+Inflation1)^(Year1-Real_Year)</f>
        <v>1.447520062069281E-3</v>
      </c>
      <c r="E358" s="1053">
        <f>NPV(realdiscrt1,C$358:C358)/(1+realdiscrt1)^-Half_Year</f>
        <v>4.619739555260173E-2</v>
      </c>
      <c r="F358" s="1054">
        <f>NPV(realdiscrt1,D$358:D358)/(1+realdiscrt1)^-Half_Year</f>
        <v>1.4377473786179869E-3</v>
      </c>
      <c r="G358" s="1019" t="str">
        <f t="shared" ref="G358:G384" si="67">$A$17&amp;"-"&amp;$A$353&amp;"-"&amp;A358</f>
        <v>2024-Summer Targeted Charge-1</v>
      </c>
      <c r="H358" s="996"/>
      <c r="I358" s="1020">
        <v>2018</v>
      </c>
      <c r="J358" s="1325">
        <f t="shared" ref="J358:J390" si="68">(K358+$N358)*(1+WholesaleRiskPremium)</f>
        <v>0</v>
      </c>
      <c r="K358" s="1323"/>
      <c r="L358" s="1326"/>
      <c r="M358" s="1326"/>
      <c r="N358" s="1322">
        <f>INDEX(AESC!$H$184:$H$216,MATCH(I358,AESC!$B$184:$B$216,0))</f>
        <v>0</v>
      </c>
    </row>
    <row r="359" spans="1:17" s="466" customFormat="1">
      <c r="A359" s="1015">
        <v>2</v>
      </c>
      <c r="B359" s="1016">
        <f t="shared" ref="B359:B384" si="69">B358+1</f>
        <v>2025</v>
      </c>
      <c r="C359" s="1017">
        <f t="shared" si="65"/>
        <v>4.5215506949335633E-2</v>
      </c>
      <c r="D359" s="1485">
        <f t="shared" si="66"/>
        <v>2.1358232838550807E-3</v>
      </c>
      <c r="E359" s="1055">
        <f>NPV(realdiscrt1,C$358:C359)/(1+realdiscrt1)^-Half_Year</f>
        <v>9.0503277193164366E-2</v>
      </c>
      <c r="F359" s="1030">
        <f>NPV(realdiscrt1,D$358:D359)/(1+realdiscrt1)^-Half_Year</f>
        <v>3.5306031266619975E-3</v>
      </c>
      <c r="G359" s="1019" t="str">
        <f t="shared" si="67"/>
        <v>2024-Summer Targeted Charge-2</v>
      </c>
      <c r="H359" s="1033"/>
      <c r="I359" s="1020">
        <v>2019</v>
      </c>
      <c r="J359" s="1319">
        <f t="shared" si="68"/>
        <v>0</v>
      </c>
      <c r="K359" s="1323"/>
      <c r="L359" s="1327"/>
      <c r="M359" s="1327"/>
      <c r="N359" s="1321">
        <f>INDEX(AESC!$H$184:$H$216,MATCH(I359,AESC!$B$184:$B$216,0))</f>
        <v>0</v>
      </c>
    </row>
    <row r="360" spans="1:17" s="466" customFormat="1">
      <c r="A360" s="1015">
        <f t="shared" ref="A360:A384" si="70">A359+1</f>
        <v>3</v>
      </c>
      <c r="B360" s="1016">
        <f t="shared" si="69"/>
        <v>2026</v>
      </c>
      <c r="C360" s="1017">
        <f t="shared" si="65"/>
        <v>4.5348719282267004E-2</v>
      </c>
      <c r="D360" s="1485">
        <f t="shared" si="66"/>
        <v>2.4533716872713121E-3</v>
      </c>
      <c r="E360" s="1055">
        <f>NPV(realdiscrt1,C$358:C360)/(1+realdiscrt1)^-Half_Year</f>
        <v>0.13434170703420384</v>
      </c>
      <c r="F360" s="1030">
        <f>NPV(realdiscrt1,D$358:D360)/(1+realdiscrt1)^-Half_Year</f>
        <v>5.9022679562020204E-3</v>
      </c>
      <c r="G360" s="1019" t="str">
        <f t="shared" si="67"/>
        <v>2024-Summer Targeted Charge-3</v>
      </c>
      <c r="I360" s="1020">
        <v>2020</v>
      </c>
      <c r="J360" s="1319">
        <f t="shared" si="68"/>
        <v>0</v>
      </c>
      <c r="K360" s="1323"/>
      <c r="L360" s="1327"/>
      <c r="M360" s="1327"/>
      <c r="N360" s="1321">
        <f>INDEX(AESC!$H$184:$H$216,MATCH(I360,AESC!$B$184:$B$216,0))</f>
        <v>0</v>
      </c>
    </row>
    <row r="361" spans="1:17" s="466" customFormat="1">
      <c r="A361" s="1015">
        <f t="shared" si="70"/>
        <v>4</v>
      </c>
      <c r="B361" s="1016">
        <f t="shared" si="69"/>
        <v>2027</v>
      </c>
      <c r="C361" s="1017">
        <f t="shared" si="65"/>
        <v>4.581687303048107E-2</v>
      </c>
      <c r="D361" s="1485">
        <f t="shared" si="66"/>
        <v>2.7618514219131308E-3</v>
      </c>
      <c r="E361" s="1055">
        <f>NPV(realdiscrt1,C$358:C361)/(1+realdiscrt1)^-Half_Year</f>
        <v>0.17803667200169648</v>
      </c>
      <c r="F361" s="1030">
        <f>NPV(realdiscrt1,D$358:D361)/(1+realdiscrt1)^-Half_Year</f>
        <v>8.5362102823321444E-3</v>
      </c>
      <c r="G361" s="1019" t="str">
        <f t="shared" si="67"/>
        <v>2024-Summer Targeted Charge-4</v>
      </c>
      <c r="I361" s="1020">
        <v>2021</v>
      </c>
      <c r="J361" s="1021">
        <f t="shared" si="68"/>
        <v>4.1411038333259688E-2</v>
      </c>
      <c r="K361" s="1022">
        <v>2.6664316567537042E-2</v>
      </c>
      <c r="L361" s="1040">
        <v>1.2051047493619553E-3</v>
      </c>
      <c r="M361" s="1040">
        <v>0</v>
      </c>
      <c r="N361" s="1024">
        <f>INDEX(AESC!$H$184:$H$216,MATCH(I361,AESC!$B$184:$B$216,0))</f>
        <v>1.1679237444740446E-2</v>
      </c>
      <c r="P361" s="1328">
        <v>44379</v>
      </c>
    </row>
    <row r="362" spans="1:17" s="466" customFormat="1">
      <c r="A362" s="1015">
        <f t="shared" si="70"/>
        <v>5</v>
      </c>
      <c r="B362" s="1016">
        <f t="shared" si="69"/>
        <v>2028</v>
      </c>
      <c r="C362" s="1017">
        <f t="shared" si="65"/>
        <v>4.6996164322543284E-2</v>
      </c>
      <c r="D362" s="1485">
        <f t="shared" si="66"/>
        <v>2.7949892315871556E-3</v>
      </c>
      <c r="E362" s="1055">
        <f>NPV(realdiscrt1,C$358:C362)/(1+realdiscrt1)^-Half_Year</f>
        <v>0.22225317064285871</v>
      </c>
      <c r="F362" s="1030">
        <f>NPV(realdiscrt1,D$358:D362)/(1+realdiscrt1)^-Half_Year</f>
        <v>1.1165885264153056E-2</v>
      </c>
      <c r="G362" s="1019" t="str">
        <f t="shared" si="67"/>
        <v>2024-Summer Targeted Charge-5</v>
      </c>
      <c r="I362" s="1020">
        <v>2022</v>
      </c>
      <c r="J362" s="1021">
        <f t="shared" si="68"/>
        <v>3.8992853866028229E-2</v>
      </c>
      <c r="K362" s="1022">
        <v>2.5196638989732463E-2</v>
      </c>
      <c r="L362" s="1040">
        <v>1.7781382452773315E-3</v>
      </c>
      <c r="M362" s="1040">
        <v>0</v>
      </c>
      <c r="N362" s="1024">
        <f>INDEX(AESC!$H$184:$H$216,MATCH(I362,AESC!$B$184:$B$216,0))</f>
        <v>1.0907855330664046E-2</v>
      </c>
      <c r="P362" s="1328">
        <v>44399</v>
      </c>
    </row>
    <row r="363" spans="1:17">
      <c r="A363" s="1015">
        <f t="shared" si="70"/>
        <v>6</v>
      </c>
      <c r="B363" s="1016">
        <f t="shared" si="69"/>
        <v>2029</v>
      </c>
      <c r="C363" s="1017">
        <f t="shared" si="65"/>
        <v>4.8326636375444362E-2</v>
      </c>
      <c r="D363" s="1485">
        <f t="shared" si="66"/>
        <v>2.7729264917127081E-3</v>
      </c>
      <c r="E363" s="1055">
        <f>NPV(realdiscrt1,C$358:C363)/(1+realdiscrt1)^-Half_Year</f>
        <v>0.26710957827737442</v>
      </c>
      <c r="F363" s="1030">
        <f>NPV(realdiscrt1,D$358:D363)/(1+realdiscrt1)^-Half_Year</f>
        <v>1.3739694045018557E-2</v>
      </c>
      <c r="G363" s="1019" t="str">
        <f t="shared" si="67"/>
        <v>2024-Summer Targeted Charge-6</v>
      </c>
      <c r="H363" s="466"/>
      <c r="I363" s="1020">
        <v>2023</v>
      </c>
      <c r="J363" s="1021">
        <f t="shared" si="68"/>
        <v>3.7297726830005935E-2</v>
      </c>
      <c r="K363" s="1022">
        <v>2.3649902134294798E-2</v>
      </c>
      <c r="L363" s="1040">
        <v>2.0425070088868342E-3</v>
      </c>
      <c r="M363" s="1040">
        <v>0</v>
      </c>
      <c r="N363" s="1024">
        <f>INDEX(AESC!$H$184:$H$216,MATCH(I363,AESC!$B$184:$B$216,0))</f>
        <v>1.0885030115710697E-2</v>
      </c>
      <c r="P363" s="1328">
        <v>44420</v>
      </c>
    </row>
    <row r="364" spans="1:17" s="466" customFormat="1">
      <c r="A364" s="1015">
        <f t="shared" si="70"/>
        <v>7</v>
      </c>
      <c r="B364" s="1016">
        <f t="shared" si="69"/>
        <v>2030</v>
      </c>
      <c r="C364" s="1017">
        <f t="shared" si="65"/>
        <v>5.2331004213937556E-2</v>
      </c>
      <c r="D364" s="1485">
        <f t="shared" si="66"/>
        <v>2.7296204486682561E-3</v>
      </c>
      <c r="E364" s="1055">
        <f>NPV(realdiscrt1,C$358:C364)/(1+realdiscrt1)^-Half_Year</f>
        <v>0.31502915527899017</v>
      </c>
      <c r="F364" s="1030">
        <f>NPV(realdiscrt1,D$358:D364)/(1+realdiscrt1)^-Half_Year</f>
        <v>1.6239211477177946E-2</v>
      </c>
      <c r="G364" s="1019" t="str">
        <f t="shared" si="67"/>
        <v>2024-Summer Targeted Charge-7</v>
      </c>
      <c r="I364" s="1020">
        <v>2024</v>
      </c>
      <c r="J364" s="1021">
        <f t="shared" si="68"/>
        <v>3.8722171653067294E-2</v>
      </c>
      <c r="K364" s="1022">
        <v>2.7059781611734841E-2</v>
      </c>
      <c r="L364" s="1040">
        <v>2.2993258282179743E-3</v>
      </c>
      <c r="M364" s="1040">
        <v>0</v>
      </c>
      <c r="N364" s="1024">
        <f>INDEX(AESC!$H$184:$H$216,MATCH(I364,AESC!$B$184:$B$216,0))</f>
        <v>8.7940810299941326E-3</v>
      </c>
      <c r="P364" s="1328">
        <v>44421</v>
      </c>
    </row>
    <row r="365" spans="1:17" s="996" customFormat="1" ht="15" customHeight="1">
      <c r="A365" s="1015">
        <f t="shared" si="70"/>
        <v>8</v>
      </c>
      <c r="B365" s="1016">
        <f t="shared" si="69"/>
        <v>2031</v>
      </c>
      <c r="C365" s="1017">
        <f t="shared" si="65"/>
        <v>5.2999861304508393E-2</v>
      </c>
      <c r="D365" s="1485">
        <f t="shared" si="66"/>
        <v>2.6776816446995137E-3</v>
      </c>
      <c r="E365" s="1055">
        <f>NPV(realdiscrt1,C$358:C365)/(1+realdiscrt1)^-Half_Year</f>
        <v>0.36290810617711394</v>
      </c>
      <c r="F365" s="1030">
        <f>NPV(realdiscrt1,D$358:D365)/(1+realdiscrt1)^-Half_Year</f>
        <v>1.8658172297674844E-2</v>
      </c>
      <c r="G365" s="1019" t="str">
        <f t="shared" si="67"/>
        <v>2024-Summer Targeted Charge-8</v>
      </c>
      <c r="H365" s="466"/>
      <c r="I365" s="1020">
        <v>2025</v>
      </c>
      <c r="J365" s="1021">
        <f t="shared" si="68"/>
        <v>3.7643293241517023E-2</v>
      </c>
      <c r="K365" s="1022">
        <v>2.7931858639487151E-2</v>
      </c>
      <c r="L365" s="1040">
        <v>2.3269140688704265E-3</v>
      </c>
      <c r="M365" s="1040">
        <v>0</v>
      </c>
      <c r="N365" s="1024">
        <f>INDEX(AESC!$H$184:$H$216,MATCH(I365,AESC!$B$184:$B$216,0))</f>
        <v>6.923042510065645E-3</v>
      </c>
      <c r="P365" s="1328">
        <v>44422</v>
      </c>
    </row>
    <row r="366" spans="1:17" s="466" customFormat="1">
      <c r="A366" s="1015">
        <f t="shared" si="70"/>
        <v>9</v>
      </c>
      <c r="B366" s="1016">
        <f t="shared" si="69"/>
        <v>2032</v>
      </c>
      <c r="C366" s="1017">
        <f t="shared" si="65"/>
        <v>5.3395140924409633E-2</v>
      </c>
      <c r="D366" s="1485">
        <f t="shared" si="66"/>
        <v>2.5092383474089402E-3</v>
      </c>
      <c r="E366" s="1055">
        <f>NPV(realdiscrt1,C$358:C366)/(1+realdiscrt1)^-Half_Year</f>
        <v>0.41049502824408424</v>
      </c>
      <c r="F366" s="1030">
        <f>NPV(realdiscrt1,D$358:D366)/(1+realdiscrt1)^-Half_Year</f>
        <v>2.0894460611898872E-2</v>
      </c>
      <c r="G366" s="1019" t="str">
        <f t="shared" si="67"/>
        <v>2024-Summer Targeted Charge-9</v>
      </c>
      <c r="H366" s="979"/>
      <c r="I366" s="1020">
        <v>2026</v>
      </c>
      <c r="J366" s="1021">
        <f t="shared" si="68"/>
        <v>3.7754196585308812E-2</v>
      </c>
      <c r="K366" s="1022">
        <v>2.8491112343696515E-2</v>
      </c>
      <c r="L366" s="1040">
        <v>2.3085461627506141E-3</v>
      </c>
      <c r="M366" s="1040">
        <v>0</v>
      </c>
      <c r="N366" s="1024">
        <f>INDEX(AESC!$H$184:$H$216,MATCH(I366,AESC!$B$184:$B$216,0))</f>
        <v>6.4664770871449753E-3</v>
      </c>
      <c r="P366" s="1328">
        <v>44423</v>
      </c>
    </row>
    <row r="367" spans="1:17" s="466" customFormat="1">
      <c r="A367" s="1015">
        <f t="shared" si="70"/>
        <v>10</v>
      </c>
      <c r="B367" s="1016">
        <f t="shared" si="69"/>
        <v>2033</v>
      </c>
      <c r="C367" s="1017">
        <f t="shared" si="65"/>
        <v>5.0285281930391744E-2</v>
      </c>
      <c r="D367" s="1485">
        <f t="shared" si="66"/>
        <v>2.0982700219045469E-3</v>
      </c>
      <c r="E367" s="1055">
        <f>NPV(realdiscrt1,C$358:C367)/(1+realdiscrt1)^-Half_Year</f>
        <v>0.45470729212597877</v>
      </c>
      <c r="F367" s="1030">
        <f>NPV(realdiscrt1,D$358:D367)/(1+realdiscrt1)^-Half_Year</f>
        <v>2.2739319869769396E-2</v>
      </c>
      <c r="G367" s="1019" t="str">
        <f t="shared" si="67"/>
        <v>2024-Summer Targeted Charge-10</v>
      </c>
      <c r="I367" s="1020">
        <v>2027</v>
      </c>
      <c r="J367" s="1021">
        <f t="shared" si="68"/>
        <v>3.8143948907358061E-2</v>
      </c>
      <c r="K367" s="1022">
        <v>2.923273887098506E-2</v>
      </c>
      <c r="L367" s="1040">
        <v>2.2724925566442243E-3</v>
      </c>
      <c r="M367" s="1040">
        <v>0</v>
      </c>
      <c r="N367" s="1024">
        <f>INDEX(AESC!$H$184:$H$216,MATCH(I367,AESC!$B$184:$B$216,0))</f>
        <v>6.0857323395316605E-3</v>
      </c>
      <c r="P367"/>
    </row>
    <row r="368" spans="1:17" s="466" customFormat="1">
      <c r="A368" s="1015">
        <f t="shared" si="70"/>
        <v>11</v>
      </c>
      <c r="B368" s="1016">
        <f t="shared" si="69"/>
        <v>2034</v>
      </c>
      <c r="C368" s="1017">
        <f t="shared" si="65"/>
        <v>5.1475274744343102E-2</v>
      </c>
      <c r="D368" s="1485">
        <f t="shared" si="66"/>
        <v>1.4801072107207516E-3</v>
      </c>
      <c r="E368" s="1055">
        <f>NPV(realdiscrt1,C$358:C368)/(1+realdiscrt1)^-Half_Year</f>
        <v>0.49935678422762408</v>
      </c>
      <c r="F368" s="1030">
        <f>NPV(realdiscrt1,D$358:D368)/(1+realdiscrt1)^-Half_Year</f>
        <v>2.40231602289105E-2</v>
      </c>
      <c r="G368" s="1019" t="str">
        <f t="shared" si="67"/>
        <v>2024-Summer Targeted Charge-11</v>
      </c>
      <c r="H368" s="996"/>
      <c r="I368" s="1020">
        <v>2028</v>
      </c>
      <c r="J368" s="1021">
        <f t="shared" si="68"/>
        <v>3.9125744997226243E-2</v>
      </c>
      <c r="K368" s="1022">
        <v>3.0596678466767013E-2</v>
      </c>
      <c r="L368" s="1040">
        <v>2.2292519128845559E-3</v>
      </c>
      <c r="M368" s="1040">
        <v>0</v>
      </c>
      <c r="N368" s="1024">
        <f>INDEX(AESC!$H$184:$H$216,MATCH(I368,AESC!$B$184:$B$216,0))</f>
        <v>5.6308631973313586E-3</v>
      </c>
      <c r="P368"/>
    </row>
    <row r="369" spans="1:16" s="466" customFormat="1">
      <c r="A369" s="1015">
        <f t="shared" si="70"/>
        <v>12</v>
      </c>
      <c r="B369" s="1016">
        <f t="shared" si="69"/>
        <v>2035</v>
      </c>
      <c r="C369" s="1017">
        <f t="shared" si="65"/>
        <v>5.198464455930784E-2</v>
      </c>
      <c r="D369" s="1485">
        <f t="shared" si="66"/>
        <v>0</v>
      </c>
      <c r="E369" s="1055">
        <f>NPV(realdiscrt1,C$358:C369)/(1+realdiscrt1)^-Half_Year</f>
        <v>0.54384130479428128</v>
      </c>
      <c r="F369" s="1030">
        <f>NPV(realdiscrt1,D$358:D369)/(1+realdiscrt1)^-Half_Year</f>
        <v>2.40231602289105E-2</v>
      </c>
      <c r="G369" s="1019" t="str">
        <f t="shared" si="67"/>
        <v>2024-Summer Targeted Charge-12</v>
      </c>
      <c r="I369" s="1020">
        <v>2029</v>
      </c>
      <c r="J369" s="1021">
        <f t="shared" si="68"/>
        <v>4.0233403696997481E-2</v>
      </c>
      <c r="K369" s="1022">
        <v>3.1893707840026007E-2</v>
      </c>
      <c r="L369" s="1040">
        <v>2.0890177131092009E-3</v>
      </c>
      <c r="M369" s="1040">
        <v>0</v>
      </c>
      <c r="N369" s="1024">
        <f>INDEX(AESC!$H$184:$H$216,MATCH(I369,AESC!$B$184:$B$216,0))</f>
        <v>5.3594437312679526E-3</v>
      </c>
      <c r="P369"/>
    </row>
    <row r="370" spans="1:16" s="466" customFormat="1">
      <c r="A370" s="1015">
        <f t="shared" si="70"/>
        <v>13</v>
      </c>
      <c r="B370" s="1016">
        <f t="shared" si="69"/>
        <v>2036</v>
      </c>
      <c r="C370" s="1017">
        <f t="shared" si="65"/>
        <v>5.2032274151229817E-2</v>
      </c>
      <c r="D370" s="1485">
        <f t="shared" si="66"/>
        <v>0</v>
      </c>
      <c r="E370" s="1055">
        <f>NPV(realdiscrt1,C$358:C370)/(1+realdiscrt1)^-Half_Year</f>
        <v>0.58776740307732733</v>
      </c>
      <c r="F370" s="1030">
        <f>NPV(realdiscrt1,D$358:D370)/(1+realdiscrt1)^-Half_Year</f>
        <v>2.40231602289105E-2</v>
      </c>
      <c r="G370" s="1019" t="str">
        <f t="shared" si="67"/>
        <v>2024-Summer Targeted Charge-13</v>
      </c>
      <c r="I370" s="1020">
        <v>2030</v>
      </c>
      <c r="J370" s="1021">
        <f t="shared" si="68"/>
        <v>4.3567162466089722E-2</v>
      </c>
      <c r="K370" s="1022">
        <v>3.2191872579410627E-2</v>
      </c>
      <c r="L370" s="1040">
        <v>1.74687400548094E-3</v>
      </c>
      <c r="M370" s="1040">
        <v>0</v>
      </c>
      <c r="N370" s="1024">
        <f>INDEX(AESC!$H$184:$H$216,MATCH(I370,AESC!$B$184:$B$216,0))</f>
        <v>8.1480926669687433E-3</v>
      </c>
      <c r="P370"/>
    </row>
    <row r="371" spans="1:16" s="466" customFormat="1">
      <c r="A371" s="1015">
        <f t="shared" si="70"/>
        <v>14</v>
      </c>
      <c r="B371" s="1016">
        <f t="shared" si="69"/>
        <v>2037</v>
      </c>
      <c r="C371" s="1017">
        <f t="shared" si="65"/>
        <v>5.2200493198302673E-2</v>
      </c>
      <c r="D371" s="1485">
        <f t="shared" si="66"/>
        <v>0</v>
      </c>
      <c r="E371" s="1055">
        <f>NPV(realdiscrt1,C$358:C371)/(1+realdiscrt1)^-Half_Year</f>
        <v>0.63124248540868932</v>
      </c>
      <c r="F371" s="1030">
        <f>NPV(realdiscrt1,D$358:D371)/(1+realdiscrt1)^-Half_Year</f>
        <v>2.40231602289105E-2</v>
      </c>
      <c r="G371" s="1019" t="str">
        <f t="shared" si="67"/>
        <v>2024-Summer Targeted Charge-14</v>
      </c>
      <c r="I371" s="1020">
        <v>2031</v>
      </c>
      <c r="J371" s="1021">
        <f t="shared" si="68"/>
        <v>4.4124006462668994E-2</v>
      </c>
      <c r="K371" s="1022">
        <v>3.2953860472581274E-2</v>
      </c>
      <c r="L371" s="1040">
        <v>1.2322345478615437E-3</v>
      </c>
      <c r="M371" s="1040">
        <v>0</v>
      </c>
      <c r="N371" s="1024">
        <f>INDEX(AESC!$H$184:$H$216,MATCH(I371,AESC!$B$184:$B$216,0))</f>
        <v>7.901701066927053E-3</v>
      </c>
      <c r="P371"/>
    </row>
    <row r="372" spans="1:16" s="466" customFormat="1">
      <c r="A372" s="1015">
        <f t="shared" si="70"/>
        <v>15</v>
      </c>
      <c r="B372" s="1016">
        <f t="shared" si="69"/>
        <v>2038</v>
      </c>
      <c r="C372" s="1017">
        <f t="shared" si="65"/>
        <v>5.2476138696434374E-2</v>
      </c>
      <c r="D372" s="1485">
        <f t="shared" si="66"/>
        <v>0</v>
      </c>
      <c r="E372" s="1055">
        <f>NPV(realdiscrt1,C$358:C372)/(1+realdiscrt1)^-Half_Year</f>
        <v>0.67435900170948182</v>
      </c>
      <c r="F372" s="1030">
        <f>NPV(realdiscrt1,D$358:D372)/(1+realdiscrt1)^-Half_Year</f>
        <v>2.40231602289105E-2</v>
      </c>
      <c r="G372" s="1019" t="str">
        <f t="shared" si="67"/>
        <v>2024-Summer Targeted Charge-15</v>
      </c>
      <c r="I372" s="1020">
        <v>2032</v>
      </c>
      <c r="J372" s="1021">
        <f t="shared" si="68"/>
        <v>4.4453088842769488E-2</v>
      </c>
      <c r="K372" s="1022">
        <v>3.3487847589707916E-2</v>
      </c>
      <c r="L372" s="1040">
        <v>0</v>
      </c>
      <c r="M372" s="1040">
        <v>0</v>
      </c>
      <c r="N372" s="1024">
        <f>INDEX(AESC!$H$184:$H$216,MATCH(I372,AESC!$B$184:$B$216,0))</f>
        <v>7.6724198573008698E-3</v>
      </c>
      <c r="P372"/>
    </row>
    <row r="373" spans="1:16" s="466" customFormat="1">
      <c r="A373" s="1015">
        <f t="shared" si="70"/>
        <v>16</v>
      </c>
      <c r="B373" s="1016">
        <f t="shared" si="69"/>
        <v>2039</v>
      </c>
      <c r="C373" s="1017">
        <f t="shared" si="65"/>
        <v>5.2847788939624975E-2</v>
      </c>
      <c r="D373" s="1485">
        <f t="shared" si="66"/>
        <v>0</v>
      </c>
      <c r="E373" s="1055">
        <f>NPV(realdiscrt1,C$358:C373)/(1+realdiscrt1)^-Half_Year</f>
        <v>0.71719654931728516</v>
      </c>
      <c r="F373" s="1030">
        <f>NPV(realdiscrt1,D$358:D373)/(1+realdiscrt1)^-Half_Year</f>
        <v>2.40231602289105E-2</v>
      </c>
      <c r="G373" s="1019" t="str">
        <f t="shared" si="67"/>
        <v>2024-Summer Targeted Charge-16</v>
      </c>
      <c r="I373" s="1020">
        <v>2033</v>
      </c>
      <c r="J373" s="1021">
        <f t="shared" si="68"/>
        <v>4.1864036060883014E-2</v>
      </c>
      <c r="K373" s="1022">
        <v>3.4203254453862686E-2</v>
      </c>
      <c r="L373" s="1040">
        <v>0</v>
      </c>
      <c r="M373" s="1040">
        <v>0</v>
      </c>
      <c r="N373" s="1024">
        <f>INDEX(AESC!$H$184:$H$216,MATCH(I373,AESC!$B$184:$B$216,0))</f>
        <v>4.5597418988067746E-3</v>
      </c>
      <c r="P373"/>
    </row>
    <row r="374" spans="1:16" s="466" customFormat="1">
      <c r="A374" s="1015">
        <f t="shared" si="70"/>
        <v>17</v>
      </c>
      <c r="B374" s="1016">
        <f t="shared" si="69"/>
        <v>2040</v>
      </c>
      <c r="C374" s="1017">
        <f t="shared" si="65"/>
        <v>5.3305539920503964E-2</v>
      </c>
      <c r="D374" s="1485">
        <f t="shared" si="66"/>
        <v>0</v>
      </c>
      <c r="E374" s="1055">
        <f>NPV(realdiscrt1,C$358:C374)/(1+realdiscrt1)^-Half_Year</f>
        <v>0.75982368098906283</v>
      </c>
      <c r="F374" s="1030">
        <f>NPV(realdiscrt1,D$358:D374)/(1+realdiscrt1)^-Half_Year</f>
        <v>2.40231602289105E-2</v>
      </c>
      <c r="G374" s="1019" t="str">
        <f t="shared" si="67"/>
        <v>2024-Summer Targeted Charge-17</v>
      </c>
      <c r="I374" s="1020">
        <v>2034</v>
      </c>
      <c r="J374" s="1021">
        <f t="shared" si="68"/>
        <v>4.2854741495216918E-2</v>
      </c>
      <c r="K374" s="1022">
        <v>3.5000780647701617E-2</v>
      </c>
      <c r="L374" s="1040">
        <v>0</v>
      </c>
      <c r="M374" s="1040">
        <v>0</v>
      </c>
      <c r="N374" s="1024">
        <f>INDEX(AESC!$H$184:$H$216,MATCH(I374,AESC!$B$184:$B$216,0))</f>
        <v>4.6795355515733099E-3</v>
      </c>
      <c r="P374"/>
    </row>
    <row r="375" spans="1:16" s="466" customFormat="1">
      <c r="A375" s="1015">
        <f t="shared" si="70"/>
        <v>18</v>
      </c>
      <c r="B375" s="1016">
        <f t="shared" si="69"/>
        <v>2041</v>
      </c>
      <c r="C375" s="1017">
        <f t="shared" si="65"/>
        <v>5.3840810566745383E-2</v>
      </c>
      <c r="D375" s="1485">
        <f t="shared" si="66"/>
        <v>0</v>
      </c>
      <c r="E375" s="1055">
        <f>NPV(realdiscrt1,C$358:C375)/(1+realdiscrt1)^-Half_Year</f>
        <v>0.80229945867685859</v>
      </c>
      <c r="F375" s="1030">
        <f>NPV(realdiscrt1,D$358:D375)/(1+realdiscrt1)^-Half_Year</f>
        <v>2.40231602289105E-2</v>
      </c>
      <c r="G375" s="1019" t="str">
        <f t="shared" si="67"/>
        <v>2024-Summer Targeted Charge-18</v>
      </c>
      <c r="I375" s="1020">
        <v>2035</v>
      </c>
      <c r="J375" s="1021">
        <f t="shared" si="68"/>
        <v>4.327880745414954E-2</v>
      </c>
      <c r="K375" s="1022">
        <v>3.5225335793994596E-2</v>
      </c>
      <c r="L375" s="1040">
        <v>0</v>
      </c>
      <c r="M375" s="1040">
        <v>0</v>
      </c>
      <c r="N375" s="1024">
        <f>INDEX(AESC!$H$184:$H$216,MATCH(I375,AESC!$B$184:$B$216,0))</f>
        <v>4.8476340709586799E-3</v>
      </c>
      <c r="P375"/>
    </row>
    <row r="376" spans="1:16" s="466" customFormat="1">
      <c r="A376" s="1015">
        <f t="shared" si="70"/>
        <v>19</v>
      </c>
      <c r="B376" s="1016">
        <f t="shared" si="69"/>
        <v>2042</v>
      </c>
      <c r="C376" s="1017">
        <f t="shared" si="65"/>
        <v>5.4446173096951371E-2</v>
      </c>
      <c r="D376" s="1485">
        <f t="shared" si="66"/>
        <v>0</v>
      </c>
      <c r="E376" s="1055">
        <f>NPV(realdiscrt1,C$358:C376)/(1+realdiscrt1)^-Half_Year</f>
        <v>0.84467478882426805</v>
      </c>
      <c r="F376" s="1030">
        <f>NPV(realdiscrt1,D$358:D376)/(1+realdiscrt1)^-Half_Year</f>
        <v>2.40231602289105E-2</v>
      </c>
      <c r="G376" s="1019" t="str">
        <f t="shared" si="67"/>
        <v>2024-Summer Targeted Charge-19</v>
      </c>
      <c r="I376" s="1020">
        <v>2036</v>
      </c>
      <c r="J376" s="1021">
        <f t="shared" si="68"/>
        <v>4.3318460547007748E-2</v>
      </c>
      <c r="K376" s="1022">
        <v>3.5886871390765886E-2</v>
      </c>
      <c r="L376" s="1040">
        <v>0</v>
      </c>
      <c r="M376" s="1040">
        <v>0</v>
      </c>
      <c r="N376" s="1024">
        <f>INDEX(AESC!$H$184:$H$216,MATCH(I376,AESC!$B$184:$B$216,0))</f>
        <v>4.2228143009079497E-3</v>
      </c>
      <c r="P376"/>
    </row>
    <row r="377" spans="1:16" s="466" customFormat="1">
      <c r="A377" s="1015">
        <f t="shared" si="70"/>
        <v>20</v>
      </c>
      <c r="B377" s="1016">
        <f t="shared" si="69"/>
        <v>2043</v>
      </c>
      <c r="C377" s="1017">
        <f t="shared" si="65"/>
        <v>5.5115205258615144E-2</v>
      </c>
      <c r="D377" s="1485">
        <f t="shared" si="66"/>
        <v>0</v>
      </c>
      <c r="E377" s="1055">
        <f>NPV(realdiscrt1,C$358:C377)/(1+realdiscrt1)^-Half_Year</f>
        <v>0.88699356990500122</v>
      </c>
      <c r="F377" s="1030">
        <f>NPV(realdiscrt1,D$358:D377)/(1+realdiscrt1)^-Half_Year</f>
        <v>2.40231602289105E-2</v>
      </c>
      <c r="G377" s="1019" t="str">
        <f t="shared" si="67"/>
        <v>2024-Summer Targeted Charge-20</v>
      </c>
      <c r="I377" s="1020">
        <v>2037</v>
      </c>
      <c r="J377" s="1021">
        <f t="shared" si="68"/>
        <v>4.3458508051614241E-2</v>
      </c>
      <c r="K377" s="1022">
        <v>3.6560830697231664E-2</v>
      </c>
      <c r="L377" s="1040">
        <v>0</v>
      </c>
      <c r="M377" s="1040">
        <v>0</v>
      </c>
      <c r="N377" s="1024">
        <f>INDEX(AESC!$H$184:$H$216,MATCH(I377,AESC!$B$184:$B$216,0))</f>
        <v>3.6785286098185554E-3</v>
      </c>
      <c r="P377"/>
    </row>
    <row r="378" spans="1:16" s="466" customFormat="1">
      <c r="A378" s="1015">
        <f t="shared" si="70"/>
        <v>21</v>
      </c>
      <c r="B378" s="1016">
        <f t="shared" si="69"/>
        <v>2044</v>
      </c>
      <c r="C378" s="1017">
        <f t="shared" si="65"/>
        <v>5.5842361628052145E-2</v>
      </c>
      <c r="D378" s="1485">
        <f t="shared" si="66"/>
        <v>0</v>
      </c>
      <c r="E378" s="1055">
        <f>NPV(realdiscrt1,C$358:C378)/(1+realdiscrt1)^-Half_Year</f>
        <v>0.92929367860499357</v>
      </c>
      <c r="F378" s="1030">
        <f>NPV(realdiscrt1,D$358:D378)/(1+realdiscrt1)^-Half_Year</f>
        <v>2.40231602289105E-2</v>
      </c>
      <c r="G378" s="1019" t="str">
        <f t="shared" si="67"/>
        <v>2024-Summer Targeted Charge-21</v>
      </c>
      <c r="I378" s="1020">
        <v>2038</v>
      </c>
      <c r="J378" s="1021">
        <f t="shared" si="68"/>
        <v>4.3687991364241972E-2</v>
      </c>
      <c r="K378" s="1022">
        <v>3.7247447031996894E-2</v>
      </c>
      <c r="L378" s="1040">
        <v>0</v>
      </c>
      <c r="M378" s="1040">
        <v>0</v>
      </c>
      <c r="N378" s="1024">
        <f>INDEX(AESC!$H$184:$H$216,MATCH(I378,AESC!$B$184:$B$216,0))</f>
        <v>3.2043968237827087E-3</v>
      </c>
      <c r="P378"/>
    </row>
    <row r="379" spans="1:16" s="466" customFormat="1">
      <c r="A379" s="1015">
        <f t="shared" si="70"/>
        <v>22</v>
      </c>
      <c r="B379" s="1016">
        <f t="shared" si="69"/>
        <v>2045</v>
      </c>
      <c r="C379" s="1017">
        <f t="shared" si="65"/>
        <v>5.6622861515683291E-2</v>
      </c>
      <c r="D379" s="1485">
        <f t="shared" si="66"/>
        <v>0</v>
      </c>
      <c r="E379" s="1055">
        <f>NPV(realdiscrt1,C$358:C379)/(1+realdiscrt1)^-Half_Year</f>
        <v>0.97160781733710533</v>
      </c>
      <c r="F379" s="1030">
        <f>NPV(realdiscrt1,D$358:D379)/(1+realdiscrt1)^-Half_Year</f>
        <v>2.40231602289105E-2</v>
      </c>
      <c r="G379" s="1019" t="str">
        <f t="shared" si="67"/>
        <v>2024-Summer Targeted Charge-22</v>
      </c>
      <c r="I379" s="1020">
        <v>2039</v>
      </c>
      <c r="J379" s="1021">
        <f t="shared" si="68"/>
        <v>4.3997401565113566E-2</v>
      </c>
      <c r="K379" s="1022">
        <v>3.7946958095415054E-2</v>
      </c>
      <c r="L379" s="1040">
        <v>0</v>
      </c>
      <c r="M379" s="1040">
        <v>0</v>
      </c>
      <c r="N379" s="1024">
        <f>INDEX(AESC!$H$184:$H$216,MATCH(I379,AESC!$B$184:$B$216,0))</f>
        <v>2.7913766870975056E-3</v>
      </c>
      <c r="P379"/>
    </row>
    <row r="380" spans="1:16" s="466" customFormat="1">
      <c r="A380" s="1015">
        <f t="shared" si="70"/>
        <v>23</v>
      </c>
      <c r="B380" s="1016">
        <f t="shared" si="69"/>
        <v>2046</v>
      </c>
      <c r="C380" s="1017">
        <f t="shared" si="65"/>
        <v>5.7452591336696932E-2</v>
      </c>
      <c r="D380" s="1485">
        <f t="shared" si="66"/>
        <v>0</v>
      </c>
      <c r="E380" s="1055">
        <f>NPV(realdiscrt1,C$358:C380)/(1+realdiscrt1)^-Half_Year</f>
        <v>1.0139642425870443</v>
      </c>
      <c r="F380" s="1030">
        <f>NPV(realdiscrt1,D$358:D380)/(1+realdiscrt1)^-Half_Year</f>
        <v>2.40231602289105E-2</v>
      </c>
      <c r="G380" s="1019" t="str">
        <f t="shared" si="67"/>
        <v>2024-Summer Targeted Charge-23</v>
      </c>
      <c r="I380" s="1020">
        <v>2040</v>
      </c>
      <c r="J380" s="1021">
        <f t="shared" si="68"/>
        <v>4.4378493265005987E-2</v>
      </c>
      <c r="K380" s="1022">
        <v>3.8659606051877834E-2</v>
      </c>
      <c r="L380" s="1040">
        <v>0</v>
      </c>
      <c r="M380" s="1040">
        <v>0</v>
      </c>
      <c r="N380" s="1024">
        <f>INDEX(AESC!$H$184:$H$216,MATCH(I380,AESC!$B$184:$B$216,0))</f>
        <v>2.4315914157203053E-3</v>
      </c>
      <c r="P380"/>
    </row>
    <row r="381" spans="1:16" s="466" customFormat="1">
      <c r="A381" s="1015">
        <f t="shared" si="70"/>
        <v>24</v>
      </c>
      <c r="B381" s="1016">
        <f t="shared" si="69"/>
        <v>2047</v>
      </c>
      <c r="C381" s="1017">
        <f t="shared" si="65"/>
        <v>5.8328019582947609E-2</v>
      </c>
      <c r="D381" s="1485">
        <f t="shared" si="66"/>
        <v>0</v>
      </c>
      <c r="E381" s="1055">
        <f>NPV(realdiscrt1,C$358:C381)/(1+realdiscrt1)^-Half_Year</f>
        <v>1.0563873908473629</v>
      </c>
      <c r="F381" s="1030">
        <f>NPV(realdiscrt1,D$358:D381)/(1+realdiscrt1)^-Half_Year</f>
        <v>2.40231602289105E-2</v>
      </c>
      <c r="G381" s="1019" t="str">
        <f t="shared" si="67"/>
        <v>2024-Summer Targeted Charge-24</v>
      </c>
      <c r="I381" s="1020">
        <v>2041</v>
      </c>
      <c r="J381" s="1021">
        <f t="shared" si="68"/>
        <v>4.4824122458605863E-2</v>
      </c>
      <c r="K381" s="1022">
        <v>3.9385637613650257E-2</v>
      </c>
      <c r="L381" s="1040">
        <v>0</v>
      </c>
      <c r="M381" s="1040">
        <v>0</v>
      </c>
      <c r="N381" s="1024">
        <f>INDEX(AESC!$H$184:$H$216,MATCH(I381,AESC!$B$184:$B$216,0))</f>
        <v>2.1181794776514674E-3</v>
      </c>
    </row>
    <row r="382" spans="1:16" s="466" customFormat="1">
      <c r="A382" s="1015">
        <f t="shared" si="70"/>
        <v>25</v>
      </c>
      <c r="B382" s="1016">
        <f t="shared" si="69"/>
        <v>2048</v>
      </c>
      <c r="C382" s="1017">
        <f t="shared" si="65"/>
        <v>5.9246122772227641E-2</v>
      </c>
      <c r="D382" s="1485">
        <f t="shared" si="66"/>
        <v>0</v>
      </c>
      <c r="E382" s="1055">
        <f>NPV(realdiscrt1,C$358:C382)/(1+realdiscrt1)^-Half_Year</f>
        <v>1.0988984165401257</v>
      </c>
      <c r="F382" s="1030">
        <f>NPV(realdiscrt1,D$358:D382)/(1+realdiscrt1)^-Half_Year</f>
        <v>2.40231602289105E-2</v>
      </c>
      <c r="G382" s="1019" t="str">
        <f t="shared" si="67"/>
        <v>2024-Summer Targeted Charge-25</v>
      </c>
      <c r="I382" s="1020">
        <v>2042</v>
      </c>
      <c r="J382" s="1021">
        <f t="shared" si="68"/>
        <v>4.5328105290591017E-2</v>
      </c>
      <c r="K382" s="1022">
        <v>4.012530412628023E-2</v>
      </c>
      <c r="L382" s="1040">
        <v>0</v>
      </c>
      <c r="M382" s="1040">
        <v>0</v>
      </c>
      <c r="N382" s="1024">
        <f>INDEX(AESC!$H$184:$H$216,MATCH(I382,AESC!$B$184:$B$216,0))</f>
        <v>1.8451637353781175E-3</v>
      </c>
    </row>
    <row r="383" spans="1:16" s="466" customFormat="1">
      <c r="A383" s="1015">
        <f t="shared" si="70"/>
        <v>26</v>
      </c>
      <c r="B383" s="1016">
        <f t="shared" si="69"/>
        <v>2049</v>
      </c>
      <c r="C383" s="1017">
        <f t="shared" si="65"/>
        <v>6.0204320960356661E-2</v>
      </c>
      <c r="D383" s="1485">
        <f t="shared" si="66"/>
        <v>0</v>
      </c>
      <c r="E383" s="1055">
        <f>NPV(realdiscrt1,C$358:C383)/(1+realdiscrt1)^-Half_Year</f>
        <v>1.1415156543039169</v>
      </c>
      <c r="F383" s="1030">
        <f>NPV(realdiscrt1,D$358:D383)/(1+realdiscrt1)^-Half_Year</f>
        <v>2.40231602289105E-2</v>
      </c>
      <c r="G383" s="1019" t="str">
        <f t="shared" si="67"/>
        <v>2024-Summer Targeted Charge-26</v>
      </c>
      <c r="I383" s="1020">
        <v>2043</v>
      </c>
      <c r="J383" s="1021">
        <f t="shared" si="68"/>
        <v>4.5885095039212766E-2</v>
      </c>
      <c r="K383" s="1022">
        <v>4.0878861655612102E-2</v>
      </c>
      <c r="L383" s="1040">
        <v>0</v>
      </c>
      <c r="M383" s="1040">
        <v>0</v>
      </c>
      <c r="N383" s="1024">
        <f>INDEX(AESC!$H$184:$H$216,MATCH(I383,AESC!$B$184:$B$216,0))</f>
        <v>1.6073374547700802E-3</v>
      </c>
    </row>
    <row r="384" spans="1:16" s="466" customFormat="1">
      <c r="A384" s="1015">
        <f t="shared" si="70"/>
        <v>27</v>
      </c>
      <c r="B384" s="1016">
        <f t="shared" si="69"/>
        <v>2050</v>
      </c>
      <c r="C384" s="1017">
        <f t="shared" si="65"/>
        <v>6.1200421583864829E-2</v>
      </c>
      <c r="D384" s="1485">
        <f t="shared" si="66"/>
        <v>0</v>
      </c>
      <c r="E384" s="1052">
        <f>NPV(realdiscrt1,C$358:C384)/(1+realdiscrt1)^-Half_Year</f>
        <v>1.1842550162806591</v>
      </c>
      <c r="F384" s="1031">
        <f>NPV(realdiscrt1,D$358:D384)/(1+realdiscrt1)^-Half_Year</f>
        <v>2.40231602289105E-2</v>
      </c>
      <c r="G384" s="1019" t="str">
        <f t="shared" si="67"/>
        <v>2024-Summer Targeted Charge-27</v>
      </c>
      <c r="I384" s="1020">
        <v>2044</v>
      </c>
      <c r="J384" s="1021">
        <f t="shared" si="68"/>
        <v>4.6490474969550055E-2</v>
      </c>
      <c r="K384" s="1022">
        <v>4.1646571076434331E-2</v>
      </c>
      <c r="L384" s="1040">
        <v>0</v>
      </c>
      <c r="M384" s="1040">
        <v>0</v>
      </c>
      <c r="N384" s="1024">
        <f>INDEX(AESC!$H$184:$H$216,MATCH(I384,AESC!$B$184:$B$216,0))</f>
        <v>1.4001650064823829E-3</v>
      </c>
    </row>
    <row r="385" spans="1:14" s="466" customFormat="1" ht="20.25">
      <c r="A385" s="975">
        <f>Year2</f>
        <v>2025</v>
      </c>
      <c r="B385" s="976" t="str">
        <f>Year2&amp;"$"</f>
        <v>2025$</v>
      </c>
      <c r="C385" s="1046"/>
      <c r="D385" s="1480" t="s">
        <v>993</v>
      </c>
      <c r="E385" s="1481">
        <f>A385</f>
        <v>2025</v>
      </c>
      <c r="F385" s="1481" t="s">
        <v>992</v>
      </c>
      <c r="G385" s="1047"/>
      <c r="I385" s="1020">
        <v>2045</v>
      </c>
      <c r="J385" s="1021">
        <f t="shared" si="68"/>
        <v>4.7140265011227381E-2</v>
      </c>
      <c r="K385" s="1022">
        <v>4.2428698162791982E-2</v>
      </c>
      <c r="L385" s="1040">
        <v>0</v>
      </c>
      <c r="M385" s="1040">
        <v>0</v>
      </c>
      <c r="N385" s="1024">
        <f>INDEX(AESC!$H$184:$H$216,MATCH(I385,AESC!$B$184:$B$216,0))</f>
        <v>1.219695366122258E-3</v>
      </c>
    </row>
    <row r="386" spans="1:14" s="466" customFormat="1">
      <c r="A386" s="1015">
        <v>1</v>
      </c>
      <c r="B386" s="1016">
        <f>Year2</f>
        <v>2025</v>
      </c>
      <c r="C386" s="1017">
        <f t="shared" ref="C386:C410" si="71">VLOOKUP($B386,$I$358:$N$390,C$12,FALSE)*(1+Inflation2)^(Year2-Real_Year)</f>
        <v>4.8064083887143776E-2</v>
      </c>
      <c r="D386" s="1485">
        <f t="shared" ref="D386:D410" si="72">VLOOKUP($B386-4,$I$358:$N$390,IF($A$17=Year1,D$12,D$12+1),FALSE)*(1+Inflation2)^(Year2-Real_Year)</f>
        <v>1.5387138259796455E-3</v>
      </c>
      <c r="E386" s="1053">
        <f>NPV(realdiscrt1,C$386:C386)/(1+realdiscrt2)^(1-Half_Year)</f>
        <v>4.7097152183918072E-2</v>
      </c>
      <c r="F386" s="1054">
        <f>NPV(realdiscrt1,D$386:D386)/(1+realdiscrt2)^(1-Half_Year)</f>
        <v>1.507758670691033E-3</v>
      </c>
      <c r="G386" s="1019" t="str">
        <f t="shared" ref="G386:G410" si="73">$A$45&amp;"-"&amp;$A$353&amp;"-"&amp;A386</f>
        <v>2025-Summer Targeted Charge-1</v>
      </c>
      <c r="I386" s="1020">
        <v>2046</v>
      </c>
      <c r="J386" s="1021">
        <f t="shared" si="68"/>
        <v>4.7831040479003196E-2</v>
      </c>
      <c r="K386" s="1022">
        <v>4.3225513679995275E-2</v>
      </c>
      <c r="L386" s="1040">
        <v>0</v>
      </c>
      <c r="M386" s="1040">
        <v>0</v>
      </c>
      <c r="N386" s="1024">
        <f>INDEX(AESC!$H$184:$H$216,MATCH(I386,AESC!$B$184:$B$216,0))</f>
        <v>1.0624867635262009E-3</v>
      </c>
    </row>
    <row r="387" spans="1:14" s="466" customFormat="1">
      <c r="A387" s="1015">
        <v>2</v>
      </c>
      <c r="B387" s="1016">
        <f t="shared" ref="B387:B410" si="74">B386+1</f>
        <v>2026</v>
      </c>
      <c r="C387" s="1017">
        <f t="shared" si="71"/>
        <v>4.8205688597049823E-2</v>
      </c>
      <c r="D387" s="1485">
        <f t="shared" si="72"/>
        <v>2.2703801507379506E-3</v>
      </c>
      <c r="E387" s="1055">
        <f>NPV(realdiscrt1,C$386:C387)/(1+realdiscrt2)^(1-Half_Year)</f>
        <v>9.3697403104943067E-2</v>
      </c>
      <c r="F387" s="1030">
        <f>NPV(realdiscrt1,D$386:D387)/(1+realdiscrt2)^(1-Half_Year)</f>
        <v>3.7025262964558063E-3</v>
      </c>
      <c r="G387" s="1019" t="str">
        <f t="shared" si="73"/>
        <v>2025-Summer Targeted Charge-2</v>
      </c>
      <c r="I387" s="1020">
        <v>2047</v>
      </c>
      <c r="J387" s="1021">
        <f t="shared" si="68"/>
        <v>4.8559861284273531E-2</v>
      </c>
      <c r="K387" s="1022">
        <v>4.4037293478356096E-2</v>
      </c>
      <c r="L387" s="1040">
        <v>0</v>
      </c>
      <c r="M387" s="1040">
        <v>0</v>
      </c>
      <c r="N387" s="1024">
        <f>INDEX(AESC!$H$184:$H$216,MATCH(I387,AESC!$B$184:$B$216,0))</f>
        <v>9.255410441193939E-4</v>
      </c>
    </row>
    <row r="388" spans="1:14" s="466" customFormat="1">
      <c r="A388" s="1015">
        <f t="shared" ref="A388:A410" si="75">A387+1</f>
        <v>3</v>
      </c>
      <c r="B388" s="1016">
        <f t="shared" si="74"/>
        <v>2027</v>
      </c>
      <c r="C388" s="1017">
        <f t="shared" si="71"/>
        <v>4.8703336031401374E-2</v>
      </c>
      <c r="D388" s="1485">
        <f t="shared" si="72"/>
        <v>2.6079341035694045E-3</v>
      </c>
      <c r="E388" s="1055">
        <f>NPV(realdiscrt1,C$386:C388)/(1+realdiscrt2)^(1-Half_Year)</f>
        <v>0.1401451508653877</v>
      </c>
      <c r="F388" s="1030">
        <f>NPV(realdiscrt1,D$386:D388)/(1+realdiscrt2)^(1-Half_Year)</f>
        <v>6.1896796475189239E-3</v>
      </c>
      <c r="G388" s="1019" t="str">
        <f t="shared" si="73"/>
        <v>2025-Summer Targeted Charge-3</v>
      </c>
      <c r="I388" s="1020">
        <v>2048</v>
      </c>
      <c r="J388" s="1021">
        <f t="shared" si="68"/>
        <v>4.9324210285574467E-2</v>
      </c>
      <c r="K388" s="1022">
        <v>4.4864318588684872E-2</v>
      </c>
      <c r="L388" s="1040">
        <v>0</v>
      </c>
      <c r="M388" s="1040">
        <v>0</v>
      </c>
      <c r="N388" s="1024">
        <f>INDEX(AESC!$H$184:$H$216,MATCH(I388,AESC!$B$184:$B$216,0))</f>
        <v>8.0624649055074406E-4</v>
      </c>
    </row>
    <row r="389" spans="1:14" s="466" customFormat="1">
      <c r="A389" s="1015">
        <f t="shared" si="75"/>
        <v>4</v>
      </c>
      <c r="B389" s="1016">
        <f t="shared" si="74"/>
        <v>2028</v>
      </c>
      <c r="C389" s="1017">
        <f t="shared" si="71"/>
        <v>4.9956922674863506E-2</v>
      </c>
      <c r="D389" s="1485">
        <f t="shared" si="72"/>
        <v>2.9358480614936574E-3</v>
      </c>
      <c r="E389" s="1055">
        <f>NPV(realdiscrt1,C$386:C389)/(1+realdiscrt2)^(1-Half_Year)</f>
        <v>0.18714728892094321</v>
      </c>
      <c r="F389" s="1030">
        <f>NPV(realdiscrt1,D$386:D389)/(1+realdiscrt2)^(1-Half_Year)</f>
        <v>8.9518821313378863E-3</v>
      </c>
      <c r="G389" s="1019" t="str">
        <f t="shared" si="73"/>
        <v>2025-Summer Targeted Charge-4</v>
      </c>
      <c r="I389" s="1020">
        <v>2049</v>
      </c>
      <c r="J389" s="1021">
        <f t="shared" si="68"/>
        <v>5.0121939600423188E-2</v>
      </c>
      <c r="K389" s="1022">
        <v>4.5706875319580897E-2</v>
      </c>
      <c r="L389" s="1040">
        <v>0</v>
      </c>
      <c r="M389" s="1040">
        <v>0</v>
      </c>
      <c r="N389" s="1024">
        <f>INDEX(AESC!$H$184:$H$216,MATCH(I389,AESC!$B$184:$B$216,0))</f>
        <v>7.0232801414427321E-4</v>
      </c>
    </row>
    <row r="390" spans="1:14" s="466" customFormat="1">
      <c r="A390" s="1015">
        <f t="shared" si="75"/>
        <v>5</v>
      </c>
      <c r="B390" s="1016">
        <f t="shared" si="74"/>
        <v>2029</v>
      </c>
      <c r="C390" s="1017">
        <f t="shared" si="71"/>
        <v>5.1371214467097352E-2</v>
      </c>
      <c r="D390" s="1485">
        <f t="shared" si="72"/>
        <v>2.9710735531771459E-3</v>
      </c>
      <c r="E390" s="1055">
        <f>NPV(realdiscrt1,C$386:C390)/(1+realdiscrt2)^(1-Half_Year)</f>
        <v>0.2348296502364334</v>
      </c>
      <c r="F390" s="1030">
        <f>NPV(realdiscrt1,D$386:D390)/(1+realdiscrt2)^(1-Half_Year)</f>
        <v>1.1709609471971942E-2</v>
      </c>
      <c r="G390" s="1019" t="str">
        <f t="shared" si="73"/>
        <v>2025-Summer Targeted Charge-5</v>
      </c>
      <c r="I390" s="1025">
        <v>2050</v>
      </c>
      <c r="J390" s="1026">
        <f t="shared" si="68"/>
        <v>5.095122385263319E-2</v>
      </c>
      <c r="K390" s="1027">
        <v>4.6565255356549762E-2</v>
      </c>
      <c r="L390" s="1028">
        <v>0</v>
      </c>
      <c r="M390" s="1028">
        <v>0</v>
      </c>
      <c r="N390" s="1029">
        <f>INDEX(AESC!$H$184:$H$216,MATCH(I390,AESC!$B$184:$B$216,0))</f>
        <v>6.1180376625874196E-4</v>
      </c>
    </row>
    <row r="391" spans="1:14" s="466" customFormat="1">
      <c r="A391" s="1015">
        <f t="shared" si="75"/>
        <v>6</v>
      </c>
      <c r="B391" s="1016">
        <f t="shared" si="74"/>
        <v>2030</v>
      </c>
      <c r="C391" s="1017">
        <f t="shared" si="71"/>
        <v>5.5627857479415614E-2</v>
      </c>
      <c r="D391" s="1485">
        <f t="shared" si="72"/>
        <v>2.9476208606906088E-3</v>
      </c>
      <c r="E391" s="1055">
        <f>NPV(realdiscrt1,C$386:C391)/(1+realdiscrt2)^(1-Half_Year)</f>
        <v>0.28576816058915094</v>
      </c>
      <c r="F391" s="1030">
        <f>NPV(realdiscrt1,D$386:D391)/(1+realdiscrt2)^(1-Half_Year)</f>
        <v>1.4408750199865964E-2</v>
      </c>
      <c r="G391" s="1019" t="str">
        <f t="shared" si="73"/>
        <v>2025-Summer Targeted Charge-6</v>
      </c>
    </row>
    <row r="392" spans="1:14" s="466" customFormat="1">
      <c r="A392" s="1015">
        <f t="shared" si="75"/>
        <v>7</v>
      </c>
      <c r="B392" s="1016">
        <f t="shared" si="74"/>
        <v>2031</v>
      </c>
      <c r="C392" s="1017">
        <f t="shared" si="71"/>
        <v>5.6338852566692417E-2</v>
      </c>
      <c r="D392" s="1485">
        <f t="shared" si="72"/>
        <v>2.9015865369343558E-3</v>
      </c>
      <c r="E392" s="1055">
        <f>NPV(realdiscrt1,C$386:C392)/(1+realdiscrt2)^(1-Half_Year)</f>
        <v>0.33666348539385654</v>
      </c>
      <c r="F392" s="1030">
        <f>NPV(realdiscrt1,D$386:D392)/(1+realdiscrt2)^(1-Half_Year)</f>
        <v>1.7029981952348297E-2</v>
      </c>
      <c r="G392" s="1019" t="str">
        <f t="shared" si="73"/>
        <v>2025-Summer Targeted Charge-7</v>
      </c>
    </row>
    <row r="393" spans="1:14" s="466" customFormat="1">
      <c r="A393" s="1015">
        <f t="shared" si="75"/>
        <v>8</v>
      </c>
      <c r="B393" s="1016">
        <f t="shared" si="74"/>
        <v>2032</v>
      </c>
      <c r="C393" s="1017">
        <f t="shared" si="71"/>
        <v>5.6759034802647435E-2</v>
      </c>
      <c r="D393" s="1485">
        <f t="shared" si="72"/>
        <v>2.8463755883155828E-3</v>
      </c>
      <c r="E393" s="1055">
        <f>NPV(realdiscrt1,C$386:C393)/(1+realdiscrt2)^(1-Half_Year)</f>
        <v>0.38724838355104596</v>
      </c>
      <c r="F393" s="1030">
        <f>NPV(realdiscrt1,D$386:D393)/(1+realdiscrt2)^(1-Half_Year)</f>
        <v>1.9566734378683389E-2</v>
      </c>
      <c r="G393" s="1019" t="str">
        <f t="shared" si="73"/>
        <v>2025-Summer Targeted Charge-8</v>
      </c>
    </row>
    <row r="394" spans="1:14" s="466" customFormat="1">
      <c r="A394" s="1015">
        <f t="shared" si="75"/>
        <v>9</v>
      </c>
      <c r="B394" s="1016">
        <f t="shared" si="74"/>
        <v>2033</v>
      </c>
      <c r="C394" s="1017">
        <f t="shared" si="71"/>
        <v>5.3453254692006416E-2</v>
      </c>
      <c r="D394" s="1485">
        <f t="shared" si="72"/>
        <v>2.6673203632957034E-3</v>
      </c>
      <c r="E394" s="1055">
        <f>NPV(realdiscrt1,C$386:C394)/(1+realdiscrt2)^(1-Half_Year)</f>
        <v>0.43424602005749996</v>
      </c>
      <c r="F394" s="1030">
        <f>NPV(realdiscrt1,D$386:D394)/(1+realdiscrt2)^(1-Half_Year)</f>
        <v>2.1911919037741777E-2</v>
      </c>
      <c r="G394" s="1019" t="str">
        <f t="shared" si="73"/>
        <v>2025-Summer Targeted Charge-9</v>
      </c>
    </row>
    <row r="395" spans="1:14" s="466" customFormat="1">
      <c r="A395" s="1015">
        <f t="shared" si="75"/>
        <v>10</v>
      </c>
      <c r="B395" s="1016">
        <f t="shared" si="74"/>
        <v>2034</v>
      </c>
      <c r="C395" s="1017">
        <f t="shared" si="71"/>
        <v>5.4718217053236713E-2</v>
      </c>
      <c r="D395" s="1485">
        <f t="shared" si="72"/>
        <v>2.2304610332845335E-3</v>
      </c>
      <c r="E395" s="1055">
        <f>NPV(realdiscrt1,C$386:C395)/(1+realdiscrt2)^(1-Half_Year)</f>
        <v>0.48170843016154896</v>
      </c>
      <c r="F395" s="1030">
        <f>NPV(realdiscrt1,D$386:D395)/(1+realdiscrt2)^(1-Half_Year)</f>
        <v>2.3846613952597181E-2</v>
      </c>
      <c r="G395" s="1019" t="str">
        <f t="shared" si="73"/>
        <v>2025-Summer Targeted Charge-10</v>
      </c>
    </row>
    <row r="396" spans="1:14" s="466" customFormat="1">
      <c r="A396" s="1015">
        <f t="shared" si="75"/>
        <v>11</v>
      </c>
      <c r="B396" s="1016">
        <f t="shared" si="74"/>
        <v>2035</v>
      </c>
      <c r="C396" s="1017">
        <f t="shared" si="71"/>
        <v>5.5259677166544223E-2</v>
      </c>
      <c r="D396" s="1485">
        <f t="shared" si="72"/>
        <v>1.5733539649961587E-3</v>
      </c>
      <c r="E396" s="1055">
        <f>NPV(realdiscrt1,C$386:C396)/(1+realdiscrt2)^(1-Half_Year)</f>
        <v>0.52899547552390536</v>
      </c>
      <c r="F396" s="1030">
        <f>NPV(realdiscrt1,D$386:D396)/(1+realdiscrt2)^(1-Half_Year)</f>
        <v>2.5192971081857796E-2</v>
      </c>
      <c r="G396" s="1019" t="str">
        <f t="shared" si="73"/>
        <v>2025-Summer Targeted Charge-11</v>
      </c>
    </row>
    <row r="397" spans="1:14" s="466" customFormat="1">
      <c r="A397" s="1015">
        <f t="shared" si="75"/>
        <v>12</v>
      </c>
      <c r="B397" s="1016">
        <f t="shared" si="74"/>
        <v>2036</v>
      </c>
      <c r="C397" s="1017">
        <f t="shared" si="71"/>
        <v>5.5310307422757291E-2</v>
      </c>
      <c r="D397" s="1485">
        <f t="shared" si="72"/>
        <v>0</v>
      </c>
      <c r="E397" s="1055">
        <f>NPV(realdiscrt1,C$386:C397)/(1+realdiscrt2)^(1-Half_Year)</f>
        <v>0.57568891799878341</v>
      </c>
      <c r="F397" s="1030">
        <f>NPV(realdiscrt1,D$386:D397)/(1+realdiscrt2)^(1-Half_Year)</f>
        <v>2.5192971081857796E-2</v>
      </c>
      <c r="G397" s="1019" t="str">
        <f t="shared" si="73"/>
        <v>2025-Summer Targeted Charge-12</v>
      </c>
    </row>
    <row r="398" spans="1:14" s="466" customFormat="1">
      <c r="A398" s="1015">
        <f t="shared" si="75"/>
        <v>13</v>
      </c>
      <c r="B398" s="1016">
        <f t="shared" si="74"/>
        <v>2037</v>
      </c>
      <c r="C398" s="1017">
        <f t="shared" si="71"/>
        <v>5.5489124269795735E-2</v>
      </c>
      <c r="D398" s="1485">
        <f t="shared" si="72"/>
        <v>0</v>
      </c>
      <c r="E398" s="1055">
        <f>NPV(realdiscrt1,C$386:C398)/(1+realdiscrt2)^(1-Half_Year)</f>
        <v>0.62190293051702128</v>
      </c>
      <c r="F398" s="1030">
        <f>NPV(realdiscrt1,D$386:D398)/(1+realdiscrt2)^(1-Half_Year)</f>
        <v>2.5192971081857796E-2</v>
      </c>
      <c r="G398" s="1019" t="str">
        <f t="shared" si="73"/>
        <v>2025-Summer Targeted Charge-13</v>
      </c>
    </row>
    <row r="399" spans="1:14" s="466" customFormat="1">
      <c r="A399" s="1015">
        <f t="shared" si="75"/>
        <v>14</v>
      </c>
      <c r="B399" s="1016">
        <f t="shared" si="74"/>
        <v>2038</v>
      </c>
      <c r="C399" s="1017">
        <f t="shared" si="71"/>
        <v>5.5782135434309738E-2</v>
      </c>
      <c r="D399" s="1485">
        <f t="shared" si="72"/>
        <v>0</v>
      </c>
      <c r="E399" s="1055">
        <f>NPV(realdiscrt1,C$386:C399)/(1+realdiscrt2)^(1-Half_Year)</f>
        <v>0.66773578734476347</v>
      </c>
      <c r="F399" s="1030">
        <f>NPV(realdiscrt1,D$386:D399)/(1+realdiscrt2)^(1-Half_Year)</f>
        <v>2.5192971081857796E-2</v>
      </c>
      <c r="G399" s="1019" t="str">
        <f t="shared" si="73"/>
        <v>2025-Summer Targeted Charge-14</v>
      </c>
    </row>
    <row r="400" spans="1:14" s="466" customFormat="1">
      <c r="A400" s="1015">
        <f t="shared" si="75"/>
        <v>15</v>
      </c>
      <c r="B400" s="1016">
        <f t="shared" si="74"/>
        <v>2039</v>
      </c>
      <c r="C400" s="1017">
        <f t="shared" si="71"/>
        <v>5.6177199642821342E-2</v>
      </c>
      <c r="D400" s="1485">
        <f t="shared" si="72"/>
        <v>0</v>
      </c>
      <c r="E400" s="1055">
        <f>NPV(realdiscrt1,C$386:C400)/(1+realdiscrt2)^(1-Half_Year)</f>
        <v>0.71327210045185852</v>
      </c>
      <c r="F400" s="1030">
        <f>NPV(realdiscrt1,D$386:D400)/(1+realdiscrt2)^(1-Half_Year)</f>
        <v>2.5192971081857796E-2</v>
      </c>
      <c r="G400" s="1019" t="str">
        <f t="shared" si="73"/>
        <v>2025-Summer Targeted Charge-15</v>
      </c>
    </row>
    <row r="401" spans="1:7" s="466" customFormat="1">
      <c r="A401" s="1015">
        <f t="shared" si="75"/>
        <v>16</v>
      </c>
      <c r="B401" s="1016">
        <f t="shared" si="74"/>
        <v>2040</v>
      </c>
      <c r="C401" s="1017">
        <f t="shared" si="71"/>
        <v>5.6663788935495708E-2</v>
      </c>
      <c r="D401" s="1485">
        <f t="shared" si="72"/>
        <v>0</v>
      </c>
      <c r="E401" s="1055">
        <f>NPV(realdiscrt1,C$386:C401)/(1+realdiscrt2)^(1-Half_Year)</f>
        <v>0.75858474141895826</v>
      </c>
      <c r="F401" s="1030">
        <f>NPV(realdiscrt1,D$386:D401)/(1+realdiscrt2)^(1-Half_Year)</f>
        <v>2.5192971081857796E-2</v>
      </c>
      <c r="G401" s="1019" t="str">
        <f t="shared" si="73"/>
        <v>2025-Summer Targeted Charge-16</v>
      </c>
    </row>
    <row r="402" spans="1:7" s="466" customFormat="1">
      <c r="A402" s="1015">
        <f t="shared" si="75"/>
        <v>17</v>
      </c>
      <c r="B402" s="1016">
        <f t="shared" si="74"/>
        <v>2041</v>
      </c>
      <c r="C402" s="1017">
        <f t="shared" si="71"/>
        <v>5.7232781632450339E-2</v>
      </c>
      <c r="D402" s="1485">
        <f t="shared" si="72"/>
        <v>0</v>
      </c>
      <c r="E402" s="1055">
        <f>NPV(realdiscrt1,C$386:C402)/(1+realdiscrt2)^(1-Half_Year)</f>
        <v>0.80373649310108508</v>
      </c>
      <c r="F402" s="1030">
        <f>NPV(realdiscrt1,D$386:D402)/(1+realdiscrt2)^(1-Half_Year)</f>
        <v>2.5192971081857796E-2</v>
      </c>
      <c r="G402" s="1019" t="str">
        <f t="shared" si="73"/>
        <v>2025-Summer Targeted Charge-17</v>
      </c>
    </row>
    <row r="403" spans="1:7" s="466" customFormat="1">
      <c r="A403" s="1015">
        <f t="shared" si="75"/>
        <v>18</v>
      </c>
      <c r="B403" s="1016">
        <f t="shared" si="74"/>
        <v>2042</v>
      </c>
      <c r="C403" s="1017">
        <f t="shared" si="71"/>
        <v>5.7876282002059298E-2</v>
      </c>
      <c r="D403" s="1485">
        <f t="shared" si="72"/>
        <v>0</v>
      </c>
      <c r="E403" s="1055">
        <f>NPV(realdiscrt1,C$386:C403)/(1+realdiscrt2)^(1-Half_Year)</f>
        <v>0.84878146904778129</v>
      </c>
      <c r="F403" s="1030">
        <f>NPV(realdiscrt1,D$386:D403)/(1+realdiscrt2)^(1-Half_Year)</f>
        <v>2.5192971081857796E-2</v>
      </c>
      <c r="G403" s="1019" t="str">
        <f t="shared" si="73"/>
        <v>2025-Summer Targeted Charge-18</v>
      </c>
    </row>
    <row r="404" spans="1:7" s="466" customFormat="1">
      <c r="A404" s="1015">
        <f t="shared" si="75"/>
        <v>19</v>
      </c>
      <c r="B404" s="1016">
        <f t="shared" si="74"/>
        <v>2043</v>
      </c>
      <c r="C404" s="1017">
        <f t="shared" si="71"/>
        <v>5.8587463189907887E-2</v>
      </c>
      <c r="D404" s="1485">
        <f t="shared" si="72"/>
        <v>0</v>
      </c>
      <c r="E404" s="1055">
        <f>NPV(realdiscrt1,C$386:C404)/(1+realdiscrt2)^(1-Half_Year)</f>
        <v>0.89376633333660072</v>
      </c>
      <c r="F404" s="1030">
        <f>NPV(realdiscrt1,D$386:D404)/(1+realdiscrt2)^(1-Half_Year)</f>
        <v>2.5192971081857796E-2</v>
      </c>
      <c r="G404" s="1019" t="str">
        <f t="shared" si="73"/>
        <v>2025-Summer Targeted Charge-19</v>
      </c>
    </row>
    <row r="405" spans="1:7" s="466" customFormat="1">
      <c r="A405" s="1015">
        <f t="shared" si="75"/>
        <v>20</v>
      </c>
      <c r="B405" s="1016">
        <f t="shared" si="74"/>
        <v>2044</v>
      </c>
      <c r="C405" s="1017">
        <f t="shared" si="71"/>
        <v>5.9360430410619426E-2</v>
      </c>
      <c r="D405" s="1485">
        <f t="shared" si="72"/>
        <v>0</v>
      </c>
      <c r="E405" s="1055">
        <f>NPV(realdiscrt1,C$386:C405)/(1+realdiscrt2)^(1-Half_Year)</f>
        <v>0.93873134888469267</v>
      </c>
      <c r="F405" s="1030">
        <f>NPV(realdiscrt1,D$386:D405)/(1+realdiscrt2)^(1-Half_Year)</f>
        <v>2.5192971081857796E-2</v>
      </c>
      <c r="G405" s="1019" t="str">
        <f t="shared" si="73"/>
        <v>2025-Summer Targeted Charge-20</v>
      </c>
    </row>
    <row r="406" spans="1:7" s="466" customFormat="1">
      <c r="A406" s="1015">
        <f t="shared" si="75"/>
        <v>21</v>
      </c>
      <c r="B406" s="1016">
        <f t="shared" si="74"/>
        <v>2045</v>
      </c>
      <c r="C406" s="1017">
        <f t="shared" si="71"/>
        <v>6.0190101791171333E-2</v>
      </c>
      <c r="D406" s="1485">
        <f t="shared" si="72"/>
        <v>0</v>
      </c>
      <c r="E406" s="1055">
        <f>NPV(realdiscrt1,C$386:C406)/(1+realdiscrt2)^(1-Half_Year)</f>
        <v>0.9837112783569274</v>
      </c>
      <c r="F406" s="1030">
        <f>NPV(realdiscrt1,D$386:D406)/(1+realdiscrt2)^(1-Half_Year)</f>
        <v>2.5192971081857796E-2</v>
      </c>
      <c r="G406" s="1019" t="str">
        <f t="shared" si="73"/>
        <v>2025-Summer Targeted Charge-21</v>
      </c>
    </row>
    <row r="407" spans="1:7" s="466" customFormat="1">
      <c r="A407" s="1015">
        <f t="shared" si="75"/>
        <v>22</v>
      </c>
      <c r="B407" s="1016">
        <f t="shared" si="74"/>
        <v>2046</v>
      </c>
      <c r="C407" s="1017">
        <f t="shared" si="71"/>
        <v>6.1072104590908831E-2</v>
      </c>
      <c r="D407" s="1485">
        <f t="shared" si="72"/>
        <v>0</v>
      </c>
      <c r="E407" s="1055">
        <f>NPV(realdiscrt1,C$386:C407)/(1+realdiscrt2)^(1-Half_Year)</f>
        <v>1.0287361583976125</v>
      </c>
      <c r="F407" s="1030">
        <f>NPV(realdiscrt1,D$386:D407)/(1+realdiscrt2)^(1-Half_Year)</f>
        <v>2.5192971081857796E-2</v>
      </c>
      <c r="G407" s="1019" t="str">
        <f t="shared" si="73"/>
        <v>2025-Summer Targeted Charge-22</v>
      </c>
    </row>
    <row r="408" spans="1:7" s="466" customFormat="1">
      <c r="A408" s="1015">
        <f t="shared" si="75"/>
        <v>23</v>
      </c>
      <c r="B408" s="1016">
        <f t="shared" si="74"/>
        <v>2047</v>
      </c>
      <c r="C408" s="1017">
        <f t="shared" si="71"/>
        <v>6.2002684816673301E-2</v>
      </c>
      <c r="D408" s="1485">
        <f t="shared" si="72"/>
        <v>0</v>
      </c>
      <c r="E408" s="1055">
        <f>NPV(realdiscrt1,C$386:C408)/(1+realdiscrt2)^(1-Half_Year)</f>
        <v>1.073831964998331</v>
      </c>
      <c r="F408" s="1030">
        <f>NPV(realdiscrt1,D$386:D408)/(1+realdiscrt2)^(1-Half_Year)</f>
        <v>2.5192971081857796E-2</v>
      </c>
      <c r="G408" s="1019" t="str">
        <f t="shared" si="73"/>
        <v>2025-Summer Targeted Charge-23</v>
      </c>
    </row>
    <row r="409" spans="1:7" s="466" customFormat="1">
      <c r="A409" s="1015">
        <f t="shared" si="75"/>
        <v>24</v>
      </c>
      <c r="B409" s="1016">
        <f t="shared" si="74"/>
        <v>2048</v>
      </c>
      <c r="C409" s="1017">
        <f t="shared" si="71"/>
        <v>6.2978628506877979E-2</v>
      </c>
      <c r="D409" s="1485">
        <f t="shared" si="72"/>
        <v>0</v>
      </c>
      <c r="E409" s="1055">
        <f>NPV(realdiscrt1,C$386:C409)/(1+realdiscrt2)^(1-Half_Year)</f>
        <v>1.119021185309738</v>
      </c>
      <c r="F409" s="1030">
        <f>NPV(realdiscrt1,D$386:D409)/(1+realdiscrt2)^(1-Half_Year)</f>
        <v>2.5192971081857796E-2</v>
      </c>
      <c r="G409" s="1019" t="str">
        <f t="shared" si="73"/>
        <v>2025-Summer Targeted Charge-24</v>
      </c>
    </row>
    <row r="410" spans="1:7" s="466" customFormat="1">
      <c r="A410" s="1015">
        <f t="shared" si="75"/>
        <v>25</v>
      </c>
      <c r="B410" s="1016">
        <f t="shared" si="74"/>
        <v>2049</v>
      </c>
      <c r="C410" s="1017">
        <f t="shared" si="71"/>
        <v>6.3997193180859127E-2</v>
      </c>
      <c r="D410" s="1485">
        <f t="shared" si="72"/>
        <v>0</v>
      </c>
      <c r="E410" s="1052">
        <f>NPV(realdiscrt1,C$386:C410)/(1+realdiscrt2)^(1-Half_Year)</f>
        <v>1.1643233090526481</v>
      </c>
      <c r="F410" s="1031">
        <f>NPV(realdiscrt1,D$386:D410)/(1+realdiscrt2)^(1-Half_Year)</f>
        <v>2.5192971081857796E-2</v>
      </c>
      <c r="G410" s="1019" t="str">
        <f t="shared" si="73"/>
        <v>2025-Summer Targeted Charge-25</v>
      </c>
    </row>
    <row r="411" spans="1:7" s="466" customFormat="1" ht="20.25">
      <c r="A411" s="975">
        <f>Year3</f>
        <v>2026</v>
      </c>
      <c r="B411" s="976" t="str">
        <f>Year3&amp;"$"</f>
        <v>2026$</v>
      </c>
      <c r="C411" s="1046"/>
      <c r="D411" s="1480" t="s">
        <v>993</v>
      </c>
      <c r="E411" s="1481">
        <f>A411</f>
        <v>2026</v>
      </c>
      <c r="F411" s="1481" t="s">
        <v>992</v>
      </c>
      <c r="G411" s="1047"/>
    </row>
    <row r="412" spans="1:7" s="466" customFormat="1">
      <c r="A412" s="1015">
        <v>1</v>
      </c>
      <c r="B412" s="1016">
        <f>Year3</f>
        <v>2026</v>
      </c>
      <c r="C412" s="1048">
        <f t="shared" ref="C412:C436" si="76">VLOOKUP($B412,$I$358:$N$390,C$12,FALSE)*(1+Inflation3)^(Year3-Real_Year)</f>
        <v>5.1242646978663958E-2</v>
      </c>
      <c r="D412" s="1487">
        <f t="shared" ref="D412:D436" si="77">VLOOKUP($B412-5,$I$358:$N$390,IF($A$17=Year1,D$12,D$12+1),FALSE)*(1+Inflation3)^(Year3-Real_Year)</f>
        <v>1.6356527970163631E-3</v>
      </c>
      <c r="E412" s="1053">
        <f>NPV(realdiscrt1,C$412:C412)/(1+realdiscrt3)^(2-Half_Year)</f>
        <v>4.9536066729049553E-2</v>
      </c>
      <c r="F412" s="1054">
        <f>NPV(realdiscrt1,D$412:D412)/(1+realdiscrt3)^(2-Half_Year)</f>
        <v>1.5811791715657313E-3</v>
      </c>
      <c r="G412" s="1019" t="str">
        <f t="shared" ref="G412:G436" si="78">$A$71&amp;"-"&amp;$A$353&amp;"-"&amp;A412</f>
        <v>2026-Summer Targeted Charge-1</v>
      </c>
    </row>
    <row r="413" spans="1:7" s="466" customFormat="1">
      <c r="A413" s="1015">
        <v>2</v>
      </c>
      <c r="B413" s="1016">
        <f t="shared" ref="B413:B436" si="79">B412+1</f>
        <v>2027</v>
      </c>
      <c r="C413" s="1049">
        <f t="shared" si="76"/>
        <v>5.1771646201379661E-2</v>
      </c>
      <c r="D413" s="1485">
        <f t="shared" si="77"/>
        <v>2.4134141002344414E-3</v>
      </c>
      <c r="E413" s="1055">
        <f>NPV(realdiscrt1,C$412:C413)/(1+realdiscrt3)^(2-Half_Year)</f>
        <v>9.8910022598402203E-2</v>
      </c>
      <c r="F413" s="1030">
        <f>NPV(realdiscrt1,D$412:D413)/(1+realdiscrt3)^(2-Half_Year)</f>
        <v>3.8828212869418751E-3</v>
      </c>
      <c r="G413" s="1019" t="str">
        <f t="shared" si="78"/>
        <v>2026-Summer Targeted Charge-2</v>
      </c>
    </row>
    <row r="414" spans="1:7" s="466" customFormat="1">
      <c r="A414" s="1015">
        <f t="shared" ref="A414:A436" si="80">A413+1</f>
        <v>3</v>
      </c>
      <c r="B414" s="1016">
        <f t="shared" si="79"/>
        <v>2028</v>
      </c>
      <c r="C414" s="1049">
        <f t="shared" si="76"/>
        <v>5.3104208803379904E-2</v>
      </c>
      <c r="D414" s="1485">
        <f t="shared" si="77"/>
        <v>2.7722339520942765E-3</v>
      </c>
      <c r="E414" s="1055">
        <f>NPV(realdiscrt1,C$412:C414)/(1+realdiscrt3)^(2-Half_Year)</f>
        <v>0.14887329535145766</v>
      </c>
      <c r="F414" s="1030">
        <f>NPV(realdiscrt1,D$412:D414)/(1+realdiscrt3)^(2-Half_Year)</f>
        <v>6.49108688782117E-3</v>
      </c>
      <c r="G414" s="1019" t="str">
        <f t="shared" si="78"/>
        <v>2026-Summer Targeted Charge-3</v>
      </c>
    </row>
    <row r="415" spans="1:7" s="466" customFormat="1">
      <c r="A415" s="1015">
        <f t="shared" si="80"/>
        <v>4</v>
      </c>
      <c r="B415" s="1016">
        <f t="shared" si="79"/>
        <v>2029</v>
      </c>
      <c r="C415" s="1049">
        <f t="shared" si="76"/>
        <v>5.4607600978524483E-2</v>
      </c>
      <c r="D415" s="1485">
        <f t="shared" si="77"/>
        <v>3.120806489367758E-3</v>
      </c>
      <c r="E415" s="1055">
        <f>NPV(realdiscrt1,C$412:C415)/(1+realdiscrt3)^(2-Half_Year)</f>
        <v>0.19955964542982374</v>
      </c>
      <c r="F415" s="1030">
        <f>NPV(realdiscrt1,D$412:D415)/(1+realdiscrt3)^(2-Half_Year)</f>
        <v>9.3877951740749307E-3</v>
      </c>
      <c r="G415" s="1019" t="str">
        <f t="shared" si="78"/>
        <v>2026-Summer Targeted Charge-4</v>
      </c>
    </row>
    <row r="416" spans="1:7" s="466" customFormat="1">
      <c r="A416" s="1015">
        <f t="shared" si="80"/>
        <v>5</v>
      </c>
      <c r="B416" s="1016">
        <f t="shared" si="79"/>
        <v>2030</v>
      </c>
      <c r="C416" s="1049">
        <f t="shared" si="76"/>
        <v>5.9132412500618799E-2</v>
      </c>
      <c r="D416" s="1485">
        <f t="shared" si="77"/>
        <v>3.1582511870273059E-3</v>
      </c>
      <c r="E416" s="1055">
        <f>NPV(realdiscrt1,C$412:C416)/(1+realdiscrt3)^(2-Half_Year)</f>
        <v>0.25370728193476255</v>
      </c>
      <c r="F416" s="1030">
        <f>NPV(realdiscrt1,D$412:D416)/(1+realdiscrt3)^(2-Half_Year)</f>
        <v>1.2279810399475321E-2</v>
      </c>
      <c r="G416" s="1019" t="str">
        <f t="shared" si="78"/>
        <v>2026-Summer Targeted Charge-5</v>
      </c>
    </row>
    <row r="417" spans="1:7" s="466" customFormat="1">
      <c r="A417" s="1015">
        <f t="shared" si="80"/>
        <v>6</v>
      </c>
      <c r="B417" s="1016">
        <f t="shared" si="79"/>
        <v>2031</v>
      </c>
      <c r="C417" s="1049">
        <f t="shared" si="76"/>
        <v>5.9888200278394033E-2</v>
      </c>
      <c r="D417" s="1485">
        <f t="shared" si="77"/>
        <v>3.1333209749141167E-3</v>
      </c>
      <c r="E417" s="1055">
        <f>NPV(realdiscrt1,C$412:C417)/(1+realdiscrt3)^(2-Half_Year)</f>
        <v>0.30780901220216461</v>
      </c>
      <c r="F417" s="1030">
        <f>NPV(realdiscrt1,D$412:D417)/(1+realdiscrt3)^(2-Half_Year)</f>
        <v>1.5110386129552053E-2</v>
      </c>
      <c r="G417" s="1019" t="str">
        <f t="shared" si="78"/>
        <v>2026-Summer Targeted Charge-6</v>
      </c>
    </row>
    <row r="418" spans="1:7" s="466" customFormat="1">
      <c r="A418" s="1015">
        <f t="shared" si="80"/>
        <v>7</v>
      </c>
      <c r="B418" s="1016">
        <f t="shared" si="79"/>
        <v>2032</v>
      </c>
      <c r="C418" s="1049">
        <f t="shared" si="76"/>
        <v>6.0334853995214217E-2</v>
      </c>
      <c r="D418" s="1485">
        <f t="shared" si="77"/>
        <v>3.08438648876122E-3</v>
      </c>
      <c r="E418" s="1055">
        <f>NPV(realdiscrt1,C$412:C418)/(1+realdiscrt3)^(2-Half_Year)</f>
        <v>0.36158075894325686</v>
      </c>
      <c r="F418" s="1030">
        <f>NPV(realdiscrt1,D$412:D418)/(1+realdiscrt3)^(2-Half_Year)</f>
        <v>1.7859259096717449E-2</v>
      </c>
      <c r="G418" s="1019" t="str">
        <f t="shared" si="78"/>
        <v>2026-Summer Targeted Charge-7</v>
      </c>
    </row>
    <row r="419" spans="1:7" s="466" customFormat="1">
      <c r="A419" s="1015">
        <f t="shared" si="80"/>
        <v>8</v>
      </c>
      <c r="B419" s="1016">
        <f t="shared" si="79"/>
        <v>2033</v>
      </c>
      <c r="C419" s="1049">
        <f t="shared" si="76"/>
        <v>5.6820809737602819E-2</v>
      </c>
      <c r="D419" s="1485">
        <f t="shared" si="77"/>
        <v>3.0256972503794645E-3</v>
      </c>
      <c r="E419" s="1055">
        <f>NPV(realdiscrt1,C$412:C419)/(1+realdiscrt3)^(2-Half_Year)</f>
        <v>0.41153924654961743</v>
      </c>
      <c r="F419" s="1030">
        <f>NPV(realdiscrt1,D$412:D419)/(1+realdiscrt3)^(2-Half_Year)</f>
        <v>2.0519539006168434E-2</v>
      </c>
      <c r="G419" s="1019" t="str">
        <f t="shared" si="78"/>
        <v>2026-Summer Targeted Charge-8</v>
      </c>
    </row>
    <row r="420" spans="1:7" s="466" customFormat="1">
      <c r="A420" s="1015">
        <f t="shared" si="80"/>
        <v>9</v>
      </c>
      <c r="B420" s="1016">
        <f t="shared" si="79"/>
        <v>2034</v>
      </c>
      <c r="C420" s="1049">
        <f t="shared" si="76"/>
        <v>5.8165464727590627E-2</v>
      </c>
      <c r="D420" s="1485">
        <f t="shared" si="77"/>
        <v>2.8353615461833323E-3</v>
      </c>
      <c r="E420" s="1055">
        <f>NPV(realdiscrt1,C$412:C420)/(1+realdiscrt3)^(2-Half_Year)</f>
        <v>0.46199178849022143</v>
      </c>
      <c r="F420" s="1030">
        <f>NPV(realdiscrt1,D$412:D420)/(1+realdiscrt3)^(2-Half_Year)</f>
        <v>2.2978922731469169E-2</v>
      </c>
      <c r="G420" s="1019" t="str">
        <f t="shared" si="78"/>
        <v>2026-Summer Targeted Charge-9</v>
      </c>
    </row>
    <row r="421" spans="1:7" s="466" customFormat="1">
      <c r="A421" s="1015">
        <f t="shared" si="80"/>
        <v>10</v>
      </c>
      <c r="B421" s="1016">
        <f t="shared" si="79"/>
        <v>2035</v>
      </c>
      <c r="C421" s="1049">
        <f t="shared" si="76"/>
        <v>5.8741036828036504E-2</v>
      </c>
      <c r="D421" s="1485">
        <f t="shared" si="77"/>
        <v>2.3709800783814588E-3</v>
      </c>
      <c r="E421" s="1055">
        <f>NPV(realdiscrt1,C$412:C421)/(1+realdiscrt3)^(2-Half_Year)</f>
        <v>0.51225791771040652</v>
      </c>
      <c r="F421" s="1030">
        <f>NPV(realdiscrt1,D$412:D421)/(1+realdiscrt3)^(2-Half_Year)</f>
        <v>2.5007827862090277E-2</v>
      </c>
      <c r="G421" s="1019" t="str">
        <f t="shared" si="78"/>
        <v>2026-Summer Targeted Charge-10</v>
      </c>
    </row>
    <row r="422" spans="1:7" s="466" customFormat="1">
      <c r="A422" s="1015">
        <f t="shared" si="80"/>
        <v>11</v>
      </c>
      <c r="B422" s="1016">
        <f t="shared" si="79"/>
        <v>2036</v>
      </c>
      <c r="C422" s="1049">
        <f t="shared" si="76"/>
        <v>5.8794856790390995E-2</v>
      </c>
      <c r="D422" s="1485">
        <f t="shared" si="77"/>
        <v>1.6724752647909167E-3</v>
      </c>
      <c r="E422" s="1055">
        <f>NPV(realdiscrt1,C$412:C422)/(1+realdiscrt3)^(2-Half_Year)</f>
        <v>0.56189304706120158</v>
      </c>
      <c r="F422" s="1030">
        <f>NPV(realdiscrt1,D$412:D422)/(1+realdiscrt3)^(2-Half_Year)</f>
        <v>2.6419746023569158E-2</v>
      </c>
      <c r="G422" s="1019" t="str">
        <f t="shared" si="78"/>
        <v>2026-Summer Targeted Charge-11</v>
      </c>
    </row>
    <row r="423" spans="1:7" s="466" customFormat="1">
      <c r="A423" s="1015">
        <f t="shared" si="80"/>
        <v>12</v>
      </c>
      <c r="B423" s="1016">
        <f t="shared" si="79"/>
        <v>2037</v>
      </c>
      <c r="C423" s="1049">
        <f t="shared" si="76"/>
        <v>5.8984939098792863E-2</v>
      </c>
      <c r="D423" s="1485">
        <f t="shared" si="77"/>
        <v>0</v>
      </c>
      <c r="E423" s="1055">
        <f>NPV(realdiscrt1,C$412:C423)/(1+realdiscrt3)^(2-Half_Year)</f>
        <v>0.6110185423680885</v>
      </c>
      <c r="F423" s="1030">
        <f>NPV(realdiscrt1,D$412:D423)/(1+realdiscrt3)^(2-Half_Year)</f>
        <v>2.6419746023569158E-2</v>
      </c>
      <c r="G423" s="1019" t="str">
        <f t="shared" si="78"/>
        <v>2026-Summer Targeted Charge-12</v>
      </c>
    </row>
    <row r="424" spans="1:7" s="466" customFormat="1">
      <c r="A424" s="1015">
        <f t="shared" si="80"/>
        <v>13</v>
      </c>
      <c r="B424" s="1016">
        <f t="shared" si="79"/>
        <v>2038</v>
      </c>
      <c r="C424" s="1049">
        <f t="shared" si="76"/>
        <v>5.9296409966671244E-2</v>
      </c>
      <c r="D424" s="1485">
        <f t="shared" si="77"/>
        <v>0</v>
      </c>
      <c r="E424" s="1055">
        <f>NPV(realdiscrt1,C$412:C424)/(1+realdiscrt3)^(2-Half_Year)</f>
        <v>0.65973886917597857</v>
      </c>
      <c r="F424" s="1030">
        <f>NPV(realdiscrt1,D$412:D424)/(1+realdiscrt3)^(2-Half_Year)</f>
        <v>2.6419746023569158E-2</v>
      </c>
      <c r="G424" s="1019" t="str">
        <f t="shared" si="78"/>
        <v>2026-Summer Targeted Charge-13</v>
      </c>
    </row>
    <row r="425" spans="1:7" s="466" customFormat="1">
      <c r="A425" s="1015">
        <f t="shared" si="80"/>
        <v>14</v>
      </c>
      <c r="B425" s="1016">
        <f t="shared" si="79"/>
        <v>2039</v>
      </c>
      <c r="C425" s="1049">
        <f t="shared" si="76"/>
        <v>5.9716363220319084E-2</v>
      </c>
      <c r="D425" s="1485">
        <f t="shared" si="77"/>
        <v>0</v>
      </c>
      <c r="E425" s="1055">
        <f>NPV(realdiscrt1,C$412:C425)/(1+realdiscrt3)^(2-Half_Year)</f>
        <v>0.70814397000882057</v>
      </c>
      <c r="F425" s="1030">
        <f>NPV(realdiscrt1,D$412:D425)/(1+realdiscrt3)^(2-Half_Year)</f>
        <v>2.6419746023569158E-2</v>
      </c>
      <c r="G425" s="1019" t="str">
        <f t="shared" si="78"/>
        <v>2026-Summer Targeted Charge-14</v>
      </c>
    </row>
    <row r="426" spans="1:7" s="466" customFormat="1">
      <c r="A426" s="1015">
        <f t="shared" si="80"/>
        <v>15</v>
      </c>
      <c r="B426" s="1016">
        <f t="shared" si="79"/>
        <v>2040</v>
      </c>
      <c r="C426" s="1049">
        <f t="shared" si="76"/>
        <v>6.0233607638431941E-2</v>
      </c>
      <c r="D426" s="1485">
        <f t="shared" si="77"/>
        <v>0</v>
      </c>
      <c r="E426" s="1055">
        <f>NPV(realdiscrt1,C$412:C426)/(1+realdiscrt3)^(2-Half_Year)</f>
        <v>0.75631130735684771</v>
      </c>
      <c r="F426" s="1030">
        <f>NPV(realdiscrt1,D$412:D426)/(1+realdiscrt3)^(2-Half_Year)</f>
        <v>2.6419746023569158E-2</v>
      </c>
      <c r="G426" s="1019" t="str">
        <f t="shared" si="78"/>
        <v>2026-Summer Targeted Charge-15</v>
      </c>
    </row>
    <row r="427" spans="1:7" s="466" customFormat="1">
      <c r="A427" s="1015">
        <f t="shared" si="80"/>
        <v>16</v>
      </c>
      <c r="B427" s="1016">
        <f t="shared" si="79"/>
        <v>2041</v>
      </c>
      <c r="C427" s="1049">
        <f t="shared" si="76"/>
        <v>6.0838446875294702E-2</v>
      </c>
      <c r="D427" s="1485">
        <f t="shared" si="77"/>
        <v>0</v>
      </c>
      <c r="E427" s="1055">
        <f>NPV(realdiscrt1,C$412:C427)/(1+realdiscrt3)^(2-Half_Year)</f>
        <v>0.80430761939494844</v>
      </c>
      <c r="F427" s="1030">
        <f>NPV(realdiscrt1,D$412:D427)/(1+realdiscrt3)^(2-Half_Year)</f>
        <v>2.6419746023569158E-2</v>
      </c>
      <c r="G427" s="1019" t="str">
        <f t="shared" si="78"/>
        <v>2026-Summer Targeted Charge-16</v>
      </c>
    </row>
    <row r="428" spans="1:7" s="466" customFormat="1">
      <c r="A428" s="1015">
        <f t="shared" si="80"/>
        <v>17</v>
      </c>
      <c r="B428" s="1016">
        <f t="shared" si="79"/>
        <v>2042</v>
      </c>
      <c r="C428" s="1049">
        <f t="shared" si="76"/>
        <v>6.1522487768189034E-2</v>
      </c>
      <c r="D428" s="1485">
        <f t="shared" si="77"/>
        <v>0</v>
      </c>
      <c r="E428" s="1055">
        <f>NPV(realdiscrt1,C$412:C428)/(1+realdiscrt3)^(2-Half_Year)</f>
        <v>0.85219042882628648</v>
      </c>
      <c r="F428" s="1030">
        <f>NPV(realdiscrt1,D$412:D428)/(1+realdiscrt3)^(2-Half_Year)</f>
        <v>2.6419746023569158E-2</v>
      </c>
      <c r="G428" s="1019" t="str">
        <f t="shared" si="78"/>
        <v>2026-Summer Targeted Charge-17</v>
      </c>
    </row>
    <row r="429" spans="1:7" s="466" customFormat="1">
      <c r="A429" s="1015">
        <f t="shared" si="80"/>
        <v>18</v>
      </c>
      <c r="B429" s="1016">
        <f t="shared" si="79"/>
        <v>2043</v>
      </c>
      <c r="C429" s="1049">
        <f t="shared" si="76"/>
        <v>6.2278473370872084E-2</v>
      </c>
      <c r="D429" s="1485">
        <f t="shared" si="77"/>
        <v>0</v>
      </c>
      <c r="E429" s="1055">
        <f>NPV(realdiscrt1,C$412:C429)/(1+realdiscrt3)^(2-Half_Year)</f>
        <v>0.9000093395653016</v>
      </c>
      <c r="F429" s="1030">
        <f>NPV(realdiscrt1,D$412:D429)/(1+realdiscrt3)^(2-Half_Year)</f>
        <v>2.6419746023569158E-2</v>
      </c>
      <c r="G429" s="1019" t="str">
        <f t="shared" si="78"/>
        <v>2026-Summer Targeted Charge-18</v>
      </c>
    </row>
    <row r="430" spans="1:7" s="466" customFormat="1">
      <c r="A430" s="1015">
        <f t="shared" si="80"/>
        <v>19</v>
      </c>
      <c r="B430" s="1016">
        <f t="shared" si="79"/>
        <v>2044</v>
      </c>
      <c r="C430" s="1049">
        <f t="shared" si="76"/>
        <v>6.3100137526488451E-2</v>
      </c>
      <c r="D430" s="1485">
        <f t="shared" si="77"/>
        <v>0</v>
      </c>
      <c r="E430" s="1055">
        <f>NPV(realdiscrt1,C$412:C430)/(1+realdiscrt3)^(2-Half_Year)</f>
        <v>0.94780715109292335</v>
      </c>
      <c r="F430" s="1030">
        <f>NPV(realdiscrt1,D$412:D430)/(1+realdiscrt3)^(2-Half_Year)</f>
        <v>2.6419746023569158E-2</v>
      </c>
      <c r="G430" s="1019" t="str">
        <f t="shared" si="78"/>
        <v>2026-Summer Targeted Charge-19</v>
      </c>
    </row>
    <row r="431" spans="1:7" s="466" customFormat="1">
      <c r="A431" s="1015">
        <f t="shared" si="80"/>
        <v>20</v>
      </c>
      <c r="B431" s="1016">
        <f t="shared" si="79"/>
        <v>2045</v>
      </c>
      <c r="C431" s="1049">
        <f t="shared" si="76"/>
        <v>6.3982078204015122E-2</v>
      </c>
      <c r="D431" s="1485">
        <f t="shared" si="77"/>
        <v>0</v>
      </c>
      <c r="E431" s="1055">
        <f>NPV(realdiscrt1,C$412:C431)/(1+realdiscrt3)^(2-Half_Year)</f>
        <v>0.99562081612190878</v>
      </c>
      <c r="F431" s="1030">
        <f>NPV(realdiscrt1,D$412:D431)/(1+realdiscrt3)^(2-Half_Year)</f>
        <v>2.6419746023569158E-2</v>
      </c>
      <c r="G431" s="1019" t="str">
        <f t="shared" si="78"/>
        <v>2026-Summer Targeted Charge-20</v>
      </c>
    </row>
    <row r="432" spans="1:7" s="466" customFormat="1">
      <c r="A432" s="1015">
        <f t="shared" si="80"/>
        <v>21</v>
      </c>
      <c r="B432" s="1016">
        <f t="shared" si="79"/>
        <v>2046</v>
      </c>
      <c r="C432" s="1049">
        <f t="shared" si="76"/>
        <v>6.4919647180136084E-2</v>
      </c>
      <c r="D432" s="1485">
        <f t="shared" si="77"/>
        <v>0</v>
      </c>
      <c r="E432" s="1055">
        <f>NPV(realdiscrt1,C$412:C432)/(1+realdiscrt3)^(2-Half_Year)</f>
        <v>1.0434822636051571</v>
      </c>
      <c r="F432" s="1030">
        <f>NPV(realdiscrt1,D$412:D432)/(1+realdiscrt3)^(2-Half_Year)</f>
        <v>2.6419746023569158E-2</v>
      </c>
      <c r="G432" s="1019" t="str">
        <f t="shared" si="78"/>
        <v>2026-Summer Targeted Charge-21</v>
      </c>
    </row>
    <row r="433" spans="1:17" s="466" customFormat="1">
      <c r="A433" s="1015">
        <f t="shared" si="80"/>
        <v>22</v>
      </c>
      <c r="B433" s="1016">
        <f t="shared" si="79"/>
        <v>2047</v>
      </c>
      <c r="C433" s="1049">
        <f t="shared" si="76"/>
        <v>6.590885396012372E-2</v>
      </c>
      <c r="D433" s="1485">
        <f t="shared" si="77"/>
        <v>0</v>
      </c>
      <c r="E433" s="1055">
        <f>NPV(realdiscrt1,C$412:C433)/(1+realdiscrt3)^(2-Half_Year)</f>
        <v>1.0914191060217211</v>
      </c>
      <c r="F433" s="1030">
        <f>NPV(realdiscrt1,D$412:D433)/(1+realdiscrt3)^(2-Half_Year)</f>
        <v>2.6419746023569158E-2</v>
      </c>
      <c r="G433" s="1019" t="str">
        <f t="shared" si="78"/>
        <v>2026-Summer Targeted Charge-22</v>
      </c>
    </row>
    <row r="434" spans="1:17" s="466" customFormat="1">
      <c r="A434" s="1015">
        <f t="shared" si="80"/>
        <v>23</v>
      </c>
      <c r="B434" s="1016">
        <f t="shared" si="79"/>
        <v>2048</v>
      </c>
      <c r="C434" s="1049">
        <f t="shared" si="76"/>
        <v>6.6946282102811283E-2</v>
      </c>
      <c r="D434" s="1485">
        <f t="shared" si="77"/>
        <v>0</v>
      </c>
      <c r="E434" s="1055">
        <f>NPV(realdiscrt1,C$412:C434)/(1+realdiscrt3)^(2-Half_Year)</f>
        <v>1.1394552472127466</v>
      </c>
      <c r="F434" s="1030">
        <f>NPV(realdiscrt1,D$412:D434)/(1+realdiscrt3)^(2-Half_Year)</f>
        <v>2.6419746023569158E-2</v>
      </c>
      <c r="G434" s="1019" t="str">
        <f t="shared" si="78"/>
        <v>2026-Summer Targeted Charge-23</v>
      </c>
    </row>
    <row r="435" spans="1:17" s="466" customFormat="1">
      <c r="A435" s="1015">
        <f t="shared" si="80"/>
        <v>24</v>
      </c>
      <c r="B435" s="1016">
        <f t="shared" si="79"/>
        <v>2049</v>
      </c>
      <c r="C435" s="1049">
        <f t="shared" si="76"/>
        <v>6.8029016351253246E-2</v>
      </c>
      <c r="D435" s="1485">
        <f t="shared" si="77"/>
        <v>0</v>
      </c>
      <c r="E435" s="1055">
        <f>NPV(realdiscrt1,C$412:C435)/(1+realdiscrt3)^(2-Half_Year)</f>
        <v>1.1876114047514599</v>
      </c>
      <c r="F435" s="1030">
        <f>NPV(realdiscrt1,D$412:D435)/(1+realdiscrt3)^(2-Half_Year)</f>
        <v>2.6419746023569158E-2</v>
      </c>
      <c r="G435" s="1019" t="str">
        <f t="shared" si="78"/>
        <v>2026-Summer Targeted Charge-24</v>
      </c>
    </row>
    <row r="436" spans="1:17" s="466" customFormat="1">
      <c r="A436" s="1039">
        <f t="shared" si="80"/>
        <v>25</v>
      </c>
      <c r="B436" s="1051">
        <f t="shared" si="79"/>
        <v>2050</v>
      </c>
      <c r="C436" s="1050">
        <f t="shared" si="76"/>
        <v>6.915457917669815E-2</v>
      </c>
      <c r="D436" s="1488">
        <f t="shared" si="77"/>
        <v>0</v>
      </c>
      <c r="E436" s="1052">
        <f>NPV(realdiscrt1,C$412:C436)/(1+realdiscrt3)^(2-Half_Year)</f>
        <v>1.235905558864957</v>
      </c>
      <c r="F436" s="1031">
        <f>NPV(realdiscrt1,D$412:D436)/(1+realdiscrt3)^(2-Half_Year)</f>
        <v>2.6419746023569158E-2</v>
      </c>
      <c r="G436" s="1032" t="str">
        <f t="shared" si="78"/>
        <v>2026-Summer Targeted Charge-25</v>
      </c>
    </row>
    <row r="437" spans="1:17">
      <c r="H437" s="466"/>
      <c r="I437" s="466"/>
      <c r="J437" s="466"/>
      <c r="K437" s="466"/>
      <c r="L437" s="466"/>
      <c r="M437" s="466"/>
      <c r="N437" s="466"/>
      <c r="O437" s="466"/>
      <c r="P437" s="466"/>
      <c r="Q437" s="466"/>
    </row>
    <row r="438" spans="1:17" ht="23.25">
      <c r="A438" s="1735" t="str">
        <f>A9</f>
        <v>Top 20 Winter Hours</v>
      </c>
      <c r="B438" s="1736"/>
      <c r="C438" s="1736"/>
      <c r="D438" s="1736"/>
      <c r="E438" s="1736"/>
      <c r="F438" s="1736"/>
      <c r="G438" s="1736"/>
      <c r="H438" s="1736"/>
      <c r="I438" s="1736"/>
      <c r="J438" s="1736"/>
      <c r="K438" s="1736"/>
      <c r="L438" s="1736"/>
      <c r="M438" s="1736"/>
      <c r="N438" s="1737"/>
      <c r="O438" s="466"/>
      <c r="P438" s="466"/>
      <c r="Q438" s="466"/>
    </row>
    <row r="439" spans="1:17" s="466" customFormat="1" ht="15">
      <c r="A439" s="1738" t="s">
        <v>564</v>
      </c>
      <c r="B439" s="1739"/>
      <c r="C439" s="1056" t="s">
        <v>865</v>
      </c>
      <c r="D439" s="1057" t="s">
        <v>61</v>
      </c>
      <c r="E439" s="1056" t="s">
        <v>865</v>
      </c>
      <c r="F439" s="1056" t="s">
        <v>61</v>
      </c>
      <c r="G439" s="1058" t="s">
        <v>667</v>
      </c>
      <c r="I439" s="1731" t="s">
        <v>74</v>
      </c>
      <c r="J439" s="997" t="s">
        <v>861</v>
      </c>
      <c r="K439" s="997" t="s">
        <v>862</v>
      </c>
      <c r="L439" s="1320" t="s">
        <v>957</v>
      </c>
      <c r="M439" s="998" t="s">
        <v>863</v>
      </c>
      <c r="N439" s="1732" t="s">
        <v>864</v>
      </c>
    </row>
    <row r="440" spans="1:17" s="996" customFormat="1" ht="15" customHeight="1">
      <c r="A440" s="999"/>
      <c r="B440" s="1000"/>
      <c r="C440" s="1001" t="s">
        <v>69</v>
      </c>
      <c r="D440" s="1002" t="s">
        <v>69</v>
      </c>
      <c r="E440" s="1001" t="s">
        <v>69</v>
      </c>
      <c r="F440" s="1001" t="s">
        <v>69</v>
      </c>
      <c r="G440" s="1003"/>
      <c r="H440" s="979"/>
      <c r="I440" s="1731"/>
      <c r="J440" s="1004" t="s">
        <v>866</v>
      </c>
      <c r="K440" s="1004" t="s">
        <v>866</v>
      </c>
      <c r="L440" s="1005" t="s">
        <v>866</v>
      </c>
      <c r="M440" s="1005" t="s">
        <v>866</v>
      </c>
      <c r="N440" s="1732"/>
      <c r="O440" s="466"/>
      <c r="P440" s="466"/>
      <c r="Q440" s="466"/>
    </row>
    <row r="441" spans="1:17" s="1033" customFormat="1" ht="20.25">
      <c r="A441" s="1041" t="s">
        <v>571</v>
      </c>
      <c r="B441" s="1042"/>
      <c r="C441" s="1043"/>
      <c r="D441" s="1044"/>
      <c r="E441" s="1045" t="s">
        <v>604</v>
      </c>
      <c r="F441" s="973"/>
      <c r="G441" s="974"/>
      <c r="H441" s="979"/>
      <c r="I441" s="1740"/>
      <c r="J441" s="1036" t="s">
        <v>69</v>
      </c>
      <c r="K441" s="1036" t="s">
        <v>69</v>
      </c>
      <c r="L441" s="1007" t="s">
        <v>69</v>
      </c>
      <c r="M441" s="1037" t="s">
        <v>69</v>
      </c>
      <c r="N441" s="1741"/>
      <c r="O441" s="466"/>
      <c r="P441" s="466"/>
      <c r="Q441" s="466"/>
    </row>
    <row r="442" spans="1:17" s="466" customFormat="1" ht="18">
      <c r="A442" s="975">
        <f>Year1</f>
        <v>2024</v>
      </c>
      <c r="B442" s="976" t="str">
        <f>Year1&amp;"$"</f>
        <v>2024$</v>
      </c>
      <c r="C442" s="1008"/>
      <c r="D442" s="1480" t="s">
        <v>993</v>
      </c>
      <c r="E442" s="1481">
        <f>A442</f>
        <v>2024</v>
      </c>
      <c r="F442" s="1481" t="s">
        <v>992</v>
      </c>
      <c r="G442" s="1009"/>
      <c r="I442" s="1011" t="s">
        <v>956</v>
      </c>
      <c r="J442" s="1012"/>
      <c r="K442" s="1012"/>
      <c r="L442" s="1012"/>
      <c r="M442" s="1013"/>
      <c r="N442" s="1014"/>
    </row>
    <row r="443" spans="1:17" s="466" customFormat="1">
      <c r="A443" s="1015">
        <v>1</v>
      </c>
      <c r="B443" s="1016">
        <f>Year1</f>
        <v>2024</v>
      </c>
      <c r="C443" s="1017">
        <f t="shared" ref="C443:C469" si="81">VLOOKUP($B443,$I$443:$N$475,C$12,FALSE)*(1+Inflation1)^(Year1-Real_Year)</f>
        <v>9.5438421047575661E-2</v>
      </c>
      <c r="D443" s="1485">
        <f t="shared" ref="D443:D469" si="82">VLOOKUP($B443-3,$I$443:$N$475,IF($A$17=Year1,D$12,D$12+1),FALSE)*(1+Inflation1)^(Year1-Real_Year)</f>
        <v>9.0770102692217421E-3</v>
      </c>
      <c r="E443" s="1053">
        <f>NPV(realdiscrt1,C$443:C443)/(1+realdiscrt1)^-Half_Year</f>
        <v>9.4794084915435312E-2</v>
      </c>
      <c r="F443" s="1054">
        <f>NPV(realdiscrt1,D$443:D443)/(1+realdiscrt1)^-Half_Year</f>
        <v>9.0157283910842871E-3</v>
      </c>
      <c r="G443" s="1019" t="str">
        <f t="shared" ref="G443:G469" si="83">$A$17&amp;"-"&amp;$A$438&amp;"-"&amp;A443</f>
        <v>2024-Top 20 Winter Hours-1</v>
      </c>
      <c r="H443" s="996"/>
      <c r="I443" s="1020">
        <v>2018</v>
      </c>
      <c r="J443" s="1325">
        <f t="shared" ref="J443:J475" si="84">(K443+$N443)*(1+WholesaleRiskPremium)</f>
        <v>0</v>
      </c>
      <c r="K443" s="1323"/>
      <c r="L443" s="1324"/>
      <c r="M443" s="1324"/>
      <c r="N443" s="1322">
        <f>INDEX(AESC!$H$184:$H$216,MATCH(I443,AESC!$B$184:$B$216,0))</f>
        <v>0</v>
      </c>
    </row>
    <row r="444" spans="1:17" s="466" customFormat="1">
      <c r="A444" s="1015">
        <v>2</v>
      </c>
      <c r="B444" s="1016">
        <f t="shared" ref="B444:B469" si="85">B443+1</f>
        <v>2025</v>
      </c>
      <c r="C444" s="1017">
        <f t="shared" si="81"/>
        <v>9.7552105579370593E-2</v>
      </c>
      <c r="D444" s="1485">
        <f t="shared" si="82"/>
        <v>1.7842145421979302E-2</v>
      </c>
      <c r="E444" s="1055">
        <f>NPV(realdiscrt1,C$443:C444)/(1+realdiscrt1)^-Half_Year</f>
        <v>0.19038368094562572</v>
      </c>
      <c r="F444" s="1030">
        <f>NPV(realdiscrt1,D$443:D444)/(1+realdiscrt1)^-Half_Year</f>
        <v>2.649893352612118E-2</v>
      </c>
      <c r="G444" s="1019" t="str">
        <f t="shared" si="83"/>
        <v>2024-Top 20 Winter Hours-2</v>
      </c>
      <c r="H444" s="1033"/>
      <c r="I444" s="1020">
        <v>2019</v>
      </c>
      <c r="J444" s="1319">
        <f t="shared" si="84"/>
        <v>0</v>
      </c>
      <c r="K444" s="1323"/>
      <c r="L444" s="1324"/>
      <c r="M444" s="1324"/>
      <c r="N444" s="1321">
        <f>INDEX(AESC!$H$184:$H$216,MATCH(I444,AESC!$B$184:$B$216,0))</f>
        <v>0</v>
      </c>
    </row>
    <row r="445" spans="1:17" s="466" customFormat="1">
      <c r="A445" s="1015">
        <f t="shared" ref="A445:A469" si="86">A444+1</f>
        <v>3</v>
      </c>
      <c r="B445" s="1016">
        <f t="shared" si="85"/>
        <v>2026</v>
      </c>
      <c r="C445" s="1017">
        <f t="shared" si="81"/>
        <v>9.7092540579981304E-2</v>
      </c>
      <c r="D445" s="1485">
        <f t="shared" si="82"/>
        <v>2.1128208060442234E-2</v>
      </c>
      <c r="E445" s="1055">
        <f>NPV(realdiscrt1,C$443:C445)/(1+realdiscrt1)^-Half_Year</f>
        <v>0.28424266077282873</v>
      </c>
      <c r="F445" s="1030">
        <f>NPV(realdiscrt1,D$443:D445)/(1+realdiscrt1)^-Half_Year</f>
        <v>4.692348975138972E-2</v>
      </c>
      <c r="G445" s="1019" t="str">
        <f t="shared" si="83"/>
        <v>2024-Top 20 Winter Hours-3</v>
      </c>
      <c r="I445" s="1020">
        <v>2020</v>
      </c>
      <c r="J445" s="1319">
        <f t="shared" si="84"/>
        <v>0</v>
      </c>
      <c r="K445" s="1323"/>
      <c r="L445" s="1324"/>
      <c r="M445" s="1324"/>
      <c r="N445" s="1321">
        <f>INDEX(AESC!$H$184:$H$216,MATCH(I445,AESC!$B$184:$B$216,0))</f>
        <v>0</v>
      </c>
    </row>
    <row r="446" spans="1:17" s="466" customFormat="1">
      <c r="A446" s="1015">
        <f t="shared" si="86"/>
        <v>4</v>
      </c>
      <c r="B446" s="1016">
        <f t="shared" si="85"/>
        <v>2027</v>
      </c>
      <c r="C446" s="1017">
        <f t="shared" si="81"/>
        <v>9.7233799417996689E-2</v>
      </c>
      <c r="D446" s="1485">
        <f t="shared" si="82"/>
        <v>2.1759940477260216E-2</v>
      </c>
      <c r="E446" s="1055">
        <f>NPV(realdiscrt1,C$443:C446)/(1+realdiscrt1)^-Half_Year</f>
        <v>0.37697328986659162</v>
      </c>
      <c r="F446" s="1030">
        <f>NPV(realdiscrt1,D$443:D446)/(1+realdiscrt1)^-Half_Year</f>
        <v>6.7675666274131907E-2</v>
      </c>
      <c r="G446" s="1019" t="str">
        <f t="shared" si="83"/>
        <v>2024-Top 20 Winter Hours-4</v>
      </c>
      <c r="I446" s="1020">
        <v>2021</v>
      </c>
      <c r="J446" s="1021">
        <f t="shared" si="84"/>
        <v>7.0561164358035416E-2</v>
      </c>
      <c r="K446" s="1022">
        <v>5.3655173997884935E-2</v>
      </c>
      <c r="L446" s="1023">
        <v>7.5568888280615858E-3</v>
      </c>
      <c r="M446" s="1023"/>
      <c r="N446" s="1024">
        <f>INDEX(AESC!$H$184:$H$216,MATCH(I446,AESC!$B$184:$B$216,0))</f>
        <v>1.1679237444740446E-2</v>
      </c>
    </row>
    <row r="447" spans="1:17" s="466" customFormat="1">
      <c r="A447" s="1015">
        <f t="shared" si="86"/>
        <v>5</v>
      </c>
      <c r="B447" s="1016">
        <f t="shared" si="85"/>
        <v>2028</v>
      </c>
      <c r="C447" s="1017">
        <f t="shared" si="81"/>
        <v>9.7683406867576483E-2</v>
      </c>
      <c r="D447" s="1485">
        <f t="shared" si="82"/>
        <v>2.2528402960284341E-2</v>
      </c>
      <c r="E447" s="1055">
        <f>NPV(realdiscrt1,C$443:C447)/(1+realdiscrt1)^-Half_Year</f>
        <v>0.46887905045974787</v>
      </c>
      <c r="F447" s="1030">
        <f>NPV(realdiscrt1,D$443:D447)/(1+realdiscrt1)^-Half_Year</f>
        <v>8.8871589670015141E-2</v>
      </c>
      <c r="G447" s="1019" t="str">
        <f t="shared" si="83"/>
        <v>2024-Top 20 Winter Hours-5</v>
      </c>
      <c r="I447" s="1020">
        <v>2022</v>
      </c>
      <c r="J447" s="1021">
        <f t="shared" si="84"/>
        <v>8.0343126714938762E-2</v>
      </c>
      <c r="K447" s="1022">
        <v>6.3483928664649622E-2</v>
      </c>
      <c r="L447" s="1023">
        <v>1.4854132077517844E-2</v>
      </c>
      <c r="M447" s="1023"/>
      <c r="N447" s="1024">
        <f>INDEX(AESC!$H$184:$H$216,MATCH(I447,AESC!$B$184:$B$216,0))</f>
        <v>1.0907855330664046E-2</v>
      </c>
    </row>
    <row r="448" spans="1:17">
      <c r="A448" s="1015">
        <f t="shared" si="86"/>
        <v>6</v>
      </c>
      <c r="B448" s="1016">
        <f t="shared" si="85"/>
        <v>2029</v>
      </c>
      <c r="C448" s="1017">
        <f t="shared" si="81"/>
        <v>0.10114214797589893</v>
      </c>
      <c r="D448" s="1485">
        <f t="shared" si="82"/>
        <v>2.1307315823093406E-2</v>
      </c>
      <c r="E448" s="1055">
        <f>NPV(realdiscrt1,C$443:C448)/(1+realdiscrt1)^-Half_Year</f>
        <v>0.56275840476429662</v>
      </c>
      <c r="F448" s="1030">
        <f>NPV(realdiscrt1,D$443:D448)/(1+realdiscrt1)^-Half_Year</f>
        <v>0.1086488743279577</v>
      </c>
      <c r="G448" s="1019" t="str">
        <f t="shared" si="83"/>
        <v>2024-Top 20 Winter Hours-6</v>
      </c>
      <c r="H448" s="466"/>
      <c r="I448" s="1020">
        <v>2023</v>
      </c>
      <c r="J448" s="1021">
        <f t="shared" si="84"/>
        <v>7.8176704512079004E-2</v>
      </c>
      <c r="K448" s="1022">
        <v>6.1500807395473561E-2</v>
      </c>
      <c r="L448" s="1023">
        <v>1.7589879785671555E-2</v>
      </c>
      <c r="M448" s="1023"/>
      <c r="N448" s="1024">
        <f>INDEX(AESC!$H$184:$H$216,MATCH(I448,AESC!$B$184:$B$216,0))</f>
        <v>1.0885030115710697E-2</v>
      </c>
    </row>
    <row r="449" spans="1:14" s="466" customFormat="1">
      <c r="A449" s="1015">
        <f t="shared" si="86"/>
        <v>7</v>
      </c>
      <c r="B449" s="1016">
        <f t="shared" si="85"/>
        <v>2030</v>
      </c>
      <c r="C449" s="1017">
        <f t="shared" si="81"/>
        <v>0.10575321913156302</v>
      </c>
      <c r="D449" s="1485">
        <f t="shared" si="82"/>
        <v>2.0571187573780091E-2</v>
      </c>
      <c r="E449" s="1055">
        <f>NPV(realdiscrt1,C$443:C449)/(1+realdiscrt1)^-Half_Year</f>
        <v>0.6595967820028894</v>
      </c>
      <c r="F449" s="1030">
        <f>NPV(realdiscrt1,D$443:D449)/(1+realdiscrt1)^-Half_Year</f>
        <v>0.12748594083878712</v>
      </c>
      <c r="G449" s="1019" t="str">
        <f t="shared" si="83"/>
        <v>2024-Top 20 Winter Hours-7</v>
      </c>
      <c r="I449" s="1020">
        <v>2024</v>
      </c>
      <c r="J449" s="1021">
        <f t="shared" si="84"/>
        <v>7.9455406173524021E-2</v>
      </c>
      <c r="K449" s="1022">
        <v>6.4775739501046634E-2</v>
      </c>
      <c r="L449" s="1023">
        <v>1.8115816355244861E-2</v>
      </c>
      <c r="M449" s="1023"/>
      <c r="N449" s="1024">
        <f>INDEX(AESC!$H$184:$H$216,MATCH(I449,AESC!$B$184:$B$216,0))</f>
        <v>8.7940810299941326E-3</v>
      </c>
    </row>
    <row r="450" spans="1:14" s="996" customFormat="1" ht="15" customHeight="1">
      <c r="A450" s="1015">
        <f t="shared" si="86"/>
        <v>8</v>
      </c>
      <c r="B450" s="1016">
        <f t="shared" si="85"/>
        <v>2031</v>
      </c>
      <c r="C450" s="1017">
        <f t="shared" si="81"/>
        <v>0.10814068074221352</v>
      </c>
      <c r="D450" s="1485">
        <f t="shared" si="82"/>
        <v>1.9503578652772541E-2</v>
      </c>
      <c r="E450" s="1055">
        <f>NPV(realdiscrt1,C$443:C450)/(1+realdiscrt1)^-Half_Year</f>
        <v>0.75728877997998023</v>
      </c>
      <c r="F450" s="1030">
        <f>NPV(realdiscrt1,D$443:D450)/(1+realdiscrt1)^-Half_Year</f>
        <v>0.14510506024154601</v>
      </c>
      <c r="G450" s="1019" t="str">
        <f t="shared" si="83"/>
        <v>2024-Top 20 Winter Hours-8</v>
      </c>
      <c r="H450" s="466"/>
      <c r="I450" s="1020">
        <v>2025</v>
      </c>
      <c r="J450" s="1021">
        <f t="shared" si="84"/>
        <v>8.1215113230210786E-2</v>
      </c>
      <c r="K450" s="1022">
        <v>6.8276136406796181E-2</v>
      </c>
      <c r="L450" s="1023">
        <v>1.8755584889212532E-2</v>
      </c>
      <c r="M450" s="1023"/>
      <c r="N450" s="1024">
        <f>INDEX(AESC!$H$184:$H$216,MATCH(I450,AESC!$B$184:$B$216,0))</f>
        <v>6.923042510065645E-3</v>
      </c>
    </row>
    <row r="451" spans="1:14" s="466" customFormat="1">
      <c r="A451" s="1015">
        <f t="shared" si="86"/>
        <v>9</v>
      </c>
      <c r="B451" s="1016">
        <f t="shared" si="85"/>
        <v>2032</v>
      </c>
      <c r="C451" s="1017">
        <f t="shared" si="81"/>
        <v>0.10889484667206116</v>
      </c>
      <c r="D451" s="1485">
        <f t="shared" si="82"/>
        <v>1.8288477199398488E-2</v>
      </c>
      <c r="E451" s="1055">
        <f>NPV(realdiscrt1,C$443:C451)/(1+realdiscrt1)^-Half_Year</f>
        <v>0.85433825849739908</v>
      </c>
      <c r="F451" s="1030">
        <f>NPV(realdiscrt1,D$443:D451)/(1+realdiscrt1)^-Half_Year</f>
        <v>0.16140415270846903</v>
      </c>
      <c r="G451" s="1019" t="str">
        <f t="shared" si="83"/>
        <v>2024-Top 20 Winter Hours-9</v>
      </c>
      <c r="H451" s="979"/>
      <c r="I451" s="1020">
        <v>2026</v>
      </c>
      <c r="J451" s="1021">
        <f t="shared" si="84"/>
        <v>8.0832511304395088E-2</v>
      </c>
      <c r="K451" s="1022">
        <v>6.8378440787294922E-2</v>
      </c>
      <c r="L451" s="1023">
        <v>1.773899247921859E-2</v>
      </c>
      <c r="M451" s="1023"/>
      <c r="N451" s="1024">
        <f>INDEX(AESC!$H$184:$H$216,MATCH(I451,AESC!$B$184:$B$216,0))</f>
        <v>6.4664770871449753E-3</v>
      </c>
    </row>
    <row r="452" spans="1:14" s="466" customFormat="1">
      <c r="A452" s="1015">
        <f t="shared" si="86"/>
        <v>10</v>
      </c>
      <c r="B452" s="1016">
        <f t="shared" si="85"/>
        <v>2033</v>
      </c>
      <c r="C452" s="1017">
        <f t="shared" si="81"/>
        <v>0.10460482786287259</v>
      </c>
      <c r="D452" s="1485">
        <f t="shared" si="82"/>
        <v>1.5306778945659278E-2</v>
      </c>
      <c r="E452" s="1055">
        <f>NPV(realdiscrt1,C$443:C452)/(1+realdiscrt1)^-Half_Year</f>
        <v>0.94630982702107691</v>
      </c>
      <c r="F452" s="1030">
        <f>NPV(realdiscrt1,D$443:D452)/(1+realdiscrt1)^-Half_Year</f>
        <v>0.17486231231199109</v>
      </c>
      <c r="G452" s="1019" t="str">
        <f t="shared" si="83"/>
        <v>2024-Top 20 Winter Hours-10</v>
      </c>
      <c r="I452" s="1020">
        <v>2027</v>
      </c>
      <c r="J452" s="1021">
        <f t="shared" si="84"/>
        <v>8.095011360991225E-2</v>
      </c>
      <c r="K452" s="1022">
        <v>6.8868076558535232E-2</v>
      </c>
      <c r="L452" s="1023">
        <v>1.7126143184322588E-2</v>
      </c>
      <c r="M452" s="1023"/>
      <c r="N452" s="1024">
        <f>INDEX(AESC!$H$184:$H$216,MATCH(I452,AESC!$B$184:$B$216,0))</f>
        <v>6.0857323395316605E-3</v>
      </c>
    </row>
    <row r="453" spans="1:14" s="466" customFormat="1">
      <c r="A453" s="1015">
        <f t="shared" si="86"/>
        <v>11</v>
      </c>
      <c r="B453" s="1016">
        <f t="shared" si="85"/>
        <v>2034</v>
      </c>
      <c r="C453" s="1017">
        <f t="shared" si="81"/>
        <v>0.10912530911430583</v>
      </c>
      <c r="D453" s="1485">
        <f t="shared" si="82"/>
        <v>1.1077788428520686E-2</v>
      </c>
      <c r="E453" s="1055">
        <f>NPV(realdiscrt1,C$443:C453)/(1+realdiscrt1)^-Half_Year</f>
        <v>1.0409647783853579</v>
      </c>
      <c r="F453" s="1030">
        <f>NPV(realdiscrt1,D$443:D453)/(1+realdiscrt1)^-Half_Year</f>
        <v>0.18447115130118535</v>
      </c>
      <c r="G453" s="1019" t="str">
        <f t="shared" si="83"/>
        <v>2024-Top 20 Winter Hours-11</v>
      </c>
      <c r="H453" s="996"/>
      <c r="I453" s="1020">
        <v>2028</v>
      </c>
      <c r="J453" s="1021">
        <f t="shared" si="84"/>
        <v>8.1324425570785924E-2</v>
      </c>
      <c r="K453" s="1022">
        <v>6.9669530849692643E-2</v>
      </c>
      <c r="L453" s="1023">
        <v>1.6237326086113821E-2</v>
      </c>
      <c r="M453" s="1023"/>
      <c r="N453" s="1024">
        <f>INDEX(AESC!$H$184:$H$216,MATCH(I453,AESC!$B$184:$B$216,0))</f>
        <v>5.6308631973313586E-3</v>
      </c>
    </row>
    <row r="454" spans="1:14" s="466" customFormat="1">
      <c r="A454" s="1015">
        <f t="shared" si="86"/>
        <v>12</v>
      </c>
      <c r="B454" s="1016">
        <f t="shared" si="85"/>
        <v>2035</v>
      </c>
      <c r="C454" s="1017">
        <f t="shared" si="81"/>
        <v>0.10829738392904564</v>
      </c>
      <c r="D454" s="1485">
        <f t="shared" si="82"/>
        <v>0</v>
      </c>
      <c r="E454" s="1055">
        <f>NPV(realdiscrt1,C$443:C454)/(1+realdiscrt1)^-Half_Year</f>
        <v>1.1336374751700899</v>
      </c>
      <c r="F454" s="1030">
        <f>NPV(realdiscrt1,D$443:D454)/(1+realdiscrt1)^-Half_Year</f>
        <v>0.18447115130118535</v>
      </c>
      <c r="G454" s="1019" t="str">
        <f t="shared" si="83"/>
        <v>2024-Top 20 Winter Hours-12</v>
      </c>
      <c r="I454" s="1020">
        <v>2029</v>
      </c>
      <c r="J454" s="1021">
        <f t="shared" si="84"/>
        <v>8.4203933389485383E-2</v>
      </c>
      <c r="K454" s="1022">
        <v>7.2607161258996286E-2</v>
      </c>
      <c r="L454" s="1040">
        <v>1.5225716941074146E-2</v>
      </c>
      <c r="M454" s="1040"/>
      <c r="N454" s="1024">
        <f>INDEX(AESC!$H$184:$H$216,MATCH(I454,AESC!$B$184:$B$216,0))</f>
        <v>5.3594437312679526E-3</v>
      </c>
    </row>
    <row r="455" spans="1:14" s="466" customFormat="1">
      <c r="A455" s="1015">
        <f t="shared" si="86"/>
        <v>13</v>
      </c>
      <c r="B455" s="1016">
        <f t="shared" si="85"/>
        <v>2036</v>
      </c>
      <c r="C455" s="1017">
        <f t="shared" si="81"/>
        <v>0.10894692613862424</v>
      </c>
      <c r="D455" s="1485">
        <f t="shared" si="82"/>
        <v>0</v>
      </c>
      <c r="E455" s="1055">
        <f>NPV(realdiscrt1,C$443:C455)/(1+realdiscrt1)^-Half_Year</f>
        <v>1.225611417559995</v>
      </c>
      <c r="F455" s="1030">
        <f>NPV(realdiscrt1,D$443:D455)/(1+realdiscrt1)^-Half_Year</f>
        <v>0.18447115130118535</v>
      </c>
      <c r="G455" s="1019" t="str">
        <f t="shared" si="83"/>
        <v>2024-Top 20 Winter Hours-13</v>
      </c>
      <c r="I455" s="1020">
        <v>2030</v>
      </c>
      <c r="J455" s="1021">
        <f t="shared" si="84"/>
        <v>8.8042791236742454E-2</v>
      </c>
      <c r="K455" s="1022">
        <v>7.3373010330015004E-2</v>
      </c>
      <c r="L455" s="1040">
        <v>1.2743361897504883E-2</v>
      </c>
      <c r="M455" s="1040"/>
      <c r="N455" s="1024">
        <f>INDEX(AESC!$H$184:$H$216,MATCH(I455,AESC!$B$184:$B$216,0))</f>
        <v>8.1480926669687433E-3</v>
      </c>
    </row>
    <row r="456" spans="1:14" s="466" customFormat="1">
      <c r="A456" s="1015">
        <f t="shared" si="86"/>
        <v>14</v>
      </c>
      <c r="B456" s="1016">
        <f t="shared" si="85"/>
        <v>2037</v>
      </c>
      <c r="C456" s="1017">
        <f t="shared" si="81"/>
        <v>0.10972183994825034</v>
      </c>
      <c r="D456" s="1485">
        <f t="shared" si="82"/>
        <v>0</v>
      </c>
      <c r="E456" s="1055">
        <f>NPV(realdiscrt1,C$443:C456)/(1+realdiscrt1)^-Half_Year</f>
        <v>1.3169930450702465</v>
      </c>
      <c r="F456" s="1030">
        <f>NPV(realdiscrt1,D$443:D456)/(1+realdiscrt1)^-Half_Year</f>
        <v>0.18447115130118535</v>
      </c>
      <c r="G456" s="1019" t="str">
        <f t="shared" si="83"/>
        <v>2024-Top 20 Winter Hours-14</v>
      </c>
      <c r="I456" s="1020">
        <v>2031</v>
      </c>
      <c r="J456" s="1021">
        <f t="shared" si="84"/>
        <v>9.003042608983132E-2</v>
      </c>
      <c r="K456" s="1022">
        <v>7.5459804571805636E-2</v>
      </c>
      <c r="L456" s="1040">
        <v>9.2225978744315592E-3</v>
      </c>
      <c r="M456" s="1040"/>
      <c r="N456" s="1024">
        <f>INDEX(AESC!$H$184:$H$216,MATCH(I456,AESC!$B$184:$B$216,0))</f>
        <v>7.901701066927053E-3</v>
      </c>
    </row>
    <row r="457" spans="1:14" s="466" customFormat="1">
      <c r="A457" s="1015">
        <f t="shared" si="86"/>
        <v>15</v>
      </c>
      <c r="B457" s="1016">
        <f t="shared" si="85"/>
        <v>2038</v>
      </c>
      <c r="C457" s="1017">
        <f t="shared" si="81"/>
        <v>0.11060895881354676</v>
      </c>
      <c r="D457" s="1485">
        <f t="shared" si="82"/>
        <v>0</v>
      </c>
      <c r="E457" s="1055">
        <f>NPV(realdiscrt1,C$443:C457)/(1+realdiscrt1)^-Half_Year</f>
        <v>1.4078738357337184</v>
      </c>
      <c r="F457" s="1030">
        <f>NPV(realdiscrt1,D$443:D457)/(1+realdiscrt1)^-Half_Year</f>
        <v>0.18447115130118535</v>
      </c>
      <c r="G457" s="1019" t="str">
        <f t="shared" si="83"/>
        <v>2024-Top 20 Winter Hours-15</v>
      </c>
      <c r="I457" s="1020">
        <v>2032</v>
      </c>
      <c r="J457" s="1021">
        <f t="shared" si="84"/>
        <v>9.065829230576973E-2</v>
      </c>
      <c r="K457" s="1022">
        <v>7.6270443388782208E-2</v>
      </c>
      <c r="L457" s="1040">
        <v>0</v>
      </c>
      <c r="M457" s="1040"/>
      <c r="N457" s="1024">
        <f>INDEX(AESC!$H$184:$H$216,MATCH(I457,AESC!$B$184:$B$216,0))</f>
        <v>7.6724198573008698E-3</v>
      </c>
    </row>
    <row r="458" spans="1:14" s="466" customFormat="1">
      <c r="A458" s="1015">
        <f t="shared" si="86"/>
        <v>16</v>
      </c>
      <c r="B458" s="1016">
        <f t="shared" si="85"/>
        <v>2039</v>
      </c>
      <c r="C458" s="1017">
        <f t="shared" si="81"/>
        <v>0.11159685608559583</v>
      </c>
      <c r="D458" s="1485">
        <f t="shared" si="82"/>
        <v>0</v>
      </c>
      <c r="E458" s="1055">
        <f>NPV(realdiscrt1,C$443:C458)/(1+realdiscrt1)^-Half_Year</f>
        <v>1.4983324099024378</v>
      </c>
      <c r="F458" s="1030">
        <f>NPV(realdiscrt1,D$443:D458)/(1+realdiscrt1)^-Half_Year</f>
        <v>0.18447115130118535</v>
      </c>
      <c r="G458" s="1019" t="str">
        <f t="shared" si="83"/>
        <v>2024-Top 20 Winter Hours-16</v>
      </c>
      <c r="I458" s="1020">
        <v>2033</v>
      </c>
      <c r="J458" s="1021">
        <f t="shared" si="84"/>
        <v>8.7086720361948325E-2</v>
      </c>
      <c r="K458" s="1022">
        <v>7.6076110288182411E-2</v>
      </c>
      <c r="L458" s="1040">
        <v>0</v>
      </c>
      <c r="M458" s="1040"/>
      <c r="N458" s="1024">
        <f>INDEX(AESC!$H$184:$H$216,MATCH(I458,AESC!$B$184:$B$216,0))</f>
        <v>4.5597418988067746E-3</v>
      </c>
    </row>
    <row r="459" spans="1:14" s="466" customFormat="1">
      <c r="A459" s="1015">
        <f t="shared" si="86"/>
        <v>17</v>
      </c>
      <c r="B459" s="1016">
        <f t="shared" si="85"/>
        <v>2040</v>
      </c>
      <c r="C459" s="1017">
        <f t="shared" si="81"/>
        <v>0.1126756213660107</v>
      </c>
      <c r="D459" s="1485">
        <f t="shared" si="82"/>
        <v>0</v>
      </c>
      <c r="E459" s="1055">
        <f>NPV(realdiscrt1,C$443:C459)/(1+realdiscrt1)^-Half_Year</f>
        <v>1.588436338224545</v>
      </c>
      <c r="F459" s="1030">
        <f>NPV(realdiscrt1,D$443:D459)/(1+realdiscrt1)^-Half_Year</f>
        <v>0.18447115130118535</v>
      </c>
      <c r="G459" s="1019" t="str">
        <f t="shared" si="83"/>
        <v>2024-Top 20 Winter Hours-17</v>
      </c>
      <c r="I459" s="1020">
        <v>2034</v>
      </c>
      <c r="J459" s="1021">
        <f t="shared" si="84"/>
        <v>9.0850159341658396E-2</v>
      </c>
      <c r="K459" s="1022">
        <v>7.9440982357369641E-2</v>
      </c>
      <c r="L459" s="1040">
        <v>0</v>
      </c>
      <c r="M459" s="1040"/>
      <c r="N459" s="1024">
        <f>INDEX(AESC!$H$184:$H$216,MATCH(I459,AESC!$B$184:$B$216,0))</f>
        <v>4.6795355515733099E-3</v>
      </c>
    </row>
    <row r="460" spans="1:14" s="466" customFormat="1">
      <c r="A460" s="1015">
        <f t="shared" si="86"/>
        <v>18</v>
      </c>
      <c r="B460" s="1016">
        <f t="shared" si="85"/>
        <v>2041</v>
      </c>
      <c r="C460" s="1017">
        <f t="shared" si="81"/>
        <v>0.11383666569675628</v>
      </c>
      <c r="D460" s="1485">
        <f t="shared" si="82"/>
        <v>0</v>
      </c>
      <c r="E460" s="1055">
        <f>NPV(realdiscrt1,C$443:C460)/(1+realdiscrt1)^-Half_Year</f>
        <v>1.6782436953939008</v>
      </c>
      <c r="F460" s="1030">
        <f>NPV(realdiscrt1,D$443:D460)/(1+realdiscrt1)^-Half_Year</f>
        <v>0.18447115130118535</v>
      </c>
      <c r="G460" s="1019" t="str">
        <f t="shared" si="83"/>
        <v>2024-Top 20 Winter Hours-18</v>
      </c>
      <c r="I460" s="1020">
        <v>2035</v>
      </c>
      <c r="J460" s="1021">
        <f t="shared" si="84"/>
        <v>9.016088628837364E-2</v>
      </c>
      <c r="K460" s="1022">
        <v>7.8634668047905795E-2</v>
      </c>
      <c r="L460" s="1040">
        <v>0</v>
      </c>
      <c r="M460" s="1040"/>
      <c r="N460" s="1024">
        <f>INDEX(AESC!$H$184:$H$216,MATCH(I460,AESC!$B$184:$B$216,0))</f>
        <v>4.8476340709586799E-3</v>
      </c>
    </row>
    <row r="461" spans="1:14" s="466" customFormat="1">
      <c r="A461" s="1015">
        <f t="shared" si="86"/>
        <v>19</v>
      </c>
      <c r="B461" s="1016">
        <f t="shared" si="85"/>
        <v>2042</v>
      </c>
      <c r="C461" s="1017">
        <f t="shared" si="81"/>
        <v>0.11507255186828624</v>
      </c>
      <c r="D461" s="1485">
        <f t="shared" si="82"/>
        <v>0</v>
      </c>
      <c r="E461" s="1055">
        <f>NPV(realdiscrt1,C$443:C461)/(1+realdiscrt1)^-Half_Year</f>
        <v>1.767804395420338</v>
      </c>
      <c r="F461" s="1030">
        <f>NPV(realdiscrt1,D$443:D461)/(1+realdiscrt1)^-Half_Year</f>
        <v>0.18447115130118535</v>
      </c>
      <c r="G461" s="1019" t="str">
        <f t="shared" si="83"/>
        <v>2024-Top 20 Winter Hours-19</v>
      </c>
      <c r="I461" s="1020">
        <v>2036</v>
      </c>
      <c r="J461" s="1021">
        <f t="shared" si="84"/>
        <v>9.0701650055443797E-2</v>
      </c>
      <c r="K461" s="1022">
        <v>7.9760195009688159E-2</v>
      </c>
      <c r="L461" s="1040">
        <v>0</v>
      </c>
      <c r="M461" s="1040"/>
      <c r="N461" s="1024">
        <f>INDEX(AESC!$H$184:$H$216,MATCH(I461,AESC!$B$184:$B$216,0))</f>
        <v>4.2228143009079497E-3</v>
      </c>
    </row>
    <row r="462" spans="1:14" s="466" customFormat="1">
      <c r="A462" s="1015">
        <f t="shared" si="86"/>
        <v>20</v>
      </c>
      <c r="B462" s="1016">
        <f t="shared" si="85"/>
        <v>2043</v>
      </c>
      <c r="C462" s="1017">
        <f t="shared" si="81"/>
        <v>0.11637684660858114</v>
      </c>
      <c r="D462" s="1485">
        <f t="shared" si="82"/>
        <v>0</v>
      </c>
      <c r="E462" s="1055">
        <f>NPV(realdiscrt1,C$443:C462)/(1+realdiscrt1)^-Half_Year</f>
        <v>1.8571613391418673</v>
      </c>
      <c r="F462" s="1030">
        <f>NPV(realdiscrt1,D$443:D462)/(1+realdiscrt1)^-Half_Year</f>
        <v>0.18447115130118535</v>
      </c>
      <c r="G462" s="1019" t="str">
        <f t="shared" si="83"/>
        <v>2024-Top 20 Winter Hours-20</v>
      </c>
      <c r="I462" s="1020">
        <v>2037</v>
      </c>
      <c r="J462" s="1021">
        <f t="shared" si="84"/>
        <v>9.134678951623415E-2</v>
      </c>
      <c r="K462" s="1022">
        <v>8.0901832053361211E-2</v>
      </c>
      <c r="L462" s="1040">
        <v>0</v>
      </c>
      <c r="M462" s="1040"/>
      <c r="N462" s="1024">
        <f>INDEX(AESC!$H$184:$H$216,MATCH(I462,AESC!$B$184:$B$216,0))</f>
        <v>3.6785286098185554E-3</v>
      </c>
    </row>
    <row r="463" spans="1:14" s="466" customFormat="1">
      <c r="A463" s="1015">
        <f t="shared" si="86"/>
        <v>21</v>
      </c>
      <c r="B463" s="1016">
        <f t="shared" si="85"/>
        <v>2044</v>
      </c>
      <c r="C463" s="1017">
        <f t="shared" si="81"/>
        <v>0.11774399183295002</v>
      </c>
      <c r="D463" s="1485">
        <f t="shared" si="82"/>
        <v>0</v>
      </c>
      <c r="E463" s="1055">
        <f>NPV(realdiscrt1,C$443:C463)/(1+realdiscrt1)^-Half_Year</f>
        <v>1.9463514003803024</v>
      </c>
      <c r="F463" s="1030">
        <f>NPV(realdiscrt1,D$443:D463)/(1+realdiscrt1)^-Half_Year</f>
        <v>0.18447115130118535</v>
      </c>
      <c r="G463" s="1019" t="str">
        <f t="shared" si="83"/>
        <v>2024-Top 20 Winter Hours-21</v>
      </c>
      <c r="I463" s="1020">
        <v>2038</v>
      </c>
      <c r="J463" s="1021">
        <f t="shared" si="84"/>
        <v>9.2085343119621882E-2</v>
      </c>
      <c r="K463" s="1022">
        <v>8.2059809768459765E-2</v>
      </c>
      <c r="L463" s="1040">
        <v>0</v>
      </c>
      <c r="M463" s="1040"/>
      <c r="N463" s="1024">
        <f>INDEX(AESC!$H$184:$H$216,MATCH(I463,AESC!$B$184:$B$216,0))</f>
        <v>3.2043968237827087E-3</v>
      </c>
    </row>
    <row r="464" spans="1:14" s="466" customFormat="1">
      <c r="A464" s="1015">
        <f t="shared" si="86"/>
        <v>22</v>
      </c>
      <c r="B464" s="1016">
        <f t="shared" si="85"/>
        <v>2045</v>
      </c>
      <c r="C464" s="1017">
        <f t="shared" si="81"/>
        <v>0.11916919249795302</v>
      </c>
      <c r="D464" s="1485">
        <f t="shared" si="82"/>
        <v>0</v>
      </c>
      <c r="E464" s="1055">
        <f>NPV(realdiscrt1,C$443:C464)/(1+realdiscrt1)^-Half_Year</f>
        <v>2.0354062734293348</v>
      </c>
      <c r="F464" s="1030">
        <f>NPV(realdiscrt1,D$443:D464)/(1+realdiscrt1)^-Half_Year</f>
        <v>0.18447115130118535</v>
      </c>
      <c r="G464" s="1019" t="str">
        <f t="shared" si="83"/>
        <v>2024-Top 20 Winter Hours-22</v>
      </c>
      <c r="I464" s="1020">
        <v>2039</v>
      </c>
      <c r="J464" s="1021">
        <f t="shared" si="84"/>
        <v>9.2907797830699371E-2</v>
      </c>
      <c r="K464" s="1022">
        <v>8.323436204503154E-2</v>
      </c>
      <c r="L464" s="1040">
        <v>0</v>
      </c>
      <c r="M464" s="1040"/>
      <c r="N464" s="1024">
        <f>INDEX(AESC!$H$184:$H$216,MATCH(I464,AESC!$B$184:$B$216,0))</f>
        <v>2.7913766870975056E-3</v>
      </c>
    </row>
    <row r="465" spans="1:14" s="466" customFormat="1">
      <c r="A465" s="1015">
        <f t="shared" si="86"/>
        <v>23</v>
      </c>
      <c r="B465" s="1016">
        <f t="shared" si="85"/>
        <v>2046</v>
      </c>
      <c r="C465" s="1017">
        <f t="shared" si="81"/>
        <v>0.12064831891944439</v>
      </c>
      <c r="D465" s="1485">
        <f t="shared" si="82"/>
        <v>0</v>
      </c>
      <c r="E465" s="1055">
        <f>NPV(realdiscrt1,C$443:C465)/(1+realdiscrt1)^-Half_Year</f>
        <v>2.1243532013736992</v>
      </c>
      <c r="F465" s="1030">
        <f>NPV(realdiscrt1,D$443:D465)/(1+realdiscrt1)^-Half_Year</f>
        <v>0.18447115130118535</v>
      </c>
      <c r="G465" s="1019" t="str">
        <f t="shared" si="83"/>
        <v>2024-Top 20 Winter Hours-23</v>
      </c>
      <c r="I465" s="1020">
        <v>2040</v>
      </c>
      <c r="J465" s="1021">
        <f t="shared" si="84"/>
        <v>9.3805902939526883E-2</v>
      </c>
      <c r="K465" s="1022">
        <v>8.4425726120878661E-2</v>
      </c>
      <c r="L465" s="1040">
        <v>0</v>
      </c>
      <c r="M465" s="1040"/>
      <c r="N465" s="1024">
        <f>INDEX(AESC!$H$184:$H$216,MATCH(I465,AESC!$B$184:$B$216,0))</f>
        <v>2.4315914157203053E-3</v>
      </c>
    </row>
    <row r="466" spans="1:14" s="466" customFormat="1">
      <c r="A466" s="1015">
        <f t="shared" si="86"/>
        <v>24</v>
      </c>
      <c r="B466" s="1016">
        <f t="shared" si="85"/>
        <v>2047</v>
      </c>
      <c r="C466" s="1017">
        <f t="shared" si="81"/>
        <v>0.12217782169056582</v>
      </c>
      <c r="D466" s="1485">
        <f t="shared" si="82"/>
        <v>0</v>
      </c>
      <c r="E466" s="1055">
        <f>NPV(realdiscrt1,C$443:C466)/(1+realdiscrt1)^-Half_Year</f>
        <v>2.2132156019962808</v>
      </c>
      <c r="F466" s="1030">
        <f>NPV(realdiscrt1,D$443:D466)/(1+realdiscrt1)^-Half_Year</f>
        <v>0.18447115130118535</v>
      </c>
      <c r="G466" s="1019" t="str">
        <f t="shared" si="83"/>
        <v>2024-Top 20 Winter Hours-24</v>
      </c>
      <c r="I466" s="1020">
        <v>2041</v>
      </c>
      <c r="J466" s="1021">
        <f t="shared" si="84"/>
        <v>9.4772507875696882E-2</v>
      </c>
      <c r="K466" s="1022">
        <v>8.563414262947526E-2</v>
      </c>
      <c r="L466" s="1040">
        <v>0</v>
      </c>
      <c r="M466" s="1040"/>
      <c r="N466" s="1024">
        <f>INDEX(AESC!$H$184:$H$216,MATCH(I466,AESC!$B$184:$B$216,0))</f>
        <v>2.1181794776514674E-3</v>
      </c>
    </row>
    <row r="467" spans="1:14" s="466" customFormat="1">
      <c r="A467" s="1015">
        <f t="shared" si="86"/>
        <v>25</v>
      </c>
      <c r="B467" s="1016">
        <f t="shared" si="85"/>
        <v>2048</v>
      </c>
      <c r="C467" s="1017">
        <f t="shared" si="81"/>
        <v>0.12375465757579789</v>
      </c>
      <c r="D467" s="1485">
        <f t="shared" si="82"/>
        <v>0</v>
      </c>
      <c r="E467" s="1055">
        <f>NPV(realdiscrt1,C$443:C467)/(1+realdiscrt1)^-Half_Year</f>
        <v>2.3020136056737455</v>
      </c>
      <c r="F467" s="1030">
        <f>NPV(realdiscrt1,D$443:D467)/(1+realdiscrt1)^-Half_Year</f>
        <v>0.18447115130118535</v>
      </c>
      <c r="G467" s="1019" t="str">
        <f t="shared" si="83"/>
        <v>2024-Top 20 Winter Hours-25</v>
      </c>
      <c r="I467" s="1020">
        <v>2042</v>
      </c>
      <c r="J467" s="1021">
        <f t="shared" si="84"/>
        <v>9.5801420934665066E-2</v>
      </c>
      <c r="K467" s="1022">
        <v>8.6859855648571016E-2</v>
      </c>
      <c r="L467" s="1040">
        <v>0</v>
      </c>
      <c r="M467" s="1040"/>
      <c r="N467" s="1024">
        <f>INDEX(AESC!$H$184:$H$216,MATCH(I467,AESC!$B$184:$B$216,0))</f>
        <v>1.8451637353781175E-3</v>
      </c>
    </row>
    <row r="468" spans="1:14" s="466" customFormat="1">
      <c r="A468" s="1015">
        <f t="shared" si="86"/>
        <v>26</v>
      </c>
      <c r="B468" s="1016">
        <f t="shared" si="85"/>
        <v>2049</v>
      </c>
      <c r="C468" s="1017">
        <f t="shared" si="81"/>
        <v>0.12537622496648582</v>
      </c>
      <c r="D468" s="1485">
        <f t="shared" si="82"/>
        <v>0</v>
      </c>
      <c r="E468" s="1055">
        <f>NPV(realdiscrt1,C$443:C468)/(1+realdiscrt1)^-Half_Year</f>
        <v>2.3907645176363888</v>
      </c>
      <c r="F468" s="1030">
        <f>NPV(realdiscrt1,D$443:D468)/(1+realdiscrt1)^-Half_Year</f>
        <v>0.18447115130118535</v>
      </c>
      <c r="G468" s="1019" t="str">
        <f t="shared" si="83"/>
        <v>2024-Top 20 Winter Hours-26</v>
      </c>
      <c r="I468" s="1020">
        <v>2043</v>
      </c>
      <c r="J468" s="1021">
        <f t="shared" si="84"/>
        <v>9.6887286220601235E-2</v>
      </c>
      <c r="K468" s="1022">
        <v>8.8103112749490314E-2</v>
      </c>
      <c r="L468" s="1040">
        <v>0</v>
      </c>
      <c r="M468" s="1040"/>
      <c r="N468" s="1024">
        <f>INDEX(AESC!$H$184:$H$216,MATCH(I468,AESC!$B$184:$B$216,0))</f>
        <v>1.6073374547700802E-3</v>
      </c>
    </row>
    <row r="469" spans="1:14" s="466" customFormat="1">
      <c r="A469" s="1015">
        <f t="shared" si="86"/>
        <v>27</v>
      </c>
      <c r="B469" s="1016">
        <f t="shared" si="85"/>
        <v>2050</v>
      </c>
      <c r="C469" s="1017">
        <f t="shared" si="81"/>
        <v>0.12704030766558552</v>
      </c>
      <c r="D469" s="1485">
        <f t="shared" si="82"/>
        <v>0</v>
      </c>
      <c r="E469" s="1052">
        <f>NPV(realdiscrt1,C$443:C469)/(1+realdiscrt1)^-Half_Year</f>
        <v>2.479483215227642</v>
      </c>
      <c r="F469" s="1031">
        <f>NPV(realdiscrt1,D$443:D469)/(1+realdiscrt1)^-Half_Year</f>
        <v>0.18447115130118535</v>
      </c>
      <c r="G469" s="1019" t="str">
        <f t="shared" si="83"/>
        <v>2024-Top 20 Winter Hours-27</v>
      </c>
      <c r="I469" s="1020">
        <v>2044</v>
      </c>
      <c r="J469" s="1021">
        <f t="shared" si="84"/>
        <v>9.8025476457909044E-2</v>
      </c>
      <c r="K469" s="1022">
        <v>8.9364165047137095E-2</v>
      </c>
      <c r="L469" s="1040">
        <v>0</v>
      </c>
      <c r="M469" s="1040"/>
      <c r="N469" s="1024">
        <f>INDEX(AESC!$H$184:$H$216,MATCH(I469,AESC!$B$184:$B$216,0))</f>
        <v>1.4001650064823829E-3</v>
      </c>
    </row>
    <row r="470" spans="1:14" s="466" customFormat="1" ht="20.25">
      <c r="A470" s="975">
        <f>Year2</f>
        <v>2025</v>
      </c>
      <c r="B470" s="976" t="str">
        <f>Year2&amp;"$"</f>
        <v>2025$</v>
      </c>
      <c r="C470" s="1046"/>
      <c r="D470" s="1480" t="s">
        <v>993</v>
      </c>
      <c r="E470" s="1481">
        <f>A470</f>
        <v>2025</v>
      </c>
      <c r="F470" s="1481" t="s">
        <v>992</v>
      </c>
      <c r="G470" s="1047"/>
      <c r="I470" s="1020">
        <v>2045</v>
      </c>
      <c r="J470" s="1021">
        <f t="shared" si="84"/>
        <v>9.9211999626184641E-2</v>
      </c>
      <c r="K470" s="1022">
        <v>9.0643267250715365E-2</v>
      </c>
      <c r="L470" s="1040">
        <v>0</v>
      </c>
      <c r="M470" s="1040"/>
      <c r="N470" s="1024">
        <f>INDEX(AESC!$H$184:$H$216,MATCH(I470,AESC!$B$184:$B$216,0))</f>
        <v>1.219695366122258E-3</v>
      </c>
    </row>
    <row r="471" spans="1:14" s="466" customFormat="1">
      <c r="A471" s="1015">
        <v>1</v>
      </c>
      <c r="B471" s="1016">
        <f>Year2</f>
        <v>2025</v>
      </c>
      <c r="C471" s="1017">
        <f t="shared" ref="C471:C495" si="87">VLOOKUP($B471,$I$443:$N$475,C$12,FALSE)*(1+Inflation2)^(Year2-Real_Year)</f>
        <v>0.10369788823087094</v>
      </c>
      <c r="D471" s="1485">
        <f t="shared" ref="D471:D495" si="88">VLOOKUP($B471-4,$I$443:$N$475,IF($A$17=Year1,D$12,D$12+1),FALSE)*(1+Inflation2)^(Year2-Real_Year)</f>
        <v>9.6488619161827112E-3</v>
      </c>
      <c r="E471" s="1053">
        <f>NPV(realdiscrt1,C$471:C471)/(1+realdiscrt2)^(1-Half_Year)</f>
        <v>0.10161174058009247</v>
      </c>
      <c r="F471" s="1054">
        <f>NPV(realdiscrt1,D$471:D471)/(1+realdiscrt2)^(1-Half_Year)</f>
        <v>9.4547504355871198E-3</v>
      </c>
      <c r="G471" s="1019" t="str">
        <f t="shared" ref="G471:G495" si="89">$A$45&amp;"-"&amp;$A$438&amp;"-"&amp;A471</f>
        <v>2025-Top 20 Winter Hours-1</v>
      </c>
      <c r="I471" s="1020">
        <v>2046</v>
      </c>
      <c r="J471" s="1021">
        <f t="shared" si="84"/>
        <v>0.10044341763699816</v>
      </c>
      <c r="K471" s="1022">
        <v>9.1940677715175792E-2</v>
      </c>
      <c r="L471" s="1040">
        <v>0</v>
      </c>
      <c r="M471" s="1040"/>
      <c r="N471" s="1024">
        <f>INDEX(AESC!$H$184:$H$216,MATCH(I471,AESC!$B$184:$B$216,0))</f>
        <v>1.0624867635262009E-3</v>
      </c>
    </row>
    <row r="472" spans="1:14" s="466" customFormat="1">
      <c r="A472" s="1015">
        <v>2</v>
      </c>
      <c r="B472" s="1016">
        <f t="shared" ref="B472:B495" si="90">B471+1</f>
        <v>2026</v>
      </c>
      <c r="C472" s="1017">
        <f t="shared" si="87"/>
        <v>0.10320937063652011</v>
      </c>
      <c r="D472" s="1485">
        <f t="shared" si="88"/>
        <v>1.8966200583563998E-2</v>
      </c>
      <c r="E472" s="1055">
        <f>NPV(realdiscrt1,C$471:C472)/(1+realdiscrt2)^(1-Half_Year)</f>
        <v>0.20138383613640926</v>
      </c>
      <c r="F472" s="1030">
        <f>NPV(realdiscrt1,D$471:D472)/(1+realdiscrt2)^(1-Half_Year)</f>
        <v>2.7789302475710098E-2</v>
      </c>
      <c r="G472" s="1019" t="str">
        <f t="shared" si="89"/>
        <v>2025-Top 20 Winter Hours-2</v>
      </c>
      <c r="I472" s="1020">
        <v>2047</v>
      </c>
      <c r="J472" s="1021">
        <f t="shared" si="84"/>
        <v>0.10171677550051941</v>
      </c>
      <c r="K472" s="1022">
        <v>9.3256658493398578E-2</v>
      </c>
      <c r="L472" s="1040">
        <v>0</v>
      </c>
      <c r="M472" s="1040"/>
      <c r="N472" s="1024">
        <f>INDEX(AESC!$H$184:$H$216,MATCH(I472,AESC!$B$184:$B$216,0))</f>
        <v>9.255410441193939E-4</v>
      </c>
    </row>
    <row r="473" spans="1:14" s="466" customFormat="1">
      <c r="A473" s="1015">
        <f t="shared" ref="A473:A495" si="91">A472+1</f>
        <v>3</v>
      </c>
      <c r="B473" s="1016">
        <f t="shared" si="90"/>
        <v>2027</v>
      </c>
      <c r="C473" s="1017">
        <f t="shared" si="87"/>
        <v>0.10335952878133046</v>
      </c>
      <c r="D473" s="1485">
        <f t="shared" si="88"/>
        <v>2.245928516825009E-2</v>
      </c>
      <c r="E473" s="1055">
        <f>NPV(realdiscrt1,C$471:C473)/(1+realdiscrt2)^(1-Half_Year)</f>
        <v>0.29995649486307918</v>
      </c>
      <c r="F473" s="1030">
        <f>NPV(realdiscrt1,D$471:D473)/(1+realdiscrt2)^(1-Half_Year)</f>
        <v>4.9208435072749981E-2</v>
      </c>
      <c r="G473" s="1019" t="str">
        <f t="shared" si="89"/>
        <v>2025-Top 20 Winter Hours-3</v>
      </c>
      <c r="I473" s="1020">
        <v>2048</v>
      </c>
      <c r="J473" s="1021">
        <f t="shared" si="84"/>
        <v>0.10302953963004799</v>
      </c>
      <c r="K473" s="1022">
        <v>9.4591475389123311E-2</v>
      </c>
      <c r="L473" s="1040">
        <v>0</v>
      </c>
      <c r="M473" s="1040"/>
      <c r="N473" s="1024">
        <f>INDEX(AESC!$H$184:$H$216,MATCH(I473,AESC!$B$184:$B$216,0))</f>
        <v>8.0624649055074406E-4</v>
      </c>
    </row>
    <row r="474" spans="1:14" s="466" customFormat="1">
      <c r="A474" s="1015">
        <f t="shared" si="91"/>
        <v>4</v>
      </c>
      <c r="B474" s="1016">
        <f t="shared" si="90"/>
        <v>2028</v>
      </c>
      <c r="C474" s="1017">
        <f t="shared" si="87"/>
        <v>0.10383746150023379</v>
      </c>
      <c r="D474" s="1485">
        <f t="shared" si="88"/>
        <v>2.3130816727327606E-2</v>
      </c>
      <c r="E474" s="1055">
        <f>NPV(realdiscrt1,C$471:C474)/(1+realdiscrt2)^(1-Half_Year)</f>
        <v>0.39765231837360426</v>
      </c>
      <c r="F474" s="1030">
        <f>NPV(realdiscrt1,D$471:D474)/(1+realdiscrt2)^(1-Half_Year)</f>
        <v>7.0971141479456698E-2</v>
      </c>
      <c r="G474" s="1019" t="str">
        <f t="shared" si="89"/>
        <v>2025-Top 20 Winter Hours-4</v>
      </c>
      <c r="I474" s="1020">
        <v>2049</v>
      </c>
      <c r="J474" s="1021">
        <f t="shared" si="84"/>
        <v>0.10437954410676313</v>
      </c>
      <c r="K474" s="1022">
        <v>9.5945398010636396E-2</v>
      </c>
      <c r="L474" s="1040">
        <v>0</v>
      </c>
      <c r="M474" s="1040"/>
      <c r="N474" s="1024">
        <f>INDEX(AESC!$H$184:$H$216,MATCH(I474,AESC!$B$184:$B$216,0))</f>
        <v>7.0232801414427321E-4</v>
      </c>
    </row>
    <row r="475" spans="1:14" s="466" customFormat="1">
      <c r="A475" s="1015">
        <f t="shared" si="91"/>
        <v>5</v>
      </c>
      <c r="B475" s="1016">
        <f t="shared" si="90"/>
        <v>2029</v>
      </c>
      <c r="C475" s="1017">
        <f t="shared" si="87"/>
        <v>0.10751410329838056</v>
      </c>
      <c r="D475" s="1485">
        <f t="shared" si="88"/>
        <v>2.3947692346782252E-2</v>
      </c>
      <c r="E475" s="1055">
        <f>NPV(realdiscrt1,C$471:C475)/(1+realdiscrt2)^(1-Half_Year)</f>
        <v>0.4974460719993396</v>
      </c>
      <c r="F475" s="1030">
        <f>NPV(realdiscrt1,D$471:D475)/(1+realdiscrt2)^(1-Half_Year)</f>
        <v>9.3199203069918676E-2</v>
      </c>
      <c r="G475" s="1019" t="str">
        <f t="shared" si="89"/>
        <v>2025-Top 20 Winter Hours-5</v>
      </c>
      <c r="I475" s="1025">
        <v>2050</v>
      </c>
      <c r="J475" s="1026">
        <f t="shared" si="84"/>
        <v>0.10576494387880452</v>
      </c>
      <c r="K475" s="1027">
        <v>9.7318699825226909E-2</v>
      </c>
      <c r="L475" s="1028">
        <v>0</v>
      </c>
      <c r="M475" s="1028"/>
      <c r="N475" s="1029">
        <f>INDEX(AESC!$H$184:$H$216,MATCH(I475,AESC!$B$184:$B$216,0))</f>
        <v>6.1180376625874196E-4</v>
      </c>
    </row>
    <row r="476" spans="1:14" s="466" customFormat="1">
      <c r="A476" s="1015">
        <f t="shared" si="91"/>
        <v>6</v>
      </c>
      <c r="B476" s="1016">
        <f t="shared" si="90"/>
        <v>2030</v>
      </c>
      <c r="C476" s="1017">
        <f t="shared" si="87"/>
        <v>0.11241567193685148</v>
      </c>
      <c r="D476" s="1485">
        <f t="shared" si="88"/>
        <v>2.2649676719948289E-2</v>
      </c>
      <c r="E476" s="1055">
        <f>NPV(realdiscrt1,C$471:C476)/(1+realdiscrt2)^(1-Half_Year)</f>
        <v>0.60038526700396377</v>
      </c>
      <c r="F476" s="1030">
        <f>NPV(realdiscrt1,D$471:D476)/(1+realdiscrt2)^(1-Half_Year)</f>
        <v>0.11393954512806317</v>
      </c>
      <c r="G476" s="1019" t="str">
        <f t="shared" si="89"/>
        <v>2025-Top 20 Winter Hours-6</v>
      </c>
    </row>
    <row r="477" spans="1:14" s="466" customFormat="1">
      <c r="A477" s="1015">
        <f t="shared" si="91"/>
        <v>7</v>
      </c>
      <c r="B477" s="1016">
        <f t="shared" si="90"/>
        <v>2031</v>
      </c>
      <c r="C477" s="1017">
        <f t="shared" si="87"/>
        <v>0.11495354362897296</v>
      </c>
      <c r="D477" s="1485">
        <f t="shared" si="88"/>
        <v>2.1867172390928235E-2</v>
      </c>
      <c r="E477" s="1055">
        <f>NPV(realdiscrt1,C$471:C477)/(1+realdiscrt2)^(1-Half_Year)</f>
        <v>0.70423186085361145</v>
      </c>
      <c r="F477" s="1030">
        <f>NPV(realdiscrt1,D$471:D477)/(1+realdiscrt2)^(1-Half_Year)</f>
        <v>0.13369388499643942</v>
      </c>
      <c r="G477" s="1019" t="str">
        <f t="shared" si="89"/>
        <v>2025-Top 20 Winter Hours-7</v>
      </c>
    </row>
    <row r="478" spans="1:14" s="466" customFormat="1">
      <c r="A478" s="1015">
        <f t="shared" si="91"/>
        <v>8</v>
      </c>
      <c r="B478" s="1016">
        <f t="shared" si="90"/>
        <v>2032</v>
      </c>
      <c r="C478" s="1017">
        <f t="shared" si="87"/>
        <v>0.115755222012401</v>
      </c>
      <c r="D478" s="1485">
        <f t="shared" si="88"/>
        <v>2.0732304107897209E-2</v>
      </c>
      <c r="E478" s="1055">
        <f>NPV(realdiscrt1,C$471:C478)/(1+realdiscrt2)^(1-Half_Year)</f>
        <v>0.80739545651762767</v>
      </c>
      <c r="F478" s="1030">
        <f>NPV(realdiscrt1,D$471:D478)/(1+realdiscrt2)^(1-Half_Year)</f>
        <v>0.15217096966689511</v>
      </c>
      <c r="G478" s="1019" t="str">
        <f t="shared" si="89"/>
        <v>2025-Top 20 Winter Hours-8</v>
      </c>
    </row>
    <row r="479" spans="1:14" s="466" customFormat="1">
      <c r="A479" s="1015">
        <f t="shared" si="91"/>
        <v>9</v>
      </c>
      <c r="B479" s="1016">
        <f t="shared" si="90"/>
        <v>2033</v>
      </c>
      <c r="C479" s="1017">
        <f t="shared" si="87"/>
        <v>0.11119493201823356</v>
      </c>
      <c r="D479" s="1485">
        <f t="shared" si="88"/>
        <v>1.9440651262960594E-2</v>
      </c>
      <c r="E479" s="1055">
        <f>NPV(realdiscrt1,C$471:C479)/(1+realdiscrt2)^(1-Half_Year)</f>
        <v>0.90516123385829728</v>
      </c>
      <c r="F479" s="1030">
        <f>NPV(realdiscrt1,D$471:D479)/(1+realdiscrt2)^(1-Half_Year)</f>
        <v>0.16926374852142556</v>
      </c>
      <c r="G479" s="1019" t="str">
        <f t="shared" si="89"/>
        <v>2025-Top 20 Winter Hours-9</v>
      </c>
    </row>
    <row r="480" spans="1:14" s="466" customFormat="1">
      <c r="A480" s="1015">
        <f t="shared" si="91"/>
        <v>10</v>
      </c>
      <c r="B480" s="1016">
        <f t="shared" si="90"/>
        <v>2034</v>
      </c>
      <c r="C480" s="1017">
        <f t="shared" si="87"/>
        <v>0.11600020358850709</v>
      </c>
      <c r="D480" s="1485">
        <f t="shared" si="88"/>
        <v>1.6271106019235811E-2</v>
      </c>
      <c r="E480" s="1055">
        <f>NPV(realdiscrt1,C$471:C480)/(1+realdiscrt2)^(1-Half_Year)</f>
        <v>1.005779447158528</v>
      </c>
      <c r="F480" s="1030">
        <f>NPV(realdiscrt1,D$471:D480)/(1+realdiscrt2)^(1-Half_Year)</f>
        <v>0.1833772549242397</v>
      </c>
      <c r="G480" s="1019" t="str">
        <f t="shared" si="89"/>
        <v>2025-Top 20 Winter Hours-10</v>
      </c>
    </row>
    <row r="481" spans="1:7" s="466" customFormat="1">
      <c r="A481" s="1015">
        <f t="shared" si="91"/>
        <v>11</v>
      </c>
      <c r="B481" s="1016">
        <f t="shared" si="90"/>
        <v>2035</v>
      </c>
      <c r="C481" s="1017">
        <f t="shared" si="87"/>
        <v>0.11512011911657551</v>
      </c>
      <c r="D481" s="1485">
        <f t="shared" si="88"/>
        <v>1.1775689099517487E-2</v>
      </c>
      <c r="E481" s="1055">
        <f>NPV(realdiscrt1,C$471:C481)/(1+realdiscrt2)^(1-Half_Year)</f>
        <v>1.1042905238406979</v>
      </c>
      <c r="F481" s="1030">
        <f>NPV(realdiscrt1,D$471:D481)/(1+realdiscrt2)^(1-Half_Year)</f>
        <v>0.19345399755419873</v>
      </c>
      <c r="G481" s="1019" t="str">
        <f t="shared" si="89"/>
        <v>2025-Top 20 Winter Hours-11</v>
      </c>
    </row>
    <row r="482" spans="1:7" s="466" customFormat="1">
      <c r="A482" s="1015">
        <f t="shared" si="91"/>
        <v>12</v>
      </c>
      <c r="B482" s="1016">
        <f t="shared" si="90"/>
        <v>2036</v>
      </c>
      <c r="C482" s="1017">
        <f t="shared" si="87"/>
        <v>0.11581058248535754</v>
      </c>
      <c r="D482" s="1485">
        <f t="shared" si="88"/>
        <v>0</v>
      </c>
      <c r="E482" s="1055">
        <f>NPV(realdiscrt1,C$471:C482)/(1+realdiscrt2)^(1-Half_Year)</f>
        <v>1.2020588246011674</v>
      </c>
      <c r="F482" s="1030">
        <f>NPV(realdiscrt1,D$471:D482)/(1+realdiscrt2)^(1-Half_Year)</f>
        <v>0.19345399755419873</v>
      </c>
      <c r="G482" s="1019" t="str">
        <f t="shared" si="89"/>
        <v>2025-Top 20 Winter Hours-12</v>
      </c>
    </row>
    <row r="483" spans="1:7" s="466" customFormat="1">
      <c r="A483" s="1015">
        <f t="shared" si="91"/>
        <v>13</v>
      </c>
      <c r="B483" s="1016">
        <f t="shared" si="90"/>
        <v>2037</v>
      </c>
      <c r="C483" s="1017">
        <f t="shared" si="87"/>
        <v>0.11663431586499011</v>
      </c>
      <c r="D483" s="1485">
        <f t="shared" si="88"/>
        <v>0</v>
      </c>
      <c r="E483" s="1055">
        <f>NPV(realdiscrt1,C$471:C483)/(1+realdiscrt2)^(1-Half_Year)</f>
        <v>1.2991974946445648</v>
      </c>
      <c r="F483" s="1030">
        <f>NPV(realdiscrt1,D$471:D483)/(1+realdiscrt2)^(1-Half_Year)</f>
        <v>0.19345399755419873</v>
      </c>
      <c r="G483" s="1019" t="str">
        <f t="shared" si="89"/>
        <v>2025-Top 20 Winter Hours-13</v>
      </c>
    </row>
    <row r="484" spans="1:7" s="466" customFormat="1">
      <c r="A484" s="1015">
        <f t="shared" si="91"/>
        <v>14</v>
      </c>
      <c r="B484" s="1016">
        <f t="shared" si="90"/>
        <v>2038</v>
      </c>
      <c r="C484" s="1017">
        <f t="shared" si="87"/>
        <v>0.1175773232188002</v>
      </c>
      <c r="D484" s="1485">
        <f t="shared" si="88"/>
        <v>0</v>
      </c>
      <c r="E484" s="1055">
        <f>NPV(realdiscrt1,C$471:C484)/(1+realdiscrt2)^(1-Half_Year)</f>
        <v>1.3958037751198351</v>
      </c>
      <c r="F484" s="1030">
        <f>NPV(realdiscrt1,D$471:D484)/(1+realdiscrt2)^(1-Half_Year)</f>
        <v>0.19345399755419873</v>
      </c>
      <c r="G484" s="1019" t="str">
        <f t="shared" si="89"/>
        <v>2025-Top 20 Winter Hours-14</v>
      </c>
    </row>
    <row r="485" spans="1:7" s="466" customFormat="1">
      <c r="A485" s="1015">
        <f t="shared" si="91"/>
        <v>15</v>
      </c>
      <c r="B485" s="1016">
        <f t="shared" si="90"/>
        <v>2039</v>
      </c>
      <c r="C485" s="1017">
        <f t="shared" si="87"/>
        <v>0.11862745801898836</v>
      </c>
      <c r="D485" s="1485">
        <f t="shared" si="88"/>
        <v>0</v>
      </c>
      <c r="E485" s="1055">
        <f>NPV(realdiscrt1,C$471:C485)/(1+realdiscrt2)^(1-Half_Year)</f>
        <v>1.4919612394611841</v>
      </c>
      <c r="F485" s="1030">
        <f>NPV(realdiscrt1,D$471:D485)/(1+realdiscrt2)^(1-Half_Year)</f>
        <v>0.19345399755419873</v>
      </c>
      <c r="G485" s="1019" t="str">
        <f t="shared" si="89"/>
        <v>2025-Top 20 Winter Hours-15</v>
      </c>
    </row>
    <row r="486" spans="1:7" s="466" customFormat="1">
      <c r="A486" s="1015">
        <f t="shared" si="91"/>
        <v>16</v>
      </c>
      <c r="B486" s="1016">
        <f t="shared" si="90"/>
        <v>2040</v>
      </c>
      <c r="C486" s="1017">
        <f t="shared" si="87"/>
        <v>0.11977418551206936</v>
      </c>
      <c r="D486" s="1485">
        <f t="shared" si="88"/>
        <v>0</v>
      </c>
      <c r="E486" s="1055">
        <f>NPV(realdiscrt1,C$471:C486)/(1+realdiscrt2)^(1-Half_Year)</f>
        <v>1.5877417152675839</v>
      </c>
      <c r="F486" s="1030">
        <f>NPV(realdiscrt1,D$471:D486)/(1+realdiscrt2)^(1-Half_Year)</f>
        <v>0.19345399755419873</v>
      </c>
      <c r="G486" s="1019" t="str">
        <f t="shared" si="89"/>
        <v>2025-Top 20 Winter Hours-16</v>
      </c>
    </row>
    <row r="487" spans="1:7" s="466" customFormat="1">
      <c r="A487" s="1015">
        <f t="shared" si="91"/>
        <v>17</v>
      </c>
      <c r="B487" s="1016">
        <f t="shared" si="90"/>
        <v>2041</v>
      </c>
      <c r="C487" s="1017">
        <f t="shared" si="87"/>
        <v>0.12100837563565192</v>
      </c>
      <c r="D487" s="1485">
        <f t="shared" si="88"/>
        <v>0</v>
      </c>
      <c r="E487" s="1055">
        <f>NPV(realdiscrt1,C$471:C487)/(1+realdiscrt2)^(1-Half_Year)</f>
        <v>1.6832069359386095</v>
      </c>
      <c r="F487" s="1030">
        <f>NPV(realdiscrt1,D$471:D487)/(1+realdiscrt2)^(1-Half_Year)</f>
        <v>0.19345399755419873</v>
      </c>
      <c r="G487" s="1019" t="str">
        <f t="shared" si="89"/>
        <v>2025-Top 20 Winter Hours-17</v>
      </c>
    </row>
    <row r="488" spans="1:7" s="466" customFormat="1">
      <c r="A488" s="1015">
        <f t="shared" si="91"/>
        <v>18</v>
      </c>
      <c r="B488" s="1016">
        <f t="shared" si="90"/>
        <v>2042</v>
      </c>
      <c r="C488" s="1017">
        <f t="shared" si="87"/>
        <v>0.12232212263598827</v>
      </c>
      <c r="D488" s="1485">
        <f t="shared" si="88"/>
        <v>0</v>
      </c>
      <c r="E488" s="1055">
        <f>NPV(realdiscrt1,C$471:C488)/(1+realdiscrt2)^(1-Half_Year)</f>
        <v>1.778409960066712</v>
      </c>
      <c r="F488" s="1030">
        <f>NPV(realdiscrt1,D$471:D488)/(1+realdiscrt2)^(1-Half_Year)</f>
        <v>0.19345399755419873</v>
      </c>
      <c r="G488" s="1019" t="str">
        <f t="shared" si="89"/>
        <v>2025-Top 20 Winter Hours-18</v>
      </c>
    </row>
    <row r="489" spans="1:7" s="466" customFormat="1">
      <c r="A489" s="1015">
        <f t="shared" si="91"/>
        <v>19</v>
      </c>
      <c r="B489" s="1016">
        <f t="shared" si="90"/>
        <v>2043</v>
      </c>
      <c r="C489" s="1017">
        <f t="shared" si="87"/>
        <v>0.12370858794492175</v>
      </c>
      <c r="D489" s="1485">
        <f t="shared" si="88"/>
        <v>0</v>
      </c>
      <c r="E489" s="1055">
        <f>NPV(realdiscrt1,C$471:C489)/(1+realdiscrt2)^(1-Half_Year)</f>
        <v>1.8733963912426979</v>
      </c>
      <c r="F489" s="1030">
        <f>NPV(realdiscrt1,D$471:D489)/(1+realdiscrt2)^(1-Half_Year)</f>
        <v>0.19345399755419873</v>
      </c>
      <c r="G489" s="1019" t="str">
        <f t="shared" si="89"/>
        <v>2025-Top 20 Winter Hours-19</v>
      </c>
    </row>
    <row r="490" spans="1:7" s="466" customFormat="1">
      <c r="A490" s="1015">
        <f t="shared" si="91"/>
        <v>20</v>
      </c>
      <c r="B490" s="1016">
        <f t="shared" si="90"/>
        <v>2044</v>
      </c>
      <c r="C490" s="1017">
        <f t="shared" si="87"/>
        <v>0.12516186331842585</v>
      </c>
      <c r="D490" s="1485">
        <f t="shared" si="88"/>
        <v>0</v>
      </c>
      <c r="E490" s="1055">
        <f>NPV(realdiscrt1,C$471:C490)/(1+realdiscrt2)^(1-Half_Year)</f>
        <v>1.9682054263391542</v>
      </c>
      <c r="F490" s="1030">
        <f>NPV(realdiscrt1,D$471:D490)/(1+realdiscrt2)^(1-Half_Year)</f>
        <v>0.19345399755419873</v>
      </c>
      <c r="G490" s="1019" t="str">
        <f t="shared" si="89"/>
        <v>2025-Top 20 Winter Hours-20</v>
      </c>
    </row>
    <row r="491" spans="1:7" s="466" customFormat="1">
      <c r="A491" s="1015">
        <f t="shared" si="91"/>
        <v>21</v>
      </c>
      <c r="B491" s="1016">
        <f t="shared" si="90"/>
        <v>2045</v>
      </c>
      <c r="C491" s="1017">
        <f t="shared" si="87"/>
        <v>0.12667685162532405</v>
      </c>
      <c r="D491" s="1485">
        <f t="shared" si="88"/>
        <v>0</v>
      </c>
      <c r="E491" s="1055">
        <f>NPV(realdiscrt1,C$471:C491)/(1+realdiscrt2)^(1-Half_Year)</f>
        <v>2.0628707563902751</v>
      </c>
      <c r="F491" s="1030">
        <f>NPV(realdiscrt1,D$471:D491)/(1+realdiscrt2)^(1-Half_Year)</f>
        <v>0.19345399755419873</v>
      </c>
      <c r="G491" s="1019" t="str">
        <f t="shared" si="89"/>
        <v>2025-Top 20 Winter Hours-21</v>
      </c>
    </row>
    <row r="492" spans="1:7" s="466" customFormat="1">
      <c r="A492" s="1015">
        <f t="shared" si="91"/>
        <v>22</v>
      </c>
      <c r="B492" s="1016">
        <f t="shared" si="90"/>
        <v>2046</v>
      </c>
      <c r="C492" s="1017">
        <f t="shared" si="87"/>
        <v>0.12824916301136938</v>
      </c>
      <c r="D492" s="1485">
        <f t="shared" si="88"/>
        <v>0</v>
      </c>
      <c r="E492" s="1055">
        <f>NPV(realdiscrt1,C$471:C492)/(1+realdiscrt2)^(1-Half_Year)</f>
        <v>2.1574213407951359</v>
      </c>
      <c r="F492" s="1030">
        <f>NPV(realdiscrt1,D$471:D492)/(1+realdiscrt2)^(1-Half_Year)</f>
        <v>0.19345399755419873</v>
      </c>
      <c r="G492" s="1019" t="str">
        <f t="shared" si="89"/>
        <v>2025-Top 20 Winter Hours-22</v>
      </c>
    </row>
    <row r="493" spans="1:7" s="466" customFormat="1">
      <c r="A493" s="1015">
        <f t="shared" si="91"/>
        <v>23</v>
      </c>
      <c r="B493" s="1016">
        <f t="shared" si="90"/>
        <v>2047</v>
      </c>
      <c r="C493" s="1017">
        <f t="shared" si="87"/>
        <v>0.12987502445707144</v>
      </c>
      <c r="D493" s="1485">
        <f t="shared" si="88"/>
        <v>0</v>
      </c>
      <c r="E493" s="1055">
        <f>NPV(realdiscrt1,C$471:C493)/(1+realdiscrt2)^(1-Half_Year)</f>
        <v>2.2518820726569393</v>
      </c>
      <c r="F493" s="1030">
        <f>NPV(realdiscrt1,D$471:D493)/(1+realdiscrt2)^(1-Half_Year)</f>
        <v>0.19345399755419873</v>
      </c>
      <c r="G493" s="1019" t="str">
        <f t="shared" si="89"/>
        <v>2025-Top 20 Winter Hours-23</v>
      </c>
    </row>
    <row r="494" spans="1:7" s="466" customFormat="1">
      <c r="A494" s="1015">
        <f t="shared" si="91"/>
        <v>24</v>
      </c>
      <c r="B494" s="1016">
        <f t="shared" si="90"/>
        <v>2048</v>
      </c>
      <c r="C494" s="1017">
        <f t="shared" si="87"/>
        <v>0.13155120100307313</v>
      </c>
      <c r="D494" s="1485">
        <f t="shared" si="88"/>
        <v>0</v>
      </c>
      <c r="E494" s="1055">
        <f>NPV(realdiscrt1,C$471:C494)/(1+realdiscrt2)^(1-Half_Year)</f>
        <v>2.3462743505660848</v>
      </c>
      <c r="F494" s="1030">
        <f>NPV(realdiscrt1,D$471:D494)/(1+realdiscrt2)^(1-Half_Year)</f>
        <v>0.19345399755419873</v>
      </c>
      <c r="G494" s="1019" t="str">
        <f t="shared" si="89"/>
        <v>2025-Top 20 Winter Hours-24</v>
      </c>
    </row>
    <row r="495" spans="1:7" s="466" customFormat="1">
      <c r="A495" s="1015">
        <f t="shared" si="91"/>
        <v>25</v>
      </c>
      <c r="B495" s="1016">
        <f t="shared" si="90"/>
        <v>2049</v>
      </c>
      <c r="C495" s="1017">
        <f t="shared" si="87"/>
        <v>0.13327492713937442</v>
      </c>
      <c r="D495" s="1485">
        <f t="shared" si="88"/>
        <v>0</v>
      </c>
      <c r="E495" s="1052">
        <f>NPV(realdiscrt1,C$471:C495)/(1+realdiscrt2)^(1-Half_Year)</f>
        <v>2.4406165699823741</v>
      </c>
      <c r="F495" s="1031">
        <f>NPV(realdiscrt1,D$471:D495)/(1+realdiscrt2)^(1-Half_Year)</f>
        <v>0.19345399755419873</v>
      </c>
      <c r="G495" s="1019" t="str">
        <f t="shared" si="89"/>
        <v>2025-Top 20 Winter Hours-25</v>
      </c>
    </row>
    <row r="496" spans="1:7" s="466" customFormat="1" ht="20.25">
      <c r="A496" s="975">
        <f>Year3</f>
        <v>2026</v>
      </c>
      <c r="B496" s="976" t="str">
        <f>Year3&amp;"$"</f>
        <v>2026$</v>
      </c>
      <c r="C496" s="1046"/>
      <c r="D496" s="1480" t="s">
        <v>993</v>
      </c>
      <c r="E496" s="1481">
        <f>A496</f>
        <v>2026</v>
      </c>
      <c r="F496" s="1481" t="s">
        <v>992</v>
      </c>
      <c r="G496" s="1047"/>
    </row>
    <row r="497" spans="1:7" s="466" customFormat="1">
      <c r="A497" s="1015">
        <v>1</v>
      </c>
      <c r="B497" s="1016">
        <f>Year3</f>
        <v>2026</v>
      </c>
      <c r="C497" s="1048">
        <f t="shared" ref="C497:C521" si="92">VLOOKUP($B497,$I$443:$N$475,C$12,FALSE)*(1+Inflation3)^(Year3-Real_Year)</f>
        <v>0.10971156098662087</v>
      </c>
      <c r="D497" s="1489">
        <f t="shared" ref="D497:D521" si="93">VLOOKUP($B497-5,$I$443:$N$475,IF($A$17=Year1,D$12,D$12+1),FALSE)*(1+Inflation3)^(Year3-Real_Year)</f>
        <v>1.0256740216902222E-2</v>
      </c>
      <c r="E497" s="1053">
        <f>NPV(realdiscrt1,C$497:C497)/(1+realdiscrt3)^(2-Half_Year)</f>
        <v>0.10605773757636473</v>
      </c>
      <c r="F497" s="1054">
        <f>NPV(realdiscrt1,D$497:D497)/(1+realdiscrt3)^(2-Half_Year)</f>
        <v>9.9151507145707109E-3</v>
      </c>
      <c r="G497" s="1019" t="str">
        <f t="shared" ref="G497:G521" si="94">$A$71&amp;"-"&amp;$A$438&amp;"-"&amp;A497</f>
        <v>2026-Top 20 Winter Hours-1</v>
      </c>
    </row>
    <row r="498" spans="1:7" s="466" customFormat="1">
      <c r="A498" s="1015">
        <v>2</v>
      </c>
      <c r="B498" s="1016">
        <f t="shared" ref="B498:B521" si="95">B497+1</f>
        <v>2027</v>
      </c>
      <c r="C498" s="1049">
        <f t="shared" si="92"/>
        <v>0.10987117909455428</v>
      </c>
      <c r="D498" s="1485">
        <f t="shared" si="93"/>
        <v>2.0161071220328529E-2</v>
      </c>
      <c r="E498" s="1055">
        <f>NPV(realdiscrt1,C$497:C498)/(1+realdiscrt3)^(2-Half_Year)</f>
        <v>0.21084047380281487</v>
      </c>
      <c r="F498" s="1030">
        <f>NPV(realdiscrt1,D$497:D498)/(1+realdiscrt3)^(2-Half_Year)</f>
        <v>2.914250610596349E-2</v>
      </c>
      <c r="G498" s="1019" t="str">
        <f t="shared" si="94"/>
        <v>2026-Top 20 Winter Hours-2</v>
      </c>
    </row>
    <row r="499" spans="1:7" s="466" customFormat="1">
      <c r="A499" s="1015">
        <f t="shared" ref="A499:A521" si="96">A498+1</f>
        <v>3</v>
      </c>
      <c r="B499" s="1016">
        <f t="shared" si="95"/>
        <v>2028</v>
      </c>
      <c r="C499" s="1049">
        <f t="shared" si="92"/>
        <v>0.11037922157474851</v>
      </c>
      <c r="D499" s="1485">
        <f t="shared" si="93"/>
        <v>2.3874220133849846E-2</v>
      </c>
      <c r="E499" s="1055">
        <f>NPV(realdiscrt1,C$497:C499)/(1+realdiscrt3)^(2-Half_Year)</f>
        <v>0.31469113419450306</v>
      </c>
      <c r="F499" s="1030">
        <f>NPV(realdiscrt1,D$497:D499)/(1+realdiscrt3)^(2-Half_Year)</f>
        <v>5.1604646098116207E-2</v>
      </c>
      <c r="G499" s="1019" t="str">
        <f t="shared" si="94"/>
        <v>2026-Top 20 Winter Hours-3</v>
      </c>
    </row>
    <row r="500" spans="1:7" s="466" customFormat="1">
      <c r="A500" s="1015">
        <f t="shared" si="96"/>
        <v>4</v>
      </c>
      <c r="B500" s="1016">
        <f t="shared" si="95"/>
        <v>2029</v>
      </c>
      <c r="C500" s="1049">
        <f t="shared" si="92"/>
        <v>0.11428749180617853</v>
      </c>
      <c r="D500" s="1485">
        <f t="shared" si="93"/>
        <v>2.4588058181149244E-2</v>
      </c>
      <c r="E500" s="1055">
        <f>NPV(realdiscrt1,C$497:C500)/(1+realdiscrt3)^(2-Half_Year)</f>
        <v>0.42077189429865963</v>
      </c>
      <c r="F500" s="1030">
        <f>NPV(realdiscrt1,D$497:D500)/(1+realdiscrt3)^(2-Half_Year)</f>
        <v>7.4427090270441018E-2</v>
      </c>
      <c r="G500" s="1019" t="str">
        <f t="shared" si="94"/>
        <v>2026-Top 20 Winter Hours-4</v>
      </c>
    </row>
    <row r="501" spans="1:7" s="466" customFormat="1">
      <c r="A501" s="1015">
        <f t="shared" si="96"/>
        <v>5</v>
      </c>
      <c r="B501" s="1016">
        <f t="shared" si="95"/>
        <v>2030</v>
      </c>
      <c r="C501" s="1049">
        <f t="shared" si="92"/>
        <v>0.11949785926887312</v>
      </c>
      <c r="D501" s="1485">
        <f t="shared" si="93"/>
        <v>2.5456396964629532E-2</v>
      </c>
      <c r="E501" s="1055">
        <f>NPV(realdiscrt1,C$497:C501)/(1+realdiscrt3)^(2-Half_Year)</f>
        <v>0.53019625858857522</v>
      </c>
      <c r="F501" s="1030">
        <f>NPV(realdiscrt1,D$497:D501)/(1+realdiscrt3)^(2-Half_Year)</f>
        <v>9.773755015657809E-2</v>
      </c>
      <c r="G501" s="1019" t="str">
        <f t="shared" si="94"/>
        <v>2026-Top 20 Winter Hours-5</v>
      </c>
    </row>
    <row r="502" spans="1:7" s="466" customFormat="1">
      <c r="A502" s="1015">
        <f t="shared" si="96"/>
        <v>6</v>
      </c>
      <c r="B502" s="1016">
        <f t="shared" si="95"/>
        <v>2031</v>
      </c>
      <c r="C502" s="1049">
        <f t="shared" si="92"/>
        <v>0.12219561687759825</v>
      </c>
      <c r="D502" s="1485">
        <f t="shared" si="93"/>
        <v>2.4076606353305028E-2</v>
      </c>
      <c r="E502" s="1055">
        <f>NPV(realdiscrt1,C$497:C502)/(1+realdiscrt3)^(2-Half_Year)</f>
        <v>0.64058518785075047</v>
      </c>
      <c r="F502" s="1030">
        <f>NPV(realdiscrt1,D$497:D502)/(1+realdiscrt3)^(2-Half_Year)</f>
        <v>0.11948784581792332</v>
      </c>
      <c r="G502" s="1019" t="str">
        <f t="shared" si="94"/>
        <v>2026-Top 20 Winter Hours-6</v>
      </c>
    </row>
    <row r="503" spans="1:7" s="466" customFormat="1">
      <c r="A503" s="1015">
        <f t="shared" si="96"/>
        <v>7</v>
      </c>
      <c r="B503" s="1016">
        <f t="shared" si="95"/>
        <v>2032</v>
      </c>
      <c r="C503" s="1049">
        <f t="shared" si="92"/>
        <v>0.12304780099918226</v>
      </c>
      <c r="D503" s="1485">
        <f t="shared" si="93"/>
        <v>2.3244804251556714E-2</v>
      </c>
      <c r="E503" s="1055">
        <f>NPV(realdiscrt1,C$497:C503)/(1+realdiscrt3)^(2-Half_Year)</f>
        <v>0.75024809004159976</v>
      </c>
      <c r="F503" s="1030">
        <f>NPV(realdiscrt1,D$497:D503)/(1+realdiscrt3)^(2-Half_Year)</f>
        <v>0.14020412578704561</v>
      </c>
      <c r="G503" s="1019" t="str">
        <f t="shared" si="94"/>
        <v>2026-Top 20 Winter Hours-7</v>
      </c>
    </row>
    <row r="504" spans="1:7" s="466" customFormat="1">
      <c r="A504" s="1015">
        <f t="shared" si="96"/>
        <v>8</v>
      </c>
      <c r="B504" s="1016">
        <f t="shared" si="95"/>
        <v>2033</v>
      </c>
      <c r="C504" s="1049">
        <f t="shared" si="92"/>
        <v>0.11820021273538227</v>
      </c>
      <c r="D504" s="1485">
        <f t="shared" si="93"/>
        <v>2.2038439266694732E-2</v>
      </c>
      <c r="E504" s="1055">
        <f>NPV(realdiscrt1,C$497:C504)/(1+realdiscrt3)^(2-Half_Year)</f>
        <v>0.85417311135473151</v>
      </c>
      <c r="F504" s="1030">
        <f>NPV(realdiscrt1,D$497:D504)/(1+realdiscrt3)^(2-Half_Year)</f>
        <v>0.15958095445339379</v>
      </c>
      <c r="G504" s="1019" t="str">
        <f t="shared" si="94"/>
        <v>2026-Top 20 Winter Hours-8</v>
      </c>
    </row>
    <row r="505" spans="1:7" s="466" customFormat="1">
      <c r="A505" s="1015">
        <f t="shared" si="96"/>
        <v>9</v>
      </c>
      <c r="B505" s="1016">
        <f t="shared" si="95"/>
        <v>2034</v>
      </c>
      <c r="C505" s="1049">
        <f t="shared" si="92"/>
        <v>0.12330821641458303</v>
      </c>
      <c r="D505" s="1485">
        <f t="shared" si="93"/>
        <v>2.0665412292527108E-2</v>
      </c>
      <c r="E505" s="1055">
        <f>NPV(realdiscrt1,C$497:C505)/(1+realdiscrt3)^(2-Half_Year)</f>
        <v>0.9611302720928766</v>
      </c>
      <c r="F505" s="1030">
        <f>NPV(realdiscrt1,D$497:D505)/(1+realdiscrt3)^(2-Half_Year)</f>
        <v>0.17750606835545862</v>
      </c>
      <c r="G505" s="1019" t="str">
        <f t="shared" si="94"/>
        <v>2026-Top 20 Winter Hours-9</v>
      </c>
    </row>
    <row r="506" spans="1:7" s="466" customFormat="1">
      <c r="A506" s="1015">
        <f t="shared" si="96"/>
        <v>10</v>
      </c>
      <c r="B506" s="1016">
        <f t="shared" si="95"/>
        <v>2035</v>
      </c>
      <c r="C506" s="1049">
        <f t="shared" si="92"/>
        <v>0.12237268662091975</v>
      </c>
      <c r="D506" s="1485">
        <f t="shared" si="93"/>
        <v>1.7296185698447666E-2</v>
      </c>
      <c r="E506" s="1055">
        <f>NPV(realdiscrt1,C$497:C506)/(1+realdiscrt3)^(2-Half_Year)</f>
        <v>1.0658475466060233</v>
      </c>
      <c r="F506" s="1030">
        <f>NPV(realdiscrt1,D$497:D506)/(1+realdiscrt3)^(2-Half_Year)</f>
        <v>0.19230683375358532</v>
      </c>
      <c r="G506" s="1019" t="str">
        <f t="shared" si="94"/>
        <v>2026-Top 20 Winter Hours-10</v>
      </c>
    </row>
    <row r="507" spans="1:7" s="466" customFormat="1">
      <c r="A507" s="1015">
        <f t="shared" si="96"/>
        <v>11</v>
      </c>
      <c r="B507" s="1016">
        <f t="shared" si="95"/>
        <v>2036</v>
      </c>
      <c r="C507" s="1049">
        <f t="shared" si="92"/>
        <v>0.12310664918193506</v>
      </c>
      <c r="D507" s="1485">
        <f t="shared" si="93"/>
        <v>1.2517557512787089E-2</v>
      </c>
      <c r="E507" s="1055">
        <f>NPV(realdiscrt1,C$497:C507)/(1+realdiscrt3)^(2-Half_Year)</f>
        <v>1.1697752503144023</v>
      </c>
      <c r="F507" s="1030">
        <f>NPV(realdiscrt1,D$497:D507)/(1+realdiscrt3)^(2-Half_Year)</f>
        <v>0.20287426465180547</v>
      </c>
      <c r="G507" s="1019" t="str">
        <f t="shared" si="94"/>
        <v>2026-Top 20 Winter Hours-11</v>
      </c>
    </row>
    <row r="508" spans="1:7" s="466" customFormat="1">
      <c r="A508" s="1015">
        <f t="shared" si="96"/>
        <v>12</v>
      </c>
      <c r="B508" s="1016">
        <f t="shared" si="95"/>
        <v>2037</v>
      </c>
      <c r="C508" s="1049">
        <f t="shared" si="92"/>
        <v>0.12398227776448448</v>
      </c>
      <c r="D508" s="1485">
        <f t="shared" si="93"/>
        <v>0</v>
      </c>
      <c r="E508" s="1055">
        <f>NPV(realdiscrt1,C$497:C508)/(1+realdiscrt3)^(2-Half_Year)</f>
        <v>1.2730336565705338</v>
      </c>
      <c r="F508" s="1030">
        <f>NPV(realdiscrt1,D$497:D508)/(1+realdiscrt3)^(2-Half_Year)</f>
        <v>0.20287426465180547</v>
      </c>
      <c r="G508" s="1019" t="str">
        <f t="shared" si="94"/>
        <v>2026-Top 20 Winter Hours-12</v>
      </c>
    </row>
    <row r="509" spans="1:7" s="466" customFormat="1">
      <c r="A509" s="1015">
        <f t="shared" si="96"/>
        <v>13</v>
      </c>
      <c r="B509" s="1016">
        <f t="shared" si="95"/>
        <v>2038</v>
      </c>
      <c r="C509" s="1049">
        <f t="shared" si="92"/>
        <v>0.12498469458158459</v>
      </c>
      <c r="D509" s="1485">
        <f t="shared" si="93"/>
        <v>0</v>
      </c>
      <c r="E509" s="1055">
        <f>NPV(realdiscrt1,C$497:C509)/(1+realdiscrt3)^(2-Half_Year)</f>
        <v>1.3757261327157462</v>
      </c>
      <c r="F509" s="1030">
        <f>NPV(realdiscrt1,D$497:D509)/(1+realdiscrt3)^(2-Half_Year)</f>
        <v>0.20287426465180547</v>
      </c>
      <c r="G509" s="1019" t="str">
        <f t="shared" si="94"/>
        <v>2026-Top 20 Winter Hours-13</v>
      </c>
    </row>
    <row r="510" spans="1:7" s="466" customFormat="1">
      <c r="A510" s="1015">
        <f t="shared" si="96"/>
        <v>14</v>
      </c>
      <c r="B510" s="1016">
        <f t="shared" si="95"/>
        <v>2039</v>
      </c>
      <c r="C510" s="1049">
        <f t="shared" si="92"/>
        <v>0.12610098787418461</v>
      </c>
      <c r="D510" s="1485">
        <f t="shared" si="93"/>
        <v>0</v>
      </c>
      <c r="E510" s="1055">
        <f>NPV(realdiscrt1,C$497:C510)/(1+realdiscrt3)^(2-Half_Year)</f>
        <v>1.4779415173106001</v>
      </c>
      <c r="F510" s="1030">
        <f>NPV(realdiscrt1,D$497:D510)/(1+realdiscrt3)^(2-Half_Year)</f>
        <v>0.20287426465180547</v>
      </c>
      <c r="G510" s="1019" t="str">
        <f t="shared" si="94"/>
        <v>2026-Top 20 Winter Hours-14</v>
      </c>
    </row>
    <row r="511" spans="1:7" s="466" customFormat="1">
      <c r="A511" s="1015">
        <f t="shared" si="96"/>
        <v>15</v>
      </c>
      <c r="B511" s="1016">
        <f t="shared" si="95"/>
        <v>2040</v>
      </c>
      <c r="C511" s="1049">
        <f t="shared" si="92"/>
        <v>0.12731995919932973</v>
      </c>
      <c r="D511" s="1485">
        <f t="shared" si="93"/>
        <v>0</v>
      </c>
      <c r="E511" s="1055">
        <f>NPV(realdiscrt1,C$497:C511)/(1+realdiscrt3)^(2-Half_Year)</f>
        <v>1.5797561630928032</v>
      </c>
      <c r="F511" s="1030">
        <f>NPV(realdiscrt1,D$497:D511)/(1+realdiscrt3)^(2-Half_Year)</f>
        <v>0.20287426465180547</v>
      </c>
      <c r="G511" s="1019" t="str">
        <f t="shared" si="94"/>
        <v>2026-Top 20 Winter Hours-15</v>
      </c>
    </row>
    <row r="512" spans="1:7" s="466" customFormat="1">
      <c r="A512" s="1015">
        <f t="shared" si="96"/>
        <v>16</v>
      </c>
      <c r="B512" s="1016">
        <f t="shared" si="95"/>
        <v>2041</v>
      </c>
      <c r="C512" s="1049">
        <f t="shared" si="92"/>
        <v>0.12863190330069799</v>
      </c>
      <c r="D512" s="1485">
        <f t="shared" si="93"/>
        <v>0</v>
      </c>
      <c r="E512" s="1055">
        <f>NPV(realdiscrt1,C$497:C512)/(1+realdiscrt3)^(2-Half_Year)</f>
        <v>1.681235692666103</v>
      </c>
      <c r="F512" s="1030">
        <f>NPV(realdiscrt1,D$497:D512)/(1+realdiscrt3)^(2-Half_Year)</f>
        <v>0.20287426465180547</v>
      </c>
      <c r="G512" s="1019" t="str">
        <f t="shared" si="94"/>
        <v>2026-Top 20 Winter Hours-16</v>
      </c>
    </row>
    <row r="513" spans="1:17" s="466" customFormat="1">
      <c r="A513" s="1015">
        <f t="shared" si="96"/>
        <v>17</v>
      </c>
      <c r="B513" s="1016">
        <f t="shared" si="95"/>
        <v>2042</v>
      </c>
      <c r="C513" s="1049">
        <f t="shared" si="92"/>
        <v>0.1300284163620555</v>
      </c>
      <c r="D513" s="1485">
        <f t="shared" si="93"/>
        <v>0</v>
      </c>
      <c r="E513" s="1055">
        <f>NPV(realdiscrt1,C$497:C513)/(1+realdiscrt3)^(2-Half_Year)</f>
        <v>1.7824365073142761</v>
      </c>
      <c r="F513" s="1030">
        <f>NPV(realdiscrt1,D$497:D513)/(1+realdiscrt3)^(2-Half_Year)</f>
        <v>0.20287426465180547</v>
      </c>
      <c r="G513" s="1019" t="str">
        <f t="shared" si="94"/>
        <v>2026-Top 20 Winter Hours-17</v>
      </c>
    </row>
    <row r="514" spans="1:17" s="466" customFormat="1">
      <c r="A514" s="1015">
        <f t="shared" si="96"/>
        <v>18</v>
      </c>
      <c r="B514" s="1016">
        <f t="shared" si="95"/>
        <v>2043</v>
      </c>
      <c r="C514" s="1049">
        <f t="shared" si="92"/>
        <v>0.1315022289854518</v>
      </c>
      <c r="D514" s="1485">
        <f t="shared" si="93"/>
        <v>0</v>
      </c>
      <c r="E514" s="1055">
        <f>NPV(realdiscrt1,C$497:C514)/(1+realdiscrt3)^(2-Half_Year)</f>
        <v>1.8834070836543488</v>
      </c>
      <c r="F514" s="1030">
        <f>NPV(realdiscrt1,D$497:D514)/(1+realdiscrt3)^(2-Half_Year)</f>
        <v>0.20287426465180547</v>
      </c>
      <c r="G514" s="1019" t="str">
        <f t="shared" si="94"/>
        <v>2026-Top 20 Winter Hours-18</v>
      </c>
    </row>
    <row r="515" spans="1:17" s="466" customFormat="1">
      <c r="A515" s="1015">
        <f t="shared" si="96"/>
        <v>19</v>
      </c>
      <c r="B515" s="1016">
        <f t="shared" si="95"/>
        <v>2044</v>
      </c>
      <c r="C515" s="1049">
        <f t="shared" si="92"/>
        <v>0.13304706070748668</v>
      </c>
      <c r="D515" s="1485">
        <f t="shared" si="93"/>
        <v>0</v>
      </c>
      <c r="E515" s="1055">
        <f>NPV(realdiscrt1,C$497:C515)/(1+realdiscrt3)^(2-Half_Year)</f>
        <v>1.984189087961882</v>
      </c>
      <c r="F515" s="1030">
        <f>NPV(realdiscrt1,D$497:D515)/(1+realdiscrt3)^(2-Half_Year)</f>
        <v>0.20287426465180547</v>
      </c>
      <c r="G515" s="1019" t="str">
        <f t="shared" si="94"/>
        <v>2026-Top 20 Winter Hours-19</v>
      </c>
    </row>
    <row r="516" spans="1:17" s="466" customFormat="1">
      <c r="A516" s="1015">
        <f t="shared" si="96"/>
        <v>20</v>
      </c>
      <c r="B516" s="1016">
        <f t="shared" si="95"/>
        <v>2045</v>
      </c>
      <c r="C516" s="1049">
        <f t="shared" si="92"/>
        <v>0.13465749327771945</v>
      </c>
      <c r="D516" s="1485">
        <f t="shared" si="93"/>
        <v>0</v>
      </c>
      <c r="E516" s="1055">
        <f>NPV(realdiscrt1,C$497:C516)/(1+realdiscrt3)^(2-Half_Year)</f>
        <v>2.0848183338062238</v>
      </c>
      <c r="F516" s="1030">
        <f>NPV(realdiscrt1,D$497:D516)/(1+realdiscrt3)^(2-Half_Year)</f>
        <v>0.20287426465180547</v>
      </c>
      <c r="G516" s="1019" t="str">
        <f t="shared" si="94"/>
        <v>2026-Top 20 Winter Hours-20</v>
      </c>
    </row>
    <row r="517" spans="1:17" s="466" customFormat="1">
      <c r="A517" s="1015">
        <f t="shared" si="96"/>
        <v>21</v>
      </c>
      <c r="B517" s="1016">
        <f t="shared" si="95"/>
        <v>2046</v>
      </c>
      <c r="C517" s="1049">
        <f t="shared" si="92"/>
        <v>0.13632886028108565</v>
      </c>
      <c r="D517" s="1485">
        <f t="shared" si="93"/>
        <v>0</v>
      </c>
      <c r="E517" s="1055">
        <f>NPV(realdiscrt1,C$497:C517)/(1+realdiscrt3)^(2-Half_Year)</f>
        <v>2.1853256050285905</v>
      </c>
      <c r="F517" s="1030">
        <f>NPV(realdiscrt1,D$497:D517)/(1+realdiscrt3)^(2-Half_Year)</f>
        <v>0.20287426465180547</v>
      </c>
      <c r="G517" s="1019" t="str">
        <f t="shared" si="94"/>
        <v>2026-Top 20 Winter Hours-21</v>
      </c>
    </row>
    <row r="518" spans="1:17" s="466" customFormat="1">
      <c r="A518" s="1015">
        <f t="shared" si="96"/>
        <v>22</v>
      </c>
      <c r="B518" s="1016">
        <f t="shared" si="95"/>
        <v>2047</v>
      </c>
      <c r="C518" s="1049">
        <f t="shared" si="92"/>
        <v>0.13805715099786695</v>
      </c>
      <c r="D518" s="1485">
        <f t="shared" si="93"/>
        <v>0</v>
      </c>
      <c r="E518" s="1055">
        <f>NPV(realdiscrt1,C$497:C518)/(1+realdiscrt3)^(2-Half_Year)</f>
        <v>2.2857373629976876</v>
      </c>
      <c r="F518" s="1030">
        <f>NPV(realdiscrt1,D$497:D518)/(1+realdiscrt3)^(2-Half_Year)</f>
        <v>0.20287426465180547</v>
      </c>
      <c r="G518" s="1019" t="str">
        <f t="shared" si="94"/>
        <v>2026-Top 20 Winter Hours-22</v>
      </c>
    </row>
    <row r="519" spans="1:17" s="466" customFormat="1">
      <c r="A519" s="1015">
        <f t="shared" si="96"/>
        <v>23</v>
      </c>
      <c r="B519" s="1016">
        <f t="shared" si="95"/>
        <v>2048</v>
      </c>
      <c r="C519" s="1049">
        <f t="shared" si="92"/>
        <v>0.13983892666626674</v>
      </c>
      <c r="D519" s="1485">
        <f t="shared" si="93"/>
        <v>0</v>
      </c>
      <c r="E519" s="1055">
        <f>NPV(realdiscrt1,C$497:C519)/(1+realdiscrt3)^(2-Half_Year)</f>
        <v>2.3860763544151093</v>
      </c>
      <c r="F519" s="1030">
        <f>NPV(realdiscrt1,D$497:D519)/(1+realdiscrt3)^(2-Half_Year)</f>
        <v>0.20287426465180547</v>
      </c>
      <c r="G519" s="1019" t="str">
        <f t="shared" si="94"/>
        <v>2026-Top 20 Winter Hours-23</v>
      </c>
    </row>
    <row r="520" spans="1:17" s="466" customFormat="1">
      <c r="A520" s="1015">
        <f t="shared" si="96"/>
        <v>24</v>
      </c>
      <c r="B520" s="1016">
        <f t="shared" si="95"/>
        <v>2049</v>
      </c>
      <c r="C520" s="1049">
        <f t="shared" si="92"/>
        <v>0.141671247549155</v>
      </c>
      <c r="D520" s="1485">
        <f t="shared" si="93"/>
        <v>0</v>
      </c>
      <c r="E520" s="1055">
        <f>NPV(realdiscrt1,C$497:C520)/(1+realdiscrt3)^(2-Half_Year)</f>
        <v>2.4863621336546253</v>
      </c>
      <c r="F520" s="1030">
        <f>NPV(realdiscrt1,D$497:D520)/(1+realdiscrt3)^(2-Half_Year)</f>
        <v>0.20287426465180547</v>
      </c>
      <c r="G520" s="1019" t="str">
        <f t="shared" si="94"/>
        <v>2026-Top 20 Winter Hours-24</v>
      </c>
    </row>
    <row r="521" spans="1:17" s="466" customFormat="1">
      <c r="A521" s="1039">
        <f t="shared" si="96"/>
        <v>25</v>
      </c>
      <c r="B521" s="1051">
        <f t="shared" si="95"/>
        <v>2050</v>
      </c>
      <c r="C521" s="1050">
        <f t="shared" si="92"/>
        <v>0.143551609412574</v>
      </c>
      <c r="D521" s="1488">
        <f t="shared" si="93"/>
        <v>0</v>
      </c>
      <c r="E521" s="1052">
        <f>NPV(realdiscrt1,C$497:C521)/(1+realdiscrt3)^(2-Half_Year)</f>
        <v>2.5866115116531163</v>
      </c>
      <c r="F521" s="1031">
        <f>NPV(realdiscrt1,D$497:D521)/(1+realdiscrt3)^(2-Half_Year)</f>
        <v>0.20287426465180547</v>
      </c>
      <c r="G521" s="1032" t="str">
        <f t="shared" si="94"/>
        <v>2026-Top 20 Winter Hours-25</v>
      </c>
    </row>
    <row r="522" spans="1:17">
      <c r="H522" s="466"/>
      <c r="I522" s="466"/>
      <c r="J522" s="466"/>
      <c r="K522" s="466"/>
      <c r="L522" s="466"/>
      <c r="M522" s="466"/>
      <c r="N522" s="466"/>
      <c r="O522" s="466"/>
      <c r="P522" s="466"/>
      <c r="Q522" s="466"/>
    </row>
    <row r="523" spans="1:17" ht="23.25">
      <c r="A523" s="1735" t="str">
        <f>A10</f>
        <v>Winter Targeted Charge</v>
      </c>
      <c r="B523" s="1736"/>
      <c r="C523" s="1736"/>
      <c r="D523" s="1736"/>
      <c r="E523" s="1736"/>
      <c r="F523" s="1736"/>
      <c r="G523" s="1736"/>
      <c r="H523" s="1736"/>
      <c r="I523" s="1736"/>
      <c r="J523" s="1736"/>
      <c r="K523" s="1736"/>
      <c r="L523" s="1736"/>
      <c r="M523" s="1736"/>
      <c r="N523" s="1737"/>
      <c r="O523" s="466"/>
      <c r="P523" s="466"/>
      <c r="Q523" s="466"/>
    </row>
    <row r="524" spans="1:17" s="466" customFormat="1" ht="30" customHeight="1">
      <c r="A524" s="1738" t="s">
        <v>564</v>
      </c>
      <c r="B524" s="1739"/>
      <c r="C524" s="1056" t="s">
        <v>865</v>
      </c>
      <c r="D524" s="1057" t="s">
        <v>61</v>
      </c>
      <c r="E524" s="1056" t="s">
        <v>865</v>
      </c>
      <c r="F524" s="1056" t="s">
        <v>61</v>
      </c>
      <c r="G524" s="1058" t="s">
        <v>667</v>
      </c>
      <c r="I524" s="1731" t="s">
        <v>74</v>
      </c>
      <c r="J524" s="997" t="s">
        <v>861</v>
      </c>
      <c r="K524" s="997" t="s">
        <v>862</v>
      </c>
      <c r="L524" s="1320" t="s">
        <v>957</v>
      </c>
      <c r="M524" s="998" t="s">
        <v>863</v>
      </c>
      <c r="N524" s="1732" t="s">
        <v>864</v>
      </c>
    </row>
    <row r="525" spans="1:17" s="466" customFormat="1" ht="15">
      <c r="A525" s="999"/>
      <c r="B525" s="1000"/>
      <c r="C525" s="1001" t="s">
        <v>69</v>
      </c>
      <c r="D525" s="1002" t="s">
        <v>69</v>
      </c>
      <c r="E525" s="1001" t="s">
        <v>69</v>
      </c>
      <c r="F525" s="1001" t="s">
        <v>69</v>
      </c>
      <c r="G525" s="1003"/>
      <c r="I525" s="1731"/>
      <c r="J525" s="1004" t="s">
        <v>866</v>
      </c>
      <c r="K525" s="1004" t="s">
        <v>866</v>
      </c>
      <c r="L525" s="1005" t="s">
        <v>866</v>
      </c>
      <c r="M525" s="1005" t="s">
        <v>866</v>
      </c>
      <c r="N525" s="1732"/>
    </row>
    <row r="526" spans="1:17" s="466" customFormat="1" ht="20.25" customHeight="1">
      <c r="A526" s="1041" t="s">
        <v>571</v>
      </c>
      <c r="B526" s="1042"/>
      <c r="C526" s="1043"/>
      <c r="D526" s="1044"/>
      <c r="E526" s="1045" t="s">
        <v>604</v>
      </c>
      <c r="F526" s="973"/>
      <c r="G526" s="974"/>
      <c r="I526" s="1740"/>
      <c r="J526" s="1036" t="s">
        <v>69</v>
      </c>
      <c r="K526" s="1036" t="s">
        <v>69</v>
      </c>
      <c r="L526" s="1007" t="s">
        <v>69</v>
      </c>
      <c r="M526" s="1037" t="s">
        <v>69</v>
      </c>
      <c r="N526" s="1741"/>
    </row>
    <row r="527" spans="1:17" s="996" customFormat="1" ht="18" customHeight="1">
      <c r="A527" s="975">
        <f>Year1</f>
        <v>2024</v>
      </c>
      <c r="B527" s="976" t="str">
        <f>Year1&amp;"$"</f>
        <v>2024$</v>
      </c>
      <c r="C527" s="1008"/>
      <c r="D527" s="1480" t="s">
        <v>993</v>
      </c>
      <c r="E527" s="1481">
        <f>A527</f>
        <v>2024</v>
      </c>
      <c r="F527" s="1481" t="s">
        <v>992</v>
      </c>
      <c r="G527" s="1009"/>
      <c r="H527" s="979"/>
      <c r="I527" s="1011" t="s">
        <v>956</v>
      </c>
      <c r="J527" s="1012"/>
      <c r="K527" s="1012"/>
      <c r="L527" s="1012"/>
      <c r="M527" s="1013"/>
      <c r="N527" s="1014"/>
      <c r="O527" s="466"/>
      <c r="P527" s="466"/>
      <c r="Q527" s="466"/>
    </row>
    <row r="528" spans="1:17" s="466" customFormat="1" ht="14.25" customHeight="1">
      <c r="A528" s="1015">
        <v>1</v>
      </c>
      <c r="B528" s="1016">
        <f>Year1</f>
        <v>2024</v>
      </c>
      <c r="C528" s="1017">
        <f t="shared" ref="C528:C554" si="97">VLOOKUP($B528,$I$528:$N$560,C$12,FALSE)*(1+Inflation1)^(Year1-Real_Year)</f>
        <v>8.371329270962076E-2</v>
      </c>
      <c r="D528" s="1485">
        <f t="shared" ref="D528:D554" si="98">VLOOKUP($B528-3,$I$528:$N$560,IF($A$17=Year1,D$12,D$12+1),FALSE)*(1+Inflation1)^(Year1-Real_Year)</f>
        <v>4.032249080661604E-3</v>
      </c>
      <c r="E528" s="1053">
        <f>NPV(realdiscrt1,C$528:C528)/(1+realdiscrt1)^-Half_Year</f>
        <v>8.3148116770610181E-2</v>
      </c>
      <c r="F528" s="1054">
        <f>NPV(realdiscrt1,D$528:D528)/(1+realdiscrt1)^-Half_Year</f>
        <v>4.0050260425188748E-3</v>
      </c>
      <c r="G528" s="1019" t="str">
        <f t="shared" ref="G528:G554" si="99">$A$17&amp;"-"&amp;$A$523&amp;"-"&amp;A528</f>
        <v>2024-Winter Targeted Charge-1</v>
      </c>
      <c r="I528" s="1020">
        <v>2018</v>
      </c>
      <c r="J528" s="1325">
        <f t="shared" ref="J528:J560" si="100">(K528+$N528)*(1+WholesaleRiskPremium)</f>
        <v>0</v>
      </c>
      <c r="K528" s="1323"/>
      <c r="L528" s="1326"/>
      <c r="M528" s="1326"/>
      <c r="N528" s="1322">
        <f>INDEX(AESC!$H$184:$H$216,MATCH(I528,AESC!$B$184:$B$216,0))</f>
        <v>0</v>
      </c>
    </row>
    <row r="529" spans="1:16" s="466" customFormat="1">
      <c r="A529" s="1015">
        <v>2</v>
      </c>
      <c r="B529" s="1016">
        <f t="shared" ref="B529:B554" si="101">B528+1</f>
        <v>2025</v>
      </c>
      <c r="C529" s="1017">
        <f t="shared" si="97"/>
        <v>8.2292018365359446E-2</v>
      </c>
      <c r="D529" s="1485">
        <f t="shared" si="98"/>
        <v>7.9347548638840915E-3</v>
      </c>
      <c r="E529" s="1055">
        <f>NPV(realdiscrt1,C$528:C529)/(1+realdiscrt1)^-Half_Year</f>
        <v>0.16378462118366519</v>
      </c>
      <c r="F529" s="1030">
        <f>NPV(realdiscrt1,D$528:D529)/(1+realdiscrt1)^-Half_Year</f>
        <v>1.1780153063433382E-2</v>
      </c>
      <c r="G529" s="1019" t="str">
        <f t="shared" si="99"/>
        <v>2024-Winter Targeted Charge-2</v>
      </c>
      <c r="H529" s="996"/>
      <c r="I529" s="1020">
        <v>2019</v>
      </c>
      <c r="J529" s="1319">
        <f t="shared" si="100"/>
        <v>0</v>
      </c>
      <c r="K529" s="1323"/>
      <c r="L529" s="1327"/>
      <c r="M529" s="1327"/>
      <c r="N529" s="1321">
        <f>INDEX(AESC!$H$184:$H$216,MATCH(I529,AESC!$B$184:$B$216,0))</f>
        <v>0</v>
      </c>
    </row>
    <row r="530" spans="1:16" s="466" customFormat="1">
      <c r="A530" s="1015">
        <f t="shared" ref="A530:A554" si="102">A529+1</f>
        <v>3</v>
      </c>
      <c r="B530" s="1016">
        <f t="shared" si="101"/>
        <v>2026</v>
      </c>
      <c r="C530" s="1017">
        <f t="shared" si="97"/>
        <v>8.2630952243254133E-2</v>
      </c>
      <c r="D530" s="1485">
        <f t="shared" si="98"/>
        <v>9.4748965655354588E-3</v>
      </c>
      <c r="E530" s="1055">
        <f>NPV(realdiscrt1,C$528:C530)/(1+realdiscrt1)^-Half_Year</f>
        <v>0.24366364003901519</v>
      </c>
      <c r="F530" s="1030">
        <f>NPV(realdiscrt1,D$528:D530)/(1+realdiscrt1)^-Half_Year</f>
        <v>2.0939498573368322E-2</v>
      </c>
      <c r="G530" s="1019" t="str">
        <f t="shared" si="99"/>
        <v>2024-Winter Targeted Charge-3</v>
      </c>
      <c r="H530" s="1033"/>
      <c r="I530" s="1020">
        <v>2020</v>
      </c>
      <c r="J530" s="1319">
        <f t="shared" si="100"/>
        <v>0</v>
      </c>
      <c r="K530" s="1323"/>
      <c r="L530" s="1327"/>
      <c r="M530" s="1327"/>
      <c r="N530" s="1321">
        <f>INDEX(AESC!$H$184:$H$216,MATCH(I530,AESC!$B$184:$B$216,0))</f>
        <v>0</v>
      </c>
    </row>
    <row r="531" spans="1:16" s="466" customFormat="1">
      <c r="A531" s="1015">
        <f t="shared" si="102"/>
        <v>4</v>
      </c>
      <c r="B531" s="1016">
        <f t="shared" si="101"/>
        <v>2027</v>
      </c>
      <c r="C531" s="1017">
        <f t="shared" si="97"/>
        <v>8.3361116696932067E-2</v>
      </c>
      <c r="D531" s="1485">
        <f t="shared" si="98"/>
        <v>9.7744405538011982E-3</v>
      </c>
      <c r="E531" s="1055">
        <f>NPV(realdiscrt1,C$528:C531)/(1+realdiscrt1)^-Half_Year</f>
        <v>0.32316406930882263</v>
      </c>
      <c r="F531" s="1030">
        <f>NPV(realdiscrt1,D$528:D531)/(1+realdiscrt1)^-Half_Year</f>
        <v>3.0261257334404792E-2</v>
      </c>
      <c r="G531" s="1019" t="str">
        <f t="shared" si="99"/>
        <v>2024-Winter Targeted Charge-4</v>
      </c>
      <c r="I531" s="1020">
        <v>2021</v>
      </c>
      <c r="J531" s="1021">
        <f t="shared" si="100"/>
        <v>6.188755254467361E-2</v>
      </c>
      <c r="K531" s="1022">
        <v>4.5624051948475852E-2</v>
      </c>
      <c r="L531" s="1040">
        <v>3.3569707564323225E-3</v>
      </c>
      <c r="M531" s="1040">
        <v>0</v>
      </c>
      <c r="N531" s="1024">
        <f>INDEX(AESC!$H$184:$H$216,MATCH(I531,AESC!$B$184:$B$216,0))</f>
        <v>1.1679237444740446E-2</v>
      </c>
      <c r="P531" s="1328">
        <v>44198</v>
      </c>
    </row>
    <row r="532" spans="1:16" s="466" customFormat="1">
      <c r="A532" s="1015">
        <f t="shared" si="102"/>
        <v>5</v>
      </c>
      <c r="B532" s="1016">
        <f t="shared" si="101"/>
        <v>2028</v>
      </c>
      <c r="C532" s="1017">
        <f t="shared" si="97"/>
        <v>8.4024625883472898E-2</v>
      </c>
      <c r="D532" s="1485">
        <f t="shared" si="98"/>
        <v>9.7119827510817169E-3</v>
      </c>
      <c r="E532" s="1055">
        <f>NPV(realdiscrt1,C$528:C532)/(1+realdiscrt1)^-Half_Year</f>
        <v>0.40221892005583543</v>
      </c>
      <c r="F532" s="1030">
        <f>NPV(realdiscrt1,D$528:D532)/(1+realdiscrt1)^-Half_Year</f>
        <v>3.9398808841139256E-2</v>
      </c>
      <c r="G532" s="1019" t="str">
        <f t="shared" si="99"/>
        <v>2024-Winter Targeted Charge-5</v>
      </c>
      <c r="I532" s="1020">
        <v>2022</v>
      </c>
      <c r="J532" s="1021">
        <f t="shared" si="100"/>
        <v>7.0515808597753929E-2</v>
      </c>
      <c r="K532" s="1022">
        <v>5.4384560037626629E-2</v>
      </c>
      <c r="L532" s="1040">
        <v>6.6059262472812135E-3</v>
      </c>
      <c r="M532" s="1040">
        <v>0</v>
      </c>
      <c r="N532" s="1024">
        <f>INDEX(AESC!$H$184:$H$216,MATCH(I532,AESC!$B$184:$B$216,0))</f>
        <v>1.0907855330664046E-2</v>
      </c>
      <c r="P532" s="1328">
        <v>44199</v>
      </c>
    </row>
    <row r="533" spans="1:16" s="466" customFormat="1">
      <c r="A533" s="1015">
        <f t="shared" si="102"/>
        <v>6</v>
      </c>
      <c r="B533" s="1016">
        <f t="shared" si="101"/>
        <v>2029</v>
      </c>
      <c r="C533" s="1017">
        <f t="shared" si="97"/>
        <v>8.5516222026196978E-2</v>
      </c>
      <c r="D533" s="1485">
        <f t="shared" si="98"/>
        <v>9.5527854913797193E-3</v>
      </c>
      <c r="E533" s="1055">
        <f>NPV(realdiscrt1,C$528:C533)/(1+realdiscrt1)^-Half_Year</f>
        <v>0.4815944115502106</v>
      </c>
      <c r="F533" s="1030">
        <f>NPV(realdiscrt1,D$528:D533)/(1+realdiscrt1)^-Half_Year</f>
        <v>4.8265629960602616E-2</v>
      </c>
      <c r="G533" s="1019" t="str">
        <f t="shared" si="99"/>
        <v>2024-Winter Targeted Charge-6</v>
      </c>
      <c r="I533" s="1020">
        <v>2023</v>
      </c>
      <c r="J533" s="1021">
        <f t="shared" si="100"/>
        <v>6.9105847082981925E-2</v>
      </c>
      <c r="K533" s="1022">
        <v>5.3101865331494781E-2</v>
      </c>
      <c r="L533" s="1040">
        <v>7.8881413460462017E-3</v>
      </c>
      <c r="M533" s="1040">
        <v>0</v>
      </c>
      <c r="N533" s="1024">
        <f>INDEX(AESC!$H$184:$H$216,MATCH(I533,AESC!$B$184:$B$216,0))</f>
        <v>1.0885030115710697E-2</v>
      </c>
      <c r="P533" s="1328">
        <v>44203</v>
      </c>
    </row>
    <row r="534" spans="1:16">
      <c r="A534" s="1015">
        <f t="shared" si="102"/>
        <v>7</v>
      </c>
      <c r="B534" s="1016">
        <f t="shared" si="101"/>
        <v>2030</v>
      </c>
      <c r="C534" s="1017">
        <f t="shared" si="97"/>
        <v>9.0230152405467251E-2</v>
      </c>
      <c r="D534" s="1485">
        <f t="shared" si="98"/>
        <v>9.3117096369626836E-3</v>
      </c>
      <c r="E534" s="1055">
        <f>NPV(realdiscrt1,C$528:C534)/(1+realdiscrt1)^-Half_Year</f>
        <v>0.56421829391227962</v>
      </c>
      <c r="F534" s="1030">
        <f>NPV(realdiscrt1,D$528:D534)/(1+realdiscrt1)^-Half_Year</f>
        <v>5.6792376077320149E-2</v>
      </c>
      <c r="G534" s="1019" t="str">
        <f t="shared" si="99"/>
        <v>2024-Winter Targeted Charge-7</v>
      </c>
      <c r="H534" s="466"/>
      <c r="I534" s="1020">
        <v>2024</v>
      </c>
      <c r="J534" s="1021">
        <f t="shared" si="100"/>
        <v>6.9693878014288321E-2</v>
      </c>
      <c r="K534" s="1022">
        <v>5.5737287501754308E-2</v>
      </c>
      <c r="L534" s="1040">
        <v>8.1375208830633452E-3</v>
      </c>
      <c r="M534" s="1040">
        <v>0</v>
      </c>
      <c r="N534" s="1024">
        <f>INDEX(AESC!$H$184:$H$216,MATCH(I534,AESC!$B$184:$B$216,0))</f>
        <v>8.7940810299941326E-3</v>
      </c>
      <c r="P534" s="1328">
        <v>44204</v>
      </c>
    </row>
    <row r="535" spans="1:16" s="466" customFormat="1">
      <c r="A535" s="1015">
        <f t="shared" si="102"/>
        <v>8</v>
      </c>
      <c r="B535" s="1016">
        <f t="shared" si="101"/>
        <v>2031</v>
      </c>
      <c r="C535" s="1017">
        <f t="shared" si="97"/>
        <v>9.0496488380080703E-2</v>
      </c>
      <c r="D535" s="1485">
        <f t="shared" si="98"/>
        <v>8.8582002758093806E-3</v>
      </c>
      <c r="E535" s="1055">
        <f>NPV(realdiscrt1,C$528:C535)/(1+realdiscrt1)^-Half_Year</f>
        <v>0.64597090263531309</v>
      </c>
      <c r="F535" s="1030">
        <f>NPV(realdiscrt1,D$528:D535)/(1+realdiscrt1)^-Half_Year</f>
        <v>6.4794686377991573E-2</v>
      </c>
      <c r="G535" s="1019" t="str">
        <f t="shared" si="99"/>
        <v>2024-Winter Targeted Charge-8</v>
      </c>
      <c r="I535" s="1020">
        <v>2025</v>
      </c>
      <c r="J535" s="1021">
        <f t="shared" si="100"/>
        <v>6.8510623628185288E-2</v>
      </c>
      <c r="K535" s="1022">
        <v>5.6512720108624431E-2</v>
      </c>
      <c r="L535" s="1040">
        <v>8.0855228509363435E-3</v>
      </c>
      <c r="M535" s="1040">
        <v>0</v>
      </c>
      <c r="N535" s="1024">
        <f>INDEX(AESC!$H$184:$H$216,MATCH(I535,AESC!$B$184:$B$216,0))</f>
        <v>6.923042510065645E-3</v>
      </c>
      <c r="P535" s="1328">
        <v>44227</v>
      </c>
    </row>
    <row r="536" spans="1:16" s="996" customFormat="1" ht="15" customHeight="1">
      <c r="A536" s="1015">
        <f t="shared" si="102"/>
        <v>9</v>
      </c>
      <c r="B536" s="1016">
        <f t="shared" si="101"/>
        <v>2032</v>
      </c>
      <c r="C536" s="1017">
        <f t="shared" si="97"/>
        <v>9.1295322424298053E-2</v>
      </c>
      <c r="D536" s="1485">
        <f t="shared" si="98"/>
        <v>8.1549473302633627E-3</v>
      </c>
      <c r="E536" s="1055">
        <f>NPV(realdiscrt1,C$528:C536)/(1+realdiscrt1)^-Half_Year</f>
        <v>0.72733529868465319</v>
      </c>
      <c r="F536" s="1030">
        <f>NPV(realdiscrt1,D$528:D536)/(1+realdiscrt1)^-Half_Year</f>
        <v>7.2062554508817767E-2</v>
      </c>
      <c r="G536" s="1019" t="str">
        <f t="shared" si="99"/>
        <v>2024-Winter Targeted Charge-9</v>
      </c>
      <c r="H536" s="466"/>
      <c r="I536" s="1020">
        <v>2026</v>
      </c>
      <c r="J536" s="1021">
        <f t="shared" si="100"/>
        <v>6.8792796453746446E-2</v>
      </c>
      <c r="K536" s="1022">
        <v>5.7230556666323956E-2</v>
      </c>
      <c r="L536" s="1040">
        <v>7.952986260405066E-3</v>
      </c>
      <c r="M536" s="1040">
        <v>0</v>
      </c>
      <c r="N536" s="1024">
        <f>INDEX(AESC!$H$184:$H$216,MATCH(I536,AESC!$B$184:$B$216,0))</f>
        <v>6.4664770871449753E-3</v>
      </c>
      <c r="P536" s="1328">
        <v>44532</v>
      </c>
    </row>
    <row r="537" spans="1:16" s="466" customFormat="1">
      <c r="A537" s="1015">
        <f t="shared" si="102"/>
        <v>10</v>
      </c>
      <c r="B537" s="1016">
        <f t="shared" si="101"/>
        <v>2033</v>
      </c>
      <c r="C537" s="1017">
        <f t="shared" si="97"/>
        <v>8.8028226566904275E-2</v>
      </c>
      <c r="D537" s="1485">
        <f t="shared" si="98"/>
        <v>6.854403244666251E-3</v>
      </c>
      <c r="E537" s="1055">
        <f>NPV(realdiscrt1,C$528:C537)/(1+realdiscrt1)^-Half_Year</f>
        <v>0.80473224332978099</v>
      </c>
      <c r="F537" s="1030">
        <f>NPV(realdiscrt1,D$528:D537)/(1+realdiscrt1)^-Half_Year</f>
        <v>7.8089142674826237E-2</v>
      </c>
      <c r="G537" s="1019" t="str">
        <f t="shared" si="99"/>
        <v>2024-Winter Targeted Charge-10</v>
      </c>
      <c r="H537" s="979"/>
      <c r="I537" s="1020">
        <v>2027</v>
      </c>
      <c r="J537" s="1021">
        <f t="shared" si="100"/>
        <v>6.9400680706269119E-2</v>
      </c>
      <c r="K537" s="1022">
        <v>5.8174157203310109E-2</v>
      </c>
      <c r="L537" s="1040">
        <v>7.7522832340862794E-3</v>
      </c>
      <c r="M537" s="1040">
        <v>0</v>
      </c>
      <c r="N537" s="1024">
        <f>INDEX(AESC!$H$184:$H$216,MATCH(I537,AESC!$B$184:$B$216,0))</f>
        <v>6.0857323395316605E-3</v>
      </c>
      <c r="P537" s="1328">
        <v>44534</v>
      </c>
    </row>
    <row r="538" spans="1:16" s="466" customFormat="1">
      <c r="A538" s="1015">
        <f t="shared" si="102"/>
        <v>11</v>
      </c>
      <c r="B538" s="1016">
        <f t="shared" si="101"/>
        <v>2034</v>
      </c>
      <c r="C538" s="1017">
        <f t="shared" si="97"/>
        <v>8.9143784686754268E-2</v>
      </c>
      <c r="D538" s="1485">
        <f t="shared" si="98"/>
        <v>4.7551271162372555E-3</v>
      </c>
      <c r="E538" s="1055">
        <f>NPV(realdiscrt1,C$528:C538)/(1+realdiscrt1)^-Half_Year</f>
        <v>0.88205528298425928</v>
      </c>
      <c r="F538" s="1030">
        <f>NPV(realdiscrt1,D$528:D538)/(1+realdiscrt1)^-Half_Year</f>
        <v>8.2213725043220248E-2</v>
      </c>
      <c r="G538" s="1019" t="str">
        <f t="shared" si="99"/>
        <v>2024-Winter Targeted Charge-11</v>
      </c>
      <c r="I538" s="1020">
        <v>2028</v>
      </c>
      <c r="J538" s="1021">
        <f t="shared" si="100"/>
        <v>6.9953072409084341E-2</v>
      </c>
      <c r="K538" s="1022">
        <v>5.9140500144413397E-2</v>
      </c>
      <c r="L538" s="1040">
        <v>7.3747228124195338E-3</v>
      </c>
      <c r="M538" s="1040">
        <v>0</v>
      </c>
      <c r="N538" s="1024">
        <f>INDEX(AESC!$H$184:$H$216,MATCH(I538,AESC!$B$184:$B$216,0))</f>
        <v>5.6308631973313586E-3</v>
      </c>
      <c r="P538" s="1328">
        <v>44538</v>
      </c>
    </row>
    <row r="539" spans="1:16" s="466" customFormat="1">
      <c r="A539" s="1015">
        <f t="shared" si="102"/>
        <v>12</v>
      </c>
      <c r="B539" s="1016">
        <f t="shared" si="101"/>
        <v>2035</v>
      </c>
      <c r="C539" s="1017">
        <f t="shared" si="97"/>
        <v>8.9858681347605843E-2</v>
      </c>
      <c r="D539" s="1485">
        <f t="shared" si="98"/>
        <v>0</v>
      </c>
      <c r="E539" s="1055">
        <f>NPV(realdiscrt1,C$528:C539)/(1+realdiscrt1)^-Half_Year</f>
        <v>0.9589495349770728</v>
      </c>
      <c r="F539" s="1030">
        <f>NPV(realdiscrt1,D$528:D539)/(1+realdiscrt1)^-Half_Year</f>
        <v>8.2213725043220248E-2</v>
      </c>
      <c r="G539" s="1019" t="str">
        <f t="shared" si="99"/>
        <v>2024-Winter Targeted Charge-12</v>
      </c>
      <c r="H539" s="996"/>
      <c r="I539" s="1020">
        <v>2029</v>
      </c>
      <c r="J539" s="1021">
        <f t="shared" si="100"/>
        <v>7.1194871844428353E-2</v>
      </c>
      <c r="K539" s="1022">
        <v>6.0561733902462007E-2</v>
      </c>
      <c r="L539" s="1040">
        <v>6.789243213975304E-3</v>
      </c>
      <c r="M539" s="1040">
        <v>0</v>
      </c>
      <c r="N539" s="1024">
        <f>INDEX(AESC!$H$184:$H$216,MATCH(I539,AESC!$B$184:$B$216,0))</f>
        <v>5.3594437312679526E-3</v>
      </c>
      <c r="P539" s="1328">
        <v>44539</v>
      </c>
    </row>
    <row r="540" spans="1:16" s="466" customFormat="1">
      <c r="A540" s="1015">
        <f t="shared" si="102"/>
        <v>13</v>
      </c>
      <c r="B540" s="1016">
        <f t="shared" si="101"/>
        <v>2036</v>
      </c>
      <c r="C540" s="1017">
        <f t="shared" si="97"/>
        <v>8.9894680879396505E-2</v>
      </c>
      <c r="D540" s="1485">
        <f t="shared" si="98"/>
        <v>0</v>
      </c>
      <c r="E540" s="1055">
        <f>NPV(realdiscrt1,C$528:C540)/(1+realdiscrt1)^-Half_Year</f>
        <v>1.0348394062510944</v>
      </c>
      <c r="F540" s="1030">
        <f>NPV(realdiscrt1,D$528:D540)/(1+realdiscrt1)^-Half_Year</f>
        <v>8.2213725043220248E-2</v>
      </c>
      <c r="G540" s="1019" t="str">
        <f t="shared" si="99"/>
        <v>2024-Winter Targeted Charge-13</v>
      </c>
      <c r="I540" s="1020">
        <v>2030</v>
      </c>
      <c r="J540" s="1021">
        <f t="shared" si="100"/>
        <v>7.5119363143083887E-2</v>
      </c>
      <c r="K540" s="1022">
        <v>6.1406873206257082E-2</v>
      </c>
      <c r="L540" s="1040">
        <v>5.7065004628543406E-3</v>
      </c>
      <c r="M540" s="1040">
        <v>0</v>
      </c>
      <c r="N540" s="1024">
        <f>INDEX(AESC!$H$184:$H$216,MATCH(I540,AESC!$B$184:$B$216,0))</f>
        <v>8.1480926669687433E-3</v>
      </c>
      <c r="P540" s="1328">
        <v>44546</v>
      </c>
    </row>
    <row r="541" spans="1:16" s="466" customFormat="1">
      <c r="A541" s="1015">
        <f t="shared" si="102"/>
        <v>14</v>
      </c>
      <c r="B541" s="1016">
        <f t="shared" si="101"/>
        <v>2037</v>
      </c>
      <c r="C541" s="1017">
        <f t="shared" si="97"/>
        <v>9.00437285470716E-2</v>
      </c>
      <c r="D541" s="1485">
        <f t="shared" si="98"/>
        <v>0</v>
      </c>
      <c r="E541" s="1055">
        <f>NPV(realdiscrt1,C$528:C541)/(1+realdiscrt1)^-Half_Year</f>
        <v>1.1098321557857682</v>
      </c>
      <c r="F541" s="1030">
        <f>NPV(realdiscrt1,D$528:D541)/(1+realdiscrt1)^-Half_Year</f>
        <v>8.2213725043220248E-2</v>
      </c>
      <c r="G541" s="1019" t="str">
        <f t="shared" si="99"/>
        <v>2024-Winter Targeted Charge-14</v>
      </c>
      <c r="I541" s="1020">
        <v>2031</v>
      </c>
      <c r="J541" s="1021">
        <f t="shared" si="100"/>
        <v>7.5341095992488255E-2</v>
      </c>
      <c r="K541" s="1022">
        <v>6.1858573000191701E-2</v>
      </c>
      <c r="L541" s="1040">
        <v>3.9587888429024522E-3</v>
      </c>
      <c r="M541" s="1040">
        <v>0</v>
      </c>
      <c r="N541" s="1024">
        <f>INDEX(AESC!$H$184:$H$216,MATCH(I541,AESC!$B$184:$B$216,0))</f>
        <v>7.901701066927053E-3</v>
      </c>
      <c r="P541"/>
    </row>
    <row r="542" spans="1:16" s="466" customFormat="1">
      <c r="A542" s="1015">
        <f t="shared" si="102"/>
        <v>15</v>
      </c>
      <c r="B542" s="1016">
        <f t="shared" si="101"/>
        <v>2038</v>
      </c>
      <c r="C542" s="1017">
        <f t="shared" si="97"/>
        <v>9.0292445540320579E-2</v>
      </c>
      <c r="D542" s="1485">
        <f t="shared" si="98"/>
        <v>0</v>
      </c>
      <c r="E542" s="1055">
        <f>NPV(realdiscrt1,C$528:C542)/(1+realdiscrt1)^-Half_Year</f>
        <v>1.1840200780812431</v>
      </c>
      <c r="F542" s="1030">
        <f>NPV(realdiscrt1,D$528:D542)/(1+realdiscrt1)^-Half_Year</f>
        <v>8.2213725043220248E-2</v>
      </c>
      <c r="G542" s="1019" t="str">
        <f t="shared" si="99"/>
        <v>2024-Winter Targeted Charge-15</v>
      </c>
      <c r="I542" s="1020">
        <v>2032</v>
      </c>
      <c r="J542" s="1021">
        <f t="shared" si="100"/>
        <v>7.6006149780594071E-2</v>
      </c>
      <c r="K542" s="1022">
        <v>6.2703644754360299E-2</v>
      </c>
      <c r="L542" s="1040">
        <v>0</v>
      </c>
      <c r="M542" s="1040">
        <v>0</v>
      </c>
      <c r="N542" s="1024">
        <f>INDEX(AESC!$H$184:$H$216,MATCH(I542,AESC!$B$184:$B$216,0))</f>
        <v>7.6724198573008698E-3</v>
      </c>
      <c r="P542"/>
    </row>
    <row r="543" spans="1:16" s="466" customFormat="1">
      <c r="A543" s="1015">
        <f t="shared" si="102"/>
        <v>16</v>
      </c>
      <c r="B543" s="1016">
        <f t="shared" si="101"/>
        <v>2039</v>
      </c>
      <c r="C543" s="1017">
        <f t="shared" si="97"/>
        <v>9.0629189542639613E-2</v>
      </c>
      <c r="D543" s="1485">
        <f t="shared" si="98"/>
        <v>0</v>
      </c>
      <c r="E543" s="1055">
        <f>NPV(realdiscrt1,C$528:C543)/(1+realdiscrt1)^-Half_Year</f>
        <v>1.2574826069701011</v>
      </c>
      <c r="F543" s="1030">
        <f>NPV(realdiscrt1,D$528:D543)/(1+realdiscrt1)^-Half_Year</f>
        <v>8.2213725043220248E-2</v>
      </c>
      <c r="G543" s="1019" t="str">
        <f t="shared" si="99"/>
        <v>2024-Winter Targeted Charge-16</v>
      </c>
      <c r="I543" s="1020">
        <v>2033</v>
      </c>
      <c r="J543" s="1021">
        <f t="shared" si="100"/>
        <v>7.3286192498110775E-2</v>
      </c>
      <c r="K543" s="1022">
        <v>6.3297843747592092E-2</v>
      </c>
      <c r="L543" s="1040">
        <v>0</v>
      </c>
      <c r="M543" s="1040">
        <v>0</v>
      </c>
      <c r="N543" s="1024">
        <f>INDEX(AESC!$H$184:$H$216,MATCH(I543,AESC!$B$184:$B$216,0))</f>
        <v>4.5597418988067746E-3</v>
      </c>
      <c r="P543"/>
    </row>
    <row r="544" spans="1:16" s="466" customFormat="1">
      <c r="A544" s="1015">
        <f t="shared" si="102"/>
        <v>17</v>
      </c>
      <c r="B544" s="1016">
        <f t="shared" si="101"/>
        <v>2040</v>
      </c>
      <c r="C544" s="1017">
        <f t="shared" si="97"/>
        <v>9.1043831034032158E-2</v>
      </c>
      <c r="D544" s="1485">
        <f t="shared" si="98"/>
        <v>0</v>
      </c>
      <c r="E544" s="1055">
        <f>NPV(realdiscrt1,C$528:C544)/(1+realdiscrt1)^-Half_Year</f>
        <v>1.3302881236045545</v>
      </c>
      <c r="F544" s="1030">
        <f>NPV(realdiscrt1,D$528:D544)/(1+realdiscrt1)^-Half_Year</f>
        <v>8.2213725043220248E-2</v>
      </c>
      <c r="G544" s="1019" t="str">
        <f t="shared" si="99"/>
        <v>2024-Winter Targeted Charge-17</v>
      </c>
      <c r="I544" s="1020">
        <v>2034</v>
      </c>
      <c r="J544" s="1021">
        <f t="shared" si="100"/>
        <v>7.4214928771719799E-2</v>
      </c>
      <c r="K544" s="1022">
        <v>6.4037991088907981E-2</v>
      </c>
      <c r="L544" s="1040">
        <v>0</v>
      </c>
      <c r="M544" s="1040">
        <v>0</v>
      </c>
      <c r="N544" s="1024">
        <f>INDEX(AESC!$H$184:$H$216,MATCH(I544,AESC!$B$184:$B$216,0))</f>
        <v>4.6795355515733099E-3</v>
      </c>
      <c r="P544"/>
    </row>
    <row r="545" spans="1:16" s="466" customFormat="1">
      <c r="A545" s="1015">
        <f t="shared" si="102"/>
        <v>18</v>
      </c>
      <c r="B545" s="1016">
        <f t="shared" si="101"/>
        <v>2041</v>
      </c>
      <c r="C545" s="1017">
        <f t="shared" si="97"/>
        <v>9.1527558427672795E-2</v>
      </c>
      <c r="D545" s="1485">
        <f t="shared" si="98"/>
        <v>0</v>
      </c>
      <c r="E545" s="1055">
        <f>NPV(realdiscrt1,C$528:C545)/(1+realdiscrt1)^-Half_Year</f>
        <v>1.4024955102162595</v>
      </c>
      <c r="F545" s="1030">
        <f>NPV(realdiscrt1,D$528:D545)/(1+realdiscrt1)^-Half_Year</f>
        <v>8.2213725043220248E-2</v>
      </c>
      <c r="G545" s="1019" t="str">
        <f t="shared" si="99"/>
        <v>2024-Winter Targeted Charge-18</v>
      </c>
      <c r="I545" s="1020">
        <v>2035</v>
      </c>
      <c r="J545" s="1021">
        <f t="shared" si="100"/>
        <v>7.4810102119482358E-2</v>
      </c>
      <c r="K545" s="1022">
        <v>6.4420979002636103E-2</v>
      </c>
      <c r="L545" s="1040">
        <v>0</v>
      </c>
      <c r="M545" s="1040">
        <v>0</v>
      </c>
      <c r="N545" s="1024">
        <f>INDEX(AESC!$H$184:$H$216,MATCH(I545,AESC!$B$184:$B$216,0))</f>
        <v>4.8476340709586799E-3</v>
      </c>
      <c r="P545"/>
    </row>
    <row r="546" spans="1:16" s="466" customFormat="1">
      <c r="A546" s="1015">
        <f t="shared" si="102"/>
        <v>19</v>
      </c>
      <c r="B546" s="1016">
        <f t="shared" si="101"/>
        <v>2042</v>
      </c>
      <c r="C546" s="1017">
        <f t="shared" si="97"/>
        <v>9.2072708324088398E-2</v>
      </c>
      <c r="D546" s="1485">
        <f t="shared" si="98"/>
        <v>0</v>
      </c>
      <c r="E546" s="1055">
        <f>NPV(realdiscrt1,C$528:C546)/(1+realdiscrt1)^-Half_Year</f>
        <v>1.4741554853967347</v>
      </c>
      <c r="F546" s="1030">
        <f>NPV(realdiscrt1,D$528:D546)/(1+realdiscrt1)^-Half_Year</f>
        <v>8.2213725043220248E-2</v>
      </c>
      <c r="G546" s="1019" t="str">
        <f t="shared" si="99"/>
        <v>2024-Winter Targeted Charge-19</v>
      </c>
      <c r="I546" s="1020">
        <v>2036</v>
      </c>
      <c r="J546" s="1021">
        <f t="shared" si="100"/>
        <v>7.4840072831372673E-2</v>
      </c>
      <c r="K546" s="1022">
        <v>6.5073549431844527E-2</v>
      </c>
      <c r="L546" s="1040">
        <v>0</v>
      </c>
      <c r="M546" s="1040">
        <v>0</v>
      </c>
      <c r="N546" s="1024">
        <f>INDEX(AESC!$H$184:$H$216,MATCH(I546,AESC!$B$184:$B$216,0))</f>
        <v>4.2228143009079497E-3</v>
      </c>
      <c r="P546"/>
    </row>
    <row r="547" spans="1:16" s="466" customFormat="1">
      <c r="A547" s="1015">
        <f t="shared" si="102"/>
        <v>20</v>
      </c>
      <c r="B547" s="1016">
        <f t="shared" si="101"/>
        <v>2043</v>
      </c>
      <c r="C547" s="1017">
        <f t="shared" si="97"/>
        <v>9.2672617645430097E-2</v>
      </c>
      <c r="D547" s="1485">
        <f t="shared" si="98"/>
        <v>0</v>
      </c>
      <c r="E547" s="1055">
        <f>NPV(realdiscrt1,C$528:C547)/(1+realdiscrt1)^-Half_Year</f>
        <v>1.545311751619701</v>
      </c>
      <c r="F547" s="1030">
        <f>NPV(realdiscrt1,D$528:D547)/(1+realdiscrt1)^-Half_Year</f>
        <v>8.2213725043220248E-2</v>
      </c>
      <c r="G547" s="1019" t="str">
        <f t="shared" si="99"/>
        <v>2024-Winter Targeted Charge-20</v>
      </c>
      <c r="I547" s="1020">
        <v>2037</v>
      </c>
      <c r="J547" s="1021">
        <f t="shared" si="100"/>
        <v>7.4964159575938966E-2</v>
      </c>
      <c r="K547" s="1022">
        <v>6.5732730256791591E-2</v>
      </c>
      <c r="L547" s="1040">
        <v>0</v>
      </c>
      <c r="M547" s="1040">
        <v>0</v>
      </c>
      <c r="N547" s="1024">
        <f>INDEX(AESC!$H$184:$H$216,MATCH(I547,AESC!$B$184:$B$216,0))</f>
        <v>3.6785286098185554E-3</v>
      </c>
      <c r="P547"/>
    </row>
    <row r="548" spans="1:16" s="466" customFormat="1">
      <c r="A548" s="1015">
        <f t="shared" si="102"/>
        <v>21</v>
      </c>
      <c r="B548" s="1016">
        <f t="shared" si="101"/>
        <v>2044</v>
      </c>
      <c r="C548" s="1017">
        <f t="shared" si="97"/>
        <v>9.3321494829686283E-2</v>
      </c>
      <c r="D548" s="1485">
        <f t="shared" si="98"/>
        <v>0</v>
      </c>
      <c r="E548" s="1055">
        <f>NPV(realdiscrt1,C$528:C548)/(1+realdiscrt1)^-Half_Year</f>
        <v>1.6160019814068041</v>
      </c>
      <c r="F548" s="1030">
        <f>NPV(realdiscrt1,D$528:D548)/(1+realdiscrt1)^-Half_Year</f>
        <v>8.2213725043220248E-2</v>
      </c>
      <c r="G548" s="1019" t="str">
        <f t="shared" si="99"/>
        <v>2024-Winter Targeted Charge-21</v>
      </c>
      <c r="I548" s="1020">
        <v>2038</v>
      </c>
      <c r="J548" s="1021">
        <f t="shared" si="100"/>
        <v>7.5171224084173066E-2</v>
      </c>
      <c r="K548" s="1022">
        <v>6.6398588439340503E-2</v>
      </c>
      <c r="L548" s="1040">
        <v>0</v>
      </c>
      <c r="M548" s="1040">
        <v>0</v>
      </c>
      <c r="N548" s="1024">
        <f>INDEX(AESC!$H$184:$H$216,MATCH(I548,AESC!$B$184:$B$216,0))</f>
        <v>3.2043968237827087E-3</v>
      </c>
      <c r="P548"/>
    </row>
    <row r="549" spans="1:16" s="466" customFormat="1">
      <c r="A549" s="1015">
        <f t="shared" si="102"/>
        <v>22</v>
      </c>
      <c r="B549" s="1016">
        <f t="shared" si="101"/>
        <v>2045</v>
      </c>
      <c r="C549" s="1017">
        <f t="shared" si="97"/>
        <v>9.4014307628182484E-2</v>
      </c>
      <c r="D549" s="1485">
        <f t="shared" si="98"/>
        <v>0</v>
      </c>
      <c r="E549" s="1055">
        <f>NPV(realdiscrt1,C$528:C549)/(1+realdiscrt1)^-Half_Year</f>
        <v>1.6862586648257527</v>
      </c>
      <c r="F549" s="1030">
        <f>NPV(realdiscrt1,D$528:D549)/(1+realdiscrt1)^-Half_Year</f>
        <v>8.2213725043220248E-2</v>
      </c>
      <c r="G549" s="1019" t="str">
        <f t="shared" si="99"/>
        <v>2024-Winter Targeted Charge-22</v>
      </c>
      <c r="I549" s="1020">
        <v>2039</v>
      </c>
      <c r="J549" s="1021">
        <f t="shared" si="100"/>
        <v>7.5451573771301891E-2</v>
      </c>
      <c r="K549" s="1022">
        <v>6.7071191619663503E-2</v>
      </c>
      <c r="L549" s="1040">
        <v>0</v>
      </c>
      <c r="M549" s="1040">
        <v>0</v>
      </c>
      <c r="N549" s="1024">
        <f>INDEX(AESC!$H$184:$H$216,MATCH(I549,AESC!$B$184:$B$216,0))</f>
        <v>2.7913766870975056E-3</v>
      </c>
      <c r="P549"/>
    </row>
    <row r="550" spans="1:16" s="466" customFormat="1">
      <c r="A550" s="1015">
        <f t="shared" si="102"/>
        <v>23</v>
      </c>
      <c r="B550" s="1016">
        <f t="shared" si="101"/>
        <v>2046</v>
      </c>
      <c r="C550" s="1017">
        <f t="shared" si="97"/>
        <v>9.4746685366354333E-2</v>
      </c>
      <c r="D550" s="1485">
        <f t="shared" si="98"/>
        <v>0</v>
      </c>
      <c r="E550" s="1055">
        <f>NPV(realdiscrt1,C$528:C550)/(1+realdiscrt1)^-Half_Year</f>
        <v>1.7561098378195135</v>
      </c>
      <c r="F550" s="1030">
        <f>NPV(realdiscrt1,D$528:D550)/(1+realdiscrt1)^-Half_Year</f>
        <v>8.2213725043220248E-2</v>
      </c>
      <c r="G550" s="1019" t="str">
        <f t="shared" si="99"/>
        <v>2024-Winter Targeted Charge-23</v>
      </c>
      <c r="I550" s="1020">
        <v>2040</v>
      </c>
      <c r="J550" s="1021">
        <f t="shared" si="100"/>
        <v>7.5796775501939986E-2</v>
      </c>
      <c r="K550" s="1022">
        <v>6.775060812311301E-2</v>
      </c>
      <c r="L550" s="1040">
        <v>0</v>
      </c>
      <c r="M550" s="1040">
        <v>0</v>
      </c>
      <c r="N550" s="1024">
        <f>INDEX(AESC!$H$184:$H$216,MATCH(I550,AESC!$B$184:$B$216,0))</f>
        <v>2.4315914157203053E-3</v>
      </c>
      <c r="P550"/>
    </row>
    <row r="551" spans="1:16" s="466" customFormat="1">
      <c r="A551" s="1015">
        <f t="shared" si="102"/>
        <v>24</v>
      </c>
      <c r="B551" s="1016">
        <f t="shared" si="101"/>
        <v>2047</v>
      </c>
      <c r="C551" s="1017">
        <f t="shared" si="97"/>
        <v>9.5514833803611976E-2</v>
      </c>
      <c r="D551" s="1485">
        <f t="shared" si="98"/>
        <v>0</v>
      </c>
      <c r="E551" s="1055">
        <f>NPV(realdiscrt1,C$528:C551)/(1+realdiscrt1)^-Half_Year</f>
        <v>1.8255797081234069</v>
      </c>
      <c r="F551" s="1030">
        <f>NPV(realdiscrt1,D$528:D551)/(1+realdiscrt1)^-Half_Year</f>
        <v>8.2213725043220248E-2</v>
      </c>
      <c r="G551" s="1019" t="str">
        <f t="shared" si="99"/>
        <v>2024-Winter Targeted Charge-24</v>
      </c>
      <c r="I551" s="1020">
        <v>2041</v>
      </c>
      <c r="J551" s="1021">
        <f t="shared" si="100"/>
        <v>7.6199493360398871E-2</v>
      </c>
      <c r="K551" s="1022">
        <v>6.8436906967162286E-2</v>
      </c>
      <c r="L551" s="1040">
        <v>0</v>
      </c>
      <c r="M551" s="1040">
        <v>0</v>
      </c>
      <c r="N551" s="1024">
        <f>INDEX(AESC!$H$184:$H$216,MATCH(I551,AESC!$B$184:$B$216,0))</f>
        <v>2.1181794776514674E-3</v>
      </c>
      <c r="P551"/>
    </row>
    <row r="552" spans="1:16" s="466" customFormat="1">
      <c r="A552" s="1015">
        <f t="shared" si="102"/>
        <v>25</v>
      </c>
      <c r="B552" s="1016">
        <f t="shared" si="101"/>
        <v>2048</v>
      </c>
      <c r="C552" s="1017">
        <f t="shared" si="97"/>
        <v>9.631546096839029E-2</v>
      </c>
      <c r="D552" s="1485">
        <f t="shared" si="98"/>
        <v>0</v>
      </c>
      <c r="E552" s="1055">
        <f>NPV(realdiscrt1,C$528:C552)/(1+realdiscrt1)^-Half_Year</f>
        <v>1.8946891931707033</v>
      </c>
      <c r="F552" s="1030">
        <f>NPV(realdiscrt1,D$528:D552)/(1+realdiscrt1)^-Half_Year</f>
        <v>8.2213725043220248E-2</v>
      </c>
      <c r="G552" s="1019" t="str">
        <f t="shared" si="99"/>
        <v>2024-Winter Targeted Charge-25</v>
      </c>
      <c r="I552" s="1020">
        <v>2042</v>
      </c>
      <c r="J552" s="1021">
        <f t="shared" si="100"/>
        <v>7.6653347332098221E-2</v>
      </c>
      <c r="K552" s="1022">
        <v>6.9130157868416531E-2</v>
      </c>
      <c r="L552" s="1040">
        <v>0</v>
      </c>
      <c r="M552" s="1040">
        <v>0</v>
      </c>
      <c r="N552" s="1024">
        <f>INDEX(AESC!$H$184:$H$216,MATCH(I552,AESC!$B$184:$B$216,0))</f>
        <v>1.8451637353781175E-3</v>
      </c>
    </row>
    <row r="553" spans="1:16" s="466" customFormat="1">
      <c r="A553" s="1015">
        <f t="shared" si="102"/>
        <v>26</v>
      </c>
      <c r="B553" s="1016">
        <f t="shared" si="101"/>
        <v>2049</v>
      </c>
      <c r="C553" s="1017">
        <f t="shared" si="97"/>
        <v>9.714571255378851E-2</v>
      </c>
      <c r="D553" s="1485">
        <f t="shared" si="98"/>
        <v>0</v>
      </c>
      <c r="E553" s="1055">
        <f>NPV(realdiscrt1,C$528:C553)/(1+realdiscrt1)^-Half_Year</f>
        <v>1.9634563823623874</v>
      </c>
      <c r="F553" s="1030">
        <f>NPV(realdiscrt1,D$528:D553)/(1+realdiscrt1)^-Half_Year</f>
        <v>8.2213725043220248E-2</v>
      </c>
      <c r="G553" s="1019" t="str">
        <f t="shared" si="99"/>
        <v>2024-Winter Targeted Charge-26</v>
      </c>
      <c r="I553" s="1020">
        <v>2043</v>
      </c>
      <c r="J553" s="1021">
        <f t="shared" si="100"/>
        <v>7.7152790200822191E-2</v>
      </c>
      <c r="K553" s="1022">
        <v>6.9830431249694902E-2</v>
      </c>
      <c r="L553" s="1040">
        <v>0</v>
      </c>
      <c r="M553" s="1040">
        <v>0</v>
      </c>
      <c r="N553" s="1024">
        <f>INDEX(AESC!$H$184:$H$216,MATCH(I553,AESC!$B$184:$B$216,0))</f>
        <v>1.6073374547700802E-3</v>
      </c>
    </row>
    <row r="554" spans="1:16" s="466" customFormat="1">
      <c r="A554" s="1015">
        <f t="shared" si="102"/>
        <v>27</v>
      </c>
      <c r="B554" s="1016">
        <f t="shared" si="101"/>
        <v>2050</v>
      </c>
      <c r="C554" s="1017">
        <f t="shared" si="97"/>
        <v>9.800311564153226E-2</v>
      </c>
      <c r="D554" s="1485">
        <f t="shared" si="98"/>
        <v>0</v>
      </c>
      <c r="E554" s="1052">
        <f>NPV(realdiscrt1,C$528:C554)/(1+realdiscrt1)^-Half_Year</f>
        <v>2.0318969343365629</v>
      </c>
      <c r="F554" s="1031">
        <f>NPV(realdiscrt1,D$528:D554)/(1+realdiscrt1)^-Half_Year</f>
        <v>8.2213725043220248E-2</v>
      </c>
      <c r="G554" s="1019" t="str">
        <f t="shared" si="99"/>
        <v>2024-Winter Targeted Charge-27</v>
      </c>
      <c r="I554" s="1020">
        <v>2044</v>
      </c>
      <c r="J554" s="1021">
        <f t="shared" si="100"/>
        <v>7.7693000313960037E-2</v>
      </c>
      <c r="K554" s="1022">
        <v>7.0537798247184313E-2</v>
      </c>
      <c r="L554" s="1040">
        <v>0</v>
      </c>
      <c r="M554" s="1040">
        <v>0</v>
      </c>
      <c r="N554" s="1024">
        <f>INDEX(AESC!$H$184:$H$216,MATCH(I554,AESC!$B$184:$B$216,0))</f>
        <v>1.4001650064823829E-3</v>
      </c>
    </row>
    <row r="555" spans="1:16" s="466" customFormat="1" ht="20.25">
      <c r="A555" s="975">
        <f>Year2</f>
        <v>2025</v>
      </c>
      <c r="B555" s="976" t="str">
        <f>Year2&amp;"$"</f>
        <v>2025$</v>
      </c>
      <c r="C555" s="1046"/>
      <c r="D555" s="1480" t="s">
        <v>993</v>
      </c>
      <c r="E555" s="1481">
        <f>A555</f>
        <v>2025</v>
      </c>
      <c r="F555" s="1481" t="s">
        <v>992</v>
      </c>
      <c r="G555" s="1047"/>
      <c r="I555" s="1020">
        <v>2045</v>
      </c>
      <c r="J555" s="1021">
        <f t="shared" si="100"/>
        <v>7.8269788170491003E-2</v>
      </c>
      <c r="K555" s="1022">
        <v>7.1252330717665693E-2</v>
      </c>
      <c r="L555" s="1040">
        <v>0</v>
      </c>
      <c r="M555" s="1040">
        <v>0</v>
      </c>
      <c r="N555" s="1024">
        <f>INDEX(AESC!$H$184:$H$216,MATCH(I555,AESC!$B$184:$B$216,0))</f>
        <v>1.219695366122258E-3</v>
      </c>
    </row>
    <row r="556" spans="1:16" s="466" customFormat="1">
      <c r="A556" s="1015">
        <v>1</v>
      </c>
      <c r="B556" s="1016">
        <f>Year2</f>
        <v>2025</v>
      </c>
      <c r="C556" s="1017">
        <f t="shared" ref="C556:C580" si="103">VLOOKUP($B556,$I$528:$N$560,C$12,FALSE)*(1+Inflation2)^(Year2-Real_Year)</f>
        <v>8.7476415522377088E-2</v>
      </c>
      <c r="D556" s="1485">
        <f t="shared" ref="D556:D580" si="104">VLOOKUP($B556-4,$I$528:$N$560,IF($A$17=Year1,D$12,D$12+1),FALSE)*(1+Inflation2)^(Year2-Real_Year)</f>
        <v>4.2862807727432842E-3</v>
      </c>
      <c r="E556" s="1053">
        <f>NPV(realdiscrt1,C$556:C556)/(1+realdiscrt2)^(1-Half_Year)</f>
        <v>8.5716604191077461E-2</v>
      </c>
      <c r="F556" s="1054">
        <f>NPV(realdiscrt1,D$556:D556)/(1+realdiscrt2)^(1-Half_Year)</f>
        <v>4.2000512967415408E-3</v>
      </c>
      <c r="G556" s="1019" t="str">
        <f t="shared" ref="G556:G580" si="105">$A$45&amp;"-"&amp;$A$523&amp;"-"&amp;A556</f>
        <v>2025-Winter Targeted Charge-1</v>
      </c>
      <c r="I556" s="1020">
        <v>2046</v>
      </c>
      <c r="J556" s="1021">
        <f t="shared" si="100"/>
        <v>7.8879515050086835E-2</v>
      </c>
      <c r="K556" s="1022">
        <v>7.1974101245813452E-2</v>
      </c>
      <c r="L556" s="1040">
        <v>0</v>
      </c>
      <c r="M556" s="1040">
        <v>0</v>
      </c>
      <c r="N556" s="1024">
        <f>INDEX(AESC!$H$184:$H$216,MATCH(I556,AESC!$B$184:$B$216,0))</f>
        <v>1.0624867635262009E-3</v>
      </c>
    </row>
    <row r="557" spans="1:16" s="466" customFormat="1">
      <c r="A557" s="1015">
        <v>2</v>
      </c>
      <c r="B557" s="1016">
        <f t="shared" ref="B557:B580" si="106">B556+1</f>
        <v>2026</v>
      </c>
      <c r="C557" s="1017">
        <f t="shared" si="103"/>
        <v>8.7836702234579137E-2</v>
      </c>
      <c r="D557" s="1485">
        <f t="shared" si="104"/>
        <v>8.4346444203087893E-3</v>
      </c>
      <c r="E557" s="1055">
        <f>NPV(realdiscrt1,C$556:C557)/(1+realdiscrt2)^(1-Half_Year)</f>
        <v>0.17062800123431454</v>
      </c>
      <c r="F557" s="1030">
        <f>NPV(realdiscrt1,D$556:D557)/(1+realdiscrt2)^(1-Half_Year)</f>
        <v>1.2353789120125063E-2</v>
      </c>
      <c r="G557" s="1019" t="str">
        <f t="shared" si="105"/>
        <v>2025-Winter Targeted Charge-2</v>
      </c>
      <c r="I557" s="1020">
        <v>2047</v>
      </c>
      <c r="J557" s="1021">
        <f t="shared" si="100"/>
        <v>7.9519022131343334E-2</v>
      </c>
      <c r="K557" s="1022">
        <v>7.2703183151568873E-2</v>
      </c>
      <c r="L557" s="1040">
        <v>0</v>
      </c>
      <c r="M557" s="1040">
        <v>0</v>
      </c>
      <c r="N557" s="1024">
        <f>INDEX(AESC!$H$184:$H$216,MATCH(I557,AESC!$B$184:$B$216,0))</f>
        <v>9.255410441193939E-4</v>
      </c>
    </row>
    <row r="558" spans="1:16" s="466" customFormat="1">
      <c r="A558" s="1015">
        <f t="shared" ref="A558:A580" si="107">A557+1</f>
        <v>3</v>
      </c>
      <c r="B558" s="1016">
        <f t="shared" si="106"/>
        <v>2027</v>
      </c>
      <c r="C558" s="1017">
        <f t="shared" si="103"/>
        <v>8.8612867048838778E-2</v>
      </c>
      <c r="D558" s="1485">
        <f t="shared" si="104"/>
        <v>1.0071815049164191E-2</v>
      </c>
      <c r="E558" s="1055">
        <f>NPV(realdiscrt1,C$556:C558)/(1+realdiscrt2)^(1-Half_Year)</f>
        <v>0.25513695754811994</v>
      </c>
      <c r="F558" s="1030">
        <f>NPV(realdiscrt1,D$556:D558)/(1+realdiscrt2)^(1-Half_Year)</f>
        <v>2.1959150128492276E-2</v>
      </c>
      <c r="G558" s="1019" t="str">
        <f t="shared" si="105"/>
        <v>2025-Winter Targeted Charge-3</v>
      </c>
      <c r="I558" s="1020">
        <v>2048</v>
      </c>
      <c r="J558" s="1021">
        <f t="shared" si="100"/>
        <v>8.0185568747190072E-2</v>
      </c>
      <c r="K558" s="1022">
        <v>7.3439650497588202E-2</v>
      </c>
      <c r="L558" s="1040">
        <v>0</v>
      </c>
      <c r="M558" s="1040">
        <v>0</v>
      </c>
      <c r="N558" s="1024">
        <f>INDEX(AESC!$H$184:$H$216,MATCH(I558,AESC!$B$184:$B$216,0))</f>
        <v>8.0624649055074406E-4</v>
      </c>
    </row>
    <row r="559" spans="1:16" s="466" customFormat="1">
      <c r="A559" s="1015">
        <f t="shared" si="107"/>
        <v>4</v>
      </c>
      <c r="B559" s="1016">
        <f t="shared" si="106"/>
        <v>2028</v>
      </c>
      <c r="C559" s="1017">
        <f t="shared" si="103"/>
        <v>8.9318177314131691E-2</v>
      </c>
      <c r="D559" s="1485">
        <f t="shared" si="104"/>
        <v>1.0390230308690672E-2</v>
      </c>
      <c r="E559" s="1055">
        <f>NPV(realdiscrt1,C$556:C559)/(1+realdiscrt2)^(1-Half_Year)</f>
        <v>0.33917226389219446</v>
      </c>
      <c r="F559" s="1030">
        <f>NPV(realdiscrt1,D$556:D559)/(1+realdiscrt2)^(1-Half_Year)</f>
        <v>3.173483312194899E-2</v>
      </c>
      <c r="G559" s="1019" t="str">
        <f t="shared" si="105"/>
        <v>2025-Winter Targeted Charge-4</v>
      </c>
      <c r="I559" s="1020">
        <v>2049</v>
      </c>
      <c r="J559" s="1021">
        <f t="shared" si="100"/>
        <v>8.0876778599783331E-2</v>
      </c>
      <c r="K559" s="1022">
        <v>7.418357809676622E-2</v>
      </c>
      <c r="L559" s="1040">
        <v>0</v>
      </c>
      <c r="M559" s="1040">
        <v>0</v>
      </c>
      <c r="N559" s="1024">
        <f>INDEX(AESC!$H$184:$H$216,MATCH(I559,AESC!$B$184:$B$216,0))</f>
        <v>7.0232801414427321E-4</v>
      </c>
    </row>
    <row r="560" spans="1:16" s="466" customFormat="1">
      <c r="A560" s="1015">
        <f t="shared" si="107"/>
        <v>5</v>
      </c>
      <c r="B560" s="1016">
        <f t="shared" si="106"/>
        <v>2029</v>
      </c>
      <c r="C560" s="1017">
        <f t="shared" si="103"/>
        <v>9.090374401384739E-2</v>
      </c>
      <c r="D560" s="1485">
        <f t="shared" si="104"/>
        <v>1.0323837664399864E-2</v>
      </c>
      <c r="E560" s="1055">
        <f>NPV(realdiscrt1,C$556:C560)/(1+realdiscrt2)^(1-Half_Year)</f>
        <v>0.42354841135071525</v>
      </c>
      <c r="F560" s="1030">
        <f>NPV(realdiscrt1,D$556:D560)/(1+realdiscrt2)^(1-Half_Year)</f>
        <v>4.1317338865348753E-2</v>
      </c>
      <c r="G560" s="1019" t="str">
        <f t="shared" si="105"/>
        <v>2025-Winter Targeted Charge-5</v>
      </c>
      <c r="I560" s="1025">
        <v>2050</v>
      </c>
      <c r="J560" s="1026">
        <f t="shared" si="100"/>
        <v>8.1590592908982268E-2</v>
      </c>
      <c r="K560" s="1027">
        <v>7.4935041519835946E-2</v>
      </c>
      <c r="L560" s="1028">
        <v>0</v>
      </c>
      <c r="M560" s="1028">
        <v>0</v>
      </c>
      <c r="N560" s="1029">
        <f>INDEX(AESC!$H$184:$H$216,MATCH(I560,AESC!$B$184:$B$216,0))</f>
        <v>6.1180376625874196E-4</v>
      </c>
    </row>
    <row r="561" spans="1:7" s="466" customFormat="1">
      <c r="A561" s="1015">
        <f t="shared" si="107"/>
        <v>6</v>
      </c>
      <c r="B561" s="1016">
        <f t="shared" si="106"/>
        <v>2030</v>
      </c>
      <c r="C561" s="1017">
        <f t="shared" si="103"/>
        <v>9.5914652007011686E-2</v>
      </c>
      <c r="D561" s="1485">
        <f t="shared" si="104"/>
        <v>1.0154610977336642E-2</v>
      </c>
      <c r="E561" s="1055">
        <f>NPV(realdiscrt1,C$556:C561)/(1+realdiscrt2)^(1-Half_Year)</f>
        <v>0.51137759830159457</v>
      </c>
      <c r="F561" s="1030">
        <f>NPV(realdiscrt1,D$556:D561)/(1+realdiscrt2)^(1-Half_Year)</f>
        <v>5.0615930970721278E-2</v>
      </c>
      <c r="G561" s="1019" t="str">
        <f t="shared" si="105"/>
        <v>2025-Winter Targeted Charge-6</v>
      </c>
    </row>
    <row r="562" spans="1:7" s="466" customFormat="1">
      <c r="A562" s="1015">
        <f t="shared" si="107"/>
        <v>7</v>
      </c>
      <c r="B562" s="1016">
        <f t="shared" si="106"/>
        <v>2031</v>
      </c>
      <c r="C562" s="1017">
        <f t="shared" si="103"/>
        <v>9.6197767148025776E-2</v>
      </c>
      <c r="D562" s="1485">
        <f t="shared" si="104"/>
        <v>9.8983473440913301E-3</v>
      </c>
      <c r="E562" s="1055">
        <f>NPV(realdiscrt1,C$556:C562)/(1+realdiscrt2)^(1-Half_Year)</f>
        <v>0.59828062137417914</v>
      </c>
      <c r="F562" s="1030">
        <f>NPV(realdiscrt1,D$556:D562)/(1+realdiscrt2)^(1-Half_Year)</f>
        <v>5.9557888077692224E-2</v>
      </c>
      <c r="G562" s="1019" t="str">
        <f t="shared" si="105"/>
        <v>2025-Winter Targeted Charge-7</v>
      </c>
    </row>
    <row r="563" spans="1:7" s="466" customFormat="1">
      <c r="A563" s="1015">
        <f t="shared" si="107"/>
        <v>8</v>
      </c>
      <c r="B563" s="1016">
        <f t="shared" si="106"/>
        <v>2032</v>
      </c>
      <c r="C563" s="1017">
        <f t="shared" si="103"/>
        <v>9.7046927737028818E-2</v>
      </c>
      <c r="D563" s="1485">
        <f t="shared" si="104"/>
        <v>9.4162668931853707E-3</v>
      </c>
      <c r="E563" s="1055">
        <f>NPV(realdiscrt1,C$556:C563)/(1+realdiscrt2)^(1-Half_Year)</f>
        <v>0.68477097437462775</v>
      </c>
      <c r="F563" s="1030">
        <f>NPV(realdiscrt1,D$556:D563)/(1+realdiscrt2)^(1-Half_Year)</f>
        <v>6.7949871899631337E-2</v>
      </c>
      <c r="G563" s="1019" t="str">
        <f t="shared" si="105"/>
        <v>2025-Winter Targeted Charge-8</v>
      </c>
    </row>
    <row r="564" spans="1:7" s="466" customFormat="1">
      <c r="A564" s="1015">
        <f t="shared" si="107"/>
        <v>9</v>
      </c>
      <c r="B564" s="1016">
        <f t="shared" si="106"/>
        <v>2033</v>
      </c>
      <c r="C564" s="1017">
        <f t="shared" si="103"/>
        <v>9.3574004840619229E-2</v>
      </c>
      <c r="D564" s="1485">
        <f t="shared" si="104"/>
        <v>8.6687090120699545E-3</v>
      </c>
      <c r="E564" s="1055">
        <f>NPV(realdiscrt1,C$556:C564)/(1+realdiscrt2)^(1-Half_Year)</f>
        <v>0.7670439265323985</v>
      </c>
      <c r="F564" s="1030">
        <f>NPV(realdiscrt1,D$556:D564)/(1+realdiscrt2)^(1-Half_Year)</f>
        <v>7.5571649796542267E-2</v>
      </c>
      <c r="G564" s="1019" t="str">
        <f t="shared" si="105"/>
        <v>2025-Winter Targeted Charge-9</v>
      </c>
    </row>
    <row r="565" spans="1:7" s="466" customFormat="1">
      <c r="A565" s="1015">
        <f t="shared" si="107"/>
        <v>10</v>
      </c>
      <c r="B565" s="1016">
        <f t="shared" si="106"/>
        <v>2034</v>
      </c>
      <c r="C565" s="1017">
        <f t="shared" si="103"/>
        <v>9.475984312201978E-2</v>
      </c>
      <c r="D565" s="1485">
        <f t="shared" si="104"/>
        <v>7.2862306490802239E-3</v>
      </c>
      <c r="E565" s="1055">
        <f>NPV(realdiscrt1,C$556:C565)/(1+realdiscrt2)^(1-Half_Year)</f>
        <v>0.84923831768510893</v>
      </c>
      <c r="F565" s="1030">
        <f>NPV(realdiscrt1,D$556:D565)/(1+realdiscrt2)^(1-Half_Year)</f>
        <v>8.1891703442348696E-2</v>
      </c>
      <c r="G565" s="1019" t="str">
        <f t="shared" si="105"/>
        <v>2025-Winter Targeted Charge-10</v>
      </c>
    </row>
    <row r="566" spans="1:7" s="466" customFormat="1">
      <c r="A566" s="1015">
        <f t="shared" si="107"/>
        <v>11</v>
      </c>
      <c r="B566" s="1016">
        <f t="shared" si="106"/>
        <v>2035</v>
      </c>
      <c r="C566" s="1017">
        <f t="shared" si="103"/>
        <v>9.5519778272505004E-2</v>
      </c>
      <c r="D566" s="1485">
        <f t="shared" si="104"/>
        <v>5.0547001245602021E-3</v>
      </c>
      <c r="E566" s="1055">
        <f>NPV(realdiscrt1,C$556:C566)/(1+realdiscrt2)^(1-Half_Year)</f>
        <v>0.93097690755346985</v>
      </c>
      <c r="F566" s="1030">
        <f>NPV(realdiscrt1,D$556:D566)/(1+realdiscrt2)^(1-Half_Year)</f>
        <v>8.6217132875510472E-2</v>
      </c>
      <c r="G566" s="1019" t="str">
        <f t="shared" si="105"/>
        <v>2025-Winter Targeted Charge-11</v>
      </c>
    </row>
    <row r="567" spans="1:7" s="466" customFormat="1">
      <c r="A567" s="1015">
        <f t="shared" si="107"/>
        <v>12</v>
      </c>
      <c r="B567" s="1016">
        <f t="shared" si="106"/>
        <v>2036</v>
      </c>
      <c r="C567" s="1017">
        <f t="shared" si="103"/>
        <v>9.555804577479847E-2</v>
      </c>
      <c r="D567" s="1485">
        <f t="shared" si="104"/>
        <v>0</v>
      </c>
      <c r="E567" s="1055">
        <f>NPV(realdiscrt1,C$556:C567)/(1+realdiscrt2)^(1-Half_Year)</f>
        <v>1.0116478407177547</v>
      </c>
      <c r="F567" s="1030">
        <f>NPV(realdiscrt1,D$556:D567)/(1+realdiscrt2)^(1-Half_Year)</f>
        <v>8.6217132875510472E-2</v>
      </c>
      <c r="G567" s="1019" t="str">
        <f t="shared" si="105"/>
        <v>2025-Winter Targeted Charge-12</v>
      </c>
    </row>
    <row r="568" spans="1:7" s="466" customFormat="1">
      <c r="A568" s="1015">
        <f t="shared" si="107"/>
        <v>13</v>
      </c>
      <c r="B568" s="1016">
        <f t="shared" si="106"/>
        <v>2037</v>
      </c>
      <c r="C568" s="1017">
        <f t="shared" si="103"/>
        <v>9.5716483445537098E-2</v>
      </c>
      <c r="D568" s="1485">
        <f t="shared" si="104"/>
        <v>0</v>
      </c>
      <c r="E568" s="1055">
        <f>NPV(realdiscrt1,C$556:C568)/(1+realdiscrt2)^(1-Half_Year)</f>
        <v>1.0913651334731129</v>
      </c>
      <c r="F568" s="1030">
        <f>NPV(realdiscrt1,D$556:D568)/(1+realdiscrt2)^(1-Half_Year)</f>
        <v>8.6217132875510472E-2</v>
      </c>
      <c r="G568" s="1019" t="str">
        <f t="shared" si="105"/>
        <v>2025-Winter Targeted Charge-13</v>
      </c>
    </row>
    <row r="569" spans="1:7" s="466" customFormat="1">
      <c r="A569" s="1015">
        <f t="shared" si="107"/>
        <v>14</v>
      </c>
      <c r="B569" s="1016">
        <f t="shared" si="106"/>
        <v>2038</v>
      </c>
      <c r="C569" s="1017">
        <f t="shared" si="103"/>
        <v>9.5980869609360767E-2</v>
      </c>
      <c r="D569" s="1485">
        <f t="shared" si="104"/>
        <v>0</v>
      </c>
      <c r="E569" s="1055">
        <f>NPV(realdiscrt1,C$556:C569)/(1+realdiscrt2)^(1-Half_Year)</f>
        <v>1.1702268948732026</v>
      </c>
      <c r="F569" s="1030">
        <f>NPV(realdiscrt1,D$556:D569)/(1+realdiscrt2)^(1-Half_Year)</f>
        <v>8.6217132875510472E-2</v>
      </c>
      <c r="G569" s="1019" t="str">
        <f t="shared" si="105"/>
        <v>2025-Winter Targeted Charge-14</v>
      </c>
    </row>
    <row r="570" spans="1:7" s="466" customFormat="1">
      <c r="A570" s="1015">
        <f t="shared" si="107"/>
        <v>15</v>
      </c>
      <c r="B570" s="1016">
        <f t="shared" si="106"/>
        <v>2039</v>
      </c>
      <c r="C570" s="1017">
        <f t="shared" si="103"/>
        <v>9.6338828483825897E-2</v>
      </c>
      <c r="D570" s="1485">
        <f t="shared" si="104"/>
        <v>0</v>
      </c>
      <c r="E570" s="1055">
        <f>NPV(realdiscrt1,C$556:C570)/(1+realdiscrt2)^(1-Half_Year)</f>
        <v>1.2483175630820584</v>
      </c>
      <c r="F570" s="1030">
        <f>NPV(realdiscrt1,D$556:D570)/(1+realdiscrt2)^(1-Half_Year)</f>
        <v>8.6217132875510472E-2</v>
      </c>
      <c r="G570" s="1019" t="str">
        <f t="shared" si="105"/>
        <v>2025-Winter Targeted Charge-15</v>
      </c>
    </row>
    <row r="571" spans="1:7" s="466" customFormat="1">
      <c r="A571" s="1015">
        <f t="shared" si="107"/>
        <v>16</v>
      </c>
      <c r="B571" s="1016">
        <f t="shared" si="106"/>
        <v>2040</v>
      </c>
      <c r="C571" s="1017">
        <f t="shared" si="103"/>
        <v>9.6779592389176175E-2</v>
      </c>
      <c r="D571" s="1485">
        <f t="shared" si="104"/>
        <v>0</v>
      </c>
      <c r="E571" s="1055">
        <f>NPV(realdiscrt1,C$556:C571)/(1+realdiscrt2)^(1-Half_Year)</f>
        <v>1.3257098272644825</v>
      </c>
      <c r="F571" s="1030">
        <f>NPV(realdiscrt1,D$556:D571)/(1+realdiscrt2)^(1-Half_Year)</f>
        <v>8.6217132875510472E-2</v>
      </c>
      <c r="G571" s="1019" t="str">
        <f t="shared" si="105"/>
        <v>2025-Winter Targeted Charge-16</v>
      </c>
    </row>
    <row r="572" spans="1:7" s="466" customFormat="1">
      <c r="A572" s="1015">
        <f t="shared" si="107"/>
        <v>17</v>
      </c>
      <c r="B572" s="1016">
        <f t="shared" si="106"/>
        <v>2041</v>
      </c>
      <c r="C572" s="1017">
        <f t="shared" si="103"/>
        <v>9.7293794608616174E-2</v>
      </c>
      <c r="D572" s="1485">
        <f t="shared" si="104"/>
        <v>0</v>
      </c>
      <c r="E572" s="1055">
        <f>NPV(realdiscrt1,C$556:C572)/(1+realdiscrt2)^(1-Half_Year)</f>
        <v>1.4024662792327252</v>
      </c>
      <c r="F572" s="1030">
        <f>NPV(realdiscrt1,D$556:D572)/(1+realdiscrt2)^(1-Half_Year)</f>
        <v>8.6217132875510472E-2</v>
      </c>
      <c r="G572" s="1019" t="str">
        <f t="shared" si="105"/>
        <v>2025-Winter Targeted Charge-17</v>
      </c>
    </row>
    <row r="573" spans="1:7" s="466" customFormat="1">
      <c r="A573" s="1015">
        <f t="shared" si="107"/>
        <v>18</v>
      </c>
      <c r="B573" s="1016">
        <f t="shared" si="106"/>
        <v>2042</v>
      </c>
      <c r="C573" s="1017">
        <f t="shared" si="103"/>
        <v>9.7873288948505957E-2</v>
      </c>
      <c r="D573" s="1485">
        <f t="shared" si="104"/>
        <v>0</v>
      </c>
      <c r="E573" s="1055">
        <f>NPV(realdiscrt1,C$556:C573)/(1+realdiscrt2)^(1-Half_Year)</f>
        <v>1.4786408328495699</v>
      </c>
      <c r="F573" s="1030">
        <f>NPV(realdiscrt1,D$556:D573)/(1+realdiscrt2)^(1-Half_Year)</f>
        <v>8.6217132875510472E-2</v>
      </c>
      <c r="G573" s="1019" t="str">
        <f t="shared" si="105"/>
        <v>2025-Winter Targeted Charge-18</v>
      </c>
    </row>
    <row r="574" spans="1:7" s="466" customFormat="1">
      <c r="A574" s="1015">
        <f t="shared" si="107"/>
        <v>19</v>
      </c>
      <c r="B574" s="1016">
        <f t="shared" si="106"/>
        <v>2043</v>
      </c>
      <c r="C574" s="1017">
        <f t="shared" si="103"/>
        <v>9.8510992557092183E-2</v>
      </c>
      <c r="D574" s="1485">
        <f t="shared" si="104"/>
        <v>0</v>
      </c>
      <c r="E574" s="1055">
        <f>NPV(realdiscrt1,C$556:C574)/(1+realdiscrt2)^(1-Half_Year)</f>
        <v>1.5542799438445829</v>
      </c>
      <c r="F574" s="1030">
        <f>NPV(realdiscrt1,D$556:D574)/(1+realdiscrt2)^(1-Half_Year)</f>
        <v>8.6217132875510472E-2</v>
      </c>
      <c r="G574" s="1019" t="str">
        <f t="shared" si="105"/>
        <v>2025-Winter Targeted Charge-19</v>
      </c>
    </row>
    <row r="575" spans="1:7" s="466" customFormat="1">
      <c r="A575" s="1015">
        <f t="shared" si="107"/>
        <v>20</v>
      </c>
      <c r="B575" s="1016">
        <f t="shared" si="106"/>
        <v>2044</v>
      </c>
      <c r="C575" s="1017">
        <f t="shared" si="103"/>
        <v>9.920074900395652E-2</v>
      </c>
      <c r="D575" s="1485">
        <f t="shared" si="104"/>
        <v>0</v>
      </c>
      <c r="E575" s="1055">
        <f>NPV(realdiscrt1,C$556:C575)/(1+realdiscrt2)^(1-Half_Year)</f>
        <v>1.6294236581082735</v>
      </c>
      <c r="F575" s="1030">
        <f>NPV(realdiscrt1,D$556:D575)/(1+realdiscrt2)^(1-Half_Year)</f>
        <v>8.6217132875510472E-2</v>
      </c>
      <c r="G575" s="1019" t="str">
        <f t="shared" si="105"/>
        <v>2025-Winter Targeted Charge-20</v>
      </c>
    </row>
    <row r="576" spans="1:7" s="466" customFormat="1">
      <c r="A576" s="1015">
        <f t="shared" si="107"/>
        <v>21</v>
      </c>
      <c r="B576" s="1016">
        <f t="shared" si="106"/>
        <v>2045</v>
      </c>
      <c r="C576" s="1017">
        <f t="shared" si="103"/>
        <v>9.9937209008757966E-2</v>
      </c>
      <c r="D576" s="1485">
        <f t="shared" si="104"/>
        <v>0</v>
      </c>
      <c r="E576" s="1055">
        <f>NPV(realdiscrt1,C$556:C576)/(1+realdiscrt2)^(1-Half_Year)</f>
        <v>1.704106512582616</v>
      </c>
      <c r="F576" s="1030">
        <f>NPV(realdiscrt1,D$556:D576)/(1+realdiscrt2)^(1-Half_Year)</f>
        <v>8.6217132875510472E-2</v>
      </c>
      <c r="G576" s="1019" t="str">
        <f t="shared" si="105"/>
        <v>2025-Winter Targeted Charge-21</v>
      </c>
    </row>
    <row r="577" spans="1:7" s="466" customFormat="1">
      <c r="A577" s="1015">
        <f t="shared" si="107"/>
        <v>22</v>
      </c>
      <c r="B577" s="1016">
        <f t="shared" si="106"/>
        <v>2046</v>
      </c>
      <c r="C577" s="1017">
        <f t="shared" si="103"/>
        <v>0.10071572654443466</v>
      </c>
      <c r="D577" s="1485">
        <f t="shared" si="104"/>
        <v>0</v>
      </c>
      <c r="E577" s="1055">
        <f>NPV(realdiscrt1,C$556:C577)/(1+realdiscrt2)^(1-Half_Year)</f>
        <v>1.7783583094749837</v>
      </c>
      <c r="F577" s="1030">
        <f>NPV(realdiscrt1,D$556:D577)/(1+realdiscrt2)^(1-Half_Year)</f>
        <v>8.6217132875510472E-2</v>
      </c>
      <c r="G577" s="1019" t="str">
        <f t="shared" si="105"/>
        <v>2025-Winter Targeted Charge-22</v>
      </c>
    </row>
    <row r="578" spans="1:7" s="466" customFormat="1">
      <c r="A578" s="1015">
        <f t="shared" si="107"/>
        <v>23</v>
      </c>
      <c r="B578" s="1016">
        <f t="shared" si="106"/>
        <v>2047</v>
      </c>
      <c r="C578" s="1017">
        <f t="shared" si="103"/>
        <v>0.10153226833323953</v>
      </c>
      <c r="D578" s="1485">
        <f t="shared" si="104"/>
        <v>0</v>
      </c>
      <c r="E578" s="1055">
        <f>NPV(realdiscrt1,C$556:C578)/(1+realdiscrt2)^(1-Half_Year)</f>
        <v>1.8522047816080225</v>
      </c>
      <c r="F578" s="1030">
        <f>NPV(realdiscrt1,D$556:D578)/(1+realdiscrt2)^(1-Half_Year)</f>
        <v>8.6217132875510472E-2</v>
      </c>
      <c r="G578" s="1019" t="str">
        <f t="shared" si="105"/>
        <v>2025-Winter Targeted Charge-23</v>
      </c>
    </row>
    <row r="579" spans="1:7" s="466" customFormat="1">
      <c r="A579" s="1015">
        <f t="shared" si="107"/>
        <v>24</v>
      </c>
      <c r="B579" s="1016">
        <f t="shared" si="106"/>
        <v>2048</v>
      </c>
      <c r="C579" s="1017">
        <f t="shared" si="103"/>
        <v>0.10238333500939888</v>
      </c>
      <c r="D579" s="1485">
        <f t="shared" si="104"/>
        <v>0</v>
      </c>
      <c r="E579" s="1055">
        <f>NPV(realdiscrt1,C$556:C579)/(1+realdiscrt2)^(1-Half_Year)</f>
        <v>1.9256681642132984</v>
      </c>
      <c r="F579" s="1030">
        <f>NPV(realdiscrt1,D$556:D579)/(1+realdiscrt2)^(1-Half_Year)</f>
        <v>8.6217132875510472E-2</v>
      </c>
      <c r="G579" s="1019" t="str">
        <f t="shared" si="105"/>
        <v>2025-Winter Targeted Charge-24</v>
      </c>
    </row>
    <row r="580" spans="1:7" s="466" customFormat="1">
      <c r="A580" s="1015">
        <f t="shared" si="107"/>
        <v>25</v>
      </c>
      <c r="B580" s="1016">
        <f t="shared" si="106"/>
        <v>2049</v>
      </c>
      <c r="C580" s="1017">
        <f t="shared" si="103"/>
        <v>0.10326589244467718</v>
      </c>
      <c r="D580" s="1485">
        <f t="shared" si="104"/>
        <v>0</v>
      </c>
      <c r="E580" s="1052">
        <f>NPV(realdiscrt1,C$556:C580)/(1+realdiscrt2)^(1-Half_Year)</f>
        <v>1.9987676863240589</v>
      </c>
      <c r="F580" s="1031">
        <f>NPV(realdiscrt1,D$556:D580)/(1+realdiscrt2)^(1-Half_Year)</f>
        <v>8.6217132875510472E-2</v>
      </c>
      <c r="G580" s="1019" t="str">
        <f t="shared" si="105"/>
        <v>2025-Winter Targeted Charge-25</v>
      </c>
    </row>
    <row r="581" spans="1:7" s="466" customFormat="1" ht="20.25">
      <c r="A581" s="975">
        <f>Year3</f>
        <v>2026</v>
      </c>
      <c r="B581" s="976" t="str">
        <f>Year3&amp;"$"</f>
        <v>2026$</v>
      </c>
      <c r="C581" s="1046"/>
      <c r="D581" s="1480" t="s">
        <v>993</v>
      </c>
      <c r="E581" s="1481">
        <f>A581</f>
        <v>2026</v>
      </c>
      <c r="F581" s="1481" t="s">
        <v>992</v>
      </c>
      <c r="G581" s="1047"/>
    </row>
    <row r="582" spans="1:7" s="466" customFormat="1">
      <c r="A582" s="1015">
        <v>1</v>
      </c>
      <c r="B582" s="1016">
        <f>Year3</f>
        <v>2026</v>
      </c>
      <c r="C582" s="1048">
        <f t="shared" ref="C582:C606" si="108">VLOOKUP($B582,$I$528:$N$560,C$12,FALSE)*(1+Inflation3)^(Year3-Real_Year)</f>
        <v>9.3370414475357613E-2</v>
      </c>
      <c r="D582" s="1487">
        <f t="shared" ref="D582:D606" si="109">VLOOKUP($B582-5,$I$528:$N$560,IF($A$17=Year1,D$12,D$12+1),FALSE)*(1+Inflation3)^(Year3-Real_Year)</f>
        <v>4.5563164614261112E-3</v>
      </c>
      <c r="E582" s="1053">
        <f>NPV(realdiscrt1,C$582:C582)/(1+realdiscrt3)^(2-Half_Year)</f>
        <v>9.0260815056961013E-2</v>
      </c>
      <c r="F582" s="1054">
        <f>NPV(realdiscrt1,D$582:D582)/(1+realdiscrt3)^(2-Half_Year)</f>
        <v>4.404573330605792E-3</v>
      </c>
      <c r="G582" s="1019" t="str">
        <f t="shared" ref="G582:G606" si="110">$A$71&amp;"-"&amp;$A$523&amp;"-"&amp;A582</f>
        <v>2026-Winter Targeted Charge-1</v>
      </c>
    </row>
    <row r="583" spans="1:7" s="466" customFormat="1">
      <c r="A583" s="1015">
        <v>2</v>
      </c>
      <c r="B583" s="1016">
        <f t="shared" ref="B583:B606" si="111">B582+1</f>
        <v>2027</v>
      </c>
      <c r="C583" s="1049">
        <f t="shared" si="108"/>
        <v>9.4195477672915612E-2</v>
      </c>
      <c r="D583" s="1485">
        <f t="shared" si="109"/>
        <v>8.9660270187882432E-3</v>
      </c>
      <c r="E583" s="1055">
        <f>NPV(realdiscrt1,C$582:C583)/(1+realdiscrt3)^(2-Half_Year)</f>
        <v>0.18009383561853609</v>
      </c>
      <c r="F583" s="1030">
        <f>NPV(realdiscrt1,D$582:D583)/(1+realdiscrt3)^(2-Half_Year)</f>
        <v>1.2955358457799162E-2</v>
      </c>
      <c r="G583" s="1019" t="str">
        <f t="shared" si="110"/>
        <v>2026-Winter Targeted Charge-2</v>
      </c>
    </row>
    <row r="584" spans="1:7" s="466" customFormat="1">
      <c r="A584" s="1015">
        <f t="shared" ref="A584:A606" si="112">A583+1</f>
        <v>3</v>
      </c>
      <c r="B584" s="1016">
        <f t="shared" si="111"/>
        <v>2028</v>
      </c>
      <c r="C584" s="1049">
        <f t="shared" si="108"/>
        <v>9.4945222484921973E-2</v>
      </c>
      <c r="D584" s="1485">
        <f t="shared" si="109"/>
        <v>1.0706339397261535E-2</v>
      </c>
      <c r="E584" s="1055">
        <f>NPV(realdiscrt1,C$582:C584)/(1+realdiscrt3)^(2-Half_Year)</f>
        <v>0.26942336626228736</v>
      </c>
      <c r="F584" s="1030">
        <f>NPV(realdiscrt1,D$582:D584)/(1+realdiscrt3)^(2-Half_Year)</f>
        <v>2.3028453746210938E-2</v>
      </c>
      <c r="G584" s="1019" t="str">
        <f t="shared" si="110"/>
        <v>2026-Winter Targeted Charge-3</v>
      </c>
    </row>
    <row r="585" spans="1:7" s="466" customFormat="1">
      <c r="A585" s="1015">
        <f t="shared" si="112"/>
        <v>4</v>
      </c>
      <c r="B585" s="1016">
        <f t="shared" si="111"/>
        <v>2029</v>
      </c>
      <c r="C585" s="1049">
        <f t="shared" si="108"/>
        <v>9.6630679886719764E-2</v>
      </c>
      <c r="D585" s="1485">
        <f t="shared" si="109"/>
        <v>1.1044814818138184E-2</v>
      </c>
      <c r="E585" s="1055">
        <f>NPV(realdiscrt1,C$582:C585)/(1+realdiscrt3)^(2-Half_Year)</f>
        <v>0.35911521101069488</v>
      </c>
      <c r="F585" s="1030">
        <f>NPV(realdiscrt1,D$582:D585)/(1+realdiscrt3)^(2-Half_Year)</f>
        <v>3.3280164870510977E-2</v>
      </c>
      <c r="G585" s="1019" t="str">
        <f t="shared" si="110"/>
        <v>2026-Winter Targeted Charge-4</v>
      </c>
    </row>
    <row r="586" spans="1:7" s="466" customFormat="1">
      <c r="A586" s="1015">
        <f t="shared" si="112"/>
        <v>5</v>
      </c>
      <c r="B586" s="1016">
        <f t="shared" si="111"/>
        <v>2030</v>
      </c>
      <c r="C586" s="1049">
        <f t="shared" si="108"/>
        <v>0.10195727508345341</v>
      </c>
      <c r="D586" s="1485">
        <f t="shared" si="109"/>
        <v>1.0974239437257055E-2</v>
      </c>
      <c r="E586" s="1055">
        <f>NPV(realdiscrt1,C$582:C586)/(1+realdiscrt3)^(2-Half_Year)</f>
        <v>0.45247763673947966</v>
      </c>
      <c r="F586" s="1030">
        <f>NPV(realdiscrt1,D$582:D586)/(1+realdiscrt3)^(2-Half_Year)</f>
        <v>4.332929195391115E-2</v>
      </c>
      <c r="G586" s="1019" t="str">
        <f t="shared" si="110"/>
        <v>2026-Winter Targeted Charge-5</v>
      </c>
    </row>
    <row r="587" spans="1:7" s="466" customFormat="1">
      <c r="A587" s="1015">
        <f t="shared" si="112"/>
        <v>6</v>
      </c>
      <c r="B587" s="1016">
        <f t="shared" si="111"/>
        <v>2031</v>
      </c>
      <c r="C587" s="1049">
        <f t="shared" si="108"/>
        <v>0.10225822647835139</v>
      </c>
      <c r="D587" s="1485">
        <f t="shared" si="109"/>
        <v>1.0794351468908848E-2</v>
      </c>
      <c r="E587" s="1055">
        <f>NPV(realdiscrt1,C$582:C587)/(1+realdiscrt3)^(2-Half_Year)</f>
        <v>0.54485555026563715</v>
      </c>
      <c r="F587" s="1030">
        <f>NPV(realdiscrt1,D$582:D587)/(1+realdiscrt3)^(2-Half_Year)</f>
        <v>5.3080680188450066E-2</v>
      </c>
      <c r="G587" s="1019" t="str">
        <f t="shared" si="110"/>
        <v>2026-Winter Targeted Charge-6</v>
      </c>
    </row>
    <row r="588" spans="1:7" s="466" customFormat="1">
      <c r="A588" s="1015">
        <f t="shared" si="112"/>
        <v>7</v>
      </c>
      <c r="B588" s="1016">
        <f t="shared" si="111"/>
        <v>2032</v>
      </c>
      <c r="C588" s="1049">
        <f t="shared" si="108"/>
        <v>0.10316088418446162</v>
      </c>
      <c r="D588" s="1485">
        <f t="shared" si="109"/>
        <v>1.0521943226769083E-2</v>
      </c>
      <c r="E588" s="1055">
        <f>NPV(realdiscrt1,C$582:C588)/(1+realdiscrt3)^(2-Half_Year)</f>
        <v>0.63679479550511386</v>
      </c>
      <c r="F588" s="1030">
        <f>NPV(realdiscrt1,D$582:D588)/(1+realdiscrt3)^(2-Half_Year)</f>
        <v>6.2458067037829974E-2</v>
      </c>
      <c r="G588" s="1019" t="str">
        <f t="shared" si="110"/>
        <v>2026-Winter Targeted Charge-7</v>
      </c>
    </row>
    <row r="589" spans="1:7" s="466" customFormat="1">
      <c r="A589" s="1015">
        <f t="shared" si="112"/>
        <v>8</v>
      </c>
      <c r="B589" s="1016">
        <f t="shared" si="111"/>
        <v>2033</v>
      </c>
      <c r="C589" s="1049">
        <f t="shared" si="108"/>
        <v>9.9469167145578241E-2</v>
      </c>
      <c r="D589" s="1485">
        <f t="shared" si="109"/>
        <v>1.0009491707456047E-2</v>
      </c>
      <c r="E589" s="1055">
        <f>NPV(realdiscrt1,C$582:C589)/(1+realdiscrt3)^(2-Half_Year)</f>
        <v>0.72425094364882414</v>
      </c>
      <c r="F589" s="1030">
        <f>NPV(realdiscrt1,D$582:D589)/(1+realdiscrt3)^(2-Half_Year)</f>
        <v>7.125869958288121E-2</v>
      </c>
      <c r="G589" s="1019" t="str">
        <f t="shared" si="110"/>
        <v>2026-Winter Targeted Charge-8</v>
      </c>
    </row>
    <row r="590" spans="1:7" s="466" customFormat="1">
      <c r="A590" s="1015">
        <f t="shared" si="112"/>
        <v>9</v>
      </c>
      <c r="B590" s="1016">
        <f t="shared" si="111"/>
        <v>2034</v>
      </c>
      <c r="C590" s="1049">
        <f t="shared" si="108"/>
        <v>0.10072971323870701</v>
      </c>
      <c r="D590" s="1485">
        <f t="shared" si="109"/>
        <v>9.2148376798303604E-3</v>
      </c>
      <c r="E590" s="1055">
        <f>NPV(realdiscrt1,C$582:C590)/(1+realdiscrt3)^(2-Half_Year)</f>
        <v>0.81162358144415525</v>
      </c>
      <c r="F590" s="1030">
        <f>NPV(realdiscrt1,D$582:D590)/(1+realdiscrt3)^(2-Half_Year)</f>
        <v>7.9251620927098892E-2</v>
      </c>
      <c r="G590" s="1019" t="str">
        <f t="shared" si="110"/>
        <v>2026-Winter Targeted Charge-9</v>
      </c>
    </row>
    <row r="591" spans="1:7" s="466" customFormat="1">
      <c r="A591" s="1015">
        <f t="shared" si="112"/>
        <v>10</v>
      </c>
      <c r="B591" s="1016">
        <f t="shared" si="111"/>
        <v>2035</v>
      </c>
      <c r="C591" s="1049">
        <f t="shared" si="108"/>
        <v>0.10153752430367281</v>
      </c>
      <c r="D591" s="1485">
        <f t="shared" si="109"/>
        <v>7.745263179972278E-3</v>
      </c>
      <c r="E591" s="1055">
        <f>NPV(realdiscrt1,C$582:C591)/(1+realdiscrt3)^(2-Half_Year)</f>
        <v>0.89851170247422296</v>
      </c>
      <c r="F591" s="1030">
        <f>NPV(realdiscrt1,D$582:D591)/(1+realdiscrt3)^(2-Half_Year)</f>
        <v>8.5879430391691242E-2</v>
      </c>
      <c r="G591" s="1019" t="str">
        <f t="shared" si="110"/>
        <v>2026-Winter Targeted Charge-10</v>
      </c>
    </row>
    <row r="592" spans="1:7" s="466" customFormat="1">
      <c r="A592" s="1015">
        <f t="shared" si="112"/>
        <v>11</v>
      </c>
      <c r="B592" s="1016">
        <f t="shared" si="111"/>
        <v>2036</v>
      </c>
      <c r="C592" s="1049">
        <f t="shared" si="108"/>
        <v>0.10157820265861077</v>
      </c>
      <c r="D592" s="1485">
        <f t="shared" si="109"/>
        <v>5.3731462324074939E-3</v>
      </c>
      <c r="E592" s="1055">
        <f>NPV(realdiscrt1,C$582:C592)/(1+realdiscrt3)^(2-Half_Year)</f>
        <v>0.98426490442785775</v>
      </c>
      <c r="F592" s="1030">
        <f>NPV(realdiscrt1,D$582:D592)/(1+realdiscrt3)^(2-Half_Year)</f>
        <v>9.0415487163069769E-2</v>
      </c>
      <c r="G592" s="1019" t="str">
        <f t="shared" si="110"/>
        <v>2026-Winter Targeted Charge-11</v>
      </c>
    </row>
    <row r="593" spans="1:17" s="466" customFormat="1">
      <c r="A593" s="1015">
        <f t="shared" si="112"/>
        <v>12</v>
      </c>
      <c r="B593" s="1016">
        <f t="shared" si="111"/>
        <v>2037</v>
      </c>
      <c r="C593" s="1049">
        <f t="shared" si="108"/>
        <v>0.10174662190260593</v>
      </c>
      <c r="D593" s="1485">
        <f t="shared" si="109"/>
        <v>0</v>
      </c>
      <c r="E593" s="1055">
        <f>NPV(realdiscrt1,C$582:C593)/(1+realdiscrt3)^(2-Half_Year)</f>
        <v>1.0690043866268037</v>
      </c>
      <c r="F593" s="1030">
        <f>NPV(realdiscrt1,D$582:D593)/(1+realdiscrt3)^(2-Half_Year)</f>
        <v>9.0415487163069769E-2</v>
      </c>
      <c r="G593" s="1019" t="str">
        <f t="shared" si="110"/>
        <v>2026-Winter Targeted Charge-12</v>
      </c>
    </row>
    <row r="594" spans="1:17" s="466" customFormat="1">
      <c r="A594" s="1015">
        <f t="shared" si="112"/>
        <v>13</v>
      </c>
      <c r="B594" s="1016">
        <f t="shared" si="111"/>
        <v>2038</v>
      </c>
      <c r="C594" s="1049">
        <f t="shared" si="108"/>
        <v>0.10202766439475049</v>
      </c>
      <c r="D594" s="1485">
        <f t="shared" si="109"/>
        <v>0</v>
      </c>
      <c r="E594" s="1055">
        <f>NPV(realdiscrt1,C$582:C594)/(1+realdiscrt3)^(2-Half_Year)</f>
        <v>1.1528344389950991</v>
      </c>
      <c r="F594" s="1030">
        <f>NPV(realdiscrt1,D$582:D594)/(1+realdiscrt3)^(2-Half_Year)</f>
        <v>9.0415487163069769E-2</v>
      </c>
      <c r="G594" s="1019" t="str">
        <f t="shared" si="110"/>
        <v>2026-Winter Targeted Charge-13</v>
      </c>
    </row>
    <row r="595" spans="1:17" s="466" customFormat="1">
      <c r="A595" s="1015">
        <f t="shared" si="112"/>
        <v>14</v>
      </c>
      <c r="B595" s="1016">
        <f t="shared" si="111"/>
        <v>2039</v>
      </c>
      <c r="C595" s="1049">
        <f t="shared" si="108"/>
        <v>0.10240817467830692</v>
      </c>
      <c r="D595" s="1485">
        <f t="shared" si="109"/>
        <v>0</v>
      </c>
      <c r="E595" s="1055">
        <f>NPV(realdiscrt1,C$582:C595)/(1+realdiscrt3)^(2-Half_Year)</f>
        <v>1.2358448193011131</v>
      </c>
      <c r="F595" s="1030">
        <f>NPV(realdiscrt1,D$582:D595)/(1+realdiscrt3)^(2-Half_Year)</f>
        <v>9.0415487163069769E-2</v>
      </c>
      <c r="G595" s="1019" t="str">
        <f t="shared" si="110"/>
        <v>2026-Winter Targeted Charge-14</v>
      </c>
    </row>
    <row r="596" spans="1:17" s="466" customFormat="1">
      <c r="A596" s="1015">
        <f t="shared" si="112"/>
        <v>15</v>
      </c>
      <c r="B596" s="1016">
        <f t="shared" si="111"/>
        <v>2040</v>
      </c>
      <c r="C596" s="1049">
        <f t="shared" si="108"/>
        <v>0.10287670670969426</v>
      </c>
      <c r="D596" s="1485">
        <f t="shared" si="109"/>
        <v>0</v>
      </c>
      <c r="E596" s="1055">
        <f>NPV(realdiscrt1,C$582:C596)/(1+realdiscrt3)^(2-Half_Year)</f>
        <v>1.3181127961270298</v>
      </c>
      <c r="F596" s="1030">
        <f>NPV(realdiscrt1,D$582:D596)/(1+realdiscrt3)^(2-Half_Year)</f>
        <v>9.0415487163069769E-2</v>
      </c>
      <c r="G596" s="1019" t="str">
        <f t="shared" si="110"/>
        <v>2026-Winter Targeted Charge-15</v>
      </c>
    </row>
    <row r="597" spans="1:17" s="466" customFormat="1">
      <c r="A597" s="1015">
        <f t="shared" si="112"/>
        <v>16</v>
      </c>
      <c r="B597" s="1016">
        <f t="shared" si="111"/>
        <v>2041</v>
      </c>
      <c r="C597" s="1049">
        <f t="shared" si="108"/>
        <v>0.10342330366895898</v>
      </c>
      <c r="D597" s="1485">
        <f t="shared" si="109"/>
        <v>0</v>
      </c>
      <c r="E597" s="1055">
        <f>NPV(realdiscrt1,C$582:C597)/(1+realdiscrt3)^(2-Half_Year)</f>
        <v>1.3997049045692715</v>
      </c>
      <c r="F597" s="1030">
        <f>NPV(realdiscrt1,D$582:D597)/(1+realdiscrt3)^(2-Half_Year)</f>
        <v>9.0415487163069769E-2</v>
      </c>
      <c r="G597" s="1019" t="str">
        <f t="shared" si="110"/>
        <v>2026-Winter Targeted Charge-16</v>
      </c>
    </row>
    <row r="598" spans="1:17" s="466" customFormat="1">
      <c r="A598" s="1015">
        <f t="shared" si="112"/>
        <v>17</v>
      </c>
      <c r="B598" s="1016">
        <f t="shared" si="111"/>
        <v>2042</v>
      </c>
      <c r="C598" s="1049">
        <f t="shared" si="108"/>
        <v>0.10403930615226184</v>
      </c>
      <c r="D598" s="1485">
        <f t="shared" si="109"/>
        <v>0</v>
      </c>
      <c r="E598" s="1055">
        <f>NPV(realdiscrt1,C$582:C598)/(1+realdiscrt3)^(2-Half_Year)</f>
        <v>1.4806784550639778</v>
      </c>
      <c r="F598" s="1030">
        <f>NPV(realdiscrt1,D$582:D598)/(1+realdiscrt3)^(2-Half_Year)</f>
        <v>9.0415487163069769E-2</v>
      </c>
      <c r="G598" s="1019" t="str">
        <f t="shared" si="110"/>
        <v>2026-Winter Targeted Charge-17</v>
      </c>
    </row>
    <row r="599" spans="1:17" s="466" customFormat="1">
      <c r="A599" s="1015">
        <f t="shared" si="112"/>
        <v>18</v>
      </c>
      <c r="B599" s="1016">
        <f t="shared" si="111"/>
        <v>2043</v>
      </c>
      <c r="C599" s="1049">
        <f t="shared" si="108"/>
        <v>0.10471718508818899</v>
      </c>
      <c r="D599" s="1485">
        <f t="shared" si="109"/>
        <v>0</v>
      </c>
      <c r="E599" s="1055">
        <f>NPV(realdiscrt1,C$582:C599)/(1+realdiscrt3)^(2-Half_Year)</f>
        <v>1.5610828300516768</v>
      </c>
      <c r="F599" s="1030">
        <f>NPV(realdiscrt1,D$582:D599)/(1+realdiscrt3)^(2-Half_Year)</f>
        <v>9.0415487163069769E-2</v>
      </c>
      <c r="G599" s="1019" t="str">
        <f t="shared" si="110"/>
        <v>2026-Winter Targeted Charge-18</v>
      </c>
    </row>
    <row r="600" spans="1:17" s="466" customFormat="1">
      <c r="A600" s="1015">
        <f t="shared" si="112"/>
        <v>19</v>
      </c>
      <c r="B600" s="1016">
        <f t="shared" si="111"/>
        <v>2044</v>
      </c>
      <c r="C600" s="1049">
        <f t="shared" si="108"/>
        <v>0.10545039619120576</v>
      </c>
      <c r="D600" s="1485">
        <f t="shared" si="109"/>
        <v>0</v>
      </c>
      <c r="E600" s="1055">
        <f>NPV(realdiscrt1,C$582:C600)/(1+realdiscrt3)^(2-Half_Year)</f>
        <v>1.6409605983139797</v>
      </c>
      <c r="F600" s="1030">
        <f>NPV(realdiscrt1,D$582:D600)/(1+realdiscrt3)^(2-Half_Year)</f>
        <v>9.0415487163069769E-2</v>
      </c>
      <c r="G600" s="1019" t="str">
        <f t="shared" si="110"/>
        <v>2026-Winter Targeted Charge-19</v>
      </c>
    </row>
    <row r="601" spans="1:17" s="466" customFormat="1">
      <c r="A601" s="1015">
        <f t="shared" si="112"/>
        <v>20</v>
      </c>
      <c r="B601" s="1016">
        <f t="shared" si="111"/>
        <v>2045</v>
      </c>
      <c r="C601" s="1049">
        <f t="shared" si="108"/>
        <v>0.10623325317630972</v>
      </c>
      <c r="D601" s="1485">
        <f t="shared" si="109"/>
        <v>0</v>
      </c>
      <c r="E601" s="1055">
        <f>NPV(realdiscrt1,C$582:C601)/(1+realdiscrt3)^(2-Half_Year)</f>
        <v>1.7203484726202056</v>
      </c>
      <c r="F601" s="1030">
        <f>NPV(realdiscrt1,D$582:D601)/(1+realdiscrt3)^(2-Half_Year)</f>
        <v>9.0415487163069769E-2</v>
      </c>
      <c r="G601" s="1019" t="str">
        <f t="shared" si="110"/>
        <v>2026-Winter Targeted Charge-20</v>
      </c>
    </row>
    <row r="602" spans="1:17" s="466" customFormat="1">
      <c r="A602" s="1015">
        <f t="shared" si="112"/>
        <v>21</v>
      </c>
      <c r="B602" s="1016">
        <f t="shared" si="111"/>
        <v>2046</v>
      </c>
      <c r="C602" s="1049">
        <f t="shared" si="108"/>
        <v>0.10706081731673403</v>
      </c>
      <c r="D602" s="1485">
        <f t="shared" si="109"/>
        <v>0</v>
      </c>
      <c r="E602" s="1055">
        <f>NPV(realdiscrt1,C$582:C602)/(1+realdiscrt3)^(2-Half_Year)</f>
        <v>1.7992781327167926</v>
      </c>
      <c r="F602" s="1030">
        <f>NPV(realdiscrt1,D$582:D602)/(1+realdiscrt3)^(2-Half_Year)</f>
        <v>9.0415487163069769E-2</v>
      </c>
      <c r="G602" s="1019" t="str">
        <f t="shared" si="110"/>
        <v>2026-Winter Targeted Charge-21</v>
      </c>
    </row>
    <row r="603" spans="1:17" s="466" customFormat="1">
      <c r="A603" s="1015">
        <f t="shared" si="112"/>
        <v>22</v>
      </c>
      <c r="B603" s="1016">
        <f t="shared" si="111"/>
        <v>2047</v>
      </c>
      <c r="C603" s="1049">
        <f t="shared" si="108"/>
        <v>0.1079288012382336</v>
      </c>
      <c r="D603" s="1485">
        <f t="shared" si="109"/>
        <v>0</v>
      </c>
      <c r="E603" s="1055">
        <f>NPV(realdiscrt1,C$582:C603)/(1+realdiscrt3)^(2-Half_Year)</f>
        <v>1.8777769325942126</v>
      </c>
      <c r="F603" s="1030">
        <f>NPV(realdiscrt1,D$582:D603)/(1+realdiscrt3)^(2-Half_Year)</f>
        <v>9.0415487163069769E-2</v>
      </c>
      <c r="G603" s="1019" t="str">
        <f t="shared" si="110"/>
        <v>2026-Winter Targeted Charge-22</v>
      </c>
    </row>
    <row r="604" spans="1:17" s="466" customFormat="1">
      <c r="A604" s="1015">
        <f t="shared" si="112"/>
        <v>23</v>
      </c>
      <c r="B604" s="1016">
        <f t="shared" si="111"/>
        <v>2048</v>
      </c>
      <c r="C604" s="1049">
        <f t="shared" si="108"/>
        <v>0.108833485114991</v>
      </c>
      <c r="D604" s="1485">
        <f t="shared" si="109"/>
        <v>0</v>
      </c>
      <c r="E604" s="1055">
        <f>NPV(realdiscrt1,C$582:C604)/(1+realdiscrt3)^(2-Half_Year)</f>
        <v>1.9558685083036211</v>
      </c>
      <c r="F604" s="1030">
        <f>NPV(realdiscrt1,D$582:D604)/(1+realdiscrt3)^(2-Half_Year)</f>
        <v>9.0415487163069769E-2</v>
      </c>
      <c r="G604" s="1019" t="str">
        <f t="shared" si="110"/>
        <v>2026-Winter Targeted Charge-23</v>
      </c>
    </row>
    <row r="605" spans="1:17" s="466" customFormat="1">
      <c r="A605" s="1015">
        <f t="shared" si="112"/>
        <v>24</v>
      </c>
      <c r="B605" s="1016">
        <f t="shared" si="111"/>
        <v>2049</v>
      </c>
      <c r="C605" s="1049">
        <f t="shared" si="108"/>
        <v>0.10977164366869184</v>
      </c>
      <c r="D605" s="1485">
        <f t="shared" si="109"/>
        <v>0</v>
      </c>
      <c r="E605" s="1055">
        <f>NPV(realdiscrt1,C$582:C605)/(1+realdiscrt3)^(2-Half_Year)</f>
        <v>2.0335733003073591</v>
      </c>
      <c r="F605" s="1030">
        <f>NPV(realdiscrt1,D$582:D605)/(1+realdiscrt3)^(2-Half_Year)</f>
        <v>9.0415487163069769E-2</v>
      </c>
      <c r="G605" s="1019" t="str">
        <f t="shared" si="110"/>
        <v>2026-Winter Targeted Charge-24</v>
      </c>
    </row>
    <row r="606" spans="1:17" s="466" customFormat="1">
      <c r="A606" s="1039">
        <f t="shared" si="112"/>
        <v>25</v>
      </c>
      <c r="B606" s="1051">
        <f t="shared" si="111"/>
        <v>2050</v>
      </c>
      <c r="C606" s="1050">
        <f t="shared" si="108"/>
        <v>0.11074048257834654</v>
      </c>
      <c r="D606" s="1488">
        <f t="shared" si="109"/>
        <v>0</v>
      </c>
      <c r="E606" s="1052">
        <f>NPV(realdiscrt1,C$582:C606)/(1+realdiscrt3)^(2-Half_Year)</f>
        <v>2.1109090023810664</v>
      </c>
      <c r="F606" s="1031">
        <f>NPV(realdiscrt1,D$582:D606)/(1+realdiscrt3)^(2-Half_Year)</f>
        <v>9.0415487163069769E-2</v>
      </c>
      <c r="G606" s="1032" t="str">
        <f t="shared" si="110"/>
        <v>2026-Winter Targeted Charge-25</v>
      </c>
    </row>
    <row r="607" spans="1:17">
      <c r="H607" s="466"/>
      <c r="I607" s="466"/>
      <c r="J607" s="466"/>
      <c r="K607" s="466"/>
      <c r="L607" s="466"/>
      <c r="M607" s="466"/>
      <c r="N607" s="466"/>
      <c r="O607" s="466"/>
      <c r="P607" s="466"/>
      <c r="Q607" s="466"/>
    </row>
    <row r="608" spans="1:17">
      <c r="H608" s="466"/>
      <c r="O608" s="466"/>
      <c r="P608" s="466"/>
      <c r="Q608" s="466"/>
    </row>
    <row r="609" spans="1:17" s="466" customFormat="1">
      <c r="A609" s="979"/>
      <c r="B609" s="979"/>
      <c r="C609" s="979"/>
      <c r="D609" s="979"/>
      <c r="E609" s="979"/>
      <c r="F609" s="979"/>
      <c r="G609" s="979"/>
      <c r="I609" s="979"/>
      <c r="J609" s="979"/>
      <c r="K609" s="979"/>
      <c r="L609" s="979"/>
      <c r="M609" s="979"/>
      <c r="N609" s="979"/>
    </row>
    <row r="610" spans="1:17" s="996" customFormat="1">
      <c r="A610" s="979"/>
      <c r="B610" s="979"/>
      <c r="C610" s="979"/>
      <c r="D610" s="979"/>
      <c r="E610" s="979"/>
      <c r="F610" s="979"/>
      <c r="G610" s="979"/>
      <c r="H610" s="979"/>
      <c r="I610" s="979"/>
      <c r="J610" s="979"/>
      <c r="K610" s="979"/>
      <c r="L610" s="979"/>
      <c r="M610" s="979"/>
      <c r="N610" s="979"/>
      <c r="O610" s="466"/>
      <c r="P610" s="466"/>
      <c r="Q610" s="466"/>
    </row>
    <row r="611" spans="1:17" s="1033" customFormat="1">
      <c r="A611" s="979"/>
      <c r="B611" s="979"/>
      <c r="C611" s="979"/>
      <c r="D611" s="979"/>
      <c r="E611" s="979"/>
      <c r="F611" s="979"/>
      <c r="G611" s="979"/>
      <c r="H611" s="979"/>
      <c r="I611" s="979"/>
      <c r="J611" s="979"/>
      <c r="K611" s="979"/>
      <c r="L611" s="979"/>
      <c r="M611" s="979"/>
      <c r="N611" s="979"/>
      <c r="O611" s="466"/>
      <c r="P611" s="466"/>
      <c r="Q611" s="466"/>
    </row>
    <row r="612" spans="1:17" s="466" customFormat="1">
      <c r="A612" s="979"/>
      <c r="B612" s="979"/>
      <c r="C612" s="979"/>
      <c r="D612" s="979"/>
      <c r="E612" s="979"/>
      <c r="F612" s="979"/>
      <c r="G612" s="979"/>
      <c r="I612" s="979"/>
      <c r="J612" s="979"/>
      <c r="K612" s="979"/>
      <c r="L612" s="979"/>
      <c r="M612" s="979"/>
      <c r="N612" s="979"/>
    </row>
    <row r="613" spans="1:17" s="466" customFormat="1">
      <c r="A613" s="979"/>
      <c r="B613" s="979"/>
      <c r="C613" s="979"/>
      <c r="D613" s="979"/>
      <c r="E613" s="979"/>
      <c r="F613" s="979"/>
      <c r="G613" s="979"/>
      <c r="H613" s="996"/>
      <c r="I613" s="979"/>
      <c r="J613" s="979"/>
      <c r="K613" s="979"/>
      <c r="L613" s="979"/>
      <c r="M613" s="979"/>
      <c r="N613" s="979"/>
    </row>
    <row r="614" spans="1:17" s="466" customFormat="1">
      <c r="A614" s="979"/>
      <c r="B614" s="979"/>
      <c r="C614" s="979"/>
      <c r="D614" s="979"/>
      <c r="E614" s="979"/>
      <c r="F614" s="979"/>
      <c r="G614" s="979"/>
      <c r="H614" s="1033"/>
      <c r="I614" s="979"/>
      <c r="J614" s="979"/>
      <c r="K614" s="979"/>
      <c r="L614" s="979"/>
      <c r="M614" s="979"/>
      <c r="N614" s="979"/>
    </row>
    <row r="615" spans="1:17" s="466" customFormat="1">
      <c r="A615" s="979"/>
      <c r="B615" s="979"/>
      <c r="C615" s="979"/>
      <c r="D615" s="979"/>
      <c r="E615" s="979"/>
      <c r="F615" s="979"/>
      <c r="G615" s="979"/>
      <c r="I615" s="979"/>
      <c r="J615" s="979"/>
      <c r="K615" s="979"/>
      <c r="L615" s="979"/>
      <c r="M615" s="979"/>
      <c r="N615" s="979"/>
    </row>
    <row r="616" spans="1:17" s="466" customFormat="1">
      <c r="A616" s="979"/>
      <c r="B616" s="979"/>
      <c r="C616" s="979"/>
      <c r="D616" s="979"/>
      <c r="E616" s="979"/>
      <c r="F616" s="979"/>
      <c r="G616" s="979"/>
      <c r="I616" s="979"/>
      <c r="J616" s="979"/>
      <c r="K616" s="979"/>
      <c r="L616" s="979"/>
      <c r="M616" s="979"/>
      <c r="N616" s="979"/>
    </row>
    <row r="617" spans="1:17" s="466" customFormat="1">
      <c r="A617" s="979"/>
      <c r="B617" s="979"/>
      <c r="C617" s="979"/>
      <c r="D617" s="979"/>
      <c r="E617" s="979"/>
      <c r="F617" s="979"/>
      <c r="G617" s="979"/>
      <c r="I617" s="979"/>
      <c r="J617" s="979"/>
      <c r="K617" s="979"/>
      <c r="L617" s="979"/>
      <c r="M617" s="979"/>
      <c r="N617" s="979"/>
    </row>
    <row r="618" spans="1:17">
      <c r="H618" s="466"/>
    </row>
    <row r="619" spans="1:17">
      <c r="H619" s="466"/>
    </row>
    <row r="620" spans="1:17">
      <c r="H620" s="466"/>
    </row>
  </sheetData>
  <mergeCells count="29">
    <mergeCell ref="A524:B524"/>
    <mergeCell ref="I524:I526"/>
    <mergeCell ref="N524:N526"/>
    <mergeCell ref="A523:N523"/>
    <mergeCell ref="A354:B354"/>
    <mergeCell ref="I354:I356"/>
    <mergeCell ref="N354:N356"/>
    <mergeCell ref="A353:N353"/>
    <mergeCell ref="A439:B439"/>
    <mergeCell ref="I439:I441"/>
    <mergeCell ref="N439:N441"/>
    <mergeCell ref="A438:N438"/>
    <mergeCell ref="A98:N98"/>
    <mergeCell ref="A269:B269"/>
    <mergeCell ref="A268:N268"/>
    <mergeCell ref="I269:I271"/>
    <mergeCell ref="N269:N271"/>
    <mergeCell ref="A99:B99"/>
    <mergeCell ref="I99:I101"/>
    <mergeCell ref="N99:N101"/>
    <mergeCell ref="N184:N186"/>
    <mergeCell ref="A184:B184"/>
    <mergeCell ref="A183:N183"/>
    <mergeCell ref="I184:I186"/>
    <mergeCell ref="K8:M9"/>
    <mergeCell ref="I14:I16"/>
    <mergeCell ref="N14:N16"/>
    <mergeCell ref="A14:B14"/>
    <mergeCell ref="A13:N13"/>
  </mergeCells>
  <dataValidations count="1">
    <dataValidation type="list" allowBlank="1" showInputMessage="1" showErrorMessage="1" sqref="D4:D10" xr:uid="{08AF096B-9E25-4041-8E88-B83F65857275}">
      <formula1>"Default,User Input,Peak Load (Top %), Peak Load (Top MW), Peak Price (Top %), Peak Price (Top $/MWh)"</formula1>
    </dataValidation>
  </dataValidations>
  <hyperlinks>
    <hyperlink ref="B9" location="AvoidedEnergy!A438" display="Strategy 6" xr:uid="{1F4151F5-9547-4284-B693-471E754115A6}"/>
    <hyperlink ref="B8" location="AvoidedEnergy!A353" display="Strategy 5" xr:uid="{3759E18D-1C17-4A44-AF47-854DE2562D8E}"/>
    <hyperlink ref="B7" location="AvoidedEnergy!A268" display="Strategy 4" xr:uid="{EAB5E49D-E9FE-456D-8214-FD1D8BC9061F}"/>
    <hyperlink ref="B6" location="AvoidedEnergy!A183" display="Strategy 3" xr:uid="{93170405-DB06-48DE-8685-91F27EA0F1D6}"/>
    <hyperlink ref="B5" location="AvoidedEnergy!A98" display="Strategy 2" xr:uid="{6F6E6CF0-CA69-43B0-AE2D-7D55D13E79FB}"/>
    <hyperlink ref="B10" location="AvoidedEnergy!A523" display="Strategy 7" xr:uid="{A3133BEC-A80A-4DC6-AABF-4CDA723CAC72}"/>
    <hyperlink ref="B4" location="AvoidedEnergy!A13" display="Strategy 1" xr:uid="{FA02EA9D-765D-4F76-822C-8550EB801153}"/>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09ACD-A58A-4E41-A9D2-7A0B9D07140E}">
  <sheetPr>
    <tabColor rgb="FF00B0F0"/>
    <pageSetUpPr fitToPage="1"/>
  </sheetPr>
  <dimension ref="A1:AB66"/>
  <sheetViews>
    <sheetView showGridLines="0" topLeftCell="A4" zoomScale="90" zoomScaleNormal="90" zoomScaleSheetLayoutView="90" zoomScalePageLayoutView="60" workbookViewId="0">
      <selection activeCell="N14" sqref="N14"/>
    </sheetView>
  </sheetViews>
  <sheetFormatPr defaultColWidth="10" defaultRowHeight="12.75" outlineLevelRow="1"/>
  <cols>
    <col min="1" max="1" width="37" style="118" customWidth="1"/>
    <col min="2" max="6" width="11.42578125" style="118" customWidth="1"/>
    <col min="7" max="7" width="11.42578125" style="230" customWidth="1"/>
    <col min="8" max="9" width="11.42578125" style="118" customWidth="1"/>
    <col min="10" max="10" width="11.42578125" style="231" customWidth="1"/>
    <col min="11" max="11" width="11.42578125" style="118" hidden="1" customWidth="1"/>
    <col min="12" max="12" width="0.140625" style="118" customWidth="1"/>
    <col min="13" max="14" width="19.28515625" style="118" customWidth="1"/>
    <col min="15" max="15" width="16.28515625" style="118" bestFit="1" customWidth="1"/>
    <col min="16" max="16" width="10" style="118"/>
    <col min="17" max="17" width="21.28515625" style="118" customWidth="1"/>
    <col min="18" max="16384" width="10" style="118"/>
  </cols>
  <sheetData>
    <row r="1" spans="1:28">
      <c r="A1" s="117"/>
      <c r="B1" s="117"/>
      <c r="C1" s="117"/>
      <c r="D1" s="117"/>
      <c r="E1" s="117"/>
      <c r="F1" s="117"/>
      <c r="G1" s="225"/>
      <c r="H1" s="117"/>
      <c r="I1" s="117"/>
      <c r="J1" s="1086" t="str">
        <f>PA</f>
        <v>Unitil Energy Systems Inc</v>
      </c>
      <c r="K1" s="117"/>
    </row>
    <row r="2" spans="1:28">
      <c r="A2" s="117"/>
      <c r="B2" s="117"/>
      <c r="C2" s="117"/>
      <c r="D2" s="117"/>
      <c r="E2" s="117"/>
      <c r="F2" s="117"/>
      <c r="G2" s="225"/>
      <c r="H2" s="117"/>
      <c r="I2" s="117"/>
      <c r="J2" s="171" t="s">
        <v>995</v>
      </c>
      <c r="K2" s="117"/>
    </row>
    <row r="3" spans="1:28">
      <c r="A3" s="117"/>
      <c r="B3" s="117"/>
      <c r="C3" s="117"/>
      <c r="D3" s="117"/>
      <c r="E3" s="117"/>
      <c r="F3" s="117"/>
      <c r="G3" s="225"/>
      <c r="H3" s="117"/>
      <c r="I3" s="117"/>
      <c r="J3" s="232" t="s">
        <v>1000</v>
      </c>
      <c r="K3" s="117"/>
      <c r="L3" s="171"/>
    </row>
    <row r="4" spans="1:28">
      <c r="A4" s="117"/>
      <c r="B4" s="117"/>
      <c r="C4" s="117"/>
      <c r="D4" s="117"/>
      <c r="E4" s="117"/>
      <c r="F4" s="117"/>
      <c r="G4" s="225"/>
      <c r="H4" s="117"/>
      <c r="I4" s="117"/>
      <c r="J4" s="200"/>
      <c r="K4" s="117"/>
      <c r="L4" s="171"/>
    </row>
    <row r="5" spans="1:28">
      <c r="A5" s="117"/>
      <c r="B5" s="117"/>
      <c r="C5" s="117"/>
      <c r="D5" s="797"/>
      <c r="E5" s="797"/>
      <c r="F5" s="797"/>
      <c r="G5" s="797"/>
      <c r="H5" s="797"/>
      <c r="I5" s="797"/>
      <c r="J5" s="797"/>
      <c r="K5" s="797"/>
      <c r="L5" s="797"/>
    </row>
    <row r="6" spans="1:28" ht="15.75">
      <c r="A6" s="1744" t="s">
        <v>872</v>
      </c>
      <c r="B6" s="1744"/>
      <c r="C6" s="1744"/>
      <c r="D6" s="1744"/>
      <c r="E6" s="1744"/>
      <c r="F6" s="1744"/>
      <c r="G6" s="1744"/>
      <c r="H6" s="1744"/>
      <c r="I6" s="1744"/>
      <c r="J6" s="1744"/>
      <c r="K6" s="1744"/>
      <c r="L6" s="1744"/>
    </row>
    <row r="7" spans="1:28" s="1090" customFormat="1" ht="13.5" thickBot="1">
      <c r="A7" s="1087"/>
      <c r="B7" s="1087"/>
      <c r="C7" s="1087"/>
      <c r="D7" s="1088"/>
      <c r="E7" s="1087"/>
      <c r="F7" s="1089"/>
      <c r="G7" s="1089"/>
      <c r="H7" s="1088"/>
      <c r="I7" s="1088"/>
      <c r="J7" s="1088"/>
      <c r="K7" s="1088"/>
      <c r="L7" s="1089"/>
    </row>
    <row r="8" spans="1:28" ht="13.5" thickBot="1">
      <c r="A8" s="1115">
        <f>Year1</f>
        <v>2024</v>
      </c>
      <c r="B8" s="1116"/>
      <c r="C8" s="1117"/>
      <c r="D8" s="1118"/>
      <c r="E8" s="1119"/>
      <c r="F8" s="1120"/>
      <c r="G8" s="1120"/>
      <c r="H8" s="1120"/>
      <c r="I8" s="1120"/>
      <c r="J8" s="1121"/>
      <c r="K8" s="1120"/>
      <c r="L8" s="1121"/>
    </row>
    <row r="9" spans="1:28" ht="51" customHeight="1" thickBot="1">
      <c r="A9" s="122"/>
      <c r="B9" s="1220" t="s">
        <v>921</v>
      </c>
      <c r="C9" s="1220" t="s">
        <v>920</v>
      </c>
      <c r="D9" s="1490" t="s">
        <v>997</v>
      </c>
      <c r="E9" s="1490" t="s">
        <v>998</v>
      </c>
      <c r="F9" s="1214" t="s">
        <v>291</v>
      </c>
      <c r="G9" s="1215" t="s">
        <v>292</v>
      </c>
      <c r="H9" s="1214" t="s">
        <v>293</v>
      </c>
      <c r="I9" s="1216" t="s">
        <v>294</v>
      </c>
      <c r="J9" s="1217" t="s">
        <v>295</v>
      </c>
      <c r="K9" s="123" t="s">
        <v>296</v>
      </c>
      <c r="L9" s="124" t="s">
        <v>297</v>
      </c>
    </row>
    <row r="10" spans="1:28">
      <c r="A10" s="172" t="s">
        <v>298</v>
      </c>
      <c r="B10" s="126"/>
      <c r="C10" s="126"/>
      <c r="D10" s="126"/>
      <c r="E10" s="126"/>
      <c r="F10" s="126"/>
      <c r="G10" s="226"/>
      <c r="H10" s="126"/>
      <c r="I10" s="126"/>
      <c r="J10" s="1174"/>
      <c r="K10" s="126"/>
      <c r="L10" s="127"/>
      <c r="N10" s="233"/>
    </row>
    <row r="11" spans="1:28">
      <c r="A11" s="173" t="s">
        <v>268</v>
      </c>
      <c r="B11" s="184">
        <f ca="1">IFERROR(IF(C11=0,0,C11/(D11+E11)),"")</f>
        <v>0</v>
      </c>
      <c r="C11" s="233">
        <f ca="1">SUMIFS('ADR Primary Data'!$CK$2:$CK$12,'ADR Primary Data'!$F$2:$F$12,$A11,'ADR Primary Data'!$C$2:$C$12,$A$8)/1000</f>
        <v>0</v>
      </c>
      <c r="D11" s="233">
        <f>SUMIFS('ADR Primary Data'!$O$2:$O$12,'ADR Primary Data'!$F$2:$F$12,$A11,'ADR Primary Data'!$C$2:$C$12,$A$8)/1000</f>
        <v>0</v>
      </c>
      <c r="E11" s="233">
        <f ca="1">SUMIFS('ADR Primary Data'!$S$2:$S$12,'ADR Primary Data'!$F$2:$F$12,$A11,'ADR Primary Data'!$C$2:$C$12,$A$8)/1000</f>
        <v>0</v>
      </c>
      <c r="F11" s="233">
        <f ca="1">SUMIFS('ADR Primary Data'!$Y$2:$Y$12,'ADR Primary Data'!$F$2:$F$12,$A11,'ADR Primary Data'!$C$2:$C$12,$A$8)</f>
        <v>0</v>
      </c>
      <c r="G11" s="233">
        <f ca="1">SUMIFS('ADR Primary Data'!$AA$2:$AA$12,'ADR Primary Data'!$F$2:$F$12,$A11,'ADR Primary Data'!$C$2:$C$12,$A$8)</f>
        <v>0</v>
      </c>
      <c r="H11" s="233">
        <f ca="1">SUMIFS('ADR Primary Data'!$W$2:$W$12,'ADR Primary Data'!$F$2:$F$12,$A11,'ADR Primary Data'!$C$2:$C$12,$A$8)</f>
        <v>0</v>
      </c>
      <c r="I11" s="233">
        <f ca="1">SUMIFS('ADR Primary Data'!$X$2:$X$12,'ADR Primary Data'!$F$2:$F$12,$A11,'ADR Primary Data'!$C$2:$C$12,$A$8)</f>
        <v>0</v>
      </c>
      <c r="J11" s="1175">
        <f>SUMIFS(ADRYr1!$G$5:$G$50,ADRYr1!$B$5:$B$50,A11)</f>
        <v>0</v>
      </c>
      <c r="K11" s="233">
        <f ca="1">SUMIFS('ADR Primary Data'!$BC$2:$BC$12,'ADR Primary Data'!$F$2:$F$12,$A11,'ADR Primary Data'!$C$2:$C$12,$A$8)</f>
        <v>0</v>
      </c>
      <c r="L11" s="174">
        <f ca="1">SUMIFS('ADR Primary Data'!$BD$2:$BD$12,'ADR Primary Data'!$F$2:$F$12,$A11,'ADR Primary Data'!$C$2:$C$12,$A$8)</f>
        <v>0</v>
      </c>
      <c r="N11" s="184"/>
      <c r="O11" s="636"/>
      <c r="P11" s="636"/>
      <c r="Q11" s="636"/>
      <c r="R11" s="636"/>
      <c r="S11" s="636"/>
      <c r="T11" s="636"/>
      <c r="U11" s="636"/>
      <c r="V11" s="636"/>
      <c r="W11" s="636"/>
      <c r="X11" s="636"/>
      <c r="Y11" s="636"/>
      <c r="Z11" s="636"/>
      <c r="AA11" s="635"/>
      <c r="AB11" s="635"/>
    </row>
    <row r="12" spans="1:28">
      <c r="A12" s="783" t="s">
        <v>902</v>
      </c>
      <c r="B12" s="184">
        <f ca="1">IFERROR(IF(C12=0,0,C12/(D12)),"")</f>
        <v>2.1211464318396396</v>
      </c>
      <c r="C12" s="233">
        <f ca="1">SUMIFS('ADR Primary Data'!$CL$2:$CL$12,'ADR Primary Data'!$F$2:$F$12,$A12,'ADR Primary Data'!$C$2:$C$12,$A$8)/1000</f>
        <v>148.48051919014233</v>
      </c>
      <c r="D12" s="233">
        <f>SUMIFS('ADR Primary Data'!$O$2:$O$12,'ADR Primary Data'!$F$2:$F$12,$A12,'ADR Primary Data'!$C$2:$C$12,$A$8)/1000</f>
        <v>70.000126800000004</v>
      </c>
      <c r="E12" s="233">
        <f ca="1">SUMIFS('ADR Primary Data'!$S$2:$S$12,'ADR Primary Data'!$F$2:$F$12,$A12,'ADR Primary Data'!$C$2:$C$12,$A$8)/1000</f>
        <v>0</v>
      </c>
      <c r="F12" s="233">
        <f ca="1">SUMIFS('ADR Primary Data'!$Y$2:$Y$12,'ADR Primary Data'!$F$2:$F$12,$A12,'ADR Primary Data'!$C$2:$C$12,$A$8)</f>
        <v>0</v>
      </c>
      <c r="G12" s="233">
        <f ca="1">SUMIFS('ADR Primary Data'!$AA$2:$AA$12,'ADR Primary Data'!$F$2:$F$12,$A12,'ADR Primary Data'!$C$2:$C$12,$A$8)</f>
        <v>0</v>
      </c>
      <c r="H12" s="233">
        <f ca="1">SUMIFS('ADR Primary Data'!$W$2:$W$12,'ADR Primary Data'!$F$2:$F$12,$A12,'ADR Primary Data'!$C$2:$C$12,$A$8)</f>
        <v>0</v>
      </c>
      <c r="I12" s="233">
        <f ca="1">SUMIFS('ADR Primary Data'!$X$2:$X$12,'ADR Primary Data'!$F$2:$F$12,$A12,'ADR Primary Data'!$C$2:$C$12,$A$8)</f>
        <v>638</v>
      </c>
      <c r="J12" s="1175">
        <f>SUMIFS(ADRYr1!$G$5:$G$50,ADRYr1!$B$5:$B$50,A12)</f>
        <v>750</v>
      </c>
      <c r="K12" s="233">
        <f ca="1">SUMIFS('ADR Primary Data'!$BC$2:$BC$12,'ADR Primary Data'!$F$2:$F$12,$A12,'ADR Primary Data'!$C$2:$C$12,$A$8)</f>
        <v>0</v>
      </c>
      <c r="L12" s="174">
        <f ca="1">SUMIFS('ADR Primary Data'!$BD$2:$BD$12,'ADR Primary Data'!$F$2:$F$12,$A12,'ADR Primary Data'!$C$2:$C$12,$A$8)</f>
        <v>0</v>
      </c>
      <c r="M12" s="1332"/>
      <c r="N12" s="1330"/>
      <c r="O12" s="636"/>
      <c r="P12" s="636"/>
      <c r="Q12" s="636"/>
      <c r="R12" s="636"/>
      <c r="S12" s="636"/>
      <c r="T12" s="636"/>
      <c r="U12" s="636"/>
      <c r="V12" s="636"/>
      <c r="W12" s="636"/>
      <c r="X12" s="636"/>
      <c r="Y12" s="636"/>
    </row>
    <row r="13" spans="1:28">
      <c r="A13" s="183" t="s">
        <v>401</v>
      </c>
      <c r="B13" s="185">
        <f ca="1">IFERROR(IF(C13=0,0,C13/(D13)),"")</f>
        <v>2.1211464318396396</v>
      </c>
      <c r="C13" s="235">
        <f t="shared" ref="C13:L13" ca="1" si="0">SUM(C11:C12)</f>
        <v>148.48051919014233</v>
      </c>
      <c r="D13" s="235">
        <f t="shared" si="0"/>
        <v>70.000126800000004</v>
      </c>
      <c r="E13" s="235">
        <f t="shared" ca="1" si="0"/>
        <v>0</v>
      </c>
      <c r="F13" s="180">
        <f t="shared" ca="1" si="0"/>
        <v>0</v>
      </c>
      <c r="G13" s="236">
        <f t="shared" ca="1" si="0"/>
        <v>0</v>
      </c>
      <c r="H13" s="180">
        <f t="shared" ca="1" si="0"/>
        <v>0</v>
      </c>
      <c r="I13" s="180">
        <f t="shared" ca="1" si="0"/>
        <v>638</v>
      </c>
      <c r="J13" s="1176">
        <f t="shared" si="0"/>
        <v>750</v>
      </c>
      <c r="K13" s="1091">
        <f t="shared" ca="1" si="0"/>
        <v>0</v>
      </c>
      <c r="L13" s="1092">
        <f t="shared" ca="1" si="0"/>
        <v>0</v>
      </c>
      <c r="N13" s="184"/>
      <c r="O13" s="636"/>
      <c r="P13" s="636"/>
      <c r="Q13" s="636"/>
      <c r="R13" s="636"/>
      <c r="S13" s="636"/>
      <c r="T13" s="636"/>
      <c r="U13" s="636"/>
      <c r="V13" s="636"/>
      <c r="W13" s="636"/>
      <c r="X13" s="636"/>
      <c r="Y13" s="636"/>
    </row>
    <row r="14" spans="1:28">
      <c r="A14" s="128"/>
      <c r="B14" s="784"/>
      <c r="C14" s="785"/>
      <c r="D14" s="785"/>
      <c r="E14" s="785"/>
      <c r="F14" s="787"/>
      <c r="G14" s="788"/>
      <c r="H14" s="789"/>
      <c r="I14" s="787"/>
      <c r="J14" s="1177"/>
      <c r="K14" s="786"/>
      <c r="L14" s="790"/>
      <c r="N14" s="184"/>
      <c r="O14" s="636"/>
      <c r="P14" s="636"/>
      <c r="Q14" s="636"/>
      <c r="R14" s="636"/>
      <c r="S14" s="636"/>
      <c r="T14" s="636"/>
      <c r="U14" s="636"/>
      <c r="V14" s="636"/>
      <c r="W14" s="636"/>
      <c r="X14" s="636"/>
      <c r="Y14" s="636"/>
    </row>
    <row r="15" spans="1:28">
      <c r="A15" s="172" t="s">
        <v>398</v>
      </c>
      <c r="B15" s="184"/>
      <c r="C15" s="233"/>
      <c r="D15" s="233"/>
      <c r="E15" s="233"/>
      <c r="F15" s="181"/>
      <c r="G15" s="234"/>
      <c r="H15" s="179"/>
      <c r="I15" s="181"/>
      <c r="J15" s="1178"/>
      <c r="K15" s="177"/>
      <c r="L15" s="178"/>
      <c r="N15" s="184"/>
      <c r="O15" s="636"/>
      <c r="P15" s="636"/>
      <c r="Q15" s="636"/>
      <c r="R15" s="636"/>
      <c r="S15" s="636"/>
      <c r="T15" s="636"/>
      <c r="U15" s="636"/>
      <c r="V15" s="636"/>
      <c r="W15" s="636"/>
      <c r="X15" s="636"/>
      <c r="Y15" s="636"/>
    </row>
    <row r="16" spans="1:28">
      <c r="A16" s="783" t="s">
        <v>903</v>
      </c>
      <c r="B16" s="184">
        <f ca="1">IFERROR(IF(C16=0,0,C16/(D16)),"")</f>
        <v>3.5137862973419565</v>
      </c>
      <c r="C16" s="233">
        <f ca="1">SUMIFS('ADR Primary Data'!$CL$2:$CL$12,'ADR Primary Data'!$F$2:$F$12,$A16,'ADR Primary Data'!$C$2:$C$12,$A$8)/1000</f>
        <v>742.40259595071177</v>
      </c>
      <c r="D16" s="233">
        <f>SUMIFS('ADR Primary Data'!$O$2:$O$12,'ADR Primary Data'!$F$2:$F$12,$A16,'ADR Primary Data'!$C$2:$C$12,$A$8)/1000</f>
        <v>211.28279671199999</v>
      </c>
      <c r="E16" s="233">
        <f ca="1">SUMIFS('ADR Primary Data'!$S$2:$S$12,'ADR Primary Data'!$F$2:$F$12,$A16,'ADR Primary Data'!$C$2:$C$12,$A$8)/1000</f>
        <v>0</v>
      </c>
      <c r="F16" s="233">
        <f ca="1">SUMIFS('ADR Primary Data'!$Y$2:$Y$12,'ADR Primary Data'!$F$2:$F$12,$A16,'ADR Primary Data'!$C$2:$C$12,$A$8)</f>
        <v>0</v>
      </c>
      <c r="G16" s="233">
        <f ca="1">SUMIFS('ADR Primary Data'!$AA$2:$AA$12,'ADR Primary Data'!$F$2:$F$12,$A16,'ADR Primary Data'!$C$2:$C$12,$A$8)</f>
        <v>0</v>
      </c>
      <c r="H16" s="233">
        <f ca="1">SUMIFS('ADR Primary Data'!$W$2:$W$12,'ADR Primary Data'!$F$2:$F$12,$A16,'ADR Primary Data'!$C$2:$C$12,$A$8)</f>
        <v>0</v>
      </c>
      <c r="I16" s="233">
        <f ca="1">SUMIFS('ADR Primary Data'!$X$2:$X$12,'ADR Primary Data'!$F$2:$F$12,$A16,'ADR Primary Data'!$C$2:$C$12,$A$8)</f>
        <v>3190</v>
      </c>
      <c r="J16" s="1175">
        <f>SUMIFS(ADRYr1!$G$5:$G$50,ADRYr1!$B$5:$B$50,A16)</f>
        <v>20</v>
      </c>
      <c r="K16" s="233">
        <f ca="1">SUMIFS('ADR Primary Data'!$BC$2:$BC$12,'ADR Primary Data'!$F$2:$F$12,$A16,'ADR Primary Data'!$C$2:$C$12,$A$8)</f>
        <v>0</v>
      </c>
      <c r="L16" s="174">
        <f ca="1">SUMIFS('ADR Primary Data'!$BD$2:$BD$12,'ADR Primary Data'!$F$2:$F$12,$A16,'ADR Primary Data'!$C$2:$C$12,$A$8)</f>
        <v>0</v>
      </c>
      <c r="M16" s="1332"/>
      <c r="N16" s="1331"/>
      <c r="O16" s="636"/>
      <c r="P16" s="636"/>
      <c r="Q16" s="636"/>
      <c r="R16" s="636"/>
      <c r="S16" s="636"/>
      <c r="T16" s="636"/>
      <c r="U16" s="636"/>
      <c r="V16" s="636"/>
      <c r="W16" s="636"/>
      <c r="X16" s="636"/>
      <c r="Y16" s="636"/>
    </row>
    <row r="17" spans="1:28">
      <c r="A17" s="183" t="s">
        <v>402</v>
      </c>
      <c r="B17" s="185">
        <f ca="1">IFERROR(IF(C17=0,0,C17/(D17)),"")</f>
        <v>3.5137862973419565</v>
      </c>
      <c r="C17" s="235">
        <f t="shared" ref="C17:L17" ca="1" si="1">SUM(C16:C16)</f>
        <v>742.40259595071177</v>
      </c>
      <c r="D17" s="235">
        <f t="shared" si="1"/>
        <v>211.28279671199999</v>
      </c>
      <c r="E17" s="235">
        <f t="shared" ca="1" si="1"/>
        <v>0</v>
      </c>
      <c r="F17" s="180">
        <f t="shared" ca="1" si="1"/>
        <v>0</v>
      </c>
      <c r="G17" s="236">
        <f t="shared" ca="1" si="1"/>
        <v>0</v>
      </c>
      <c r="H17" s="180">
        <f t="shared" ca="1" si="1"/>
        <v>0</v>
      </c>
      <c r="I17" s="180">
        <f t="shared" ca="1" si="1"/>
        <v>3190</v>
      </c>
      <c r="J17" s="1179">
        <f t="shared" si="1"/>
        <v>20</v>
      </c>
      <c r="K17" s="175">
        <f t="shared" ca="1" si="1"/>
        <v>0</v>
      </c>
      <c r="L17" s="176">
        <f t="shared" ca="1" si="1"/>
        <v>0</v>
      </c>
      <c r="N17" s="184"/>
      <c r="O17" s="636"/>
      <c r="P17" s="636"/>
      <c r="Q17" s="636"/>
      <c r="R17" s="636"/>
      <c r="S17" s="636"/>
      <c r="T17" s="636"/>
      <c r="U17" s="636"/>
      <c r="V17" s="636"/>
      <c r="W17" s="636"/>
      <c r="X17" s="636"/>
      <c r="Y17" s="636"/>
    </row>
    <row r="18" spans="1:28">
      <c r="A18" s="183"/>
      <c r="B18" s="784"/>
      <c r="C18" s="785"/>
      <c r="D18" s="785"/>
      <c r="E18" s="785"/>
      <c r="F18" s="787"/>
      <c r="G18" s="788"/>
      <c r="H18" s="789"/>
      <c r="I18" s="787"/>
      <c r="J18" s="1177"/>
      <c r="K18" s="786"/>
      <c r="L18" s="790"/>
      <c r="N18" s="184"/>
      <c r="O18" s="636"/>
      <c r="P18" s="636"/>
      <c r="Q18" s="636"/>
      <c r="R18" s="636"/>
      <c r="S18" s="636"/>
      <c r="T18" s="636"/>
      <c r="U18" s="636"/>
      <c r="V18" s="636"/>
      <c r="W18" s="636"/>
      <c r="X18" s="636"/>
      <c r="Y18" s="636"/>
    </row>
    <row r="19" spans="1:28" ht="13.5" thickBot="1">
      <c r="A19" s="694" t="s">
        <v>80</v>
      </c>
      <c r="B19" s="791">
        <f ca="1">IFERROR(IF(C19=0,0,C19/(D19)),"")</f>
        <v>3.1672136510016311</v>
      </c>
      <c r="C19" s="792">
        <f ca="1">C13+C17</f>
        <v>890.8831151408541</v>
      </c>
      <c r="D19" s="792">
        <f t="shared" ref="D19:L19" si="2">D13+D17</f>
        <v>281.28292351200002</v>
      </c>
      <c r="E19" s="792">
        <f t="shared" ca="1" si="2"/>
        <v>0</v>
      </c>
      <c r="F19" s="793">
        <f t="shared" ca="1" si="2"/>
        <v>0</v>
      </c>
      <c r="G19" s="794">
        <f t="shared" ca="1" si="2"/>
        <v>0</v>
      </c>
      <c r="H19" s="793">
        <f t="shared" ca="1" si="2"/>
        <v>0</v>
      </c>
      <c r="I19" s="793">
        <f t="shared" ca="1" si="2"/>
        <v>3828</v>
      </c>
      <c r="J19" s="1180">
        <f t="shared" si="2"/>
        <v>770</v>
      </c>
      <c r="K19" s="795">
        <f t="shared" ca="1" si="2"/>
        <v>0</v>
      </c>
      <c r="L19" s="796">
        <f t="shared" ca="1" si="2"/>
        <v>0</v>
      </c>
      <c r="N19" s="760"/>
      <c r="O19" s="636"/>
      <c r="P19" s="636"/>
      <c r="Q19" s="636"/>
      <c r="R19" s="636"/>
      <c r="S19" s="636"/>
      <c r="T19" s="636"/>
      <c r="U19" s="636"/>
      <c r="V19" s="636"/>
      <c r="W19" s="636"/>
      <c r="X19" s="636"/>
      <c r="Y19" s="636"/>
    </row>
    <row r="20" spans="1:28">
      <c r="A20" s="1221" t="s">
        <v>996</v>
      </c>
      <c r="B20" s="129"/>
      <c r="C20" s="120"/>
      <c r="D20" s="699"/>
      <c r="E20" s="120"/>
      <c r="F20" s="693"/>
      <c r="G20" s="228"/>
      <c r="H20" s="130"/>
      <c r="I20" s="130"/>
      <c r="J20" s="120"/>
      <c r="K20" s="119"/>
      <c r="L20" s="119"/>
      <c r="M20" s="696"/>
      <c r="N20" s="636"/>
      <c r="O20" s="636"/>
      <c r="P20" s="636"/>
      <c r="Q20" s="636"/>
      <c r="R20" s="636"/>
      <c r="S20" s="636"/>
      <c r="T20" s="636"/>
      <c r="U20" s="636"/>
      <c r="V20" s="636"/>
      <c r="W20" s="636"/>
      <c r="X20" s="636"/>
      <c r="Y20" s="636"/>
    </row>
    <row r="21" spans="1:28">
      <c r="A21" s="121"/>
      <c r="B21" s="121"/>
      <c r="C21" s="130"/>
      <c r="D21" s="130"/>
      <c r="E21" s="130"/>
      <c r="F21" s="693"/>
      <c r="G21" s="700"/>
      <c r="H21" s="231"/>
      <c r="I21" s="231"/>
      <c r="J21" s="130"/>
      <c r="K21" s="121"/>
      <c r="L21" s="121"/>
      <c r="M21" s="15"/>
      <c r="N21" s="636"/>
      <c r="O21" s="636"/>
      <c r="P21" s="636"/>
      <c r="Q21" s="636"/>
      <c r="R21" s="636"/>
      <c r="S21" s="636"/>
      <c r="T21" s="636"/>
      <c r="U21" s="636"/>
      <c r="V21" s="636"/>
      <c r="W21" s="636"/>
      <c r="X21" s="636"/>
      <c r="Y21" s="636"/>
    </row>
    <row r="22" spans="1:28" hidden="1" outlineLevel="1">
      <c r="A22" s="186" t="s">
        <v>300</v>
      </c>
      <c r="B22" s="187"/>
      <c r="C22" s="188">
        <f ca="1">F19*1000</f>
        <v>0</v>
      </c>
      <c r="D22" s="189" t="e">
        <f ca="1">C22/C24</f>
        <v>#DIV/0!</v>
      </c>
      <c r="E22" s="190" t="e">
        <f ca="1">IF(D22&gt;0.5499,"kWh &gt; 55%","kWh &lt; 55%")</f>
        <v>#DIV/0!</v>
      </c>
      <c r="F22" s="187" t="s">
        <v>301</v>
      </c>
      <c r="G22" s="227"/>
      <c r="H22" s="187"/>
      <c r="I22" s="188">
        <f ca="1">G19*1000</f>
        <v>0</v>
      </c>
      <c r="J22" s="189" t="e">
        <f ca="1">I22/I24</f>
        <v>#DIV/0!</v>
      </c>
      <c r="K22" s="190" t="e">
        <f ca="1">IF(J22&gt;0.5499,"kWh &gt; 55%","kWh &lt; 55%")</f>
        <v>#DIV/0!</v>
      </c>
      <c r="L22" s="191"/>
      <c r="M22" s="15"/>
      <c r="N22" s="636"/>
      <c r="O22" s="636"/>
      <c r="P22" s="636"/>
      <c r="Q22" s="636"/>
      <c r="R22" s="636"/>
      <c r="S22" s="636"/>
      <c r="T22" s="636"/>
      <c r="U22" s="636"/>
      <c r="V22" s="636"/>
      <c r="W22" s="636"/>
      <c r="X22" s="636"/>
      <c r="Y22" s="636"/>
    </row>
    <row r="23" spans="1:28" hidden="1" outlineLevel="1">
      <c r="A23" s="131" t="s">
        <v>302</v>
      </c>
      <c r="B23" s="130"/>
      <c r="C23" s="132">
        <f ca="1">K19/Lookups!G$28</f>
        <v>0</v>
      </c>
      <c r="D23" s="133" t="e">
        <f ca="1">C23/C24</f>
        <v>#DIV/0!</v>
      </c>
      <c r="E23" s="130"/>
      <c r="F23" s="130" t="s">
        <v>303</v>
      </c>
      <c r="G23" s="228"/>
      <c r="H23" s="130"/>
      <c r="I23" s="132">
        <f ca="1">L19/Lookups!G$28</f>
        <v>0</v>
      </c>
      <c r="J23" s="133" t="e">
        <f ca="1">I23/I$24</f>
        <v>#DIV/0!</v>
      </c>
      <c r="K23" s="130"/>
      <c r="L23" s="134"/>
      <c r="M23" s="15"/>
      <c r="N23" s="636"/>
      <c r="O23" s="636"/>
      <c r="P23" s="636"/>
      <c r="Q23" s="636"/>
      <c r="R23" s="636"/>
      <c r="S23" s="636"/>
      <c r="T23" s="636"/>
      <c r="U23" s="636"/>
      <c r="V23" s="636"/>
      <c r="W23" s="636"/>
      <c r="X23" s="636"/>
      <c r="Y23" s="636"/>
    </row>
    <row r="24" spans="1:28" hidden="1" outlineLevel="1">
      <c r="A24" s="136"/>
      <c r="B24" s="137"/>
      <c r="C24" s="138">
        <f ca="1">SUM(C22:C23)</f>
        <v>0</v>
      </c>
      <c r="D24" s="139" t="e">
        <f ca="1">SUM(D22:D23)</f>
        <v>#DIV/0!</v>
      </c>
      <c r="E24" s="137"/>
      <c r="F24" s="137"/>
      <c r="G24" s="229"/>
      <c r="H24" s="137"/>
      <c r="I24" s="138">
        <f ca="1">SUM(I22:I23)</f>
        <v>0</v>
      </c>
      <c r="J24" s="139" t="e">
        <f ca="1">SUM(J22:J23)</f>
        <v>#DIV/0!</v>
      </c>
      <c r="K24" s="137"/>
      <c r="L24" s="135"/>
      <c r="N24" s="636"/>
      <c r="O24" s="636"/>
      <c r="P24" s="636"/>
      <c r="Q24" s="636"/>
      <c r="R24" s="636"/>
      <c r="S24" s="636"/>
      <c r="T24" s="636"/>
      <c r="U24" s="636"/>
      <c r="V24" s="636"/>
      <c r="W24" s="636"/>
      <c r="X24" s="636"/>
      <c r="Y24" s="636"/>
    </row>
    <row r="25" spans="1:28" collapsed="1">
      <c r="M25" s="15"/>
      <c r="N25" s="15"/>
    </row>
    <row r="26" spans="1:28" ht="13.5" thickBot="1">
      <c r="M26" s="15"/>
      <c r="N26" s="15"/>
    </row>
    <row r="27" spans="1:28" ht="13.5" thickBot="1">
      <c r="A27" s="1115">
        <f>Year2</f>
        <v>2025</v>
      </c>
      <c r="B27" s="1116"/>
      <c r="C27" s="1117"/>
      <c r="D27" s="1118"/>
      <c r="E27" s="1119"/>
      <c r="F27" s="1120"/>
      <c r="G27" s="1120"/>
      <c r="H27" s="1120"/>
      <c r="I27" s="1120"/>
      <c r="J27" s="1121"/>
      <c r="K27" s="1120"/>
      <c r="L27" s="1121"/>
    </row>
    <row r="28" spans="1:28" ht="51" customHeight="1" thickBot="1">
      <c r="A28" s="122"/>
      <c r="B28" s="1220" t="s">
        <v>921</v>
      </c>
      <c r="C28" s="1220" t="s">
        <v>920</v>
      </c>
      <c r="D28" s="1490" t="s">
        <v>997</v>
      </c>
      <c r="E28" s="1490" t="s">
        <v>998</v>
      </c>
      <c r="F28" s="1214" t="s">
        <v>291</v>
      </c>
      <c r="G28" s="1215" t="s">
        <v>292</v>
      </c>
      <c r="H28" s="1214" t="s">
        <v>293</v>
      </c>
      <c r="I28" s="1216" t="s">
        <v>294</v>
      </c>
      <c r="J28" s="1217" t="s">
        <v>295</v>
      </c>
      <c r="K28" s="123" t="s">
        <v>296</v>
      </c>
      <c r="L28" s="124" t="s">
        <v>297</v>
      </c>
    </row>
    <row r="29" spans="1:28">
      <c r="A29" s="172" t="s">
        <v>298</v>
      </c>
      <c r="B29" s="126"/>
      <c r="C29" s="126"/>
      <c r="D29" s="126"/>
      <c r="E29" s="126"/>
      <c r="F29" s="126"/>
      <c r="G29" s="226"/>
      <c r="H29" s="126"/>
      <c r="I29" s="126"/>
      <c r="J29" s="1174"/>
      <c r="K29" s="126"/>
      <c r="L29" s="127"/>
      <c r="N29" s="233"/>
    </row>
    <row r="30" spans="1:28">
      <c r="A30" s="173" t="s">
        <v>268</v>
      </c>
      <c r="B30" s="184">
        <f ca="1">IFERROR(IF(C30=0,0,C30/(D30+E30)),"")</f>
        <v>0</v>
      </c>
      <c r="C30" s="233">
        <f ca="1">SUMIFS('ADR Primary Data'!$CK$2:$CK$12,'ADR Primary Data'!$F$2:$F$12,$A30,'ADR Primary Data'!$C$2:$C$12,$A$27)/1000</f>
        <v>0</v>
      </c>
      <c r="D30" s="233">
        <f>SUMIFS('ADR Primary Data'!$O$2:$O$12,'ADR Primary Data'!$F$2:$F$12,$A30,'ADR Primary Data'!$C$2:$C$12,$A$27)/1000</f>
        <v>0</v>
      </c>
      <c r="E30" s="233">
        <f ca="1">SUMIFS('ADR Primary Data'!$S$2:$S$12,'ADR Primary Data'!$F$2:$F$12,$A30,'ADR Primary Data'!$C$2:$C$12,$A$27)/1000</f>
        <v>0</v>
      </c>
      <c r="F30" s="233">
        <f ca="1">SUMIFS('ADR Primary Data'!$Y$2:$Y$12,'ADR Primary Data'!$F$2:$F$12,$A30,'ADR Primary Data'!$C$2:$C$12,$A$27)</f>
        <v>0</v>
      </c>
      <c r="G30" s="233">
        <f ca="1">SUMIFS('ADR Primary Data'!$AA$2:$AA$12,'ADR Primary Data'!$F$2:$F$12,$A30,'ADR Primary Data'!$C$2:$C$12,$A$27)</f>
        <v>0</v>
      </c>
      <c r="H30" s="233">
        <f ca="1">SUMIFS('ADR Primary Data'!$W$2:$W$12,'ADR Primary Data'!$F$2:$F$12,$A30,'ADR Primary Data'!$C$2:$C$12,$A$27)</f>
        <v>0</v>
      </c>
      <c r="I30" s="233">
        <f ca="1">SUMIFS('ADR Primary Data'!$X$2:$X$12,'ADR Primary Data'!$F$2:$F$12,$A30,'ADR Primary Data'!$C$2:$C$12,$A$27)</f>
        <v>0</v>
      </c>
      <c r="J30" s="1175">
        <f>SUMIFS(ADRYr2!$G$5:$G$50,ADRYr2!$B$5:$B$50,A30)</f>
        <v>0</v>
      </c>
      <c r="K30" s="233">
        <f ca="1">SUMIFS('ADR Primary Data'!$BC$2:$BC$12,'ADR Primary Data'!$F$2:$F$12,$A30,'ADR Primary Data'!$C$2:$C$12,$A$27)</f>
        <v>0</v>
      </c>
      <c r="L30" s="174">
        <f ca="1">SUMIFS('ADR Primary Data'!$BD$2:$BD$12,'ADR Primary Data'!$F$2:$F$12,$A30,'ADR Primary Data'!$C$2:$C$12,$A$27)</f>
        <v>0</v>
      </c>
      <c r="N30" s="184"/>
      <c r="O30" s="636"/>
      <c r="P30" s="636"/>
      <c r="Q30" s="636"/>
      <c r="R30" s="636"/>
      <c r="S30" s="636"/>
      <c r="T30" s="636"/>
      <c r="U30" s="636"/>
      <c r="V30" s="636"/>
      <c r="W30" s="636"/>
      <c r="X30" s="636"/>
      <c r="Y30" s="636"/>
      <c r="Z30" s="636"/>
      <c r="AA30" s="635"/>
      <c r="AB30" s="635"/>
    </row>
    <row r="31" spans="1:28">
      <c r="A31" s="783" t="s">
        <v>902</v>
      </c>
      <c r="B31" s="184">
        <f ca="1">IFERROR(IF(C31=0,0,C31/(D31)),"")</f>
        <v>2.2804185877131649</v>
      </c>
      <c r="C31" s="233">
        <f ca="1">SUMIFS('ADR Primary Data'!$CL$2:$CL$12,'ADR Primary Data'!$F$2:$F$12,$A31,'ADR Primary Data'!$C$2:$C$12,$A$27)/1000</f>
        <v>163.69496557771467</v>
      </c>
      <c r="D31" s="233">
        <f>SUMIFS('ADR Primary Data'!$O$2:$O$12,'ADR Primary Data'!$F$2:$F$12,$A31,'ADR Primary Data'!$C$2:$C$12,$A$27)/1000</f>
        <v>71.782858839907206</v>
      </c>
      <c r="E31" s="233">
        <f ca="1">SUMIFS('ADR Primary Data'!$S$2:$S$12,'ADR Primary Data'!$F$2:$F$12,$A31,'ADR Primary Data'!$C$2:$C$12,$A$27)/1000</f>
        <v>0</v>
      </c>
      <c r="F31" s="233">
        <f ca="1">SUMIFS('ADR Primary Data'!$Y$2:$Y$12,'ADR Primary Data'!$F$2:$F$12,$A31,'ADR Primary Data'!$C$2:$C$12,$A$27)</f>
        <v>0</v>
      </c>
      <c r="G31" s="233">
        <f ca="1">SUMIFS('ADR Primary Data'!$AA$2:$AA$12,'ADR Primary Data'!$F$2:$F$12,$A31,'ADR Primary Data'!$C$2:$C$12,$A$27)</f>
        <v>0</v>
      </c>
      <c r="H31" s="233">
        <f ca="1">SUMIFS('ADR Primary Data'!$W$2:$W$12,'ADR Primary Data'!$F$2:$F$12,$A31,'ADR Primary Data'!$C$2:$C$12,$A$27)</f>
        <v>0</v>
      </c>
      <c r="I31" s="233">
        <f ca="1">SUMIFS('ADR Primary Data'!$X$2:$X$12,'ADR Primary Data'!$F$2:$F$12,$A31,'ADR Primary Data'!$C$2:$C$12,$A$27)</f>
        <v>669.9</v>
      </c>
      <c r="J31" s="1175">
        <f>SUMIFS(ADRYr2!$G$5:$G$50,ADRYr2!$B$5:$B$50,A31)-ADRYr2!G12</f>
        <v>787.5</v>
      </c>
      <c r="K31" s="233">
        <f ca="1">SUMIFS('ADR Primary Data'!$BC$2:$BC$12,'ADR Primary Data'!$F$2:$F$12,$A31,'ADR Primary Data'!$C$2:$C$12,$A$27)</f>
        <v>0</v>
      </c>
      <c r="L31" s="174">
        <f ca="1">SUMIFS('ADR Primary Data'!$BD$2:$BD$12,'ADR Primary Data'!$F$2:$F$12,$A31,'ADR Primary Data'!$C$2:$C$12,$A$27)</f>
        <v>0</v>
      </c>
      <c r="M31" s="1332"/>
      <c r="N31" s="1486"/>
      <c r="O31" s="636"/>
      <c r="P31" s="636"/>
      <c r="Q31" s="636"/>
      <c r="R31" s="636"/>
      <c r="S31" s="636"/>
      <c r="T31" s="636"/>
      <c r="U31" s="636"/>
      <c r="V31" s="636"/>
      <c r="W31" s="636"/>
      <c r="X31" s="636"/>
      <c r="Y31" s="636"/>
    </row>
    <row r="32" spans="1:28">
      <c r="A32" s="183" t="s">
        <v>401</v>
      </c>
      <c r="B32" s="185">
        <f ca="1">IFERROR(IF(C32=0,0,C32/(D32)),"")</f>
        <v>2.2804185877131649</v>
      </c>
      <c r="C32" s="235">
        <f t="shared" ref="C32:L32" ca="1" si="3">SUM(C30:C31)</f>
        <v>163.69496557771467</v>
      </c>
      <c r="D32" s="235">
        <f t="shared" si="3"/>
        <v>71.782858839907206</v>
      </c>
      <c r="E32" s="235">
        <f t="shared" ca="1" si="3"/>
        <v>0</v>
      </c>
      <c r="F32" s="180">
        <f t="shared" ca="1" si="3"/>
        <v>0</v>
      </c>
      <c r="G32" s="236">
        <f t="shared" ca="1" si="3"/>
        <v>0</v>
      </c>
      <c r="H32" s="180">
        <f t="shared" ca="1" si="3"/>
        <v>0</v>
      </c>
      <c r="I32" s="180">
        <f t="shared" ca="1" si="3"/>
        <v>669.9</v>
      </c>
      <c r="J32" s="1176">
        <f t="shared" si="3"/>
        <v>787.5</v>
      </c>
      <c r="K32" s="1091">
        <f t="shared" ca="1" si="3"/>
        <v>0</v>
      </c>
      <c r="L32" s="1092">
        <f t="shared" ca="1" si="3"/>
        <v>0</v>
      </c>
      <c r="N32" s="184"/>
      <c r="O32" s="636"/>
      <c r="P32" s="636"/>
      <c r="Q32" s="636"/>
      <c r="R32" s="636"/>
      <c r="S32" s="636"/>
      <c r="T32" s="636"/>
      <c r="U32" s="636"/>
      <c r="V32" s="636"/>
      <c r="W32" s="636"/>
      <c r="X32" s="636"/>
      <c r="Y32" s="636"/>
    </row>
    <row r="33" spans="1:25">
      <c r="A33" s="128"/>
      <c r="B33" s="784"/>
      <c r="C33" s="785"/>
      <c r="D33" s="785"/>
      <c r="E33" s="785"/>
      <c r="F33" s="787"/>
      <c r="G33" s="788"/>
      <c r="H33" s="789"/>
      <c r="I33" s="787"/>
      <c r="J33" s="1177"/>
      <c r="K33" s="786"/>
      <c r="L33" s="790"/>
      <c r="N33" s="184"/>
      <c r="O33" s="636"/>
      <c r="P33" s="636"/>
      <c r="Q33" s="636"/>
      <c r="R33" s="636"/>
      <c r="S33" s="636"/>
      <c r="T33" s="636"/>
      <c r="U33" s="636"/>
      <c r="V33" s="636"/>
      <c r="W33" s="636"/>
      <c r="X33" s="636"/>
      <c r="Y33" s="636"/>
    </row>
    <row r="34" spans="1:25">
      <c r="A34" s="172" t="s">
        <v>398</v>
      </c>
      <c r="B34" s="184"/>
      <c r="C34" s="233"/>
      <c r="D34" s="233"/>
      <c r="E34" s="233"/>
      <c r="F34" s="181"/>
      <c r="G34" s="234"/>
      <c r="H34" s="179"/>
      <c r="I34" s="181"/>
      <c r="J34" s="1178"/>
      <c r="K34" s="177"/>
      <c r="L34" s="178"/>
      <c r="N34" s="184"/>
      <c r="O34" s="636"/>
      <c r="P34" s="636"/>
      <c r="Q34" s="636"/>
      <c r="R34" s="636"/>
      <c r="S34" s="636"/>
      <c r="T34" s="636"/>
      <c r="U34" s="636"/>
      <c r="V34" s="636"/>
      <c r="W34" s="636"/>
      <c r="X34" s="636"/>
      <c r="Y34" s="636"/>
    </row>
    <row r="35" spans="1:25">
      <c r="A35" s="783" t="s">
        <v>903</v>
      </c>
      <c r="B35" s="184">
        <f ca="1">IFERROR(IF(C35=0,0,C35/(D35)),"")</f>
        <v>3.9058732910066598</v>
      </c>
      <c r="C35" s="233">
        <f ca="1">SUMIFS('ADR Primary Data'!$CL$2:$CL$12,'ADR Primary Data'!$F$2:$F$12,$A35,'ADR Primary Data'!$C$2:$C$12,$A$27)/1000</f>
        <v>818.47482788857349</v>
      </c>
      <c r="D35" s="233">
        <f>SUMIFS('ADR Primary Data'!$O$2:$O$12,'ADR Primary Data'!$F$2:$F$12,$A35,'ADR Primary Data'!$C$2:$C$12,$A$27)/1000</f>
        <v>209.54976439535963</v>
      </c>
      <c r="E35" s="233">
        <f ca="1">SUMIFS('ADR Primary Data'!$S$2:$S$12,'ADR Primary Data'!$F$2:$F$12,$A35,'ADR Primary Data'!$C$2:$C$12,$A$27)/1000</f>
        <v>0</v>
      </c>
      <c r="F35" s="233">
        <f ca="1">SUMIFS('ADR Primary Data'!$Y$2:$Y$12,'ADR Primary Data'!$F$2:$F$12,$A35,'ADR Primary Data'!$C$2:$C$12,$A$27)</f>
        <v>0</v>
      </c>
      <c r="G35" s="233">
        <f ca="1">SUMIFS('ADR Primary Data'!$AA$2:$AA$12,'ADR Primary Data'!$F$2:$F$12,$A35,'ADR Primary Data'!$C$2:$C$12,$A$27)</f>
        <v>0</v>
      </c>
      <c r="H35" s="233">
        <f ca="1">SUMIFS('ADR Primary Data'!$W$2:$W$12,'ADR Primary Data'!$F$2:$F$12,$A35,'ADR Primary Data'!$C$2:$C$12,$A$27)</f>
        <v>0</v>
      </c>
      <c r="I35" s="233">
        <f ca="1">SUMIFS('ADR Primary Data'!$X$2:$X$12,'ADR Primary Data'!$F$2:$F$12,$A35,'ADR Primary Data'!$C$2:$C$12,$A$27)</f>
        <v>3349.5</v>
      </c>
      <c r="J35" s="1175">
        <f>SUMIFS(ADRYr2!$G$5:$G$50,ADRYr2!$B$5:$B$50,A35)</f>
        <v>21</v>
      </c>
      <c r="K35" s="233">
        <f ca="1">SUMIFS('ADR Primary Data'!$BC$2:$BC$12,'ADR Primary Data'!$F$2:$F$12,$A35,'ADR Primary Data'!$C$2:$C$12,$A$27)</f>
        <v>0</v>
      </c>
      <c r="L35" s="174">
        <f ca="1">SUMIFS('ADR Primary Data'!$BD$2:$BD$12,'ADR Primary Data'!$F$2:$F$12,$A35,'ADR Primary Data'!$C$2:$C$12,$A$27)</f>
        <v>0</v>
      </c>
      <c r="M35" s="1332"/>
      <c r="N35" s="1331"/>
      <c r="O35" s="636"/>
      <c r="P35" s="636"/>
      <c r="Q35" s="636"/>
      <c r="R35" s="636"/>
      <c r="S35" s="636"/>
      <c r="T35" s="636"/>
      <c r="U35" s="636"/>
      <c r="V35" s="636"/>
      <c r="W35" s="636"/>
      <c r="X35" s="636"/>
      <c r="Y35" s="636"/>
    </row>
    <row r="36" spans="1:25">
      <c r="A36" s="183" t="s">
        <v>402</v>
      </c>
      <c r="B36" s="185">
        <f ca="1">IFERROR(IF(C36=0,0,C36/(D36)),"")</f>
        <v>3.9058732910066598</v>
      </c>
      <c r="C36" s="235">
        <f t="shared" ref="C36:L36" ca="1" si="4">SUM(C35:C35)</f>
        <v>818.47482788857349</v>
      </c>
      <c r="D36" s="235">
        <f t="shared" si="4"/>
        <v>209.54976439535963</v>
      </c>
      <c r="E36" s="235">
        <f t="shared" ca="1" si="4"/>
        <v>0</v>
      </c>
      <c r="F36" s="180">
        <f t="shared" ca="1" si="4"/>
        <v>0</v>
      </c>
      <c r="G36" s="236">
        <f t="shared" ca="1" si="4"/>
        <v>0</v>
      </c>
      <c r="H36" s="180">
        <f t="shared" ca="1" si="4"/>
        <v>0</v>
      </c>
      <c r="I36" s="180">
        <f t="shared" ca="1" si="4"/>
        <v>3349.5</v>
      </c>
      <c r="J36" s="1179">
        <f t="shared" si="4"/>
        <v>21</v>
      </c>
      <c r="K36" s="175">
        <f t="shared" ca="1" si="4"/>
        <v>0</v>
      </c>
      <c r="L36" s="176">
        <f t="shared" ca="1" si="4"/>
        <v>0</v>
      </c>
      <c r="N36" s="184"/>
      <c r="O36" s="636"/>
      <c r="P36" s="636"/>
      <c r="Q36" s="636"/>
      <c r="R36" s="636"/>
      <c r="S36" s="636"/>
      <c r="T36" s="636"/>
      <c r="U36" s="636"/>
      <c r="V36" s="636"/>
      <c r="W36" s="636"/>
      <c r="X36" s="636"/>
      <c r="Y36" s="636"/>
    </row>
    <row r="37" spans="1:25">
      <c r="A37" s="183"/>
      <c r="B37" s="784"/>
      <c r="C37" s="785"/>
      <c r="D37" s="785"/>
      <c r="E37" s="785"/>
      <c r="F37" s="787"/>
      <c r="G37" s="788"/>
      <c r="H37" s="789"/>
      <c r="I37" s="787"/>
      <c r="J37" s="1177"/>
      <c r="K37" s="786"/>
      <c r="L37" s="790"/>
      <c r="N37" s="184"/>
      <c r="O37" s="636"/>
      <c r="P37" s="636"/>
      <c r="Q37" s="636"/>
      <c r="R37" s="636"/>
      <c r="S37" s="636"/>
      <c r="T37" s="636"/>
      <c r="U37" s="636"/>
      <c r="V37" s="636"/>
      <c r="W37" s="636"/>
      <c r="X37" s="636"/>
      <c r="Y37" s="636"/>
    </row>
    <row r="38" spans="1:25" ht="13.5" thickBot="1">
      <c r="A38" s="694" t="s">
        <v>80</v>
      </c>
      <c r="B38" s="791">
        <f ca="1">IFERROR(IF(C38=0,0,C38/(D38)),"")</f>
        <v>3.4911336700718856</v>
      </c>
      <c r="C38" s="792">
        <f ca="1">C32+C36</f>
        <v>982.16979346628818</v>
      </c>
      <c r="D38" s="792">
        <f t="shared" ref="D38:L38" si="5">D32+D36</f>
        <v>281.33262323526685</v>
      </c>
      <c r="E38" s="792">
        <f t="shared" ca="1" si="5"/>
        <v>0</v>
      </c>
      <c r="F38" s="793">
        <f t="shared" ca="1" si="5"/>
        <v>0</v>
      </c>
      <c r="G38" s="794">
        <f t="shared" ca="1" si="5"/>
        <v>0</v>
      </c>
      <c r="H38" s="793">
        <f t="shared" ca="1" si="5"/>
        <v>0</v>
      </c>
      <c r="I38" s="793">
        <f t="shared" ca="1" si="5"/>
        <v>4019.4</v>
      </c>
      <c r="J38" s="1180">
        <f t="shared" si="5"/>
        <v>808.5</v>
      </c>
      <c r="K38" s="795">
        <f t="shared" ca="1" si="5"/>
        <v>0</v>
      </c>
      <c r="L38" s="796">
        <f t="shared" ca="1" si="5"/>
        <v>0</v>
      </c>
      <c r="N38" s="760"/>
      <c r="O38" s="636"/>
      <c r="P38" s="636"/>
      <c r="Q38" s="636"/>
      <c r="R38" s="636"/>
      <c r="S38" s="636"/>
      <c r="T38" s="636"/>
      <c r="U38" s="636"/>
      <c r="V38" s="636"/>
      <c r="W38" s="636"/>
      <c r="X38" s="636"/>
      <c r="Y38" s="636"/>
    </row>
    <row r="39" spans="1:25">
      <c r="A39" s="1221" t="s">
        <v>996</v>
      </c>
      <c r="B39" s="129"/>
      <c r="C39" s="120"/>
      <c r="D39" s="699"/>
      <c r="E39" s="120"/>
      <c r="F39" s="693"/>
      <c r="G39" s="228"/>
      <c r="H39" s="130"/>
      <c r="I39" s="130"/>
      <c r="J39" s="120"/>
      <c r="K39" s="119"/>
      <c r="L39" s="119"/>
      <c r="M39" s="696"/>
      <c r="N39" s="636"/>
      <c r="O39" s="636"/>
      <c r="P39" s="636"/>
      <c r="Q39" s="636"/>
      <c r="R39" s="636"/>
      <c r="S39" s="636"/>
      <c r="T39" s="636"/>
      <c r="U39" s="636"/>
      <c r="V39" s="636"/>
      <c r="W39" s="636"/>
      <c r="X39" s="636"/>
      <c r="Y39" s="636"/>
    </row>
    <row r="40" spans="1:25">
      <c r="A40" s="121"/>
      <c r="B40" s="121"/>
      <c r="C40" s="130"/>
      <c r="D40" s="130"/>
      <c r="E40" s="130"/>
      <c r="F40" s="693"/>
      <c r="G40" s="700"/>
      <c r="H40" s="231"/>
      <c r="I40" s="231"/>
      <c r="J40" s="130"/>
      <c r="K40" s="121"/>
      <c r="L40" s="121"/>
      <c r="M40" s="15"/>
      <c r="N40" s="636"/>
      <c r="O40" s="636"/>
      <c r="P40" s="636"/>
      <c r="Q40" s="636"/>
      <c r="R40" s="636"/>
      <c r="S40" s="636"/>
      <c r="T40" s="636"/>
      <c r="U40" s="636"/>
      <c r="V40" s="636"/>
      <c r="W40" s="636"/>
      <c r="X40" s="636"/>
      <c r="Y40" s="636"/>
    </row>
    <row r="41" spans="1:25" hidden="1" outlineLevel="1">
      <c r="A41" s="186" t="s">
        <v>300</v>
      </c>
      <c r="B41" s="187"/>
      <c r="C41" s="188">
        <f ca="1">F38*1000</f>
        <v>0</v>
      </c>
      <c r="D41" s="189" t="e">
        <f ca="1">C41/C43</f>
        <v>#DIV/0!</v>
      </c>
      <c r="E41" s="190" t="e">
        <f ca="1">IF(D41&gt;0.5499,"kWh &gt; 55%","kWh &lt; 55%")</f>
        <v>#DIV/0!</v>
      </c>
      <c r="F41" s="187" t="s">
        <v>301</v>
      </c>
      <c r="G41" s="227"/>
      <c r="H41" s="187"/>
      <c r="I41" s="188">
        <f ca="1">G38*1000</f>
        <v>0</v>
      </c>
      <c r="J41" s="189" t="e">
        <f ca="1">I41/I43</f>
        <v>#DIV/0!</v>
      </c>
      <c r="K41" s="190" t="e">
        <f ca="1">IF(J41&gt;0.5499,"kWh &gt; 55%","kWh &lt; 55%")</f>
        <v>#DIV/0!</v>
      </c>
      <c r="L41" s="191"/>
      <c r="M41" s="15"/>
      <c r="N41" s="636"/>
      <c r="O41" s="636"/>
      <c r="P41" s="636"/>
      <c r="Q41" s="636"/>
      <c r="R41" s="636"/>
      <c r="S41" s="636"/>
      <c r="T41" s="636"/>
      <c r="U41" s="636"/>
      <c r="V41" s="636"/>
      <c r="W41" s="636"/>
      <c r="X41" s="636"/>
      <c r="Y41" s="636"/>
    </row>
    <row r="42" spans="1:25" hidden="1" outlineLevel="1">
      <c r="A42" s="131" t="s">
        <v>302</v>
      </c>
      <c r="B42" s="130"/>
      <c r="C42" s="132">
        <f ca="1">K38/Lookups!G$28</f>
        <v>0</v>
      </c>
      <c r="D42" s="133" t="e">
        <f ca="1">C42/C43</f>
        <v>#DIV/0!</v>
      </c>
      <c r="E42" s="130"/>
      <c r="F42" s="130" t="s">
        <v>303</v>
      </c>
      <c r="G42" s="228"/>
      <c r="H42" s="130"/>
      <c r="I42" s="132">
        <f ca="1">L38/Lookups!G$28</f>
        <v>0</v>
      </c>
      <c r="J42" s="133" t="e">
        <f ca="1">I42/I$43</f>
        <v>#DIV/0!</v>
      </c>
      <c r="K42" s="130"/>
      <c r="L42" s="134"/>
      <c r="M42" s="15"/>
      <c r="N42" s="636"/>
      <c r="O42" s="636"/>
      <c r="P42" s="636"/>
      <c r="Q42" s="636"/>
      <c r="R42" s="636"/>
      <c r="S42" s="636"/>
      <c r="T42" s="636"/>
      <c r="U42" s="636"/>
      <c r="V42" s="636"/>
      <c r="W42" s="636"/>
      <c r="X42" s="636"/>
      <c r="Y42" s="636"/>
    </row>
    <row r="43" spans="1:25" hidden="1" outlineLevel="1">
      <c r="A43" s="136"/>
      <c r="B43" s="137"/>
      <c r="C43" s="138">
        <f ca="1">SUM(C41:C42)</f>
        <v>0</v>
      </c>
      <c r="D43" s="139" t="e">
        <f ca="1">SUM(D41:D42)</f>
        <v>#DIV/0!</v>
      </c>
      <c r="E43" s="137"/>
      <c r="F43" s="137"/>
      <c r="G43" s="229"/>
      <c r="H43" s="137"/>
      <c r="I43" s="138">
        <f ca="1">SUM(I41:I42)</f>
        <v>0</v>
      </c>
      <c r="J43" s="139" t="e">
        <f ca="1">SUM(J41:J42)</f>
        <v>#DIV/0!</v>
      </c>
      <c r="K43" s="137"/>
      <c r="L43" s="135"/>
      <c r="N43" s="636"/>
      <c r="O43" s="636"/>
      <c r="P43" s="636"/>
      <c r="Q43" s="636"/>
      <c r="R43" s="636"/>
      <c r="S43" s="636"/>
      <c r="T43" s="636"/>
      <c r="U43" s="636"/>
      <c r="V43" s="636"/>
      <c r="W43" s="636"/>
      <c r="X43" s="636"/>
      <c r="Y43" s="636"/>
    </row>
    <row r="44" spans="1:25" collapsed="1"/>
    <row r="45" spans="1:25" ht="13.5" thickBot="1"/>
    <row r="46" spans="1:25" ht="13.5" thickBot="1">
      <c r="A46" s="1115">
        <f>Year3</f>
        <v>2026</v>
      </c>
      <c r="B46" s="1116"/>
      <c r="C46" s="1117"/>
      <c r="D46" s="1118"/>
      <c r="E46" s="1119"/>
      <c r="F46" s="1120"/>
      <c r="G46" s="1120"/>
      <c r="H46" s="1120"/>
      <c r="I46" s="1120"/>
      <c r="J46" s="1121"/>
      <c r="K46" s="1120"/>
      <c r="L46" s="1121"/>
    </row>
    <row r="47" spans="1:25" ht="51" customHeight="1" thickBot="1">
      <c r="A47" s="122"/>
      <c r="B47" s="1220" t="s">
        <v>921</v>
      </c>
      <c r="C47" s="1220" t="s">
        <v>920</v>
      </c>
      <c r="D47" s="1490" t="s">
        <v>997</v>
      </c>
      <c r="E47" s="1490" t="s">
        <v>998</v>
      </c>
      <c r="F47" s="1214" t="s">
        <v>291</v>
      </c>
      <c r="G47" s="1215" t="s">
        <v>292</v>
      </c>
      <c r="H47" s="1214" t="s">
        <v>293</v>
      </c>
      <c r="I47" s="1216" t="s">
        <v>294</v>
      </c>
      <c r="J47" s="1217" t="s">
        <v>295</v>
      </c>
      <c r="K47" s="123" t="s">
        <v>296</v>
      </c>
      <c r="L47" s="124" t="s">
        <v>297</v>
      </c>
    </row>
    <row r="48" spans="1:25">
      <c r="A48" s="172" t="s">
        <v>298</v>
      </c>
      <c r="B48" s="126"/>
      <c r="C48" s="126"/>
      <c r="D48" s="126"/>
      <c r="E48" s="126"/>
      <c r="F48" s="126"/>
      <c r="G48" s="226"/>
      <c r="H48" s="126"/>
      <c r="I48" s="126"/>
      <c r="J48" s="1174"/>
      <c r="K48" s="126"/>
      <c r="L48" s="127"/>
      <c r="N48" s="233"/>
    </row>
    <row r="49" spans="1:28">
      <c r="A49" s="173" t="s">
        <v>268</v>
      </c>
      <c r="B49" s="184">
        <f ca="1">IFERROR(IF(C49=0,0,C49/(D49+E49)),"")</f>
        <v>0</v>
      </c>
      <c r="C49" s="233">
        <f ca="1">SUMIFS('ADR Primary Data'!$CK$2:$CK$12,'ADR Primary Data'!$F$2:$F$12,$A49,'ADR Primary Data'!$C$2:$C$12,$A$46)/1000</f>
        <v>0</v>
      </c>
      <c r="D49" s="233">
        <f>SUMIFS('ADR Primary Data'!$O$2:$O$12,'ADR Primary Data'!$F$2:$F$12,$A49,'ADR Primary Data'!$C$2:$C$12,$A$46)/1000</f>
        <v>0</v>
      </c>
      <c r="E49" s="233">
        <f ca="1">SUMIFS('ADR Primary Data'!$S$2:$S$12,'ADR Primary Data'!$F$2:$F$12,$A49,'ADR Primary Data'!$C$2:$C$12,$A$46)/1000</f>
        <v>0</v>
      </c>
      <c r="F49" s="233">
        <f ca="1">SUMIFS('ADR Primary Data'!$Y$2:$Y$12,'ADR Primary Data'!$F$2:$F$12,$A49,'ADR Primary Data'!$C$2:$C$12,$A$46)</f>
        <v>0</v>
      </c>
      <c r="G49" s="233">
        <f ca="1">SUMIFS('ADR Primary Data'!$AA$2:$AA$12,'ADR Primary Data'!$F$2:$F$12,$A49,'ADR Primary Data'!$C$2:$C$12,$A$46)</f>
        <v>0</v>
      </c>
      <c r="H49" s="233">
        <f ca="1">SUMIFS('ADR Primary Data'!$W$2:$W$12,'ADR Primary Data'!$F$2:$F$12,$A49,'ADR Primary Data'!$C$2:$C$12,$A$46)</f>
        <v>0</v>
      </c>
      <c r="I49" s="233">
        <f ca="1">SUMIFS('ADR Primary Data'!$X$2:$X$12,'ADR Primary Data'!$F$2:$F$12,$A49,'ADR Primary Data'!$C$2:$C$12,$A$46)</f>
        <v>0</v>
      </c>
      <c r="J49" s="1175">
        <f>SUMIFS(ADRYr3!$G$5:$G$50,ADRYr3!$B$5:$B$50,A49)</f>
        <v>0</v>
      </c>
      <c r="K49" s="233">
        <f ca="1">SUMIFS('ADR Primary Data'!$BC$2:$BC$12,'ADR Primary Data'!$F$2:$F$12,$A49,'ADR Primary Data'!$C$2:$C$12,$A$46)</f>
        <v>0</v>
      </c>
      <c r="L49" s="174">
        <f ca="1">SUMIFS('ADR Primary Data'!$BD$2:$BD$12,'ADR Primary Data'!$F$2:$F$12,$A49,'ADR Primary Data'!$C$2:$C$12,$A$46)</f>
        <v>0</v>
      </c>
      <c r="N49" s="184"/>
      <c r="O49" s="636"/>
      <c r="P49" s="636"/>
      <c r="Q49" s="636"/>
      <c r="R49" s="636"/>
      <c r="S49" s="636"/>
      <c r="T49" s="636"/>
      <c r="U49" s="636"/>
      <c r="V49" s="636"/>
      <c r="W49" s="636"/>
      <c r="X49" s="636"/>
      <c r="Y49" s="636"/>
      <c r="Z49" s="636"/>
      <c r="AA49" s="635"/>
      <c r="AB49" s="635"/>
    </row>
    <row r="50" spans="1:28">
      <c r="A50" s="783" t="s">
        <v>902</v>
      </c>
      <c r="B50" s="184">
        <f ca="1">IFERROR(IF(C50=0,0,C50/(D50)),"")</f>
        <v>2.6154534618649778</v>
      </c>
      <c r="C50" s="233">
        <f ca="1">SUMIFS('ADR Primary Data'!$CL$2:$CL$12,'ADR Primary Data'!$F$2:$F$12,$A50,'ADR Primary Data'!$C$2:$C$12,$A$46)/1000</f>
        <v>180.24941845645375</v>
      </c>
      <c r="D50" s="233">
        <f>SUMIFS('ADR Primary Data'!$O$2:$O$12,'ADR Primary Data'!$F$2:$F$12,$A50,'ADR Primary Data'!$C$2:$C$12,$A$46)/1000</f>
        <v>68.917081142757141</v>
      </c>
      <c r="E50" s="233">
        <f ca="1">SUMIFS('ADR Primary Data'!$S$2:$S$12,'ADR Primary Data'!$F$2:$F$12,$A50,'ADR Primary Data'!$C$2:$C$12,$A$46)/1000</f>
        <v>0</v>
      </c>
      <c r="F50" s="233">
        <f ca="1">SUMIFS('ADR Primary Data'!$Y$2:$Y$12,'ADR Primary Data'!$F$2:$F$12,$A50,'ADR Primary Data'!$C$2:$C$12,$A$46)</f>
        <v>0</v>
      </c>
      <c r="G50" s="233">
        <f ca="1">SUMIFS('ADR Primary Data'!$AA$2:$AA$12,'ADR Primary Data'!$F$2:$F$12,$A50,'ADR Primary Data'!$C$2:$C$12,$A$46)</f>
        <v>0</v>
      </c>
      <c r="H50" s="233">
        <f ca="1">SUMIFS('ADR Primary Data'!$W$2:$W$12,'ADR Primary Data'!$F$2:$F$12,$A50,'ADR Primary Data'!$C$2:$C$12,$A$46)</f>
        <v>0</v>
      </c>
      <c r="I50" s="233">
        <f ca="1">SUMIFS('ADR Primary Data'!$X$2:$X$12,'ADR Primary Data'!$F$2:$F$12,$A50,'ADR Primary Data'!$C$2:$C$12,$A$46)</f>
        <v>703.39499999999998</v>
      </c>
      <c r="J50" s="1175">
        <f>SUMIFS(ADRYr3!$G$5:$G$50,ADRYr3!$B$5:$B$50,A50)-ADRYr3!G11</f>
        <v>826.875</v>
      </c>
      <c r="K50" s="233">
        <f ca="1">SUMIFS('ADR Primary Data'!$BC$2:$BC$12,'ADR Primary Data'!$F$2:$F$12,$A50,'ADR Primary Data'!$C$2:$C$12,$A$46)</f>
        <v>0</v>
      </c>
      <c r="L50" s="174">
        <f ca="1">SUMIFS('ADR Primary Data'!$BD$2:$BD$12,'ADR Primary Data'!$F$2:$F$12,$A50,'ADR Primary Data'!$C$2:$C$12,$A$46)</f>
        <v>0</v>
      </c>
      <c r="M50" s="1332"/>
      <c r="N50" s="1331"/>
      <c r="O50" s="636"/>
      <c r="P50" s="636"/>
      <c r="Q50" s="636"/>
      <c r="R50" s="636"/>
      <c r="S50" s="636"/>
      <c r="T50" s="636"/>
      <c r="U50" s="636"/>
      <c r="V50" s="636"/>
      <c r="W50" s="636"/>
      <c r="X50" s="636"/>
      <c r="Y50" s="636"/>
    </row>
    <row r="51" spans="1:28">
      <c r="A51" s="183" t="s">
        <v>401</v>
      </c>
      <c r="B51" s="185">
        <f ca="1">IFERROR(IF(C51=0,0,C51/(D51)),"")</f>
        <v>2.6154534618649778</v>
      </c>
      <c r="C51" s="235">
        <f t="shared" ref="C51:L51" ca="1" si="6">SUM(C49:C50)</f>
        <v>180.24941845645375</v>
      </c>
      <c r="D51" s="235">
        <f t="shared" si="6"/>
        <v>68.917081142757141</v>
      </c>
      <c r="E51" s="235">
        <f t="shared" ca="1" si="6"/>
        <v>0</v>
      </c>
      <c r="F51" s="180">
        <f t="shared" ca="1" si="6"/>
        <v>0</v>
      </c>
      <c r="G51" s="236">
        <f t="shared" ca="1" si="6"/>
        <v>0</v>
      </c>
      <c r="H51" s="180">
        <f t="shared" ca="1" si="6"/>
        <v>0</v>
      </c>
      <c r="I51" s="180">
        <f t="shared" ca="1" si="6"/>
        <v>703.39499999999998</v>
      </c>
      <c r="J51" s="1176">
        <f>SUM(J49:J50)</f>
        <v>826.875</v>
      </c>
      <c r="K51" s="1091">
        <f t="shared" ca="1" si="6"/>
        <v>0</v>
      </c>
      <c r="L51" s="1092">
        <f t="shared" ca="1" si="6"/>
        <v>0</v>
      </c>
      <c r="N51" s="184"/>
      <c r="O51" s="636"/>
      <c r="P51" s="636"/>
      <c r="Q51" s="636"/>
      <c r="R51" s="636"/>
      <c r="S51" s="636"/>
      <c r="T51" s="636"/>
      <c r="U51" s="636"/>
      <c r="V51" s="636"/>
      <c r="W51" s="636"/>
      <c r="X51" s="636"/>
      <c r="Y51" s="636"/>
    </row>
    <row r="52" spans="1:28">
      <c r="A52" s="128"/>
      <c r="B52" s="784"/>
      <c r="C52" s="785"/>
      <c r="D52" s="785"/>
      <c r="E52" s="785"/>
      <c r="F52" s="787"/>
      <c r="G52" s="788"/>
      <c r="H52" s="789"/>
      <c r="I52" s="787"/>
      <c r="J52" s="1177"/>
      <c r="K52" s="786"/>
      <c r="L52" s="790"/>
      <c r="N52" s="184"/>
      <c r="O52" s="636"/>
      <c r="P52" s="636"/>
      <c r="Q52" s="636"/>
      <c r="R52" s="636"/>
      <c r="S52" s="636"/>
      <c r="T52" s="636"/>
      <c r="U52" s="636"/>
      <c r="V52" s="636"/>
      <c r="W52" s="636"/>
      <c r="X52" s="636"/>
      <c r="Y52" s="636"/>
    </row>
    <row r="53" spans="1:28">
      <c r="A53" s="172" t="s">
        <v>398</v>
      </c>
      <c r="B53" s="184"/>
      <c r="C53" s="233"/>
      <c r="D53" s="233"/>
      <c r="E53" s="233"/>
      <c r="F53" s="181"/>
      <c r="G53" s="234"/>
      <c r="H53" s="179"/>
      <c r="I53" s="181"/>
      <c r="J53" s="1178"/>
      <c r="K53" s="177"/>
      <c r="L53" s="178"/>
      <c r="N53" s="184"/>
      <c r="O53" s="636"/>
      <c r="P53" s="636"/>
      <c r="Q53" s="636"/>
      <c r="R53" s="636"/>
      <c r="S53" s="636"/>
      <c r="T53" s="636"/>
      <c r="U53" s="636"/>
      <c r="V53" s="636"/>
      <c r="W53" s="636"/>
      <c r="X53" s="636"/>
      <c r="Y53" s="636"/>
    </row>
    <row r="54" spans="1:28">
      <c r="A54" s="783" t="s">
        <v>903</v>
      </c>
      <c r="B54" s="184">
        <f ca="1">IFERROR(IF(C54=0,0,C54/(D54)),"")</f>
        <v>4.3688164234421691</v>
      </c>
      <c r="C54" s="233">
        <f ca="1">SUMIFS('ADR Primary Data'!$CL$2:$CL$12,'ADR Primary Data'!$F$2:$F$12,$A54,'ADR Primary Data'!$C$2:$C$12,$A$46)/1000</f>
        <v>901.24709228226868</v>
      </c>
      <c r="D54" s="233">
        <f>SUMIFS('ADR Primary Data'!$O$2:$O$12,'ADR Primary Data'!$F$2:$F$12,$A54,'ADR Primary Data'!$C$2:$C$12,$A$46)/1000</f>
        <v>206.29090465929454</v>
      </c>
      <c r="E54" s="233">
        <f ca="1">SUMIFS('ADR Primary Data'!$S$2:$S$12,'ADR Primary Data'!$F$2:$F$12,$A54,'ADR Primary Data'!$C$2:$C$12,$A$46)/1000</f>
        <v>0</v>
      </c>
      <c r="F54" s="233">
        <f ca="1">SUMIFS('ADR Primary Data'!$Y$2:$Y$12,'ADR Primary Data'!$F$2:$F$12,$A54,'ADR Primary Data'!$C$2:$C$12,$A$46)</f>
        <v>0</v>
      </c>
      <c r="G54" s="233">
        <f ca="1">SUMIFS('ADR Primary Data'!$AA$2:$AA$12,'ADR Primary Data'!$F$2:$F$12,$A54,'ADR Primary Data'!$C$2:$C$12,$A$46)</f>
        <v>0</v>
      </c>
      <c r="H54" s="233">
        <f ca="1">SUMIFS('ADR Primary Data'!$W$2:$W$12,'ADR Primary Data'!$F$2:$F$12,$A54,'ADR Primary Data'!$C$2:$C$12,$A$46)</f>
        <v>0</v>
      </c>
      <c r="I54" s="233">
        <f ca="1">SUMIFS('ADR Primary Data'!$X$2:$X$12,'ADR Primary Data'!$F$2:$F$12,$A54,'ADR Primary Data'!$C$2:$C$12,$A$46)</f>
        <v>3516.9749999999999</v>
      </c>
      <c r="J54" s="1175">
        <f>SUMIFS(ADRYr3!$G$5:$G$50,ADRYr3!$B$5:$B$50,A54)</f>
        <v>22.05</v>
      </c>
      <c r="K54" s="233">
        <f ca="1">SUMIFS('ADR Primary Data'!$BC$2:$BC$12,'ADR Primary Data'!$F$2:$F$12,$A54,'ADR Primary Data'!$C$2:$C$12,$A$46)</f>
        <v>0</v>
      </c>
      <c r="L54" s="174">
        <f ca="1">SUMIFS('ADR Primary Data'!$BD$2:$BD$12,'ADR Primary Data'!$F$2:$F$12,$A54,'ADR Primary Data'!$C$2:$C$12,$A$46)</f>
        <v>0</v>
      </c>
      <c r="M54" s="1332"/>
      <c r="N54" s="1331"/>
      <c r="O54" s="636"/>
      <c r="P54" s="636"/>
      <c r="Q54" s="636"/>
      <c r="R54" s="636"/>
      <c r="S54" s="636"/>
      <c r="T54" s="636"/>
      <c r="U54" s="636"/>
      <c r="V54" s="636"/>
      <c r="W54" s="636"/>
      <c r="X54" s="636"/>
      <c r="Y54" s="636"/>
    </row>
    <row r="55" spans="1:28">
      <c r="A55" s="183" t="s">
        <v>402</v>
      </c>
      <c r="B55" s="185">
        <f ca="1">IFERROR(IF(C55=0,0,C55/(D55)),"")</f>
        <v>4.3688164234421691</v>
      </c>
      <c r="C55" s="235">
        <f t="shared" ref="C55:L55" ca="1" si="7">SUM(C54:C54)</f>
        <v>901.24709228226868</v>
      </c>
      <c r="D55" s="235">
        <f t="shared" si="7"/>
        <v>206.29090465929454</v>
      </c>
      <c r="E55" s="235">
        <f t="shared" ca="1" si="7"/>
        <v>0</v>
      </c>
      <c r="F55" s="180">
        <f t="shared" ca="1" si="7"/>
        <v>0</v>
      </c>
      <c r="G55" s="236">
        <f t="shared" ca="1" si="7"/>
        <v>0</v>
      </c>
      <c r="H55" s="180">
        <f t="shared" ca="1" si="7"/>
        <v>0</v>
      </c>
      <c r="I55" s="180">
        <f t="shared" ca="1" si="7"/>
        <v>3516.9749999999999</v>
      </c>
      <c r="J55" s="1179">
        <f t="shared" si="7"/>
        <v>22.05</v>
      </c>
      <c r="K55" s="175">
        <f t="shared" ca="1" si="7"/>
        <v>0</v>
      </c>
      <c r="L55" s="176">
        <f t="shared" ca="1" si="7"/>
        <v>0</v>
      </c>
      <c r="N55" s="184"/>
      <c r="O55" s="636"/>
      <c r="P55" s="636"/>
      <c r="Q55" s="636"/>
      <c r="R55" s="636"/>
      <c r="S55" s="636"/>
      <c r="T55" s="636"/>
      <c r="U55" s="636"/>
      <c r="V55" s="636"/>
      <c r="W55" s="636"/>
      <c r="X55" s="636"/>
      <c r="Y55" s="636"/>
    </row>
    <row r="56" spans="1:28">
      <c r="A56" s="183"/>
      <c r="B56" s="784"/>
      <c r="C56" s="785"/>
      <c r="D56" s="785"/>
      <c r="E56" s="785"/>
      <c r="F56" s="787"/>
      <c r="G56" s="788"/>
      <c r="H56" s="789"/>
      <c r="I56" s="787"/>
      <c r="J56" s="1177"/>
      <c r="K56" s="786"/>
      <c r="L56" s="790"/>
      <c r="N56" s="184"/>
      <c r="O56" s="636"/>
      <c r="P56" s="636"/>
      <c r="Q56" s="636"/>
      <c r="R56" s="636"/>
      <c r="S56" s="636"/>
      <c r="T56" s="636"/>
      <c r="U56" s="636"/>
      <c r="V56" s="636"/>
      <c r="W56" s="636"/>
      <c r="X56" s="636"/>
      <c r="Y56" s="636"/>
    </row>
    <row r="57" spans="1:28" ht="13.5" thickBot="1">
      <c r="A57" s="694" t="s">
        <v>80</v>
      </c>
      <c r="B57" s="791">
        <f ca="1">IFERROR(IF(C57=0,0,C57/(D57)),"")</f>
        <v>3.9297424730858226</v>
      </c>
      <c r="C57" s="792">
        <f ca="1">C51+C55</f>
        <v>1081.4965107387225</v>
      </c>
      <c r="D57" s="792">
        <f t="shared" ref="D57:L57" si="8">D51+D55</f>
        <v>275.20798580205167</v>
      </c>
      <c r="E57" s="792">
        <f t="shared" ca="1" si="8"/>
        <v>0</v>
      </c>
      <c r="F57" s="793">
        <f t="shared" ca="1" si="8"/>
        <v>0</v>
      </c>
      <c r="G57" s="794">
        <f t="shared" ca="1" si="8"/>
        <v>0</v>
      </c>
      <c r="H57" s="793">
        <f t="shared" ca="1" si="8"/>
        <v>0</v>
      </c>
      <c r="I57" s="793">
        <f t="shared" ca="1" si="8"/>
        <v>4220.37</v>
      </c>
      <c r="J57" s="1180">
        <f t="shared" si="8"/>
        <v>848.92499999999995</v>
      </c>
      <c r="K57" s="795">
        <f t="shared" ca="1" si="8"/>
        <v>0</v>
      </c>
      <c r="L57" s="796">
        <f t="shared" ca="1" si="8"/>
        <v>0</v>
      </c>
      <c r="N57" s="760"/>
      <c r="O57" s="636"/>
      <c r="P57" s="636"/>
      <c r="Q57" s="636"/>
      <c r="R57" s="636"/>
      <c r="S57" s="636"/>
      <c r="T57" s="636"/>
      <c r="U57" s="636"/>
      <c r="V57" s="636"/>
      <c r="W57" s="636"/>
      <c r="X57" s="636"/>
      <c r="Y57" s="636"/>
    </row>
    <row r="58" spans="1:28">
      <c r="A58" s="1221" t="s">
        <v>996</v>
      </c>
      <c r="B58" s="129"/>
      <c r="C58" s="120"/>
      <c r="D58" s="699"/>
      <c r="E58" s="120"/>
      <c r="F58" s="693"/>
      <c r="G58" s="228"/>
      <c r="H58" s="130"/>
      <c r="I58" s="130"/>
      <c r="J58" s="120"/>
      <c r="K58" s="119"/>
      <c r="L58" s="119"/>
      <c r="M58" s="696"/>
      <c r="N58" s="636"/>
      <c r="O58" s="636"/>
      <c r="P58" s="636"/>
      <c r="Q58" s="636"/>
      <c r="R58" s="636"/>
      <c r="S58" s="636"/>
      <c r="T58" s="636"/>
      <c r="U58" s="636"/>
      <c r="V58" s="636"/>
      <c r="W58" s="636"/>
      <c r="X58" s="636"/>
      <c r="Y58" s="636"/>
    </row>
    <row r="59" spans="1:28">
      <c r="A59" s="121"/>
      <c r="B59" s="121"/>
      <c r="C59" s="130"/>
      <c r="D59" s="130"/>
      <c r="E59" s="130"/>
      <c r="F59" s="693"/>
      <c r="G59" s="700"/>
      <c r="H59" s="231"/>
      <c r="I59" s="231"/>
      <c r="J59" s="130"/>
      <c r="K59" s="121"/>
      <c r="L59" s="121"/>
      <c r="M59" s="15"/>
      <c r="N59" s="636"/>
      <c r="O59" s="636"/>
      <c r="P59" s="636"/>
      <c r="Q59" s="636"/>
      <c r="R59" s="636"/>
      <c r="S59" s="636"/>
      <c r="T59" s="636"/>
      <c r="U59" s="636"/>
      <c r="V59" s="636"/>
      <c r="W59" s="636"/>
      <c r="X59" s="636"/>
      <c r="Y59" s="636"/>
    </row>
    <row r="60" spans="1:28" hidden="1" outlineLevel="1">
      <c r="A60" s="186" t="s">
        <v>300</v>
      </c>
      <c r="B60" s="187"/>
      <c r="C60" s="188">
        <f ca="1">F57*1000</f>
        <v>0</v>
      </c>
      <c r="D60" s="189" t="e">
        <f ca="1">C60/C62</f>
        <v>#DIV/0!</v>
      </c>
      <c r="E60" s="190" t="e">
        <f ca="1">IF(D60&gt;0.5499,"kWh &gt; 55%","kWh &lt; 55%")</f>
        <v>#DIV/0!</v>
      </c>
      <c r="F60" s="187" t="s">
        <v>301</v>
      </c>
      <c r="G60" s="227"/>
      <c r="H60" s="187"/>
      <c r="I60" s="188">
        <f ca="1">G57*1000</f>
        <v>0</v>
      </c>
      <c r="J60" s="189" t="e">
        <f ca="1">I60/I62</f>
        <v>#DIV/0!</v>
      </c>
      <c r="K60" s="190" t="e">
        <f ca="1">IF(J60&gt;0.5499,"kWh &gt; 55%","kWh &lt; 55%")</f>
        <v>#DIV/0!</v>
      </c>
      <c r="L60" s="191"/>
      <c r="M60" s="15"/>
      <c r="N60" s="636"/>
      <c r="O60" s="636"/>
      <c r="P60" s="636"/>
      <c r="Q60" s="636"/>
      <c r="R60" s="636"/>
      <c r="S60" s="636"/>
      <c r="T60" s="636"/>
      <c r="U60" s="636"/>
      <c r="V60" s="636"/>
      <c r="W60" s="636"/>
      <c r="X60" s="636"/>
      <c r="Y60" s="636"/>
    </row>
    <row r="61" spans="1:28" hidden="1" outlineLevel="1">
      <c r="A61" s="131" t="s">
        <v>302</v>
      </c>
      <c r="B61" s="130"/>
      <c r="C61" s="132">
        <f ca="1">K57/Lookups!G$28</f>
        <v>0</v>
      </c>
      <c r="D61" s="133" t="e">
        <f ca="1">C61/C62</f>
        <v>#DIV/0!</v>
      </c>
      <c r="E61" s="130"/>
      <c r="F61" s="130" t="s">
        <v>303</v>
      </c>
      <c r="G61" s="228"/>
      <c r="H61" s="130"/>
      <c r="I61" s="132">
        <f ca="1">L57/Lookups!G$28</f>
        <v>0</v>
      </c>
      <c r="J61" s="133" t="e">
        <f ca="1">I61/I$62</f>
        <v>#DIV/0!</v>
      </c>
      <c r="K61" s="130"/>
      <c r="L61" s="134"/>
      <c r="M61" s="15"/>
      <c r="N61" s="636"/>
      <c r="O61" s="636"/>
      <c r="P61" s="636"/>
      <c r="Q61" s="636"/>
      <c r="R61" s="636"/>
      <c r="S61" s="636"/>
      <c r="T61" s="636"/>
      <c r="U61" s="636"/>
      <c r="V61" s="636"/>
      <c r="W61" s="636"/>
      <c r="X61" s="636"/>
      <c r="Y61" s="636"/>
    </row>
    <row r="62" spans="1:28" hidden="1" outlineLevel="1">
      <c r="A62" s="136"/>
      <c r="B62" s="137"/>
      <c r="C62" s="138">
        <f ca="1">SUM(C60:C61)</f>
        <v>0</v>
      </c>
      <c r="D62" s="139" t="e">
        <f ca="1">SUM(D60:D61)</f>
        <v>#DIV/0!</v>
      </c>
      <c r="E62" s="137"/>
      <c r="F62" s="137"/>
      <c r="G62" s="229"/>
      <c r="H62" s="137"/>
      <c r="I62" s="138">
        <f ca="1">SUM(I60:I61)</f>
        <v>0</v>
      </c>
      <c r="J62" s="139" t="e">
        <f ca="1">SUM(J60:J61)</f>
        <v>#DIV/0!</v>
      </c>
      <c r="K62" s="137"/>
      <c r="L62" s="135"/>
      <c r="N62" s="636"/>
      <c r="O62" s="636"/>
      <c r="P62" s="636"/>
      <c r="Q62" s="636"/>
      <c r="R62" s="636"/>
      <c r="S62" s="636"/>
      <c r="T62" s="636"/>
      <c r="U62" s="636"/>
      <c r="V62" s="636"/>
      <c r="W62" s="636"/>
      <c r="X62" s="636"/>
      <c r="Y62" s="636"/>
    </row>
    <row r="63" spans="1:28" collapsed="1">
      <c r="F63" s="696"/>
      <c r="G63" s="696"/>
    </row>
    <row r="66" spans="6:7">
      <c r="F66" s="696"/>
      <c r="G66" s="696"/>
    </row>
  </sheetData>
  <mergeCells count="1">
    <mergeCell ref="A6:L6"/>
  </mergeCells>
  <dataValidations count="1">
    <dataValidation type="list" allowBlank="1" showInputMessage="1" showErrorMessage="1" sqref="A11:A12 A16 A35 A49:A50 A30:A31 A54" xr:uid="{92AF2B8E-A9A5-4B04-9CA2-188388A9F8AD}">
      <formula1>ElecProg</formula1>
    </dataValidation>
  </dataValidations>
  <printOptions horizontalCentered="1"/>
  <pageMargins left="0.25" right="0.25"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pageSetUpPr fitToPage="1"/>
  </sheetPr>
  <dimension ref="A1:X44"/>
  <sheetViews>
    <sheetView showGridLines="0" tabSelected="1" zoomScale="85" zoomScaleNormal="85" zoomScaleSheetLayoutView="85" zoomScalePageLayoutView="40" workbookViewId="0">
      <selection activeCell="Y11" sqref="Y11"/>
    </sheetView>
  </sheetViews>
  <sheetFormatPr defaultColWidth="10" defaultRowHeight="15" outlineLevelCol="1"/>
  <cols>
    <col min="1" max="1" width="36.7109375" style="140" customWidth="1"/>
    <col min="2" max="2" width="11.7109375" style="140" customWidth="1"/>
    <col min="3" max="3" width="9.85546875" style="140" customWidth="1"/>
    <col min="4" max="4" width="9.7109375" style="140" customWidth="1"/>
    <col min="5" max="5" width="11.42578125" style="140" customWidth="1"/>
    <col min="6" max="7" width="10.42578125" style="140" customWidth="1"/>
    <col min="8" max="8" width="10.5703125" style="140" hidden="1" customWidth="1" outlineLevel="1"/>
    <col min="9" max="9" width="10" style="140" hidden="1" customWidth="1" outlineLevel="1"/>
    <col min="10" max="10" width="10.28515625" style="140" hidden="1" customWidth="1" outlineLevel="1"/>
    <col min="11" max="11" width="10.85546875" style="140" hidden="1" customWidth="1" outlineLevel="1"/>
    <col min="12" max="12" width="10.140625" style="140" customWidth="1" collapsed="1"/>
    <col min="13" max="13" width="13.5703125" style="140" customWidth="1"/>
    <col min="14" max="14" width="9" style="140" hidden="1" customWidth="1" outlineLevel="1"/>
    <col min="15" max="15" width="8.5703125" style="140" hidden="1" customWidth="1" outlineLevel="1"/>
    <col min="16" max="16" width="10.28515625" style="140" hidden="1" customWidth="1" outlineLevel="1"/>
    <col min="17" max="17" width="11.140625" style="140" customWidth="1" collapsed="1"/>
    <col min="18" max="19" width="11.140625" style="140" customWidth="1"/>
    <col min="20" max="20" width="11" style="140" customWidth="1"/>
    <col min="21" max="22" width="12.42578125" style="140" customWidth="1"/>
    <col min="23" max="24" width="14" style="140" customWidth="1"/>
    <col min="25" max="16384" width="10" style="140"/>
  </cols>
  <sheetData>
    <row r="1" spans="1:24">
      <c r="V1" s="1086" t="str">
        <f>PA</f>
        <v>Unitil Energy Systems Inc</v>
      </c>
      <c r="W1" s="195"/>
      <c r="X1" s="142"/>
    </row>
    <row r="2" spans="1:24">
      <c r="V2" s="171" t="s">
        <v>995</v>
      </c>
      <c r="W2" s="195"/>
      <c r="X2" s="142"/>
    </row>
    <row r="3" spans="1:24">
      <c r="A3" s="117"/>
      <c r="B3" s="117"/>
      <c r="C3" s="117"/>
      <c r="D3" s="117"/>
      <c r="E3" s="117"/>
      <c r="F3" s="117"/>
      <c r="G3" s="117"/>
      <c r="H3" s="117"/>
      <c r="I3" s="117"/>
      <c r="J3" s="117"/>
      <c r="K3" s="117"/>
      <c r="L3" s="117"/>
      <c r="M3" s="117"/>
      <c r="N3" s="117"/>
      <c r="O3" s="117"/>
      <c r="P3" s="117"/>
      <c r="T3" s="117"/>
      <c r="V3" s="232" t="s">
        <v>999</v>
      </c>
      <c r="W3" s="195"/>
      <c r="X3" s="142"/>
    </row>
    <row r="4" spans="1:24">
      <c r="A4" s="117"/>
      <c r="B4" s="117"/>
      <c r="C4" s="141"/>
      <c r="D4" s="117"/>
      <c r="E4" s="117"/>
      <c r="F4" s="117"/>
      <c r="G4" s="117"/>
      <c r="H4" s="117"/>
      <c r="I4" s="117"/>
      <c r="J4" s="117"/>
      <c r="K4" s="117"/>
      <c r="L4" s="117"/>
      <c r="M4" s="117"/>
      <c r="N4" s="117"/>
      <c r="O4" s="117"/>
      <c r="P4" s="117"/>
      <c r="T4" s="117"/>
      <c r="V4" s="1093"/>
      <c r="W4" s="195"/>
      <c r="X4" s="142"/>
    </row>
    <row r="5" spans="1:24">
      <c r="A5" s="117"/>
      <c r="B5" s="117"/>
      <c r="C5" s="117"/>
      <c r="D5" s="117"/>
      <c r="E5" s="117"/>
      <c r="F5" s="117"/>
      <c r="G5" s="117"/>
      <c r="H5" s="117"/>
      <c r="I5" s="117"/>
      <c r="J5" s="117"/>
      <c r="K5" s="117"/>
      <c r="L5" s="117"/>
      <c r="M5" s="117"/>
      <c r="N5" s="117"/>
      <c r="O5" s="117"/>
      <c r="P5" s="117"/>
      <c r="Q5" s="117"/>
      <c r="R5" s="117"/>
      <c r="S5" s="117"/>
      <c r="T5" s="117"/>
      <c r="U5" s="117"/>
      <c r="W5" s="195"/>
      <c r="X5" s="142"/>
    </row>
    <row r="6" spans="1:24" ht="15.75">
      <c r="A6" s="1744" t="s">
        <v>873</v>
      </c>
      <c r="B6" s="1744"/>
      <c r="C6" s="1744"/>
      <c r="D6" s="1744"/>
      <c r="E6" s="1744"/>
      <c r="F6" s="1744"/>
      <c r="G6" s="1744"/>
      <c r="H6" s="1744"/>
      <c r="I6" s="1744"/>
      <c r="J6" s="1744"/>
      <c r="K6" s="1744"/>
      <c r="L6" s="1744"/>
      <c r="M6" s="1744"/>
      <c r="N6" s="1744"/>
      <c r="O6" s="1744"/>
      <c r="P6" s="1744"/>
      <c r="Q6" s="1744"/>
      <c r="R6" s="1744"/>
      <c r="S6" s="1744"/>
      <c r="T6" s="1744"/>
      <c r="U6" s="1744"/>
      <c r="V6" s="1744"/>
      <c r="W6" s="195"/>
      <c r="X6" s="142"/>
    </row>
    <row r="7" spans="1:24" s="1104" customFormat="1" ht="15.75" thickBot="1">
      <c r="A7" s="1099"/>
      <c r="B7" s="1100"/>
      <c r="C7" s="1100"/>
      <c r="D7" s="1100"/>
      <c r="E7" s="1100"/>
      <c r="F7" s="1100"/>
      <c r="G7" s="1100"/>
      <c r="H7" s="1100"/>
      <c r="I7" s="1100"/>
      <c r="J7" s="1100"/>
      <c r="K7" s="1100"/>
      <c r="L7" s="1100"/>
      <c r="M7" s="1099"/>
      <c r="N7" s="1100"/>
      <c r="O7" s="1100"/>
      <c r="P7" s="1100"/>
      <c r="Q7" s="1100"/>
      <c r="R7" s="1100"/>
      <c r="S7" s="1100"/>
      <c r="T7" s="1100"/>
      <c r="U7" s="1100"/>
      <c r="V7" s="1101"/>
      <c r="W7" s="1102"/>
      <c r="X7" s="1103"/>
    </row>
    <row r="8" spans="1:24" ht="15.6" customHeight="1">
      <c r="A8" s="117"/>
      <c r="B8" s="1753" t="s">
        <v>306</v>
      </c>
      <c r="C8" s="1763" t="s">
        <v>721</v>
      </c>
      <c r="D8" s="1764"/>
      <c r="E8" s="1764"/>
      <c r="F8" s="1764"/>
      <c r="G8" s="1764"/>
      <c r="H8" s="1764"/>
      <c r="I8" s="1764"/>
      <c r="J8" s="1764"/>
      <c r="K8" s="1764"/>
      <c r="L8" s="1764"/>
      <c r="M8" s="1764"/>
      <c r="N8" s="1764"/>
      <c r="O8" s="1764"/>
      <c r="P8" s="1764"/>
      <c r="Q8" s="1764"/>
      <c r="R8" s="1764"/>
      <c r="S8" s="1765"/>
      <c r="T8" s="1766" t="s">
        <v>722</v>
      </c>
      <c r="U8" s="1767"/>
      <c r="V8" s="1768"/>
      <c r="W8" s="195"/>
      <c r="X8" s="142"/>
    </row>
    <row r="9" spans="1:24" ht="14.45" customHeight="1">
      <c r="A9" s="117"/>
      <c r="B9" s="1754"/>
      <c r="C9" s="1760" t="s">
        <v>210</v>
      </c>
      <c r="D9" s="1761"/>
      <c r="E9" s="1761"/>
      <c r="F9" s="1761"/>
      <c r="G9" s="1761"/>
      <c r="H9" s="1761"/>
      <c r="I9" s="1761"/>
      <c r="J9" s="1761"/>
      <c r="K9" s="1761"/>
      <c r="L9" s="1761"/>
      <c r="M9" s="1762"/>
      <c r="N9" s="121"/>
      <c r="O9" s="121"/>
      <c r="P9" s="121"/>
      <c r="Q9" s="1760" t="s">
        <v>720</v>
      </c>
      <c r="R9" s="1762"/>
      <c r="S9" s="134"/>
      <c r="T9" s="806"/>
      <c r="U9" s="121"/>
      <c r="V9" s="817"/>
      <c r="W9" s="195"/>
      <c r="X9" s="142"/>
    </row>
    <row r="10" spans="1:24" ht="14.45" customHeight="1">
      <c r="A10" s="127"/>
      <c r="B10" s="1754"/>
      <c r="C10" s="1757" t="s">
        <v>304</v>
      </c>
      <c r="D10" s="1758"/>
      <c r="E10" s="1758"/>
      <c r="F10" s="1758"/>
      <c r="G10" s="1751" t="s">
        <v>305</v>
      </c>
      <c r="H10" s="1758" t="s">
        <v>305</v>
      </c>
      <c r="I10" s="1758"/>
      <c r="J10" s="1758"/>
      <c r="K10" s="1759"/>
      <c r="L10" s="1755" t="s">
        <v>390</v>
      </c>
      <c r="M10" s="1749" t="s">
        <v>391</v>
      </c>
      <c r="N10" s="816"/>
      <c r="O10" s="816"/>
      <c r="P10" s="816"/>
      <c r="Q10" s="1747" t="s">
        <v>107</v>
      </c>
      <c r="R10" s="1745" t="s">
        <v>433</v>
      </c>
      <c r="S10" s="1771" t="s">
        <v>136</v>
      </c>
      <c r="T10" s="1747" t="s">
        <v>517</v>
      </c>
      <c r="U10" s="1755" t="s">
        <v>716</v>
      </c>
      <c r="V10" s="1769" t="s">
        <v>717</v>
      </c>
      <c r="W10" s="195"/>
      <c r="X10" s="142"/>
    </row>
    <row r="11" spans="1:24" ht="39" thickBot="1">
      <c r="A11" s="1098"/>
      <c r="B11" s="1213" t="s">
        <v>919</v>
      </c>
      <c r="C11" s="1094" t="s">
        <v>307</v>
      </c>
      <c r="D11" s="1095" t="s">
        <v>308</v>
      </c>
      <c r="E11" s="1095" t="s">
        <v>44</v>
      </c>
      <c r="F11" s="1095" t="s">
        <v>45</v>
      </c>
      <c r="G11" s="1752"/>
      <c r="H11" s="1095" t="s">
        <v>309</v>
      </c>
      <c r="I11" s="1095" t="s">
        <v>310</v>
      </c>
      <c r="J11" s="1095" t="s">
        <v>311</v>
      </c>
      <c r="K11" s="1096" t="s">
        <v>312</v>
      </c>
      <c r="L11" s="1756"/>
      <c r="M11" s="1750"/>
      <c r="N11" s="1097" t="s">
        <v>392</v>
      </c>
      <c r="O11" s="1097" t="s">
        <v>393</v>
      </c>
      <c r="P11" s="1097" t="s">
        <v>394</v>
      </c>
      <c r="Q11" s="1748"/>
      <c r="R11" s="1746"/>
      <c r="S11" s="1772"/>
      <c r="T11" s="1748"/>
      <c r="U11" s="1756"/>
      <c r="V11" s="1770"/>
      <c r="W11" s="195"/>
      <c r="X11" s="142"/>
    </row>
    <row r="12" spans="1:24" ht="16.5" thickBot="1">
      <c r="A12" s="1109">
        <f>Year1</f>
        <v>2024</v>
      </c>
      <c r="B12" s="1110"/>
      <c r="C12" s="1111"/>
      <c r="D12" s="1111"/>
      <c r="E12" s="1111"/>
      <c r="F12" s="1111"/>
      <c r="G12" s="1111"/>
      <c r="H12" s="1111"/>
      <c r="I12" s="1111"/>
      <c r="J12" s="1111"/>
      <c r="K12" s="1111"/>
      <c r="L12" s="1112"/>
      <c r="M12" s="1113"/>
      <c r="N12" s="1112"/>
      <c r="O12" s="1112"/>
      <c r="P12" s="1112"/>
      <c r="Q12" s="1112"/>
      <c r="R12" s="1112"/>
      <c r="S12" s="1113"/>
      <c r="T12" s="1112"/>
      <c r="U12" s="1112"/>
      <c r="V12" s="1114"/>
      <c r="W12" s="195"/>
      <c r="X12" s="142"/>
    </row>
    <row r="13" spans="1:24">
      <c r="A13" s="125" t="s">
        <v>298</v>
      </c>
      <c r="B13" s="843"/>
      <c r="C13" s="803"/>
      <c r="D13" s="126"/>
      <c r="E13" s="126"/>
      <c r="F13" s="126"/>
      <c r="G13" s="1225"/>
      <c r="H13" s="126"/>
      <c r="I13" s="126"/>
      <c r="J13" s="126"/>
      <c r="K13" s="811"/>
      <c r="L13" s="126"/>
      <c r="M13" s="815"/>
      <c r="N13" s="126"/>
      <c r="O13" s="126"/>
      <c r="P13" s="126"/>
      <c r="Q13" s="803"/>
      <c r="R13" s="804"/>
      <c r="S13" s="804"/>
      <c r="T13" s="803"/>
      <c r="U13" s="126"/>
      <c r="V13" s="127"/>
      <c r="W13" s="195"/>
      <c r="X13" s="142"/>
    </row>
    <row r="14" spans="1:24" hidden="1">
      <c r="A14" s="128" t="s">
        <v>268</v>
      </c>
      <c r="B14" s="818">
        <f ca="1">SUMIFS('ADR Primary Data'!$CL$2:$CL$12,'ADR Primary Data'!$F$2:$F$12,$A14,'ADR Primary Data'!$C$2:$C$12,$A$12)/1000</f>
        <v>0</v>
      </c>
      <c r="C14" s="798">
        <f ca="1">SUMIFS('ADR Primary Data'!$BN$2:$BN$12,'ADR Primary Data'!$F$2:$F$12,$A14,'ADR Primary Data'!$C$2:$C$12,$A$12)/1000+SUMIFS('ADR Primary Data'!$BQ$2:$BQ$12,'ADR Primary Data'!$F$2:$F$12,$A14,'ADR Primary Data'!$C$2:$C$12,$A$12)/1000</f>
        <v>0</v>
      </c>
      <c r="D14" s="237">
        <f ca="1">SUMIFS('ADR Primary Data'!$BO$2:$BO$12,'ADR Primary Data'!$F$2:$F$12,$A14,'ADR Primary Data'!$C$2:$C$12,$A$12)/1000</f>
        <v>0</v>
      </c>
      <c r="E14" s="237">
        <f ca="1">SUMIFS('ADR Primary Data'!$BS$2:$BS$12,'ADR Primary Data'!$F$2:$F$12,$A14,'ADR Primary Data'!$C$2:$C$12,$A$12)/1000+SUMIFS('ADR Primary Data'!$BR$2:$BR$12,'ADR Primary Data'!$F$2:$F$12,$A14,'ADR Primary Data'!$C$2:$C$12,$A$12)/1000</f>
        <v>0</v>
      </c>
      <c r="F14" s="237">
        <f ca="1">SUMIFS('ADR Primary Data'!$BT$2:$BT$12,'ADR Primary Data'!$F$2:$F$12,$A14,'ADR Primary Data'!$C$2:$C$12,$A$12)/1000</f>
        <v>0</v>
      </c>
      <c r="G14" s="1226">
        <f ca="1">SUMIFS('ADR Primary Data'!$BK$2:$BK$12,'ADR Primary Data'!$F$2:$F$12,$A14,'ADR Primary Data'!$C$2:$C$12,$A$12)/1000</f>
        <v>0</v>
      </c>
      <c r="H14" s="237">
        <f ca="1">SUMIFS('ADR Primary Data'!$BG$2:$BG$12,'ADR Primary Data'!$F$2:$F$12,$A14,'ADR Primary Data'!$C$2:$C$12,$A$12)/1000</f>
        <v>0</v>
      </c>
      <c r="I14" s="237">
        <f ca="1">SUMIFS('ADR Primary Data'!$BH$2:$BH$12,'ADR Primary Data'!$F$2:$F$12,$A14,'ADR Primary Data'!$C$2:$C$12,$A$12)/1000</f>
        <v>0</v>
      </c>
      <c r="J14" s="237">
        <f ca="1">SUMIFS('ADR Primary Data'!$BI$2:$BI$12,'ADR Primary Data'!$F$2:$F$12,$A14,'ADR Primary Data'!$C$2:$C$12,$A$12)/1000</f>
        <v>0</v>
      </c>
      <c r="K14" s="812">
        <f ca="1">SUMIFS('ADR Primary Data'!$BJ$2:$BJ$12,'ADR Primary Data'!$F$2:$F$12,$A14,'ADR Primary Data'!$C$2:$C$12,$A$12)/1000</f>
        <v>0</v>
      </c>
      <c r="L14" s="237">
        <f ca="1">SUMIFS('ADR Primary Data'!$BL$2:$BL$12,'ADR Primary Data'!$F$2:$F$12,$A14,'ADR Primary Data'!$C$2:$C$12,$A$12)/1000+SUMIFS('ADR Primary Data'!$BP$2:$BP$12,'ADR Primary Data'!$F$2:$F$12,$A14,'ADR Primary Data'!$C$2:$C$12,$A$12)/1000</f>
        <v>0</v>
      </c>
      <c r="M14" s="808">
        <f ca="1">SUM(C14:G14,L14)</f>
        <v>0</v>
      </c>
      <c r="N14" s="237">
        <f ca="1">SUMIFS('ADR Primary Data'!$BV$2:$BV$12,'ADR Primary Data'!$F$2:$F$12,$A14,'ADR Primary Data'!$C$2:$C$12,$A$12)/1000</f>
        <v>0</v>
      </c>
      <c r="O14" s="237">
        <f ca="1">SUMIFS('ADR Primary Data'!$BW$2:$BW$12,'ADR Primary Data'!$F$2:$F$12,$A14,'ADR Primary Data'!$C$2:$C$12,$A$12)/1000</f>
        <v>0</v>
      </c>
      <c r="P14" s="238">
        <f ca="1">N14+O14</f>
        <v>0</v>
      </c>
      <c r="Q14" s="842">
        <f ca="1">SUMIFS('ADR Primary Data'!$CQ$2:$CQ$12,'ADR Primary Data'!$F$2:$F$12,$A14,'ADR Primary Data'!$C$2:$C$12,$A$12)/1000+P14</f>
        <v>0</v>
      </c>
      <c r="R14" s="805">
        <f ca="1">SUMIFS('ADR Primary Data'!$CE$2:$CE$12,'ADR Primary Data'!$F$2:$F$12,$A14,'ADR Primary Data'!$C$2:$C$12,$A$12)/1000</f>
        <v>0</v>
      </c>
      <c r="S14" s="808">
        <f ca="1">SUMIFS('ADR Primary Data'!$CG$2:$CG$12,'ADR Primary Data'!$F$2:$F$12,$A14,'ADR Primary Data'!$C$2:$C$12,$A$12)/1000</f>
        <v>0</v>
      </c>
      <c r="T14" s="807">
        <f ca="1">SUMIFS('ADR Primary Data'!$CH$2:$CH$12,'ADR Primary Data'!$F$2:$F$12,$A14,'ADR Primary Data'!$C$2:$C$12,$A$12)/1000</f>
        <v>0</v>
      </c>
      <c r="U14" s="238">
        <f ca="1">SUMIFS('ADR Primary Data'!$CI$2:$CI$12,'ADR Primary Data'!$F$2:$F$12,$A14,'ADR Primary Data'!$C$2:$C$12,$A$12)/1000-T14</f>
        <v>0</v>
      </c>
      <c r="V14" s="773">
        <f ca="1">SUMIFS('ADR Primary Data'!$CI$2:$CI$12,'ADR Primary Data'!$F$2:$F$12,$A14,'ADR Primary Data'!$C$2:$C$12,$A$12)/1000</f>
        <v>0</v>
      </c>
      <c r="W14" s="195"/>
      <c r="X14" s="142"/>
    </row>
    <row r="15" spans="1:24">
      <c r="A15" s="783" t="s">
        <v>902</v>
      </c>
      <c r="B15" s="818">
        <f ca="1">SUMIFS('ADR Primary Data'!$CL$2:$CL$12,'ADR Primary Data'!$F$2:$F$12,$A15,'ADR Primary Data'!$C$2:$C$12,$A$12)/1000</f>
        <v>148.48051919014233</v>
      </c>
      <c r="C15" s="798">
        <f ca="1">SUMIFS('ADR Primary Data'!$BN$2:$BN$12,'ADR Primary Data'!$F$2:$F$12,$A15,'ADR Primary Data'!$C$2:$C$12,$A$12)/1000+SUMIFS('ADR Primary Data'!$BQ$2:$BQ$12,'ADR Primary Data'!$F$2:$F$12,$A15,'ADR Primary Data'!$C$2:$C$12,$A$12)/1000</f>
        <v>4.7601765138889673</v>
      </c>
      <c r="D15" s="237">
        <f ca="1">SUMIFS('ADR Primary Data'!$BO$2:$BO$12,'ADR Primary Data'!$F$2:$F$12,$A15,'ADR Primary Data'!$C$2:$C$12,$A$12)/1000</f>
        <v>0</v>
      </c>
      <c r="E15" s="237">
        <f ca="1">SUMIFS('ADR Primary Data'!$BS$2:$BS$12,'ADR Primary Data'!$F$2:$F$12,$A15,'ADR Primary Data'!$C$2:$C$12,$A$12)/1000+SUMIFS('ADR Primary Data'!$BR$2:$BR$12,'ADR Primary Data'!$F$2:$F$12,$A15,'ADR Primary Data'!$C$2:$C$12,$A$12)/1000</f>
        <v>63.937809186869707</v>
      </c>
      <c r="F15" s="237">
        <f ca="1">SUMIFS('ADR Primary Data'!$BT$2:$BT$12,'ADR Primary Data'!$F$2:$F$12,$A15,'ADR Primary Data'!$C$2:$C$12,$A$12)/1000</f>
        <v>77.734104427107468</v>
      </c>
      <c r="G15" s="1226">
        <f ca="1">SUMIFS('ADR Primary Data'!$BK$2:$BK$12,'ADR Primary Data'!$F$2:$F$12,$A15,'ADR Primary Data'!$C$2:$C$12,$A$12)/1000</f>
        <v>0</v>
      </c>
      <c r="H15" s="237">
        <f ca="1">SUMIFS('ADR Primary Data'!$BG$2:$BG$12,'ADR Primary Data'!$F$2:$F$12,$A15,'ADR Primary Data'!$C$2:$C$12,$A$12)/1000</f>
        <v>0</v>
      </c>
      <c r="I15" s="237">
        <f ca="1">SUMIFS('ADR Primary Data'!$BH$2:$BH$12,'ADR Primary Data'!$F$2:$F$12,$A15,'ADR Primary Data'!$C$2:$C$12,$A$12)/1000</f>
        <v>0</v>
      </c>
      <c r="J15" s="237">
        <f ca="1">SUMIFS('ADR Primary Data'!$BI$2:$BI$12,'ADR Primary Data'!$F$2:$F$12,$A15,'ADR Primary Data'!$C$2:$C$12,$A$12)/1000</f>
        <v>0</v>
      </c>
      <c r="K15" s="812">
        <f ca="1">SUMIFS('ADR Primary Data'!$BJ$2:$BJ$12,'ADR Primary Data'!$F$2:$F$12,$A15,'ADR Primary Data'!$C$2:$C$12,$A$12)/1000</f>
        <v>0</v>
      </c>
      <c r="L15" s="237">
        <f ca="1">SUMIFS('ADR Primary Data'!$BL$2:$BL$12,'ADR Primary Data'!$F$2:$F$12,$A15,'ADR Primary Data'!$C$2:$C$12,$A$12)/1000+SUMIFS('ADR Primary Data'!$BP$2:$BP$12,'ADR Primary Data'!$F$2:$F$12,$A15,'ADR Primary Data'!$C$2:$C$12,$A$12)/1000</f>
        <v>2.0484290622761967</v>
      </c>
      <c r="M15" s="808">
        <f ca="1">SUM(C15:G15,L15)</f>
        <v>148.48051919014236</v>
      </c>
      <c r="N15" s="237">
        <f ca="1">SUMIFS('ADR Primary Data'!$BV$2:$BV$12,'ADR Primary Data'!$F$2:$F$12,$A15,'ADR Primary Data'!$C$2:$C$12,$A$12)/1000</f>
        <v>0</v>
      </c>
      <c r="O15" s="237">
        <f ca="1">SUMIFS('ADR Primary Data'!$BW$2:$BW$12,'ADR Primary Data'!$F$2:$F$12,$A15,'ADR Primary Data'!$C$2:$C$12,$A$12)/1000</f>
        <v>0</v>
      </c>
      <c r="P15" s="238">
        <f ca="1">N15+O15</f>
        <v>0</v>
      </c>
      <c r="Q15" s="842">
        <f ca="1">SUMIFS('ADR Primary Data'!$CQ$2:$CQ$12,'ADR Primary Data'!$F$2:$F$12,$A15,'ADR Primary Data'!$C$2:$C$12,$A$12)/1000+P15</f>
        <v>0</v>
      </c>
      <c r="R15" s="805">
        <f ca="1">SUMIFS('ADR Primary Data'!$CE$2:$CE$12,'ADR Primary Data'!$F$2:$F$12,$A15,'ADR Primary Data'!$C$2:$C$12,$A$12)/1000</f>
        <v>0</v>
      </c>
      <c r="S15" s="808">
        <f ca="1">SUMIFS('ADR Primary Data'!$CG$2:$CG$12,'ADR Primary Data'!$F$2:$F$12,$A15,'ADR Primary Data'!$C$2:$C$12,$A$12)/1000</f>
        <v>148.48051919014233</v>
      </c>
      <c r="T15" s="807">
        <f ca="1">SUMIFS('ADR Primary Data'!$CH$2:$CH$12,'ADR Primary Data'!$F$2:$F$12,$A15,'ADR Primary Data'!$C$2:$C$12,$A$12)/1000</f>
        <v>0</v>
      </c>
      <c r="U15" s="238">
        <f ca="1">SUMIFS('ADR Primary Data'!$CI$2:$CI$12,'ADR Primary Data'!$F$2:$F$12,$A15,'ADR Primary Data'!$C$2:$C$12,$A$12)/1000-T15</f>
        <v>0</v>
      </c>
      <c r="V15" s="773">
        <f ca="1">SUMIFS('ADR Primary Data'!$CI$2:$CI$12,'ADR Primary Data'!$F$2:$F$12,$A15,'ADR Primary Data'!$C$2:$C$12,$A$12)/1000</f>
        <v>0</v>
      </c>
      <c r="W15" s="195"/>
      <c r="X15" s="142"/>
    </row>
    <row r="16" spans="1:24">
      <c r="A16" s="183" t="s">
        <v>401</v>
      </c>
      <c r="B16" s="819">
        <f ca="1">SUM(B14:B15)</f>
        <v>148.48051919014233</v>
      </c>
      <c r="C16" s="799">
        <f t="shared" ref="C16:V16" ca="1" si="0">SUM(C14:C15)</f>
        <v>4.7601765138889673</v>
      </c>
      <c r="D16" s="239">
        <f t="shared" ca="1" si="0"/>
        <v>0</v>
      </c>
      <c r="E16" s="239">
        <f t="shared" ca="1" si="0"/>
        <v>63.937809186869707</v>
      </c>
      <c r="F16" s="239">
        <f t="shared" ca="1" si="0"/>
        <v>77.734104427107468</v>
      </c>
      <c r="G16" s="1227">
        <f ca="1">SUM(G14:G15)</f>
        <v>0</v>
      </c>
      <c r="H16" s="239">
        <f t="shared" ca="1" si="0"/>
        <v>0</v>
      </c>
      <c r="I16" s="239">
        <f t="shared" ca="1" si="0"/>
        <v>0</v>
      </c>
      <c r="J16" s="239">
        <f t="shared" ca="1" si="0"/>
        <v>0</v>
      </c>
      <c r="K16" s="813">
        <f t="shared" ca="1" si="0"/>
        <v>0</v>
      </c>
      <c r="L16" s="239">
        <f t="shared" ca="1" si="0"/>
        <v>2.0484290622761967</v>
      </c>
      <c r="M16" s="810">
        <f t="shared" ca="1" si="0"/>
        <v>148.48051919014236</v>
      </c>
      <c r="N16" s="239">
        <f t="shared" ca="1" si="0"/>
        <v>0</v>
      </c>
      <c r="O16" s="239">
        <f t="shared" ca="1" si="0"/>
        <v>0</v>
      </c>
      <c r="P16" s="239">
        <f t="shared" ca="1" si="0"/>
        <v>0</v>
      </c>
      <c r="Q16" s="799">
        <f t="shared" ca="1" si="0"/>
        <v>0</v>
      </c>
      <c r="R16" s="800">
        <f t="shared" ca="1" si="0"/>
        <v>0</v>
      </c>
      <c r="S16" s="810">
        <f t="shared" ca="1" si="0"/>
        <v>148.48051919014233</v>
      </c>
      <c r="T16" s="809">
        <f t="shared" ca="1" si="0"/>
        <v>0</v>
      </c>
      <c r="U16" s="246">
        <f t="shared" ca="1" si="0"/>
        <v>0</v>
      </c>
      <c r="V16" s="247">
        <f t="shared" ca="1" si="0"/>
        <v>0</v>
      </c>
      <c r="W16" s="195"/>
      <c r="X16" s="142"/>
    </row>
    <row r="17" spans="1:24">
      <c r="A17" s="182"/>
      <c r="B17" s="819"/>
      <c r="C17" s="801"/>
      <c r="D17" s="240"/>
      <c r="E17" s="240"/>
      <c r="F17" s="240"/>
      <c r="G17" s="1228"/>
      <c r="H17" s="240"/>
      <c r="I17" s="240"/>
      <c r="J17" s="240"/>
      <c r="K17" s="814"/>
      <c r="L17" s="240"/>
      <c r="M17" s="810"/>
      <c r="N17" s="240"/>
      <c r="O17" s="240"/>
      <c r="P17" s="240"/>
      <c r="Q17" s="801"/>
      <c r="R17" s="802"/>
      <c r="S17" s="810"/>
      <c r="T17" s="801"/>
      <c r="U17" s="240"/>
      <c r="V17" s="247"/>
      <c r="W17" s="195"/>
      <c r="X17" s="142"/>
    </row>
    <row r="18" spans="1:24">
      <c r="A18" s="125" t="s">
        <v>299</v>
      </c>
      <c r="B18" s="819"/>
      <c r="C18" s="801"/>
      <c r="D18" s="240"/>
      <c r="E18" s="240"/>
      <c r="F18" s="240"/>
      <c r="G18" s="1228"/>
      <c r="H18" s="240"/>
      <c r="I18" s="240"/>
      <c r="J18" s="240"/>
      <c r="K18" s="814"/>
      <c r="L18" s="240"/>
      <c r="M18" s="810"/>
      <c r="N18" s="240"/>
      <c r="O18" s="240"/>
      <c r="P18" s="240"/>
      <c r="Q18" s="801"/>
      <c r="R18" s="802"/>
      <c r="S18" s="810"/>
      <c r="T18" s="801"/>
      <c r="U18" s="240"/>
      <c r="V18" s="247"/>
      <c r="W18" s="195"/>
      <c r="X18" s="142"/>
    </row>
    <row r="19" spans="1:24">
      <c r="A19" s="783" t="s">
        <v>903</v>
      </c>
      <c r="B19" s="818">
        <f ca="1">SUMIFS('ADR Primary Data'!$CL$2:$CL$12,'ADR Primary Data'!$F$2:$F$12,$A19,'ADR Primary Data'!$C$2:$C$12,$A$12)/1000</f>
        <v>742.40259595071177</v>
      </c>
      <c r="C19" s="798">
        <f ca="1">SUMIFS('ADR Primary Data'!$BN$2:$BN$12,'ADR Primary Data'!$F$2:$F$12,$A19,'ADR Primary Data'!$C$2:$C$12,$A$12)/1000+SUMIFS('ADR Primary Data'!$BQ$2:$BQ$12,'ADR Primary Data'!$F$2:$F$12,$A19,'ADR Primary Data'!$C$2:$C$12,$A$12)/1000</f>
        <v>23.800882569444838</v>
      </c>
      <c r="D19" s="237">
        <f ca="1">SUMIFS('ADR Primary Data'!$BO$2:$BO$12,'ADR Primary Data'!$F$2:$F$12,$A19,'ADR Primary Data'!$C$2:$C$12,$A$12)/1000</f>
        <v>0</v>
      </c>
      <c r="E19" s="237">
        <f ca="1">SUMIFS('ADR Primary Data'!$BS$2:$BS$12,'ADR Primary Data'!$F$2:$F$12,$A19,'ADR Primary Data'!$C$2:$C$12,$A$12)/1000+SUMIFS('ADR Primary Data'!$BR$2:$BR$12,'ADR Primary Data'!$F$2:$F$12,$A19,'ADR Primary Data'!$C$2:$C$12,$A$12)/1000</f>
        <v>319.68904593434854</v>
      </c>
      <c r="F19" s="237">
        <f ca="1">SUMIFS('ADR Primary Data'!$BT$2:$BT$12,'ADR Primary Data'!$F$2:$F$12,$A19,'ADR Primary Data'!$C$2:$C$12,$A$12)/1000</f>
        <v>388.67052213553734</v>
      </c>
      <c r="G19" s="1226">
        <f ca="1">SUMIFS('ADR Primary Data'!$BK$2:$BK$12,'ADR Primary Data'!$F$2:$F$12,$A19,'ADR Primary Data'!$C$2:$C$12,$A$12)/1000</f>
        <v>0</v>
      </c>
      <c r="H19" s="237">
        <f ca="1">SUMIFS('ADR Primary Data'!$BG$2:$BG$12,'ADR Primary Data'!$F$2:$F$12,$A19,'ADR Primary Data'!$C$2:$C$12,$A$12)/1000</f>
        <v>0</v>
      </c>
      <c r="I19" s="237">
        <f ca="1">SUMIFS('ADR Primary Data'!$BH$2:$BH$12,'ADR Primary Data'!$F$2:$F$12,$A19,'ADR Primary Data'!$C$2:$C$12,$A$12)/1000</f>
        <v>0</v>
      </c>
      <c r="J19" s="237">
        <f ca="1">SUMIFS('ADR Primary Data'!$BI$2:$BI$12,'ADR Primary Data'!$F$2:$F$12,$A19,'ADR Primary Data'!$C$2:$C$12,$A$12)/1000</f>
        <v>0</v>
      </c>
      <c r="K19" s="812">
        <f ca="1">SUMIFS('ADR Primary Data'!$BJ$2:$BJ$12,'ADR Primary Data'!$F$2:$F$12,$A19,'ADR Primary Data'!$C$2:$C$12,$A$12)/1000</f>
        <v>0</v>
      </c>
      <c r="L19" s="237">
        <f ca="1">SUMIFS('ADR Primary Data'!$BL$2:$BL$12,'ADR Primary Data'!$F$2:$F$12,$A19,'ADR Primary Data'!$C$2:$C$12,$A$12)/1000+SUMIFS('ADR Primary Data'!$BP$2:$BP$12,'ADR Primary Data'!$F$2:$F$12,$A19,'ADR Primary Data'!$C$2:$C$12,$A$12)/1000</f>
        <v>10.242145311380984</v>
      </c>
      <c r="M19" s="808">
        <f ca="1">SUM(C19:G19,L19)</f>
        <v>742.40259595071177</v>
      </c>
      <c r="N19" s="237">
        <f ca="1">SUMIFS('ADR Primary Data'!$BV$2:$BV$12,'ADR Primary Data'!$F$2:$F$12,$A19,'ADR Primary Data'!$C$2:$C$12,$A$12)/1000</f>
        <v>0</v>
      </c>
      <c r="O19" s="237">
        <f ca="1">SUMIFS('ADR Primary Data'!$BW$2:$BW$12,'ADR Primary Data'!$F$2:$F$12,$A19,'ADR Primary Data'!$C$2:$C$12,$A$12)/1000</f>
        <v>0</v>
      </c>
      <c r="P19" s="238">
        <f ca="1">N19+O19</f>
        <v>0</v>
      </c>
      <c r="Q19" s="798">
        <f ca="1">SUMIFS('ADR Primary Data'!$CQ$2:$CQ$12,'ADR Primary Data'!$F$2:$F$12,$A19,'ADR Primary Data'!$C$2:$C$12,$A$12)/1000+P19</f>
        <v>0</v>
      </c>
      <c r="R19" s="805">
        <f ca="1">SUMIFS('ADR Primary Data'!$CE$2:$CE$12,'ADR Primary Data'!$F$2:$F$12,$A19,'ADR Primary Data'!$C$2:$C$12,$A$12)/1000</f>
        <v>0</v>
      </c>
      <c r="S19" s="808">
        <f ca="1">SUMIFS('ADR Primary Data'!$CG$2:$CG$12,'ADR Primary Data'!$F$2:$F$12,$A19,'ADR Primary Data'!$C$2:$C$12,$A$12)/1000</f>
        <v>742.40259595071177</v>
      </c>
      <c r="T19" s="807">
        <f ca="1">SUMIFS('ADR Primary Data'!$CH$2:$CH$12,'ADR Primary Data'!$F$2:$F$12,$A19,'ADR Primary Data'!$C$2:$C$12,$A$12)/1000</f>
        <v>0</v>
      </c>
      <c r="U19" s="238">
        <f ca="1">SUMIFS('ADR Primary Data'!$CI$2:$CI$12,'ADR Primary Data'!$F$2:$F$12,$A19,'ADR Primary Data'!$C$2:$C$12,$A$12)/1000-T19</f>
        <v>0</v>
      </c>
      <c r="V19" s="773">
        <f ca="1">SUMIFS('ADR Primary Data'!$CI$2:$CI$12,'ADR Primary Data'!$F$2:$F$12,$A19,'ADR Primary Data'!$C$2:$C$12,$A$12)/1000</f>
        <v>0</v>
      </c>
      <c r="W19" s="195"/>
      <c r="X19" s="142"/>
    </row>
    <row r="20" spans="1:24">
      <c r="A20" s="183" t="s">
        <v>403</v>
      </c>
      <c r="B20" s="819">
        <f t="shared" ref="B20:V20" ca="1" si="1">SUM(B19:B19)</f>
        <v>742.40259595071177</v>
      </c>
      <c r="C20" s="799">
        <f t="shared" ca="1" si="1"/>
        <v>23.800882569444838</v>
      </c>
      <c r="D20" s="239">
        <f t="shared" ca="1" si="1"/>
        <v>0</v>
      </c>
      <c r="E20" s="239">
        <f t="shared" ca="1" si="1"/>
        <v>319.68904593434854</v>
      </c>
      <c r="F20" s="239">
        <f t="shared" ca="1" si="1"/>
        <v>388.67052213553734</v>
      </c>
      <c r="G20" s="1227">
        <f ca="1">SUM(G19:G19)</f>
        <v>0</v>
      </c>
      <c r="H20" s="239">
        <f t="shared" ca="1" si="1"/>
        <v>0</v>
      </c>
      <c r="I20" s="239">
        <f t="shared" ca="1" si="1"/>
        <v>0</v>
      </c>
      <c r="J20" s="239">
        <f t="shared" ca="1" si="1"/>
        <v>0</v>
      </c>
      <c r="K20" s="813">
        <f t="shared" ca="1" si="1"/>
        <v>0</v>
      </c>
      <c r="L20" s="239">
        <f t="shared" ca="1" si="1"/>
        <v>10.242145311380984</v>
      </c>
      <c r="M20" s="810">
        <f t="shared" ca="1" si="1"/>
        <v>742.40259595071177</v>
      </c>
      <c r="N20" s="239">
        <f t="shared" ca="1" si="1"/>
        <v>0</v>
      </c>
      <c r="O20" s="239">
        <f t="shared" ca="1" si="1"/>
        <v>0</v>
      </c>
      <c r="P20" s="239">
        <f t="shared" ca="1" si="1"/>
        <v>0</v>
      </c>
      <c r="Q20" s="799">
        <f t="shared" ca="1" si="1"/>
        <v>0</v>
      </c>
      <c r="R20" s="800">
        <f t="shared" ca="1" si="1"/>
        <v>0</v>
      </c>
      <c r="S20" s="810">
        <f t="shared" ca="1" si="1"/>
        <v>742.40259595071177</v>
      </c>
      <c r="T20" s="799">
        <f t="shared" ca="1" si="1"/>
        <v>0</v>
      </c>
      <c r="U20" s="239">
        <f t="shared" ca="1" si="1"/>
        <v>0</v>
      </c>
      <c r="V20" s="247">
        <f t="shared" ca="1" si="1"/>
        <v>0</v>
      </c>
      <c r="W20" s="195"/>
      <c r="X20" s="142"/>
    </row>
    <row r="21" spans="1:24">
      <c r="A21" s="182"/>
      <c r="B21" s="819"/>
      <c r="C21" s="801"/>
      <c r="D21" s="240"/>
      <c r="E21" s="240"/>
      <c r="F21" s="240"/>
      <c r="G21" s="1228"/>
      <c r="H21" s="240"/>
      <c r="I21" s="240"/>
      <c r="J21" s="240"/>
      <c r="K21" s="814"/>
      <c r="L21" s="240"/>
      <c r="M21" s="810"/>
      <c r="N21" s="240"/>
      <c r="O21" s="240"/>
      <c r="P21" s="240"/>
      <c r="Q21" s="801"/>
      <c r="R21" s="802"/>
      <c r="S21" s="810"/>
      <c r="T21" s="801"/>
      <c r="U21" s="240"/>
      <c r="V21" s="247"/>
      <c r="W21" s="195"/>
      <c r="X21" s="142"/>
    </row>
    <row r="22" spans="1:24" ht="15.75" thickBot="1">
      <c r="A22" s="249" t="s">
        <v>80</v>
      </c>
      <c r="B22" s="820">
        <f ca="1">B16+B20</f>
        <v>890.8831151408541</v>
      </c>
      <c r="C22" s="821">
        <f t="shared" ref="C22:V22" ca="1" si="2">C16+C20</f>
        <v>28.561059083333806</v>
      </c>
      <c r="D22" s="772">
        <f t="shared" ca="1" si="2"/>
        <v>0</v>
      </c>
      <c r="E22" s="772">
        <f t="shared" ca="1" si="2"/>
        <v>383.62685512121823</v>
      </c>
      <c r="F22" s="772">
        <f t="shared" ca="1" si="2"/>
        <v>466.40462656264481</v>
      </c>
      <c r="G22" s="1229">
        <f ca="1">G16+G20</f>
        <v>0</v>
      </c>
      <c r="H22" s="772">
        <f t="shared" ca="1" si="2"/>
        <v>0</v>
      </c>
      <c r="I22" s="772">
        <f t="shared" ca="1" si="2"/>
        <v>0</v>
      </c>
      <c r="J22" s="772">
        <f t="shared" ca="1" si="2"/>
        <v>0</v>
      </c>
      <c r="K22" s="822">
        <f t="shared" ca="1" si="2"/>
        <v>0</v>
      </c>
      <c r="L22" s="772">
        <f t="shared" ca="1" si="2"/>
        <v>12.290574373657181</v>
      </c>
      <c r="M22" s="823">
        <f t="shared" ca="1" si="2"/>
        <v>890.8831151408541</v>
      </c>
      <c r="N22" s="772">
        <f t="shared" ca="1" si="2"/>
        <v>0</v>
      </c>
      <c r="O22" s="772">
        <f t="shared" ca="1" si="2"/>
        <v>0</v>
      </c>
      <c r="P22" s="772">
        <f t="shared" ca="1" si="2"/>
        <v>0</v>
      </c>
      <c r="Q22" s="821">
        <f t="shared" ca="1" si="2"/>
        <v>0</v>
      </c>
      <c r="R22" s="824">
        <f t="shared" ca="1" si="2"/>
        <v>0</v>
      </c>
      <c r="S22" s="823">
        <f ca="1">S16+S20</f>
        <v>890.8831151408541</v>
      </c>
      <c r="T22" s="825">
        <f t="shared" ca="1" si="2"/>
        <v>0</v>
      </c>
      <c r="U22" s="770">
        <f t="shared" ca="1" si="2"/>
        <v>0</v>
      </c>
      <c r="V22" s="771">
        <f t="shared" ca="1" si="2"/>
        <v>0</v>
      </c>
      <c r="W22" s="195"/>
      <c r="X22" s="142"/>
    </row>
    <row r="23" spans="1:24" ht="16.5" thickBot="1">
      <c r="A23" s="1109">
        <f>Year2</f>
        <v>2025</v>
      </c>
      <c r="B23" s="1110"/>
      <c r="C23" s="1111"/>
      <c r="D23" s="1111"/>
      <c r="E23" s="1111"/>
      <c r="F23" s="1111"/>
      <c r="G23" s="1111"/>
      <c r="H23" s="1222"/>
      <c r="I23" s="1222"/>
      <c r="J23" s="1222"/>
      <c r="K23" s="1222"/>
      <c r="L23" s="1112"/>
      <c r="M23" s="1113"/>
      <c r="N23" s="1112"/>
      <c r="O23" s="1112"/>
      <c r="P23" s="1112"/>
      <c r="Q23" s="1112"/>
      <c r="R23" s="1112"/>
      <c r="S23" s="1113"/>
      <c r="T23" s="1112"/>
      <c r="U23" s="1112"/>
      <c r="V23" s="1114"/>
      <c r="W23" s="195"/>
      <c r="X23" s="142"/>
    </row>
    <row r="24" spans="1:24">
      <c r="A24" s="125" t="s">
        <v>298</v>
      </c>
      <c r="B24" s="843"/>
      <c r="C24" s="803"/>
      <c r="D24" s="126"/>
      <c r="E24" s="126"/>
      <c r="F24" s="126"/>
      <c r="G24" s="1225"/>
      <c r="H24" s="1223"/>
      <c r="I24" s="1223"/>
      <c r="J24" s="1223"/>
      <c r="K24" s="1224"/>
      <c r="L24" s="126"/>
      <c r="M24" s="815"/>
      <c r="N24" s="126"/>
      <c r="O24" s="126"/>
      <c r="P24" s="126"/>
      <c r="Q24" s="803"/>
      <c r="R24" s="804"/>
      <c r="S24" s="804"/>
      <c r="T24" s="803"/>
      <c r="U24" s="126"/>
      <c r="V24" s="127"/>
      <c r="W24" s="195"/>
      <c r="X24" s="142"/>
    </row>
    <row r="25" spans="1:24" hidden="1">
      <c r="A25" s="128" t="s">
        <v>268</v>
      </c>
      <c r="B25" s="818">
        <f ca="1">SUMIFS('ADR Primary Data'!$CK$2:$CK$12,'ADR Primary Data'!$F$2:$F$12,$A25,'ADR Primary Data'!$C$2:$C$12,$A$23)/1000</f>
        <v>0</v>
      </c>
      <c r="C25" s="798">
        <f ca="1">SUMIFS('ADR Primary Data'!$BN$2:$BN$12,'ADR Primary Data'!$F$2:$F$12,$A25,'ADR Primary Data'!$C$2:$C$12,$A$23)/1000+SUMIFS('ADR Primary Data'!$BQ$2:$BQ$12,'ADR Primary Data'!$F$2:$F$12,$A25,'ADR Primary Data'!$C$2:$C$12,$A$23)/1000</f>
        <v>0</v>
      </c>
      <c r="D25" s="237">
        <f ca="1">SUMIFS('ADR Primary Data'!$BO$2:$BO$12,'ADR Primary Data'!$F$2:$F$12,$A25,'ADR Primary Data'!$C$2:$C$12,$A$23)/1000</f>
        <v>0</v>
      </c>
      <c r="E25" s="237">
        <f ca="1">SUMIFS('ADR Primary Data'!$BS$2:$BS$12,'ADR Primary Data'!$F$2:$F$12,$A25,'ADR Primary Data'!$C$2:$C$12,$A$23)/1000+SUMIFS('ADR Primary Data'!$BR$2:$BR$12,'ADR Primary Data'!$F$2:$F$12,$A25,'ADR Primary Data'!$C$2:$C$12,$A$23)/1000</f>
        <v>0</v>
      </c>
      <c r="F25" s="237">
        <f ca="1">SUMIFS('ADR Primary Data'!$BT$2:$BT$12,'ADR Primary Data'!$F$2:$F$12,$A25,'ADR Primary Data'!$C$2:$C$12,$A$23)/1000</f>
        <v>0</v>
      </c>
      <c r="G25" s="1226">
        <f ca="1">SUMIFS('ADR Primary Data'!$BK$2:$BK$12,'ADR Primary Data'!$F$2:$F$12,$A25,'ADR Primary Data'!$C$2:$C$12,$A$23)/1000</f>
        <v>0</v>
      </c>
      <c r="H25" s="237">
        <f ca="1">SUMIFS('ADR Primary Data'!$BG$2:$BG$12,'ADR Primary Data'!$F$2:$F$12,$A25,'ADR Primary Data'!$C$2:$C$12,$A$23)/1000</f>
        <v>0</v>
      </c>
      <c r="I25" s="237">
        <f ca="1">SUMIFS('ADR Primary Data'!$BH$2:$BH$12,'ADR Primary Data'!$F$2:$F$12,$A25,'ADR Primary Data'!$C$2:$C$12,$A$23)/1000</f>
        <v>0</v>
      </c>
      <c r="J25" s="237">
        <f ca="1">SUMIFS('ADR Primary Data'!$BI$2:$BI$12,'ADR Primary Data'!$F$2:$F$12,$A25,'ADR Primary Data'!$C$2:$C$12,$A$23)/1000</f>
        <v>0</v>
      </c>
      <c r="K25" s="812">
        <f ca="1">SUMIFS('ADR Primary Data'!$BJ$2:$BJ$12,'ADR Primary Data'!$F$2:$F$12,$A25,'ADR Primary Data'!$C$2:$C$12,$A$23)/1000</f>
        <v>0</v>
      </c>
      <c r="L25" s="237">
        <f ca="1">SUMIFS('ADR Primary Data'!$BL$2:$BL$12,'ADR Primary Data'!$F$2:$F$12,$A25,'ADR Primary Data'!$C$2:$C$12,$A$23)/1000+SUMIFS('ADR Primary Data'!$BP$2:$BP$12,'ADR Primary Data'!$F$2:$F$12,$A25,'ADR Primary Data'!$C$2:$C$12,$A$23)/1000</f>
        <v>0</v>
      </c>
      <c r="M25" s="808">
        <f ca="1">SUM(C25:G25,L25)</f>
        <v>0</v>
      </c>
      <c r="N25" s="237">
        <f ca="1">SUMIFS('ADR Primary Data'!$BV$2:$BV$12,'ADR Primary Data'!$F$2:$F$12,$A25,'ADR Primary Data'!$C$2:$C$12,$A$23)/1000</f>
        <v>0</v>
      </c>
      <c r="O25" s="237">
        <f ca="1">SUMIFS('ADR Primary Data'!$BW$2:$BW$12,'ADR Primary Data'!$F$2:$F$12,$A25,'ADR Primary Data'!$C$2:$C$12,$A$23)/1000</f>
        <v>0</v>
      </c>
      <c r="P25" s="238">
        <f ca="1">N25+O25</f>
        <v>0</v>
      </c>
      <c r="Q25" s="842">
        <f ca="1">SUMIFS('ADR Primary Data'!$CQ$2:$CQ$12,'ADR Primary Data'!$F$2:$F$12,$A25,'ADR Primary Data'!$C$2:$C$12,$A$23)/1000+P25</f>
        <v>0</v>
      </c>
      <c r="R25" s="805">
        <f ca="1">SUMIFS('ADR Primary Data'!$CE$2:$CE$12,'ADR Primary Data'!$F$2:$F$12,$A25,'ADR Primary Data'!$C$2:$C$12,$A$23)/1000</f>
        <v>0</v>
      </c>
      <c r="S25" s="808">
        <f ca="1">SUMIFS('ADR Primary Data'!$CG$2:$CG$12,'ADR Primary Data'!$F$2:$F$12,$A25,'ADR Primary Data'!$C$2:$C$12,$A$23)/1000</f>
        <v>0</v>
      </c>
      <c r="T25" s="807">
        <f ca="1">SUMIFS('ADR Primary Data'!$CH$2:$CH$12,'ADR Primary Data'!$F$2:$F$12,$A25,'ADR Primary Data'!$C$2:$C$12,$A$23)/1000</f>
        <v>0</v>
      </c>
      <c r="U25" s="238">
        <f ca="1">SUMIFS('ADR Primary Data'!$CI$2:$CI$12,'ADR Primary Data'!$F$2:$F$12,$A25,'ADR Primary Data'!$C$2:$C$12,$A$23)/1000-T25</f>
        <v>0</v>
      </c>
      <c r="V25" s="773">
        <f ca="1">SUMIFS('ADR Primary Data'!$CI$2:$CI$12,'ADR Primary Data'!$F$2:$F$12,$A25,'ADR Primary Data'!$C$2:$C$12,$A$23)/1000</f>
        <v>0</v>
      </c>
      <c r="W25" s="195"/>
      <c r="X25" s="142"/>
    </row>
    <row r="26" spans="1:24">
      <c r="A26" s="783" t="s">
        <v>902</v>
      </c>
      <c r="B26" s="818">
        <f ca="1">SUMIFS('ADR Primary Data'!$CL$2:$CL$12,'ADR Primary Data'!$F$2:$F$12,$A26,'ADR Primary Data'!$C$2:$C$12,$A$23)/1000</f>
        <v>163.69496557771467</v>
      </c>
      <c r="C26" s="798">
        <f ca="1">SUMIFS('ADR Primary Data'!$BN$2:$BN$12,'ADR Primary Data'!$F$2:$F$12,$A26,'ADR Primary Data'!$C$2:$C$12,$A$23)/1000+SUMIFS('ADR Primary Data'!$BQ$2:$BQ$12,'ADR Primary Data'!$F$2:$F$12,$A26,'ADR Primary Data'!$C$2:$C$12,$A$23)/1000</f>
        <v>5.4047645746006383</v>
      </c>
      <c r="D26" s="237">
        <f ca="1">SUMIFS('ADR Primary Data'!$BO$2:$BO$12,'ADR Primary Data'!$F$2:$F$12,$A26,'ADR Primary Data'!$C$2:$C$12,$A$23)/1000</f>
        <v>0</v>
      </c>
      <c r="E26" s="237">
        <f ca="1">SUMIFS('ADR Primary Data'!$BS$2:$BS$12,'ADR Primary Data'!$F$2:$F$12,$A26,'ADR Primary Data'!$C$2:$C$12,$A$23)/1000+SUMIFS('ADR Primary Data'!$BR$2:$BR$12,'ADR Primary Data'!$F$2:$F$12,$A26,'ADR Primary Data'!$C$2:$C$12,$A$23)/1000</f>
        <v>70.4038324125586</v>
      </c>
      <c r="F26" s="237">
        <f ca="1">SUMIFS('ADR Primary Data'!$BT$2:$BT$12,'ADR Primary Data'!$F$2:$F$12,$A26,'ADR Primary Data'!$C$2:$C$12,$A$23)/1000</f>
        <v>85.595345389943304</v>
      </c>
      <c r="G26" s="1226">
        <f ca="1">SUMIFS('ADR Primary Data'!$BK$2:$BK$12,'ADR Primary Data'!$F$2:$F$12,$A26,'ADR Primary Data'!$C$2:$C$12,$A$23)/1000</f>
        <v>0</v>
      </c>
      <c r="H26" s="237">
        <f ca="1">SUMIFS('ADR Primary Data'!$BG$2:$BG$12,'ADR Primary Data'!$F$2:$F$12,$A26,'ADR Primary Data'!$C$2:$C$12,$A$23)/1000</f>
        <v>0</v>
      </c>
      <c r="I26" s="237">
        <f ca="1">SUMIFS('ADR Primary Data'!$BH$2:$BH$12,'ADR Primary Data'!$F$2:$F$12,$A26,'ADR Primary Data'!$C$2:$C$12,$A$23)/1000</f>
        <v>0</v>
      </c>
      <c r="J26" s="237">
        <f ca="1">SUMIFS('ADR Primary Data'!$BI$2:$BI$12,'ADR Primary Data'!$F$2:$F$12,$A26,'ADR Primary Data'!$C$2:$C$12,$A$23)/1000</f>
        <v>0</v>
      </c>
      <c r="K26" s="812">
        <f ca="1">SUMIFS('ADR Primary Data'!$BJ$2:$BJ$12,'ADR Primary Data'!$F$2:$F$12,$A26,'ADR Primary Data'!$C$2:$C$12,$A$23)/1000</f>
        <v>0</v>
      </c>
      <c r="L26" s="237">
        <f ca="1">SUMIFS('ADR Primary Data'!$BL$2:$BL$12,'ADR Primary Data'!$F$2:$F$12,$A26,'ADR Primary Data'!$C$2:$C$12,$A$23)/1000+SUMIFS('ADR Primary Data'!$BP$2:$BP$12,'ADR Primary Data'!$F$2:$F$12,$A26,'ADR Primary Data'!$C$2:$C$12,$A$23)/1000</f>
        <v>2.2910232006121487</v>
      </c>
      <c r="M26" s="808">
        <f ca="1">SUM(C26:G26,L26)</f>
        <v>163.6949655777147</v>
      </c>
      <c r="N26" s="237">
        <f ca="1">SUMIFS('ADR Primary Data'!$BV$2:$BV$12,'ADR Primary Data'!$F$2:$F$12,$A26,'ADR Primary Data'!$C$2:$C$12,$A$23)/1000</f>
        <v>0</v>
      </c>
      <c r="O26" s="237">
        <f ca="1">SUMIFS('ADR Primary Data'!$BW$2:$BW$12,'ADR Primary Data'!$F$2:$F$12,$A26,'ADR Primary Data'!$C$2:$C$12,$A$23)/1000</f>
        <v>0</v>
      </c>
      <c r="P26" s="238">
        <f ca="1">N26+O26</f>
        <v>0</v>
      </c>
      <c r="Q26" s="842">
        <f ca="1">SUMIFS('ADR Primary Data'!$CQ$2:$CQ$12,'ADR Primary Data'!$F$2:$F$12,$A26,'ADR Primary Data'!$C$2:$C$12,$A$23)/1000+P26</f>
        <v>0</v>
      </c>
      <c r="R26" s="805">
        <f ca="1">SUMIFS('ADR Primary Data'!$CE$2:$CE$12,'ADR Primary Data'!$F$2:$F$12,$A26,'ADR Primary Data'!$C$2:$C$12,$A$23)/1000</f>
        <v>0</v>
      </c>
      <c r="S26" s="808">
        <f ca="1">SUMIFS('ADR Primary Data'!$CG$2:$CG$12,'ADR Primary Data'!$F$2:$F$12,$A26,'ADR Primary Data'!$C$2:$C$12,$A$23)/1000</f>
        <v>163.69496557771467</v>
      </c>
      <c r="T26" s="807">
        <f ca="1">SUMIFS('ADR Primary Data'!$CH$2:$CH$12,'ADR Primary Data'!$F$2:$F$12,$A26,'ADR Primary Data'!$C$2:$C$12,$A$23)/1000</f>
        <v>0</v>
      </c>
      <c r="U26" s="238">
        <f ca="1">SUMIFS('ADR Primary Data'!$CI$2:$CI$12,'ADR Primary Data'!$F$2:$F$12,$A26,'ADR Primary Data'!$C$2:$C$12,$A$23)/1000-T26</f>
        <v>0</v>
      </c>
      <c r="V26" s="773">
        <f ca="1">SUMIFS('ADR Primary Data'!$CI$2:$CI$12,'ADR Primary Data'!$F$2:$F$12,$A26,'ADR Primary Data'!$C$2:$C$12,$A$23)/1000</f>
        <v>0</v>
      </c>
      <c r="W26" s="195"/>
      <c r="X26" s="142"/>
    </row>
    <row r="27" spans="1:24">
      <c r="A27" s="183" t="s">
        <v>401</v>
      </c>
      <c r="B27" s="819">
        <f t="shared" ref="B27:V27" ca="1" si="3">SUM(B25:B26)</f>
        <v>163.69496557771467</v>
      </c>
      <c r="C27" s="799">
        <f t="shared" ca="1" si="3"/>
        <v>5.4047645746006383</v>
      </c>
      <c r="D27" s="239">
        <f t="shared" ca="1" si="3"/>
        <v>0</v>
      </c>
      <c r="E27" s="239">
        <f t="shared" ca="1" si="3"/>
        <v>70.4038324125586</v>
      </c>
      <c r="F27" s="239">
        <f t="shared" ca="1" si="3"/>
        <v>85.595345389943304</v>
      </c>
      <c r="G27" s="1227">
        <f ca="1">SUM(G25:G26)</f>
        <v>0</v>
      </c>
      <c r="H27" s="239">
        <f t="shared" ca="1" si="3"/>
        <v>0</v>
      </c>
      <c r="I27" s="239">
        <f t="shared" ca="1" si="3"/>
        <v>0</v>
      </c>
      <c r="J27" s="239">
        <f t="shared" ca="1" si="3"/>
        <v>0</v>
      </c>
      <c r="K27" s="813">
        <f t="shared" ca="1" si="3"/>
        <v>0</v>
      </c>
      <c r="L27" s="239">
        <f t="shared" ca="1" si="3"/>
        <v>2.2910232006121487</v>
      </c>
      <c r="M27" s="810">
        <f t="shared" ca="1" si="3"/>
        <v>163.6949655777147</v>
      </c>
      <c r="N27" s="239">
        <f t="shared" ca="1" si="3"/>
        <v>0</v>
      </c>
      <c r="O27" s="239">
        <f t="shared" ca="1" si="3"/>
        <v>0</v>
      </c>
      <c r="P27" s="239">
        <f t="shared" ca="1" si="3"/>
        <v>0</v>
      </c>
      <c r="Q27" s="799">
        <f t="shared" ca="1" si="3"/>
        <v>0</v>
      </c>
      <c r="R27" s="800">
        <f t="shared" ca="1" si="3"/>
        <v>0</v>
      </c>
      <c r="S27" s="810">
        <f t="shared" ca="1" si="3"/>
        <v>163.69496557771467</v>
      </c>
      <c r="T27" s="809">
        <f t="shared" ca="1" si="3"/>
        <v>0</v>
      </c>
      <c r="U27" s="246">
        <f t="shared" ca="1" si="3"/>
        <v>0</v>
      </c>
      <c r="V27" s="247">
        <f t="shared" ca="1" si="3"/>
        <v>0</v>
      </c>
      <c r="W27" s="195"/>
      <c r="X27" s="142"/>
    </row>
    <row r="28" spans="1:24">
      <c r="A28" s="182"/>
      <c r="B28" s="819"/>
      <c r="C28" s="801"/>
      <c r="D28" s="240"/>
      <c r="E28" s="240"/>
      <c r="F28" s="240"/>
      <c r="G28" s="1228"/>
      <c r="H28" s="240"/>
      <c r="I28" s="240"/>
      <c r="J28" s="240"/>
      <c r="K28" s="814"/>
      <c r="L28" s="240"/>
      <c r="M28" s="810"/>
      <c r="N28" s="240"/>
      <c r="O28" s="240"/>
      <c r="P28" s="240"/>
      <c r="Q28" s="801"/>
      <c r="R28" s="802"/>
      <c r="S28" s="810"/>
      <c r="T28" s="801"/>
      <c r="U28" s="240"/>
      <c r="V28" s="247"/>
      <c r="W28" s="195"/>
      <c r="X28" s="142"/>
    </row>
    <row r="29" spans="1:24">
      <c r="A29" s="125" t="s">
        <v>299</v>
      </c>
      <c r="B29" s="819"/>
      <c r="C29" s="801"/>
      <c r="D29" s="240"/>
      <c r="E29" s="240"/>
      <c r="F29" s="240"/>
      <c r="G29" s="1228"/>
      <c r="H29" s="240"/>
      <c r="I29" s="240"/>
      <c r="J29" s="240"/>
      <c r="K29" s="814"/>
      <c r="L29" s="240"/>
      <c r="M29" s="810"/>
      <c r="N29" s="240"/>
      <c r="O29" s="240"/>
      <c r="P29" s="240"/>
      <c r="Q29" s="801"/>
      <c r="R29" s="802"/>
      <c r="S29" s="810"/>
      <c r="T29" s="801"/>
      <c r="U29" s="240"/>
      <c r="V29" s="247"/>
      <c r="W29" s="195"/>
      <c r="X29" s="142"/>
    </row>
    <row r="30" spans="1:24">
      <c r="A30" s="783" t="s">
        <v>903</v>
      </c>
      <c r="B30" s="818">
        <f ca="1">SUMIFS('ADR Primary Data'!$CL$2:$CL$12,'ADR Primary Data'!$F$2:$F$12,$A30,'ADR Primary Data'!$C$2:$C$12,$A$23)/1000</f>
        <v>818.47482788857349</v>
      </c>
      <c r="C30" s="798">
        <f ca="1">SUMIFS('ADR Primary Data'!$BN$2:$BN$12,'ADR Primary Data'!$F$2:$F$12,$A30,'ADR Primary Data'!$C$2:$C$12,$A$23)/1000+SUMIFS('ADR Primary Data'!$BQ$2:$BQ$12,'ADR Primary Data'!$F$2:$F$12,$A30,'ADR Primary Data'!$C$2:$C$12,$A$23)/1000</f>
        <v>27.023822873003191</v>
      </c>
      <c r="D30" s="237">
        <f ca="1">SUMIFS('ADR Primary Data'!$BO$2:$BO$12,'ADR Primary Data'!$F$2:$F$12,$A30,'ADR Primary Data'!$C$2:$C$12,$A$23)/1000</f>
        <v>0</v>
      </c>
      <c r="E30" s="237">
        <f ca="1">SUMIFS('ADR Primary Data'!$BS$2:$BS$12,'ADR Primary Data'!$F$2:$F$12,$A30,'ADR Primary Data'!$C$2:$C$12,$A$23)/1000+SUMIFS('ADR Primary Data'!$BR$2:$BR$12,'ADR Primary Data'!$F$2:$F$12,$A30,'ADR Primary Data'!$C$2:$C$12,$A$23)/1000</f>
        <v>352.01916206279299</v>
      </c>
      <c r="F30" s="237">
        <f ca="1">SUMIFS('ADR Primary Data'!$BT$2:$BT$12,'ADR Primary Data'!$F$2:$F$12,$A30,'ADR Primary Data'!$C$2:$C$12,$A$23)/1000</f>
        <v>427.97672694971658</v>
      </c>
      <c r="G30" s="1226">
        <f ca="1">SUMIFS('ADR Primary Data'!$BK$2:$BK$12,'ADR Primary Data'!$F$2:$F$12,$A30,'ADR Primary Data'!$C$2:$C$12,$A$23)/1000</f>
        <v>0</v>
      </c>
      <c r="H30" s="237">
        <f ca="1">SUMIFS('ADR Primary Data'!$BG$2:$BG$12,'ADR Primary Data'!$F$2:$F$12,$A30,'ADR Primary Data'!$C$2:$C$12,$A$23)/1000</f>
        <v>0</v>
      </c>
      <c r="I30" s="237">
        <f ca="1">SUMIFS('ADR Primary Data'!$BH$2:$BH$12,'ADR Primary Data'!$F$2:$F$12,$A30,'ADR Primary Data'!$C$2:$C$12,$A$23)/1000</f>
        <v>0</v>
      </c>
      <c r="J30" s="237">
        <f ca="1">SUMIFS('ADR Primary Data'!$BI$2:$BI$12,'ADR Primary Data'!$F$2:$F$12,$A30,'ADR Primary Data'!$C$2:$C$12,$A$23)/1000</f>
        <v>0</v>
      </c>
      <c r="K30" s="812">
        <f ca="1">SUMIFS('ADR Primary Data'!$BJ$2:$BJ$12,'ADR Primary Data'!$F$2:$F$12,$A30,'ADR Primary Data'!$C$2:$C$12,$A$23)/1000</f>
        <v>0</v>
      </c>
      <c r="L30" s="237">
        <f ca="1">SUMIFS('ADR Primary Data'!$BL$2:$BL$12,'ADR Primary Data'!$F$2:$F$12,$A30,'ADR Primary Data'!$C$2:$C$12,$A$23)/1000+SUMIFS('ADR Primary Data'!$BP$2:$BP$12,'ADR Primary Data'!$F$2:$F$12,$A30,'ADR Primary Data'!$C$2:$C$12,$A$23)/1000</f>
        <v>11.455116003060745</v>
      </c>
      <c r="M30" s="808">
        <f ca="1">SUM(C30:G30,L30)</f>
        <v>818.4748278885736</v>
      </c>
      <c r="N30" s="237">
        <f ca="1">SUMIFS('ADR Primary Data'!$BV$2:$BV$12,'ADR Primary Data'!$F$2:$F$12,$A30,'ADR Primary Data'!$C$2:$C$12,$A$23)/1000</f>
        <v>0</v>
      </c>
      <c r="O30" s="237">
        <f ca="1">SUMIFS('ADR Primary Data'!$BW$2:$BW$12,'ADR Primary Data'!$F$2:$F$12,$A30,'ADR Primary Data'!$C$2:$C$12,$A$23)/1000</f>
        <v>0</v>
      </c>
      <c r="P30" s="238">
        <f ca="1">N30+O30</f>
        <v>0</v>
      </c>
      <c r="Q30" s="798">
        <f ca="1">SUMIFS('ADR Primary Data'!$CQ$2:$CQ$12,'ADR Primary Data'!$F$2:$F$12,$A30,'ADR Primary Data'!$C$2:$C$12,$A$23)/1000+P30</f>
        <v>0</v>
      </c>
      <c r="R30" s="805">
        <f ca="1">SUMIFS('ADR Primary Data'!$CE$2:$CE$12,'ADR Primary Data'!$F$2:$F$12,$A30,'ADR Primary Data'!$C$2:$C$12,$A$23)/1000</f>
        <v>0</v>
      </c>
      <c r="S30" s="808">
        <f ca="1">SUMIFS('ADR Primary Data'!$CG$2:$CG$12,'ADR Primary Data'!$F$2:$F$12,$A30,'ADR Primary Data'!$C$2:$C$12,$A$23)/1000</f>
        <v>818.47482788857349</v>
      </c>
      <c r="T30" s="807">
        <f ca="1">SUMIFS('ADR Primary Data'!$CH$2:$CH$12,'ADR Primary Data'!$F$2:$F$12,$A30,'ADR Primary Data'!$C$2:$C$12,$A$23)/1000</f>
        <v>0</v>
      </c>
      <c r="U30" s="238">
        <f ca="1">SUMIFS('ADR Primary Data'!$CI$2:$CI$12,'ADR Primary Data'!$F$2:$F$12,$A30,'ADR Primary Data'!$C$2:$C$12,$A$23)/1000-T30</f>
        <v>0</v>
      </c>
      <c r="V30" s="773">
        <f ca="1">SUMIFS('ADR Primary Data'!$CI$2:$CI$12,'ADR Primary Data'!$F$2:$F$12,$A30,'ADR Primary Data'!$C$2:$C$12,$A$23)/1000</f>
        <v>0</v>
      </c>
      <c r="W30" s="195"/>
      <c r="X30" s="142"/>
    </row>
    <row r="31" spans="1:24">
      <c r="A31" s="183" t="s">
        <v>403</v>
      </c>
      <c r="B31" s="819">
        <f t="shared" ref="B31:V31" ca="1" si="4">SUM(B30:B30)</f>
        <v>818.47482788857349</v>
      </c>
      <c r="C31" s="799">
        <f t="shared" ca="1" si="4"/>
        <v>27.023822873003191</v>
      </c>
      <c r="D31" s="239">
        <f t="shared" ca="1" si="4"/>
        <v>0</v>
      </c>
      <c r="E31" s="239">
        <f t="shared" ca="1" si="4"/>
        <v>352.01916206279299</v>
      </c>
      <c r="F31" s="239">
        <f t="shared" ca="1" si="4"/>
        <v>427.97672694971658</v>
      </c>
      <c r="G31" s="1227">
        <f ca="1">SUM(G30:G30)</f>
        <v>0</v>
      </c>
      <c r="H31" s="239">
        <f t="shared" ca="1" si="4"/>
        <v>0</v>
      </c>
      <c r="I31" s="239">
        <f t="shared" ca="1" si="4"/>
        <v>0</v>
      </c>
      <c r="J31" s="239">
        <f t="shared" ca="1" si="4"/>
        <v>0</v>
      </c>
      <c r="K31" s="813">
        <f t="shared" ca="1" si="4"/>
        <v>0</v>
      </c>
      <c r="L31" s="239">
        <f t="shared" ca="1" si="4"/>
        <v>11.455116003060745</v>
      </c>
      <c r="M31" s="810">
        <f t="shared" ca="1" si="4"/>
        <v>818.4748278885736</v>
      </c>
      <c r="N31" s="239">
        <f t="shared" ca="1" si="4"/>
        <v>0</v>
      </c>
      <c r="O31" s="239">
        <f t="shared" ca="1" si="4"/>
        <v>0</v>
      </c>
      <c r="P31" s="239">
        <f t="shared" ca="1" si="4"/>
        <v>0</v>
      </c>
      <c r="Q31" s="799">
        <f t="shared" ca="1" si="4"/>
        <v>0</v>
      </c>
      <c r="R31" s="800">
        <f t="shared" ca="1" si="4"/>
        <v>0</v>
      </c>
      <c r="S31" s="810">
        <f t="shared" ca="1" si="4"/>
        <v>818.47482788857349</v>
      </c>
      <c r="T31" s="799">
        <f t="shared" ca="1" si="4"/>
        <v>0</v>
      </c>
      <c r="U31" s="239">
        <f t="shared" ca="1" si="4"/>
        <v>0</v>
      </c>
      <c r="V31" s="247">
        <f t="shared" ca="1" si="4"/>
        <v>0</v>
      </c>
      <c r="W31" s="195"/>
      <c r="X31" s="142"/>
    </row>
    <row r="32" spans="1:24">
      <c r="A32" s="182"/>
      <c r="B32" s="819"/>
      <c r="C32" s="801"/>
      <c r="D32" s="240"/>
      <c r="E32" s="240"/>
      <c r="F32" s="240"/>
      <c r="G32" s="1228"/>
      <c r="H32" s="240"/>
      <c r="I32" s="240"/>
      <c r="J32" s="240"/>
      <c r="K32" s="814"/>
      <c r="L32" s="240"/>
      <c r="M32" s="810"/>
      <c r="N32" s="240"/>
      <c r="O32" s="240"/>
      <c r="P32" s="240"/>
      <c r="Q32" s="801"/>
      <c r="R32" s="802"/>
      <c r="S32" s="810"/>
      <c r="T32" s="801"/>
      <c r="U32" s="240"/>
      <c r="V32" s="247"/>
      <c r="W32" s="195"/>
      <c r="X32" s="142"/>
    </row>
    <row r="33" spans="1:24" ht="15.75" thickBot="1">
      <c r="A33" s="249" t="s">
        <v>80</v>
      </c>
      <c r="B33" s="820">
        <f ca="1">B27+B31</f>
        <v>982.16979346628818</v>
      </c>
      <c r="C33" s="821">
        <f t="shared" ref="C33:V33" ca="1" si="5">C27+C31</f>
        <v>32.428587447603832</v>
      </c>
      <c r="D33" s="772">
        <f t="shared" ca="1" si="5"/>
        <v>0</v>
      </c>
      <c r="E33" s="772">
        <f t="shared" ca="1" si="5"/>
        <v>422.42299447535157</v>
      </c>
      <c r="F33" s="772">
        <f t="shared" ca="1" si="5"/>
        <v>513.57207233965983</v>
      </c>
      <c r="G33" s="1229">
        <f ca="1">G27+G31</f>
        <v>0</v>
      </c>
      <c r="H33" s="772">
        <f t="shared" ca="1" si="5"/>
        <v>0</v>
      </c>
      <c r="I33" s="772">
        <f t="shared" ca="1" si="5"/>
        <v>0</v>
      </c>
      <c r="J33" s="772">
        <f t="shared" ca="1" si="5"/>
        <v>0</v>
      </c>
      <c r="K33" s="822">
        <f t="shared" ca="1" si="5"/>
        <v>0</v>
      </c>
      <c r="L33" s="772">
        <f t="shared" ca="1" si="5"/>
        <v>13.746139203672893</v>
      </c>
      <c r="M33" s="823">
        <f t="shared" ca="1" si="5"/>
        <v>982.1697934662883</v>
      </c>
      <c r="N33" s="772">
        <f t="shared" ca="1" si="5"/>
        <v>0</v>
      </c>
      <c r="O33" s="772">
        <f t="shared" ca="1" si="5"/>
        <v>0</v>
      </c>
      <c r="P33" s="772">
        <f t="shared" ca="1" si="5"/>
        <v>0</v>
      </c>
      <c r="Q33" s="821">
        <f t="shared" ca="1" si="5"/>
        <v>0</v>
      </c>
      <c r="R33" s="824">
        <f t="shared" ca="1" si="5"/>
        <v>0</v>
      </c>
      <c r="S33" s="823">
        <f t="shared" ca="1" si="5"/>
        <v>982.16979346628818</v>
      </c>
      <c r="T33" s="825">
        <f t="shared" ca="1" si="5"/>
        <v>0</v>
      </c>
      <c r="U33" s="770">
        <f t="shared" ca="1" si="5"/>
        <v>0</v>
      </c>
      <c r="V33" s="771">
        <f t="shared" ca="1" si="5"/>
        <v>0</v>
      </c>
      <c r="W33" s="195"/>
      <c r="X33" s="142"/>
    </row>
    <row r="34" spans="1:24" ht="16.5" thickBot="1">
      <c r="A34" s="1109">
        <f>Year3</f>
        <v>2026</v>
      </c>
      <c r="B34" s="1110"/>
      <c r="C34" s="1111"/>
      <c r="D34" s="1111"/>
      <c r="E34" s="1111"/>
      <c r="F34" s="1111"/>
      <c r="G34" s="1111"/>
      <c r="H34" s="1222"/>
      <c r="I34" s="1222"/>
      <c r="J34" s="1222"/>
      <c r="K34" s="1222"/>
      <c r="L34" s="1112"/>
      <c r="M34" s="1113"/>
      <c r="N34" s="1112"/>
      <c r="O34" s="1112"/>
      <c r="P34" s="1112"/>
      <c r="Q34" s="1112"/>
      <c r="R34" s="1112"/>
      <c r="S34" s="1113"/>
      <c r="T34" s="1112"/>
      <c r="U34" s="1112"/>
      <c r="V34" s="1114"/>
      <c r="W34" s="195"/>
      <c r="X34" s="142"/>
    </row>
    <row r="35" spans="1:24">
      <c r="A35" s="125" t="s">
        <v>298</v>
      </c>
      <c r="B35" s="843"/>
      <c r="C35" s="803"/>
      <c r="D35" s="126"/>
      <c r="E35" s="126"/>
      <c r="F35" s="126"/>
      <c r="G35" s="1225"/>
      <c r="H35" s="1223"/>
      <c r="I35" s="1223"/>
      <c r="J35" s="1223"/>
      <c r="K35" s="1224"/>
      <c r="L35" s="126"/>
      <c r="M35" s="815"/>
      <c r="N35" s="126"/>
      <c r="O35" s="126"/>
      <c r="P35" s="126"/>
      <c r="Q35" s="803"/>
      <c r="R35" s="804"/>
      <c r="S35" s="804"/>
      <c r="T35" s="803"/>
      <c r="U35" s="126"/>
      <c r="V35" s="127"/>
      <c r="W35" s="195"/>
      <c r="X35" s="142"/>
    </row>
    <row r="36" spans="1:24" hidden="1">
      <c r="A36" s="128" t="s">
        <v>268</v>
      </c>
      <c r="B36" s="818">
        <f ca="1">SUMIFS('ADR Primary Data'!$CK$2:$CK$12,'ADR Primary Data'!$F$2:$F$12,$A36,'ADR Primary Data'!$C$2:$C$12,$A$34)/1000</f>
        <v>0</v>
      </c>
      <c r="C36" s="798">
        <f ca="1">SUMIFS('ADR Primary Data'!$BN$2:$BN$12,'ADR Primary Data'!$F$2:$F$12,$A36,'ADR Primary Data'!$C$2:$C$12,$A$34)/1000+SUMIFS('ADR Primary Data'!$BQ$2:$BQ$12,'ADR Primary Data'!$F$2:$F$12,$A36,'ADR Primary Data'!$C$2:$C$12,$A$34)/1000</f>
        <v>0</v>
      </c>
      <c r="D36" s="237">
        <f ca="1">SUMIFS('ADR Primary Data'!$BO$2:$BO$12,'ADR Primary Data'!$F$2:$F$12,$A36,'ADR Primary Data'!$C$2:$C$12,$A$34)/1000</f>
        <v>0</v>
      </c>
      <c r="E36" s="237">
        <f ca="1">SUMIFS('ADR Primary Data'!$BS$2:$BS$12,'ADR Primary Data'!$F$2:$F$12,$A36,'ADR Primary Data'!$C$2:$C$12,$A$34)/1000+SUMIFS('ADR Primary Data'!$BR$2:$BR$12,'ADR Primary Data'!$F$2:$F$12,$A36,'ADR Primary Data'!$C$2:$C$12,$A$34)/1000</f>
        <v>0</v>
      </c>
      <c r="F36" s="237">
        <f ca="1">SUMIFS('ADR Primary Data'!$BT$2:$BT$12,'ADR Primary Data'!$F$2:$F$12,$A36,'ADR Primary Data'!$C$2:$C$12,$A$34)/1000</f>
        <v>0</v>
      </c>
      <c r="G36" s="1226">
        <f ca="1">SUMIFS('ADR Primary Data'!$BK$2:$BK$12,'ADR Primary Data'!$F$2:$F$12,$A36,'ADR Primary Data'!$C$2:$C$12,$A$34)/1000</f>
        <v>0</v>
      </c>
      <c r="H36" s="237">
        <f ca="1">SUMIFS('ADR Primary Data'!$BG$2:$BG$12,'ADR Primary Data'!$F$2:$F$12,$A36,'ADR Primary Data'!$C$2:$C$12,$A$34)/1000</f>
        <v>0</v>
      </c>
      <c r="I36" s="237">
        <f ca="1">SUMIFS('ADR Primary Data'!$BH$2:$BH$12,'ADR Primary Data'!$F$2:$F$12,$A36,'ADR Primary Data'!$C$2:$C$12,$A$34)/1000</f>
        <v>0</v>
      </c>
      <c r="J36" s="237">
        <f ca="1">SUMIFS('ADR Primary Data'!$BI$2:$BI$12,'ADR Primary Data'!$F$2:$F$12,$A36,'ADR Primary Data'!$C$2:$C$12,$A$34)/1000</f>
        <v>0</v>
      </c>
      <c r="K36" s="812">
        <f ca="1">SUMIFS('ADR Primary Data'!$BJ$2:$BJ$12,'ADR Primary Data'!$F$2:$F$12,$A36,'ADR Primary Data'!$C$2:$C$12,$A$34)/1000</f>
        <v>0</v>
      </c>
      <c r="L36" s="237">
        <f ca="1">SUMIFS('ADR Primary Data'!$BL$2:$BL$12,'ADR Primary Data'!$F$2:$F$12,$A36,'ADR Primary Data'!$C$2:$C$12,$A$34)/1000+SUMIFS('ADR Primary Data'!$BP$2:$BP$12,'ADR Primary Data'!$F$2:$F$12,$A36,'ADR Primary Data'!$C$2:$C$12,$A$34)/1000</f>
        <v>0</v>
      </c>
      <c r="M36" s="808">
        <f ca="1">SUM(C36:G36,L36)</f>
        <v>0</v>
      </c>
      <c r="N36" s="237">
        <f ca="1">SUMIFS('ADR Primary Data'!$BV$2:$BV$12,'ADR Primary Data'!$F$2:$F$12,$A36,'ADR Primary Data'!$C$2:$C$12,$A$34)/1000</f>
        <v>0</v>
      </c>
      <c r="O36" s="237">
        <f ca="1">SUMIFS('ADR Primary Data'!$BW$2:$BW$12,'ADR Primary Data'!$F$2:$F$12,$A36,'ADR Primary Data'!$C$2:$C$12,$A$34)/1000</f>
        <v>0</v>
      </c>
      <c r="P36" s="238">
        <f ca="1">N36+O36</f>
        <v>0</v>
      </c>
      <c r="Q36" s="842">
        <f ca="1">SUMIFS('ADR Primary Data'!$CQ$2:$CQ$12,'ADR Primary Data'!$F$2:$F$12,$A36,'ADR Primary Data'!$C$2:$C$12,$A$34)/1000+P36</f>
        <v>0</v>
      </c>
      <c r="R36" s="805">
        <f ca="1">SUMIFS('ADR Primary Data'!$CE$2:$CE$12,'ADR Primary Data'!$F$2:$F$12,$A36,'ADR Primary Data'!$C$2:$C$12,$A$34)/1000</f>
        <v>0</v>
      </c>
      <c r="S36" s="808">
        <f ca="1">SUMIFS('ADR Primary Data'!$CG$2:$CG$12,'ADR Primary Data'!$F$2:$F$12,$A36,'ADR Primary Data'!$C$2:$C$12,$A$34)/1000</f>
        <v>0</v>
      </c>
      <c r="T36" s="807">
        <f ca="1">SUMIFS('ADR Primary Data'!$CH$2:$CH$12,'ADR Primary Data'!$F$2:$F$12,$A36,'ADR Primary Data'!$C$2:$C$12,$A$34)/1000</f>
        <v>0</v>
      </c>
      <c r="U36" s="238">
        <f ca="1">SUMIFS('ADR Primary Data'!$CI$2:$CI$12,'ADR Primary Data'!$F$2:$F$12,$A36,'ADR Primary Data'!$C$2:$C$12,$A$34)/1000-T36</f>
        <v>0</v>
      </c>
      <c r="V36" s="773">
        <f ca="1">SUMIFS('ADR Primary Data'!$CI$2:$CI$12,'ADR Primary Data'!$F$2:$F$12,$A36,'ADR Primary Data'!$C$2:$C$12,$A$34)/1000</f>
        <v>0</v>
      </c>
      <c r="W36" s="195"/>
      <c r="X36" s="142"/>
    </row>
    <row r="37" spans="1:24">
      <c r="A37" s="783" t="s">
        <v>902</v>
      </c>
      <c r="B37" s="819">
        <f ca="1">SUMIFS('ADR Primary Data'!$CL$2:$CL$12,'ADR Primary Data'!$F$2:$F$12,$A37,'ADR Primary Data'!$C$2:$C$12,$A$34)/1000</f>
        <v>180.24941845645375</v>
      </c>
      <c r="C37" s="801">
        <f ca="1">SUMIFS('ADR Primary Data'!$BN$2:$BN$12,'ADR Primary Data'!$F$2:$F$12,$A37,'ADR Primary Data'!$C$2:$C$12,$A$34)/1000+SUMIFS('ADR Primary Data'!$BQ$2:$BQ$12,'ADR Primary Data'!$F$2:$F$12,$A37,'ADR Primary Data'!$C$2:$C$12,$A$34)/1000</f>
        <v>5.9513477890271478</v>
      </c>
      <c r="D37" s="240">
        <f ca="1">SUMIFS('ADR Primary Data'!$BO$2:$BO$12,'ADR Primary Data'!$F$2:$F$12,$A37,'ADR Primary Data'!$C$2:$C$12,$A$34)/1000</f>
        <v>0</v>
      </c>
      <c r="E37" s="240">
        <f ca="1">SUMIFS('ADR Primary Data'!$BS$2:$BS$12,'ADR Primary Data'!$F$2:$F$12,$A37,'ADR Primary Data'!$C$2:$C$12,$A$34)/1000+SUMIFS('ADR Primary Data'!$BR$2:$BR$12,'ADR Primary Data'!$F$2:$F$12,$A37,'ADR Primary Data'!$C$2:$C$12,$A$34)/1000</f>
        <v>77.523763816942676</v>
      </c>
      <c r="F37" s="240">
        <f ca="1">SUMIFS('ADR Primary Data'!$BT$2:$BT$12,'ADR Primary Data'!$F$2:$F$12,$A37,'ADR Primary Data'!$C$2:$C$12,$A$34)/1000</f>
        <v>94.251592739373805</v>
      </c>
      <c r="G37" s="1228">
        <f ca="1">SUMIFS('ADR Primary Data'!$BK$2:$BK$12,'ADR Primary Data'!$F$2:$F$12,$A37,'ADR Primary Data'!$C$2:$C$12,$A$34)/1000</f>
        <v>0</v>
      </c>
      <c r="H37" s="240">
        <f ca="1">SUMIFS('ADR Primary Data'!$BG$2:$BG$12,'ADR Primary Data'!$F$2:$F$12,$A37,'ADR Primary Data'!$C$2:$C$12,$A$34)/1000</f>
        <v>0</v>
      </c>
      <c r="I37" s="240">
        <f ca="1">SUMIFS('ADR Primary Data'!$BH$2:$BH$12,'ADR Primary Data'!$F$2:$F$12,$A37,'ADR Primary Data'!$C$2:$C$12,$A$34)/1000</f>
        <v>0</v>
      </c>
      <c r="J37" s="240">
        <f ca="1">SUMIFS('ADR Primary Data'!$BI$2:$BI$12,'ADR Primary Data'!$F$2:$F$12,$A37,'ADR Primary Data'!$C$2:$C$12,$A$34)/1000</f>
        <v>0</v>
      </c>
      <c r="K37" s="814">
        <f ca="1">SUMIFS('ADR Primary Data'!$BJ$2:$BJ$12,'ADR Primary Data'!$F$2:$F$12,$A37,'ADR Primary Data'!$C$2:$C$12,$A$34)/1000</f>
        <v>0</v>
      </c>
      <c r="L37" s="240">
        <f ca="1">SUMIFS('ADR Primary Data'!$BL$2:$BL$12,'ADR Primary Data'!$F$2:$F$12,$A37,'ADR Primary Data'!$C$2:$C$12,$A$34)/1000+SUMIFS('ADR Primary Data'!$BP$2:$BP$12,'ADR Primary Data'!$F$2:$F$12,$A37,'ADR Primary Data'!$C$2:$C$12,$A$34)/1000</f>
        <v>2.5227141111101008</v>
      </c>
      <c r="M37" s="808">
        <f ca="1">SUM(C37:G37,L37)</f>
        <v>180.24941845645375</v>
      </c>
      <c r="N37" s="240">
        <f ca="1">SUMIFS('ADR Primary Data'!$BV$2:$BV$12,'ADR Primary Data'!$F$2:$F$12,$A37,'ADR Primary Data'!$C$2:$C$12,$A$34)/1000</f>
        <v>0</v>
      </c>
      <c r="O37" s="240">
        <f ca="1">SUMIFS('ADR Primary Data'!$BW$2:$BW$12,'ADR Primary Data'!$F$2:$F$12,$A37,'ADR Primary Data'!$C$2:$C$12,$A$34)/1000</f>
        <v>0</v>
      </c>
      <c r="P37" s="715">
        <f ca="1">N37+O37</f>
        <v>0</v>
      </c>
      <c r="Q37" s="1166">
        <f ca="1">SUMIFS('ADR Primary Data'!$CQ$2:$CQ$12,'ADR Primary Data'!$F$2:$F$12,$A37,'ADR Primary Data'!$C$2:$C$12,$A$34)/1000+P37</f>
        <v>0</v>
      </c>
      <c r="R37" s="802">
        <f ca="1">SUMIFS('ADR Primary Data'!$CE$2:$CE$12,'ADR Primary Data'!$F$2:$F$12,$A37,'ADR Primary Data'!$C$2:$C$12,$A$34)/1000</f>
        <v>0</v>
      </c>
      <c r="S37" s="810">
        <f ca="1">SUMIFS('ADR Primary Data'!$CG$2:$CG$12,'ADR Primary Data'!$F$2:$F$12,$A37,'ADR Primary Data'!$C$2:$C$12,$A$34)/1000</f>
        <v>180.24941845645375</v>
      </c>
      <c r="T37" s="1167">
        <f ca="1">SUMIFS('ADR Primary Data'!$CH$2:$CH$12,'ADR Primary Data'!$F$2:$F$12,$A37,'ADR Primary Data'!$C$2:$C$12,$A$34)/1000</f>
        <v>0</v>
      </c>
      <c r="U37" s="715">
        <f ca="1">SUMIFS('ADR Primary Data'!$CI$2:$CI$12,'ADR Primary Data'!$F$2:$F$12,$A37,'ADR Primary Data'!$C$2:$C$12,$A$34)/1000-T37</f>
        <v>0</v>
      </c>
      <c r="V37" s="247">
        <f ca="1">SUMIFS('ADR Primary Data'!$CI$2:$CI$12,'ADR Primary Data'!$F$2:$F$12,$A37,'ADR Primary Data'!$C$2:$C$12,$A$34)/1000</f>
        <v>0</v>
      </c>
      <c r="W37" s="195"/>
      <c r="X37" s="142"/>
    </row>
    <row r="38" spans="1:24">
      <c r="A38" s="183" t="s">
        <v>401</v>
      </c>
      <c r="B38" s="819">
        <f t="shared" ref="B38:V38" ca="1" si="6">SUM(B36:B37)</f>
        <v>180.24941845645375</v>
      </c>
      <c r="C38" s="799">
        <f t="shared" ca="1" si="6"/>
        <v>5.9513477890271478</v>
      </c>
      <c r="D38" s="239">
        <f t="shared" ca="1" si="6"/>
        <v>0</v>
      </c>
      <c r="E38" s="239">
        <f t="shared" ca="1" si="6"/>
        <v>77.523763816942676</v>
      </c>
      <c r="F38" s="239">
        <f t="shared" ca="1" si="6"/>
        <v>94.251592739373805</v>
      </c>
      <c r="G38" s="1227">
        <f ca="1">SUM(G36:G37)</f>
        <v>0</v>
      </c>
      <c r="H38" s="239">
        <f t="shared" ca="1" si="6"/>
        <v>0</v>
      </c>
      <c r="I38" s="239">
        <f t="shared" ca="1" si="6"/>
        <v>0</v>
      </c>
      <c r="J38" s="239">
        <f t="shared" ca="1" si="6"/>
        <v>0</v>
      </c>
      <c r="K38" s="813">
        <f t="shared" ca="1" si="6"/>
        <v>0</v>
      </c>
      <c r="L38" s="239">
        <f t="shared" ca="1" si="6"/>
        <v>2.5227141111101008</v>
      </c>
      <c r="M38" s="810">
        <f t="shared" ca="1" si="6"/>
        <v>180.24941845645375</v>
      </c>
      <c r="N38" s="239">
        <f t="shared" ca="1" si="6"/>
        <v>0</v>
      </c>
      <c r="O38" s="239">
        <f t="shared" ca="1" si="6"/>
        <v>0</v>
      </c>
      <c r="P38" s="239">
        <f t="shared" ca="1" si="6"/>
        <v>0</v>
      </c>
      <c r="Q38" s="799">
        <f t="shared" ca="1" si="6"/>
        <v>0</v>
      </c>
      <c r="R38" s="800">
        <f t="shared" ca="1" si="6"/>
        <v>0</v>
      </c>
      <c r="S38" s="810">
        <f t="shared" ca="1" si="6"/>
        <v>180.24941845645375</v>
      </c>
      <c r="T38" s="809">
        <f t="shared" ca="1" si="6"/>
        <v>0</v>
      </c>
      <c r="U38" s="246">
        <f t="shared" ca="1" si="6"/>
        <v>0</v>
      </c>
      <c r="V38" s="247">
        <f t="shared" ca="1" si="6"/>
        <v>0</v>
      </c>
      <c r="W38" s="195"/>
      <c r="X38" s="142"/>
    </row>
    <row r="39" spans="1:24">
      <c r="A39" s="182"/>
      <c r="B39" s="819"/>
      <c r="C39" s="801"/>
      <c r="D39" s="240"/>
      <c r="E39" s="240"/>
      <c r="F39" s="240"/>
      <c r="G39" s="1228"/>
      <c r="H39" s="240"/>
      <c r="I39" s="240"/>
      <c r="J39" s="240"/>
      <c r="K39" s="814"/>
      <c r="L39" s="240"/>
      <c r="M39" s="810"/>
      <c r="N39" s="240"/>
      <c r="O39" s="240"/>
      <c r="P39" s="240"/>
      <c r="Q39" s="801"/>
      <c r="R39" s="802"/>
      <c r="S39" s="810"/>
      <c r="T39" s="801"/>
      <c r="U39" s="240"/>
      <c r="V39" s="247"/>
      <c r="W39" s="195"/>
      <c r="X39" s="142"/>
    </row>
    <row r="40" spans="1:24">
      <c r="A40" s="125" t="s">
        <v>299</v>
      </c>
      <c r="B40" s="819"/>
      <c r="C40" s="801"/>
      <c r="D40" s="240"/>
      <c r="E40" s="240"/>
      <c r="F40" s="240"/>
      <c r="G40" s="1228"/>
      <c r="H40" s="240"/>
      <c r="I40" s="240"/>
      <c r="J40" s="240"/>
      <c r="K40" s="814"/>
      <c r="L40" s="240"/>
      <c r="M40" s="810"/>
      <c r="N40" s="240"/>
      <c r="O40" s="240"/>
      <c r="P40" s="240"/>
      <c r="Q40" s="801"/>
      <c r="R40" s="802"/>
      <c r="S40" s="810"/>
      <c r="T40" s="801"/>
      <c r="U40" s="240"/>
      <c r="V40" s="247"/>
      <c r="W40" s="195"/>
      <c r="X40" s="142"/>
    </row>
    <row r="41" spans="1:24">
      <c r="A41" s="783" t="s">
        <v>903</v>
      </c>
      <c r="B41" s="818">
        <f ca="1">SUMIFS('ADR Primary Data'!$CL$2:$CL$12,'ADR Primary Data'!$F$2:$F$12,$A41,'ADR Primary Data'!$C$2:$C$12,$A$34)/1000</f>
        <v>901.24709228226868</v>
      </c>
      <c r="C41" s="798">
        <f ca="1">SUMIFS('ADR Primary Data'!$BN$2:$BN$12,'ADR Primary Data'!$F$2:$F$12,$A41,'ADR Primary Data'!$C$2:$C$12,$A$34)/1000+SUMIFS('ADR Primary Data'!$BQ$2:$BQ$12,'ADR Primary Data'!$F$2:$F$12,$A41,'ADR Primary Data'!$C$2:$C$12,$A$34)/1000</f>
        <v>29.756738945135737</v>
      </c>
      <c r="D41" s="237">
        <f ca="1">SUMIFS('ADR Primary Data'!$BO$2:$BO$12,'ADR Primary Data'!$F$2:$F$12,$A41,'ADR Primary Data'!$C$2:$C$12,$A$34)/1000</f>
        <v>0</v>
      </c>
      <c r="E41" s="237">
        <f ca="1">SUMIFS('ADR Primary Data'!$BS$2:$BS$12,'ADR Primary Data'!$F$2:$F$12,$A41,'ADR Primary Data'!$C$2:$C$12,$A$34)/1000+SUMIFS('ADR Primary Data'!$BR$2:$BR$12,'ADR Primary Data'!$F$2:$F$12,$A41,'ADR Primary Data'!$C$2:$C$12,$A$34)/1000</f>
        <v>387.61881908471338</v>
      </c>
      <c r="F41" s="237">
        <f ca="1">SUMIFS('ADR Primary Data'!$BT$2:$BT$12,'ADR Primary Data'!$F$2:$F$12,$A41,'ADR Primary Data'!$C$2:$C$12,$A$34)/1000</f>
        <v>471.25796369686907</v>
      </c>
      <c r="G41" s="1226">
        <f ca="1">SUMIFS('ADR Primary Data'!$BK$2:$BK$12,'ADR Primary Data'!$F$2:$F$12,$A41,'ADR Primary Data'!$C$2:$C$12,$A$34)/1000</f>
        <v>0</v>
      </c>
      <c r="H41" s="237">
        <f ca="1">SUMIFS('ADR Primary Data'!$BG$2:$BG$12,'ADR Primary Data'!$F$2:$F$12,$A41,'ADR Primary Data'!$C$2:$C$12,$A$34)/1000</f>
        <v>0</v>
      </c>
      <c r="I41" s="237">
        <f ca="1">SUMIFS('ADR Primary Data'!$BH$2:$BH$12,'ADR Primary Data'!$F$2:$F$12,$A41,'ADR Primary Data'!$C$2:$C$12,$A$34)/1000</f>
        <v>0</v>
      </c>
      <c r="J41" s="237">
        <f ca="1">SUMIFS('ADR Primary Data'!$BI$2:$BI$12,'ADR Primary Data'!$F$2:$F$12,$A41,'ADR Primary Data'!$C$2:$C$12,$A$34)/1000</f>
        <v>0</v>
      </c>
      <c r="K41" s="812">
        <f ca="1">SUMIFS('ADR Primary Data'!$BJ$2:$BJ$12,'ADR Primary Data'!$F$2:$F$12,$A41,'ADR Primary Data'!$C$2:$C$12,$A$34)/1000</f>
        <v>0</v>
      </c>
      <c r="L41" s="237">
        <f ca="1">SUMIFS('ADR Primary Data'!$BL$2:$BL$12,'ADR Primary Data'!$F$2:$F$12,$A41,'ADR Primary Data'!$C$2:$C$12,$A$34)/1000+SUMIFS('ADR Primary Data'!$BP$2:$BP$12,'ADR Primary Data'!$F$2:$F$12,$A41,'ADR Primary Data'!$C$2:$C$12,$A$34)/1000</f>
        <v>12.613570555550504</v>
      </c>
      <c r="M41" s="808">
        <f ca="1">SUM(C41:G41,L41)</f>
        <v>901.24709228226868</v>
      </c>
      <c r="N41" s="237">
        <f ca="1">SUMIFS('ADR Primary Data'!$BV$2:$BV$12,'ADR Primary Data'!$F$2:$F$12,$A41,'ADR Primary Data'!$C$2:$C$12,$A$34)/1000</f>
        <v>0</v>
      </c>
      <c r="O41" s="237">
        <f ca="1">SUMIFS('ADR Primary Data'!$BW$2:$BW$12,'ADR Primary Data'!$F$2:$F$12,$A41,'ADR Primary Data'!$C$2:$C$12,$A$34)/1000</f>
        <v>0</v>
      </c>
      <c r="P41" s="238">
        <f ca="1">N41+O41</f>
        <v>0</v>
      </c>
      <c r="Q41" s="798">
        <f ca="1">SUMIFS('ADR Primary Data'!$CQ$2:$CQ$12,'ADR Primary Data'!$F$2:$F$12,$A41,'ADR Primary Data'!$C$2:$C$12,$A$34)/1000+P41</f>
        <v>0</v>
      </c>
      <c r="R41" s="805">
        <f ca="1">SUMIFS('ADR Primary Data'!$CE$2:$CE$12,'ADR Primary Data'!$F$2:$F$12,$A41,'ADR Primary Data'!$C$2:$C$12,$A$34)/1000</f>
        <v>0</v>
      </c>
      <c r="S41" s="808">
        <f ca="1">SUMIFS('ADR Primary Data'!$CG$2:$CG$12,'ADR Primary Data'!$F$2:$F$12,$A41,'ADR Primary Data'!$C$2:$C$12,$A$34)/1000</f>
        <v>901.24709228226868</v>
      </c>
      <c r="T41" s="807">
        <f ca="1">SUMIFS('ADR Primary Data'!$CH$2:$CH$12,'ADR Primary Data'!$F$2:$F$12,$A41,'ADR Primary Data'!$C$2:$C$12,$A$34)/1000</f>
        <v>0</v>
      </c>
      <c r="U41" s="238">
        <f ca="1">SUMIFS('ADR Primary Data'!$CI$2:$CI$12,'ADR Primary Data'!$F$2:$F$12,$A41,'ADR Primary Data'!$C$2:$C$12,$A$34)/1000-T41</f>
        <v>0</v>
      </c>
      <c r="V41" s="773">
        <f ca="1">SUMIFS('ADR Primary Data'!$CI$2:$CI$12,'ADR Primary Data'!$F$2:$F$12,$A41,'ADR Primary Data'!$C$2:$C$12,$A$34)/1000</f>
        <v>0</v>
      </c>
      <c r="W41" s="195"/>
      <c r="X41" s="142"/>
    </row>
    <row r="42" spans="1:24">
      <c r="A42" s="183" t="s">
        <v>403</v>
      </c>
      <c r="B42" s="819">
        <f t="shared" ref="B42:V42" ca="1" si="7">SUM(B41:B41)</f>
        <v>901.24709228226868</v>
      </c>
      <c r="C42" s="799">
        <f t="shared" ca="1" si="7"/>
        <v>29.756738945135737</v>
      </c>
      <c r="D42" s="239">
        <f t="shared" ca="1" si="7"/>
        <v>0</v>
      </c>
      <c r="E42" s="239">
        <f t="shared" ca="1" si="7"/>
        <v>387.61881908471338</v>
      </c>
      <c r="F42" s="239">
        <f t="shared" ca="1" si="7"/>
        <v>471.25796369686907</v>
      </c>
      <c r="G42" s="1227">
        <f ca="1">SUM(G41:G41)</f>
        <v>0</v>
      </c>
      <c r="H42" s="239">
        <f t="shared" ca="1" si="7"/>
        <v>0</v>
      </c>
      <c r="I42" s="239">
        <f t="shared" ca="1" si="7"/>
        <v>0</v>
      </c>
      <c r="J42" s="239">
        <f t="shared" ca="1" si="7"/>
        <v>0</v>
      </c>
      <c r="K42" s="813">
        <f t="shared" ca="1" si="7"/>
        <v>0</v>
      </c>
      <c r="L42" s="239">
        <f t="shared" ca="1" si="7"/>
        <v>12.613570555550504</v>
      </c>
      <c r="M42" s="810">
        <f t="shared" ca="1" si="7"/>
        <v>901.24709228226868</v>
      </c>
      <c r="N42" s="239">
        <f t="shared" ca="1" si="7"/>
        <v>0</v>
      </c>
      <c r="O42" s="239">
        <f t="shared" ca="1" si="7"/>
        <v>0</v>
      </c>
      <c r="P42" s="239">
        <f t="shared" ca="1" si="7"/>
        <v>0</v>
      </c>
      <c r="Q42" s="799">
        <f t="shared" ca="1" si="7"/>
        <v>0</v>
      </c>
      <c r="R42" s="800">
        <f t="shared" ca="1" si="7"/>
        <v>0</v>
      </c>
      <c r="S42" s="810">
        <f t="shared" ca="1" si="7"/>
        <v>901.24709228226868</v>
      </c>
      <c r="T42" s="799">
        <f t="shared" ca="1" si="7"/>
        <v>0</v>
      </c>
      <c r="U42" s="239">
        <f t="shared" ca="1" si="7"/>
        <v>0</v>
      </c>
      <c r="V42" s="247">
        <f t="shared" ca="1" si="7"/>
        <v>0</v>
      </c>
      <c r="W42" s="195"/>
      <c r="X42" s="142"/>
    </row>
    <row r="43" spans="1:24">
      <c r="A43" s="182"/>
      <c r="B43" s="819"/>
      <c r="C43" s="801"/>
      <c r="D43" s="240"/>
      <c r="E43" s="240"/>
      <c r="F43" s="240"/>
      <c r="G43" s="1228"/>
      <c r="H43" s="240"/>
      <c r="I43" s="240"/>
      <c r="J43" s="240"/>
      <c r="K43" s="814"/>
      <c r="L43" s="240"/>
      <c r="M43" s="810"/>
      <c r="N43" s="240"/>
      <c r="O43" s="240"/>
      <c r="P43" s="240"/>
      <c r="Q43" s="801"/>
      <c r="R43" s="802"/>
      <c r="S43" s="810"/>
      <c r="T43" s="801"/>
      <c r="U43" s="240"/>
      <c r="V43" s="247"/>
      <c r="W43" s="195"/>
      <c r="X43" s="142"/>
    </row>
    <row r="44" spans="1:24" ht="15.75" thickBot="1">
      <c r="A44" s="249" t="s">
        <v>80</v>
      </c>
      <c r="B44" s="820">
        <f ca="1">B38+B42</f>
        <v>1081.4965107387225</v>
      </c>
      <c r="C44" s="821">
        <f t="shared" ref="C44:V44" ca="1" si="8">C38+C42</f>
        <v>35.708086734162883</v>
      </c>
      <c r="D44" s="772">
        <f t="shared" ca="1" si="8"/>
        <v>0</v>
      </c>
      <c r="E44" s="772">
        <f t="shared" ca="1" si="8"/>
        <v>465.14258290165606</v>
      </c>
      <c r="F44" s="772">
        <f t="shared" ca="1" si="8"/>
        <v>565.50955643624286</v>
      </c>
      <c r="G44" s="1229">
        <f ca="1">G38+G42</f>
        <v>0</v>
      </c>
      <c r="H44" s="772">
        <f t="shared" ca="1" si="8"/>
        <v>0</v>
      </c>
      <c r="I44" s="772">
        <f t="shared" ca="1" si="8"/>
        <v>0</v>
      </c>
      <c r="J44" s="772">
        <f t="shared" ca="1" si="8"/>
        <v>0</v>
      </c>
      <c r="K44" s="822">
        <f t="shared" ca="1" si="8"/>
        <v>0</v>
      </c>
      <c r="L44" s="772">
        <f t="shared" ca="1" si="8"/>
        <v>15.136284666660606</v>
      </c>
      <c r="M44" s="823">
        <f t="shared" ca="1" si="8"/>
        <v>1081.4965107387225</v>
      </c>
      <c r="N44" s="772">
        <f t="shared" ca="1" si="8"/>
        <v>0</v>
      </c>
      <c r="O44" s="772">
        <f t="shared" ca="1" si="8"/>
        <v>0</v>
      </c>
      <c r="P44" s="772">
        <f t="shared" ca="1" si="8"/>
        <v>0</v>
      </c>
      <c r="Q44" s="821">
        <f t="shared" ca="1" si="8"/>
        <v>0</v>
      </c>
      <c r="R44" s="824">
        <f t="shared" ca="1" si="8"/>
        <v>0</v>
      </c>
      <c r="S44" s="823">
        <f t="shared" ca="1" si="8"/>
        <v>1081.4965107387225</v>
      </c>
      <c r="T44" s="825">
        <f t="shared" ca="1" si="8"/>
        <v>0</v>
      </c>
      <c r="U44" s="770">
        <f t="shared" ca="1" si="8"/>
        <v>0</v>
      </c>
      <c r="V44" s="771">
        <f t="shared" ca="1" si="8"/>
        <v>0</v>
      </c>
      <c r="W44" s="195"/>
      <c r="X44" s="142"/>
    </row>
  </sheetData>
  <mergeCells count="17">
    <mergeCell ref="A6:V6"/>
    <mergeCell ref="L10:L11"/>
    <mergeCell ref="C10:F10"/>
    <mergeCell ref="H10:K10"/>
    <mergeCell ref="C9:M9"/>
    <mergeCell ref="Q9:R9"/>
    <mergeCell ref="C8:S8"/>
    <mergeCell ref="T8:V8"/>
    <mergeCell ref="V10:V11"/>
    <mergeCell ref="S10:S11"/>
    <mergeCell ref="U10:U11"/>
    <mergeCell ref="T10:T11"/>
    <mergeCell ref="R10:R11"/>
    <mergeCell ref="Q10:Q11"/>
    <mergeCell ref="M10:M11"/>
    <mergeCell ref="G10:G11"/>
    <mergeCell ref="B8:B10"/>
  </mergeCells>
  <dataValidations count="1">
    <dataValidation type="list" allowBlank="1" showInputMessage="1" showErrorMessage="1" sqref="A15 A26 A37 A19 A30 A41" xr:uid="{99DAC8A2-D224-4037-ABBC-0EF09A894463}">
      <formula1>ElecProg</formula1>
    </dataValidation>
  </dataValidations>
  <printOptions horizontalCentered="1"/>
  <pageMargins left="0.7" right="0.7" top="0.75" bottom="0.75" header="0.3" footer="0.3"/>
  <pageSetup scale="5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56474-9ED1-4FA7-89D6-9F8A89757658}">
  <sheetPr>
    <tabColor rgb="FF00B0F0"/>
    <pageSetUpPr fitToPage="1"/>
  </sheetPr>
  <dimension ref="A1:O71"/>
  <sheetViews>
    <sheetView showGridLines="0" topLeftCell="A72" zoomScale="90" zoomScaleNormal="90" zoomScaleSheetLayoutView="100" workbookViewId="0">
      <selection activeCell="L104" sqref="L104"/>
    </sheetView>
  </sheetViews>
  <sheetFormatPr defaultColWidth="10" defaultRowHeight="12.75"/>
  <cols>
    <col min="1" max="1" width="8" style="723" customWidth="1"/>
    <col min="2" max="2" width="26.28515625" style="723" customWidth="1"/>
    <col min="3" max="3" width="18" style="723" customWidth="1"/>
    <col min="4" max="4" width="15.7109375" style="723" bestFit="1" customWidth="1"/>
    <col min="5" max="5" width="17.85546875" style="723" customWidth="1"/>
    <col min="6" max="6" width="8.7109375" style="723" customWidth="1"/>
    <col min="7" max="8" width="12.28515625" style="723" customWidth="1"/>
    <col min="9" max="9" width="12.140625" style="723" bestFit="1" customWidth="1"/>
    <col min="10" max="11" width="12.140625" style="723" customWidth="1"/>
    <col min="12" max="12" width="34.7109375" style="723" bestFit="1" customWidth="1"/>
    <col min="13" max="13" width="10" style="723" customWidth="1"/>
    <col min="14" max="14" width="10" style="723"/>
    <col min="15" max="15" width="36.42578125" style="723" bestFit="1" customWidth="1"/>
    <col min="16" max="16384" width="10" style="723"/>
  </cols>
  <sheetData>
    <row r="1" spans="1:14" hidden="1">
      <c r="L1" s="1086" t="str">
        <f>PA</f>
        <v>Unitil Energy Systems Inc</v>
      </c>
    </row>
    <row r="2" spans="1:14" hidden="1">
      <c r="L2" s="1084" t="s">
        <v>527</v>
      </c>
    </row>
    <row r="3" spans="1:14" hidden="1">
      <c r="L3" s="1084" t="s">
        <v>710</v>
      </c>
    </row>
    <row r="4" spans="1:14" hidden="1">
      <c r="A4" s="691"/>
      <c r="B4" s="691"/>
      <c r="L4" s="232" t="s">
        <v>718</v>
      </c>
    </row>
    <row r="5" spans="1:14" hidden="1">
      <c r="A5" s="691"/>
      <c r="B5" s="691"/>
      <c r="C5" s="232"/>
    </row>
    <row r="6" spans="1:14" ht="13.5" hidden="1" thickBot="1">
      <c r="C6" s="755"/>
    </row>
    <row r="7" spans="1:14" ht="13.5" hidden="1" thickBot="1">
      <c r="B7" s="1105">
        <f>Year1</f>
        <v>2024</v>
      </c>
      <c r="C7" s="1106"/>
      <c r="D7" s="1106"/>
      <c r="E7" s="1106"/>
      <c r="F7" s="1106"/>
      <c r="G7" s="1106"/>
      <c r="H7" s="1107"/>
      <c r="I7" s="1106"/>
      <c r="J7" s="1106"/>
      <c r="K7" s="1106"/>
      <c r="L7" s="1108"/>
    </row>
    <row r="8" spans="1:14" hidden="1">
      <c r="B8" s="1773" t="s">
        <v>874</v>
      </c>
      <c r="C8" s="1774"/>
      <c r="D8" s="1774"/>
      <c r="E8" s="1774"/>
      <c r="F8" s="1774"/>
      <c r="G8" s="1774"/>
      <c r="H8" s="1774"/>
      <c r="I8" s="1774"/>
      <c r="J8" s="1774"/>
      <c r="K8" s="1774"/>
      <c r="L8" s="1775"/>
    </row>
    <row r="9" spans="1:14" ht="25.5" hidden="1">
      <c r="B9" s="724" t="s">
        <v>688</v>
      </c>
      <c r="C9" s="725" t="s">
        <v>214</v>
      </c>
      <c r="D9" s="726" t="s">
        <v>689</v>
      </c>
      <c r="E9" s="727" t="s">
        <v>313</v>
      </c>
      <c r="F9" s="728" t="s">
        <v>690</v>
      </c>
      <c r="G9" s="729" t="s">
        <v>691</v>
      </c>
      <c r="H9" s="727" t="s">
        <v>692</v>
      </c>
      <c r="I9" s="729" t="s">
        <v>693</v>
      </c>
      <c r="J9" s="780" t="s">
        <v>719</v>
      </c>
      <c r="K9" s="774" t="s">
        <v>694</v>
      </c>
      <c r="L9" s="730" t="s">
        <v>695</v>
      </c>
    </row>
    <row r="10" spans="1:14" hidden="1">
      <c r="A10" s="723">
        <v>1</v>
      </c>
      <c r="B10" s="706" t="s">
        <v>314</v>
      </c>
      <c r="C10" s="844">
        <f ca="1">'1. Att Cost Eff'!G19*1000</f>
        <v>0</v>
      </c>
      <c r="D10" s="707">
        <f ca="1">C10*0.75</f>
        <v>0</v>
      </c>
      <c r="E10" s="708"/>
      <c r="F10" s="830" t="str">
        <f>IF(OR(E10=0,E10=""),"-",E10/C10)</f>
        <v>-</v>
      </c>
      <c r="G10" s="845">
        <f>0.35*0.055</f>
        <v>1.925E-2</v>
      </c>
      <c r="H10" s="829" t="str">
        <f>IF(OR(E10=0,E10=""),"-",IF(F10&lt;0.75,0,(IF(F10&gt;1.25,1.25*G10,G10*F10))))</f>
        <v>-</v>
      </c>
      <c r="I10" s="807">
        <f>G10*$C$57</f>
        <v>5297.7537266894942</v>
      </c>
      <c r="J10" s="781">
        <f>G10*$C$57*1.25</f>
        <v>6622.1921583618678</v>
      </c>
      <c r="K10" s="775">
        <f>IFERROR($E$57*H10, 0)</f>
        <v>0</v>
      </c>
      <c r="L10" s="716" t="s">
        <v>696</v>
      </c>
      <c r="M10" s="731"/>
      <c r="N10" s="731"/>
    </row>
    <row r="11" spans="1:14" hidden="1">
      <c r="A11" s="723">
        <v>2</v>
      </c>
      <c r="B11" s="706" t="s">
        <v>697</v>
      </c>
      <c r="C11" s="844">
        <f ca="1">'1. Att Cost Eff'!F19*1000</f>
        <v>0</v>
      </c>
      <c r="D11" s="707">
        <f ca="1">C11*0.75</f>
        <v>0</v>
      </c>
      <c r="E11" s="708"/>
      <c r="F11" s="830" t="str">
        <f t="shared" ref="F11:F16" si="0">IF(OR(E11=0,E11=""),"-",E11/C11)</f>
        <v>-</v>
      </c>
      <c r="G11" s="845">
        <f>0.1*0.055</f>
        <v>5.5000000000000005E-3</v>
      </c>
      <c r="H11" s="829" t="str">
        <f>IF(OR(E11=0,E11=""),"-",IF(F11&lt;0.75,0,(IF(F11&gt;1.25,1.25*G11,G11*F11))))</f>
        <v>-</v>
      </c>
      <c r="I11" s="807">
        <f>G11*$C$57</f>
        <v>1513.6439219112842</v>
      </c>
      <c r="J11" s="712">
        <f>G11*$C$57*1.25</f>
        <v>1892.0549023891053</v>
      </c>
      <c r="K11" s="775">
        <f>IFERROR($E$57*H11, 0)</f>
        <v>0</v>
      </c>
      <c r="L11" s="716" t="s">
        <v>696</v>
      </c>
      <c r="M11" s="731"/>
    </row>
    <row r="12" spans="1:14" hidden="1">
      <c r="A12" s="723">
        <v>3</v>
      </c>
      <c r="B12" s="706" t="s">
        <v>698</v>
      </c>
      <c r="C12" s="844">
        <f ca="1">'1. Att Cost Eff'!I19</f>
        <v>3828</v>
      </c>
      <c r="D12" s="707">
        <f ca="1">C12*0.65</f>
        <v>2488.2000000000003</v>
      </c>
      <c r="E12" s="708"/>
      <c r="F12" s="830" t="str">
        <f t="shared" si="0"/>
        <v>-</v>
      </c>
      <c r="G12" s="845">
        <f>0.12*0.055</f>
        <v>6.6E-3</v>
      </c>
      <c r="H12" s="829" t="str">
        <f>IF(OR(E12=0,E12=""),"-",IF(F12&lt;0.75,0,(IF(F12&gt;1.25,1.25*G12,G12*F12))))</f>
        <v>-</v>
      </c>
      <c r="I12" s="807">
        <f>G12*$C$57</f>
        <v>1816.3727062935411</v>
      </c>
      <c r="J12" s="712">
        <f>G12*$C$57*1.25</f>
        <v>2270.4658828669262</v>
      </c>
      <c r="K12" s="775">
        <f>IFERROR($E$57*H12, 0)</f>
        <v>0</v>
      </c>
      <c r="L12" s="716" t="s">
        <v>696</v>
      </c>
      <c r="M12" s="731"/>
    </row>
    <row r="13" spans="1:14" hidden="1">
      <c r="A13" s="723">
        <v>4</v>
      </c>
      <c r="B13" s="706" t="s">
        <v>699</v>
      </c>
      <c r="C13" s="844">
        <f ca="1">'1. Att Cost Eff'!H19</f>
        <v>0</v>
      </c>
      <c r="D13" s="707">
        <f ca="1">C13*0.65</f>
        <v>0</v>
      </c>
      <c r="E13" s="708"/>
      <c r="F13" s="830" t="str">
        <f t="shared" si="0"/>
        <v>-</v>
      </c>
      <c r="G13" s="845">
        <f>0.08*0.055</f>
        <v>4.4000000000000003E-3</v>
      </c>
      <c r="H13" s="829" t="str">
        <f>IF(OR(E13=0,E13=""),"-",IF(F13&lt;0.75,0,(IF(F13&gt;1.25,1.25*G13,G13*F13))))</f>
        <v>-</v>
      </c>
      <c r="I13" s="807">
        <f>G13*$C$57</f>
        <v>1210.9151375290273</v>
      </c>
      <c r="J13" s="712">
        <f>G13*$C$57*1.25</f>
        <v>1513.6439219112842</v>
      </c>
      <c r="K13" s="775">
        <f>IFERROR($E$57*H13, 0)</f>
        <v>0</v>
      </c>
      <c r="L13" s="716" t="s">
        <v>696</v>
      </c>
      <c r="M13" s="731"/>
    </row>
    <row r="14" spans="1:14" hidden="1">
      <c r="A14" s="723">
        <v>5</v>
      </c>
      <c r="B14" s="706" t="s">
        <v>136</v>
      </c>
      <c r="C14" s="807">
        <f ca="1">'2. Att Ben'!S22*1000</f>
        <v>890883.11514085415</v>
      </c>
      <c r="D14" s="709"/>
      <c r="E14" s="708"/>
      <c r="F14" s="830" t="str">
        <f t="shared" si="0"/>
        <v>-</v>
      </c>
      <c r="G14" s="846"/>
      <c r="H14" s="710"/>
      <c r="I14" s="711"/>
      <c r="J14" s="709"/>
      <c r="K14" s="776"/>
      <c r="L14" s="716" t="s">
        <v>724</v>
      </c>
      <c r="M14" s="731"/>
    </row>
    <row r="15" spans="1:14" ht="15" hidden="1">
      <c r="A15" s="723">
        <v>6</v>
      </c>
      <c r="B15" s="706" t="s">
        <v>876</v>
      </c>
      <c r="C15" s="807">
        <f>'1. Att Cost Eff'!D19*1000</f>
        <v>281282.92351200001</v>
      </c>
      <c r="D15" s="709"/>
      <c r="E15" s="708"/>
      <c r="F15" s="830" t="str">
        <f t="shared" si="0"/>
        <v>-</v>
      </c>
      <c r="G15" s="846"/>
      <c r="H15" s="710"/>
      <c r="I15" s="711"/>
      <c r="J15" s="709"/>
      <c r="K15" s="776"/>
      <c r="L15" s="716" t="s">
        <v>696</v>
      </c>
      <c r="M15" s="731"/>
    </row>
    <row r="16" spans="1:14" hidden="1">
      <c r="A16" s="723">
        <v>7</v>
      </c>
      <c r="B16" s="706" t="s">
        <v>701</v>
      </c>
      <c r="C16" s="807">
        <f ca="1">C14-C15</f>
        <v>609600.19162885414</v>
      </c>
      <c r="D16" s="712">
        <f ca="1">C16*0.75</f>
        <v>457200.14372164058</v>
      </c>
      <c r="E16" s="238">
        <f>E14-E15</f>
        <v>0</v>
      </c>
      <c r="F16" s="831" t="str">
        <f t="shared" si="0"/>
        <v>-</v>
      </c>
      <c r="G16" s="713">
        <f>0.35*0.055</f>
        <v>1.925E-2</v>
      </c>
      <c r="H16" s="832" t="str">
        <f>IF(OR(E16=0,E16=""),"-",IF(F16&lt;0.75,0,(IF(F16&gt;1.25,1.25*G16,G16*F16))))</f>
        <v>-</v>
      </c>
      <c r="I16" s="807">
        <f>G16*$C$57</f>
        <v>5297.7537266894942</v>
      </c>
      <c r="J16" s="712">
        <f>G16*$C$57*1.25</f>
        <v>6622.1921583618678</v>
      </c>
      <c r="K16" s="777">
        <f>IFERROR($E$57*H16, 0)</f>
        <v>0</v>
      </c>
      <c r="L16" s="717" t="s">
        <v>702</v>
      </c>
      <c r="M16" s="731"/>
    </row>
    <row r="17" spans="1:15" ht="13.5" hidden="1" thickBot="1">
      <c r="A17" s="723">
        <v>8</v>
      </c>
      <c r="B17" s="732" t="s">
        <v>703</v>
      </c>
      <c r="C17" s="847"/>
      <c r="D17" s="848"/>
      <c r="E17" s="849"/>
      <c r="F17" s="849"/>
      <c r="G17" s="718">
        <f>SUM(G10:G16)</f>
        <v>5.5000000000000007E-2</v>
      </c>
      <c r="H17" s="833" t="str">
        <f>IF(SUM(H10:H16)=0,"-",SUM(H10:H16))</f>
        <v>-</v>
      </c>
      <c r="I17" s="719">
        <f>SUM(I10:I16)</f>
        <v>15136.439219112841</v>
      </c>
      <c r="J17" s="782">
        <f>SUM(J10:J16)</f>
        <v>18920.54902389105</v>
      </c>
      <c r="K17" s="778">
        <f>SUM(K10:K16)</f>
        <v>0</v>
      </c>
      <c r="L17" s="733"/>
      <c r="M17" s="731"/>
      <c r="O17" s="731"/>
    </row>
    <row r="18" spans="1:15" ht="13.5" hidden="1" thickBot="1"/>
    <row r="19" spans="1:15" hidden="1">
      <c r="B19" s="734"/>
      <c r="C19" s="1776" t="s">
        <v>704</v>
      </c>
      <c r="D19" s="1777"/>
      <c r="E19" s="735"/>
      <c r="F19" s="736"/>
      <c r="G19" s="737"/>
      <c r="I19" s="779"/>
      <c r="J19" s="779"/>
    </row>
    <row r="20" spans="1:15" hidden="1">
      <c r="B20" s="738"/>
      <c r="C20" s="739" t="s">
        <v>214</v>
      </c>
      <c r="D20" s="740" t="s">
        <v>313</v>
      </c>
      <c r="E20" s="1778" t="s">
        <v>695</v>
      </c>
      <c r="F20" s="1779"/>
      <c r="G20" s="1780"/>
    </row>
    <row r="21" spans="1:15" hidden="1">
      <c r="A21" s="723">
        <v>9</v>
      </c>
      <c r="B21" s="741" t="s">
        <v>705</v>
      </c>
      <c r="C21" s="720">
        <f ca="1">'1. Att Cost Eff'!C19*1000</f>
        <v>890883.11514085415</v>
      </c>
      <c r="D21" s="742"/>
      <c r="E21" s="743" t="s">
        <v>696</v>
      </c>
      <c r="F21" s="744"/>
      <c r="G21" s="745"/>
    </row>
    <row r="22" spans="1:15" hidden="1">
      <c r="A22" s="723">
        <v>10</v>
      </c>
      <c r="B22" s="746" t="s">
        <v>122</v>
      </c>
      <c r="C22" s="714">
        <f>I17</f>
        <v>15136.439219112841</v>
      </c>
      <c r="D22" s="715">
        <f>K17</f>
        <v>0</v>
      </c>
      <c r="E22" s="747" t="s">
        <v>706</v>
      </c>
      <c r="F22" s="748"/>
      <c r="G22" s="749"/>
    </row>
    <row r="23" spans="1:15" hidden="1">
      <c r="A23" s="723">
        <v>11</v>
      </c>
      <c r="B23" s="746" t="s">
        <v>123</v>
      </c>
      <c r="C23" s="721">
        <f ca="1">'1. Att Cost Eff'!E19*1000</f>
        <v>0</v>
      </c>
      <c r="D23" s="750"/>
      <c r="E23" s="716" t="s">
        <v>696</v>
      </c>
      <c r="F23" s="748"/>
      <c r="G23" s="749"/>
    </row>
    <row r="24" spans="1:15" hidden="1">
      <c r="A24" s="723">
        <v>12</v>
      </c>
      <c r="B24" s="751" t="s">
        <v>700</v>
      </c>
      <c r="C24" s="720">
        <f>'1. Att Cost Eff'!D19*1000</f>
        <v>281282.92351200001</v>
      </c>
      <c r="D24" s="742">
        <f>E15</f>
        <v>0</v>
      </c>
      <c r="E24" s="747" t="s">
        <v>707</v>
      </c>
      <c r="F24" s="748"/>
      <c r="G24" s="749"/>
    </row>
    <row r="25" spans="1:15" ht="13.5" hidden="1" thickBot="1">
      <c r="A25" s="723">
        <v>13</v>
      </c>
      <c r="B25" s="752" t="s">
        <v>708</v>
      </c>
      <c r="C25" s="722">
        <f ca="1">IFERROR(C21/(C22+C23+C24),"-")</f>
        <v>3.0054821889249848</v>
      </c>
      <c r="D25" s="753" t="str">
        <f>IFERROR(D21/(D22+D23+D24),"-")</f>
        <v>-</v>
      </c>
      <c r="E25" s="850" t="s">
        <v>709</v>
      </c>
      <c r="F25" s="851"/>
      <c r="G25" s="852"/>
    </row>
    <row r="26" spans="1:15" hidden="1"/>
    <row r="27" spans="1:15" ht="13.5" hidden="1" thickBot="1"/>
    <row r="28" spans="1:15" ht="13.5" hidden="1" thickBot="1">
      <c r="B28" s="1105">
        <f>Year2</f>
        <v>2025</v>
      </c>
      <c r="C28" s="1106"/>
      <c r="D28" s="1106"/>
      <c r="E28" s="1106"/>
      <c r="F28" s="1106"/>
      <c r="G28" s="1106"/>
      <c r="H28" s="1107"/>
      <c r="I28" s="1106"/>
      <c r="J28" s="1106"/>
      <c r="K28" s="1106"/>
      <c r="L28" s="1108"/>
    </row>
    <row r="29" spans="1:15" hidden="1">
      <c r="B29" s="1773" t="s">
        <v>874</v>
      </c>
      <c r="C29" s="1774"/>
      <c r="D29" s="1774"/>
      <c r="E29" s="1774"/>
      <c r="F29" s="1774"/>
      <c r="G29" s="1774"/>
      <c r="H29" s="1774"/>
      <c r="I29" s="1774"/>
      <c r="J29" s="1774"/>
      <c r="K29" s="1774"/>
      <c r="L29" s="1775"/>
    </row>
    <row r="30" spans="1:15" ht="25.5" hidden="1">
      <c r="B30" s="724" t="s">
        <v>688</v>
      </c>
      <c r="C30" s="725" t="s">
        <v>214</v>
      </c>
      <c r="D30" s="726" t="s">
        <v>689</v>
      </c>
      <c r="E30" s="727" t="s">
        <v>313</v>
      </c>
      <c r="F30" s="728" t="s">
        <v>690</v>
      </c>
      <c r="G30" s="729" t="s">
        <v>691</v>
      </c>
      <c r="H30" s="727" t="s">
        <v>692</v>
      </c>
      <c r="I30" s="729" t="s">
        <v>693</v>
      </c>
      <c r="J30" s="780" t="s">
        <v>719</v>
      </c>
      <c r="K30" s="774" t="s">
        <v>694</v>
      </c>
      <c r="L30" s="730" t="s">
        <v>695</v>
      </c>
    </row>
    <row r="31" spans="1:15" hidden="1">
      <c r="A31" s="723">
        <v>1</v>
      </c>
      <c r="B31" s="706" t="s">
        <v>314</v>
      </c>
      <c r="C31" s="844">
        <f ca="1">'1. Att Cost Eff'!G38*1000</f>
        <v>0</v>
      </c>
      <c r="D31" s="707">
        <f ca="1">C31*0.75</f>
        <v>0</v>
      </c>
      <c r="E31" s="708"/>
      <c r="F31" s="830" t="str">
        <f>IF(OR(E31=0,E31=""),"-",E31/C31)</f>
        <v>-</v>
      </c>
      <c r="G31" s="845">
        <f>0.35*0.055</f>
        <v>1.925E-2</v>
      </c>
      <c r="H31" s="829" t="str">
        <f>IF(OR(E31=0,E31=""),"-",IF(F31&lt;0.75,0,(IF(F31&gt;1.25,1.25*G31,G31*F31))))</f>
        <v>-</v>
      </c>
      <c r="I31" s="807">
        <f>G31*$C$57</f>
        <v>5297.7537266894942</v>
      </c>
      <c r="J31" s="781">
        <f>G31*$C$57*1.25</f>
        <v>6622.1921583618678</v>
      </c>
      <c r="K31" s="775">
        <f>IFERROR($E$57*H31, 0)</f>
        <v>0</v>
      </c>
      <c r="L31" s="716" t="s">
        <v>696</v>
      </c>
      <c r="M31" s="731"/>
      <c r="N31" s="731"/>
    </row>
    <row r="32" spans="1:15" hidden="1">
      <c r="A32" s="723">
        <v>2</v>
      </c>
      <c r="B32" s="706" t="s">
        <v>697</v>
      </c>
      <c r="C32" s="844">
        <f ca="1">'1. Att Cost Eff'!F38*1000</f>
        <v>0</v>
      </c>
      <c r="D32" s="707">
        <f ca="1">C32*0.75</f>
        <v>0</v>
      </c>
      <c r="E32" s="708"/>
      <c r="F32" s="830" t="str">
        <f t="shared" ref="F32:F37" si="1">IF(OR(E32=0,E32=""),"-",E32/C32)</f>
        <v>-</v>
      </c>
      <c r="G32" s="845">
        <f>0.1*0.055</f>
        <v>5.5000000000000005E-3</v>
      </c>
      <c r="H32" s="829" t="str">
        <f>IF(OR(E32=0,E32=""),"-",IF(F32&lt;0.75,0,(IF(F32&gt;1.25,1.25*G32,G32*F32))))</f>
        <v>-</v>
      </c>
      <c r="I32" s="807">
        <f>G32*$C$57</f>
        <v>1513.6439219112842</v>
      </c>
      <c r="J32" s="712">
        <f>G32*$C$57*1.25</f>
        <v>1892.0549023891053</v>
      </c>
      <c r="K32" s="775">
        <f>IFERROR($E$57*H32, 0)</f>
        <v>0</v>
      </c>
      <c r="L32" s="716" t="s">
        <v>696</v>
      </c>
      <c r="M32" s="731"/>
    </row>
    <row r="33" spans="1:15" hidden="1">
      <c r="A33" s="723">
        <v>3</v>
      </c>
      <c r="B33" s="706" t="s">
        <v>698</v>
      </c>
      <c r="C33" s="844">
        <f ca="1">'1. Att Cost Eff'!I38</f>
        <v>4019.4</v>
      </c>
      <c r="D33" s="707">
        <f ca="1">C33*0.65</f>
        <v>2612.61</v>
      </c>
      <c r="E33" s="708"/>
      <c r="F33" s="830" t="str">
        <f t="shared" si="1"/>
        <v>-</v>
      </c>
      <c r="G33" s="845">
        <f>0.12*0.055</f>
        <v>6.6E-3</v>
      </c>
      <c r="H33" s="829" t="str">
        <f>IF(OR(E33=0,E33=""),"-",IF(F33&lt;0.75,0,(IF(F33&gt;1.25,1.25*G33,G33*F33))))</f>
        <v>-</v>
      </c>
      <c r="I33" s="807">
        <f>G33*$C$57</f>
        <v>1816.3727062935411</v>
      </c>
      <c r="J33" s="712">
        <f>G33*$C$57*1.25</f>
        <v>2270.4658828669262</v>
      </c>
      <c r="K33" s="775">
        <f>IFERROR($E$57*H33, 0)</f>
        <v>0</v>
      </c>
      <c r="L33" s="716" t="s">
        <v>696</v>
      </c>
      <c r="M33" s="731"/>
    </row>
    <row r="34" spans="1:15" hidden="1">
      <c r="A34" s="723">
        <v>4</v>
      </c>
      <c r="B34" s="706" t="s">
        <v>699</v>
      </c>
      <c r="C34" s="844">
        <f ca="1">'1. Att Cost Eff'!H38</f>
        <v>0</v>
      </c>
      <c r="D34" s="707">
        <f ca="1">C34*0.65</f>
        <v>0</v>
      </c>
      <c r="E34" s="708"/>
      <c r="F34" s="830" t="str">
        <f t="shared" si="1"/>
        <v>-</v>
      </c>
      <c r="G34" s="845">
        <f>0.08*0.055</f>
        <v>4.4000000000000003E-3</v>
      </c>
      <c r="H34" s="829" t="str">
        <f>IF(OR(E34=0,E34=""),"-",IF(F34&lt;0.75,0,(IF(F34&gt;1.25,1.25*G34,G34*F34))))</f>
        <v>-</v>
      </c>
      <c r="I34" s="807">
        <f>G34*$C$57</f>
        <v>1210.9151375290273</v>
      </c>
      <c r="J34" s="712">
        <f>G34*$C$57*1.25</f>
        <v>1513.6439219112842</v>
      </c>
      <c r="K34" s="775">
        <f>IFERROR($E$57*H34, 0)</f>
        <v>0</v>
      </c>
      <c r="L34" s="716" t="s">
        <v>696</v>
      </c>
      <c r="M34" s="731"/>
    </row>
    <row r="35" spans="1:15" hidden="1">
      <c r="A35" s="723">
        <v>5</v>
      </c>
      <c r="B35" s="706" t="s">
        <v>136</v>
      </c>
      <c r="C35" s="807">
        <f ca="1">'2. Att Ben'!S33*1000</f>
        <v>982169.79346628813</v>
      </c>
      <c r="D35" s="709"/>
      <c r="E35" s="708"/>
      <c r="F35" s="830" t="str">
        <f t="shared" si="1"/>
        <v>-</v>
      </c>
      <c r="G35" s="846"/>
      <c r="H35" s="710"/>
      <c r="I35" s="711"/>
      <c r="J35" s="709"/>
      <c r="K35" s="776"/>
      <c r="L35" s="716" t="s">
        <v>724</v>
      </c>
      <c r="M35" s="731"/>
    </row>
    <row r="36" spans="1:15" ht="15" hidden="1">
      <c r="A36" s="723">
        <v>6</v>
      </c>
      <c r="B36" s="706" t="s">
        <v>876</v>
      </c>
      <c r="C36" s="807">
        <f>'1. Att Cost Eff'!D38*1000</f>
        <v>281332.62323526683</v>
      </c>
      <c r="D36" s="709"/>
      <c r="E36" s="708"/>
      <c r="F36" s="830" t="str">
        <f t="shared" si="1"/>
        <v>-</v>
      </c>
      <c r="G36" s="846"/>
      <c r="H36" s="710"/>
      <c r="I36" s="711"/>
      <c r="J36" s="709"/>
      <c r="K36" s="776"/>
      <c r="L36" s="716" t="s">
        <v>696</v>
      </c>
      <c r="M36" s="731"/>
    </row>
    <row r="37" spans="1:15" hidden="1">
      <c r="A37" s="723">
        <v>7</v>
      </c>
      <c r="B37" s="706" t="s">
        <v>701</v>
      </c>
      <c r="C37" s="807">
        <f ca="1">C35-C36</f>
        <v>700837.17023102124</v>
      </c>
      <c r="D37" s="712">
        <f ca="1">C37*0.75</f>
        <v>525627.87767326599</v>
      </c>
      <c r="E37" s="238">
        <f>E35-E36</f>
        <v>0</v>
      </c>
      <c r="F37" s="831" t="str">
        <f t="shared" si="1"/>
        <v>-</v>
      </c>
      <c r="G37" s="713">
        <f>0.35*0.055</f>
        <v>1.925E-2</v>
      </c>
      <c r="H37" s="832" t="str">
        <f>IF(OR(E37=0,E37=""),"-",IF(F37&lt;0.75,0,(IF(F37&gt;1.25,1.25*G37,G37*F37))))</f>
        <v>-</v>
      </c>
      <c r="I37" s="807">
        <f>G37*$C$57</f>
        <v>5297.7537266894942</v>
      </c>
      <c r="J37" s="712">
        <f>G37*$C$57*1.25</f>
        <v>6622.1921583618678</v>
      </c>
      <c r="K37" s="777">
        <f>IFERROR($E$57*H37, 0)</f>
        <v>0</v>
      </c>
      <c r="L37" s="717" t="s">
        <v>702</v>
      </c>
      <c r="M37" s="731"/>
    </row>
    <row r="38" spans="1:15" ht="13.5" hidden="1" thickBot="1">
      <c r="A38" s="723">
        <v>8</v>
      </c>
      <c r="B38" s="732" t="s">
        <v>703</v>
      </c>
      <c r="C38" s="847"/>
      <c r="D38" s="848"/>
      <c r="E38" s="849"/>
      <c r="F38" s="849"/>
      <c r="G38" s="718">
        <f>SUM(G31:G37)</f>
        <v>5.5000000000000007E-2</v>
      </c>
      <c r="H38" s="833" t="str">
        <f>IF(SUM(H31:H37)=0,"-",SUM(H31:H37))</f>
        <v>-</v>
      </c>
      <c r="I38" s="719">
        <f>SUM(I31:I37)</f>
        <v>15136.439219112841</v>
      </c>
      <c r="J38" s="782">
        <f>SUM(J31:J37)</f>
        <v>18920.54902389105</v>
      </c>
      <c r="K38" s="778">
        <f>SUM(K31:K37)</f>
        <v>0</v>
      </c>
      <c r="L38" s="733"/>
      <c r="M38" s="731"/>
      <c r="O38" s="731"/>
    </row>
    <row r="39" spans="1:15" ht="13.5" hidden="1" thickBot="1"/>
    <row r="40" spans="1:15" hidden="1">
      <c r="B40" s="734"/>
      <c r="C40" s="1776" t="s">
        <v>704</v>
      </c>
      <c r="D40" s="1777"/>
      <c r="E40" s="735"/>
      <c r="F40" s="736"/>
      <c r="G40" s="737"/>
      <c r="I40" s="779"/>
      <c r="J40" s="779"/>
    </row>
    <row r="41" spans="1:15" hidden="1">
      <c r="B41" s="738"/>
      <c r="C41" s="739" t="s">
        <v>214</v>
      </c>
      <c r="D41" s="740" t="s">
        <v>313</v>
      </c>
      <c r="E41" s="1778" t="s">
        <v>695</v>
      </c>
      <c r="F41" s="1779"/>
      <c r="G41" s="1780"/>
    </row>
    <row r="42" spans="1:15" hidden="1">
      <c r="A42" s="723">
        <v>9</v>
      </c>
      <c r="B42" s="741" t="s">
        <v>705</v>
      </c>
      <c r="C42" s="720">
        <f ca="1">'1. Att Cost Eff'!C38*1000</f>
        <v>982169.79346628813</v>
      </c>
      <c r="D42" s="742"/>
      <c r="E42" s="743" t="s">
        <v>696</v>
      </c>
      <c r="F42" s="744"/>
      <c r="G42" s="745"/>
    </row>
    <row r="43" spans="1:15" hidden="1">
      <c r="A43" s="723">
        <v>10</v>
      </c>
      <c r="B43" s="746" t="s">
        <v>122</v>
      </c>
      <c r="C43" s="714">
        <f>I38</f>
        <v>15136.439219112841</v>
      </c>
      <c r="D43" s="715">
        <f>K38</f>
        <v>0</v>
      </c>
      <c r="E43" s="747" t="s">
        <v>706</v>
      </c>
      <c r="F43" s="748"/>
      <c r="G43" s="749"/>
    </row>
    <row r="44" spans="1:15" hidden="1">
      <c r="A44" s="723">
        <v>11</v>
      </c>
      <c r="B44" s="746" t="s">
        <v>123</v>
      </c>
      <c r="C44" s="721">
        <f ca="1">'1. Att Cost Eff'!E38*1000</f>
        <v>0</v>
      </c>
      <c r="D44" s="750"/>
      <c r="E44" s="716" t="s">
        <v>696</v>
      </c>
      <c r="F44" s="748"/>
      <c r="G44" s="749"/>
    </row>
    <row r="45" spans="1:15" hidden="1">
      <c r="A45" s="723">
        <v>12</v>
      </c>
      <c r="B45" s="751" t="s">
        <v>700</v>
      </c>
      <c r="C45" s="720">
        <f>'1. Att Cost Eff'!D38*1000</f>
        <v>281332.62323526683</v>
      </c>
      <c r="D45" s="742">
        <f>E36</f>
        <v>0</v>
      </c>
      <c r="E45" s="747" t="s">
        <v>707</v>
      </c>
      <c r="F45" s="748"/>
      <c r="G45" s="749"/>
    </row>
    <row r="46" spans="1:15" ht="13.5" hidden="1" thickBot="1">
      <c r="A46" s="723">
        <v>13</v>
      </c>
      <c r="B46" s="752" t="s">
        <v>708</v>
      </c>
      <c r="C46" s="722">
        <f ca="1">IFERROR(C42/(C43+C44+C45),"-")</f>
        <v>3.3128913530983466</v>
      </c>
      <c r="D46" s="753" t="str">
        <f>IFERROR(D42/(D43+D44+D45),"-")</f>
        <v>-</v>
      </c>
      <c r="E46" s="850" t="s">
        <v>709</v>
      </c>
      <c r="F46" s="851"/>
      <c r="G46" s="852"/>
    </row>
    <row r="47" spans="1:15" hidden="1"/>
    <row r="48" spans="1:15" ht="13.5" hidden="1" thickBot="1"/>
    <row r="49" spans="1:15" ht="13.5" hidden="1" thickBot="1">
      <c r="B49" s="1105">
        <f>Year3</f>
        <v>2026</v>
      </c>
      <c r="C49" s="1106"/>
      <c r="D49" s="1106"/>
      <c r="E49" s="1106"/>
      <c r="F49" s="1106"/>
      <c r="G49" s="1106"/>
      <c r="H49" s="1107"/>
      <c r="I49" s="1106"/>
      <c r="J49" s="1106"/>
      <c r="K49" s="1106"/>
      <c r="L49" s="1108"/>
    </row>
    <row r="50" spans="1:15" hidden="1">
      <c r="B50" s="1773" t="s">
        <v>874</v>
      </c>
      <c r="C50" s="1774"/>
      <c r="D50" s="1774"/>
      <c r="E50" s="1774"/>
      <c r="F50" s="1774"/>
      <c r="G50" s="1774"/>
      <c r="H50" s="1774"/>
      <c r="I50" s="1774"/>
      <c r="J50" s="1774"/>
      <c r="K50" s="1774"/>
      <c r="L50" s="1775"/>
    </row>
    <row r="51" spans="1:15" ht="25.5" hidden="1">
      <c r="B51" s="724" t="s">
        <v>688</v>
      </c>
      <c r="C51" s="725" t="s">
        <v>214</v>
      </c>
      <c r="D51" s="726" t="s">
        <v>689</v>
      </c>
      <c r="E51" s="727" t="s">
        <v>313</v>
      </c>
      <c r="F51" s="728" t="s">
        <v>690</v>
      </c>
      <c r="G51" s="729" t="s">
        <v>691</v>
      </c>
      <c r="H51" s="727" t="s">
        <v>692</v>
      </c>
      <c r="I51" s="729" t="s">
        <v>693</v>
      </c>
      <c r="J51" s="780" t="s">
        <v>719</v>
      </c>
      <c r="K51" s="774" t="s">
        <v>694</v>
      </c>
      <c r="L51" s="730" t="s">
        <v>695</v>
      </c>
    </row>
    <row r="52" spans="1:15" hidden="1">
      <c r="A52" s="723">
        <v>1</v>
      </c>
      <c r="B52" s="706" t="s">
        <v>314</v>
      </c>
      <c r="C52" s="844">
        <f ca="1">'1. Att Cost Eff'!G57*1000</f>
        <v>0</v>
      </c>
      <c r="D52" s="707">
        <f ca="1">C52*0.75</f>
        <v>0</v>
      </c>
      <c r="E52" s="708"/>
      <c r="F52" s="830" t="str">
        <f>IF(OR(E52=0,E52=""),"-",E52/C52)</f>
        <v>-</v>
      </c>
      <c r="G52" s="845">
        <f>0.35*0.055</f>
        <v>1.925E-2</v>
      </c>
      <c r="H52" s="829" t="str">
        <f>IF(OR(E52=0,E52=""),"-",IF(F52&lt;0.75,0,(IF(F52&gt;1.25,1.25*G52,G52*F52))))</f>
        <v>-</v>
      </c>
      <c r="I52" s="807">
        <f>G52*$C$57</f>
        <v>5297.7537266894942</v>
      </c>
      <c r="J52" s="781">
        <f>G52*$C$57*1.25</f>
        <v>6622.1921583618678</v>
      </c>
      <c r="K52" s="775">
        <f>IFERROR($E$57*H52, 0)</f>
        <v>0</v>
      </c>
      <c r="L52" s="716" t="s">
        <v>696</v>
      </c>
      <c r="M52" s="731"/>
      <c r="N52" s="731"/>
    </row>
    <row r="53" spans="1:15" hidden="1">
      <c r="A53" s="723">
        <v>2</v>
      </c>
      <c r="B53" s="706" t="s">
        <v>697</v>
      </c>
      <c r="C53" s="844">
        <f ca="1">'1. Att Cost Eff'!F57*1000</f>
        <v>0</v>
      </c>
      <c r="D53" s="707">
        <f ca="1">C53*0.75</f>
        <v>0</v>
      </c>
      <c r="E53" s="708"/>
      <c r="F53" s="830" t="str">
        <f t="shared" ref="F53:F58" si="2">IF(OR(E53=0,E53=""),"-",E53/C53)</f>
        <v>-</v>
      </c>
      <c r="G53" s="845">
        <f>0.1*0.055</f>
        <v>5.5000000000000005E-3</v>
      </c>
      <c r="H53" s="829" t="str">
        <f>IF(OR(E53=0,E53=""),"-",IF(F53&lt;0.75,0,(IF(F53&gt;1.25,1.25*G53,G53*F53))))</f>
        <v>-</v>
      </c>
      <c r="I53" s="807">
        <f>G53*$C$57</f>
        <v>1513.6439219112842</v>
      </c>
      <c r="J53" s="712">
        <f>G53*$C$57*1.25</f>
        <v>1892.0549023891053</v>
      </c>
      <c r="K53" s="775">
        <f>IFERROR($E$57*H53, 0)</f>
        <v>0</v>
      </c>
      <c r="L53" s="716" t="s">
        <v>696</v>
      </c>
      <c r="M53" s="731"/>
    </row>
    <row r="54" spans="1:15" hidden="1">
      <c r="A54" s="723">
        <v>3</v>
      </c>
      <c r="B54" s="706" t="s">
        <v>698</v>
      </c>
      <c r="C54" s="844">
        <f ca="1">'1. Att Cost Eff'!I57</f>
        <v>4220.37</v>
      </c>
      <c r="D54" s="707">
        <f ca="1">C54*0.65</f>
        <v>2743.2404999999999</v>
      </c>
      <c r="E54" s="708"/>
      <c r="F54" s="830" t="str">
        <f t="shared" si="2"/>
        <v>-</v>
      </c>
      <c r="G54" s="845">
        <f>0.12*0.055</f>
        <v>6.6E-3</v>
      </c>
      <c r="H54" s="829" t="str">
        <f>IF(OR(E54=0,E54=""),"-",IF(F54&lt;0.75,0,(IF(F54&gt;1.25,1.25*G54,G54*F54))))</f>
        <v>-</v>
      </c>
      <c r="I54" s="807">
        <f>G54*$C$57</f>
        <v>1816.3727062935411</v>
      </c>
      <c r="J54" s="712">
        <f>G54*$C$57*1.25</f>
        <v>2270.4658828669262</v>
      </c>
      <c r="K54" s="775">
        <f>IFERROR($E$57*H54, 0)</f>
        <v>0</v>
      </c>
      <c r="L54" s="716" t="s">
        <v>696</v>
      </c>
      <c r="M54" s="731"/>
    </row>
    <row r="55" spans="1:15" hidden="1">
      <c r="A55" s="723">
        <v>4</v>
      </c>
      <c r="B55" s="706" t="s">
        <v>699</v>
      </c>
      <c r="C55" s="844">
        <f ca="1">'1. Att Cost Eff'!H57</f>
        <v>0</v>
      </c>
      <c r="D55" s="707">
        <f ca="1">C55*0.65</f>
        <v>0</v>
      </c>
      <c r="E55" s="708"/>
      <c r="F55" s="830" t="str">
        <f t="shared" si="2"/>
        <v>-</v>
      </c>
      <c r="G55" s="845">
        <f>0.08*0.055</f>
        <v>4.4000000000000003E-3</v>
      </c>
      <c r="H55" s="829" t="str">
        <f>IF(OR(E55=0,E55=""),"-",IF(F55&lt;0.75,0,(IF(F55&gt;1.25,1.25*G55,G55*F55))))</f>
        <v>-</v>
      </c>
      <c r="I55" s="807">
        <f>G55*$C$57</f>
        <v>1210.9151375290273</v>
      </c>
      <c r="J55" s="712">
        <f>G55*$C$57*1.25</f>
        <v>1513.6439219112842</v>
      </c>
      <c r="K55" s="775">
        <f>IFERROR($E$57*H55, 0)</f>
        <v>0</v>
      </c>
      <c r="L55" s="716" t="s">
        <v>696</v>
      </c>
      <c r="M55" s="731"/>
    </row>
    <row r="56" spans="1:15" hidden="1">
      <c r="A56" s="723">
        <v>5</v>
      </c>
      <c r="B56" s="706" t="s">
        <v>136</v>
      </c>
      <c r="C56" s="807">
        <f ca="1">'2. Att Ben'!S44*1000</f>
        <v>1081496.5107387225</v>
      </c>
      <c r="D56" s="709"/>
      <c r="E56" s="708"/>
      <c r="F56" s="830" t="str">
        <f t="shared" si="2"/>
        <v>-</v>
      </c>
      <c r="G56" s="846"/>
      <c r="H56" s="710"/>
      <c r="I56" s="711"/>
      <c r="J56" s="709"/>
      <c r="K56" s="776"/>
      <c r="L56" s="716" t="s">
        <v>724</v>
      </c>
      <c r="M56" s="731"/>
    </row>
    <row r="57" spans="1:15" ht="15" hidden="1">
      <c r="A57" s="723">
        <v>6</v>
      </c>
      <c r="B57" s="706" t="s">
        <v>876</v>
      </c>
      <c r="C57" s="807">
        <f>'1. Att Cost Eff'!D57*1000</f>
        <v>275207.98580205167</v>
      </c>
      <c r="D57" s="709"/>
      <c r="E57" s="708"/>
      <c r="F57" s="830" t="str">
        <f t="shared" si="2"/>
        <v>-</v>
      </c>
      <c r="G57" s="846"/>
      <c r="H57" s="710"/>
      <c r="I57" s="711"/>
      <c r="J57" s="709"/>
      <c r="K57" s="776"/>
      <c r="L57" s="716" t="s">
        <v>696</v>
      </c>
      <c r="M57" s="731"/>
    </row>
    <row r="58" spans="1:15" hidden="1">
      <c r="A58" s="723">
        <v>7</v>
      </c>
      <c r="B58" s="706" t="s">
        <v>701</v>
      </c>
      <c r="C58" s="807">
        <f ca="1">C56-C57</f>
        <v>806288.5249366709</v>
      </c>
      <c r="D58" s="712">
        <f ca="1">C58*0.75</f>
        <v>604716.39370250318</v>
      </c>
      <c r="E58" s="238">
        <f>E56-E57</f>
        <v>0</v>
      </c>
      <c r="F58" s="831" t="str">
        <f t="shared" si="2"/>
        <v>-</v>
      </c>
      <c r="G58" s="713">
        <f>0.35*0.055</f>
        <v>1.925E-2</v>
      </c>
      <c r="H58" s="832" t="str">
        <f>IF(OR(E58=0,E58=""),"-",IF(F58&lt;0.75,0,(IF(F58&gt;1.25,1.25*G58,G58*F58))))</f>
        <v>-</v>
      </c>
      <c r="I58" s="807">
        <f>G58*$C$57</f>
        <v>5297.7537266894942</v>
      </c>
      <c r="J58" s="712">
        <f>G58*$C$57*1.25</f>
        <v>6622.1921583618678</v>
      </c>
      <c r="K58" s="777">
        <f>IFERROR($E$57*H58, 0)</f>
        <v>0</v>
      </c>
      <c r="L58" s="717" t="s">
        <v>702</v>
      </c>
      <c r="M58" s="731"/>
    </row>
    <row r="59" spans="1:15" ht="13.5" hidden="1" thickBot="1">
      <c r="A59" s="723">
        <v>8</v>
      </c>
      <c r="B59" s="732" t="s">
        <v>703</v>
      </c>
      <c r="C59" s="847"/>
      <c r="D59" s="848"/>
      <c r="E59" s="849"/>
      <c r="F59" s="849"/>
      <c r="G59" s="718">
        <f>SUM(G52:G58)</f>
        <v>5.5000000000000007E-2</v>
      </c>
      <c r="H59" s="833" t="str">
        <f>IF(SUM(H52:H58)=0,"-",SUM(H52:H58))</f>
        <v>-</v>
      </c>
      <c r="I59" s="719">
        <f>SUM(I52:I58)</f>
        <v>15136.439219112841</v>
      </c>
      <c r="J59" s="782">
        <f>SUM(J52:J58)</f>
        <v>18920.54902389105</v>
      </c>
      <c r="K59" s="778">
        <f>SUM(K52:K58)</f>
        <v>0</v>
      </c>
      <c r="L59" s="733"/>
      <c r="M59" s="731"/>
      <c r="O59" s="731"/>
    </row>
    <row r="60" spans="1:15" ht="13.5" hidden="1" thickBot="1"/>
    <row r="61" spans="1:15" hidden="1">
      <c r="B61" s="734"/>
      <c r="C61" s="1776" t="s">
        <v>704</v>
      </c>
      <c r="D61" s="1777"/>
      <c r="E61" s="735"/>
      <c r="F61" s="736"/>
      <c r="G61" s="737"/>
      <c r="I61" s="779"/>
      <c r="J61" s="779"/>
    </row>
    <row r="62" spans="1:15" hidden="1">
      <c r="B62" s="738"/>
      <c r="C62" s="739" t="s">
        <v>214</v>
      </c>
      <c r="D62" s="740" t="s">
        <v>313</v>
      </c>
      <c r="E62" s="1778" t="s">
        <v>695</v>
      </c>
      <c r="F62" s="1779"/>
      <c r="G62" s="1780"/>
    </row>
    <row r="63" spans="1:15" hidden="1">
      <c r="A63" s="723">
        <v>9</v>
      </c>
      <c r="B63" s="741" t="s">
        <v>705</v>
      </c>
      <c r="C63" s="720">
        <f ca="1">'1. Att Cost Eff'!C57*1000</f>
        <v>1081496.5107387225</v>
      </c>
      <c r="D63" s="742"/>
      <c r="E63" s="743" t="s">
        <v>696</v>
      </c>
      <c r="F63" s="744"/>
      <c r="G63" s="745"/>
    </row>
    <row r="64" spans="1:15" hidden="1">
      <c r="A64" s="723">
        <v>10</v>
      </c>
      <c r="B64" s="746" t="s">
        <v>122</v>
      </c>
      <c r="C64" s="714">
        <f>I59</f>
        <v>15136.439219112841</v>
      </c>
      <c r="D64" s="715">
        <f>K59</f>
        <v>0</v>
      </c>
      <c r="E64" s="747" t="s">
        <v>706</v>
      </c>
      <c r="F64" s="748"/>
      <c r="G64" s="749"/>
    </row>
    <row r="65" spans="1:7" hidden="1">
      <c r="A65" s="723">
        <v>11</v>
      </c>
      <c r="B65" s="746" t="s">
        <v>123</v>
      </c>
      <c r="C65" s="721">
        <f ca="1">'1. Att Cost Eff'!E57*1000</f>
        <v>0</v>
      </c>
      <c r="D65" s="750"/>
      <c r="E65" s="716" t="s">
        <v>696</v>
      </c>
      <c r="F65" s="748"/>
      <c r="G65" s="749"/>
    </row>
    <row r="66" spans="1:7" hidden="1">
      <c r="A66" s="723">
        <v>12</v>
      </c>
      <c r="B66" s="751" t="s">
        <v>700</v>
      </c>
      <c r="C66" s="720">
        <f>'1. Att Cost Eff'!D57*1000</f>
        <v>275207.98580205167</v>
      </c>
      <c r="D66" s="742">
        <f>E57</f>
        <v>0</v>
      </c>
      <c r="E66" s="747" t="s">
        <v>707</v>
      </c>
      <c r="F66" s="748"/>
      <c r="G66" s="749"/>
    </row>
    <row r="67" spans="1:7" ht="13.5" hidden="1" thickBot="1">
      <c r="A67" s="723">
        <v>13</v>
      </c>
      <c r="B67" s="752" t="s">
        <v>708</v>
      </c>
      <c r="C67" s="722">
        <f ca="1">IFERROR(C63/(C64+C65+C66),"-")</f>
        <v>3.7248743820718695</v>
      </c>
      <c r="D67" s="753" t="str">
        <f>IFERROR(D63/(D64+D65+D66),"-")</f>
        <v>-</v>
      </c>
      <c r="E67" s="850" t="s">
        <v>709</v>
      </c>
      <c r="F67" s="851"/>
      <c r="G67" s="852"/>
    </row>
    <row r="68" spans="1:7" hidden="1"/>
    <row r="69" spans="1:7" hidden="1">
      <c r="B69" s="754" t="s">
        <v>875</v>
      </c>
    </row>
    <row r="70" spans="1:7" hidden="1"/>
    <row r="71" spans="1:7" ht="17.25" hidden="1">
      <c r="A71" s="828">
        <v>1</v>
      </c>
      <c r="B71" s="723" t="s">
        <v>723</v>
      </c>
    </row>
  </sheetData>
  <mergeCells count="9">
    <mergeCell ref="B8:L8"/>
    <mergeCell ref="C19:D19"/>
    <mergeCell ref="E20:G20"/>
    <mergeCell ref="E62:G62"/>
    <mergeCell ref="B50:L50"/>
    <mergeCell ref="C61:D61"/>
    <mergeCell ref="B29:L29"/>
    <mergeCell ref="C40:D40"/>
    <mergeCell ref="E41:G41"/>
  </mergeCells>
  <printOptions horizontalCentered="1"/>
  <pageMargins left="0.25" right="0.25" top="0.75" bottom="0.75" header="0.3" footer="0.3"/>
  <pageSetup scale="52" orientation="landscape" r:id="rId1"/>
  <ignoredErrors>
    <ignoredError sqref="H5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B970-0C18-4CE8-AEC7-2B812204A15D}">
  <sheetPr>
    <tabColor rgb="FF92D050"/>
    <pageSetUpPr fitToPage="1"/>
  </sheetPr>
  <dimension ref="A1:AA63"/>
  <sheetViews>
    <sheetView showGridLines="0" zoomScale="85" zoomScaleNormal="85" workbookViewId="0">
      <pane xSplit="4" ySplit="4" topLeftCell="I5" activePane="bottomRight" state="frozen"/>
      <selection activeCell="J5" sqref="J5"/>
      <selection pane="topRight" activeCell="J5" sqref="J5"/>
      <selection pane="bottomLeft" activeCell="J5" sqref="J5"/>
      <selection pane="bottomRight" activeCell="I14" sqref="I14"/>
    </sheetView>
  </sheetViews>
  <sheetFormatPr defaultColWidth="10" defaultRowHeight="15" outlineLevelCol="1"/>
  <cols>
    <col min="1" max="1" width="5.5703125" style="165" bestFit="1" customWidth="1"/>
    <col min="2" max="2" width="26.140625" style="110" hidden="1" customWidth="1" outlineLevel="1"/>
    <col min="3" max="3" width="39.5703125" style="110" hidden="1" customWidth="1" outlineLevel="1"/>
    <col min="4" max="4" width="40.85546875" style="110" bestFit="1" customWidth="1" collapsed="1"/>
    <col min="5" max="11" width="14.85546875" style="87" customWidth="1"/>
    <col min="12" max="12" width="14.85546875" style="311" customWidth="1"/>
    <col min="13" max="14" width="17" style="87" bestFit="1" customWidth="1"/>
    <col min="15" max="15" width="16" style="87" customWidth="1"/>
    <col min="16" max="16" width="14.42578125" style="87" bestFit="1" customWidth="1"/>
    <col min="17" max="17" width="15" style="87" customWidth="1"/>
    <col min="18" max="19" width="10" style="87"/>
    <col min="20" max="20" width="14.42578125" style="87" bestFit="1" customWidth="1"/>
    <col min="21" max="23" width="13.7109375" style="87" bestFit="1" customWidth="1"/>
    <col min="24" max="16384" width="10" style="87"/>
  </cols>
  <sheetData>
    <row r="1" spans="1:27">
      <c r="J1" s="248"/>
      <c r="L1" s="757"/>
    </row>
    <row r="2" spans="1:27">
      <c r="E2" s="1122"/>
      <c r="G2" s="695"/>
      <c r="I2" s="759"/>
      <c r="L2" s="758"/>
      <c r="O2" s="701"/>
      <c r="P2" s="701"/>
      <c r="Q2" s="701"/>
    </row>
    <row r="3" spans="1:27">
      <c r="E3" s="853"/>
      <c r="F3" s="853"/>
      <c r="G3" s="854"/>
      <c r="H3" s="854"/>
      <c r="I3" s="854"/>
      <c r="J3" s="854"/>
      <c r="K3" s="113"/>
      <c r="L3" s="855"/>
      <c r="O3" s="702"/>
      <c r="P3" s="702"/>
      <c r="Q3" s="702"/>
    </row>
    <row r="4" spans="1:27" s="315" customFormat="1" ht="30">
      <c r="A4" s="312" t="s">
        <v>74</v>
      </c>
      <c r="B4" s="313" t="s">
        <v>432</v>
      </c>
      <c r="C4" s="313" t="s">
        <v>431</v>
      </c>
      <c r="D4" s="314" t="s">
        <v>430</v>
      </c>
      <c r="E4" s="827" t="s">
        <v>282</v>
      </c>
      <c r="F4" s="827" t="s">
        <v>283</v>
      </c>
      <c r="G4" s="827" t="s">
        <v>287</v>
      </c>
      <c r="H4" s="827" t="s">
        <v>284</v>
      </c>
      <c r="I4" s="827" t="s">
        <v>285</v>
      </c>
      <c r="J4" s="827" t="s">
        <v>286</v>
      </c>
      <c r="K4" s="827" t="s">
        <v>122</v>
      </c>
      <c r="L4" s="856" t="s">
        <v>281</v>
      </c>
      <c r="N4" s="87"/>
      <c r="O4" s="701"/>
      <c r="P4" s="701"/>
      <c r="Q4" s="701"/>
    </row>
    <row r="5" spans="1:27">
      <c r="A5" s="1085">
        <f>Year1</f>
        <v>2024</v>
      </c>
      <c r="B5" s="146" t="str">
        <f>Lookups!$E$70</f>
        <v>A - Residential</v>
      </c>
      <c r="C5" s="146" t="s">
        <v>902</v>
      </c>
      <c r="D5" s="146" t="s">
        <v>904</v>
      </c>
      <c r="E5" s="1080">
        <v>1330.1268000000002</v>
      </c>
      <c r="F5" s="1080">
        <v>201</v>
      </c>
      <c r="G5" s="1080">
        <v>40000</v>
      </c>
      <c r="H5" s="1080">
        <v>27538</v>
      </c>
      <c r="I5" s="1080">
        <v>931</v>
      </c>
      <c r="J5" s="1080"/>
      <c r="K5" s="1080"/>
      <c r="L5" s="112">
        <f t="shared" ref="L5:L13" si="0">SUM(E5:J5)</f>
        <v>70000.126799999998</v>
      </c>
      <c r="M5" s="705"/>
      <c r="N5" s="111"/>
      <c r="O5" s="111"/>
      <c r="P5" s="701"/>
      <c r="T5" s="703"/>
      <c r="U5" s="703"/>
      <c r="W5" s="698"/>
      <c r="X5" s="698"/>
      <c r="Y5" s="698"/>
      <c r="Z5" s="698"/>
      <c r="AA5" s="698"/>
    </row>
    <row r="6" spans="1:27" hidden="1">
      <c r="A6" s="826">
        <f>Year1</f>
        <v>2024</v>
      </c>
      <c r="B6" s="146" t="str">
        <f>Lookups!$E$72</f>
        <v>B - Low-Income</v>
      </c>
      <c r="C6" s="146" t="s">
        <v>268</v>
      </c>
      <c r="D6" s="146"/>
      <c r="E6" s="1080"/>
      <c r="F6" s="1080"/>
      <c r="G6" s="1080"/>
      <c r="H6" s="1080"/>
      <c r="I6" s="1080"/>
      <c r="J6" s="1080"/>
      <c r="K6" s="1080"/>
      <c r="L6" s="112">
        <f t="shared" si="0"/>
        <v>0</v>
      </c>
      <c r="M6" s="705"/>
      <c r="N6" s="111"/>
      <c r="O6" s="111"/>
      <c r="P6" s="701"/>
      <c r="T6" s="703"/>
      <c r="U6" s="703"/>
      <c r="W6" s="698"/>
      <c r="X6" s="698"/>
      <c r="Y6" s="698"/>
      <c r="Z6" s="698"/>
      <c r="AA6" s="698"/>
    </row>
    <row r="7" spans="1:27">
      <c r="A7" s="215">
        <f>Year1</f>
        <v>2024</v>
      </c>
      <c r="B7" s="1081" t="str">
        <f>Lookups!$E$71</f>
        <v>C - Commercial &amp; Industrial</v>
      </c>
      <c r="C7" s="113" t="s">
        <v>903</v>
      </c>
      <c r="D7" s="1081" t="s">
        <v>905</v>
      </c>
      <c r="E7" s="1082">
        <v>3112.4967120000006</v>
      </c>
      <c r="F7" s="1082">
        <f>78.3+155</f>
        <v>233.3</v>
      </c>
      <c r="G7" s="1082">
        <v>100000</v>
      </c>
      <c r="H7" s="1082">
        <v>105758</v>
      </c>
      <c r="I7" s="1082">
        <v>2179</v>
      </c>
      <c r="J7" s="1082"/>
      <c r="K7" s="1082"/>
      <c r="L7" s="216">
        <f t="shared" si="0"/>
        <v>211282.79671199998</v>
      </c>
      <c r="M7" s="705"/>
      <c r="N7" s="111"/>
      <c r="O7" s="111"/>
      <c r="P7" s="701"/>
      <c r="T7" s="703"/>
      <c r="U7" s="703"/>
      <c r="W7" s="698"/>
      <c r="X7" s="698"/>
      <c r="Y7" s="698"/>
      <c r="Z7" s="698"/>
      <c r="AA7" s="698"/>
    </row>
    <row r="8" spans="1:27">
      <c r="A8" s="1085">
        <f>Year2</f>
        <v>2025</v>
      </c>
      <c r="B8" s="146" t="str">
        <f>Lookups!$E$70</f>
        <v>A - Residential</v>
      </c>
      <c r="C8" s="146" t="s">
        <v>902</v>
      </c>
      <c r="D8" s="146" t="s">
        <v>904</v>
      </c>
      <c r="E8" s="1080">
        <v>1370.0304000000001</v>
      </c>
      <c r="F8" s="1080">
        <v>206</v>
      </c>
      <c r="G8" s="1080">
        <v>45000</v>
      </c>
      <c r="H8" s="1080">
        <v>29811</v>
      </c>
      <c r="I8" s="1080">
        <v>959</v>
      </c>
      <c r="J8" s="1080"/>
      <c r="K8" s="1080"/>
      <c r="L8" s="112">
        <f t="shared" si="0"/>
        <v>77346.030400000003</v>
      </c>
      <c r="M8" s="1333"/>
      <c r="N8" s="111"/>
      <c r="O8" s="111"/>
      <c r="P8" s="701"/>
      <c r="T8" s="703"/>
      <c r="U8" s="703"/>
      <c r="W8" s="698"/>
      <c r="X8" s="698"/>
      <c r="Y8" s="698"/>
      <c r="Z8" s="698"/>
      <c r="AA8" s="698"/>
    </row>
    <row r="9" spans="1:27" hidden="1">
      <c r="A9" s="826">
        <f>Year2</f>
        <v>2025</v>
      </c>
      <c r="B9" s="146" t="str">
        <f>Lookups!$E$72</f>
        <v>B - Low-Income</v>
      </c>
      <c r="C9" s="146" t="s">
        <v>268</v>
      </c>
      <c r="D9" s="146"/>
      <c r="E9" s="1080"/>
      <c r="F9" s="1080"/>
      <c r="G9" s="1080"/>
      <c r="H9" s="1080"/>
      <c r="I9" s="1080"/>
      <c r="J9" s="1080"/>
      <c r="K9" s="1080"/>
      <c r="L9" s="112">
        <f t="shared" si="0"/>
        <v>0</v>
      </c>
      <c r="M9" s="1333"/>
      <c r="N9" s="111"/>
      <c r="O9" s="111"/>
      <c r="P9" s="701"/>
      <c r="T9" s="703"/>
      <c r="U9" s="703"/>
      <c r="W9" s="698"/>
      <c r="X9" s="698"/>
      <c r="Y9" s="698"/>
      <c r="Z9" s="698"/>
      <c r="AA9" s="698"/>
    </row>
    <row r="10" spans="1:27">
      <c r="A10" s="215">
        <f>Year2</f>
        <v>2025</v>
      </c>
      <c r="B10" s="1081" t="str">
        <f>Lookups!$E$71</f>
        <v>C - Commercial &amp; Industrial</v>
      </c>
      <c r="C10" s="113" t="s">
        <v>903</v>
      </c>
      <c r="D10" s="1081" t="s">
        <v>905</v>
      </c>
      <c r="E10" s="1082">
        <v>3205.8711360000002</v>
      </c>
      <c r="F10" s="1082">
        <v>242</v>
      </c>
      <c r="G10" s="1082">
        <v>105000</v>
      </c>
      <c r="H10" s="1082">
        <v>115098</v>
      </c>
      <c r="I10" s="1082">
        <v>2244</v>
      </c>
      <c r="J10" s="1082"/>
      <c r="K10" s="1082"/>
      <c r="L10" s="216">
        <f t="shared" si="0"/>
        <v>225789.871136</v>
      </c>
      <c r="M10" s="1333"/>
      <c r="N10" s="111"/>
      <c r="O10" s="111"/>
      <c r="P10" s="701"/>
      <c r="T10" s="703"/>
      <c r="U10" s="703"/>
      <c r="W10" s="698"/>
      <c r="X10" s="698"/>
      <c r="Y10" s="698"/>
      <c r="Z10" s="698"/>
      <c r="AA10" s="698"/>
    </row>
    <row r="11" spans="1:27">
      <c r="A11" s="1085">
        <f>Year3</f>
        <v>2026</v>
      </c>
      <c r="B11" s="146" t="str">
        <f>Lookups!$E$70</f>
        <v>A - Residential</v>
      </c>
      <c r="C11" s="146" t="s">
        <v>902</v>
      </c>
      <c r="D11" s="146" t="s">
        <v>904</v>
      </c>
      <c r="E11" s="1080">
        <v>1411.1316000000002</v>
      </c>
      <c r="F11" s="1080">
        <v>213</v>
      </c>
      <c r="G11" s="1080">
        <v>57608.030338498167</v>
      </c>
      <c r="H11" s="1080">
        <v>19793</v>
      </c>
      <c r="I11" s="1080">
        <v>988</v>
      </c>
      <c r="J11" s="1080"/>
      <c r="K11" s="1080"/>
      <c r="L11" s="112">
        <f t="shared" si="0"/>
        <v>80013.161938498175</v>
      </c>
      <c r="M11" s="1333"/>
      <c r="N11" s="111"/>
      <c r="O11" s="111"/>
      <c r="P11" s="701"/>
      <c r="T11" s="703"/>
      <c r="U11" s="703"/>
      <c r="W11" s="698"/>
      <c r="X11" s="698"/>
      <c r="Y11" s="698"/>
      <c r="Z11" s="698"/>
      <c r="AA11" s="698"/>
    </row>
    <row r="12" spans="1:27" hidden="1">
      <c r="A12" s="826">
        <f>Year3</f>
        <v>2026</v>
      </c>
      <c r="B12" s="146" t="str">
        <f>Lookups!$E$72</f>
        <v>B - Low-Income</v>
      </c>
      <c r="C12" s="146" t="s">
        <v>268</v>
      </c>
      <c r="D12" s="146"/>
      <c r="E12" s="1080"/>
      <c r="F12" s="1080"/>
      <c r="G12" s="1080"/>
      <c r="H12" s="1080"/>
      <c r="I12" s="1080"/>
      <c r="J12" s="1080"/>
      <c r="K12" s="1080"/>
      <c r="L12" s="112">
        <f t="shared" si="0"/>
        <v>0</v>
      </c>
      <c r="M12" s="705"/>
      <c r="N12" s="111"/>
      <c r="O12" s="111"/>
      <c r="P12" s="701"/>
      <c r="T12" s="703"/>
      <c r="U12" s="703"/>
      <c r="W12" s="698"/>
      <c r="X12" s="698"/>
      <c r="Y12" s="698"/>
      <c r="Z12" s="698"/>
      <c r="AA12" s="698"/>
    </row>
    <row r="13" spans="1:27">
      <c r="A13" s="215">
        <f>Year3</f>
        <v>2026</v>
      </c>
      <c r="B13" s="1081" t="str">
        <f>Lookups!$E$71</f>
        <v>C - Commercial &amp; Industrial</v>
      </c>
      <c r="C13" s="113" t="s">
        <v>903</v>
      </c>
      <c r="D13" s="1081" t="s">
        <v>905</v>
      </c>
      <c r="E13" s="1082">
        <v>3302.0479439999999</v>
      </c>
      <c r="F13" s="1082">
        <v>249</v>
      </c>
      <c r="G13" s="1082">
        <v>158241.98168359505</v>
      </c>
      <c r="H13" s="1082">
        <v>75401</v>
      </c>
      <c r="I13" s="1082">
        <v>2311</v>
      </c>
      <c r="J13" s="1082"/>
      <c r="K13" s="1082"/>
      <c r="L13" s="216">
        <f t="shared" si="0"/>
        <v>239505.02962759504</v>
      </c>
      <c r="M13" s="1333"/>
      <c r="N13" s="111"/>
      <c r="O13" s="111"/>
      <c r="P13" s="701"/>
      <c r="T13" s="703"/>
      <c r="U13" s="703"/>
      <c r="W13" s="698"/>
      <c r="X13" s="698"/>
      <c r="Y13" s="698"/>
      <c r="Z13" s="698"/>
      <c r="AA13" s="698"/>
    </row>
    <row r="15" spans="1:27" ht="14.25">
      <c r="L15" s="87"/>
      <c r="M15" s="1334"/>
    </row>
    <row r="16" spans="1:27" ht="14.25">
      <c r="E16" s="111"/>
      <c r="F16" s="111"/>
      <c r="G16" s="111"/>
      <c r="H16" s="111"/>
      <c r="I16" s="111"/>
      <c r="J16" s="111"/>
      <c r="L16" s="87"/>
      <c r="M16" s="1334"/>
    </row>
    <row r="17" spans="1:12" ht="14.25">
      <c r="A17" s="87"/>
      <c r="B17" s="87"/>
      <c r="C17" s="87"/>
      <c r="D17" s="87"/>
      <c r="E17" s="111"/>
      <c r="F17" s="111"/>
      <c r="G17" s="111"/>
      <c r="H17" s="111"/>
      <c r="I17" s="111"/>
      <c r="J17" s="111"/>
      <c r="L17" s="87"/>
    </row>
    <row r="18" spans="1:12" ht="14.25">
      <c r="A18" s="87"/>
      <c r="B18" s="87"/>
      <c r="C18" s="87"/>
      <c r="D18" s="87"/>
      <c r="E18" s="698"/>
      <c r="F18" s="698"/>
      <c r="G18" s="698"/>
      <c r="H18" s="698"/>
      <c r="I18" s="698"/>
      <c r="J18" s="698"/>
      <c r="K18" s="698"/>
      <c r="L18" s="87"/>
    </row>
    <row r="19" spans="1:12" ht="14.25">
      <c r="A19" s="87"/>
      <c r="B19" s="87"/>
      <c r="C19" s="87"/>
      <c r="D19" s="87"/>
      <c r="E19" s="111"/>
      <c r="F19" s="111"/>
      <c r="G19" s="111"/>
      <c r="H19" s="111"/>
      <c r="I19" s="111"/>
      <c r="J19" s="111"/>
      <c r="K19" s="111"/>
      <c r="L19" s="87"/>
    </row>
    <row r="20" spans="1:12" ht="14.25">
      <c r="A20" s="87"/>
      <c r="B20" s="87"/>
      <c r="C20" s="87"/>
      <c r="D20" s="87"/>
      <c r="E20" s="111"/>
      <c r="F20" s="111"/>
      <c r="G20" s="111"/>
      <c r="H20" s="111"/>
      <c r="I20" s="111"/>
      <c r="J20" s="111"/>
      <c r="K20" s="111"/>
      <c r="L20" s="87"/>
    </row>
    <row r="21" spans="1:12" ht="14.25">
      <c r="A21" s="87"/>
      <c r="B21" s="87"/>
      <c r="C21" s="87"/>
      <c r="D21" s="87"/>
      <c r="E21" s="111"/>
      <c r="F21" s="111"/>
      <c r="G21" s="111"/>
      <c r="H21" s="111"/>
      <c r="I21" s="111"/>
      <c r="J21" s="111"/>
      <c r="K21" s="111"/>
      <c r="L21" s="87"/>
    </row>
    <row r="22" spans="1:12" ht="14.25">
      <c r="A22" s="87"/>
      <c r="B22" s="87"/>
      <c r="C22" s="87"/>
      <c r="D22" s="87"/>
      <c r="E22" s="111"/>
      <c r="F22" s="111"/>
      <c r="G22" s="111"/>
      <c r="H22" s="111"/>
      <c r="I22" s="111"/>
      <c r="J22" s="111"/>
      <c r="K22" s="111"/>
      <c r="L22" s="87"/>
    </row>
    <row r="23" spans="1:12" ht="14.25">
      <c r="A23" s="87"/>
      <c r="B23" s="87"/>
      <c r="C23" s="87"/>
      <c r="D23" s="87"/>
      <c r="E23" s="111"/>
      <c r="F23" s="111"/>
      <c r="G23" s="111"/>
      <c r="H23" s="111"/>
      <c r="I23" s="111"/>
      <c r="J23" s="111"/>
      <c r="K23" s="111"/>
      <c r="L23" s="87"/>
    </row>
    <row r="24" spans="1:12" ht="14.25">
      <c r="A24" s="87"/>
      <c r="B24" s="87"/>
      <c r="C24" s="87"/>
      <c r="D24" s="87"/>
      <c r="E24" s="111"/>
      <c r="F24" s="111"/>
      <c r="G24" s="111"/>
      <c r="H24" s="111"/>
      <c r="I24" s="111"/>
      <c r="J24" s="111"/>
      <c r="K24" s="111"/>
      <c r="L24" s="87"/>
    </row>
    <row r="25" spans="1:12">
      <c r="A25" s="87"/>
      <c r="B25" s="87"/>
      <c r="C25" s="87"/>
      <c r="D25" s="87"/>
      <c r="E25" s="111"/>
      <c r="F25" s="111"/>
      <c r="G25" s="111"/>
      <c r="H25" s="111"/>
      <c r="I25" s="111"/>
      <c r="J25" s="111"/>
      <c r="K25" s="111"/>
      <c r="L25" s="757"/>
    </row>
    <row r="26" spans="1:12">
      <c r="A26" s="87"/>
      <c r="B26" s="87"/>
      <c r="C26" s="87"/>
      <c r="D26" s="87"/>
      <c r="E26" s="111"/>
      <c r="F26" s="111"/>
      <c r="G26" s="111"/>
      <c r="H26" s="111"/>
      <c r="I26" s="111"/>
      <c r="J26" s="111"/>
      <c r="K26" s="111"/>
      <c r="L26" s="757"/>
    </row>
    <row r="27" spans="1:12">
      <c r="A27" s="87"/>
      <c r="B27" s="87"/>
      <c r="C27" s="87"/>
      <c r="D27" s="87"/>
      <c r="E27" s="111"/>
      <c r="F27" s="111"/>
      <c r="G27" s="111"/>
      <c r="H27" s="111"/>
      <c r="I27" s="111"/>
      <c r="J27" s="111"/>
      <c r="K27" s="111"/>
      <c r="L27" s="757"/>
    </row>
    <row r="28" spans="1:12">
      <c r="A28" s="87"/>
      <c r="B28" s="87"/>
      <c r="C28" s="87"/>
      <c r="D28" s="87"/>
      <c r="E28" s="111"/>
      <c r="F28" s="111"/>
      <c r="G28" s="111"/>
      <c r="H28" s="111"/>
      <c r="I28" s="111"/>
      <c r="J28" s="111"/>
      <c r="K28" s="111"/>
      <c r="L28" s="757"/>
    </row>
    <row r="29" spans="1:12">
      <c r="A29" s="87"/>
      <c r="B29" s="87"/>
      <c r="C29" s="87"/>
      <c r="D29" s="87"/>
      <c r="E29" s="111"/>
      <c r="F29" s="111"/>
      <c r="G29" s="111"/>
      <c r="H29" s="111"/>
      <c r="I29" s="111"/>
      <c r="J29" s="111"/>
      <c r="K29" s="111"/>
      <c r="L29" s="757"/>
    </row>
    <row r="30" spans="1:12">
      <c r="A30" s="87"/>
      <c r="B30" s="87"/>
      <c r="C30" s="87"/>
      <c r="D30" s="87"/>
      <c r="E30" s="111"/>
      <c r="F30" s="111"/>
      <c r="G30" s="111"/>
      <c r="H30" s="111"/>
      <c r="I30" s="111"/>
      <c r="J30" s="111"/>
      <c r="K30" s="111"/>
      <c r="L30" s="757"/>
    </row>
    <row r="31" spans="1:12">
      <c r="A31" s="87"/>
      <c r="B31" s="87"/>
      <c r="C31" s="87"/>
      <c r="D31" s="87"/>
      <c r="E31" s="111"/>
      <c r="F31" s="111"/>
      <c r="G31" s="111"/>
      <c r="H31" s="111"/>
      <c r="I31" s="111"/>
      <c r="J31" s="111"/>
      <c r="K31" s="111"/>
      <c r="L31" s="757"/>
    </row>
    <row r="32" spans="1:12">
      <c r="A32" s="87"/>
      <c r="B32" s="87"/>
      <c r="C32" s="87"/>
      <c r="D32" s="87"/>
      <c r="E32" s="111"/>
      <c r="F32" s="111"/>
      <c r="G32" s="111"/>
      <c r="H32" s="111"/>
      <c r="I32" s="111"/>
      <c r="J32" s="111"/>
      <c r="K32" s="111"/>
      <c r="L32" s="757"/>
    </row>
    <row r="33" spans="1:12">
      <c r="A33" s="87"/>
      <c r="B33" s="87"/>
      <c r="C33" s="87"/>
      <c r="D33" s="87"/>
      <c r="E33" s="111"/>
      <c r="F33" s="111"/>
      <c r="G33" s="111"/>
      <c r="H33" s="111"/>
      <c r="I33" s="111"/>
      <c r="J33" s="111"/>
      <c r="K33" s="111"/>
      <c r="L33" s="757"/>
    </row>
    <row r="34" spans="1:12">
      <c r="A34" s="87"/>
      <c r="B34" s="87"/>
      <c r="C34" s="87"/>
      <c r="D34" s="87"/>
      <c r="E34" s="111"/>
      <c r="F34" s="111"/>
      <c r="G34" s="111"/>
      <c r="H34" s="111"/>
      <c r="I34" s="111"/>
      <c r="J34" s="111"/>
      <c r="K34" s="111"/>
      <c r="L34" s="757"/>
    </row>
    <row r="35" spans="1:12">
      <c r="A35" s="87"/>
      <c r="B35" s="87"/>
      <c r="C35" s="87"/>
      <c r="D35" s="87"/>
      <c r="E35" s="111"/>
      <c r="F35" s="111"/>
      <c r="G35" s="111"/>
      <c r="H35" s="111"/>
      <c r="I35" s="111"/>
      <c r="J35" s="111"/>
      <c r="K35" s="111"/>
      <c r="L35" s="757"/>
    </row>
    <row r="36" spans="1:12">
      <c r="A36" s="87"/>
      <c r="B36" s="87"/>
      <c r="C36" s="87"/>
      <c r="D36" s="87"/>
      <c r="E36" s="111"/>
      <c r="F36" s="111"/>
      <c r="G36" s="111"/>
      <c r="H36" s="111"/>
      <c r="I36" s="111"/>
      <c r="J36" s="111"/>
      <c r="K36" s="111"/>
      <c r="L36" s="757"/>
    </row>
    <row r="37" spans="1:12">
      <c r="A37" s="87"/>
      <c r="B37" s="87"/>
      <c r="C37" s="87"/>
      <c r="D37" s="87"/>
      <c r="E37" s="111"/>
      <c r="F37" s="111"/>
      <c r="G37" s="111"/>
      <c r="H37" s="111"/>
      <c r="I37" s="111"/>
      <c r="J37" s="111"/>
      <c r="K37" s="111"/>
      <c r="L37" s="757"/>
    </row>
    <row r="38" spans="1:12">
      <c r="A38" s="87"/>
      <c r="B38" s="87"/>
      <c r="C38" s="87"/>
      <c r="D38" s="87"/>
      <c r="E38" s="111"/>
      <c r="F38" s="111"/>
      <c r="G38" s="111"/>
      <c r="H38" s="111"/>
      <c r="I38" s="111"/>
      <c r="J38" s="111"/>
      <c r="K38" s="111"/>
      <c r="L38" s="757"/>
    </row>
    <row r="39" spans="1:12">
      <c r="A39" s="87"/>
      <c r="B39" s="87"/>
      <c r="C39" s="87"/>
      <c r="D39" s="87"/>
      <c r="E39" s="111"/>
      <c r="F39" s="111"/>
      <c r="G39" s="111"/>
      <c r="H39" s="111"/>
      <c r="I39" s="111"/>
      <c r="J39" s="111"/>
      <c r="K39" s="111"/>
      <c r="L39" s="757"/>
    </row>
    <row r="40" spans="1:12">
      <c r="A40" s="87"/>
      <c r="B40" s="87"/>
      <c r="C40" s="87"/>
      <c r="D40" s="87"/>
      <c r="E40" s="111"/>
      <c r="F40" s="111"/>
      <c r="G40" s="111"/>
      <c r="H40" s="111"/>
      <c r="I40" s="111"/>
      <c r="J40" s="111"/>
      <c r="K40" s="111"/>
      <c r="L40" s="757"/>
    </row>
    <row r="41" spans="1:12">
      <c r="A41" s="87"/>
      <c r="B41" s="87"/>
      <c r="C41" s="87"/>
      <c r="D41" s="87"/>
      <c r="E41" s="111"/>
      <c r="F41" s="111"/>
      <c r="G41" s="111"/>
      <c r="H41" s="111"/>
      <c r="I41" s="111"/>
      <c r="J41" s="111"/>
      <c r="K41" s="111"/>
      <c r="L41" s="757"/>
    </row>
    <row r="42" spans="1:12">
      <c r="A42" s="87"/>
      <c r="B42" s="87"/>
      <c r="C42" s="87"/>
      <c r="D42" s="87"/>
      <c r="E42" s="111"/>
      <c r="F42" s="111"/>
      <c r="G42" s="111"/>
      <c r="H42" s="111"/>
      <c r="I42" s="111"/>
      <c r="J42" s="111"/>
      <c r="K42" s="111"/>
      <c r="L42" s="757"/>
    </row>
    <row r="43" spans="1:12">
      <c r="A43" s="87"/>
      <c r="B43" s="87"/>
      <c r="C43" s="87"/>
      <c r="D43" s="87"/>
      <c r="E43" s="111"/>
      <c r="F43" s="111"/>
      <c r="G43" s="111"/>
      <c r="H43" s="111"/>
      <c r="I43" s="111"/>
      <c r="J43" s="111"/>
      <c r="K43" s="111"/>
      <c r="L43" s="757"/>
    </row>
    <row r="44" spans="1:12">
      <c r="A44" s="87"/>
      <c r="B44" s="87"/>
      <c r="C44" s="87"/>
      <c r="D44" s="87"/>
      <c r="E44" s="111"/>
      <c r="F44" s="111"/>
      <c r="G44" s="111"/>
      <c r="H44" s="111"/>
      <c r="I44" s="111"/>
      <c r="J44" s="111"/>
      <c r="K44" s="111"/>
      <c r="L44" s="757"/>
    </row>
    <row r="45" spans="1:12">
      <c r="A45" s="87"/>
      <c r="B45" s="87"/>
      <c r="C45" s="87"/>
      <c r="D45" s="87"/>
      <c r="E45" s="111"/>
      <c r="F45" s="111"/>
      <c r="G45" s="111"/>
      <c r="H45" s="111"/>
      <c r="I45" s="111"/>
      <c r="J45" s="111"/>
      <c r="K45" s="111"/>
      <c r="L45" s="757"/>
    </row>
    <row r="46" spans="1:12">
      <c r="A46" s="87"/>
      <c r="B46" s="87"/>
      <c r="C46" s="87"/>
      <c r="D46" s="87"/>
      <c r="E46" s="111"/>
      <c r="F46" s="111"/>
      <c r="G46" s="111"/>
      <c r="H46" s="111"/>
      <c r="I46" s="111"/>
      <c r="J46" s="111"/>
      <c r="K46" s="111"/>
      <c r="L46" s="757"/>
    </row>
    <row r="47" spans="1:12">
      <c r="A47" s="87"/>
      <c r="B47" s="87"/>
      <c r="C47" s="87"/>
      <c r="D47" s="87"/>
      <c r="E47" s="111"/>
      <c r="F47" s="111"/>
      <c r="G47" s="111"/>
      <c r="H47" s="111"/>
      <c r="I47" s="111"/>
      <c r="J47" s="111"/>
      <c r="K47" s="111"/>
      <c r="L47" s="757"/>
    </row>
    <row r="48" spans="1:12">
      <c r="A48" s="87"/>
      <c r="B48" s="87"/>
      <c r="C48" s="87"/>
      <c r="D48" s="87"/>
      <c r="E48" s="111"/>
      <c r="F48" s="111"/>
      <c r="G48" s="111"/>
      <c r="H48" s="111"/>
      <c r="I48" s="111"/>
      <c r="J48" s="111"/>
      <c r="K48" s="111"/>
      <c r="L48" s="757"/>
    </row>
    <row r="49" spans="1:12">
      <c r="A49" s="87"/>
      <c r="B49" s="87"/>
      <c r="C49" s="87"/>
      <c r="D49" s="87"/>
      <c r="E49" s="111"/>
      <c r="F49" s="111"/>
      <c r="G49" s="111"/>
      <c r="H49" s="111"/>
      <c r="I49" s="111"/>
      <c r="J49" s="111"/>
      <c r="K49" s="111"/>
      <c r="L49" s="757"/>
    </row>
    <row r="50" spans="1:12">
      <c r="A50" s="87"/>
      <c r="B50" s="87"/>
      <c r="C50" s="87"/>
      <c r="D50" s="87"/>
      <c r="E50" s="111"/>
      <c r="F50" s="111"/>
      <c r="G50" s="111"/>
      <c r="H50" s="111"/>
      <c r="I50" s="111"/>
      <c r="J50" s="111"/>
      <c r="K50" s="111"/>
      <c r="L50" s="757"/>
    </row>
    <row r="51" spans="1:12">
      <c r="A51" s="87"/>
      <c r="B51" s="87"/>
      <c r="C51" s="87"/>
      <c r="D51" s="87"/>
      <c r="E51" s="111"/>
      <c r="F51" s="111"/>
      <c r="G51" s="111"/>
      <c r="H51" s="111"/>
      <c r="I51" s="111"/>
      <c r="J51" s="111"/>
      <c r="K51" s="111"/>
      <c r="L51" s="757"/>
    </row>
    <row r="52" spans="1:12">
      <c r="A52" s="87"/>
      <c r="B52" s="87"/>
      <c r="C52" s="87"/>
      <c r="D52" s="87"/>
      <c r="E52" s="111"/>
      <c r="F52" s="111"/>
      <c r="G52" s="111"/>
      <c r="H52" s="111"/>
      <c r="I52" s="111"/>
      <c r="J52" s="111"/>
      <c r="K52" s="111"/>
      <c r="L52" s="757"/>
    </row>
    <row r="53" spans="1:12">
      <c r="A53" s="87"/>
      <c r="B53" s="87"/>
      <c r="C53" s="87"/>
      <c r="D53" s="87"/>
      <c r="E53" s="111"/>
      <c r="F53" s="111"/>
      <c r="G53" s="111"/>
      <c r="H53" s="111"/>
      <c r="I53" s="111"/>
      <c r="J53" s="111"/>
      <c r="K53" s="111"/>
      <c r="L53" s="757"/>
    </row>
    <row r="54" spans="1:12">
      <c r="A54" s="87"/>
      <c r="B54" s="87"/>
      <c r="C54" s="87"/>
      <c r="D54" s="87"/>
      <c r="E54" s="111"/>
      <c r="F54" s="111"/>
      <c r="G54" s="111"/>
      <c r="H54" s="111"/>
      <c r="I54" s="111"/>
      <c r="J54" s="111"/>
      <c r="K54" s="111"/>
      <c r="L54" s="757"/>
    </row>
    <row r="55" spans="1:12">
      <c r="A55" s="87"/>
      <c r="B55" s="87"/>
      <c r="C55" s="87"/>
      <c r="D55" s="87"/>
      <c r="E55" s="111"/>
      <c r="F55" s="111"/>
      <c r="G55" s="111"/>
      <c r="H55" s="111"/>
      <c r="I55" s="111"/>
      <c r="J55" s="111"/>
      <c r="K55" s="111"/>
      <c r="L55" s="757"/>
    </row>
    <row r="56" spans="1:12">
      <c r="A56" s="87"/>
      <c r="B56" s="87"/>
      <c r="C56" s="87"/>
      <c r="D56" s="87"/>
      <c r="E56" s="111"/>
      <c r="F56" s="111"/>
      <c r="G56" s="111"/>
      <c r="H56" s="111"/>
      <c r="I56" s="111"/>
      <c r="J56" s="111"/>
      <c r="K56" s="111"/>
      <c r="L56" s="757"/>
    </row>
    <row r="57" spans="1:12">
      <c r="A57" s="87"/>
      <c r="B57" s="87"/>
      <c r="C57" s="87"/>
      <c r="D57" s="87"/>
      <c r="E57" s="111"/>
      <c r="F57" s="111"/>
      <c r="G57" s="111"/>
      <c r="H57" s="111"/>
      <c r="I57" s="111"/>
      <c r="J57" s="111"/>
      <c r="K57" s="111"/>
      <c r="L57" s="757"/>
    </row>
    <row r="58" spans="1:12">
      <c r="A58" s="87"/>
      <c r="B58" s="87"/>
      <c r="C58" s="87"/>
      <c r="D58" s="87"/>
      <c r="E58" s="111"/>
      <c r="F58" s="111"/>
      <c r="G58" s="111"/>
      <c r="H58" s="111"/>
      <c r="I58" s="111"/>
      <c r="J58" s="111"/>
      <c r="K58" s="111"/>
      <c r="L58" s="757"/>
    </row>
    <row r="59" spans="1:12">
      <c r="A59" s="87"/>
      <c r="B59" s="87"/>
      <c r="C59" s="87"/>
      <c r="D59" s="87"/>
      <c r="E59" s="111"/>
      <c r="F59" s="111"/>
      <c r="G59" s="111"/>
      <c r="H59" s="111"/>
      <c r="I59" s="111"/>
      <c r="J59" s="111"/>
      <c r="K59" s="111"/>
      <c r="L59" s="757"/>
    </row>
    <row r="60" spans="1:12">
      <c r="A60" s="87"/>
      <c r="B60" s="87"/>
      <c r="C60" s="87"/>
      <c r="D60" s="87"/>
      <c r="E60" s="111"/>
      <c r="F60" s="111"/>
      <c r="G60" s="111"/>
      <c r="H60" s="111"/>
      <c r="I60" s="111"/>
      <c r="J60" s="111"/>
      <c r="K60" s="111"/>
      <c r="L60" s="757"/>
    </row>
    <row r="61" spans="1:12">
      <c r="A61" s="87"/>
      <c r="B61" s="87"/>
      <c r="C61" s="87"/>
      <c r="D61" s="87"/>
      <c r="E61" s="111"/>
      <c r="F61" s="111"/>
      <c r="G61" s="111"/>
      <c r="H61" s="111"/>
      <c r="I61" s="111"/>
      <c r="J61" s="111"/>
      <c r="K61" s="111"/>
      <c r="L61" s="757"/>
    </row>
    <row r="62" spans="1:12">
      <c r="A62" s="87"/>
      <c r="B62" s="87"/>
      <c r="C62" s="87"/>
      <c r="D62" s="87"/>
      <c r="E62" s="704"/>
      <c r="F62" s="704"/>
      <c r="G62" s="704"/>
      <c r="H62" s="704"/>
      <c r="I62" s="704"/>
      <c r="J62" s="704"/>
      <c r="K62" s="704"/>
      <c r="L62" s="756"/>
    </row>
    <row r="63" spans="1:12">
      <c r="A63" s="87"/>
      <c r="B63" s="87"/>
      <c r="C63" s="87"/>
      <c r="D63" s="87"/>
      <c r="E63" s="704"/>
      <c r="F63" s="704"/>
      <c r="G63" s="704"/>
      <c r="H63" s="704"/>
      <c r="I63" s="704"/>
      <c r="J63" s="704"/>
      <c r="K63" s="704"/>
      <c r="L63" s="756"/>
    </row>
  </sheetData>
  <dataValidations count="2">
    <dataValidation type="list" allowBlank="1" showInputMessage="1" showErrorMessage="1" sqref="C14:C1048576" xr:uid="{3AFA2D8F-4358-4372-89E8-6287D6EAB7E0}">
      <formula1>"ElecProg"</formula1>
    </dataValidation>
    <dataValidation type="list" allowBlank="1" showInputMessage="1" showErrorMessage="1" sqref="B5:B13" xr:uid="{317354BA-2618-4D6D-A34D-E707C6F95461}">
      <formula1>Sector</formula1>
    </dataValidation>
  </dataValidations>
  <printOptions headings="1" gridLines="1"/>
  <pageMargins left="0.75" right="0.75" top="1" bottom="1" header="0.5" footer="0.5"/>
  <pageSetup paperSize="17" scale="53" orientation="landscape" r:id="rId1"/>
  <headerFooter alignWithMargins="0">
    <oddFooter>&amp;L&amp;Z&amp;F
&amp;A&amp;R&amp;D
&amp;T</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2677086-A5F0-4A82-BCEC-FAD97A397EDF}">
          <x14:formula1>
            <xm:f>Lookups!$E$197:$E$247</xm:f>
          </x14:formula1>
          <xm:sqref>D5:D13</xm:sqref>
        </x14:dataValidation>
        <x14:dataValidation type="list" allowBlank="1" showInputMessage="1" showErrorMessage="1" xr:uid="{0FF7FE44-D447-4EFC-B2B1-36F78D8BF45E}">
          <x14:formula1>
            <xm:f>Lookups!$E$145:$E$174</xm:f>
          </x14:formula1>
          <xm:sqref>C5:C13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EB44-0463-4100-B12C-DCCB209F061E}">
  <sheetPr>
    <tabColor rgb="FFFFC000"/>
  </sheetPr>
  <dimension ref="A1:AX50"/>
  <sheetViews>
    <sheetView zoomScale="80" zoomScaleNormal="80" workbookViewId="0">
      <pane xSplit="7" ySplit="4" topLeftCell="H5" activePane="bottomRight" state="frozen"/>
      <selection activeCell="I24" sqref="I24"/>
      <selection pane="topRight" activeCell="I24" sqref="I24"/>
      <selection pane="bottomLeft" activeCell="I24" sqref="I24"/>
      <selection pane="bottomRight" sqref="A1:AV50"/>
    </sheetView>
  </sheetViews>
  <sheetFormatPr defaultColWidth="10" defaultRowHeight="12.75" outlineLevelCol="1"/>
  <cols>
    <col min="1" max="1" width="11.7109375" style="14" customWidth="1"/>
    <col min="2" max="2" width="17.5703125" style="14" customWidth="1"/>
    <col min="3" max="3" width="14.28515625" style="14" customWidth="1"/>
    <col min="4" max="4" width="65.85546875" style="14" bestFit="1" customWidth="1"/>
    <col min="5" max="5" width="19.140625" style="14" bestFit="1" customWidth="1"/>
    <col min="6" max="6" width="12.140625" style="14" customWidth="1"/>
    <col min="7" max="7" width="12.7109375" style="17" customWidth="1"/>
    <col min="8" max="8" width="14.5703125" style="108" customWidth="1"/>
    <col min="9" max="9" width="14.85546875" style="105" customWidth="1"/>
    <col min="10" max="10" width="15.42578125" style="107" customWidth="1"/>
    <col min="11" max="11" width="15.28515625" style="107" customWidth="1"/>
    <col min="12" max="12" width="14.85546875" style="17" customWidth="1"/>
    <col min="13" max="16" width="8.5703125" style="17" customWidth="1"/>
    <col min="17" max="21" width="8.5703125" style="14" customWidth="1"/>
    <col min="22" max="22" width="15.5703125" style="104" customWidth="1"/>
    <col min="23" max="23" width="17.42578125" style="14" bestFit="1" customWidth="1"/>
    <col min="24" max="24" width="13.28515625" style="14" hidden="1" customWidth="1" outlineLevel="1"/>
    <col min="25" max="25" width="12.28515625" style="39" hidden="1" customWidth="1" outlineLevel="1"/>
    <col min="26" max="26" width="8.7109375" style="91" customWidth="1" collapsed="1"/>
    <col min="27" max="29" width="10.28515625" style="91" customWidth="1"/>
    <col min="30" max="30" width="16.85546875" style="198" customWidth="1"/>
    <col min="31" max="34" width="8.85546875" style="17" customWidth="1"/>
    <col min="35" max="35" width="26.28515625" style="14" hidden="1" customWidth="1" outlineLevel="1"/>
    <col min="36" max="36" width="16.7109375" style="106" hidden="1" customWidth="1" outlineLevel="1"/>
    <col min="37" max="37" width="22.5703125" style="14" hidden="1" customWidth="1" outlineLevel="1"/>
    <col min="38" max="38" width="17.5703125" style="14" hidden="1" customWidth="1" outlineLevel="1"/>
    <col min="39" max="39" width="15.28515625" style="14" hidden="1" customWidth="1" outlineLevel="1"/>
    <col min="40" max="40" width="17.5703125" style="14" hidden="1" customWidth="1" outlineLevel="1"/>
    <col min="41" max="42" width="13.85546875" style="17" hidden="1" customWidth="1" outlineLevel="1"/>
    <col min="43" max="43" width="33.85546875" style="952" bestFit="1" customWidth="1" collapsed="1"/>
    <col min="44" max="44" width="5.140625" style="17" bestFit="1" customWidth="1"/>
    <col min="45" max="45" width="10" style="17"/>
    <col min="46" max="46" width="11" style="17" customWidth="1"/>
    <col min="47" max="48" width="10" style="306"/>
    <col min="49" max="16384" width="10" style="2"/>
  </cols>
  <sheetData>
    <row r="1" spans="1:50">
      <c r="A1" s="18"/>
      <c r="B1" s="18"/>
      <c r="D1" s="25" t="s">
        <v>144</v>
      </c>
      <c r="E1" s="297" t="s">
        <v>368</v>
      </c>
      <c r="G1" s="18"/>
      <c r="H1" s="767"/>
      <c r="I1" s="763"/>
      <c r="J1" s="764"/>
      <c r="K1" s="20"/>
      <c r="L1" s="761"/>
      <c r="M1" s="834"/>
      <c r="N1" s="1502"/>
      <c r="O1" s="1502"/>
      <c r="P1" s="835"/>
      <c r="Q1" s="20"/>
      <c r="R1" s="840"/>
      <c r="S1" s="839"/>
      <c r="T1" s="1"/>
      <c r="U1" s="1"/>
      <c r="V1" s="94"/>
      <c r="W1" s="16"/>
      <c r="X1" s="16"/>
      <c r="Y1" s="155"/>
      <c r="Z1" s="88"/>
      <c r="AA1" s="89"/>
      <c r="AB1" s="89"/>
      <c r="AC1" s="89"/>
      <c r="AD1" s="196"/>
      <c r="AE1" s="22"/>
      <c r="AF1" s="21"/>
      <c r="AG1" s="21"/>
      <c r="AH1" s="21"/>
      <c r="AI1" s="21"/>
      <c r="AJ1" s="83"/>
      <c r="AK1" s="23"/>
      <c r="AL1" s="23"/>
      <c r="AM1" s="23"/>
      <c r="AN1" s="23"/>
      <c r="AO1" s="23"/>
      <c r="AP1" s="24"/>
      <c r="AQ1" s="948"/>
      <c r="AR1" s="24"/>
      <c r="AS1" s="24"/>
      <c r="AT1" s="24"/>
    </row>
    <row r="2" spans="1:50">
      <c r="A2" s="96"/>
      <c r="B2" s="96"/>
      <c r="D2" s="40" t="s">
        <v>165</v>
      </c>
      <c r="E2" s="97">
        <v>2024</v>
      </c>
      <c r="G2" s="85"/>
      <c r="H2" s="767"/>
      <c r="I2" s="763"/>
      <c r="J2" s="857"/>
      <c r="K2" s="769"/>
      <c r="L2" s="762"/>
      <c r="M2" s="19"/>
      <c r="N2" s="1503"/>
      <c r="O2" s="1503"/>
      <c r="P2" s="692"/>
      <c r="Q2" s="19"/>
      <c r="R2" s="199"/>
      <c r="S2" s="19"/>
      <c r="T2" s="19"/>
      <c r="U2" s="19"/>
      <c r="V2" s="103"/>
      <c r="W2" s="48"/>
      <c r="X2" s="48"/>
      <c r="Y2" s="156"/>
      <c r="Z2" s="90"/>
      <c r="AA2" s="90"/>
      <c r="AB2" s="90"/>
      <c r="AC2" s="90"/>
      <c r="AD2" s="197"/>
      <c r="AE2" s="19"/>
      <c r="AF2" s="19"/>
      <c r="AG2" s="19"/>
      <c r="AH2" s="19"/>
      <c r="AI2" s="19"/>
      <c r="AJ2" s="19"/>
      <c r="AK2" s="19"/>
      <c r="AL2" s="19"/>
      <c r="AM2" s="19"/>
      <c r="AN2" s="19"/>
      <c r="AO2" s="19"/>
      <c r="AP2" s="19"/>
      <c r="AQ2" s="949"/>
      <c r="AR2" s="19"/>
      <c r="AS2" s="19"/>
      <c r="AT2" s="19"/>
    </row>
    <row r="3" spans="1:50">
      <c r="A3" s="40"/>
      <c r="B3" s="86"/>
      <c r="C3" s="48"/>
      <c r="D3" s="48"/>
      <c r="E3" s="48"/>
      <c r="F3" s="838"/>
      <c r="G3" s="837"/>
      <c r="H3" s="836"/>
      <c r="I3" s="841"/>
      <c r="J3" s="765"/>
      <c r="K3" s="769"/>
      <c r="L3" s="766"/>
      <c r="M3" s="1504" t="s">
        <v>1</v>
      </c>
      <c r="N3" s="1504"/>
      <c r="O3" s="1504"/>
      <c r="P3" s="1504"/>
      <c r="Q3" s="1504"/>
      <c r="R3" s="1504"/>
      <c r="S3" s="1504"/>
      <c r="T3" s="1504"/>
      <c r="U3" s="1504"/>
      <c r="V3" s="1505" t="s">
        <v>2</v>
      </c>
      <c r="W3" s="1505"/>
      <c r="X3" s="1505"/>
      <c r="Y3" s="1505"/>
      <c r="Z3" s="1505"/>
      <c r="AA3" s="1505"/>
      <c r="AB3" s="1505"/>
      <c r="AC3" s="1505"/>
      <c r="AD3" s="1506" t="s">
        <v>3</v>
      </c>
      <c r="AE3" s="1506"/>
      <c r="AF3" s="1506"/>
      <c r="AG3" s="1506"/>
      <c r="AH3" s="1506"/>
      <c r="AI3" s="1507" t="s">
        <v>4</v>
      </c>
      <c r="AJ3" s="1507"/>
      <c r="AK3" s="1507"/>
      <c r="AL3" s="1507"/>
      <c r="AM3" s="1507"/>
      <c r="AN3" s="1507"/>
      <c r="AO3" s="1507"/>
      <c r="AP3" s="1507"/>
      <c r="AQ3" s="950"/>
      <c r="AS3" s="15"/>
      <c r="AT3" s="15"/>
      <c r="AU3" s="1501" t="s">
        <v>540</v>
      </c>
      <c r="AV3" s="1501"/>
    </row>
    <row r="4" spans="1:50" s="309" customFormat="1" ht="78" customHeight="1">
      <c r="A4" s="204" t="s">
        <v>419</v>
      </c>
      <c r="B4" s="204" t="s">
        <v>422</v>
      </c>
      <c r="C4" s="204" t="s">
        <v>421</v>
      </c>
      <c r="D4" s="204" t="s">
        <v>7</v>
      </c>
      <c r="E4" s="204" t="s">
        <v>886</v>
      </c>
      <c r="F4" s="204" t="s">
        <v>420</v>
      </c>
      <c r="G4" s="298" t="s">
        <v>78</v>
      </c>
      <c r="H4" s="205" t="s">
        <v>77</v>
      </c>
      <c r="I4" s="690" t="s">
        <v>9</v>
      </c>
      <c r="J4" s="299" t="s">
        <v>10</v>
      </c>
      <c r="K4" s="299" t="s">
        <v>277</v>
      </c>
      <c r="L4" s="300" t="s">
        <v>11</v>
      </c>
      <c r="M4" s="207" t="s">
        <v>12</v>
      </c>
      <c r="N4" s="207" t="s">
        <v>83</v>
      </c>
      <c r="O4" s="207" t="s">
        <v>84</v>
      </c>
      <c r="P4" s="206" t="s">
        <v>146</v>
      </c>
      <c r="Q4" s="207" t="s">
        <v>13</v>
      </c>
      <c r="R4" s="207" t="s">
        <v>167</v>
      </c>
      <c r="S4" s="207" t="s">
        <v>168</v>
      </c>
      <c r="T4" s="207" t="s">
        <v>169</v>
      </c>
      <c r="U4" s="207" t="s">
        <v>170</v>
      </c>
      <c r="V4" s="301" t="s">
        <v>14</v>
      </c>
      <c r="W4" s="214" t="s">
        <v>423</v>
      </c>
      <c r="X4" s="302" t="s">
        <v>542</v>
      </c>
      <c r="Y4" s="303" t="s">
        <v>543</v>
      </c>
      <c r="Z4" s="304" t="s">
        <v>15</v>
      </c>
      <c r="AA4" s="304" t="s">
        <v>16</v>
      </c>
      <c r="AB4" s="304" t="s">
        <v>17</v>
      </c>
      <c r="AC4" s="304" t="s">
        <v>18</v>
      </c>
      <c r="AD4" s="310" t="s">
        <v>19</v>
      </c>
      <c r="AE4" s="305" t="s">
        <v>20</v>
      </c>
      <c r="AF4" s="305" t="s">
        <v>21</v>
      </c>
      <c r="AG4" s="305" t="s">
        <v>22</v>
      </c>
      <c r="AH4" s="305" t="s">
        <v>23</v>
      </c>
      <c r="AI4" s="208" t="s">
        <v>424</v>
      </c>
      <c r="AJ4" s="209" t="s">
        <v>141</v>
      </c>
      <c r="AK4" s="208" t="s">
        <v>425</v>
      </c>
      <c r="AL4" s="210" t="s">
        <v>142</v>
      </c>
      <c r="AM4" s="208" t="s">
        <v>426</v>
      </c>
      <c r="AN4" s="208" t="s">
        <v>143</v>
      </c>
      <c r="AO4" s="211" t="s">
        <v>24</v>
      </c>
      <c r="AP4" s="211" t="s">
        <v>25</v>
      </c>
      <c r="AQ4" s="951" t="s">
        <v>800</v>
      </c>
      <c r="AR4" s="905" t="s">
        <v>797</v>
      </c>
      <c r="AS4" s="905" t="s">
        <v>798</v>
      </c>
      <c r="AT4" s="905" t="s">
        <v>799</v>
      </c>
      <c r="AU4" s="307" t="s">
        <v>541</v>
      </c>
      <c r="AV4" s="308" t="s">
        <v>82</v>
      </c>
    </row>
    <row r="5" spans="1:50">
      <c r="A5" s="164" t="s">
        <v>899</v>
      </c>
      <c r="B5" s="164" t="s">
        <v>902</v>
      </c>
      <c r="C5" s="164" t="s">
        <v>904</v>
      </c>
      <c r="D5" s="164" t="s">
        <v>778</v>
      </c>
      <c r="E5" s="164" t="s">
        <v>887</v>
      </c>
      <c r="F5" s="164" t="s">
        <v>227</v>
      </c>
      <c r="G5" s="223">
        <v>750</v>
      </c>
      <c r="H5" s="959">
        <v>1</v>
      </c>
      <c r="I5" s="224">
        <v>50</v>
      </c>
      <c r="J5" s="224">
        <v>50</v>
      </c>
      <c r="K5" s="224">
        <v>0</v>
      </c>
      <c r="L5" s="955">
        <v>0</v>
      </c>
      <c r="M5" s="958">
        <v>0</v>
      </c>
      <c r="N5" s="958">
        <v>0</v>
      </c>
      <c r="O5" s="958">
        <v>0</v>
      </c>
      <c r="P5" s="957">
        <v>1</v>
      </c>
      <c r="Q5" s="958">
        <v>1</v>
      </c>
      <c r="R5" s="958">
        <v>1</v>
      </c>
      <c r="S5" s="958">
        <v>1</v>
      </c>
      <c r="T5" s="958">
        <v>1</v>
      </c>
      <c r="U5" s="958">
        <v>1</v>
      </c>
      <c r="V5" s="903"/>
      <c r="W5" s="222" t="s">
        <v>55</v>
      </c>
      <c r="X5" s="901"/>
      <c r="Y5" s="902"/>
      <c r="Z5" s="957">
        <v>0</v>
      </c>
      <c r="AA5" s="957">
        <v>0</v>
      </c>
      <c r="AB5" s="957">
        <v>1</v>
      </c>
      <c r="AC5" s="957">
        <v>0</v>
      </c>
      <c r="AD5" s="904">
        <v>0.85066666666666668</v>
      </c>
      <c r="AE5" s="957">
        <v>1</v>
      </c>
      <c r="AF5" s="957">
        <v>0</v>
      </c>
      <c r="AG5" s="957">
        <v>1</v>
      </c>
      <c r="AH5" s="957">
        <v>1</v>
      </c>
      <c r="AI5" s="202"/>
      <c r="AJ5" s="202"/>
      <c r="AK5" s="202" t="s">
        <v>29</v>
      </c>
      <c r="AL5" s="202" t="s">
        <v>29</v>
      </c>
      <c r="AM5" s="202" t="s">
        <v>29</v>
      </c>
      <c r="AN5" s="202" t="s">
        <v>29</v>
      </c>
      <c r="AO5" s="203">
        <v>0</v>
      </c>
      <c r="AP5" s="203">
        <v>0</v>
      </c>
      <c r="AQ5" s="953" t="s">
        <v>839</v>
      </c>
      <c r="AR5" s="946" t="s">
        <v>273</v>
      </c>
      <c r="AS5" s="946" t="s">
        <v>273</v>
      </c>
      <c r="AT5" s="956">
        <v>0.1</v>
      </c>
      <c r="AU5" s="306" t="s">
        <v>29</v>
      </c>
      <c r="AV5" s="306" t="s">
        <v>29</v>
      </c>
      <c r="AX5" s="768"/>
    </row>
    <row r="6" spans="1:50">
      <c r="A6" s="164" t="s">
        <v>899</v>
      </c>
      <c r="B6" s="164" t="s">
        <v>902</v>
      </c>
      <c r="C6" s="164" t="s">
        <v>904</v>
      </c>
      <c r="D6" s="164" t="s">
        <v>779</v>
      </c>
      <c r="E6" s="164"/>
      <c r="F6" s="164" t="s">
        <v>227</v>
      </c>
      <c r="G6" s="223"/>
      <c r="H6" s="959"/>
      <c r="I6" s="224"/>
      <c r="J6" s="224"/>
      <c r="K6" s="224">
        <v>0</v>
      </c>
      <c r="L6" s="955">
        <v>0</v>
      </c>
      <c r="M6" s="958">
        <v>0</v>
      </c>
      <c r="N6" s="958">
        <v>0</v>
      </c>
      <c r="O6" s="958">
        <v>0</v>
      </c>
      <c r="P6" s="957">
        <v>1</v>
      </c>
      <c r="Q6" s="958">
        <v>1</v>
      </c>
      <c r="R6" s="958">
        <v>1</v>
      </c>
      <c r="S6" s="958">
        <v>1</v>
      </c>
      <c r="T6" s="958">
        <v>1</v>
      </c>
      <c r="U6" s="958">
        <v>1</v>
      </c>
      <c r="V6" s="903"/>
      <c r="W6" s="222" t="s">
        <v>55</v>
      </c>
      <c r="X6" s="901"/>
      <c r="Y6" s="902"/>
      <c r="Z6" s="957">
        <v>0</v>
      </c>
      <c r="AA6" s="957">
        <v>0</v>
      </c>
      <c r="AB6" s="957">
        <v>1</v>
      </c>
      <c r="AC6" s="957">
        <v>0</v>
      </c>
      <c r="AD6" s="904"/>
      <c r="AE6" s="957">
        <v>1</v>
      </c>
      <c r="AF6" s="957">
        <v>0</v>
      </c>
      <c r="AG6" s="957">
        <v>1</v>
      </c>
      <c r="AH6" s="957">
        <v>1</v>
      </c>
      <c r="AI6" s="202"/>
      <c r="AJ6" s="202"/>
      <c r="AK6" s="202" t="s">
        <v>29</v>
      </c>
      <c r="AL6" s="202" t="s">
        <v>29</v>
      </c>
      <c r="AM6" s="202" t="s">
        <v>29</v>
      </c>
      <c r="AN6" s="202" t="s">
        <v>29</v>
      </c>
      <c r="AO6" s="203">
        <v>0</v>
      </c>
      <c r="AP6" s="203">
        <v>0</v>
      </c>
      <c r="AQ6" s="953" t="s">
        <v>839</v>
      </c>
      <c r="AR6" s="947" t="s">
        <v>273</v>
      </c>
      <c r="AS6" s="947" t="s">
        <v>273</v>
      </c>
      <c r="AT6" s="956">
        <v>0.1</v>
      </c>
      <c r="AU6" s="306" t="s">
        <v>29</v>
      </c>
      <c r="AV6" s="306" t="s">
        <v>29</v>
      </c>
      <c r="AX6" s="768"/>
    </row>
    <row r="7" spans="1:50">
      <c r="A7" s="164" t="s">
        <v>899</v>
      </c>
      <c r="B7" s="164" t="s">
        <v>902</v>
      </c>
      <c r="C7" s="164" t="s">
        <v>904</v>
      </c>
      <c r="D7" s="164" t="s">
        <v>780</v>
      </c>
      <c r="E7" s="164"/>
      <c r="F7" s="164" t="s">
        <v>227</v>
      </c>
      <c r="G7" s="223"/>
      <c r="H7" s="959"/>
      <c r="I7" s="224"/>
      <c r="J7" s="224"/>
      <c r="K7" s="224">
        <v>0</v>
      </c>
      <c r="L7" s="955">
        <v>0</v>
      </c>
      <c r="M7" s="958">
        <v>0</v>
      </c>
      <c r="N7" s="958">
        <v>0</v>
      </c>
      <c r="O7" s="958">
        <v>0</v>
      </c>
      <c r="P7" s="957">
        <v>1</v>
      </c>
      <c r="Q7" s="958">
        <v>1</v>
      </c>
      <c r="R7" s="958">
        <v>1</v>
      </c>
      <c r="S7" s="958">
        <v>1</v>
      </c>
      <c r="T7" s="958">
        <v>1</v>
      </c>
      <c r="U7" s="958">
        <v>1</v>
      </c>
      <c r="V7" s="903"/>
      <c r="W7" s="222" t="s">
        <v>55</v>
      </c>
      <c r="X7" s="901"/>
      <c r="Y7" s="902"/>
      <c r="Z7" s="957">
        <v>0</v>
      </c>
      <c r="AA7" s="957">
        <v>0</v>
      </c>
      <c r="AB7" s="957">
        <v>1</v>
      </c>
      <c r="AC7" s="957">
        <v>0</v>
      </c>
      <c r="AD7" s="904"/>
      <c r="AE7" s="957">
        <v>1</v>
      </c>
      <c r="AF7" s="957">
        <v>0</v>
      </c>
      <c r="AG7" s="957">
        <v>1</v>
      </c>
      <c r="AH7" s="957">
        <v>1</v>
      </c>
      <c r="AI7" s="202"/>
      <c r="AJ7" s="202"/>
      <c r="AK7" s="202" t="s">
        <v>29</v>
      </c>
      <c r="AL7" s="202" t="s">
        <v>29</v>
      </c>
      <c r="AM7" s="202" t="s">
        <v>29</v>
      </c>
      <c r="AN7" s="202" t="s">
        <v>29</v>
      </c>
      <c r="AO7" s="203">
        <v>0</v>
      </c>
      <c r="AP7" s="203">
        <v>0</v>
      </c>
      <c r="AQ7" s="953" t="s">
        <v>843</v>
      </c>
      <c r="AR7" s="947" t="s">
        <v>273</v>
      </c>
      <c r="AS7" s="947" t="s">
        <v>388</v>
      </c>
      <c r="AT7" s="956">
        <v>1</v>
      </c>
      <c r="AU7" s="306" t="s">
        <v>29</v>
      </c>
      <c r="AV7" s="306" t="s">
        <v>29</v>
      </c>
      <c r="AX7" s="768"/>
    </row>
    <row r="8" spans="1:50">
      <c r="A8" s="164" t="s">
        <v>899</v>
      </c>
      <c r="B8" s="164" t="s">
        <v>902</v>
      </c>
      <c r="C8" s="164" t="s">
        <v>904</v>
      </c>
      <c r="D8" s="164" t="s">
        <v>781</v>
      </c>
      <c r="E8" s="164"/>
      <c r="F8" s="164" t="s">
        <v>227</v>
      </c>
      <c r="G8" s="223"/>
      <c r="H8" s="959"/>
      <c r="I8" s="224"/>
      <c r="J8" s="224"/>
      <c r="K8" s="224">
        <v>0</v>
      </c>
      <c r="L8" s="955">
        <v>0</v>
      </c>
      <c r="M8" s="958">
        <v>0</v>
      </c>
      <c r="N8" s="958">
        <v>0</v>
      </c>
      <c r="O8" s="958">
        <v>0</v>
      </c>
      <c r="P8" s="957">
        <v>1</v>
      </c>
      <c r="Q8" s="958">
        <v>1</v>
      </c>
      <c r="R8" s="958">
        <v>1</v>
      </c>
      <c r="S8" s="958">
        <v>1</v>
      </c>
      <c r="T8" s="958">
        <v>1</v>
      </c>
      <c r="U8" s="958">
        <v>1</v>
      </c>
      <c r="V8" s="903"/>
      <c r="W8" s="222" t="s">
        <v>794</v>
      </c>
      <c r="X8" s="901"/>
      <c r="Y8" s="902"/>
      <c r="Z8" s="957">
        <v>0</v>
      </c>
      <c r="AA8" s="957">
        <v>0</v>
      </c>
      <c r="AB8" s="957">
        <v>0</v>
      </c>
      <c r="AC8" s="957">
        <v>1</v>
      </c>
      <c r="AD8" s="904"/>
      <c r="AE8" s="957">
        <v>0</v>
      </c>
      <c r="AF8" s="957">
        <v>0</v>
      </c>
      <c r="AG8" s="957">
        <v>0</v>
      </c>
      <c r="AH8" s="957">
        <v>0</v>
      </c>
      <c r="AI8" s="202"/>
      <c r="AJ8" s="202"/>
      <c r="AK8" s="202" t="s">
        <v>29</v>
      </c>
      <c r="AL8" s="202" t="s">
        <v>29</v>
      </c>
      <c r="AM8" s="202" t="s">
        <v>29</v>
      </c>
      <c r="AN8" s="202" t="s">
        <v>29</v>
      </c>
      <c r="AO8" s="203">
        <v>0</v>
      </c>
      <c r="AP8" s="203">
        <v>0</v>
      </c>
      <c r="AQ8" s="953" t="s">
        <v>847</v>
      </c>
      <c r="AR8" s="947" t="s">
        <v>273</v>
      </c>
      <c r="AS8" s="947" t="s">
        <v>388</v>
      </c>
      <c r="AT8" s="956">
        <v>1</v>
      </c>
      <c r="AU8" s="306" t="s">
        <v>29</v>
      </c>
      <c r="AV8" s="306" t="s">
        <v>29</v>
      </c>
      <c r="AX8" s="768"/>
    </row>
    <row r="9" spans="1:50">
      <c r="A9" s="164" t="s">
        <v>899</v>
      </c>
      <c r="B9" s="164" t="s">
        <v>902</v>
      </c>
      <c r="C9" s="164" t="s">
        <v>904</v>
      </c>
      <c r="D9" s="164" t="s">
        <v>782</v>
      </c>
      <c r="E9" s="164"/>
      <c r="F9" s="164" t="s">
        <v>227</v>
      </c>
      <c r="G9" s="223"/>
      <c r="H9" s="959"/>
      <c r="I9" s="224"/>
      <c r="J9" s="224"/>
      <c r="K9" s="224">
        <v>0</v>
      </c>
      <c r="L9" s="955">
        <v>0</v>
      </c>
      <c r="M9" s="958">
        <v>0</v>
      </c>
      <c r="N9" s="958">
        <v>0</v>
      </c>
      <c r="O9" s="958">
        <v>0</v>
      </c>
      <c r="P9" s="957">
        <v>1</v>
      </c>
      <c r="Q9" s="958">
        <v>1</v>
      </c>
      <c r="R9" s="958">
        <v>1</v>
      </c>
      <c r="S9" s="958">
        <v>1</v>
      </c>
      <c r="T9" s="958">
        <v>1</v>
      </c>
      <c r="U9" s="958">
        <v>1</v>
      </c>
      <c r="V9" s="903"/>
      <c r="W9" s="222" t="s">
        <v>53</v>
      </c>
      <c r="X9" s="901"/>
      <c r="Y9" s="902"/>
      <c r="Z9" s="957">
        <v>1</v>
      </c>
      <c r="AA9" s="957">
        <v>0</v>
      </c>
      <c r="AB9" s="957">
        <v>0</v>
      </c>
      <c r="AC9" s="957">
        <v>0</v>
      </c>
      <c r="AD9" s="904"/>
      <c r="AE9" s="957">
        <v>0</v>
      </c>
      <c r="AF9" s="957">
        <v>1</v>
      </c>
      <c r="AG9" s="957">
        <v>0</v>
      </c>
      <c r="AH9" s="957">
        <v>0</v>
      </c>
      <c r="AI9" s="202"/>
      <c r="AJ9" s="202"/>
      <c r="AK9" s="202" t="s">
        <v>29</v>
      </c>
      <c r="AL9" s="202" t="s">
        <v>29</v>
      </c>
      <c r="AM9" s="202" t="s">
        <v>29</v>
      </c>
      <c r="AN9" s="202" t="s">
        <v>29</v>
      </c>
      <c r="AO9" s="203">
        <v>0</v>
      </c>
      <c r="AP9" s="203">
        <v>0</v>
      </c>
      <c r="AQ9" s="953" t="s">
        <v>853</v>
      </c>
      <c r="AR9" s="947" t="s">
        <v>273</v>
      </c>
      <c r="AS9" s="947" t="s">
        <v>388</v>
      </c>
      <c r="AT9" s="956">
        <v>1</v>
      </c>
      <c r="AU9" s="306" t="s">
        <v>29</v>
      </c>
      <c r="AV9" s="306" t="s">
        <v>29</v>
      </c>
      <c r="AX9" s="768"/>
    </row>
    <row r="10" spans="1:50">
      <c r="A10" s="164" t="s">
        <v>899</v>
      </c>
      <c r="B10" s="164" t="s">
        <v>902</v>
      </c>
      <c r="C10" s="164" t="s">
        <v>904</v>
      </c>
      <c r="D10" s="164" t="s">
        <v>783</v>
      </c>
      <c r="E10" s="164"/>
      <c r="F10" s="164" t="s">
        <v>227</v>
      </c>
      <c r="G10" s="223"/>
      <c r="H10" s="959"/>
      <c r="I10" s="224"/>
      <c r="J10" s="224"/>
      <c r="K10" s="224">
        <v>0</v>
      </c>
      <c r="L10" s="955">
        <v>0</v>
      </c>
      <c r="M10" s="958">
        <v>0</v>
      </c>
      <c r="N10" s="958">
        <v>0</v>
      </c>
      <c r="O10" s="958">
        <v>0</v>
      </c>
      <c r="P10" s="957">
        <v>1</v>
      </c>
      <c r="Q10" s="958">
        <v>1</v>
      </c>
      <c r="R10" s="958">
        <v>1</v>
      </c>
      <c r="S10" s="958">
        <v>1</v>
      </c>
      <c r="T10" s="958">
        <v>1</v>
      </c>
      <c r="U10" s="958">
        <v>1</v>
      </c>
      <c r="V10" s="903"/>
      <c r="W10" s="222" t="s">
        <v>795</v>
      </c>
      <c r="X10" s="901"/>
      <c r="Y10" s="902"/>
      <c r="Z10" s="957">
        <v>0</v>
      </c>
      <c r="AA10" s="957">
        <v>1</v>
      </c>
      <c r="AB10" s="957">
        <v>0</v>
      </c>
      <c r="AC10" s="957">
        <v>0</v>
      </c>
      <c r="AD10" s="904"/>
      <c r="AE10" s="957">
        <v>0</v>
      </c>
      <c r="AF10" s="957">
        <v>0</v>
      </c>
      <c r="AG10" s="957">
        <v>0</v>
      </c>
      <c r="AH10" s="957">
        <v>0</v>
      </c>
      <c r="AI10" s="202"/>
      <c r="AJ10" s="202"/>
      <c r="AK10" s="202" t="s">
        <v>29</v>
      </c>
      <c r="AL10" s="202" t="s">
        <v>29</v>
      </c>
      <c r="AM10" s="202" t="s">
        <v>29</v>
      </c>
      <c r="AN10" s="202" t="s">
        <v>29</v>
      </c>
      <c r="AO10" s="203">
        <v>0</v>
      </c>
      <c r="AP10" s="203">
        <v>0</v>
      </c>
      <c r="AQ10" s="953" t="s">
        <v>858</v>
      </c>
      <c r="AR10" s="947" t="s">
        <v>273</v>
      </c>
      <c r="AS10" s="947" t="s">
        <v>388</v>
      </c>
      <c r="AT10" s="956">
        <v>1</v>
      </c>
      <c r="AU10" s="306" t="s">
        <v>29</v>
      </c>
      <c r="AV10" s="306" t="s">
        <v>29</v>
      </c>
      <c r="AX10" s="768"/>
    </row>
    <row r="11" spans="1:50">
      <c r="A11" s="164" t="s">
        <v>899</v>
      </c>
      <c r="B11" s="164" t="s">
        <v>902</v>
      </c>
      <c r="C11" s="164" t="s">
        <v>904</v>
      </c>
      <c r="D11" s="164" t="s">
        <v>784</v>
      </c>
      <c r="E11" s="164" t="s">
        <v>888</v>
      </c>
      <c r="F11" s="164" t="s">
        <v>227</v>
      </c>
      <c r="G11" s="223"/>
      <c r="H11" s="959">
        <v>1</v>
      </c>
      <c r="I11" s="224"/>
      <c r="J11" s="224"/>
      <c r="K11" s="224">
        <v>0</v>
      </c>
      <c r="L11" s="955">
        <v>0</v>
      </c>
      <c r="M11" s="958">
        <v>0</v>
      </c>
      <c r="N11" s="958">
        <v>0</v>
      </c>
      <c r="O11" s="958">
        <v>0</v>
      </c>
      <c r="P11" s="957">
        <v>1</v>
      </c>
      <c r="Q11" s="958">
        <v>1</v>
      </c>
      <c r="R11" s="958">
        <v>1</v>
      </c>
      <c r="S11" s="958">
        <v>1</v>
      </c>
      <c r="T11" s="958">
        <v>1</v>
      </c>
      <c r="U11" s="958">
        <v>1</v>
      </c>
      <c r="V11" s="1492">
        <v>0</v>
      </c>
      <c r="W11" s="222" t="s">
        <v>55</v>
      </c>
      <c r="X11" s="901"/>
      <c r="Y11" s="902"/>
      <c r="Z11" s="957">
        <v>0</v>
      </c>
      <c r="AA11" s="957">
        <v>0</v>
      </c>
      <c r="AB11" s="957">
        <v>1</v>
      </c>
      <c r="AC11" s="957">
        <v>0</v>
      </c>
      <c r="AD11" s="904"/>
      <c r="AE11" s="957">
        <v>1</v>
      </c>
      <c r="AF11" s="957">
        <v>0</v>
      </c>
      <c r="AG11" s="957">
        <v>1</v>
      </c>
      <c r="AH11" s="957">
        <v>1</v>
      </c>
      <c r="AI11" s="202"/>
      <c r="AJ11" s="202"/>
      <c r="AK11" s="202" t="s">
        <v>29</v>
      </c>
      <c r="AL11" s="202" t="s">
        <v>29</v>
      </c>
      <c r="AM11" s="202" t="s">
        <v>29</v>
      </c>
      <c r="AN11" s="202" t="s">
        <v>29</v>
      </c>
      <c r="AO11" s="203">
        <v>0</v>
      </c>
      <c r="AP11" s="203">
        <v>0</v>
      </c>
      <c r="AQ11" s="953" t="s">
        <v>843</v>
      </c>
      <c r="AR11" s="947" t="s">
        <v>273</v>
      </c>
      <c r="AS11" s="947" t="s">
        <v>273</v>
      </c>
      <c r="AT11" s="956">
        <v>1</v>
      </c>
      <c r="AU11" s="306" t="s">
        <v>29</v>
      </c>
      <c r="AV11" s="306" t="s">
        <v>29</v>
      </c>
      <c r="AX11" s="768"/>
    </row>
    <row r="12" spans="1:50">
      <c r="A12" s="164" t="s">
        <v>899</v>
      </c>
      <c r="B12" s="164" t="s">
        <v>902</v>
      </c>
      <c r="C12" s="164" t="s">
        <v>904</v>
      </c>
      <c r="D12" s="164" t="s">
        <v>785</v>
      </c>
      <c r="E12" s="164" t="s">
        <v>889</v>
      </c>
      <c r="F12" s="164" t="s">
        <v>227</v>
      </c>
      <c r="G12" s="223">
        <v>0</v>
      </c>
      <c r="H12" s="959">
        <v>1</v>
      </c>
      <c r="I12" s="224"/>
      <c r="J12" s="224"/>
      <c r="K12" s="224">
        <v>0</v>
      </c>
      <c r="L12" s="955">
        <v>0</v>
      </c>
      <c r="M12" s="958">
        <v>0</v>
      </c>
      <c r="N12" s="958">
        <v>0</v>
      </c>
      <c r="O12" s="958">
        <v>0</v>
      </c>
      <c r="P12" s="957">
        <v>1</v>
      </c>
      <c r="Q12" s="958">
        <v>1</v>
      </c>
      <c r="R12" s="958">
        <v>1</v>
      </c>
      <c r="S12" s="958">
        <v>1</v>
      </c>
      <c r="T12" s="958">
        <v>1</v>
      </c>
      <c r="U12" s="958">
        <v>1</v>
      </c>
      <c r="V12" s="1492">
        <v>0</v>
      </c>
      <c r="W12" s="222" t="s">
        <v>794</v>
      </c>
      <c r="X12" s="901"/>
      <c r="Y12" s="902"/>
      <c r="Z12" s="957">
        <v>0</v>
      </c>
      <c r="AA12" s="957">
        <v>0</v>
      </c>
      <c r="AB12" s="957">
        <v>0</v>
      </c>
      <c r="AC12" s="957">
        <v>1</v>
      </c>
      <c r="AD12" s="1491">
        <v>0</v>
      </c>
      <c r="AE12" s="957">
        <v>0</v>
      </c>
      <c r="AF12" s="957">
        <v>0</v>
      </c>
      <c r="AG12" s="957">
        <v>0</v>
      </c>
      <c r="AH12" s="957">
        <v>0</v>
      </c>
      <c r="AI12" s="202"/>
      <c r="AJ12" s="202"/>
      <c r="AK12" s="202" t="s">
        <v>29</v>
      </c>
      <c r="AL12" s="202" t="s">
        <v>29</v>
      </c>
      <c r="AM12" s="202" t="s">
        <v>29</v>
      </c>
      <c r="AN12" s="202" t="s">
        <v>29</v>
      </c>
      <c r="AO12" s="203">
        <v>0</v>
      </c>
      <c r="AP12" s="203">
        <v>0</v>
      </c>
      <c r="AQ12" s="953" t="s">
        <v>847</v>
      </c>
      <c r="AR12" s="947" t="s">
        <v>273</v>
      </c>
      <c r="AS12" s="947" t="s">
        <v>273</v>
      </c>
      <c r="AT12" s="956">
        <v>1</v>
      </c>
      <c r="AU12" s="306" t="s">
        <v>29</v>
      </c>
      <c r="AV12" s="306" t="s">
        <v>29</v>
      </c>
      <c r="AX12" s="768"/>
    </row>
    <row r="13" spans="1:50">
      <c r="A13" s="164" t="s">
        <v>899</v>
      </c>
      <c r="B13" s="164" t="s">
        <v>902</v>
      </c>
      <c r="C13" s="164" t="s">
        <v>904</v>
      </c>
      <c r="D13" s="164" t="s">
        <v>786</v>
      </c>
      <c r="E13" s="164"/>
      <c r="F13" s="164" t="s">
        <v>227</v>
      </c>
      <c r="G13" s="223"/>
      <c r="H13" s="959"/>
      <c r="I13" s="224"/>
      <c r="J13" s="224"/>
      <c r="K13" s="224">
        <v>0</v>
      </c>
      <c r="L13" s="955">
        <v>0</v>
      </c>
      <c r="M13" s="958">
        <v>0</v>
      </c>
      <c r="N13" s="958">
        <v>0</v>
      </c>
      <c r="O13" s="958">
        <v>0</v>
      </c>
      <c r="P13" s="957">
        <v>1</v>
      </c>
      <c r="Q13" s="958">
        <v>1</v>
      </c>
      <c r="R13" s="958">
        <v>1</v>
      </c>
      <c r="S13" s="958">
        <v>1</v>
      </c>
      <c r="T13" s="958">
        <v>1</v>
      </c>
      <c r="U13" s="958">
        <v>1</v>
      </c>
      <c r="V13" s="903"/>
      <c r="W13" s="222" t="s">
        <v>53</v>
      </c>
      <c r="X13" s="901"/>
      <c r="Y13" s="902"/>
      <c r="Z13" s="957">
        <v>1</v>
      </c>
      <c r="AA13" s="957">
        <v>0</v>
      </c>
      <c r="AB13" s="957">
        <v>0</v>
      </c>
      <c r="AC13" s="957">
        <v>0</v>
      </c>
      <c r="AD13" s="904"/>
      <c r="AE13" s="957">
        <v>0</v>
      </c>
      <c r="AF13" s="957">
        <v>1</v>
      </c>
      <c r="AG13" s="957">
        <v>0</v>
      </c>
      <c r="AH13" s="957">
        <v>0</v>
      </c>
      <c r="AI13" s="202"/>
      <c r="AJ13" s="202"/>
      <c r="AK13" s="202"/>
      <c r="AL13" s="202"/>
      <c r="AM13" s="202"/>
      <c r="AN13" s="202"/>
      <c r="AO13" s="203"/>
      <c r="AP13" s="203"/>
      <c r="AQ13" s="953" t="s">
        <v>853</v>
      </c>
      <c r="AR13" s="947" t="s">
        <v>273</v>
      </c>
      <c r="AS13" s="947" t="s">
        <v>273</v>
      </c>
      <c r="AT13" s="956">
        <v>0.1</v>
      </c>
      <c r="AX13" s="768"/>
    </row>
    <row r="14" spans="1:50">
      <c r="A14" s="164" t="s">
        <v>899</v>
      </c>
      <c r="B14" s="164" t="s">
        <v>902</v>
      </c>
      <c r="C14" s="164" t="s">
        <v>904</v>
      </c>
      <c r="D14" s="164" t="s">
        <v>787</v>
      </c>
      <c r="E14" s="164"/>
      <c r="F14" s="164" t="s">
        <v>227</v>
      </c>
      <c r="G14" s="223"/>
      <c r="H14" s="959"/>
      <c r="I14" s="224"/>
      <c r="J14" s="224"/>
      <c r="K14" s="224">
        <v>0</v>
      </c>
      <c r="L14" s="955">
        <v>0</v>
      </c>
      <c r="M14" s="958">
        <v>0</v>
      </c>
      <c r="N14" s="958">
        <v>0</v>
      </c>
      <c r="O14" s="958">
        <v>0</v>
      </c>
      <c r="P14" s="957">
        <v>1</v>
      </c>
      <c r="Q14" s="958">
        <v>1</v>
      </c>
      <c r="R14" s="958">
        <v>1</v>
      </c>
      <c r="S14" s="958">
        <v>1</v>
      </c>
      <c r="T14" s="958">
        <v>1</v>
      </c>
      <c r="U14" s="958">
        <v>1</v>
      </c>
      <c r="V14" s="903"/>
      <c r="W14" s="222" t="s">
        <v>795</v>
      </c>
      <c r="X14" s="901"/>
      <c r="Y14" s="902"/>
      <c r="Z14" s="957">
        <v>0</v>
      </c>
      <c r="AA14" s="957">
        <v>1</v>
      </c>
      <c r="AB14" s="957">
        <v>0</v>
      </c>
      <c r="AC14" s="957">
        <v>0</v>
      </c>
      <c r="AD14" s="904"/>
      <c r="AE14" s="957">
        <v>0</v>
      </c>
      <c r="AF14" s="957">
        <v>0</v>
      </c>
      <c r="AG14" s="957">
        <v>0</v>
      </c>
      <c r="AH14" s="957">
        <v>0</v>
      </c>
      <c r="AI14" s="202"/>
      <c r="AJ14" s="202"/>
      <c r="AK14" s="202" t="s">
        <v>29</v>
      </c>
      <c r="AL14" s="202" t="s">
        <v>29</v>
      </c>
      <c r="AM14" s="202" t="s">
        <v>29</v>
      </c>
      <c r="AN14" s="202" t="s">
        <v>29</v>
      </c>
      <c r="AO14" s="203">
        <v>0</v>
      </c>
      <c r="AP14" s="203">
        <v>0</v>
      </c>
      <c r="AQ14" s="953" t="s">
        <v>858</v>
      </c>
      <c r="AR14" s="947" t="s">
        <v>273</v>
      </c>
      <c r="AS14" s="947" t="s">
        <v>273</v>
      </c>
      <c r="AT14" s="956">
        <v>0.1</v>
      </c>
      <c r="AU14" s="306" t="s">
        <v>29</v>
      </c>
      <c r="AV14" s="306" t="s">
        <v>29</v>
      </c>
      <c r="AX14" s="768"/>
    </row>
    <row r="15" spans="1:50">
      <c r="A15" s="164" t="s">
        <v>899</v>
      </c>
      <c r="B15" s="164" t="s">
        <v>902</v>
      </c>
      <c r="C15" s="164" t="s">
        <v>904</v>
      </c>
      <c r="D15" s="164" t="s">
        <v>788</v>
      </c>
      <c r="E15" s="164"/>
      <c r="F15" s="164" t="s">
        <v>227</v>
      </c>
      <c r="G15" s="223"/>
      <c r="H15" s="959"/>
      <c r="I15" s="224"/>
      <c r="J15" s="224"/>
      <c r="K15" s="224">
        <v>0</v>
      </c>
      <c r="L15" s="955">
        <v>0</v>
      </c>
      <c r="M15" s="958">
        <v>0</v>
      </c>
      <c r="N15" s="958">
        <v>0</v>
      </c>
      <c r="O15" s="958">
        <v>0</v>
      </c>
      <c r="P15" s="957">
        <v>1</v>
      </c>
      <c r="Q15" s="958">
        <v>1</v>
      </c>
      <c r="R15" s="958">
        <v>1</v>
      </c>
      <c r="S15" s="958">
        <v>1</v>
      </c>
      <c r="T15" s="958">
        <v>1</v>
      </c>
      <c r="U15" s="958">
        <v>1</v>
      </c>
      <c r="V15" s="903"/>
      <c r="W15" s="222" t="s">
        <v>55</v>
      </c>
      <c r="X15" s="901"/>
      <c r="Y15" s="902"/>
      <c r="Z15" s="957">
        <v>0</v>
      </c>
      <c r="AA15" s="957">
        <v>0</v>
      </c>
      <c r="AB15" s="957">
        <v>1</v>
      </c>
      <c r="AC15" s="957">
        <v>0</v>
      </c>
      <c r="AD15" s="904"/>
      <c r="AE15" s="957">
        <v>1</v>
      </c>
      <c r="AF15" s="957">
        <v>0</v>
      </c>
      <c r="AG15" s="957">
        <v>1</v>
      </c>
      <c r="AH15" s="957">
        <v>1</v>
      </c>
      <c r="AI15" s="202"/>
      <c r="AJ15" s="202"/>
      <c r="AK15" s="202" t="s">
        <v>29</v>
      </c>
      <c r="AL15" s="202" t="s">
        <v>29</v>
      </c>
      <c r="AM15" s="202" t="s">
        <v>29</v>
      </c>
      <c r="AN15" s="202" t="s">
        <v>29</v>
      </c>
      <c r="AO15" s="203">
        <v>0</v>
      </c>
      <c r="AP15" s="203">
        <v>0</v>
      </c>
      <c r="AQ15" s="953" t="s">
        <v>839</v>
      </c>
      <c r="AR15" s="947" t="s">
        <v>273</v>
      </c>
      <c r="AS15" s="947" t="s">
        <v>273</v>
      </c>
      <c r="AT15" s="956">
        <v>0.1</v>
      </c>
      <c r="AU15" s="306" t="s">
        <v>29</v>
      </c>
      <c r="AV15" s="306" t="s">
        <v>29</v>
      </c>
      <c r="AX15" s="768"/>
    </row>
    <row r="16" spans="1:50">
      <c r="A16" s="164" t="s">
        <v>899</v>
      </c>
      <c r="B16" s="164" t="s">
        <v>902</v>
      </c>
      <c r="C16" s="164" t="s">
        <v>904</v>
      </c>
      <c r="D16" s="1063" t="s">
        <v>789</v>
      </c>
      <c r="E16" s="1063"/>
      <c r="F16" s="1063" t="s">
        <v>227</v>
      </c>
      <c r="G16" s="1064"/>
      <c r="H16" s="1065"/>
      <c r="I16" s="1066"/>
      <c r="J16" s="1066"/>
      <c r="K16" s="1066">
        <v>0</v>
      </c>
      <c r="L16" s="1067">
        <v>0</v>
      </c>
      <c r="M16" s="1068">
        <v>0</v>
      </c>
      <c r="N16" s="1068">
        <v>0</v>
      </c>
      <c r="O16" s="1068">
        <v>0</v>
      </c>
      <c r="P16" s="1069">
        <v>1</v>
      </c>
      <c r="Q16" s="1068">
        <v>1</v>
      </c>
      <c r="R16" s="1068">
        <v>1</v>
      </c>
      <c r="S16" s="1068">
        <v>1</v>
      </c>
      <c r="T16" s="1068">
        <v>1</v>
      </c>
      <c r="U16" s="1068">
        <v>1</v>
      </c>
      <c r="V16" s="1070"/>
      <c r="W16" s="1071" t="s">
        <v>53</v>
      </c>
      <c r="X16" s="1072"/>
      <c r="Y16" s="1073"/>
      <c r="Z16" s="1069">
        <v>1</v>
      </c>
      <c r="AA16" s="1069">
        <v>0</v>
      </c>
      <c r="AB16" s="1069">
        <v>0</v>
      </c>
      <c r="AC16" s="1069">
        <v>0</v>
      </c>
      <c r="AD16" s="1074"/>
      <c r="AE16" s="1069">
        <v>0</v>
      </c>
      <c r="AF16" s="1069">
        <v>1</v>
      </c>
      <c r="AG16" s="1069">
        <v>0</v>
      </c>
      <c r="AH16" s="1069">
        <v>0</v>
      </c>
      <c r="AI16" s="1075"/>
      <c r="AJ16" s="1075"/>
      <c r="AK16" s="1075" t="s">
        <v>29</v>
      </c>
      <c r="AL16" s="1075" t="s">
        <v>29</v>
      </c>
      <c r="AM16" s="1075" t="s">
        <v>29</v>
      </c>
      <c r="AN16" s="1075" t="s">
        <v>29</v>
      </c>
      <c r="AO16" s="1076">
        <v>0</v>
      </c>
      <c r="AP16" s="1076">
        <v>0</v>
      </c>
      <c r="AQ16" s="1077" t="s">
        <v>853</v>
      </c>
      <c r="AR16" s="1078" t="s">
        <v>273</v>
      </c>
      <c r="AS16" s="1078" t="s">
        <v>273</v>
      </c>
      <c r="AT16" s="1079">
        <v>0.1</v>
      </c>
      <c r="AU16" s="306" t="s">
        <v>29</v>
      </c>
      <c r="AV16" s="306" t="s">
        <v>29</v>
      </c>
      <c r="AX16" s="768"/>
    </row>
    <row r="17" spans="1:50" hidden="1">
      <c r="A17" s="164" t="s">
        <v>900</v>
      </c>
      <c r="B17" s="164" t="s">
        <v>268</v>
      </c>
      <c r="C17" s="164" t="s">
        <v>687</v>
      </c>
      <c r="D17" s="164" t="s">
        <v>778</v>
      </c>
      <c r="E17" s="164"/>
      <c r="F17" s="164" t="s">
        <v>227</v>
      </c>
      <c r="G17" s="223"/>
      <c r="H17" s="959"/>
      <c r="I17" s="224"/>
      <c r="J17" s="224"/>
      <c r="K17" s="224">
        <v>0</v>
      </c>
      <c r="L17" s="955">
        <v>0</v>
      </c>
      <c r="M17" s="958">
        <v>0</v>
      </c>
      <c r="N17" s="958">
        <v>0</v>
      </c>
      <c r="O17" s="958">
        <v>0</v>
      </c>
      <c r="P17" s="957">
        <v>1</v>
      </c>
      <c r="Q17" s="958">
        <v>1</v>
      </c>
      <c r="R17" s="958">
        <v>1</v>
      </c>
      <c r="S17" s="958">
        <v>1</v>
      </c>
      <c r="T17" s="958">
        <v>1</v>
      </c>
      <c r="U17" s="958">
        <v>1</v>
      </c>
      <c r="V17" s="903"/>
      <c r="W17" s="222" t="s">
        <v>55</v>
      </c>
      <c r="X17" s="901"/>
      <c r="Y17" s="902"/>
      <c r="Z17" s="957">
        <v>0</v>
      </c>
      <c r="AA17" s="957">
        <v>0</v>
      </c>
      <c r="AB17" s="957">
        <v>1</v>
      </c>
      <c r="AC17" s="957">
        <v>0</v>
      </c>
      <c r="AD17" s="904"/>
      <c r="AE17" s="957">
        <v>1</v>
      </c>
      <c r="AF17" s="957">
        <v>0</v>
      </c>
      <c r="AG17" s="957">
        <v>1</v>
      </c>
      <c r="AH17" s="957">
        <v>1</v>
      </c>
      <c r="AI17" s="202"/>
      <c r="AJ17" s="202"/>
      <c r="AK17" s="202" t="s">
        <v>29</v>
      </c>
      <c r="AL17" s="202" t="s">
        <v>29</v>
      </c>
      <c r="AM17" s="202" t="s">
        <v>29</v>
      </c>
      <c r="AN17" s="202" t="s">
        <v>29</v>
      </c>
      <c r="AO17" s="203">
        <v>0</v>
      </c>
      <c r="AP17" s="203">
        <v>0</v>
      </c>
      <c r="AQ17" s="953" t="s">
        <v>839</v>
      </c>
      <c r="AR17" s="947" t="s">
        <v>273</v>
      </c>
      <c r="AS17" s="947" t="s">
        <v>273</v>
      </c>
      <c r="AT17" s="956">
        <v>0.1</v>
      </c>
      <c r="AU17" s="306" t="s">
        <v>29</v>
      </c>
      <c r="AV17" s="306" t="s">
        <v>29</v>
      </c>
      <c r="AX17" s="768"/>
    </row>
    <row r="18" spans="1:50" hidden="1">
      <c r="A18" s="164" t="s">
        <v>900</v>
      </c>
      <c r="B18" s="164" t="s">
        <v>268</v>
      </c>
      <c r="C18" s="164" t="s">
        <v>687</v>
      </c>
      <c r="D18" s="164" t="s">
        <v>779</v>
      </c>
      <c r="E18" s="164"/>
      <c r="F18" s="164" t="s">
        <v>227</v>
      </c>
      <c r="G18" s="223"/>
      <c r="H18" s="959"/>
      <c r="I18" s="224"/>
      <c r="J18" s="224"/>
      <c r="K18" s="224">
        <v>0</v>
      </c>
      <c r="L18" s="955">
        <v>0</v>
      </c>
      <c r="M18" s="958">
        <v>0</v>
      </c>
      <c r="N18" s="958">
        <v>0</v>
      </c>
      <c r="O18" s="958">
        <v>0</v>
      </c>
      <c r="P18" s="957">
        <v>1</v>
      </c>
      <c r="Q18" s="958">
        <v>1</v>
      </c>
      <c r="R18" s="958">
        <v>1</v>
      </c>
      <c r="S18" s="958">
        <v>1</v>
      </c>
      <c r="T18" s="958">
        <v>1</v>
      </c>
      <c r="U18" s="958">
        <v>1</v>
      </c>
      <c r="V18" s="903"/>
      <c r="W18" s="222" t="s">
        <v>55</v>
      </c>
      <c r="X18" s="901"/>
      <c r="Y18" s="902"/>
      <c r="Z18" s="957">
        <v>0</v>
      </c>
      <c r="AA18" s="957">
        <v>0</v>
      </c>
      <c r="AB18" s="957">
        <v>1</v>
      </c>
      <c r="AC18" s="957">
        <v>0</v>
      </c>
      <c r="AD18" s="904"/>
      <c r="AE18" s="957">
        <v>1</v>
      </c>
      <c r="AF18" s="957">
        <v>0</v>
      </c>
      <c r="AG18" s="957">
        <v>1</v>
      </c>
      <c r="AH18" s="957">
        <v>1</v>
      </c>
      <c r="AI18" s="202"/>
      <c r="AJ18" s="202"/>
      <c r="AK18" s="202" t="s">
        <v>29</v>
      </c>
      <c r="AL18" s="202" t="s">
        <v>29</v>
      </c>
      <c r="AM18" s="202" t="s">
        <v>29</v>
      </c>
      <c r="AN18" s="202" t="s">
        <v>29</v>
      </c>
      <c r="AO18" s="203">
        <v>0</v>
      </c>
      <c r="AP18" s="203">
        <v>0</v>
      </c>
      <c r="AQ18" s="953" t="s">
        <v>839</v>
      </c>
      <c r="AR18" s="947" t="s">
        <v>273</v>
      </c>
      <c r="AS18" s="947" t="s">
        <v>273</v>
      </c>
      <c r="AT18" s="956">
        <v>0.1</v>
      </c>
      <c r="AU18" s="306" t="s">
        <v>29</v>
      </c>
      <c r="AV18" s="306" t="s">
        <v>29</v>
      </c>
      <c r="AX18" s="768"/>
    </row>
    <row r="19" spans="1:50" hidden="1">
      <c r="A19" s="164" t="s">
        <v>900</v>
      </c>
      <c r="B19" s="164" t="s">
        <v>268</v>
      </c>
      <c r="C19" s="164" t="s">
        <v>687</v>
      </c>
      <c r="D19" s="164" t="s">
        <v>780</v>
      </c>
      <c r="E19" s="164"/>
      <c r="F19" s="164" t="s">
        <v>227</v>
      </c>
      <c r="G19" s="223"/>
      <c r="H19" s="959"/>
      <c r="I19" s="224"/>
      <c r="J19" s="224"/>
      <c r="K19" s="224">
        <v>0</v>
      </c>
      <c r="L19" s="955">
        <v>0</v>
      </c>
      <c r="M19" s="958">
        <v>0</v>
      </c>
      <c r="N19" s="958">
        <v>0</v>
      </c>
      <c r="O19" s="958">
        <v>0</v>
      </c>
      <c r="P19" s="957">
        <v>1</v>
      </c>
      <c r="Q19" s="958">
        <v>1</v>
      </c>
      <c r="R19" s="958">
        <v>1</v>
      </c>
      <c r="S19" s="958">
        <v>1</v>
      </c>
      <c r="T19" s="958">
        <v>1</v>
      </c>
      <c r="U19" s="958">
        <v>1</v>
      </c>
      <c r="V19" s="903"/>
      <c r="W19" s="222" t="s">
        <v>55</v>
      </c>
      <c r="X19" s="901"/>
      <c r="Y19" s="902"/>
      <c r="Z19" s="957">
        <v>0</v>
      </c>
      <c r="AA19" s="957">
        <v>0</v>
      </c>
      <c r="AB19" s="957">
        <v>1</v>
      </c>
      <c r="AC19" s="957">
        <v>0</v>
      </c>
      <c r="AD19" s="904"/>
      <c r="AE19" s="957">
        <v>1</v>
      </c>
      <c r="AF19" s="957">
        <v>0</v>
      </c>
      <c r="AG19" s="957">
        <v>1</v>
      </c>
      <c r="AH19" s="957">
        <v>1</v>
      </c>
      <c r="AI19" s="202"/>
      <c r="AJ19" s="202"/>
      <c r="AK19" s="202" t="s">
        <v>29</v>
      </c>
      <c r="AL19" s="202" t="s">
        <v>29</v>
      </c>
      <c r="AM19" s="202" t="s">
        <v>29</v>
      </c>
      <c r="AN19" s="202" t="s">
        <v>29</v>
      </c>
      <c r="AO19" s="203">
        <v>0</v>
      </c>
      <c r="AP19" s="203">
        <v>0</v>
      </c>
      <c r="AQ19" s="953" t="s">
        <v>843</v>
      </c>
      <c r="AR19" s="947" t="s">
        <v>273</v>
      </c>
      <c r="AS19" s="947" t="s">
        <v>388</v>
      </c>
      <c r="AT19" s="956">
        <v>1</v>
      </c>
      <c r="AU19" s="306" t="s">
        <v>29</v>
      </c>
      <c r="AV19" s="306" t="s">
        <v>29</v>
      </c>
      <c r="AX19" s="768"/>
    </row>
    <row r="20" spans="1:50" hidden="1">
      <c r="A20" s="164" t="s">
        <v>900</v>
      </c>
      <c r="B20" s="164" t="s">
        <v>268</v>
      </c>
      <c r="C20" s="164" t="s">
        <v>687</v>
      </c>
      <c r="D20" s="164" t="s">
        <v>781</v>
      </c>
      <c r="E20" s="164"/>
      <c r="F20" s="164" t="s">
        <v>227</v>
      </c>
      <c r="G20" s="223"/>
      <c r="H20" s="959"/>
      <c r="I20" s="224"/>
      <c r="J20" s="224"/>
      <c r="K20" s="224">
        <v>0</v>
      </c>
      <c r="L20" s="955">
        <v>0</v>
      </c>
      <c r="M20" s="958">
        <v>0</v>
      </c>
      <c r="N20" s="958">
        <v>0</v>
      </c>
      <c r="O20" s="958">
        <v>0</v>
      </c>
      <c r="P20" s="957">
        <v>1</v>
      </c>
      <c r="Q20" s="958">
        <v>1</v>
      </c>
      <c r="R20" s="958">
        <v>1</v>
      </c>
      <c r="S20" s="958">
        <v>1</v>
      </c>
      <c r="T20" s="958">
        <v>1</v>
      </c>
      <c r="U20" s="958">
        <v>1</v>
      </c>
      <c r="V20" s="903"/>
      <c r="W20" s="222" t="s">
        <v>794</v>
      </c>
      <c r="X20" s="901"/>
      <c r="Y20" s="902"/>
      <c r="Z20" s="957">
        <v>0</v>
      </c>
      <c r="AA20" s="957">
        <v>0</v>
      </c>
      <c r="AB20" s="957">
        <v>0</v>
      </c>
      <c r="AC20" s="957">
        <v>1</v>
      </c>
      <c r="AD20" s="904"/>
      <c r="AE20" s="957">
        <v>0</v>
      </c>
      <c r="AF20" s="957">
        <v>0</v>
      </c>
      <c r="AG20" s="957">
        <v>0</v>
      </c>
      <c r="AH20" s="957">
        <v>0</v>
      </c>
      <c r="AI20" s="202"/>
      <c r="AJ20" s="202"/>
      <c r="AK20" s="202" t="s">
        <v>29</v>
      </c>
      <c r="AL20" s="202" t="s">
        <v>29</v>
      </c>
      <c r="AM20" s="202" t="s">
        <v>29</v>
      </c>
      <c r="AN20" s="202" t="s">
        <v>29</v>
      </c>
      <c r="AO20" s="203">
        <v>0</v>
      </c>
      <c r="AP20" s="203">
        <v>0</v>
      </c>
      <c r="AQ20" s="953" t="s">
        <v>847</v>
      </c>
      <c r="AR20" s="947" t="s">
        <v>273</v>
      </c>
      <c r="AS20" s="947" t="s">
        <v>388</v>
      </c>
      <c r="AT20" s="956">
        <v>1</v>
      </c>
      <c r="AU20" s="306" t="s">
        <v>29</v>
      </c>
      <c r="AV20" s="306" t="s">
        <v>29</v>
      </c>
      <c r="AX20" s="768"/>
    </row>
    <row r="21" spans="1:50" hidden="1">
      <c r="A21" s="164" t="s">
        <v>900</v>
      </c>
      <c r="B21" s="164" t="s">
        <v>268</v>
      </c>
      <c r="C21" s="164" t="s">
        <v>687</v>
      </c>
      <c r="D21" s="164" t="s">
        <v>782</v>
      </c>
      <c r="E21" s="164"/>
      <c r="F21" s="164" t="s">
        <v>227</v>
      </c>
      <c r="G21" s="223"/>
      <c r="H21" s="959"/>
      <c r="I21" s="224"/>
      <c r="J21" s="224"/>
      <c r="K21" s="224">
        <v>0</v>
      </c>
      <c r="L21" s="955">
        <v>0</v>
      </c>
      <c r="M21" s="958">
        <v>0</v>
      </c>
      <c r="N21" s="958">
        <v>0</v>
      </c>
      <c r="O21" s="958">
        <v>0</v>
      </c>
      <c r="P21" s="957">
        <v>1</v>
      </c>
      <c r="Q21" s="958">
        <v>1</v>
      </c>
      <c r="R21" s="958">
        <v>1</v>
      </c>
      <c r="S21" s="958">
        <v>1</v>
      </c>
      <c r="T21" s="958">
        <v>1</v>
      </c>
      <c r="U21" s="958">
        <v>1</v>
      </c>
      <c r="V21" s="903"/>
      <c r="W21" s="222" t="s">
        <v>53</v>
      </c>
      <c r="X21" s="901"/>
      <c r="Y21" s="902"/>
      <c r="Z21" s="957">
        <v>1</v>
      </c>
      <c r="AA21" s="957">
        <v>0</v>
      </c>
      <c r="AB21" s="957">
        <v>0</v>
      </c>
      <c r="AC21" s="957">
        <v>0</v>
      </c>
      <c r="AD21" s="904"/>
      <c r="AE21" s="957">
        <v>0</v>
      </c>
      <c r="AF21" s="957">
        <v>1</v>
      </c>
      <c r="AG21" s="957">
        <v>0</v>
      </c>
      <c r="AH21" s="957">
        <v>0</v>
      </c>
      <c r="AI21" s="202"/>
      <c r="AJ21" s="202"/>
      <c r="AK21" s="202"/>
      <c r="AL21" s="202"/>
      <c r="AM21" s="202"/>
      <c r="AN21" s="202"/>
      <c r="AO21" s="203"/>
      <c r="AP21" s="203"/>
      <c r="AQ21" s="953" t="s">
        <v>853</v>
      </c>
      <c r="AR21" s="947" t="s">
        <v>273</v>
      </c>
      <c r="AS21" s="947" t="s">
        <v>388</v>
      </c>
      <c r="AT21" s="956">
        <v>1</v>
      </c>
      <c r="AX21" s="768"/>
    </row>
    <row r="22" spans="1:50" hidden="1">
      <c r="A22" s="164" t="s">
        <v>900</v>
      </c>
      <c r="B22" s="164" t="s">
        <v>268</v>
      </c>
      <c r="C22" s="164" t="s">
        <v>687</v>
      </c>
      <c r="D22" s="164" t="s">
        <v>783</v>
      </c>
      <c r="E22" s="164"/>
      <c r="F22" s="164" t="s">
        <v>227</v>
      </c>
      <c r="G22" s="223"/>
      <c r="H22" s="959"/>
      <c r="I22" s="224"/>
      <c r="J22" s="224"/>
      <c r="K22" s="224">
        <v>0</v>
      </c>
      <c r="L22" s="955">
        <v>0</v>
      </c>
      <c r="M22" s="958">
        <v>0</v>
      </c>
      <c r="N22" s="958">
        <v>0</v>
      </c>
      <c r="O22" s="958">
        <v>0</v>
      </c>
      <c r="P22" s="957">
        <v>1</v>
      </c>
      <c r="Q22" s="958">
        <v>1</v>
      </c>
      <c r="R22" s="958">
        <v>1</v>
      </c>
      <c r="S22" s="958">
        <v>1</v>
      </c>
      <c r="T22" s="958">
        <v>1</v>
      </c>
      <c r="U22" s="958">
        <v>1</v>
      </c>
      <c r="V22" s="903"/>
      <c r="W22" s="222" t="s">
        <v>795</v>
      </c>
      <c r="X22" s="901"/>
      <c r="Y22" s="902"/>
      <c r="Z22" s="957">
        <v>0</v>
      </c>
      <c r="AA22" s="957">
        <v>1</v>
      </c>
      <c r="AB22" s="957">
        <v>0</v>
      </c>
      <c r="AC22" s="957">
        <v>0</v>
      </c>
      <c r="AD22" s="904"/>
      <c r="AE22" s="957">
        <v>0</v>
      </c>
      <c r="AF22" s="957">
        <v>0</v>
      </c>
      <c r="AG22" s="957">
        <v>0</v>
      </c>
      <c r="AH22" s="957">
        <v>0</v>
      </c>
      <c r="AI22" s="202"/>
      <c r="AJ22" s="202"/>
      <c r="AK22" s="202" t="s">
        <v>29</v>
      </c>
      <c r="AL22" s="202" t="s">
        <v>29</v>
      </c>
      <c r="AM22" s="202" t="s">
        <v>29</v>
      </c>
      <c r="AN22" s="202" t="s">
        <v>29</v>
      </c>
      <c r="AO22" s="203">
        <v>0</v>
      </c>
      <c r="AP22" s="203">
        <v>0</v>
      </c>
      <c r="AQ22" s="953" t="s">
        <v>858</v>
      </c>
      <c r="AR22" s="947" t="s">
        <v>273</v>
      </c>
      <c r="AS22" s="947" t="s">
        <v>388</v>
      </c>
      <c r="AT22" s="956">
        <v>1</v>
      </c>
      <c r="AU22" s="306" t="s">
        <v>29</v>
      </c>
      <c r="AV22" s="306" t="s">
        <v>29</v>
      </c>
      <c r="AX22" s="768"/>
    </row>
    <row r="23" spans="1:50" hidden="1">
      <c r="A23" s="164" t="s">
        <v>900</v>
      </c>
      <c r="B23" s="164" t="s">
        <v>268</v>
      </c>
      <c r="C23" s="164" t="s">
        <v>687</v>
      </c>
      <c r="D23" s="164" t="s">
        <v>784</v>
      </c>
      <c r="E23" s="164"/>
      <c r="F23" s="164" t="s">
        <v>227</v>
      </c>
      <c r="G23" s="223"/>
      <c r="H23" s="959"/>
      <c r="I23" s="224"/>
      <c r="J23" s="224"/>
      <c r="K23" s="224">
        <v>0</v>
      </c>
      <c r="L23" s="955">
        <v>0</v>
      </c>
      <c r="M23" s="958">
        <v>0</v>
      </c>
      <c r="N23" s="958">
        <v>0</v>
      </c>
      <c r="O23" s="958">
        <v>0</v>
      </c>
      <c r="P23" s="957">
        <v>1</v>
      </c>
      <c r="Q23" s="958">
        <v>1</v>
      </c>
      <c r="R23" s="958">
        <v>1</v>
      </c>
      <c r="S23" s="958">
        <v>1</v>
      </c>
      <c r="T23" s="958">
        <v>1</v>
      </c>
      <c r="U23" s="958">
        <v>1</v>
      </c>
      <c r="V23" s="903"/>
      <c r="W23" s="222" t="s">
        <v>55</v>
      </c>
      <c r="X23" s="901"/>
      <c r="Y23" s="902"/>
      <c r="Z23" s="957">
        <v>0</v>
      </c>
      <c r="AA23" s="957">
        <v>0</v>
      </c>
      <c r="AB23" s="957">
        <v>1</v>
      </c>
      <c r="AC23" s="957">
        <v>0</v>
      </c>
      <c r="AD23" s="904"/>
      <c r="AE23" s="957">
        <v>1</v>
      </c>
      <c r="AF23" s="957">
        <v>0</v>
      </c>
      <c r="AG23" s="957">
        <v>1</v>
      </c>
      <c r="AH23" s="957">
        <v>1</v>
      </c>
      <c r="AI23" s="202"/>
      <c r="AJ23" s="202"/>
      <c r="AK23" s="202" t="s">
        <v>29</v>
      </c>
      <c r="AL23" s="202" t="s">
        <v>29</v>
      </c>
      <c r="AM23" s="202" t="s">
        <v>29</v>
      </c>
      <c r="AN23" s="202" t="s">
        <v>29</v>
      </c>
      <c r="AO23" s="203">
        <v>0</v>
      </c>
      <c r="AP23" s="203">
        <v>0</v>
      </c>
      <c r="AQ23" s="953" t="s">
        <v>843</v>
      </c>
      <c r="AR23" s="947" t="s">
        <v>273</v>
      </c>
      <c r="AS23" s="947" t="s">
        <v>273</v>
      </c>
      <c r="AT23" s="956">
        <v>1</v>
      </c>
      <c r="AU23" s="306" t="s">
        <v>29</v>
      </c>
      <c r="AV23" s="306" t="s">
        <v>29</v>
      </c>
      <c r="AX23" s="768"/>
    </row>
    <row r="24" spans="1:50" hidden="1">
      <c r="A24" s="164" t="s">
        <v>900</v>
      </c>
      <c r="B24" s="164" t="s">
        <v>268</v>
      </c>
      <c r="C24" s="164" t="s">
        <v>687</v>
      </c>
      <c r="D24" s="164" t="s">
        <v>785</v>
      </c>
      <c r="E24" s="164"/>
      <c r="F24" s="164" t="s">
        <v>227</v>
      </c>
      <c r="G24" s="223"/>
      <c r="H24" s="959"/>
      <c r="I24" s="224"/>
      <c r="J24" s="224"/>
      <c r="K24" s="224">
        <v>0</v>
      </c>
      <c r="L24" s="955">
        <v>0</v>
      </c>
      <c r="M24" s="958">
        <v>0</v>
      </c>
      <c r="N24" s="958">
        <v>0</v>
      </c>
      <c r="O24" s="958">
        <v>0</v>
      </c>
      <c r="P24" s="957">
        <v>1</v>
      </c>
      <c r="Q24" s="958">
        <v>1</v>
      </c>
      <c r="R24" s="958">
        <v>1</v>
      </c>
      <c r="S24" s="958">
        <v>1</v>
      </c>
      <c r="T24" s="958">
        <v>1</v>
      </c>
      <c r="U24" s="958">
        <v>1</v>
      </c>
      <c r="V24" s="903"/>
      <c r="W24" s="222" t="s">
        <v>794</v>
      </c>
      <c r="X24" s="901"/>
      <c r="Y24" s="902"/>
      <c r="Z24" s="957">
        <v>0</v>
      </c>
      <c r="AA24" s="957">
        <v>0</v>
      </c>
      <c r="AB24" s="957">
        <v>0</v>
      </c>
      <c r="AC24" s="957">
        <v>1</v>
      </c>
      <c r="AD24" s="904"/>
      <c r="AE24" s="957">
        <v>0</v>
      </c>
      <c r="AF24" s="957">
        <v>0</v>
      </c>
      <c r="AG24" s="957">
        <v>0</v>
      </c>
      <c r="AH24" s="957">
        <v>0</v>
      </c>
      <c r="AI24" s="202"/>
      <c r="AJ24" s="202"/>
      <c r="AK24" s="202" t="s">
        <v>29</v>
      </c>
      <c r="AL24" s="202" t="s">
        <v>29</v>
      </c>
      <c r="AM24" s="202" t="s">
        <v>29</v>
      </c>
      <c r="AN24" s="202" t="s">
        <v>29</v>
      </c>
      <c r="AO24" s="203">
        <v>0</v>
      </c>
      <c r="AP24" s="203">
        <v>0</v>
      </c>
      <c r="AQ24" s="953" t="s">
        <v>847</v>
      </c>
      <c r="AR24" s="947" t="s">
        <v>273</v>
      </c>
      <c r="AS24" s="947" t="s">
        <v>273</v>
      </c>
      <c r="AT24" s="956">
        <v>1</v>
      </c>
      <c r="AU24" s="306" t="s">
        <v>29</v>
      </c>
      <c r="AV24" s="306" t="s">
        <v>29</v>
      </c>
      <c r="AX24" s="768"/>
    </row>
    <row r="25" spans="1:50" hidden="1">
      <c r="A25" s="164" t="s">
        <v>900</v>
      </c>
      <c r="B25" s="164" t="s">
        <v>268</v>
      </c>
      <c r="C25" s="164" t="s">
        <v>687</v>
      </c>
      <c r="D25" s="164" t="s">
        <v>786</v>
      </c>
      <c r="E25" s="164"/>
      <c r="F25" s="164" t="s">
        <v>227</v>
      </c>
      <c r="G25" s="223"/>
      <c r="H25" s="959"/>
      <c r="I25" s="224"/>
      <c r="J25" s="224"/>
      <c r="K25" s="224">
        <v>0</v>
      </c>
      <c r="L25" s="955">
        <v>0</v>
      </c>
      <c r="M25" s="958">
        <v>0</v>
      </c>
      <c r="N25" s="958">
        <v>0</v>
      </c>
      <c r="O25" s="958">
        <v>0</v>
      </c>
      <c r="P25" s="957">
        <v>1</v>
      </c>
      <c r="Q25" s="958">
        <v>1</v>
      </c>
      <c r="R25" s="958">
        <v>1</v>
      </c>
      <c r="S25" s="958">
        <v>1</v>
      </c>
      <c r="T25" s="958">
        <v>1</v>
      </c>
      <c r="U25" s="958">
        <v>1</v>
      </c>
      <c r="V25" s="903"/>
      <c r="W25" s="222" t="s">
        <v>53</v>
      </c>
      <c r="X25" s="901"/>
      <c r="Y25" s="902"/>
      <c r="Z25" s="957">
        <v>1</v>
      </c>
      <c r="AA25" s="957">
        <v>0</v>
      </c>
      <c r="AB25" s="957">
        <v>0</v>
      </c>
      <c r="AC25" s="957">
        <v>0</v>
      </c>
      <c r="AD25" s="904"/>
      <c r="AE25" s="957">
        <v>0</v>
      </c>
      <c r="AF25" s="957">
        <v>1</v>
      </c>
      <c r="AG25" s="957">
        <v>0</v>
      </c>
      <c r="AH25" s="957">
        <v>0</v>
      </c>
      <c r="AI25" s="202"/>
      <c r="AJ25" s="202"/>
      <c r="AK25" s="202" t="s">
        <v>29</v>
      </c>
      <c r="AL25" s="202" t="s">
        <v>29</v>
      </c>
      <c r="AM25" s="202" t="s">
        <v>29</v>
      </c>
      <c r="AN25" s="202" t="s">
        <v>29</v>
      </c>
      <c r="AO25" s="203">
        <v>0</v>
      </c>
      <c r="AP25" s="203">
        <v>0</v>
      </c>
      <c r="AQ25" s="953" t="s">
        <v>853</v>
      </c>
      <c r="AR25" s="947" t="s">
        <v>273</v>
      </c>
      <c r="AS25" s="947" t="s">
        <v>273</v>
      </c>
      <c r="AT25" s="956">
        <v>0.1</v>
      </c>
      <c r="AU25" s="306" t="s">
        <v>29</v>
      </c>
      <c r="AV25" s="306" t="s">
        <v>29</v>
      </c>
      <c r="AX25" s="768"/>
    </row>
    <row r="26" spans="1:50" hidden="1">
      <c r="A26" s="164" t="s">
        <v>900</v>
      </c>
      <c r="B26" s="164" t="s">
        <v>268</v>
      </c>
      <c r="C26" s="164" t="s">
        <v>687</v>
      </c>
      <c r="D26" s="164" t="s">
        <v>787</v>
      </c>
      <c r="E26" s="164"/>
      <c r="F26" s="164" t="s">
        <v>227</v>
      </c>
      <c r="G26" s="223"/>
      <c r="H26" s="959"/>
      <c r="I26" s="224"/>
      <c r="J26" s="224"/>
      <c r="K26" s="224">
        <v>0</v>
      </c>
      <c r="L26" s="955">
        <v>0</v>
      </c>
      <c r="M26" s="958">
        <v>0</v>
      </c>
      <c r="N26" s="958">
        <v>0</v>
      </c>
      <c r="O26" s="958">
        <v>0</v>
      </c>
      <c r="P26" s="957">
        <v>1</v>
      </c>
      <c r="Q26" s="958">
        <v>1</v>
      </c>
      <c r="R26" s="958">
        <v>1</v>
      </c>
      <c r="S26" s="958">
        <v>1</v>
      </c>
      <c r="T26" s="958">
        <v>1</v>
      </c>
      <c r="U26" s="958">
        <v>1</v>
      </c>
      <c r="V26" s="903"/>
      <c r="W26" s="222" t="s">
        <v>795</v>
      </c>
      <c r="X26" s="901"/>
      <c r="Y26" s="902"/>
      <c r="Z26" s="957">
        <v>0</v>
      </c>
      <c r="AA26" s="957">
        <v>1</v>
      </c>
      <c r="AB26" s="957">
        <v>0</v>
      </c>
      <c r="AC26" s="957">
        <v>0</v>
      </c>
      <c r="AD26" s="904"/>
      <c r="AE26" s="957">
        <v>0</v>
      </c>
      <c r="AF26" s="957">
        <v>0</v>
      </c>
      <c r="AG26" s="957">
        <v>0</v>
      </c>
      <c r="AH26" s="957">
        <v>0</v>
      </c>
      <c r="AI26" s="202"/>
      <c r="AJ26" s="202"/>
      <c r="AK26" s="202" t="s">
        <v>29</v>
      </c>
      <c r="AL26" s="202" t="s">
        <v>29</v>
      </c>
      <c r="AM26" s="202" t="s">
        <v>29</v>
      </c>
      <c r="AN26" s="202" t="s">
        <v>29</v>
      </c>
      <c r="AO26" s="203">
        <v>0</v>
      </c>
      <c r="AP26" s="203">
        <v>0</v>
      </c>
      <c r="AQ26" s="953" t="s">
        <v>858</v>
      </c>
      <c r="AR26" s="947" t="s">
        <v>273</v>
      </c>
      <c r="AS26" s="947" t="s">
        <v>273</v>
      </c>
      <c r="AT26" s="956">
        <v>0.1</v>
      </c>
      <c r="AU26" s="306" t="s">
        <v>29</v>
      </c>
      <c r="AV26" s="306" t="s">
        <v>29</v>
      </c>
      <c r="AX26" s="768"/>
    </row>
    <row r="27" spans="1:50" hidden="1">
      <c r="A27" s="164" t="s">
        <v>900</v>
      </c>
      <c r="B27" s="164" t="s">
        <v>268</v>
      </c>
      <c r="C27" s="164" t="s">
        <v>687</v>
      </c>
      <c r="D27" s="164" t="s">
        <v>788</v>
      </c>
      <c r="E27" s="164"/>
      <c r="F27" s="164" t="s">
        <v>227</v>
      </c>
      <c r="G27" s="223"/>
      <c r="H27" s="959"/>
      <c r="I27" s="224"/>
      <c r="J27" s="224"/>
      <c r="K27" s="224">
        <v>0</v>
      </c>
      <c r="L27" s="955">
        <v>0</v>
      </c>
      <c r="M27" s="958">
        <v>0</v>
      </c>
      <c r="N27" s="958">
        <v>0</v>
      </c>
      <c r="O27" s="958">
        <v>0</v>
      </c>
      <c r="P27" s="957">
        <v>1</v>
      </c>
      <c r="Q27" s="958">
        <v>1</v>
      </c>
      <c r="R27" s="958">
        <v>1</v>
      </c>
      <c r="S27" s="958">
        <v>1</v>
      </c>
      <c r="T27" s="958">
        <v>1</v>
      </c>
      <c r="U27" s="958">
        <v>1</v>
      </c>
      <c r="V27" s="903"/>
      <c r="W27" s="222" t="s">
        <v>55</v>
      </c>
      <c r="X27" s="901"/>
      <c r="Y27" s="902"/>
      <c r="Z27" s="957">
        <v>0</v>
      </c>
      <c r="AA27" s="957">
        <v>0</v>
      </c>
      <c r="AB27" s="957">
        <v>1</v>
      </c>
      <c r="AC27" s="957">
        <v>0</v>
      </c>
      <c r="AD27" s="904"/>
      <c r="AE27" s="957">
        <v>1</v>
      </c>
      <c r="AF27" s="957">
        <v>0</v>
      </c>
      <c r="AG27" s="957">
        <v>1</v>
      </c>
      <c r="AH27" s="957">
        <v>1</v>
      </c>
      <c r="AI27" s="202"/>
      <c r="AJ27" s="202"/>
      <c r="AK27" s="202" t="s">
        <v>29</v>
      </c>
      <c r="AL27" s="202" t="s">
        <v>29</v>
      </c>
      <c r="AM27" s="202" t="s">
        <v>29</v>
      </c>
      <c r="AN27" s="202" t="s">
        <v>29</v>
      </c>
      <c r="AO27" s="203">
        <v>0</v>
      </c>
      <c r="AP27" s="203">
        <v>0</v>
      </c>
      <c r="AQ27" s="953" t="s">
        <v>839</v>
      </c>
      <c r="AR27" s="947" t="s">
        <v>273</v>
      </c>
      <c r="AS27" s="947" t="s">
        <v>273</v>
      </c>
      <c r="AT27" s="956">
        <v>0.1</v>
      </c>
      <c r="AU27" s="306" t="s">
        <v>29</v>
      </c>
      <c r="AV27" s="306" t="s">
        <v>29</v>
      </c>
      <c r="AX27" s="768"/>
    </row>
    <row r="28" spans="1:50" hidden="1">
      <c r="A28" s="164" t="s">
        <v>900</v>
      </c>
      <c r="B28" s="164" t="s">
        <v>268</v>
      </c>
      <c r="C28" s="164" t="s">
        <v>687</v>
      </c>
      <c r="D28" s="164" t="s">
        <v>789</v>
      </c>
      <c r="E28" s="164"/>
      <c r="F28" s="164" t="s">
        <v>227</v>
      </c>
      <c r="G28" s="223"/>
      <c r="H28" s="959"/>
      <c r="I28" s="224"/>
      <c r="J28" s="224"/>
      <c r="K28" s="224">
        <v>0</v>
      </c>
      <c r="L28" s="955">
        <v>0</v>
      </c>
      <c r="M28" s="958">
        <v>0</v>
      </c>
      <c r="N28" s="958">
        <v>0</v>
      </c>
      <c r="O28" s="958">
        <v>0</v>
      </c>
      <c r="P28" s="957">
        <v>1</v>
      </c>
      <c r="Q28" s="958">
        <v>1</v>
      </c>
      <c r="R28" s="958">
        <v>1</v>
      </c>
      <c r="S28" s="958">
        <v>1</v>
      </c>
      <c r="T28" s="958">
        <v>1</v>
      </c>
      <c r="U28" s="958">
        <v>1</v>
      </c>
      <c r="V28" s="903"/>
      <c r="W28" s="222" t="s">
        <v>53</v>
      </c>
      <c r="X28" s="901"/>
      <c r="Y28" s="902"/>
      <c r="Z28" s="957">
        <v>1</v>
      </c>
      <c r="AA28" s="957">
        <v>0</v>
      </c>
      <c r="AB28" s="957">
        <v>0</v>
      </c>
      <c r="AC28" s="957">
        <v>0</v>
      </c>
      <c r="AD28" s="904"/>
      <c r="AE28" s="957">
        <v>0</v>
      </c>
      <c r="AF28" s="957">
        <v>1</v>
      </c>
      <c r="AG28" s="957">
        <v>0</v>
      </c>
      <c r="AH28" s="957">
        <v>0</v>
      </c>
      <c r="AI28" s="202"/>
      <c r="AJ28" s="202"/>
      <c r="AK28" s="202"/>
      <c r="AL28" s="202"/>
      <c r="AM28" s="202"/>
      <c r="AN28" s="202"/>
      <c r="AO28" s="203"/>
      <c r="AP28" s="203"/>
      <c r="AQ28" s="953" t="s">
        <v>853</v>
      </c>
      <c r="AR28" s="947" t="s">
        <v>273</v>
      </c>
      <c r="AS28" s="947" t="s">
        <v>273</v>
      </c>
      <c r="AT28" s="956">
        <v>0.1</v>
      </c>
      <c r="AX28" s="768"/>
    </row>
    <row r="29" spans="1:50" s="1207" customFormat="1">
      <c r="A29" s="1192" t="s">
        <v>901</v>
      </c>
      <c r="B29" s="1192" t="s">
        <v>903</v>
      </c>
      <c r="C29" s="1192" t="s">
        <v>905</v>
      </c>
      <c r="D29" s="1192" t="s">
        <v>790</v>
      </c>
      <c r="E29" s="1192" t="s">
        <v>890</v>
      </c>
      <c r="F29" s="1192" t="s">
        <v>227</v>
      </c>
      <c r="G29" s="223">
        <v>20</v>
      </c>
      <c r="H29" s="959">
        <v>1</v>
      </c>
      <c r="I29" s="224">
        <v>2500</v>
      </c>
      <c r="J29" s="224">
        <v>2500</v>
      </c>
      <c r="K29" s="1193">
        <v>0</v>
      </c>
      <c r="L29" s="1194">
        <v>0</v>
      </c>
      <c r="M29" s="1195">
        <v>0</v>
      </c>
      <c r="N29" s="1195">
        <v>0</v>
      </c>
      <c r="O29" s="1195">
        <v>0</v>
      </c>
      <c r="P29" s="1196">
        <v>1</v>
      </c>
      <c r="Q29" s="1195">
        <v>1</v>
      </c>
      <c r="R29" s="1195">
        <v>1</v>
      </c>
      <c r="S29" s="1195">
        <v>1</v>
      </c>
      <c r="T29" s="1195">
        <v>1</v>
      </c>
      <c r="U29" s="1195">
        <v>1</v>
      </c>
      <c r="V29" s="1197"/>
      <c r="W29" s="1198" t="s">
        <v>55</v>
      </c>
      <c r="X29" s="1199"/>
      <c r="Y29" s="1200"/>
      <c r="Z29" s="1196">
        <v>0</v>
      </c>
      <c r="AA29" s="1196">
        <v>0</v>
      </c>
      <c r="AB29" s="1196">
        <v>1</v>
      </c>
      <c r="AC29" s="1196">
        <v>0</v>
      </c>
      <c r="AD29" s="1201">
        <v>159.5</v>
      </c>
      <c r="AE29" s="1196">
        <v>1</v>
      </c>
      <c r="AF29" s="1196">
        <v>0</v>
      </c>
      <c r="AG29" s="1196">
        <v>1</v>
      </c>
      <c r="AH29" s="1196">
        <v>1</v>
      </c>
      <c r="AI29" s="1202"/>
      <c r="AJ29" s="1202"/>
      <c r="AK29" s="1202" t="s">
        <v>29</v>
      </c>
      <c r="AL29" s="1202" t="s">
        <v>29</v>
      </c>
      <c r="AM29" s="1202" t="s">
        <v>29</v>
      </c>
      <c r="AN29" s="1202" t="s">
        <v>29</v>
      </c>
      <c r="AO29" s="1203">
        <v>0</v>
      </c>
      <c r="AP29" s="1203">
        <v>0</v>
      </c>
      <c r="AQ29" s="1204" t="s">
        <v>839</v>
      </c>
      <c r="AR29" s="946" t="s">
        <v>273</v>
      </c>
      <c r="AS29" s="946" t="s">
        <v>273</v>
      </c>
      <c r="AT29" s="1205">
        <v>0.1</v>
      </c>
      <c r="AU29" s="1206" t="s">
        <v>29</v>
      </c>
      <c r="AV29" s="1206" t="s">
        <v>29</v>
      </c>
      <c r="AX29" s="1208"/>
    </row>
    <row r="30" spans="1:50">
      <c r="A30" s="164" t="s">
        <v>901</v>
      </c>
      <c r="B30" s="164" t="s">
        <v>903</v>
      </c>
      <c r="C30" s="164" t="s">
        <v>905</v>
      </c>
      <c r="D30" s="164" t="s">
        <v>791</v>
      </c>
      <c r="E30" s="164"/>
      <c r="F30" s="164" t="s">
        <v>227</v>
      </c>
      <c r="G30" s="223"/>
      <c r="H30" s="959"/>
      <c r="I30" s="224"/>
      <c r="J30" s="224"/>
      <c r="K30" s="224">
        <v>0</v>
      </c>
      <c r="L30" s="955">
        <v>0</v>
      </c>
      <c r="M30" s="958">
        <v>0</v>
      </c>
      <c r="N30" s="958">
        <v>0</v>
      </c>
      <c r="O30" s="958">
        <v>0</v>
      </c>
      <c r="P30" s="957">
        <v>1</v>
      </c>
      <c r="Q30" s="958">
        <v>1</v>
      </c>
      <c r="R30" s="958">
        <v>1</v>
      </c>
      <c r="S30" s="958">
        <v>1</v>
      </c>
      <c r="T30" s="958">
        <v>1</v>
      </c>
      <c r="U30" s="958">
        <v>1</v>
      </c>
      <c r="V30" s="903"/>
      <c r="W30" s="222" t="s">
        <v>53</v>
      </c>
      <c r="X30" s="901"/>
      <c r="Y30" s="902"/>
      <c r="Z30" s="957">
        <v>1</v>
      </c>
      <c r="AA30" s="957">
        <v>0</v>
      </c>
      <c r="AB30" s="957">
        <v>0</v>
      </c>
      <c r="AC30" s="957">
        <v>0</v>
      </c>
      <c r="AD30" s="904"/>
      <c r="AE30" s="957">
        <v>0</v>
      </c>
      <c r="AF30" s="957">
        <v>1</v>
      </c>
      <c r="AG30" s="957">
        <v>0</v>
      </c>
      <c r="AH30" s="957">
        <v>0</v>
      </c>
      <c r="AI30" s="202"/>
      <c r="AJ30" s="202"/>
      <c r="AK30" s="202" t="s">
        <v>29</v>
      </c>
      <c r="AL30" s="202" t="s">
        <v>29</v>
      </c>
      <c r="AM30" s="202" t="s">
        <v>29</v>
      </c>
      <c r="AN30" s="202" t="s">
        <v>29</v>
      </c>
      <c r="AO30" s="203">
        <v>0</v>
      </c>
      <c r="AP30" s="203">
        <v>0</v>
      </c>
      <c r="AQ30" s="953" t="s">
        <v>853</v>
      </c>
      <c r="AR30" s="947" t="s">
        <v>273</v>
      </c>
      <c r="AS30" s="947" t="s">
        <v>273</v>
      </c>
      <c r="AT30" s="956">
        <v>0.1</v>
      </c>
      <c r="AU30" s="306" t="s">
        <v>29</v>
      </c>
      <c r="AV30" s="306" t="s">
        <v>29</v>
      </c>
      <c r="AX30" s="768"/>
    </row>
    <row r="31" spans="1:50">
      <c r="A31" s="164" t="s">
        <v>901</v>
      </c>
      <c r="B31" s="164" t="s">
        <v>903</v>
      </c>
      <c r="C31" s="164" t="s">
        <v>905</v>
      </c>
      <c r="D31" s="164" t="s">
        <v>780</v>
      </c>
      <c r="E31" s="164"/>
      <c r="F31" s="164" t="s">
        <v>227</v>
      </c>
      <c r="G31" s="223"/>
      <c r="H31" s="959"/>
      <c r="I31" s="224"/>
      <c r="J31" s="224"/>
      <c r="K31" s="224">
        <v>0</v>
      </c>
      <c r="L31" s="955">
        <v>0</v>
      </c>
      <c r="M31" s="958">
        <v>0</v>
      </c>
      <c r="N31" s="958">
        <v>0</v>
      </c>
      <c r="O31" s="958">
        <v>0</v>
      </c>
      <c r="P31" s="957">
        <v>1</v>
      </c>
      <c r="Q31" s="958">
        <v>1</v>
      </c>
      <c r="R31" s="958">
        <v>1</v>
      </c>
      <c r="S31" s="958">
        <v>1</v>
      </c>
      <c r="T31" s="958">
        <v>1</v>
      </c>
      <c r="U31" s="958">
        <v>1</v>
      </c>
      <c r="V31" s="903"/>
      <c r="W31" s="222" t="s">
        <v>55</v>
      </c>
      <c r="X31" s="901"/>
      <c r="Y31" s="902"/>
      <c r="Z31" s="957">
        <v>0</v>
      </c>
      <c r="AA31" s="957">
        <v>0</v>
      </c>
      <c r="AB31" s="957">
        <v>1</v>
      </c>
      <c r="AC31" s="957">
        <v>0</v>
      </c>
      <c r="AD31" s="904"/>
      <c r="AE31" s="957">
        <v>1</v>
      </c>
      <c r="AF31" s="957">
        <v>0</v>
      </c>
      <c r="AG31" s="957">
        <v>1</v>
      </c>
      <c r="AH31" s="957">
        <v>1</v>
      </c>
      <c r="AI31" s="202"/>
      <c r="AJ31" s="202"/>
      <c r="AK31" s="202" t="s">
        <v>29</v>
      </c>
      <c r="AL31" s="202" t="s">
        <v>29</v>
      </c>
      <c r="AM31" s="202" t="s">
        <v>29</v>
      </c>
      <c r="AN31" s="202" t="s">
        <v>29</v>
      </c>
      <c r="AO31" s="203">
        <v>0</v>
      </c>
      <c r="AP31" s="203">
        <v>0</v>
      </c>
      <c r="AQ31" s="953" t="s">
        <v>843</v>
      </c>
      <c r="AR31" s="947" t="s">
        <v>273</v>
      </c>
      <c r="AS31" s="947" t="s">
        <v>388</v>
      </c>
      <c r="AT31" s="956">
        <v>1</v>
      </c>
      <c r="AU31" s="306" t="s">
        <v>29</v>
      </c>
      <c r="AV31" s="306" t="s">
        <v>29</v>
      </c>
      <c r="AX31" s="768"/>
    </row>
    <row r="32" spans="1:50">
      <c r="A32" s="164" t="s">
        <v>901</v>
      </c>
      <c r="B32" s="164" t="s">
        <v>903</v>
      </c>
      <c r="C32" s="164" t="s">
        <v>905</v>
      </c>
      <c r="D32" s="164" t="s">
        <v>781</v>
      </c>
      <c r="E32" s="164"/>
      <c r="F32" s="164" t="s">
        <v>227</v>
      </c>
      <c r="G32" s="223"/>
      <c r="H32" s="959"/>
      <c r="I32" s="224"/>
      <c r="J32" s="224"/>
      <c r="K32" s="224">
        <v>0</v>
      </c>
      <c r="L32" s="955">
        <v>0</v>
      </c>
      <c r="M32" s="958">
        <v>0</v>
      </c>
      <c r="N32" s="958">
        <v>0</v>
      </c>
      <c r="O32" s="958">
        <v>0</v>
      </c>
      <c r="P32" s="957">
        <v>1</v>
      </c>
      <c r="Q32" s="958">
        <v>1</v>
      </c>
      <c r="R32" s="958">
        <v>1</v>
      </c>
      <c r="S32" s="958">
        <v>1</v>
      </c>
      <c r="T32" s="958">
        <v>1</v>
      </c>
      <c r="U32" s="958">
        <v>1</v>
      </c>
      <c r="V32" s="903"/>
      <c r="W32" s="222" t="s">
        <v>794</v>
      </c>
      <c r="X32" s="901"/>
      <c r="Y32" s="902"/>
      <c r="Z32" s="957">
        <v>0</v>
      </c>
      <c r="AA32" s="957">
        <v>0</v>
      </c>
      <c r="AB32" s="957">
        <v>0</v>
      </c>
      <c r="AC32" s="957">
        <v>1</v>
      </c>
      <c r="AD32" s="904"/>
      <c r="AE32" s="957">
        <v>0</v>
      </c>
      <c r="AF32" s="957">
        <v>0</v>
      </c>
      <c r="AG32" s="957">
        <v>0</v>
      </c>
      <c r="AH32" s="957">
        <v>0</v>
      </c>
      <c r="AI32" s="202"/>
      <c r="AJ32" s="202"/>
      <c r="AK32" s="202" t="s">
        <v>29</v>
      </c>
      <c r="AL32" s="202" t="s">
        <v>29</v>
      </c>
      <c r="AM32" s="202" t="s">
        <v>29</v>
      </c>
      <c r="AN32" s="202" t="s">
        <v>29</v>
      </c>
      <c r="AO32" s="203">
        <v>0</v>
      </c>
      <c r="AP32" s="203">
        <v>0</v>
      </c>
      <c r="AQ32" s="953" t="s">
        <v>847</v>
      </c>
      <c r="AR32" s="947" t="s">
        <v>273</v>
      </c>
      <c r="AS32" s="947" t="s">
        <v>388</v>
      </c>
      <c r="AT32" s="956">
        <v>1</v>
      </c>
      <c r="AU32" s="306" t="s">
        <v>29</v>
      </c>
      <c r="AV32" s="306" t="s">
        <v>29</v>
      </c>
      <c r="AX32" s="768"/>
    </row>
    <row r="33" spans="1:50">
      <c r="A33" s="164" t="s">
        <v>901</v>
      </c>
      <c r="B33" s="164" t="s">
        <v>903</v>
      </c>
      <c r="C33" s="164" t="s">
        <v>905</v>
      </c>
      <c r="D33" s="164" t="s">
        <v>782</v>
      </c>
      <c r="E33" s="164"/>
      <c r="F33" s="164" t="s">
        <v>227</v>
      </c>
      <c r="G33" s="223"/>
      <c r="H33" s="959"/>
      <c r="I33" s="224"/>
      <c r="J33" s="224"/>
      <c r="K33" s="224">
        <v>0</v>
      </c>
      <c r="L33" s="955">
        <v>0</v>
      </c>
      <c r="M33" s="958">
        <v>0</v>
      </c>
      <c r="N33" s="958">
        <v>0</v>
      </c>
      <c r="O33" s="958">
        <v>0</v>
      </c>
      <c r="P33" s="957">
        <v>1</v>
      </c>
      <c r="Q33" s="958">
        <v>1</v>
      </c>
      <c r="R33" s="958">
        <v>1</v>
      </c>
      <c r="S33" s="958">
        <v>1</v>
      </c>
      <c r="T33" s="958">
        <v>1</v>
      </c>
      <c r="U33" s="958">
        <v>1</v>
      </c>
      <c r="V33" s="903"/>
      <c r="W33" s="222" t="s">
        <v>53</v>
      </c>
      <c r="X33" s="901"/>
      <c r="Y33" s="902"/>
      <c r="Z33" s="957">
        <v>1</v>
      </c>
      <c r="AA33" s="957">
        <v>0</v>
      </c>
      <c r="AB33" s="957">
        <v>0</v>
      </c>
      <c r="AC33" s="957">
        <v>0</v>
      </c>
      <c r="AD33" s="904"/>
      <c r="AE33" s="957">
        <v>0</v>
      </c>
      <c r="AF33" s="957">
        <v>1</v>
      </c>
      <c r="AG33" s="957">
        <v>0</v>
      </c>
      <c r="AH33" s="957">
        <v>0</v>
      </c>
      <c r="AI33" s="202"/>
      <c r="AJ33" s="202"/>
      <c r="AK33" s="202" t="s">
        <v>29</v>
      </c>
      <c r="AL33" s="202" t="s">
        <v>29</v>
      </c>
      <c r="AM33" s="202" t="s">
        <v>29</v>
      </c>
      <c r="AN33" s="202" t="s">
        <v>29</v>
      </c>
      <c r="AO33" s="203">
        <v>0</v>
      </c>
      <c r="AP33" s="203">
        <v>0</v>
      </c>
      <c r="AQ33" s="953" t="s">
        <v>853</v>
      </c>
      <c r="AR33" s="947" t="s">
        <v>273</v>
      </c>
      <c r="AS33" s="947" t="s">
        <v>388</v>
      </c>
      <c r="AT33" s="956">
        <v>1</v>
      </c>
      <c r="AU33" s="306" t="s">
        <v>29</v>
      </c>
      <c r="AV33" s="306" t="s">
        <v>29</v>
      </c>
      <c r="AX33" s="768"/>
    </row>
    <row r="34" spans="1:50">
      <c r="A34" s="164" t="s">
        <v>901</v>
      </c>
      <c r="B34" s="164" t="s">
        <v>903</v>
      </c>
      <c r="C34" s="164" t="s">
        <v>905</v>
      </c>
      <c r="D34" s="164" t="s">
        <v>783</v>
      </c>
      <c r="E34" s="164"/>
      <c r="F34" s="164" t="s">
        <v>227</v>
      </c>
      <c r="G34" s="223"/>
      <c r="H34" s="959"/>
      <c r="I34" s="224"/>
      <c r="J34" s="224"/>
      <c r="K34" s="224">
        <v>0</v>
      </c>
      <c r="L34" s="955">
        <v>0</v>
      </c>
      <c r="M34" s="958">
        <v>0</v>
      </c>
      <c r="N34" s="958">
        <v>0</v>
      </c>
      <c r="O34" s="958">
        <v>0</v>
      </c>
      <c r="P34" s="957">
        <v>1</v>
      </c>
      <c r="Q34" s="958">
        <v>1</v>
      </c>
      <c r="R34" s="958">
        <v>1</v>
      </c>
      <c r="S34" s="958">
        <v>1</v>
      </c>
      <c r="T34" s="958">
        <v>1</v>
      </c>
      <c r="U34" s="958">
        <v>1</v>
      </c>
      <c r="V34" s="903"/>
      <c r="W34" s="222" t="s">
        <v>795</v>
      </c>
      <c r="X34" s="901"/>
      <c r="Y34" s="902"/>
      <c r="Z34" s="957">
        <v>0</v>
      </c>
      <c r="AA34" s="957">
        <v>1</v>
      </c>
      <c r="AB34" s="957">
        <v>0</v>
      </c>
      <c r="AC34" s="957">
        <v>0</v>
      </c>
      <c r="AD34" s="904"/>
      <c r="AE34" s="957">
        <v>0</v>
      </c>
      <c r="AF34" s="957">
        <v>0</v>
      </c>
      <c r="AG34" s="957">
        <v>0</v>
      </c>
      <c r="AH34" s="957">
        <v>0</v>
      </c>
      <c r="AI34" s="202"/>
      <c r="AJ34" s="202"/>
      <c r="AK34" s="202"/>
      <c r="AL34" s="202"/>
      <c r="AM34" s="202"/>
      <c r="AN34" s="202"/>
      <c r="AO34" s="203"/>
      <c r="AP34" s="203"/>
      <c r="AQ34" s="953" t="s">
        <v>858</v>
      </c>
      <c r="AR34" s="947" t="s">
        <v>273</v>
      </c>
      <c r="AS34" s="947" t="s">
        <v>388</v>
      </c>
      <c r="AT34" s="956">
        <v>1</v>
      </c>
      <c r="AX34" s="768"/>
    </row>
    <row r="35" spans="1:50">
      <c r="A35" s="164" t="s">
        <v>901</v>
      </c>
      <c r="B35" s="164" t="s">
        <v>903</v>
      </c>
      <c r="C35" s="164" t="s">
        <v>905</v>
      </c>
      <c r="D35" s="164" t="s">
        <v>784</v>
      </c>
      <c r="E35" s="164" t="s">
        <v>891</v>
      </c>
      <c r="F35" s="164" t="s">
        <v>227</v>
      </c>
      <c r="G35" s="223"/>
      <c r="H35" s="959">
        <v>1</v>
      </c>
      <c r="I35" s="224"/>
      <c r="J35" s="224"/>
      <c r="K35" s="224">
        <v>0</v>
      </c>
      <c r="L35" s="955">
        <v>0</v>
      </c>
      <c r="M35" s="958">
        <v>0</v>
      </c>
      <c r="N35" s="958">
        <v>0</v>
      </c>
      <c r="O35" s="958">
        <v>0</v>
      </c>
      <c r="P35" s="957">
        <v>1</v>
      </c>
      <c r="Q35" s="958">
        <v>1</v>
      </c>
      <c r="R35" s="958">
        <v>1</v>
      </c>
      <c r="S35" s="958">
        <v>1</v>
      </c>
      <c r="T35" s="958">
        <v>1</v>
      </c>
      <c r="U35" s="958">
        <v>1</v>
      </c>
      <c r="V35" s="1492">
        <v>0</v>
      </c>
      <c r="W35" s="222" t="s">
        <v>55</v>
      </c>
      <c r="X35" s="901"/>
      <c r="Y35" s="902"/>
      <c r="Z35" s="957">
        <v>0</v>
      </c>
      <c r="AA35" s="957">
        <v>0</v>
      </c>
      <c r="AB35" s="957">
        <v>1</v>
      </c>
      <c r="AC35" s="957">
        <v>0</v>
      </c>
      <c r="AD35" s="904"/>
      <c r="AE35" s="957">
        <v>1</v>
      </c>
      <c r="AF35" s="957">
        <v>0</v>
      </c>
      <c r="AG35" s="957">
        <v>1</v>
      </c>
      <c r="AH35" s="957">
        <v>1</v>
      </c>
      <c r="AI35" s="202"/>
      <c r="AJ35" s="202"/>
      <c r="AK35" s="202" t="s">
        <v>29</v>
      </c>
      <c r="AL35" s="202" t="s">
        <v>29</v>
      </c>
      <c r="AM35" s="202" t="s">
        <v>29</v>
      </c>
      <c r="AN35" s="202" t="s">
        <v>29</v>
      </c>
      <c r="AO35" s="203">
        <v>0</v>
      </c>
      <c r="AP35" s="203">
        <v>0</v>
      </c>
      <c r="AQ35" s="953" t="s">
        <v>843</v>
      </c>
      <c r="AR35" s="947" t="s">
        <v>273</v>
      </c>
      <c r="AS35" s="947" t="s">
        <v>273</v>
      </c>
      <c r="AT35" s="956">
        <v>1</v>
      </c>
      <c r="AU35" s="306" t="s">
        <v>29</v>
      </c>
      <c r="AV35" s="306" t="s">
        <v>29</v>
      </c>
      <c r="AX35" s="768"/>
    </row>
    <row r="36" spans="1:50">
      <c r="A36" s="164" t="s">
        <v>901</v>
      </c>
      <c r="B36" s="164" t="s">
        <v>903</v>
      </c>
      <c r="C36" s="164" t="s">
        <v>905</v>
      </c>
      <c r="D36" s="164" t="s">
        <v>785</v>
      </c>
      <c r="E36" s="164" t="s">
        <v>892</v>
      </c>
      <c r="F36" s="164" t="s">
        <v>227</v>
      </c>
      <c r="G36" s="223"/>
      <c r="H36" s="959">
        <v>1</v>
      </c>
      <c r="I36" s="224"/>
      <c r="J36" s="224"/>
      <c r="K36" s="224">
        <v>0</v>
      </c>
      <c r="L36" s="955">
        <v>0</v>
      </c>
      <c r="M36" s="958">
        <v>0</v>
      </c>
      <c r="N36" s="958">
        <v>0</v>
      </c>
      <c r="O36" s="958">
        <v>0</v>
      </c>
      <c r="P36" s="957">
        <v>1</v>
      </c>
      <c r="Q36" s="958">
        <v>1</v>
      </c>
      <c r="R36" s="958">
        <v>1</v>
      </c>
      <c r="S36" s="958">
        <v>1</v>
      </c>
      <c r="T36" s="958">
        <v>1</v>
      </c>
      <c r="U36" s="958">
        <v>1</v>
      </c>
      <c r="V36" s="1492">
        <v>0</v>
      </c>
      <c r="W36" s="222" t="s">
        <v>794</v>
      </c>
      <c r="X36" s="901"/>
      <c r="Y36" s="902"/>
      <c r="Z36" s="957">
        <v>0</v>
      </c>
      <c r="AA36" s="957">
        <v>0</v>
      </c>
      <c r="AB36" s="957">
        <v>0</v>
      </c>
      <c r="AC36" s="957">
        <v>1</v>
      </c>
      <c r="AD36" s="904"/>
      <c r="AE36" s="957">
        <v>0</v>
      </c>
      <c r="AF36" s="957">
        <v>0</v>
      </c>
      <c r="AG36" s="957">
        <v>0</v>
      </c>
      <c r="AH36" s="957">
        <v>0</v>
      </c>
      <c r="AI36" s="202"/>
      <c r="AJ36" s="202"/>
      <c r="AK36" s="202" t="s">
        <v>29</v>
      </c>
      <c r="AL36" s="202" t="s">
        <v>29</v>
      </c>
      <c r="AM36" s="202" t="s">
        <v>29</v>
      </c>
      <c r="AN36" s="202" t="s">
        <v>29</v>
      </c>
      <c r="AO36" s="203">
        <v>0</v>
      </c>
      <c r="AP36" s="203">
        <v>0</v>
      </c>
      <c r="AQ36" s="953" t="s">
        <v>847</v>
      </c>
      <c r="AR36" s="947" t="s">
        <v>273</v>
      </c>
      <c r="AS36" s="947" t="s">
        <v>273</v>
      </c>
      <c r="AT36" s="956">
        <v>1</v>
      </c>
      <c r="AU36" s="306" t="s">
        <v>29</v>
      </c>
      <c r="AV36" s="306" t="s">
        <v>29</v>
      </c>
      <c r="AX36" s="768"/>
    </row>
    <row r="37" spans="1:50">
      <c r="A37" s="164" t="s">
        <v>901</v>
      </c>
      <c r="B37" s="164" t="s">
        <v>903</v>
      </c>
      <c r="C37" s="164" t="s">
        <v>905</v>
      </c>
      <c r="D37" s="164" t="s">
        <v>792</v>
      </c>
      <c r="E37" s="164" t="s">
        <v>893</v>
      </c>
      <c r="F37" s="164" t="s">
        <v>227</v>
      </c>
      <c r="G37" s="223"/>
      <c r="H37" s="959">
        <v>1</v>
      </c>
      <c r="I37" s="224"/>
      <c r="J37" s="224"/>
      <c r="K37" s="224">
        <v>0</v>
      </c>
      <c r="L37" s="955">
        <v>0</v>
      </c>
      <c r="M37" s="958">
        <v>0</v>
      </c>
      <c r="N37" s="958">
        <v>0</v>
      </c>
      <c r="O37" s="958">
        <v>0</v>
      </c>
      <c r="P37" s="957">
        <v>1</v>
      </c>
      <c r="Q37" s="958">
        <v>1</v>
      </c>
      <c r="R37" s="958">
        <v>1</v>
      </c>
      <c r="S37" s="958">
        <v>1</v>
      </c>
      <c r="T37" s="958">
        <v>1</v>
      </c>
      <c r="U37" s="958">
        <v>1</v>
      </c>
      <c r="V37" s="1492">
        <v>0</v>
      </c>
      <c r="W37" s="222" t="s">
        <v>55</v>
      </c>
      <c r="X37" s="901"/>
      <c r="Y37" s="902"/>
      <c r="Z37" s="957">
        <v>0</v>
      </c>
      <c r="AA37" s="957">
        <v>0</v>
      </c>
      <c r="AB37" s="957">
        <v>1</v>
      </c>
      <c r="AC37" s="957">
        <v>0</v>
      </c>
      <c r="AD37" s="904"/>
      <c r="AE37" s="957">
        <v>1</v>
      </c>
      <c r="AF37" s="957">
        <v>0</v>
      </c>
      <c r="AG37" s="957">
        <v>1</v>
      </c>
      <c r="AH37" s="957">
        <v>1</v>
      </c>
      <c r="AI37" s="202"/>
      <c r="AJ37" s="202"/>
      <c r="AK37" s="202" t="s">
        <v>29</v>
      </c>
      <c r="AL37" s="202" t="s">
        <v>29</v>
      </c>
      <c r="AM37" s="202" t="s">
        <v>29</v>
      </c>
      <c r="AN37" s="202" t="s">
        <v>29</v>
      </c>
      <c r="AO37" s="203">
        <v>0</v>
      </c>
      <c r="AP37" s="203">
        <v>0</v>
      </c>
      <c r="AQ37" s="953" t="s">
        <v>839</v>
      </c>
      <c r="AR37" s="947" t="s">
        <v>273</v>
      </c>
      <c r="AS37" s="947" t="s">
        <v>273</v>
      </c>
      <c r="AT37" s="956">
        <v>0.1</v>
      </c>
      <c r="AU37" s="306" t="s">
        <v>29</v>
      </c>
      <c r="AV37" s="306" t="s">
        <v>29</v>
      </c>
      <c r="AX37" s="768"/>
    </row>
    <row r="38" spans="1:50">
      <c r="A38" s="164" t="s">
        <v>901</v>
      </c>
      <c r="B38" s="164" t="s">
        <v>903</v>
      </c>
      <c r="C38" s="164" t="s">
        <v>905</v>
      </c>
      <c r="D38" s="164" t="s">
        <v>793</v>
      </c>
      <c r="E38" s="164" t="s">
        <v>894</v>
      </c>
      <c r="F38" s="164" t="s">
        <v>227</v>
      </c>
      <c r="G38" s="223"/>
      <c r="H38" s="959">
        <v>1</v>
      </c>
      <c r="I38" s="224"/>
      <c r="J38" s="224"/>
      <c r="K38" s="224">
        <v>0</v>
      </c>
      <c r="L38" s="955">
        <v>0</v>
      </c>
      <c r="M38" s="958">
        <v>0</v>
      </c>
      <c r="N38" s="958">
        <v>0</v>
      </c>
      <c r="O38" s="958">
        <v>0</v>
      </c>
      <c r="P38" s="957">
        <v>1</v>
      </c>
      <c r="Q38" s="958">
        <v>1</v>
      </c>
      <c r="R38" s="958">
        <v>1</v>
      </c>
      <c r="S38" s="958">
        <v>1</v>
      </c>
      <c r="T38" s="958">
        <v>1</v>
      </c>
      <c r="U38" s="958">
        <v>1</v>
      </c>
      <c r="V38" s="1492">
        <v>0</v>
      </c>
      <c r="W38" s="222" t="s">
        <v>794</v>
      </c>
      <c r="X38" s="901"/>
      <c r="Y38" s="902"/>
      <c r="Z38" s="957">
        <v>0</v>
      </c>
      <c r="AA38" s="957">
        <v>0</v>
      </c>
      <c r="AB38" s="957">
        <v>0</v>
      </c>
      <c r="AC38" s="957">
        <v>1</v>
      </c>
      <c r="AD38" s="904"/>
      <c r="AE38" s="957">
        <v>0</v>
      </c>
      <c r="AF38" s="957">
        <v>0</v>
      </c>
      <c r="AG38" s="957">
        <v>0</v>
      </c>
      <c r="AH38" s="957">
        <v>0</v>
      </c>
      <c r="AI38" s="202"/>
      <c r="AJ38" s="202"/>
      <c r="AK38" s="202" t="s">
        <v>29</v>
      </c>
      <c r="AL38" s="202" t="s">
        <v>29</v>
      </c>
      <c r="AM38" s="202" t="s">
        <v>29</v>
      </c>
      <c r="AN38" s="202" t="s">
        <v>29</v>
      </c>
      <c r="AO38" s="203">
        <v>0</v>
      </c>
      <c r="AP38" s="203">
        <v>0</v>
      </c>
      <c r="AQ38" s="953" t="s">
        <v>850</v>
      </c>
      <c r="AR38" s="947" t="s">
        <v>273</v>
      </c>
      <c r="AS38" s="947" t="s">
        <v>273</v>
      </c>
      <c r="AT38" s="956">
        <v>0.1</v>
      </c>
      <c r="AU38" s="306" t="s">
        <v>29</v>
      </c>
      <c r="AV38" s="306" t="s">
        <v>29</v>
      </c>
      <c r="AX38" s="768"/>
    </row>
    <row r="39" spans="1:50">
      <c r="A39" s="164" t="s">
        <v>901</v>
      </c>
      <c r="B39" s="164" t="s">
        <v>903</v>
      </c>
      <c r="C39" s="164" t="s">
        <v>905</v>
      </c>
      <c r="D39" s="164" t="s">
        <v>786</v>
      </c>
      <c r="E39" s="164"/>
      <c r="F39" s="164" t="s">
        <v>227</v>
      </c>
      <c r="G39" s="223"/>
      <c r="H39" s="959"/>
      <c r="I39" s="224"/>
      <c r="J39" s="224"/>
      <c r="K39" s="224">
        <v>0</v>
      </c>
      <c r="L39" s="955">
        <v>0</v>
      </c>
      <c r="M39" s="958">
        <v>0</v>
      </c>
      <c r="N39" s="958">
        <v>0</v>
      </c>
      <c r="O39" s="958">
        <v>0</v>
      </c>
      <c r="P39" s="957">
        <v>1</v>
      </c>
      <c r="Q39" s="958">
        <v>1</v>
      </c>
      <c r="R39" s="958">
        <v>1</v>
      </c>
      <c r="S39" s="958">
        <v>1</v>
      </c>
      <c r="T39" s="958">
        <v>1</v>
      </c>
      <c r="U39" s="958">
        <v>1</v>
      </c>
      <c r="V39" s="903"/>
      <c r="W39" s="222" t="s">
        <v>53</v>
      </c>
      <c r="X39" s="901"/>
      <c r="Y39" s="902"/>
      <c r="Z39" s="957">
        <v>1</v>
      </c>
      <c r="AA39" s="957">
        <v>0</v>
      </c>
      <c r="AB39" s="957">
        <v>0</v>
      </c>
      <c r="AC39" s="957">
        <v>0</v>
      </c>
      <c r="AD39" s="904"/>
      <c r="AE39" s="957">
        <v>0</v>
      </c>
      <c r="AF39" s="957">
        <v>1</v>
      </c>
      <c r="AG39" s="957">
        <v>0</v>
      </c>
      <c r="AH39" s="957">
        <v>0</v>
      </c>
      <c r="AI39" s="202"/>
      <c r="AJ39" s="202"/>
      <c r="AK39" s="202" t="s">
        <v>29</v>
      </c>
      <c r="AL39" s="202" t="s">
        <v>29</v>
      </c>
      <c r="AM39" s="202" t="s">
        <v>29</v>
      </c>
      <c r="AN39" s="202" t="s">
        <v>29</v>
      </c>
      <c r="AO39" s="203">
        <v>0</v>
      </c>
      <c r="AP39" s="203">
        <v>0</v>
      </c>
      <c r="AQ39" s="953" t="s">
        <v>853</v>
      </c>
      <c r="AR39" s="947" t="s">
        <v>273</v>
      </c>
      <c r="AS39" s="947" t="s">
        <v>273</v>
      </c>
      <c r="AT39" s="956">
        <v>0.1</v>
      </c>
      <c r="AU39" s="306" t="s">
        <v>29</v>
      </c>
      <c r="AV39" s="306" t="s">
        <v>29</v>
      </c>
      <c r="AX39" s="768"/>
    </row>
    <row r="40" spans="1:50">
      <c r="A40" s="164" t="s">
        <v>901</v>
      </c>
      <c r="B40" s="164" t="s">
        <v>903</v>
      </c>
      <c r="C40" s="164" t="s">
        <v>905</v>
      </c>
      <c r="D40" s="164" t="s">
        <v>787</v>
      </c>
      <c r="E40" s="164"/>
      <c r="F40" s="164" t="s">
        <v>227</v>
      </c>
      <c r="G40" s="223"/>
      <c r="H40" s="959"/>
      <c r="I40" s="224"/>
      <c r="J40" s="224"/>
      <c r="K40" s="224">
        <v>0</v>
      </c>
      <c r="L40" s="955">
        <v>0</v>
      </c>
      <c r="M40" s="958">
        <v>0</v>
      </c>
      <c r="N40" s="958">
        <v>0</v>
      </c>
      <c r="O40" s="958">
        <v>0</v>
      </c>
      <c r="P40" s="957">
        <v>1</v>
      </c>
      <c r="Q40" s="958">
        <v>1</v>
      </c>
      <c r="R40" s="958">
        <v>1</v>
      </c>
      <c r="S40" s="958">
        <v>1</v>
      </c>
      <c r="T40" s="958">
        <v>1</v>
      </c>
      <c r="U40" s="958">
        <v>1</v>
      </c>
      <c r="V40" s="903"/>
      <c r="W40" s="222" t="s">
        <v>795</v>
      </c>
      <c r="X40" s="901"/>
      <c r="Y40" s="902"/>
      <c r="Z40" s="957">
        <v>0</v>
      </c>
      <c r="AA40" s="957">
        <v>1</v>
      </c>
      <c r="AB40" s="957">
        <v>0</v>
      </c>
      <c r="AC40" s="957">
        <v>0</v>
      </c>
      <c r="AD40" s="904"/>
      <c r="AE40" s="957">
        <v>0</v>
      </c>
      <c r="AF40" s="957">
        <v>0</v>
      </c>
      <c r="AG40" s="957">
        <v>0</v>
      </c>
      <c r="AH40" s="957">
        <v>0</v>
      </c>
      <c r="AI40" s="202"/>
      <c r="AJ40" s="202"/>
      <c r="AK40" s="202"/>
      <c r="AL40" s="202"/>
      <c r="AM40" s="202"/>
      <c r="AN40" s="202"/>
      <c r="AO40" s="203"/>
      <c r="AP40" s="203"/>
      <c r="AQ40" s="953" t="s">
        <v>858</v>
      </c>
      <c r="AR40" s="947" t="s">
        <v>273</v>
      </c>
      <c r="AS40" s="947" t="s">
        <v>273</v>
      </c>
      <c r="AT40" s="956">
        <v>0.1</v>
      </c>
      <c r="AX40" s="768"/>
    </row>
    <row r="41" spans="1:50">
      <c r="A41" s="164" t="s">
        <v>901</v>
      </c>
      <c r="B41" s="164" t="s">
        <v>903</v>
      </c>
      <c r="C41" s="164" t="s">
        <v>905</v>
      </c>
      <c r="D41" s="164" t="s">
        <v>436</v>
      </c>
      <c r="E41" s="164"/>
      <c r="F41" s="164" t="s">
        <v>227</v>
      </c>
      <c r="G41" s="223"/>
      <c r="H41" s="959"/>
      <c r="I41" s="224"/>
      <c r="J41" s="224"/>
      <c r="K41" s="224">
        <v>0</v>
      </c>
      <c r="L41" s="955">
        <v>0</v>
      </c>
      <c r="M41" s="958">
        <v>0</v>
      </c>
      <c r="N41" s="958">
        <v>0</v>
      </c>
      <c r="O41" s="958">
        <v>0</v>
      </c>
      <c r="P41" s="957">
        <v>1</v>
      </c>
      <c r="Q41" s="958">
        <v>1</v>
      </c>
      <c r="R41" s="958">
        <v>1</v>
      </c>
      <c r="S41" s="958">
        <v>1</v>
      </c>
      <c r="T41" s="958">
        <v>1</v>
      </c>
      <c r="U41" s="958">
        <v>1</v>
      </c>
      <c r="V41" s="903"/>
      <c r="W41" s="222" t="s">
        <v>55</v>
      </c>
      <c r="X41" s="901"/>
      <c r="Y41" s="902"/>
      <c r="Z41" s="957">
        <v>0</v>
      </c>
      <c r="AA41" s="957">
        <v>0</v>
      </c>
      <c r="AB41" s="957">
        <v>1</v>
      </c>
      <c r="AC41" s="957">
        <v>0</v>
      </c>
      <c r="AD41" s="904"/>
      <c r="AE41" s="957">
        <v>1</v>
      </c>
      <c r="AF41" s="957">
        <v>0</v>
      </c>
      <c r="AG41" s="957">
        <v>1</v>
      </c>
      <c r="AH41" s="957">
        <v>1</v>
      </c>
      <c r="AI41" s="202"/>
      <c r="AJ41" s="202"/>
      <c r="AK41" s="202"/>
      <c r="AL41" s="202"/>
      <c r="AM41" s="202"/>
      <c r="AN41" s="202"/>
      <c r="AO41" s="203"/>
      <c r="AP41" s="203"/>
      <c r="AQ41" s="953" t="s">
        <v>839</v>
      </c>
      <c r="AR41" s="947" t="s">
        <v>273</v>
      </c>
      <c r="AS41" s="947" t="s">
        <v>273</v>
      </c>
      <c r="AT41" s="956">
        <v>0.1</v>
      </c>
      <c r="AX41" s="768"/>
    </row>
    <row r="42" spans="1:50">
      <c r="A42" s="164"/>
      <c r="B42" s="164"/>
      <c r="C42" s="164"/>
      <c r="D42" s="164"/>
      <c r="E42" s="164"/>
      <c r="F42" s="164"/>
      <c r="G42" s="223"/>
      <c r="H42" s="959"/>
      <c r="I42" s="224"/>
      <c r="J42" s="224"/>
      <c r="K42" s="224"/>
      <c r="L42" s="955">
        <v>0</v>
      </c>
      <c r="M42" s="958"/>
      <c r="N42" s="958"/>
      <c r="O42" s="958"/>
      <c r="P42" s="957" t="s">
        <v>29</v>
      </c>
      <c r="Q42" s="958"/>
      <c r="R42" s="958"/>
      <c r="S42" s="958"/>
      <c r="T42" s="958"/>
      <c r="U42" s="958"/>
      <c r="V42" s="903"/>
      <c r="W42" s="222"/>
      <c r="X42" s="901"/>
      <c r="Y42" s="902"/>
      <c r="Z42" s="957" t="s">
        <v>29</v>
      </c>
      <c r="AA42" s="957" t="s">
        <v>29</v>
      </c>
      <c r="AB42" s="957" t="s">
        <v>29</v>
      </c>
      <c r="AC42" s="957" t="s">
        <v>29</v>
      </c>
      <c r="AD42" s="904"/>
      <c r="AE42" s="957" t="s">
        <v>29</v>
      </c>
      <c r="AF42" s="957" t="s">
        <v>29</v>
      </c>
      <c r="AG42" s="957" t="s">
        <v>29</v>
      </c>
      <c r="AH42" s="957" t="s">
        <v>29</v>
      </c>
      <c r="AI42" s="202"/>
      <c r="AJ42" s="202"/>
      <c r="AK42" s="202"/>
      <c r="AL42" s="202"/>
      <c r="AM42" s="202"/>
      <c r="AN42" s="202"/>
      <c r="AO42" s="203"/>
      <c r="AP42" s="203"/>
      <c r="AQ42" s="954"/>
      <c r="AR42" s="947"/>
      <c r="AS42" s="947"/>
      <c r="AT42" s="956"/>
      <c r="AX42" s="768"/>
    </row>
    <row r="43" spans="1:50">
      <c r="A43" s="164"/>
      <c r="B43" s="164"/>
      <c r="C43" s="164"/>
      <c r="D43" s="164"/>
      <c r="E43" s="164"/>
      <c r="F43" s="164"/>
      <c r="G43" s="223"/>
      <c r="H43" s="959"/>
      <c r="I43" s="224"/>
      <c r="J43" s="224"/>
      <c r="K43" s="224"/>
      <c r="L43" s="955">
        <v>0</v>
      </c>
      <c r="M43" s="958"/>
      <c r="N43" s="958"/>
      <c r="O43" s="958"/>
      <c r="P43" s="957" t="s">
        <v>29</v>
      </c>
      <c r="Q43" s="958"/>
      <c r="R43" s="958"/>
      <c r="S43" s="958"/>
      <c r="T43" s="958"/>
      <c r="U43" s="958"/>
      <c r="V43" s="903"/>
      <c r="W43" s="222"/>
      <c r="X43" s="901"/>
      <c r="Y43" s="902"/>
      <c r="Z43" s="957" t="s">
        <v>29</v>
      </c>
      <c r="AA43" s="957" t="s">
        <v>29</v>
      </c>
      <c r="AB43" s="957" t="s">
        <v>29</v>
      </c>
      <c r="AC43" s="957" t="s">
        <v>29</v>
      </c>
      <c r="AD43" s="904"/>
      <c r="AE43" s="957" t="s">
        <v>29</v>
      </c>
      <c r="AF43" s="957" t="s">
        <v>29</v>
      </c>
      <c r="AG43" s="957" t="s">
        <v>29</v>
      </c>
      <c r="AH43" s="957" t="s">
        <v>29</v>
      </c>
      <c r="AI43" s="202"/>
      <c r="AJ43" s="202"/>
      <c r="AK43" s="202"/>
      <c r="AL43" s="202"/>
      <c r="AM43" s="202"/>
      <c r="AN43" s="202"/>
      <c r="AO43" s="203"/>
      <c r="AP43" s="203"/>
      <c r="AQ43" s="954"/>
      <c r="AR43" s="947"/>
      <c r="AS43" s="947"/>
      <c r="AT43" s="956"/>
      <c r="AX43" s="768"/>
    </row>
    <row r="44" spans="1:50">
      <c r="A44" s="164"/>
      <c r="B44" s="164"/>
      <c r="C44" s="164"/>
      <c r="D44" s="164"/>
      <c r="E44" s="164"/>
      <c r="F44" s="164"/>
      <c r="G44" s="223"/>
      <c r="H44" s="959"/>
      <c r="I44" s="224"/>
      <c r="J44" s="224"/>
      <c r="K44" s="224"/>
      <c r="L44" s="955">
        <v>0</v>
      </c>
      <c r="M44" s="958"/>
      <c r="N44" s="958"/>
      <c r="O44" s="958"/>
      <c r="P44" s="957" t="s">
        <v>29</v>
      </c>
      <c r="Q44" s="958"/>
      <c r="R44" s="958"/>
      <c r="S44" s="958"/>
      <c r="T44" s="958"/>
      <c r="U44" s="958"/>
      <c r="V44" s="903"/>
      <c r="W44" s="222"/>
      <c r="X44" s="901"/>
      <c r="Y44" s="902"/>
      <c r="Z44" s="957" t="s">
        <v>29</v>
      </c>
      <c r="AA44" s="957" t="s">
        <v>29</v>
      </c>
      <c r="AB44" s="957" t="s">
        <v>29</v>
      </c>
      <c r="AC44" s="957" t="s">
        <v>29</v>
      </c>
      <c r="AD44" s="904"/>
      <c r="AE44" s="957" t="s">
        <v>29</v>
      </c>
      <c r="AF44" s="957" t="s">
        <v>29</v>
      </c>
      <c r="AG44" s="957" t="s">
        <v>29</v>
      </c>
      <c r="AH44" s="957" t="s">
        <v>29</v>
      </c>
      <c r="AI44" s="202"/>
      <c r="AJ44" s="202"/>
      <c r="AK44" s="202"/>
      <c r="AL44" s="202"/>
      <c r="AM44" s="202"/>
      <c r="AN44" s="202"/>
      <c r="AO44" s="203"/>
      <c r="AP44" s="203"/>
      <c r="AQ44" s="954"/>
      <c r="AR44" s="947"/>
      <c r="AS44" s="947"/>
      <c r="AT44" s="956"/>
      <c r="AX44" s="768"/>
    </row>
    <row r="45" spans="1:50">
      <c r="A45" s="164"/>
      <c r="B45" s="164"/>
      <c r="C45" s="164"/>
      <c r="D45" s="164"/>
      <c r="E45" s="164"/>
      <c r="F45" s="164"/>
      <c r="G45" s="223"/>
      <c r="H45" s="959"/>
      <c r="I45" s="224"/>
      <c r="J45" s="224"/>
      <c r="K45" s="224"/>
      <c r="L45" s="955">
        <v>0</v>
      </c>
      <c r="M45" s="958"/>
      <c r="N45" s="958"/>
      <c r="O45" s="958"/>
      <c r="P45" s="957" t="s">
        <v>29</v>
      </c>
      <c r="Q45" s="958"/>
      <c r="R45" s="958"/>
      <c r="S45" s="958"/>
      <c r="T45" s="958"/>
      <c r="U45" s="958"/>
      <c r="V45" s="903"/>
      <c r="W45" s="222"/>
      <c r="X45" s="901"/>
      <c r="Y45" s="902"/>
      <c r="Z45" s="957" t="s">
        <v>29</v>
      </c>
      <c r="AA45" s="957" t="s">
        <v>29</v>
      </c>
      <c r="AB45" s="957" t="s">
        <v>29</v>
      </c>
      <c r="AC45" s="957" t="s">
        <v>29</v>
      </c>
      <c r="AD45" s="904"/>
      <c r="AE45" s="957" t="s">
        <v>29</v>
      </c>
      <c r="AF45" s="957" t="s">
        <v>29</v>
      </c>
      <c r="AG45" s="957" t="s">
        <v>29</v>
      </c>
      <c r="AH45" s="957" t="s">
        <v>29</v>
      </c>
      <c r="AI45" s="202"/>
      <c r="AJ45" s="202"/>
      <c r="AK45" s="202"/>
      <c r="AL45" s="202"/>
      <c r="AM45" s="202"/>
      <c r="AN45" s="202"/>
      <c r="AO45" s="203"/>
      <c r="AP45" s="203"/>
      <c r="AQ45" s="954"/>
      <c r="AR45" s="947"/>
      <c r="AS45" s="947"/>
      <c r="AT45" s="956"/>
      <c r="AX45" s="768"/>
    </row>
    <row r="46" spans="1:50">
      <c r="A46" s="164"/>
      <c r="B46" s="164"/>
      <c r="C46" s="164"/>
      <c r="D46" s="164"/>
      <c r="E46" s="164"/>
      <c r="F46" s="164"/>
      <c r="G46" s="223"/>
      <c r="H46" s="959"/>
      <c r="I46" s="224"/>
      <c r="J46" s="224"/>
      <c r="K46" s="224"/>
      <c r="L46" s="955">
        <v>0</v>
      </c>
      <c r="M46" s="958"/>
      <c r="N46" s="958"/>
      <c r="O46" s="958"/>
      <c r="P46" s="957" t="s">
        <v>29</v>
      </c>
      <c r="Q46" s="958"/>
      <c r="R46" s="958"/>
      <c r="S46" s="958"/>
      <c r="T46" s="958"/>
      <c r="U46" s="958"/>
      <c r="V46" s="903"/>
      <c r="W46" s="222"/>
      <c r="X46" s="901"/>
      <c r="Y46" s="902"/>
      <c r="Z46" s="957" t="s">
        <v>29</v>
      </c>
      <c r="AA46" s="957" t="s">
        <v>29</v>
      </c>
      <c r="AB46" s="957" t="s">
        <v>29</v>
      </c>
      <c r="AC46" s="957" t="s">
        <v>29</v>
      </c>
      <c r="AD46" s="904"/>
      <c r="AE46" s="957" t="s">
        <v>29</v>
      </c>
      <c r="AF46" s="957" t="s">
        <v>29</v>
      </c>
      <c r="AG46" s="957" t="s">
        <v>29</v>
      </c>
      <c r="AH46" s="957" t="s">
        <v>29</v>
      </c>
      <c r="AI46" s="202"/>
      <c r="AJ46" s="202"/>
      <c r="AK46" s="202"/>
      <c r="AL46" s="202"/>
      <c r="AM46" s="202"/>
      <c r="AN46" s="202"/>
      <c r="AO46" s="203"/>
      <c r="AP46" s="203"/>
      <c r="AQ46" s="954"/>
      <c r="AR46" s="947"/>
      <c r="AS46" s="947"/>
      <c r="AT46" s="956"/>
      <c r="AX46" s="768"/>
    </row>
    <row r="47" spans="1:50">
      <c r="A47" s="164"/>
      <c r="B47" s="164"/>
      <c r="C47" s="164"/>
      <c r="D47" s="164"/>
      <c r="E47" s="164"/>
      <c r="F47" s="164"/>
      <c r="G47" s="223"/>
      <c r="H47" s="959"/>
      <c r="I47" s="224"/>
      <c r="J47" s="224"/>
      <c r="K47" s="224"/>
      <c r="L47" s="955">
        <v>0</v>
      </c>
      <c r="M47" s="958"/>
      <c r="N47" s="958"/>
      <c r="O47" s="958"/>
      <c r="P47" s="957" t="s">
        <v>29</v>
      </c>
      <c r="Q47" s="958"/>
      <c r="R47" s="958"/>
      <c r="S47" s="958"/>
      <c r="T47" s="958"/>
      <c r="U47" s="958"/>
      <c r="V47" s="903"/>
      <c r="W47" s="222"/>
      <c r="X47" s="901"/>
      <c r="Y47" s="902"/>
      <c r="Z47" s="957" t="s">
        <v>29</v>
      </c>
      <c r="AA47" s="957" t="s">
        <v>29</v>
      </c>
      <c r="AB47" s="957" t="s">
        <v>29</v>
      </c>
      <c r="AC47" s="957" t="s">
        <v>29</v>
      </c>
      <c r="AD47" s="904"/>
      <c r="AE47" s="957" t="s">
        <v>29</v>
      </c>
      <c r="AF47" s="957" t="s">
        <v>29</v>
      </c>
      <c r="AG47" s="957" t="s">
        <v>29</v>
      </c>
      <c r="AH47" s="957" t="s">
        <v>29</v>
      </c>
      <c r="AI47" s="202"/>
      <c r="AJ47" s="202"/>
      <c r="AK47" s="202"/>
      <c r="AL47" s="202"/>
      <c r="AM47" s="202"/>
      <c r="AN47" s="202"/>
      <c r="AO47" s="203"/>
      <c r="AP47" s="203"/>
      <c r="AQ47" s="954"/>
      <c r="AR47" s="947"/>
      <c r="AS47" s="947"/>
      <c r="AT47" s="956"/>
      <c r="AX47" s="768"/>
    </row>
    <row r="48" spans="1:50">
      <c r="A48" s="164"/>
      <c r="B48" s="164"/>
      <c r="C48" s="164"/>
      <c r="D48" s="164"/>
      <c r="E48" s="164"/>
      <c r="F48" s="164"/>
      <c r="G48" s="223"/>
      <c r="H48" s="959"/>
      <c r="I48" s="224"/>
      <c r="J48" s="224"/>
      <c r="K48" s="224"/>
      <c r="L48" s="955">
        <v>0</v>
      </c>
      <c r="M48" s="958"/>
      <c r="N48" s="958"/>
      <c r="O48" s="958"/>
      <c r="P48" s="957" t="s">
        <v>29</v>
      </c>
      <c r="Q48" s="958"/>
      <c r="R48" s="958"/>
      <c r="S48" s="958"/>
      <c r="T48" s="958"/>
      <c r="U48" s="958"/>
      <c r="V48" s="903"/>
      <c r="W48" s="222"/>
      <c r="X48" s="901"/>
      <c r="Y48" s="902"/>
      <c r="Z48" s="957" t="s">
        <v>29</v>
      </c>
      <c r="AA48" s="957" t="s">
        <v>29</v>
      </c>
      <c r="AB48" s="957" t="s">
        <v>29</v>
      </c>
      <c r="AC48" s="957" t="s">
        <v>29</v>
      </c>
      <c r="AD48" s="904"/>
      <c r="AE48" s="957" t="s">
        <v>29</v>
      </c>
      <c r="AF48" s="957" t="s">
        <v>29</v>
      </c>
      <c r="AG48" s="957" t="s">
        <v>29</v>
      </c>
      <c r="AH48" s="957" t="s">
        <v>29</v>
      </c>
      <c r="AI48" s="202"/>
      <c r="AJ48" s="202"/>
      <c r="AK48" s="202"/>
      <c r="AL48" s="202"/>
      <c r="AM48" s="202"/>
      <c r="AN48" s="202"/>
      <c r="AO48" s="203"/>
      <c r="AP48" s="203"/>
      <c r="AQ48" s="954"/>
      <c r="AR48" s="947"/>
      <c r="AS48" s="947"/>
      <c r="AT48" s="956"/>
      <c r="AX48" s="768"/>
    </row>
    <row r="49" spans="1:50">
      <c r="A49" s="164"/>
      <c r="B49" s="164"/>
      <c r="C49" s="164"/>
      <c r="D49" s="164"/>
      <c r="E49" s="164"/>
      <c r="F49" s="164"/>
      <c r="G49" s="223"/>
      <c r="H49" s="959"/>
      <c r="I49" s="224"/>
      <c r="J49" s="224"/>
      <c r="K49" s="224"/>
      <c r="L49" s="955">
        <v>0</v>
      </c>
      <c r="M49" s="958"/>
      <c r="N49" s="958"/>
      <c r="O49" s="958"/>
      <c r="P49" s="957" t="s">
        <v>29</v>
      </c>
      <c r="Q49" s="958"/>
      <c r="R49" s="958"/>
      <c r="S49" s="958"/>
      <c r="T49" s="958"/>
      <c r="U49" s="958"/>
      <c r="V49" s="903"/>
      <c r="W49" s="222"/>
      <c r="X49" s="901"/>
      <c r="Y49" s="902"/>
      <c r="Z49" s="957" t="s">
        <v>29</v>
      </c>
      <c r="AA49" s="957" t="s">
        <v>29</v>
      </c>
      <c r="AB49" s="957" t="s">
        <v>29</v>
      </c>
      <c r="AC49" s="957" t="s">
        <v>29</v>
      </c>
      <c r="AD49" s="904"/>
      <c r="AE49" s="957" t="s">
        <v>29</v>
      </c>
      <c r="AF49" s="957" t="s">
        <v>29</v>
      </c>
      <c r="AG49" s="957" t="s">
        <v>29</v>
      </c>
      <c r="AH49" s="957" t="s">
        <v>29</v>
      </c>
      <c r="AI49" s="202"/>
      <c r="AJ49" s="202"/>
      <c r="AK49" s="202"/>
      <c r="AL49" s="202"/>
      <c r="AM49" s="202"/>
      <c r="AN49" s="202"/>
      <c r="AO49" s="203"/>
      <c r="AP49" s="203"/>
      <c r="AQ49" s="954"/>
      <c r="AR49" s="947"/>
      <c r="AS49" s="947"/>
      <c r="AT49" s="956"/>
      <c r="AX49" s="768"/>
    </row>
    <row r="50" spans="1:50">
      <c r="A50" s="164"/>
      <c r="B50" s="164"/>
      <c r="C50" s="164"/>
      <c r="D50" s="164"/>
      <c r="E50" s="164"/>
      <c r="F50" s="164"/>
      <c r="G50" s="223"/>
      <c r="H50" s="959"/>
      <c r="I50" s="224"/>
      <c r="J50" s="224"/>
      <c r="K50" s="224"/>
      <c r="L50" s="955">
        <v>0</v>
      </c>
      <c r="M50" s="958"/>
      <c r="N50" s="958"/>
      <c r="O50" s="958"/>
      <c r="P50" s="957" t="s">
        <v>29</v>
      </c>
      <c r="Q50" s="958"/>
      <c r="R50" s="958"/>
      <c r="S50" s="958"/>
      <c r="T50" s="958"/>
      <c r="U50" s="958"/>
      <c r="V50" s="903"/>
      <c r="W50" s="222"/>
      <c r="X50" s="901"/>
      <c r="Y50" s="902"/>
      <c r="Z50" s="957" t="s">
        <v>29</v>
      </c>
      <c r="AA50" s="957" t="s">
        <v>29</v>
      </c>
      <c r="AB50" s="957" t="s">
        <v>29</v>
      </c>
      <c r="AC50" s="957" t="s">
        <v>29</v>
      </c>
      <c r="AD50" s="904"/>
      <c r="AE50" s="957" t="s">
        <v>29</v>
      </c>
      <c r="AF50" s="957" t="s">
        <v>29</v>
      </c>
      <c r="AG50" s="957" t="s">
        <v>29</v>
      </c>
      <c r="AH50" s="957" t="s">
        <v>29</v>
      </c>
      <c r="AI50" s="202"/>
      <c r="AJ50" s="202"/>
      <c r="AK50" s="202"/>
      <c r="AL50" s="202"/>
      <c r="AM50" s="202"/>
      <c r="AN50" s="202"/>
      <c r="AO50" s="203"/>
      <c r="AP50" s="203"/>
      <c r="AQ50" s="954"/>
      <c r="AR50" s="947"/>
      <c r="AS50" s="947"/>
      <c r="AT50" s="956"/>
      <c r="AX50" s="768"/>
    </row>
  </sheetData>
  <autoFilter ref="A4:AX39" xr:uid="{3ACE76C3-A8E9-4A72-8755-358BC072EDED}"/>
  <mergeCells count="7">
    <mergeCell ref="AU3:AV3"/>
    <mergeCell ref="N1:O1"/>
    <mergeCell ref="N2:O2"/>
    <mergeCell ref="M3:U3"/>
    <mergeCell ref="V3:AC3"/>
    <mergeCell ref="AD3:AH3"/>
    <mergeCell ref="AI3:AP3"/>
  </mergeCells>
  <dataValidations count="6">
    <dataValidation type="list" allowBlank="1" showInputMessage="1" showErrorMessage="1" sqref="C42:C1048576" xr:uid="{1056E51A-4BE3-4362-A9E9-DA7B73B3E93A}">
      <formula1>#REF!</formula1>
    </dataValidation>
    <dataValidation type="list" allowBlank="1" showInputMessage="1" showErrorMessage="1" sqref="A5:A41" xr:uid="{7F8217B1-8B52-42A3-9723-3B5ECFDB8508}">
      <formula1>Sector</formula1>
    </dataValidation>
    <dataValidation type="list" allowBlank="1" showInputMessage="1" showErrorMessage="1" sqref="F5:F1048576" xr:uid="{61E8123C-6114-4CCB-A53D-187CE32FC092}">
      <formula1>EndUse</formula1>
    </dataValidation>
    <dataValidation type="list" allowBlank="1" showInputMessage="1" showErrorMessage="1" sqref="AI5:AI1048576 AK5:AK1048576 AM5:AM1048576" xr:uid="{9E904440-E59F-48B5-997B-10D60D07A38E}">
      <formula1>FuelList</formula1>
    </dataValidation>
    <dataValidation type="list" allowBlank="1" showInputMessage="1" showErrorMessage="1" sqref="W51:W1972" xr:uid="{867704EB-170C-4756-9531-79C82E412DCF}">
      <formula1>#REF!</formula1>
    </dataValidation>
    <dataValidation type="list" allowBlank="1" showInputMessage="1" showErrorMessage="1" sqref="AR5:AS50" xr:uid="{7D0F1A95-DDAF-4C37-9EE5-21B444AEC821}">
      <formula1>"Yes, No, Mixed"</formula1>
    </dataValidation>
  </dataValidations>
  <pageMargins left="0.75" right="0.75" top="1" bottom="1" header="0.5" footer="0.5"/>
  <pageSetup orientation="portrait"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BFEEF52-DE91-4B64-80F6-427998DE22DF}">
          <x14:formula1>
            <xm:f>Lookups!$E$145:$E$174</xm:f>
          </x14:formula1>
          <xm:sqref>B5:B41</xm:sqref>
        </x14:dataValidation>
        <x14:dataValidation type="list" allowBlank="1" showInputMessage="1" showErrorMessage="1" xr:uid="{217A8B05-8D39-45C2-8C22-F6CE00937D58}">
          <x14:formula1>
            <xm:f>Lookups!$E$197:$E$247</xm:f>
          </x14:formula1>
          <xm:sqref>C5:C41</xm:sqref>
        </x14:dataValidation>
        <x14:dataValidation type="list" allowBlank="1" showInputMessage="1" showErrorMessage="1" xr:uid="{ABB64DAE-DACD-459B-9137-B8F5BD72F6C0}">
          <x14:formula1>
            <xm:f>DemandLookups!$A$6:$A$11</xm:f>
          </x14:formula1>
          <xm:sqref>W5:W50</xm:sqref>
        </x14:dataValidation>
        <x14:dataValidation type="list" allowBlank="1" showInputMessage="1" showErrorMessage="1" xr:uid="{16E0FE3B-B386-470A-89CC-627246C238BA}">
          <x14:formula1>
            <xm:f>AvoidedEnergy!$A$4:$A$10</xm:f>
          </x14:formula1>
          <xm:sqref>AQ5:AQ50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61D8A-FBD8-4A50-BB39-93718437E744}">
  <sheetPr>
    <tabColor rgb="FFFFC000"/>
  </sheetPr>
  <dimension ref="A1:AX50"/>
  <sheetViews>
    <sheetView zoomScale="80" zoomScaleNormal="80" workbookViewId="0">
      <pane xSplit="7" ySplit="4" topLeftCell="Z5" activePane="bottomRight" state="frozen"/>
      <selection activeCell="I24" sqref="I24"/>
      <selection pane="topRight" activeCell="I24" sqref="I24"/>
      <selection pane="bottomLeft" activeCell="I24" sqref="I24"/>
      <selection pane="bottomRight" sqref="A1:AV50"/>
    </sheetView>
  </sheetViews>
  <sheetFormatPr defaultColWidth="10" defaultRowHeight="12.75" outlineLevelCol="1"/>
  <cols>
    <col min="1" max="1" width="11.7109375" style="14" customWidth="1"/>
    <col min="2" max="2" width="17.5703125" style="14" customWidth="1"/>
    <col min="3" max="3" width="14.28515625" style="14" customWidth="1"/>
    <col min="4" max="4" width="65.85546875" style="14" bestFit="1" customWidth="1"/>
    <col min="5" max="5" width="19.140625" style="14" bestFit="1" customWidth="1"/>
    <col min="6" max="6" width="12.140625" style="14" customWidth="1"/>
    <col min="7" max="7" width="12.7109375" style="17" customWidth="1"/>
    <col min="8" max="8" width="14.5703125" style="108" customWidth="1"/>
    <col min="9" max="9" width="14.85546875" style="105" customWidth="1"/>
    <col min="10" max="10" width="15.42578125" style="107" customWidth="1"/>
    <col min="11" max="11" width="15.28515625" style="107" customWidth="1"/>
    <col min="12" max="12" width="14.85546875" style="17" customWidth="1"/>
    <col min="13" max="16" width="8.5703125" style="17" customWidth="1"/>
    <col min="17" max="21" width="8.5703125" style="14" customWidth="1"/>
    <col min="22" max="22" width="15.5703125" style="104" customWidth="1"/>
    <col min="23" max="23" width="17.42578125" style="14" bestFit="1" customWidth="1"/>
    <col min="24" max="24" width="13.28515625" style="14" hidden="1" customWidth="1" outlineLevel="1"/>
    <col min="25" max="25" width="12.28515625" style="39" hidden="1" customWidth="1" outlineLevel="1"/>
    <col min="26" max="26" width="8.7109375" style="91" customWidth="1" collapsed="1"/>
    <col min="27" max="29" width="10.28515625" style="91" customWidth="1"/>
    <col min="30" max="30" width="16.85546875" style="198" customWidth="1"/>
    <col min="31" max="34" width="8.85546875" style="17" customWidth="1"/>
    <col min="35" max="35" width="26.28515625" style="14" hidden="1" customWidth="1" outlineLevel="1"/>
    <col min="36" max="36" width="16.7109375" style="106" hidden="1" customWidth="1" outlineLevel="1"/>
    <col min="37" max="37" width="22.5703125" style="14" hidden="1" customWidth="1" outlineLevel="1"/>
    <col min="38" max="38" width="17.5703125" style="14" hidden="1" customWidth="1" outlineLevel="1"/>
    <col min="39" max="39" width="15.28515625" style="14" hidden="1" customWidth="1" outlineLevel="1"/>
    <col min="40" max="40" width="17.5703125" style="14" hidden="1" customWidth="1" outlineLevel="1"/>
    <col min="41" max="42" width="13.85546875" style="17" hidden="1" customWidth="1" outlineLevel="1"/>
    <col min="43" max="43" width="33.85546875" style="952" bestFit="1" customWidth="1" collapsed="1"/>
    <col min="44" max="44" width="5.140625" style="17" bestFit="1" customWidth="1"/>
    <col min="45" max="45" width="10" style="17"/>
    <col min="46" max="46" width="11" style="17" customWidth="1"/>
    <col min="47" max="48" width="10" style="306"/>
    <col min="49" max="16384" width="10" style="2"/>
  </cols>
  <sheetData>
    <row r="1" spans="1:50">
      <c r="A1" s="18"/>
      <c r="B1" s="18"/>
      <c r="D1" s="25" t="s">
        <v>144</v>
      </c>
      <c r="E1" s="297" t="s">
        <v>368</v>
      </c>
      <c r="G1" s="18"/>
      <c r="H1" s="767"/>
      <c r="I1" s="763"/>
      <c r="J1" s="764"/>
      <c r="K1" s="20"/>
      <c r="L1" s="761"/>
      <c r="M1" s="834"/>
      <c r="N1" s="1502"/>
      <c r="O1" s="1502"/>
      <c r="P1" s="835"/>
      <c r="Q1" s="20"/>
      <c r="R1" s="840"/>
      <c r="S1" s="839"/>
      <c r="T1" s="1"/>
      <c r="U1" s="1"/>
      <c r="V1" s="94"/>
      <c r="W1" s="16"/>
      <c r="X1" s="16"/>
      <c r="Y1" s="155"/>
      <c r="Z1" s="88"/>
      <c r="AA1" s="89"/>
      <c r="AB1" s="89"/>
      <c r="AC1" s="89"/>
      <c r="AD1" s="196"/>
      <c r="AE1" s="22"/>
      <c r="AF1" s="21"/>
      <c r="AG1" s="21"/>
      <c r="AH1" s="21"/>
      <c r="AI1" s="21"/>
      <c r="AJ1" s="83"/>
      <c r="AK1" s="23"/>
      <c r="AL1" s="23"/>
      <c r="AM1" s="23"/>
      <c r="AN1" s="23"/>
      <c r="AO1" s="23"/>
      <c r="AP1" s="24"/>
      <c r="AQ1" s="948"/>
      <c r="AR1" s="24"/>
      <c r="AS1" s="24"/>
      <c r="AT1" s="24"/>
    </row>
    <row r="2" spans="1:50">
      <c r="A2" s="96"/>
      <c r="B2" s="96"/>
      <c r="D2" s="40" t="s">
        <v>165</v>
      </c>
      <c r="E2" s="97">
        <v>2025</v>
      </c>
      <c r="G2" s="85"/>
      <c r="H2" s="767"/>
      <c r="I2" s="763"/>
      <c r="J2" s="857"/>
      <c r="K2" s="769"/>
      <c r="L2" s="762"/>
      <c r="M2" s="19"/>
      <c r="N2" s="1503"/>
      <c r="O2" s="1503"/>
      <c r="P2" s="692"/>
      <c r="Q2" s="19"/>
      <c r="R2" s="199"/>
      <c r="S2" s="19"/>
      <c r="T2" s="19"/>
      <c r="U2" s="19"/>
      <c r="V2" s="103"/>
      <c r="W2" s="48"/>
      <c r="X2" s="48"/>
      <c r="Y2" s="156"/>
      <c r="Z2" s="90"/>
      <c r="AA2" s="90"/>
      <c r="AB2" s="90"/>
      <c r="AC2" s="90"/>
      <c r="AD2" s="197"/>
      <c r="AE2" s="19"/>
      <c r="AF2" s="19"/>
      <c r="AG2" s="19"/>
      <c r="AH2" s="19"/>
      <c r="AI2" s="19"/>
      <c r="AJ2" s="19"/>
      <c r="AK2" s="19"/>
      <c r="AL2" s="19"/>
      <c r="AM2" s="19"/>
      <c r="AN2" s="19"/>
      <c r="AO2" s="19"/>
      <c r="AP2" s="19"/>
      <c r="AQ2" s="949"/>
      <c r="AR2" s="19"/>
      <c r="AS2" s="19"/>
      <c r="AT2" s="19"/>
    </row>
    <row r="3" spans="1:50">
      <c r="A3" s="40"/>
      <c r="B3" s="86"/>
      <c r="C3" s="48"/>
      <c r="D3" s="48"/>
      <c r="E3" s="48"/>
      <c r="F3" s="838"/>
      <c r="G3" s="837"/>
      <c r="H3" s="836"/>
      <c r="I3" s="841"/>
      <c r="J3" s="765"/>
      <c r="K3" s="769"/>
      <c r="L3" s="766"/>
      <c r="M3" s="1504" t="s">
        <v>1</v>
      </c>
      <c r="N3" s="1504"/>
      <c r="O3" s="1504"/>
      <c r="P3" s="1504"/>
      <c r="Q3" s="1504"/>
      <c r="R3" s="1504"/>
      <c r="S3" s="1504"/>
      <c r="T3" s="1504"/>
      <c r="U3" s="1504"/>
      <c r="V3" s="1505" t="s">
        <v>2</v>
      </c>
      <c r="W3" s="1505"/>
      <c r="X3" s="1505"/>
      <c r="Y3" s="1505"/>
      <c r="Z3" s="1505"/>
      <c r="AA3" s="1505"/>
      <c r="AB3" s="1505"/>
      <c r="AC3" s="1505"/>
      <c r="AD3" s="1506" t="s">
        <v>3</v>
      </c>
      <c r="AE3" s="1506"/>
      <c r="AF3" s="1506"/>
      <c r="AG3" s="1506"/>
      <c r="AH3" s="1506"/>
      <c r="AI3" s="1507" t="s">
        <v>4</v>
      </c>
      <c r="AJ3" s="1507"/>
      <c r="AK3" s="1507"/>
      <c r="AL3" s="1507"/>
      <c r="AM3" s="1507"/>
      <c r="AN3" s="1507"/>
      <c r="AO3" s="1507"/>
      <c r="AP3" s="1507"/>
      <c r="AQ3" s="950"/>
      <c r="AS3" s="15"/>
      <c r="AT3" s="15"/>
      <c r="AU3" s="1501" t="s">
        <v>540</v>
      </c>
      <c r="AV3" s="1501"/>
    </row>
    <row r="4" spans="1:50" s="309" customFormat="1" ht="78" customHeight="1">
      <c r="A4" s="204" t="s">
        <v>419</v>
      </c>
      <c r="B4" s="204" t="s">
        <v>422</v>
      </c>
      <c r="C4" s="204" t="s">
        <v>421</v>
      </c>
      <c r="D4" s="204" t="s">
        <v>7</v>
      </c>
      <c r="E4" s="204" t="s">
        <v>886</v>
      </c>
      <c r="F4" s="204" t="s">
        <v>420</v>
      </c>
      <c r="G4" s="298" t="s">
        <v>78</v>
      </c>
      <c r="H4" s="205" t="s">
        <v>77</v>
      </c>
      <c r="I4" s="690" t="s">
        <v>9</v>
      </c>
      <c r="J4" s="299" t="s">
        <v>10</v>
      </c>
      <c r="K4" s="299" t="s">
        <v>277</v>
      </c>
      <c r="L4" s="300" t="s">
        <v>11</v>
      </c>
      <c r="M4" s="207" t="s">
        <v>12</v>
      </c>
      <c r="N4" s="207" t="s">
        <v>83</v>
      </c>
      <c r="O4" s="207" t="s">
        <v>84</v>
      </c>
      <c r="P4" s="206" t="s">
        <v>146</v>
      </c>
      <c r="Q4" s="207" t="s">
        <v>13</v>
      </c>
      <c r="R4" s="207" t="s">
        <v>167</v>
      </c>
      <c r="S4" s="207" t="s">
        <v>168</v>
      </c>
      <c r="T4" s="207" t="s">
        <v>169</v>
      </c>
      <c r="U4" s="207" t="s">
        <v>170</v>
      </c>
      <c r="V4" s="301" t="s">
        <v>14</v>
      </c>
      <c r="W4" s="214" t="s">
        <v>423</v>
      </c>
      <c r="X4" s="302" t="s">
        <v>542</v>
      </c>
      <c r="Y4" s="303" t="s">
        <v>543</v>
      </c>
      <c r="Z4" s="304" t="s">
        <v>15</v>
      </c>
      <c r="AA4" s="304" t="s">
        <v>16</v>
      </c>
      <c r="AB4" s="304" t="s">
        <v>17</v>
      </c>
      <c r="AC4" s="304" t="s">
        <v>18</v>
      </c>
      <c r="AD4" s="310" t="s">
        <v>19</v>
      </c>
      <c r="AE4" s="305" t="s">
        <v>20</v>
      </c>
      <c r="AF4" s="305" t="s">
        <v>21</v>
      </c>
      <c r="AG4" s="305" t="s">
        <v>22</v>
      </c>
      <c r="AH4" s="305" t="s">
        <v>23</v>
      </c>
      <c r="AI4" s="208" t="s">
        <v>424</v>
      </c>
      <c r="AJ4" s="209" t="s">
        <v>141</v>
      </c>
      <c r="AK4" s="208" t="s">
        <v>425</v>
      </c>
      <c r="AL4" s="210" t="s">
        <v>142</v>
      </c>
      <c r="AM4" s="208" t="s">
        <v>426</v>
      </c>
      <c r="AN4" s="208" t="s">
        <v>143</v>
      </c>
      <c r="AO4" s="211" t="s">
        <v>24</v>
      </c>
      <c r="AP4" s="211" t="s">
        <v>25</v>
      </c>
      <c r="AQ4" s="951" t="s">
        <v>800</v>
      </c>
      <c r="AR4" s="905" t="s">
        <v>797</v>
      </c>
      <c r="AS4" s="905" t="s">
        <v>798</v>
      </c>
      <c r="AT4" s="905" t="s">
        <v>799</v>
      </c>
      <c r="AU4" s="307" t="s">
        <v>541</v>
      </c>
      <c r="AV4" s="308" t="s">
        <v>82</v>
      </c>
    </row>
    <row r="5" spans="1:50">
      <c r="A5" s="164" t="s">
        <v>899</v>
      </c>
      <c r="B5" s="164" t="s">
        <v>902</v>
      </c>
      <c r="C5" s="164" t="s">
        <v>904</v>
      </c>
      <c r="D5" s="164" t="s">
        <v>778</v>
      </c>
      <c r="E5" s="164" t="s">
        <v>887</v>
      </c>
      <c r="F5" s="164" t="s">
        <v>227</v>
      </c>
      <c r="G5" s="223">
        <v>787.5</v>
      </c>
      <c r="H5" s="959">
        <v>1</v>
      </c>
      <c r="I5" s="224">
        <v>52.5</v>
      </c>
      <c r="J5" s="224">
        <v>52.5</v>
      </c>
      <c r="K5" s="224">
        <v>0</v>
      </c>
      <c r="L5" s="955">
        <v>0</v>
      </c>
      <c r="M5" s="958">
        <v>0</v>
      </c>
      <c r="N5" s="958">
        <v>0</v>
      </c>
      <c r="O5" s="958">
        <v>0</v>
      </c>
      <c r="P5" s="957">
        <v>1</v>
      </c>
      <c r="Q5" s="958">
        <v>1</v>
      </c>
      <c r="R5" s="958">
        <v>1</v>
      </c>
      <c r="S5" s="958">
        <v>1</v>
      </c>
      <c r="T5" s="958">
        <v>1</v>
      </c>
      <c r="U5" s="958">
        <v>1</v>
      </c>
      <c r="V5" s="903"/>
      <c r="W5" s="222" t="s">
        <v>55</v>
      </c>
      <c r="X5" s="901"/>
      <c r="Y5" s="902"/>
      <c r="Z5" s="957">
        <v>0</v>
      </c>
      <c r="AA5" s="957">
        <v>0</v>
      </c>
      <c r="AB5" s="957">
        <v>1</v>
      </c>
      <c r="AC5" s="957">
        <v>0</v>
      </c>
      <c r="AD5" s="904">
        <v>0.85066666666666668</v>
      </c>
      <c r="AE5" s="957">
        <v>1</v>
      </c>
      <c r="AF5" s="957">
        <v>0</v>
      </c>
      <c r="AG5" s="957">
        <v>1</v>
      </c>
      <c r="AH5" s="957">
        <v>1</v>
      </c>
      <c r="AI5" s="202"/>
      <c r="AJ5" s="202"/>
      <c r="AK5" s="202" t="s">
        <v>29</v>
      </c>
      <c r="AL5" s="202" t="s">
        <v>29</v>
      </c>
      <c r="AM5" s="202" t="s">
        <v>29</v>
      </c>
      <c r="AN5" s="202" t="s">
        <v>29</v>
      </c>
      <c r="AO5" s="203">
        <v>0</v>
      </c>
      <c r="AP5" s="203">
        <v>0</v>
      </c>
      <c r="AQ5" s="953" t="s">
        <v>839</v>
      </c>
      <c r="AR5" s="946" t="s">
        <v>273</v>
      </c>
      <c r="AS5" s="946" t="s">
        <v>273</v>
      </c>
      <c r="AT5" s="956">
        <v>0.1</v>
      </c>
      <c r="AU5" s="306" t="s">
        <v>29</v>
      </c>
      <c r="AV5" s="306" t="s">
        <v>29</v>
      </c>
      <c r="AX5" s="768"/>
    </row>
    <row r="6" spans="1:50">
      <c r="A6" s="164" t="s">
        <v>899</v>
      </c>
      <c r="B6" s="164" t="s">
        <v>902</v>
      </c>
      <c r="C6" s="164" t="s">
        <v>904</v>
      </c>
      <c r="D6" s="164" t="s">
        <v>779</v>
      </c>
      <c r="E6" s="164"/>
      <c r="F6" s="164" t="s">
        <v>227</v>
      </c>
      <c r="G6" s="223"/>
      <c r="H6" s="959"/>
      <c r="I6" s="224"/>
      <c r="J6" s="224"/>
      <c r="K6" s="224">
        <v>0</v>
      </c>
      <c r="L6" s="955">
        <v>0</v>
      </c>
      <c r="M6" s="958">
        <v>0</v>
      </c>
      <c r="N6" s="958">
        <v>0</v>
      </c>
      <c r="O6" s="958">
        <v>0</v>
      </c>
      <c r="P6" s="957">
        <v>1</v>
      </c>
      <c r="Q6" s="958">
        <v>1</v>
      </c>
      <c r="R6" s="958">
        <v>1</v>
      </c>
      <c r="S6" s="958">
        <v>1</v>
      </c>
      <c r="T6" s="958">
        <v>1</v>
      </c>
      <c r="U6" s="958">
        <v>1</v>
      </c>
      <c r="V6" s="903"/>
      <c r="W6" s="222" t="s">
        <v>55</v>
      </c>
      <c r="X6" s="901"/>
      <c r="Y6" s="902"/>
      <c r="Z6" s="957">
        <v>0</v>
      </c>
      <c r="AA6" s="957">
        <v>0</v>
      </c>
      <c r="AB6" s="957">
        <v>1</v>
      </c>
      <c r="AC6" s="957">
        <v>0</v>
      </c>
      <c r="AD6" s="904"/>
      <c r="AE6" s="957">
        <v>1</v>
      </c>
      <c r="AF6" s="957">
        <v>0</v>
      </c>
      <c r="AG6" s="957">
        <v>1</v>
      </c>
      <c r="AH6" s="957">
        <v>1</v>
      </c>
      <c r="AI6" s="202"/>
      <c r="AJ6" s="202"/>
      <c r="AK6" s="202" t="s">
        <v>29</v>
      </c>
      <c r="AL6" s="202" t="s">
        <v>29</v>
      </c>
      <c r="AM6" s="202" t="s">
        <v>29</v>
      </c>
      <c r="AN6" s="202" t="s">
        <v>29</v>
      </c>
      <c r="AO6" s="203">
        <v>0</v>
      </c>
      <c r="AP6" s="203">
        <v>0</v>
      </c>
      <c r="AQ6" s="953" t="s">
        <v>839</v>
      </c>
      <c r="AR6" s="947" t="s">
        <v>273</v>
      </c>
      <c r="AS6" s="947" t="s">
        <v>273</v>
      </c>
      <c r="AT6" s="956">
        <v>0.1</v>
      </c>
      <c r="AU6" s="306" t="s">
        <v>29</v>
      </c>
      <c r="AV6" s="306" t="s">
        <v>29</v>
      </c>
      <c r="AX6" s="768"/>
    </row>
    <row r="7" spans="1:50">
      <c r="A7" s="164" t="s">
        <v>899</v>
      </c>
      <c r="B7" s="164" t="s">
        <v>902</v>
      </c>
      <c r="C7" s="164" t="s">
        <v>904</v>
      </c>
      <c r="D7" s="164" t="s">
        <v>780</v>
      </c>
      <c r="E7" s="164"/>
      <c r="F7" s="164" t="s">
        <v>227</v>
      </c>
      <c r="G7" s="223"/>
      <c r="H7" s="959"/>
      <c r="I7" s="224"/>
      <c r="J7" s="224"/>
      <c r="K7" s="224">
        <v>0</v>
      </c>
      <c r="L7" s="955">
        <v>0</v>
      </c>
      <c r="M7" s="958">
        <v>0</v>
      </c>
      <c r="N7" s="958">
        <v>0</v>
      </c>
      <c r="O7" s="958">
        <v>0</v>
      </c>
      <c r="P7" s="957">
        <v>1</v>
      </c>
      <c r="Q7" s="958">
        <v>1</v>
      </c>
      <c r="R7" s="958">
        <v>1</v>
      </c>
      <c r="S7" s="958">
        <v>1</v>
      </c>
      <c r="T7" s="958">
        <v>1</v>
      </c>
      <c r="U7" s="958">
        <v>1</v>
      </c>
      <c r="V7" s="903"/>
      <c r="W7" s="222" t="s">
        <v>55</v>
      </c>
      <c r="X7" s="901"/>
      <c r="Y7" s="902"/>
      <c r="Z7" s="957">
        <v>0</v>
      </c>
      <c r="AA7" s="957">
        <v>0</v>
      </c>
      <c r="AB7" s="957">
        <v>1</v>
      </c>
      <c r="AC7" s="957">
        <v>0</v>
      </c>
      <c r="AD7" s="904"/>
      <c r="AE7" s="957">
        <v>1</v>
      </c>
      <c r="AF7" s="957">
        <v>0</v>
      </c>
      <c r="AG7" s="957">
        <v>1</v>
      </c>
      <c r="AH7" s="957">
        <v>1</v>
      </c>
      <c r="AI7" s="202"/>
      <c r="AJ7" s="202"/>
      <c r="AK7" s="202" t="s">
        <v>29</v>
      </c>
      <c r="AL7" s="202" t="s">
        <v>29</v>
      </c>
      <c r="AM7" s="202" t="s">
        <v>29</v>
      </c>
      <c r="AN7" s="202" t="s">
        <v>29</v>
      </c>
      <c r="AO7" s="203">
        <v>0</v>
      </c>
      <c r="AP7" s="203">
        <v>0</v>
      </c>
      <c r="AQ7" s="953" t="s">
        <v>843</v>
      </c>
      <c r="AR7" s="947" t="s">
        <v>273</v>
      </c>
      <c r="AS7" s="947" t="s">
        <v>388</v>
      </c>
      <c r="AT7" s="956">
        <v>1</v>
      </c>
      <c r="AU7" s="306" t="s">
        <v>29</v>
      </c>
      <c r="AV7" s="306" t="s">
        <v>29</v>
      </c>
      <c r="AX7" s="768"/>
    </row>
    <row r="8" spans="1:50">
      <c r="A8" s="164" t="s">
        <v>899</v>
      </c>
      <c r="B8" s="164" t="s">
        <v>902</v>
      </c>
      <c r="C8" s="164" t="s">
        <v>904</v>
      </c>
      <c r="D8" s="164" t="s">
        <v>781</v>
      </c>
      <c r="E8" s="164"/>
      <c r="F8" s="164" t="s">
        <v>227</v>
      </c>
      <c r="G8" s="223"/>
      <c r="H8" s="959"/>
      <c r="I8" s="224"/>
      <c r="J8" s="224"/>
      <c r="K8" s="224">
        <v>0</v>
      </c>
      <c r="L8" s="955">
        <v>0</v>
      </c>
      <c r="M8" s="958">
        <v>0</v>
      </c>
      <c r="N8" s="958">
        <v>0</v>
      </c>
      <c r="O8" s="958">
        <v>0</v>
      </c>
      <c r="P8" s="957">
        <v>1</v>
      </c>
      <c r="Q8" s="958">
        <v>1</v>
      </c>
      <c r="R8" s="958">
        <v>1</v>
      </c>
      <c r="S8" s="958">
        <v>1</v>
      </c>
      <c r="T8" s="958">
        <v>1</v>
      </c>
      <c r="U8" s="958">
        <v>1</v>
      </c>
      <c r="V8" s="903"/>
      <c r="W8" s="222" t="s">
        <v>794</v>
      </c>
      <c r="X8" s="901"/>
      <c r="Y8" s="902"/>
      <c r="Z8" s="957">
        <v>0</v>
      </c>
      <c r="AA8" s="957">
        <v>0</v>
      </c>
      <c r="AB8" s="957">
        <v>0</v>
      </c>
      <c r="AC8" s="957">
        <v>1</v>
      </c>
      <c r="AD8" s="904"/>
      <c r="AE8" s="957">
        <v>0</v>
      </c>
      <c r="AF8" s="957">
        <v>0</v>
      </c>
      <c r="AG8" s="957">
        <v>0</v>
      </c>
      <c r="AH8" s="957">
        <v>0</v>
      </c>
      <c r="AI8" s="202"/>
      <c r="AJ8" s="202"/>
      <c r="AK8" s="202" t="s">
        <v>29</v>
      </c>
      <c r="AL8" s="202" t="s">
        <v>29</v>
      </c>
      <c r="AM8" s="202" t="s">
        <v>29</v>
      </c>
      <c r="AN8" s="202" t="s">
        <v>29</v>
      </c>
      <c r="AO8" s="203">
        <v>0</v>
      </c>
      <c r="AP8" s="203">
        <v>0</v>
      </c>
      <c r="AQ8" s="953" t="s">
        <v>847</v>
      </c>
      <c r="AR8" s="947" t="s">
        <v>273</v>
      </c>
      <c r="AS8" s="947" t="s">
        <v>388</v>
      </c>
      <c r="AT8" s="956">
        <v>1</v>
      </c>
      <c r="AU8" s="306" t="s">
        <v>29</v>
      </c>
      <c r="AV8" s="306" t="s">
        <v>29</v>
      </c>
      <c r="AX8" s="768"/>
    </row>
    <row r="9" spans="1:50">
      <c r="A9" s="164" t="s">
        <v>899</v>
      </c>
      <c r="B9" s="164" t="s">
        <v>902</v>
      </c>
      <c r="C9" s="164" t="s">
        <v>904</v>
      </c>
      <c r="D9" s="164" t="s">
        <v>782</v>
      </c>
      <c r="E9" s="164"/>
      <c r="F9" s="164" t="s">
        <v>227</v>
      </c>
      <c r="G9" s="223"/>
      <c r="H9" s="959"/>
      <c r="I9" s="224"/>
      <c r="J9" s="224"/>
      <c r="K9" s="224">
        <v>0</v>
      </c>
      <c r="L9" s="955">
        <v>0</v>
      </c>
      <c r="M9" s="958">
        <v>0</v>
      </c>
      <c r="N9" s="958">
        <v>0</v>
      </c>
      <c r="O9" s="958">
        <v>0</v>
      </c>
      <c r="P9" s="957">
        <v>1</v>
      </c>
      <c r="Q9" s="958">
        <v>1</v>
      </c>
      <c r="R9" s="958">
        <v>1</v>
      </c>
      <c r="S9" s="958">
        <v>1</v>
      </c>
      <c r="T9" s="958">
        <v>1</v>
      </c>
      <c r="U9" s="958">
        <v>1</v>
      </c>
      <c r="V9" s="903"/>
      <c r="W9" s="222" t="s">
        <v>53</v>
      </c>
      <c r="X9" s="901"/>
      <c r="Y9" s="902"/>
      <c r="Z9" s="957">
        <v>1</v>
      </c>
      <c r="AA9" s="957">
        <v>0</v>
      </c>
      <c r="AB9" s="957">
        <v>0</v>
      </c>
      <c r="AC9" s="957">
        <v>0</v>
      </c>
      <c r="AD9" s="904"/>
      <c r="AE9" s="957">
        <v>0</v>
      </c>
      <c r="AF9" s="957">
        <v>1</v>
      </c>
      <c r="AG9" s="957">
        <v>0</v>
      </c>
      <c r="AH9" s="957">
        <v>0</v>
      </c>
      <c r="AI9" s="202"/>
      <c r="AJ9" s="202"/>
      <c r="AK9" s="202" t="s">
        <v>29</v>
      </c>
      <c r="AL9" s="202" t="s">
        <v>29</v>
      </c>
      <c r="AM9" s="202" t="s">
        <v>29</v>
      </c>
      <c r="AN9" s="202" t="s">
        <v>29</v>
      </c>
      <c r="AO9" s="203">
        <v>0</v>
      </c>
      <c r="AP9" s="203">
        <v>0</v>
      </c>
      <c r="AQ9" s="953" t="s">
        <v>853</v>
      </c>
      <c r="AR9" s="947" t="s">
        <v>273</v>
      </c>
      <c r="AS9" s="947" t="s">
        <v>388</v>
      </c>
      <c r="AT9" s="956">
        <v>1</v>
      </c>
      <c r="AU9" s="306" t="s">
        <v>29</v>
      </c>
      <c r="AV9" s="306" t="s">
        <v>29</v>
      </c>
      <c r="AX9" s="768"/>
    </row>
    <row r="10" spans="1:50">
      <c r="A10" s="164" t="s">
        <v>899</v>
      </c>
      <c r="B10" s="164" t="s">
        <v>902</v>
      </c>
      <c r="C10" s="164" t="s">
        <v>904</v>
      </c>
      <c r="D10" s="164" t="s">
        <v>783</v>
      </c>
      <c r="E10" s="164"/>
      <c r="F10" s="164" t="s">
        <v>227</v>
      </c>
      <c r="G10" s="223"/>
      <c r="H10" s="959"/>
      <c r="I10" s="224"/>
      <c r="J10" s="224"/>
      <c r="K10" s="224">
        <v>0</v>
      </c>
      <c r="L10" s="955">
        <v>0</v>
      </c>
      <c r="M10" s="958">
        <v>0</v>
      </c>
      <c r="N10" s="958">
        <v>0</v>
      </c>
      <c r="O10" s="958">
        <v>0</v>
      </c>
      <c r="P10" s="957">
        <v>1</v>
      </c>
      <c r="Q10" s="958">
        <v>1</v>
      </c>
      <c r="R10" s="958">
        <v>1</v>
      </c>
      <c r="S10" s="958">
        <v>1</v>
      </c>
      <c r="T10" s="958">
        <v>1</v>
      </c>
      <c r="U10" s="958">
        <v>1</v>
      </c>
      <c r="V10" s="903"/>
      <c r="W10" s="222" t="s">
        <v>795</v>
      </c>
      <c r="X10" s="901"/>
      <c r="Y10" s="902"/>
      <c r="Z10" s="957">
        <v>0</v>
      </c>
      <c r="AA10" s="957">
        <v>1</v>
      </c>
      <c r="AB10" s="957">
        <v>0</v>
      </c>
      <c r="AC10" s="957">
        <v>0</v>
      </c>
      <c r="AD10" s="904"/>
      <c r="AE10" s="957">
        <v>0</v>
      </c>
      <c r="AF10" s="957">
        <v>0</v>
      </c>
      <c r="AG10" s="957">
        <v>0</v>
      </c>
      <c r="AH10" s="957">
        <v>0</v>
      </c>
      <c r="AI10" s="202"/>
      <c r="AJ10" s="202"/>
      <c r="AK10" s="202" t="s">
        <v>29</v>
      </c>
      <c r="AL10" s="202" t="s">
        <v>29</v>
      </c>
      <c r="AM10" s="202" t="s">
        <v>29</v>
      </c>
      <c r="AN10" s="202" t="s">
        <v>29</v>
      </c>
      <c r="AO10" s="203">
        <v>0</v>
      </c>
      <c r="AP10" s="203">
        <v>0</v>
      </c>
      <c r="AQ10" s="953" t="s">
        <v>858</v>
      </c>
      <c r="AR10" s="947" t="s">
        <v>273</v>
      </c>
      <c r="AS10" s="947" t="s">
        <v>388</v>
      </c>
      <c r="AT10" s="956">
        <v>1</v>
      </c>
      <c r="AU10" s="306" t="s">
        <v>29</v>
      </c>
      <c r="AV10" s="306" t="s">
        <v>29</v>
      </c>
      <c r="AX10" s="768"/>
    </row>
    <row r="11" spans="1:50">
      <c r="A11" s="164" t="s">
        <v>899</v>
      </c>
      <c r="B11" s="164" t="s">
        <v>902</v>
      </c>
      <c r="C11" s="164" t="s">
        <v>904</v>
      </c>
      <c r="D11" s="164" t="s">
        <v>784</v>
      </c>
      <c r="E11" s="164" t="s">
        <v>888</v>
      </c>
      <c r="F11" s="164" t="s">
        <v>227</v>
      </c>
      <c r="G11" s="223"/>
      <c r="H11" s="959">
        <v>1</v>
      </c>
      <c r="I11" s="224"/>
      <c r="J11" s="224"/>
      <c r="K11" s="224">
        <v>0</v>
      </c>
      <c r="L11" s="955">
        <v>0</v>
      </c>
      <c r="M11" s="958">
        <v>0</v>
      </c>
      <c r="N11" s="958">
        <v>0</v>
      </c>
      <c r="O11" s="958">
        <v>0</v>
      </c>
      <c r="P11" s="957">
        <v>1</v>
      </c>
      <c r="Q11" s="958">
        <v>1</v>
      </c>
      <c r="R11" s="958">
        <v>1</v>
      </c>
      <c r="S11" s="958">
        <v>1</v>
      </c>
      <c r="T11" s="958">
        <v>1</v>
      </c>
      <c r="U11" s="958">
        <v>1</v>
      </c>
      <c r="V11" s="1492">
        <v>0</v>
      </c>
      <c r="W11" s="222" t="s">
        <v>55</v>
      </c>
      <c r="X11" s="901"/>
      <c r="Y11" s="902"/>
      <c r="Z11" s="957">
        <v>0</v>
      </c>
      <c r="AA11" s="957">
        <v>0</v>
      </c>
      <c r="AB11" s="957">
        <v>1</v>
      </c>
      <c r="AC11" s="957">
        <v>0</v>
      </c>
      <c r="AD11" s="904"/>
      <c r="AE11" s="957">
        <v>1</v>
      </c>
      <c r="AF11" s="957">
        <v>0</v>
      </c>
      <c r="AG11" s="957">
        <v>1</v>
      </c>
      <c r="AH11" s="957">
        <v>1</v>
      </c>
      <c r="AI11" s="202"/>
      <c r="AJ11" s="202"/>
      <c r="AK11" s="202" t="s">
        <v>29</v>
      </c>
      <c r="AL11" s="202" t="s">
        <v>29</v>
      </c>
      <c r="AM11" s="202" t="s">
        <v>29</v>
      </c>
      <c r="AN11" s="202" t="s">
        <v>29</v>
      </c>
      <c r="AO11" s="203">
        <v>0</v>
      </c>
      <c r="AP11" s="203">
        <v>0</v>
      </c>
      <c r="AQ11" s="953" t="s">
        <v>843</v>
      </c>
      <c r="AR11" s="947" t="s">
        <v>273</v>
      </c>
      <c r="AS11" s="947" t="s">
        <v>273</v>
      </c>
      <c r="AT11" s="956">
        <v>1</v>
      </c>
      <c r="AU11" s="306" t="s">
        <v>29</v>
      </c>
      <c r="AV11" s="306" t="s">
        <v>29</v>
      </c>
      <c r="AX11" s="768"/>
    </row>
    <row r="12" spans="1:50">
      <c r="A12" s="164" t="s">
        <v>899</v>
      </c>
      <c r="B12" s="164" t="s">
        <v>902</v>
      </c>
      <c r="C12" s="164" t="s">
        <v>904</v>
      </c>
      <c r="D12" s="164" t="s">
        <v>785</v>
      </c>
      <c r="E12" s="164" t="s">
        <v>889</v>
      </c>
      <c r="F12" s="164" t="s">
        <v>227</v>
      </c>
      <c r="G12" s="223"/>
      <c r="H12" s="959">
        <v>1</v>
      </c>
      <c r="I12" s="224"/>
      <c r="J12" s="224"/>
      <c r="K12" s="224">
        <v>0</v>
      </c>
      <c r="L12" s="955">
        <v>0</v>
      </c>
      <c r="M12" s="958">
        <v>0</v>
      </c>
      <c r="N12" s="958">
        <v>0</v>
      </c>
      <c r="O12" s="958">
        <v>0</v>
      </c>
      <c r="P12" s="957">
        <v>1</v>
      </c>
      <c r="Q12" s="958">
        <v>1</v>
      </c>
      <c r="R12" s="958">
        <v>1</v>
      </c>
      <c r="S12" s="958">
        <v>1</v>
      </c>
      <c r="T12" s="958">
        <v>1</v>
      </c>
      <c r="U12" s="958">
        <v>1</v>
      </c>
      <c r="V12" s="1492">
        <v>0</v>
      </c>
      <c r="W12" s="222" t="s">
        <v>794</v>
      </c>
      <c r="X12" s="901"/>
      <c r="Y12" s="902"/>
      <c r="Z12" s="957">
        <v>0</v>
      </c>
      <c r="AA12" s="957">
        <v>0</v>
      </c>
      <c r="AB12" s="957">
        <v>0</v>
      </c>
      <c r="AC12" s="957">
        <v>1</v>
      </c>
      <c r="AD12" s="1491">
        <v>0</v>
      </c>
      <c r="AE12" s="957">
        <v>0</v>
      </c>
      <c r="AF12" s="957">
        <v>0</v>
      </c>
      <c r="AG12" s="957">
        <v>0</v>
      </c>
      <c r="AH12" s="957">
        <v>0</v>
      </c>
      <c r="AI12" s="202"/>
      <c r="AJ12" s="202"/>
      <c r="AK12" s="202" t="s">
        <v>29</v>
      </c>
      <c r="AL12" s="202" t="s">
        <v>29</v>
      </c>
      <c r="AM12" s="202" t="s">
        <v>29</v>
      </c>
      <c r="AN12" s="202" t="s">
        <v>29</v>
      </c>
      <c r="AO12" s="203">
        <v>0</v>
      </c>
      <c r="AP12" s="203">
        <v>0</v>
      </c>
      <c r="AQ12" s="953" t="s">
        <v>847</v>
      </c>
      <c r="AR12" s="947" t="s">
        <v>273</v>
      </c>
      <c r="AS12" s="947" t="s">
        <v>273</v>
      </c>
      <c r="AT12" s="956">
        <v>1</v>
      </c>
      <c r="AU12" s="306" t="s">
        <v>29</v>
      </c>
      <c r="AV12" s="306" t="s">
        <v>29</v>
      </c>
      <c r="AX12" s="768"/>
    </row>
    <row r="13" spans="1:50">
      <c r="A13" s="164" t="s">
        <v>899</v>
      </c>
      <c r="B13" s="164" t="s">
        <v>902</v>
      </c>
      <c r="C13" s="164" t="s">
        <v>904</v>
      </c>
      <c r="D13" s="164" t="s">
        <v>786</v>
      </c>
      <c r="E13" s="164"/>
      <c r="F13" s="164" t="s">
        <v>227</v>
      </c>
      <c r="G13" s="223"/>
      <c r="H13" s="959"/>
      <c r="I13" s="224"/>
      <c r="J13" s="224"/>
      <c r="K13" s="224">
        <v>0</v>
      </c>
      <c r="L13" s="955">
        <v>0</v>
      </c>
      <c r="M13" s="958">
        <v>0</v>
      </c>
      <c r="N13" s="958">
        <v>0</v>
      </c>
      <c r="O13" s="958">
        <v>0</v>
      </c>
      <c r="P13" s="957">
        <v>1</v>
      </c>
      <c r="Q13" s="958">
        <v>1</v>
      </c>
      <c r="R13" s="958">
        <v>1</v>
      </c>
      <c r="S13" s="958">
        <v>1</v>
      </c>
      <c r="T13" s="958">
        <v>1</v>
      </c>
      <c r="U13" s="958">
        <v>1</v>
      </c>
      <c r="V13" s="903"/>
      <c r="W13" s="222" t="s">
        <v>53</v>
      </c>
      <c r="X13" s="901"/>
      <c r="Y13" s="902"/>
      <c r="Z13" s="957">
        <v>1</v>
      </c>
      <c r="AA13" s="957">
        <v>0</v>
      </c>
      <c r="AB13" s="957">
        <v>0</v>
      </c>
      <c r="AC13" s="957">
        <v>0</v>
      </c>
      <c r="AD13" s="904"/>
      <c r="AE13" s="957">
        <v>0</v>
      </c>
      <c r="AF13" s="957">
        <v>1</v>
      </c>
      <c r="AG13" s="957">
        <v>0</v>
      </c>
      <c r="AH13" s="957">
        <v>0</v>
      </c>
      <c r="AI13" s="202"/>
      <c r="AJ13" s="202"/>
      <c r="AK13" s="202"/>
      <c r="AL13" s="202"/>
      <c r="AM13" s="202"/>
      <c r="AN13" s="202"/>
      <c r="AO13" s="203"/>
      <c r="AP13" s="203"/>
      <c r="AQ13" s="953" t="s">
        <v>853</v>
      </c>
      <c r="AR13" s="947" t="s">
        <v>273</v>
      </c>
      <c r="AS13" s="947" t="s">
        <v>273</v>
      </c>
      <c r="AT13" s="956">
        <v>0.1</v>
      </c>
      <c r="AX13" s="768"/>
    </row>
    <row r="14" spans="1:50">
      <c r="A14" s="164" t="s">
        <v>899</v>
      </c>
      <c r="B14" s="164" t="s">
        <v>902</v>
      </c>
      <c r="C14" s="164" t="s">
        <v>904</v>
      </c>
      <c r="D14" s="164" t="s">
        <v>787</v>
      </c>
      <c r="E14" s="164"/>
      <c r="F14" s="164" t="s">
        <v>227</v>
      </c>
      <c r="G14" s="223"/>
      <c r="H14" s="959"/>
      <c r="I14" s="224"/>
      <c r="J14" s="224"/>
      <c r="K14" s="224">
        <v>0</v>
      </c>
      <c r="L14" s="955">
        <v>0</v>
      </c>
      <c r="M14" s="958">
        <v>0</v>
      </c>
      <c r="N14" s="958">
        <v>0</v>
      </c>
      <c r="O14" s="958">
        <v>0</v>
      </c>
      <c r="P14" s="957">
        <v>1</v>
      </c>
      <c r="Q14" s="958">
        <v>1</v>
      </c>
      <c r="R14" s="958">
        <v>1</v>
      </c>
      <c r="S14" s="958">
        <v>1</v>
      </c>
      <c r="T14" s="958">
        <v>1</v>
      </c>
      <c r="U14" s="958">
        <v>1</v>
      </c>
      <c r="V14" s="903"/>
      <c r="W14" s="222" t="s">
        <v>795</v>
      </c>
      <c r="X14" s="901"/>
      <c r="Y14" s="902"/>
      <c r="Z14" s="957">
        <v>0</v>
      </c>
      <c r="AA14" s="957">
        <v>1</v>
      </c>
      <c r="AB14" s="957">
        <v>0</v>
      </c>
      <c r="AC14" s="957">
        <v>0</v>
      </c>
      <c r="AD14" s="904"/>
      <c r="AE14" s="957">
        <v>0</v>
      </c>
      <c r="AF14" s="957">
        <v>0</v>
      </c>
      <c r="AG14" s="957">
        <v>0</v>
      </c>
      <c r="AH14" s="957">
        <v>0</v>
      </c>
      <c r="AI14" s="202"/>
      <c r="AJ14" s="202"/>
      <c r="AK14" s="202" t="s">
        <v>29</v>
      </c>
      <c r="AL14" s="202" t="s">
        <v>29</v>
      </c>
      <c r="AM14" s="202" t="s">
        <v>29</v>
      </c>
      <c r="AN14" s="202" t="s">
        <v>29</v>
      </c>
      <c r="AO14" s="203">
        <v>0</v>
      </c>
      <c r="AP14" s="203">
        <v>0</v>
      </c>
      <c r="AQ14" s="953" t="s">
        <v>858</v>
      </c>
      <c r="AR14" s="947" t="s">
        <v>273</v>
      </c>
      <c r="AS14" s="947" t="s">
        <v>273</v>
      </c>
      <c r="AT14" s="956">
        <v>0.1</v>
      </c>
      <c r="AU14" s="306" t="s">
        <v>29</v>
      </c>
      <c r="AV14" s="306" t="s">
        <v>29</v>
      </c>
      <c r="AX14" s="768"/>
    </row>
    <row r="15" spans="1:50">
      <c r="A15" s="164" t="s">
        <v>899</v>
      </c>
      <c r="B15" s="164" t="s">
        <v>902</v>
      </c>
      <c r="C15" s="164" t="s">
        <v>904</v>
      </c>
      <c r="D15" s="164" t="s">
        <v>788</v>
      </c>
      <c r="E15" s="164"/>
      <c r="F15" s="164" t="s">
        <v>227</v>
      </c>
      <c r="G15" s="223"/>
      <c r="H15" s="959"/>
      <c r="I15" s="224"/>
      <c r="J15" s="224"/>
      <c r="K15" s="224">
        <v>0</v>
      </c>
      <c r="L15" s="955">
        <v>0</v>
      </c>
      <c r="M15" s="958">
        <v>0</v>
      </c>
      <c r="N15" s="958">
        <v>0</v>
      </c>
      <c r="O15" s="958">
        <v>0</v>
      </c>
      <c r="P15" s="957">
        <v>1</v>
      </c>
      <c r="Q15" s="958">
        <v>1</v>
      </c>
      <c r="R15" s="958">
        <v>1</v>
      </c>
      <c r="S15" s="958">
        <v>1</v>
      </c>
      <c r="T15" s="958">
        <v>1</v>
      </c>
      <c r="U15" s="958">
        <v>1</v>
      </c>
      <c r="V15" s="903"/>
      <c r="W15" s="222" t="s">
        <v>55</v>
      </c>
      <c r="X15" s="901"/>
      <c r="Y15" s="902"/>
      <c r="Z15" s="957">
        <v>0</v>
      </c>
      <c r="AA15" s="957">
        <v>0</v>
      </c>
      <c r="AB15" s="957">
        <v>1</v>
      </c>
      <c r="AC15" s="957">
        <v>0</v>
      </c>
      <c r="AD15" s="904"/>
      <c r="AE15" s="957">
        <v>1</v>
      </c>
      <c r="AF15" s="957">
        <v>0</v>
      </c>
      <c r="AG15" s="957">
        <v>1</v>
      </c>
      <c r="AH15" s="957">
        <v>1</v>
      </c>
      <c r="AI15" s="202"/>
      <c r="AJ15" s="202"/>
      <c r="AK15" s="202" t="s">
        <v>29</v>
      </c>
      <c r="AL15" s="202" t="s">
        <v>29</v>
      </c>
      <c r="AM15" s="202" t="s">
        <v>29</v>
      </c>
      <c r="AN15" s="202" t="s">
        <v>29</v>
      </c>
      <c r="AO15" s="203">
        <v>0</v>
      </c>
      <c r="AP15" s="203">
        <v>0</v>
      </c>
      <c r="AQ15" s="953" t="s">
        <v>839</v>
      </c>
      <c r="AR15" s="947" t="s">
        <v>273</v>
      </c>
      <c r="AS15" s="947" t="s">
        <v>273</v>
      </c>
      <c r="AT15" s="956">
        <v>0.1</v>
      </c>
      <c r="AU15" s="306" t="s">
        <v>29</v>
      </c>
      <c r="AV15" s="306" t="s">
        <v>29</v>
      </c>
      <c r="AX15" s="768"/>
    </row>
    <row r="16" spans="1:50">
      <c r="A16" s="164" t="s">
        <v>899</v>
      </c>
      <c r="B16" s="164" t="s">
        <v>902</v>
      </c>
      <c r="C16" s="164" t="s">
        <v>904</v>
      </c>
      <c r="D16" s="1063" t="s">
        <v>789</v>
      </c>
      <c r="E16" s="1063"/>
      <c r="F16" s="1063" t="s">
        <v>227</v>
      </c>
      <c r="G16" s="1064"/>
      <c r="H16" s="1065"/>
      <c r="I16" s="1066"/>
      <c r="J16" s="1066"/>
      <c r="K16" s="1066">
        <v>0</v>
      </c>
      <c r="L16" s="1067">
        <v>0</v>
      </c>
      <c r="M16" s="1068">
        <v>0</v>
      </c>
      <c r="N16" s="1068">
        <v>0</v>
      </c>
      <c r="O16" s="1068">
        <v>0</v>
      </c>
      <c r="P16" s="1069">
        <v>1</v>
      </c>
      <c r="Q16" s="1068">
        <v>1</v>
      </c>
      <c r="R16" s="1068">
        <v>1</v>
      </c>
      <c r="S16" s="1068">
        <v>1</v>
      </c>
      <c r="T16" s="1068">
        <v>1</v>
      </c>
      <c r="U16" s="1068">
        <v>1</v>
      </c>
      <c r="V16" s="1070"/>
      <c r="W16" s="1071" t="s">
        <v>53</v>
      </c>
      <c r="X16" s="1072"/>
      <c r="Y16" s="1073"/>
      <c r="Z16" s="1069">
        <v>1</v>
      </c>
      <c r="AA16" s="1069">
        <v>0</v>
      </c>
      <c r="AB16" s="1069">
        <v>0</v>
      </c>
      <c r="AC16" s="1069">
        <v>0</v>
      </c>
      <c r="AD16" s="1074"/>
      <c r="AE16" s="1069">
        <v>0</v>
      </c>
      <c r="AF16" s="1069">
        <v>1</v>
      </c>
      <c r="AG16" s="1069">
        <v>0</v>
      </c>
      <c r="AH16" s="1069">
        <v>0</v>
      </c>
      <c r="AI16" s="1075"/>
      <c r="AJ16" s="1075"/>
      <c r="AK16" s="1075" t="s">
        <v>29</v>
      </c>
      <c r="AL16" s="1075" t="s">
        <v>29</v>
      </c>
      <c r="AM16" s="1075" t="s">
        <v>29</v>
      </c>
      <c r="AN16" s="1075" t="s">
        <v>29</v>
      </c>
      <c r="AO16" s="1076">
        <v>0</v>
      </c>
      <c r="AP16" s="1076">
        <v>0</v>
      </c>
      <c r="AQ16" s="1077" t="s">
        <v>853</v>
      </c>
      <c r="AR16" s="1078" t="s">
        <v>273</v>
      </c>
      <c r="AS16" s="1078" t="s">
        <v>273</v>
      </c>
      <c r="AT16" s="1079">
        <v>0.1</v>
      </c>
      <c r="AU16" s="306" t="s">
        <v>29</v>
      </c>
      <c r="AV16" s="306" t="s">
        <v>29</v>
      </c>
      <c r="AX16" s="768"/>
    </row>
    <row r="17" spans="1:50" hidden="1">
      <c r="A17" s="164" t="s">
        <v>900</v>
      </c>
      <c r="B17" s="164" t="s">
        <v>268</v>
      </c>
      <c r="C17" s="164" t="s">
        <v>687</v>
      </c>
      <c r="D17" s="164" t="s">
        <v>778</v>
      </c>
      <c r="E17" s="164"/>
      <c r="F17" s="164" t="s">
        <v>227</v>
      </c>
      <c r="G17" s="223"/>
      <c r="H17" s="959"/>
      <c r="I17" s="224"/>
      <c r="J17" s="224"/>
      <c r="K17" s="224">
        <v>0</v>
      </c>
      <c r="L17" s="955">
        <v>0</v>
      </c>
      <c r="M17" s="958">
        <v>0</v>
      </c>
      <c r="N17" s="958">
        <v>0</v>
      </c>
      <c r="O17" s="958">
        <v>0</v>
      </c>
      <c r="P17" s="957">
        <v>1</v>
      </c>
      <c r="Q17" s="958">
        <v>1</v>
      </c>
      <c r="R17" s="958">
        <v>1</v>
      </c>
      <c r="S17" s="958">
        <v>1</v>
      </c>
      <c r="T17" s="958">
        <v>1</v>
      </c>
      <c r="U17" s="958">
        <v>1</v>
      </c>
      <c r="V17" s="903"/>
      <c r="W17" s="222" t="s">
        <v>55</v>
      </c>
      <c r="X17" s="901"/>
      <c r="Y17" s="902"/>
      <c r="Z17" s="957">
        <v>0</v>
      </c>
      <c r="AA17" s="957">
        <v>0</v>
      </c>
      <c r="AB17" s="957">
        <v>1</v>
      </c>
      <c r="AC17" s="957">
        <v>0</v>
      </c>
      <c r="AD17" s="904"/>
      <c r="AE17" s="957">
        <v>1</v>
      </c>
      <c r="AF17" s="957">
        <v>0</v>
      </c>
      <c r="AG17" s="957">
        <v>1</v>
      </c>
      <c r="AH17" s="957">
        <v>1</v>
      </c>
      <c r="AI17" s="202"/>
      <c r="AJ17" s="202"/>
      <c r="AK17" s="202" t="s">
        <v>29</v>
      </c>
      <c r="AL17" s="202" t="s">
        <v>29</v>
      </c>
      <c r="AM17" s="202" t="s">
        <v>29</v>
      </c>
      <c r="AN17" s="202" t="s">
        <v>29</v>
      </c>
      <c r="AO17" s="203">
        <v>0</v>
      </c>
      <c r="AP17" s="203">
        <v>0</v>
      </c>
      <c r="AQ17" s="953" t="s">
        <v>839</v>
      </c>
      <c r="AR17" s="947" t="s">
        <v>273</v>
      </c>
      <c r="AS17" s="947" t="s">
        <v>273</v>
      </c>
      <c r="AT17" s="956">
        <v>0.1</v>
      </c>
      <c r="AU17" s="306" t="s">
        <v>29</v>
      </c>
      <c r="AV17" s="306" t="s">
        <v>29</v>
      </c>
      <c r="AX17" s="768"/>
    </row>
    <row r="18" spans="1:50" hidden="1">
      <c r="A18" s="164" t="s">
        <v>900</v>
      </c>
      <c r="B18" s="164" t="s">
        <v>268</v>
      </c>
      <c r="C18" s="164" t="s">
        <v>687</v>
      </c>
      <c r="D18" s="164" t="s">
        <v>779</v>
      </c>
      <c r="E18" s="164"/>
      <c r="F18" s="164" t="s">
        <v>227</v>
      </c>
      <c r="G18" s="223"/>
      <c r="H18" s="959"/>
      <c r="I18" s="224"/>
      <c r="J18" s="224"/>
      <c r="K18" s="224">
        <v>0</v>
      </c>
      <c r="L18" s="955">
        <v>0</v>
      </c>
      <c r="M18" s="958">
        <v>0</v>
      </c>
      <c r="N18" s="958">
        <v>0</v>
      </c>
      <c r="O18" s="958">
        <v>0</v>
      </c>
      <c r="P18" s="957">
        <v>1</v>
      </c>
      <c r="Q18" s="958">
        <v>1</v>
      </c>
      <c r="R18" s="958">
        <v>1</v>
      </c>
      <c r="S18" s="958">
        <v>1</v>
      </c>
      <c r="T18" s="958">
        <v>1</v>
      </c>
      <c r="U18" s="958">
        <v>1</v>
      </c>
      <c r="V18" s="903"/>
      <c r="W18" s="222" t="s">
        <v>55</v>
      </c>
      <c r="X18" s="901"/>
      <c r="Y18" s="902"/>
      <c r="Z18" s="957">
        <v>0</v>
      </c>
      <c r="AA18" s="957">
        <v>0</v>
      </c>
      <c r="AB18" s="957">
        <v>1</v>
      </c>
      <c r="AC18" s="957">
        <v>0</v>
      </c>
      <c r="AD18" s="904"/>
      <c r="AE18" s="957">
        <v>1</v>
      </c>
      <c r="AF18" s="957">
        <v>0</v>
      </c>
      <c r="AG18" s="957">
        <v>1</v>
      </c>
      <c r="AH18" s="957">
        <v>1</v>
      </c>
      <c r="AI18" s="202"/>
      <c r="AJ18" s="202"/>
      <c r="AK18" s="202" t="s">
        <v>29</v>
      </c>
      <c r="AL18" s="202" t="s">
        <v>29</v>
      </c>
      <c r="AM18" s="202" t="s">
        <v>29</v>
      </c>
      <c r="AN18" s="202" t="s">
        <v>29</v>
      </c>
      <c r="AO18" s="203">
        <v>0</v>
      </c>
      <c r="AP18" s="203">
        <v>0</v>
      </c>
      <c r="AQ18" s="953" t="s">
        <v>839</v>
      </c>
      <c r="AR18" s="947" t="s">
        <v>273</v>
      </c>
      <c r="AS18" s="947" t="s">
        <v>273</v>
      </c>
      <c r="AT18" s="956">
        <v>0.1</v>
      </c>
      <c r="AU18" s="306" t="s">
        <v>29</v>
      </c>
      <c r="AV18" s="306" t="s">
        <v>29</v>
      </c>
      <c r="AX18" s="768"/>
    </row>
    <row r="19" spans="1:50" hidden="1">
      <c r="A19" s="164" t="s">
        <v>900</v>
      </c>
      <c r="B19" s="164" t="s">
        <v>268</v>
      </c>
      <c r="C19" s="164" t="s">
        <v>687</v>
      </c>
      <c r="D19" s="164" t="s">
        <v>780</v>
      </c>
      <c r="E19" s="164"/>
      <c r="F19" s="164" t="s">
        <v>227</v>
      </c>
      <c r="G19" s="223"/>
      <c r="H19" s="959"/>
      <c r="I19" s="224"/>
      <c r="J19" s="224"/>
      <c r="K19" s="224">
        <v>0</v>
      </c>
      <c r="L19" s="955">
        <v>0</v>
      </c>
      <c r="M19" s="958">
        <v>0</v>
      </c>
      <c r="N19" s="958">
        <v>0</v>
      </c>
      <c r="O19" s="958">
        <v>0</v>
      </c>
      <c r="P19" s="957">
        <v>1</v>
      </c>
      <c r="Q19" s="958">
        <v>1</v>
      </c>
      <c r="R19" s="958">
        <v>1</v>
      </c>
      <c r="S19" s="958">
        <v>1</v>
      </c>
      <c r="T19" s="958">
        <v>1</v>
      </c>
      <c r="U19" s="958">
        <v>1</v>
      </c>
      <c r="V19" s="903"/>
      <c r="W19" s="222" t="s">
        <v>55</v>
      </c>
      <c r="X19" s="901"/>
      <c r="Y19" s="902"/>
      <c r="Z19" s="957">
        <v>0</v>
      </c>
      <c r="AA19" s="957">
        <v>0</v>
      </c>
      <c r="AB19" s="957">
        <v>1</v>
      </c>
      <c r="AC19" s="957">
        <v>0</v>
      </c>
      <c r="AD19" s="904"/>
      <c r="AE19" s="957">
        <v>1</v>
      </c>
      <c r="AF19" s="957">
        <v>0</v>
      </c>
      <c r="AG19" s="957">
        <v>1</v>
      </c>
      <c r="AH19" s="957">
        <v>1</v>
      </c>
      <c r="AI19" s="202"/>
      <c r="AJ19" s="202"/>
      <c r="AK19" s="202" t="s">
        <v>29</v>
      </c>
      <c r="AL19" s="202" t="s">
        <v>29</v>
      </c>
      <c r="AM19" s="202" t="s">
        <v>29</v>
      </c>
      <c r="AN19" s="202" t="s">
        <v>29</v>
      </c>
      <c r="AO19" s="203">
        <v>0</v>
      </c>
      <c r="AP19" s="203">
        <v>0</v>
      </c>
      <c r="AQ19" s="953" t="s">
        <v>843</v>
      </c>
      <c r="AR19" s="947" t="s">
        <v>273</v>
      </c>
      <c r="AS19" s="947" t="s">
        <v>388</v>
      </c>
      <c r="AT19" s="956">
        <v>1</v>
      </c>
      <c r="AU19" s="306" t="s">
        <v>29</v>
      </c>
      <c r="AV19" s="306" t="s">
        <v>29</v>
      </c>
      <c r="AX19" s="768"/>
    </row>
    <row r="20" spans="1:50" hidden="1">
      <c r="A20" s="164" t="s">
        <v>900</v>
      </c>
      <c r="B20" s="164" t="s">
        <v>268</v>
      </c>
      <c r="C20" s="164" t="s">
        <v>687</v>
      </c>
      <c r="D20" s="164" t="s">
        <v>781</v>
      </c>
      <c r="E20" s="164"/>
      <c r="F20" s="164" t="s">
        <v>227</v>
      </c>
      <c r="G20" s="223"/>
      <c r="H20" s="959"/>
      <c r="I20" s="224"/>
      <c r="J20" s="224"/>
      <c r="K20" s="224">
        <v>0</v>
      </c>
      <c r="L20" s="955">
        <v>0</v>
      </c>
      <c r="M20" s="958">
        <v>0</v>
      </c>
      <c r="N20" s="958">
        <v>0</v>
      </c>
      <c r="O20" s="958">
        <v>0</v>
      </c>
      <c r="P20" s="957">
        <v>1</v>
      </c>
      <c r="Q20" s="958">
        <v>1</v>
      </c>
      <c r="R20" s="958">
        <v>1</v>
      </c>
      <c r="S20" s="958">
        <v>1</v>
      </c>
      <c r="T20" s="958">
        <v>1</v>
      </c>
      <c r="U20" s="958">
        <v>1</v>
      </c>
      <c r="V20" s="903"/>
      <c r="W20" s="222" t="s">
        <v>794</v>
      </c>
      <c r="X20" s="901"/>
      <c r="Y20" s="902"/>
      <c r="Z20" s="957">
        <v>0</v>
      </c>
      <c r="AA20" s="957">
        <v>0</v>
      </c>
      <c r="AB20" s="957">
        <v>0</v>
      </c>
      <c r="AC20" s="957">
        <v>1</v>
      </c>
      <c r="AD20" s="904"/>
      <c r="AE20" s="957">
        <v>0</v>
      </c>
      <c r="AF20" s="957">
        <v>0</v>
      </c>
      <c r="AG20" s="957">
        <v>0</v>
      </c>
      <c r="AH20" s="957">
        <v>0</v>
      </c>
      <c r="AI20" s="202"/>
      <c r="AJ20" s="202"/>
      <c r="AK20" s="202" t="s">
        <v>29</v>
      </c>
      <c r="AL20" s="202" t="s">
        <v>29</v>
      </c>
      <c r="AM20" s="202" t="s">
        <v>29</v>
      </c>
      <c r="AN20" s="202" t="s">
        <v>29</v>
      </c>
      <c r="AO20" s="203">
        <v>0</v>
      </c>
      <c r="AP20" s="203">
        <v>0</v>
      </c>
      <c r="AQ20" s="953" t="s">
        <v>847</v>
      </c>
      <c r="AR20" s="947" t="s">
        <v>273</v>
      </c>
      <c r="AS20" s="947" t="s">
        <v>388</v>
      </c>
      <c r="AT20" s="956">
        <v>1</v>
      </c>
      <c r="AU20" s="306" t="s">
        <v>29</v>
      </c>
      <c r="AV20" s="306" t="s">
        <v>29</v>
      </c>
      <c r="AX20" s="768"/>
    </row>
    <row r="21" spans="1:50" hidden="1">
      <c r="A21" s="164" t="s">
        <v>900</v>
      </c>
      <c r="B21" s="164" t="s">
        <v>268</v>
      </c>
      <c r="C21" s="164" t="s">
        <v>687</v>
      </c>
      <c r="D21" s="164" t="s">
        <v>782</v>
      </c>
      <c r="E21" s="164"/>
      <c r="F21" s="164" t="s">
        <v>227</v>
      </c>
      <c r="G21" s="223"/>
      <c r="H21" s="959"/>
      <c r="I21" s="224"/>
      <c r="J21" s="224"/>
      <c r="K21" s="224">
        <v>0</v>
      </c>
      <c r="L21" s="955">
        <v>0</v>
      </c>
      <c r="M21" s="958">
        <v>0</v>
      </c>
      <c r="N21" s="958">
        <v>0</v>
      </c>
      <c r="O21" s="958">
        <v>0</v>
      </c>
      <c r="P21" s="957">
        <v>1</v>
      </c>
      <c r="Q21" s="958">
        <v>1</v>
      </c>
      <c r="R21" s="958">
        <v>1</v>
      </c>
      <c r="S21" s="958">
        <v>1</v>
      </c>
      <c r="T21" s="958">
        <v>1</v>
      </c>
      <c r="U21" s="958">
        <v>1</v>
      </c>
      <c r="V21" s="903"/>
      <c r="W21" s="222" t="s">
        <v>53</v>
      </c>
      <c r="X21" s="901"/>
      <c r="Y21" s="902"/>
      <c r="Z21" s="957">
        <v>1</v>
      </c>
      <c r="AA21" s="957">
        <v>0</v>
      </c>
      <c r="AB21" s="957">
        <v>0</v>
      </c>
      <c r="AC21" s="957">
        <v>0</v>
      </c>
      <c r="AD21" s="904"/>
      <c r="AE21" s="957">
        <v>0</v>
      </c>
      <c r="AF21" s="957">
        <v>1</v>
      </c>
      <c r="AG21" s="957">
        <v>0</v>
      </c>
      <c r="AH21" s="957">
        <v>0</v>
      </c>
      <c r="AI21" s="202"/>
      <c r="AJ21" s="202"/>
      <c r="AK21" s="202"/>
      <c r="AL21" s="202"/>
      <c r="AM21" s="202"/>
      <c r="AN21" s="202"/>
      <c r="AO21" s="203"/>
      <c r="AP21" s="203"/>
      <c r="AQ21" s="953" t="s">
        <v>853</v>
      </c>
      <c r="AR21" s="947" t="s">
        <v>273</v>
      </c>
      <c r="AS21" s="947" t="s">
        <v>388</v>
      </c>
      <c r="AT21" s="956">
        <v>1</v>
      </c>
      <c r="AX21" s="768"/>
    </row>
    <row r="22" spans="1:50" hidden="1">
      <c r="A22" s="164" t="s">
        <v>900</v>
      </c>
      <c r="B22" s="164" t="s">
        <v>268</v>
      </c>
      <c r="C22" s="164" t="s">
        <v>687</v>
      </c>
      <c r="D22" s="164" t="s">
        <v>783</v>
      </c>
      <c r="E22" s="164"/>
      <c r="F22" s="164" t="s">
        <v>227</v>
      </c>
      <c r="G22" s="223"/>
      <c r="H22" s="959"/>
      <c r="I22" s="224"/>
      <c r="J22" s="224"/>
      <c r="K22" s="224">
        <v>0</v>
      </c>
      <c r="L22" s="955">
        <v>0</v>
      </c>
      <c r="M22" s="958">
        <v>0</v>
      </c>
      <c r="N22" s="958">
        <v>0</v>
      </c>
      <c r="O22" s="958">
        <v>0</v>
      </c>
      <c r="P22" s="957">
        <v>1</v>
      </c>
      <c r="Q22" s="958">
        <v>1</v>
      </c>
      <c r="R22" s="958">
        <v>1</v>
      </c>
      <c r="S22" s="958">
        <v>1</v>
      </c>
      <c r="T22" s="958">
        <v>1</v>
      </c>
      <c r="U22" s="958">
        <v>1</v>
      </c>
      <c r="V22" s="903"/>
      <c r="W22" s="222" t="s">
        <v>795</v>
      </c>
      <c r="X22" s="901"/>
      <c r="Y22" s="902"/>
      <c r="Z22" s="957">
        <v>0</v>
      </c>
      <c r="AA22" s="957">
        <v>1</v>
      </c>
      <c r="AB22" s="957">
        <v>0</v>
      </c>
      <c r="AC22" s="957">
        <v>0</v>
      </c>
      <c r="AD22" s="904"/>
      <c r="AE22" s="957">
        <v>0</v>
      </c>
      <c r="AF22" s="957">
        <v>0</v>
      </c>
      <c r="AG22" s="957">
        <v>0</v>
      </c>
      <c r="AH22" s="957">
        <v>0</v>
      </c>
      <c r="AI22" s="202"/>
      <c r="AJ22" s="202"/>
      <c r="AK22" s="202" t="s">
        <v>29</v>
      </c>
      <c r="AL22" s="202" t="s">
        <v>29</v>
      </c>
      <c r="AM22" s="202" t="s">
        <v>29</v>
      </c>
      <c r="AN22" s="202" t="s">
        <v>29</v>
      </c>
      <c r="AO22" s="203">
        <v>0</v>
      </c>
      <c r="AP22" s="203">
        <v>0</v>
      </c>
      <c r="AQ22" s="953" t="s">
        <v>858</v>
      </c>
      <c r="AR22" s="947" t="s">
        <v>273</v>
      </c>
      <c r="AS22" s="947" t="s">
        <v>388</v>
      </c>
      <c r="AT22" s="956">
        <v>1</v>
      </c>
      <c r="AU22" s="306" t="s">
        <v>29</v>
      </c>
      <c r="AV22" s="306" t="s">
        <v>29</v>
      </c>
      <c r="AX22" s="768"/>
    </row>
    <row r="23" spans="1:50" hidden="1">
      <c r="A23" s="164" t="s">
        <v>900</v>
      </c>
      <c r="B23" s="164" t="s">
        <v>268</v>
      </c>
      <c r="C23" s="164" t="s">
        <v>687</v>
      </c>
      <c r="D23" s="164" t="s">
        <v>784</v>
      </c>
      <c r="E23" s="164"/>
      <c r="F23" s="164" t="s">
        <v>227</v>
      </c>
      <c r="G23" s="223"/>
      <c r="H23" s="959"/>
      <c r="I23" s="224"/>
      <c r="J23" s="224"/>
      <c r="K23" s="224">
        <v>0</v>
      </c>
      <c r="L23" s="955">
        <v>0</v>
      </c>
      <c r="M23" s="958">
        <v>0</v>
      </c>
      <c r="N23" s="958">
        <v>0</v>
      </c>
      <c r="O23" s="958">
        <v>0</v>
      </c>
      <c r="P23" s="957">
        <v>1</v>
      </c>
      <c r="Q23" s="958">
        <v>1</v>
      </c>
      <c r="R23" s="958">
        <v>1</v>
      </c>
      <c r="S23" s="958">
        <v>1</v>
      </c>
      <c r="T23" s="958">
        <v>1</v>
      </c>
      <c r="U23" s="958">
        <v>1</v>
      </c>
      <c r="V23" s="903"/>
      <c r="W23" s="222" t="s">
        <v>55</v>
      </c>
      <c r="X23" s="901"/>
      <c r="Y23" s="902"/>
      <c r="Z23" s="957">
        <v>0</v>
      </c>
      <c r="AA23" s="957">
        <v>0</v>
      </c>
      <c r="AB23" s="957">
        <v>1</v>
      </c>
      <c r="AC23" s="957">
        <v>0</v>
      </c>
      <c r="AD23" s="904"/>
      <c r="AE23" s="957">
        <v>1</v>
      </c>
      <c r="AF23" s="957">
        <v>0</v>
      </c>
      <c r="AG23" s="957">
        <v>1</v>
      </c>
      <c r="AH23" s="957">
        <v>1</v>
      </c>
      <c r="AI23" s="202"/>
      <c r="AJ23" s="202"/>
      <c r="AK23" s="202" t="s">
        <v>29</v>
      </c>
      <c r="AL23" s="202" t="s">
        <v>29</v>
      </c>
      <c r="AM23" s="202" t="s">
        <v>29</v>
      </c>
      <c r="AN23" s="202" t="s">
        <v>29</v>
      </c>
      <c r="AO23" s="203">
        <v>0</v>
      </c>
      <c r="AP23" s="203">
        <v>0</v>
      </c>
      <c r="AQ23" s="953" t="s">
        <v>843</v>
      </c>
      <c r="AR23" s="947" t="s">
        <v>273</v>
      </c>
      <c r="AS23" s="947" t="s">
        <v>273</v>
      </c>
      <c r="AT23" s="956">
        <v>1</v>
      </c>
      <c r="AU23" s="306" t="s">
        <v>29</v>
      </c>
      <c r="AV23" s="306" t="s">
        <v>29</v>
      </c>
      <c r="AX23" s="768"/>
    </row>
    <row r="24" spans="1:50" hidden="1">
      <c r="A24" s="164" t="s">
        <v>900</v>
      </c>
      <c r="B24" s="164" t="s">
        <v>268</v>
      </c>
      <c r="C24" s="164" t="s">
        <v>687</v>
      </c>
      <c r="D24" s="164" t="s">
        <v>785</v>
      </c>
      <c r="E24" s="164"/>
      <c r="F24" s="164" t="s">
        <v>227</v>
      </c>
      <c r="G24" s="223"/>
      <c r="H24" s="959"/>
      <c r="I24" s="224"/>
      <c r="J24" s="224"/>
      <c r="K24" s="224">
        <v>0</v>
      </c>
      <c r="L24" s="955">
        <v>0</v>
      </c>
      <c r="M24" s="958">
        <v>0</v>
      </c>
      <c r="N24" s="958">
        <v>0</v>
      </c>
      <c r="O24" s="958">
        <v>0</v>
      </c>
      <c r="P24" s="957">
        <v>1</v>
      </c>
      <c r="Q24" s="958">
        <v>1</v>
      </c>
      <c r="R24" s="958">
        <v>1</v>
      </c>
      <c r="S24" s="958">
        <v>1</v>
      </c>
      <c r="T24" s="958">
        <v>1</v>
      </c>
      <c r="U24" s="958">
        <v>1</v>
      </c>
      <c r="V24" s="903"/>
      <c r="W24" s="222" t="s">
        <v>794</v>
      </c>
      <c r="X24" s="901"/>
      <c r="Y24" s="902"/>
      <c r="Z24" s="957">
        <v>0</v>
      </c>
      <c r="AA24" s="957">
        <v>0</v>
      </c>
      <c r="AB24" s="957">
        <v>0</v>
      </c>
      <c r="AC24" s="957">
        <v>1</v>
      </c>
      <c r="AD24" s="904"/>
      <c r="AE24" s="957">
        <v>0</v>
      </c>
      <c r="AF24" s="957">
        <v>0</v>
      </c>
      <c r="AG24" s="957">
        <v>0</v>
      </c>
      <c r="AH24" s="957">
        <v>0</v>
      </c>
      <c r="AI24" s="202"/>
      <c r="AJ24" s="202"/>
      <c r="AK24" s="202" t="s">
        <v>29</v>
      </c>
      <c r="AL24" s="202" t="s">
        <v>29</v>
      </c>
      <c r="AM24" s="202" t="s">
        <v>29</v>
      </c>
      <c r="AN24" s="202" t="s">
        <v>29</v>
      </c>
      <c r="AO24" s="203">
        <v>0</v>
      </c>
      <c r="AP24" s="203">
        <v>0</v>
      </c>
      <c r="AQ24" s="953" t="s">
        <v>847</v>
      </c>
      <c r="AR24" s="947" t="s">
        <v>273</v>
      </c>
      <c r="AS24" s="947" t="s">
        <v>273</v>
      </c>
      <c r="AT24" s="956">
        <v>1</v>
      </c>
      <c r="AU24" s="306" t="s">
        <v>29</v>
      </c>
      <c r="AV24" s="306" t="s">
        <v>29</v>
      </c>
      <c r="AX24" s="768"/>
    </row>
    <row r="25" spans="1:50" hidden="1">
      <c r="A25" s="164" t="s">
        <v>900</v>
      </c>
      <c r="B25" s="164" t="s">
        <v>268</v>
      </c>
      <c r="C25" s="164" t="s">
        <v>687</v>
      </c>
      <c r="D25" s="164" t="s">
        <v>786</v>
      </c>
      <c r="E25" s="164"/>
      <c r="F25" s="164" t="s">
        <v>227</v>
      </c>
      <c r="G25" s="223"/>
      <c r="H25" s="959"/>
      <c r="I25" s="224"/>
      <c r="J25" s="224"/>
      <c r="K25" s="224">
        <v>0</v>
      </c>
      <c r="L25" s="955">
        <v>0</v>
      </c>
      <c r="M25" s="958">
        <v>0</v>
      </c>
      <c r="N25" s="958">
        <v>0</v>
      </c>
      <c r="O25" s="958">
        <v>0</v>
      </c>
      <c r="P25" s="957">
        <v>1</v>
      </c>
      <c r="Q25" s="958">
        <v>1</v>
      </c>
      <c r="R25" s="958">
        <v>1</v>
      </c>
      <c r="S25" s="958">
        <v>1</v>
      </c>
      <c r="T25" s="958">
        <v>1</v>
      </c>
      <c r="U25" s="958">
        <v>1</v>
      </c>
      <c r="V25" s="903"/>
      <c r="W25" s="222" t="s">
        <v>53</v>
      </c>
      <c r="X25" s="901"/>
      <c r="Y25" s="902"/>
      <c r="Z25" s="957">
        <v>1</v>
      </c>
      <c r="AA25" s="957">
        <v>0</v>
      </c>
      <c r="AB25" s="957">
        <v>0</v>
      </c>
      <c r="AC25" s="957">
        <v>0</v>
      </c>
      <c r="AD25" s="904"/>
      <c r="AE25" s="957">
        <v>0</v>
      </c>
      <c r="AF25" s="957">
        <v>1</v>
      </c>
      <c r="AG25" s="957">
        <v>0</v>
      </c>
      <c r="AH25" s="957">
        <v>0</v>
      </c>
      <c r="AI25" s="202"/>
      <c r="AJ25" s="202"/>
      <c r="AK25" s="202" t="s">
        <v>29</v>
      </c>
      <c r="AL25" s="202" t="s">
        <v>29</v>
      </c>
      <c r="AM25" s="202" t="s">
        <v>29</v>
      </c>
      <c r="AN25" s="202" t="s">
        <v>29</v>
      </c>
      <c r="AO25" s="203">
        <v>0</v>
      </c>
      <c r="AP25" s="203">
        <v>0</v>
      </c>
      <c r="AQ25" s="953" t="s">
        <v>853</v>
      </c>
      <c r="AR25" s="947" t="s">
        <v>273</v>
      </c>
      <c r="AS25" s="947" t="s">
        <v>273</v>
      </c>
      <c r="AT25" s="956">
        <v>0.1</v>
      </c>
      <c r="AU25" s="306" t="s">
        <v>29</v>
      </c>
      <c r="AV25" s="306" t="s">
        <v>29</v>
      </c>
      <c r="AX25" s="768"/>
    </row>
    <row r="26" spans="1:50" hidden="1">
      <c r="A26" s="164" t="s">
        <v>900</v>
      </c>
      <c r="B26" s="164" t="s">
        <v>268</v>
      </c>
      <c r="C26" s="164" t="s">
        <v>687</v>
      </c>
      <c r="D26" s="164" t="s">
        <v>787</v>
      </c>
      <c r="E26" s="164"/>
      <c r="F26" s="164" t="s">
        <v>227</v>
      </c>
      <c r="G26" s="223"/>
      <c r="H26" s="959"/>
      <c r="I26" s="224"/>
      <c r="J26" s="224"/>
      <c r="K26" s="224">
        <v>0</v>
      </c>
      <c r="L26" s="955">
        <v>0</v>
      </c>
      <c r="M26" s="958">
        <v>0</v>
      </c>
      <c r="N26" s="958">
        <v>0</v>
      </c>
      <c r="O26" s="958">
        <v>0</v>
      </c>
      <c r="P26" s="957">
        <v>1</v>
      </c>
      <c r="Q26" s="958">
        <v>1</v>
      </c>
      <c r="R26" s="958">
        <v>1</v>
      </c>
      <c r="S26" s="958">
        <v>1</v>
      </c>
      <c r="T26" s="958">
        <v>1</v>
      </c>
      <c r="U26" s="958">
        <v>1</v>
      </c>
      <c r="V26" s="903"/>
      <c r="W26" s="222" t="s">
        <v>795</v>
      </c>
      <c r="X26" s="901"/>
      <c r="Y26" s="902"/>
      <c r="Z26" s="957">
        <v>0</v>
      </c>
      <c r="AA26" s="957">
        <v>1</v>
      </c>
      <c r="AB26" s="957">
        <v>0</v>
      </c>
      <c r="AC26" s="957">
        <v>0</v>
      </c>
      <c r="AD26" s="904"/>
      <c r="AE26" s="957">
        <v>0</v>
      </c>
      <c r="AF26" s="957">
        <v>0</v>
      </c>
      <c r="AG26" s="957">
        <v>0</v>
      </c>
      <c r="AH26" s="957">
        <v>0</v>
      </c>
      <c r="AI26" s="202"/>
      <c r="AJ26" s="202"/>
      <c r="AK26" s="202" t="s">
        <v>29</v>
      </c>
      <c r="AL26" s="202" t="s">
        <v>29</v>
      </c>
      <c r="AM26" s="202" t="s">
        <v>29</v>
      </c>
      <c r="AN26" s="202" t="s">
        <v>29</v>
      </c>
      <c r="AO26" s="203">
        <v>0</v>
      </c>
      <c r="AP26" s="203">
        <v>0</v>
      </c>
      <c r="AQ26" s="953" t="s">
        <v>858</v>
      </c>
      <c r="AR26" s="947" t="s">
        <v>273</v>
      </c>
      <c r="AS26" s="947" t="s">
        <v>273</v>
      </c>
      <c r="AT26" s="956">
        <v>0.1</v>
      </c>
      <c r="AU26" s="306" t="s">
        <v>29</v>
      </c>
      <c r="AV26" s="306" t="s">
        <v>29</v>
      </c>
      <c r="AX26" s="768"/>
    </row>
    <row r="27" spans="1:50" hidden="1">
      <c r="A27" s="164" t="s">
        <v>900</v>
      </c>
      <c r="B27" s="164" t="s">
        <v>268</v>
      </c>
      <c r="C27" s="164" t="s">
        <v>687</v>
      </c>
      <c r="D27" s="164" t="s">
        <v>788</v>
      </c>
      <c r="E27" s="164"/>
      <c r="F27" s="164" t="s">
        <v>227</v>
      </c>
      <c r="G27" s="223"/>
      <c r="H27" s="959"/>
      <c r="I27" s="224"/>
      <c r="J27" s="224"/>
      <c r="K27" s="224">
        <v>0</v>
      </c>
      <c r="L27" s="955">
        <v>0</v>
      </c>
      <c r="M27" s="958">
        <v>0</v>
      </c>
      <c r="N27" s="958">
        <v>0</v>
      </c>
      <c r="O27" s="958">
        <v>0</v>
      </c>
      <c r="P27" s="957">
        <v>1</v>
      </c>
      <c r="Q27" s="958">
        <v>1</v>
      </c>
      <c r="R27" s="958">
        <v>1</v>
      </c>
      <c r="S27" s="958">
        <v>1</v>
      </c>
      <c r="T27" s="958">
        <v>1</v>
      </c>
      <c r="U27" s="958">
        <v>1</v>
      </c>
      <c r="V27" s="903"/>
      <c r="W27" s="222" t="s">
        <v>55</v>
      </c>
      <c r="X27" s="901"/>
      <c r="Y27" s="902"/>
      <c r="Z27" s="957">
        <v>0</v>
      </c>
      <c r="AA27" s="957">
        <v>0</v>
      </c>
      <c r="AB27" s="957">
        <v>1</v>
      </c>
      <c r="AC27" s="957">
        <v>0</v>
      </c>
      <c r="AD27" s="904"/>
      <c r="AE27" s="957">
        <v>1</v>
      </c>
      <c r="AF27" s="957">
        <v>0</v>
      </c>
      <c r="AG27" s="957">
        <v>1</v>
      </c>
      <c r="AH27" s="957">
        <v>1</v>
      </c>
      <c r="AI27" s="202"/>
      <c r="AJ27" s="202"/>
      <c r="AK27" s="202" t="s">
        <v>29</v>
      </c>
      <c r="AL27" s="202" t="s">
        <v>29</v>
      </c>
      <c r="AM27" s="202" t="s">
        <v>29</v>
      </c>
      <c r="AN27" s="202" t="s">
        <v>29</v>
      </c>
      <c r="AO27" s="203">
        <v>0</v>
      </c>
      <c r="AP27" s="203">
        <v>0</v>
      </c>
      <c r="AQ27" s="953" t="s">
        <v>839</v>
      </c>
      <c r="AR27" s="947" t="s">
        <v>273</v>
      </c>
      <c r="AS27" s="947" t="s">
        <v>273</v>
      </c>
      <c r="AT27" s="956">
        <v>0.1</v>
      </c>
      <c r="AU27" s="306" t="s">
        <v>29</v>
      </c>
      <c r="AV27" s="306" t="s">
        <v>29</v>
      </c>
      <c r="AX27" s="768"/>
    </row>
    <row r="28" spans="1:50" hidden="1">
      <c r="A28" s="164" t="s">
        <v>900</v>
      </c>
      <c r="B28" s="164" t="s">
        <v>268</v>
      </c>
      <c r="C28" s="164" t="s">
        <v>687</v>
      </c>
      <c r="D28" s="164" t="s">
        <v>789</v>
      </c>
      <c r="E28" s="164"/>
      <c r="F28" s="164" t="s">
        <v>227</v>
      </c>
      <c r="G28" s="223"/>
      <c r="H28" s="959"/>
      <c r="I28" s="224"/>
      <c r="J28" s="224"/>
      <c r="K28" s="224">
        <v>0</v>
      </c>
      <c r="L28" s="955">
        <v>0</v>
      </c>
      <c r="M28" s="958">
        <v>0</v>
      </c>
      <c r="N28" s="958">
        <v>0</v>
      </c>
      <c r="O28" s="958">
        <v>0</v>
      </c>
      <c r="P28" s="957">
        <v>1</v>
      </c>
      <c r="Q28" s="958">
        <v>1</v>
      </c>
      <c r="R28" s="958">
        <v>1</v>
      </c>
      <c r="S28" s="958">
        <v>1</v>
      </c>
      <c r="T28" s="958">
        <v>1</v>
      </c>
      <c r="U28" s="958">
        <v>1</v>
      </c>
      <c r="V28" s="903"/>
      <c r="W28" s="222" t="s">
        <v>53</v>
      </c>
      <c r="X28" s="901"/>
      <c r="Y28" s="902"/>
      <c r="Z28" s="957">
        <v>1</v>
      </c>
      <c r="AA28" s="957">
        <v>0</v>
      </c>
      <c r="AB28" s="957">
        <v>0</v>
      </c>
      <c r="AC28" s="957">
        <v>0</v>
      </c>
      <c r="AD28" s="904"/>
      <c r="AE28" s="957">
        <v>0</v>
      </c>
      <c r="AF28" s="957">
        <v>1</v>
      </c>
      <c r="AG28" s="957">
        <v>0</v>
      </c>
      <c r="AH28" s="957">
        <v>0</v>
      </c>
      <c r="AI28" s="202"/>
      <c r="AJ28" s="202"/>
      <c r="AK28" s="202"/>
      <c r="AL28" s="202"/>
      <c r="AM28" s="202"/>
      <c r="AN28" s="202"/>
      <c r="AO28" s="203"/>
      <c r="AP28" s="203"/>
      <c r="AQ28" s="953" t="s">
        <v>853</v>
      </c>
      <c r="AR28" s="947" t="s">
        <v>273</v>
      </c>
      <c r="AS28" s="947" t="s">
        <v>273</v>
      </c>
      <c r="AT28" s="956">
        <v>0.1</v>
      </c>
      <c r="AX28" s="768"/>
    </row>
    <row r="29" spans="1:50" s="1207" customFormat="1">
      <c r="A29" s="1192" t="s">
        <v>901</v>
      </c>
      <c r="B29" s="1192" t="s">
        <v>903</v>
      </c>
      <c r="C29" s="1192" t="s">
        <v>905</v>
      </c>
      <c r="D29" s="1192" t="s">
        <v>790</v>
      </c>
      <c r="E29" s="1192" t="s">
        <v>890</v>
      </c>
      <c r="F29" s="1192" t="s">
        <v>227</v>
      </c>
      <c r="G29" s="223">
        <v>21</v>
      </c>
      <c r="H29" s="959">
        <v>1</v>
      </c>
      <c r="I29" s="224">
        <v>2625</v>
      </c>
      <c r="J29" s="224">
        <v>2625</v>
      </c>
      <c r="K29" s="1193">
        <v>0</v>
      </c>
      <c r="L29" s="1194">
        <v>0</v>
      </c>
      <c r="M29" s="1195">
        <v>0</v>
      </c>
      <c r="N29" s="1195">
        <v>0</v>
      </c>
      <c r="O29" s="1195">
        <v>0</v>
      </c>
      <c r="P29" s="1196">
        <v>1</v>
      </c>
      <c r="Q29" s="1195">
        <v>1</v>
      </c>
      <c r="R29" s="1195">
        <v>1</v>
      </c>
      <c r="S29" s="1195">
        <v>1</v>
      </c>
      <c r="T29" s="1195">
        <v>1</v>
      </c>
      <c r="U29" s="1195">
        <v>1</v>
      </c>
      <c r="V29" s="1197"/>
      <c r="W29" s="1198" t="s">
        <v>55</v>
      </c>
      <c r="X29" s="1199"/>
      <c r="Y29" s="1200"/>
      <c r="Z29" s="1196">
        <v>0</v>
      </c>
      <c r="AA29" s="1196">
        <v>0</v>
      </c>
      <c r="AB29" s="1196">
        <v>1</v>
      </c>
      <c r="AC29" s="1196">
        <v>0</v>
      </c>
      <c r="AD29" s="1201">
        <v>159.5</v>
      </c>
      <c r="AE29" s="1196">
        <v>1</v>
      </c>
      <c r="AF29" s="1196">
        <v>0</v>
      </c>
      <c r="AG29" s="1196">
        <v>1</v>
      </c>
      <c r="AH29" s="1196">
        <v>1</v>
      </c>
      <c r="AI29" s="1202"/>
      <c r="AJ29" s="1202"/>
      <c r="AK29" s="1202" t="s">
        <v>29</v>
      </c>
      <c r="AL29" s="1202" t="s">
        <v>29</v>
      </c>
      <c r="AM29" s="1202" t="s">
        <v>29</v>
      </c>
      <c r="AN29" s="1202" t="s">
        <v>29</v>
      </c>
      <c r="AO29" s="1203">
        <v>0</v>
      </c>
      <c r="AP29" s="1203">
        <v>0</v>
      </c>
      <c r="AQ29" s="1204" t="s">
        <v>839</v>
      </c>
      <c r="AR29" s="946" t="s">
        <v>273</v>
      </c>
      <c r="AS29" s="946" t="s">
        <v>273</v>
      </c>
      <c r="AT29" s="1205">
        <v>0.1</v>
      </c>
      <c r="AU29" s="1206" t="s">
        <v>29</v>
      </c>
      <c r="AV29" s="1206" t="s">
        <v>29</v>
      </c>
      <c r="AX29" s="1208"/>
    </row>
    <row r="30" spans="1:50">
      <c r="A30" s="164" t="s">
        <v>901</v>
      </c>
      <c r="B30" s="164" t="s">
        <v>903</v>
      </c>
      <c r="C30" s="164" t="s">
        <v>905</v>
      </c>
      <c r="D30" s="164" t="s">
        <v>791</v>
      </c>
      <c r="E30" s="164"/>
      <c r="F30" s="164" t="s">
        <v>227</v>
      </c>
      <c r="G30" s="223"/>
      <c r="H30" s="959"/>
      <c r="I30" s="224"/>
      <c r="J30" s="224"/>
      <c r="K30" s="224">
        <v>0</v>
      </c>
      <c r="L30" s="955">
        <v>0</v>
      </c>
      <c r="M30" s="958">
        <v>0</v>
      </c>
      <c r="N30" s="958">
        <v>0</v>
      </c>
      <c r="O30" s="958">
        <v>0</v>
      </c>
      <c r="P30" s="957">
        <v>1</v>
      </c>
      <c r="Q30" s="958">
        <v>1</v>
      </c>
      <c r="R30" s="958">
        <v>1</v>
      </c>
      <c r="S30" s="958">
        <v>1</v>
      </c>
      <c r="T30" s="958">
        <v>1</v>
      </c>
      <c r="U30" s="958">
        <v>1</v>
      </c>
      <c r="V30" s="903"/>
      <c r="W30" s="222" t="s">
        <v>53</v>
      </c>
      <c r="X30" s="901"/>
      <c r="Y30" s="902"/>
      <c r="Z30" s="957">
        <v>1</v>
      </c>
      <c r="AA30" s="957">
        <v>0</v>
      </c>
      <c r="AB30" s="957">
        <v>0</v>
      </c>
      <c r="AC30" s="957">
        <v>0</v>
      </c>
      <c r="AD30" s="904"/>
      <c r="AE30" s="957">
        <v>0</v>
      </c>
      <c r="AF30" s="957">
        <v>1</v>
      </c>
      <c r="AG30" s="957">
        <v>0</v>
      </c>
      <c r="AH30" s="957">
        <v>0</v>
      </c>
      <c r="AI30" s="202"/>
      <c r="AJ30" s="202"/>
      <c r="AK30" s="202" t="s">
        <v>29</v>
      </c>
      <c r="AL30" s="202" t="s">
        <v>29</v>
      </c>
      <c r="AM30" s="202" t="s">
        <v>29</v>
      </c>
      <c r="AN30" s="202" t="s">
        <v>29</v>
      </c>
      <c r="AO30" s="203">
        <v>0</v>
      </c>
      <c r="AP30" s="203">
        <v>0</v>
      </c>
      <c r="AQ30" s="953" t="s">
        <v>853</v>
      </c>
      <c r="AR30" s="947" t="s">
        <v>273</v>
      </c>
      <c r="AS30" s="947" t="s">
        <v>273</v>
      </c>
      <c r="AT30" s="956">
        <v>0.1</v>
      </c>
      <c r="AU30" s="306" t="s">
        <v>29</v>
      </c>
      <c r="AV30" s="306" t="s">
        <v>29</v>
      </c>
      <c r="AX30" s="768"/>
    </row>
    <row r="31" spans="1:50">
      <c r="A31" s="164" t="s">
        <v>901</v>
      </c>
      <c r="B31" s="164" t="s">
        <v>903</v>
      </c>
      <c r="C31" s="164" t="s">
        <v>905</v>
      </c>
      <c r="D31" s="164" t="s">
        <v>780</v>
      </c>
      <c r="E31" s="164"/>
      <c r="F31" s="164" t="s">
        <v>227</v>
      </c>
      <c r="G31" s="223"/>
      <c r="H31" s="959"/>
      <c r="I31" s="224"/>
      <c r="J31" s="224"/>
      <c r="K31" s="224">
        <v>0</v>
      </c>
      <c r="L31" s="955">
        <v>0</v>
      </c>
      <c r="M31" s="958">
        <v>0</v>
      </c>
      <c r="N31" s="958">
        <v>0</v>
      </c>
      <c r="O31" s="958">
        <v>0</v>
      </c>
      <c r="P31" s="957">
        <v>1</v>
      </c>
      <c r="Q31" s="958">
        <v>1</v>
      </c>
      <c r="R31" s="958">
        <v>1</v>
      </c>
      <c r="S31" s="958">
        <v>1</v>
      </c>
      <c r="T31" s="958">
        <v>1</v>
      </c>
      <c r="U31" s="958">
        <v>1</v>
      </c>
      <c r="V31" s="903"/>
      <c r="W31" s="222" t="s">
        <v>55</v>
      </c>
      <c r="X31" s="901"/>
      <c r="Y31" s="902"/>
      <c r="Z31" s="957">
        <v>0</v>
      </c>
      <c r="AA31" s="957">
        <v>0</v>
      </c>
      <c r="AB31" s="957">
        <v>1</v>
      </c>
      <c r="AC31" s="957">
        <v>0</v>
      </c>
      <c r="AD31" s="904"/>
      <c r="AE31" s="957">
        <v>1</v>
      </c>
      <c r="AF31" s="957">
        <v>0</v>
      </c>
      <c r="AG31" s="957">
        <v>1</v>
      </c>
      <c r="AH31" s="957">
        <v>1</v>
      </c>
      <c r="AI31" s="202"/>
      <c r="AJ31" s="202"/>
      <c r="AK31" s="202" t="s">
        <v>29</v>
      </c>
      <c r="AL31" s="202" t="s">
        <v>29</v>
      </c>
      <c r="AM31" s="202" t="s">
        <v>29</v>
      </c>
      <c r="AN31" s="202" t="s">
        <v>29</v>
      </c>
      <c r="AO31" s="203">
        <v>0</v>
      </c>
      <c r="AP31" s="203">
        <v>0</v>
      </c>
      <c r="AQ31" s="953" t="s">
        <v>843</v>
      </c>
      <c r="AR31" s="947" t="s">
        <v>273</v>
      </c>
      <c r="AS31" s="947" t="s">
        <v>388</v>
      </c>
      <c r="AT31" s="956">
        <v>1</v>
      </c>
      <c r="AU31" s="306" t="s">
        <v>29</v>
      </c>
      <c r="AV31" s="306" t="s">
        <v>29</v>
      </c>
      <c r="AX31" s="768"/>
    </row>
    <row r="32" spans="1:50">
      <c r="A32" s="164" t="s">
        <v>901</v>
      </c>
      <c r="B32" s="164" t="s">
        <v>903</v>
      </c>
      <c r="C32" s="164" t="s">
        <v>905</v>
      </c>
      <c r="D32" s="164" t="s">
        <v>781</v>
      </c>
      <c r="E32" s="164"/>
      <c r="F32" s="164" t="s">
        <v>227</v>
      </c>
      <c r="G32" s="223"/>
      <c r="H32" s="959"/>
      <c r="I32" s="224"/>
      <c r="J32" s="224"/>
      <c r="K32" s="224">
        <v>0</v>
      </c>
      <c r="L32" s="955">
        <v>0</v>
      </c>
      <c r="M32" s="958">
        <v>0</v>
      </c>
      <c r="N32" s="958">
        <v>0</v>
      </c>
      <c r="O32" s="958">
        <v>0</v>
      </c>
      <c r="P32" s="957">
        <v>1</v>
      </c>
      <c r="Q32" s="958">
        <v>1</v>
      </c>
      <c r="R32" s="958">
        <v>1</v>
      </c>
      <c r="S32" s="958">
        <v>1</v>
      </c>
      <c r="T32" s="958">
        <v>1</v>
      </c>
      <c r="U32" s="958">
        <v>1</v>
      </c>
      <c r="V32" s="903"/>
      <c r="W32" s="222" t="s">
        <v>794</v>
      </c>
      <c r="X32" s="901"/>
      <c r="Y32" s="902"/>
      <c r="Z32" s="957">
        <v>0</v>
      </c>
      <c r="AA32" s="957">
        <v>0</v>
      </c>
      <c r="AB32" s="957">
        <v>0</v>
      </c>
      <c r="AC32" s="957">
        <v>1</v>
      </c>
      <c r="AD32" s="904"/>
      <c r="AE32" s="957">
        <v>0</v>
      </c>
      <c r="AF32" s="957">
        <v>0</v>
      </c>
      <c r="AG32" s="957">
        <v>0</v>
      </c>
      <c r="AH32" s="957">
        <v>0</v>
      </c>
      <c r="AI32" s="202"/>
      <c r="AJ32" s="202"/>
      <c r="AK32" s="202" t="s">
        <v>29</v>
      </c>
      <c r="AL32" s="202" t="s">
        <v>29</v>
      </c>
      <c r="AM32" s="202" t="s">
        <v>29</v>
      </c>
      <c r="AN32" s="202" t="s">
        <v>29</v>
      </c>
      <c r="AO32" s="203">
        <v>0</v>
      </c>
      <c r="AP32" s="203">
        <v>0</v>
      </c>
      <c r="AQ32" s="953" t="s">
        <v>847</v>
      </c>
      <c r="AR32" s="947" t="s">
        <v>273</v>
      </c>
      <c r="AS32" s="947" t="s">
        <v>388</v>
      </c>
      <c r="AT32" s="956">
        <v>1</v>
      </c>
      <c r="AU32" s="306" t="s">
        <v>29</v>
      </c>
      <c r="AV32" s="306" t="s">
        <v>29</v>
      </c>
      <c r="AX32" s="768"/>
    </row>
    <row r="33" spans="1:50">
      <c r="A33" s="164" t="s">
        <v>901</v>
      </c>
      <c r="B33" s="164" t="s">
        <v>903</v>
      </c>
      <c r="C33" s="164" t="s">
        <v>905</v>
      </c>
      <c r="D33" s="164" t="s">
        <v>782</v>
      </c>
      <c r="E33" s="164"/>
      <c r="F33" s="164" t="s">
        <v>227</v>
      </c>
      <c r="G33" s="223"/>
      <c r="H33" s="959"/>
      <c r="I33" s="224"/>
      <c r="J33" s="224"/>
      <c r="K33" s="224">
        <v>0</v>
      </c>
      <c r="L33" s="955">
        <v>0</v>
      </c>
      <c r="M33" s="958">
        <v>0</v>
      </c>
      <c r="N33" s="958">
        <v>0</v>
      </c>
      <c r="O33" s="958">
        <v>0</v>
      </c>
      <c r="P33" s="957">
        <v>1</v>
      </c>
      <c r="Q33" s="958">
        <v>1</v>
      </c>
      <c r="R33" s="958">
        <v>1</v>
      </c>
      <c r="S33" s="958">
        <v>1</v>
      </c>
      <c r="T33" s="958">
        <v>1</v>
      </c>
      <c r="U33" s="958">
        <v>1</v>
      </c>
      <c r="V33" s="903"/>
      <c r="W33" s="222" t="s">
        <v>53</v>
      </c>
      <c r="X33" s="901"/>
      <c r="Y33" s="902"/>
      <c r="Z33" s="957">
        <v>1</v>
      </c>
      <c r="AA33" s="957">
        <v>0</v>
      </c>
      <c r="AB33" s="957">
        <v>0</v>
      </c>
      <c r="AC33" s="957">
        <v>0</v>
      </c>
      <c r="AD33" s="904"/>
      <c r="AE33" s="957">
        <v>0</v>
      </c>
      <c r="AF33" s="957">
        <v>1</v>
      </c>
      <c r="AG33" s="957">
        <v>0</v>
      </c>
      <c r="AH33" s="957">
        <v>0</v>
      </c>
      <c r="AI33" s="202"/>
      <c r="AJ33" s="202"/>
      <c r="AK33" s="202" t="s">
        <v>29</v>
      </c>
      <c r="AL33" s="202" t="s">
        <v>29</v>
      </c>
      <c r="AM33" s="202" t="s">
        <v>29</v>
      </c>
      <c r="AN33" s="202" t="s">
        <v>29</v>
      </c>
      <c r="AO33" s="203">
        <v>0</v>
      </c>
      <c r="AP33" s="203">
        <v>0</v>
      </c>
      <c r="AQ33" s="953" t="s">
        <v>853</v>
      </c>
      <c r="AR33" s="947" t="s">
        <v>273</v>
      </c>
      <c r="AS33" s="947" t="s">
        <v>388</v>
      </c>
      <c r="AT33" s="956">
        <v>1</v>
      </c>
      <c r="AU33" s="306" t="s">
        <v>29</v>
      </c>
      <c r="AV33" s="306" t="s">
        <v>29</v>
      </c>
      <c r="AX33" s="768"/>
    </row>
    <row r="34" spans="1:50">
      <c r="A34" s="164" t="s">
        <v>901</v>
      </c>
      <c r="B34" s="164" t="s">
        <v>903</v>
      </c>
      <c r="C34" s="164" t="s">
        <v>905</v>
      </c>
      <c r="D34" s="164" t="s">
        <v>783</v>
      </c>
      <c r="E34" s="164"/>
      <c r="F34" s="164" t="s">
        <v>227</v>
      </c>
      <c r="G34" s="223"/>
      <c r="H34" s="959"/>
      <c r="I34" s="224"/>
      <c r="J34" s="224"/>
      <c r="K34" s="224">
        <v>0</v>
      </c>
      <c r="L34" s="955">
        <v>0</v>
      </c>
      <c r="M34" s="958">
        <v>0</v>
      </c>
      <c r="N34" s="958">
        <v>0</v>
      </c>
      <c r="O34" s="958">
        <v>0</v>
      </c>
      <c r="P34" s="957">
        <v>1</v>
      </c>
      <c r="Q34" s="958">
        <v>1</v>
      </c>
      <c r="R34" s="958">
        <v>1</v>
      </c>
      <c r="S34" s="958">
        <v>1</v>
      </c>
      <c r="T34" s="958">
        <v>1</v>
      </c>
      <c r="U34" s="958">
        <v>1</v>
      </c>
      <c r="V34" s="903"/>
      <c r="W34" s="222" t="s">
        <v>795</v>
      </c>
      <c r="X34" s="901"/>
      <c r="Y34" s="902"/>
      <c r="Z34" s="957">
        <v>0</v>
      </c>
      <c r="AA34" s="957">
        <v>1</v>
      </c>
      <c r="AB34" s="957">
        <v>0</v>
      </c>
      <c r="AC34" s="957">
        <v>0</v>
      </c>
      <c r="AD34" s="904"/>
      <c r="AE34" s="957">
        <v>0</v>
      </c>
      <c r="AF34" s="957">
        <v>0</v>
      </c>
      <c r="AG34" s="957">
        <v>0</v>
      </c>
      <c r="AH34" s="957">
        <v>0</v>
      </c>
      <c r="AI34" s="202"/>
      <c r="AJ34" s="202"/>
      <c r="AK34" s="202"/>
      <c r="AL34" s="202"/>
      <c r="AM34" s="202"/>
      <c r="AN34" s="202"/>
      <c r="AO34" s="203"/>
      <c r="AP34" s="203"/>
      <c r="AQ34" s="953" t="s">
        <v>858</v>
      </c>
      <c r="AR34" s="947" t="s">
        <v>273</v>
      </c>
      <c r="AS34" s="947" t="s">
        <v>388</v>
      </c>
      <c r="AT34" s="956">
        <v>1</v>
      </c>
      <c r="AX34" s="768"/>
    </row>
    <row r="35" spans="1:50">
      <c r="A35" s="164" t="s">
        <v>901</v>
      </c>
      <c r="B35" s="164" t="s">
        <v>903</v>
      </c>
      <c r="C35" s="164" t="s">
        <v>905</v>
      </c>
      <c r="D35" s="164" t="s">
        <v>784</v>
      </c>
      <c r="E35" s="164" t="s">
        <v>891</v>
      </c>
      <c r="F35" s="164" t="s">
        <v>227</v>
      </c>
      <c r="G35" s="223"/>
      <c r="H35" s="959">
        <v>1</v>
      </c>
      <c r="I35" s="224"/>
      <c r="J35" s="224"/>
      <c r="K35" s="224">
        <v>0</v>
      </c>
      <c r="L35" s="955">
        <v>0</v>
      </c>
      <c r="M35" s="958">
        <v>0</v>
      </c>
      <c r="N35" s="958">
        <v>0</v>
      </c>
      <c r="O35" s="958">
        <v>0</v>
      </c>
      <c r="P35" s="957">
        <v>1</v>
      </c>
      <c r="Q35" s="958">
        <v>1</v>
      </c>
      <c r="R35" s="958">
        <v>1</v>
      </c>
      <c r="S35" s="958">
        <v>1</v>
      </c>
      <c r="T35" s="958">
        <v>1</v>
      </c>
      <c r="U35" s="958">
        <v>1</v>
      </c>
      <c r="V35" s="1492">
        <v>0</v>
      </c>
      <c r="W35" s="222" t="s">
        <v>55</v>
      </c>
      <c r="X35" s="901"/>
      <c r="Y35" s="902"/>
      <c r="Z35" s="957">
        <v>0</v>
      </c>
      <c r="AA35" s="957">
        <v>0</v>
      </c>
      <c r="AB35" s="957">
        <v>1</v>
      </c>
      <c r="AC35" s="957">
        <v>0</v>
      </c>
      <c r="AD35" s="904"/>
      <c r="AE35" s="957">
        <v>1</v>
      </c>
      <c r="AF35" s="957">
        <v>0</v>
      </c>
      <c r="AG35" s="957">
        <v>1</v>
      </c>
      <c r="AH35" s="957">
        <v>1</v>
      </c>
      <c r="AI35" s="202"/>
      <c r="AJ35" s="202"/>
      <c r="AK35" s="202" t="s">
        <v>29</v>
      </c>
      <c r="AL35" s="202" t="s">
        <v>29</v>
      </c>
      <c r="AM35" s="202" t="s">
        <v>29</v>
      </c>
      <c r="AN35" s="202" t="s">
        <v>29</v>
      </c>
      <c r="AO35" s="203">
        <v>0</v>
      </c>
      <c r="AP35" s="203">
        <v>0</v>
      </c>
      <c r="AQ35" s="953" t="s">
        <v>843</v>
      </c>
      <c r="AR35" s="947" t="s">
        <v>273</v>
      </c>
      <c r="AS35" s="947" t="s">
        <v>273</v>
      </c>
      <c r="AT35" s="956">
        <v>1</v>
      </c>
      <c r="AU35" s="306" t="s">
        <v>29</v>
      </c>
      <c r="AV35" s="306" t="s">
        <v>29</v>
      </c>
      <c r="AX35" s="768"/>
    </row>
    <row r="36" spans="1:50">
      <c r="A36" s="164" t="s">
        <v>901</v>
      </c>
      <c r="B36" s="164" t="s">
        <v>903</v>
      </c>
      <c r="C36" s="164" t="s">
        <v>905</v>
      </c>
      <c r="D36" s="164" t="s">
        <v>785</v>
      </c>
      <c r="E36" s="164" t="s">
        <v>892</v>
      </c>
      <c r="F36" s="164" t="s">
        <v>227</v>
      </c>
      <c r="G36" s="223"/>
      <c r="H36" s="959">
        <v>1</v>
      </c>
      <c r="I36" s="224"/>
      <c r="J36" s="224"/>
      <c r="K36" s="224">
        <v>0</v>
      </c>
      <c r="L36" s="955">
        <v>0</v>
      </c>
      <c r="M36" s="958">
        <v>0</v>
      </c>
      <c r="N36" s="958">
        <v>0</v>
      </c>
      <c r="O36" s="958">
        <v>0</v>
      </c>
      <c r="P36" s="957">
        <v>1</v>
      </c>
      <c r="Q36" s="958">
        <v>1</v>
      </c>
      <c r="R36" s="958">
        <v>1</v>
      </c>
      <c r="S36" s="958">
        <v>1</v>
      </c>
      <c r="T36" s="958">
        <v>1</v>
      </c>
      <c r="U36" s="958">
        <v>1</v>
      </c>
      <c r="V36" s="1492">
        <v>0</v>
      </c>
      <c r="W36" s="222" t="s">
        <v>794</v>
      </c>
      <c r="X36" s="901"/>
      <c r="Y36" s="902"/>
      <c r="Z36" s="957">
        <v>0</v>
      </c>
      <c r="AA36" s="957">
        <v>0</v>
      </c>
      <c r="AB36" s="957">
        <v>0</v>
      </c>
      <c r="AC36" s="957">
        <v>1</v>
      </c>
      <c r="AD36" s="904"/>
      <c r="AE36" s="957">
        <v>0</v>
      </c>
      <c r="AF36" s="957">
        <v>0</v>
      </c>
      <c r="AG36" s="957">
        <v>0</v>
      </c>
      <c r="AH36" s="957">
        <v>0</v>
      </c>
      <c r="AI36" s="202"/>
      <c r="AJ36" s="202"/>
      <c r="AK36" s="202" t="s">
        <v>29</v>
      </c>
      <c r="AL36" s="202" t="s">
        <v>29</v>
      </c>
      <c r="AM36" s="202" t="s">
        <v>29</v>
      </c>
      <c r="AN36" s="202" t="s">
        <v>29</v>
      </c>
      <c r="AO36" s="203">
        <v>0</v>
      </c>
      <c r="AP36" s="203">
        <v>0</v>
      </c>
      <c r="AQ36" s="953" t="s">
        <v>847</v>
      </c>
      <c r="AR36" s="947" t="s">
        <v>273</v>
      </c>
      <c r="AS36" s="947" t="s">
        <v>273</v>
      </c>
      <c r="AT36" s="956">
        <v>1</v>
      </c>
      <c r="AU36" s="306" t="s">
        <v>29</v>
      </c>
      <c r="AV36" s="306" t="s">
        <v>29</v>
      </c>
      <c r="AX36" s="768"/>
    </row>
    <row r="37" spans="1:50">
      <c r="A37" s="164" t="s">
        <v>901</v>
      </c>
      <c r="B37" s="164" t="s">
        <v>903</v>
      </c>
      <c r="C37" s="164" t="s">
        <v>905</v>
      </c>
      <c r="D37" s="164" t="s">
        <v>792</v>
      </c>
      <c r="E37" s="164" t="s">
        <v>893</v>
      </c>
      <c r="F37" s="164" t="s">
        <v>227</v>
      </c>
      <c r="G37" s="223"/>
      <c r="H37" s="959">
        <v>1</v>
      </c>
      <c r="I37" s="224"/>
      <c r="J37" s="224"/>
      <c r="K37" s="224">
        <v>0</v>
      </c>
      <c r="L37" s="955">
        <v>0</v>
      </c>
      <c r="M37" s="958">
        <v>0</v>
      </c>
      <c r="N37" s="958">
        <v>0</v>
      </c>
      <c r="O37" s="958">
        <v>0</v>
      </c>
      <c r="P37" s="957">
        <v>1</v>
      </c>
      <c r="Q37" s="958">
        <v>1</v>
      </c>
      <c r="R37" s="958">
        <v>1</v>
      </c>
      <c r="S37" s="958">
        <v>1</v>
      </c>
      <c r="T37" s="958">
        <v>1</v>
      </c>
      <c r="U37" s="958">
        <v>1</v>
      </c>
      <c r="V37" s="1492">
        <v>0</v>
      </c>
      <c r="W37" s="222" t="s">
        <v>55</v>
      </c>
      <c r="X37" s="901"/>
      <c r="Y37" s="902"/>
      <c r="Z37" s="957">
        <v>0</v>
      </c>
      <c r="AA37" s="957">
        <v>0</v>
      </c>
      <c r="AB37" s="957">
        <v>1</v>
      </c>
      <c r="AC37" s="957">
        <v>0</v>
      </c>
      <c r="AD37" s="904"/>
      <c r="AE37" s="957">
        <v>1</v>
      </c>
      <c r="AF37" s="957">
        <v>0</v>
      </c>
      <c r="AG37" s="957">
        <v>1</v>
      </c>
      <c r="AH37" s="957">
        <v>1</v>
      </c>
      <c r="AI37" s="202"/>
      <c r="AJ37" s="202"/>
      <c r="AK37" s="202" t="s">
        <v>29</v>
      </c>
      <c r="AL37" s="202" t="s">
        <v>29</v>
      </c>
      <c r="AM37" s="202" t="s">
        <v>29</v>
      </c>
      <c r="AN37" s="202" t="s">
        <v>29</v>
      </c>
      <c r="AO37" s="203">
        <v>0</v>
      </c>
      <c r="AP37" s="203">
        <v>0</v>
      </c>
      <c r="AQ37" s="953" t="s">
        <v>839</v>
      </c>
      <c r="AR37" s="947" t="s">
        <v>273</v>
      </c>
      <c r="AS37" s="947" t="s">
        <v>273</v>
      </c>
      <c r="AT37" s="956">
        <v>0.1</v>
      </c>
      <c r="AU37" s="306" t="s">
        <v>29</v>
      </c>
      <c r="AV37" s="306" t="s">
        <v>29</v>
      </c>
      <c r="AX37" s="768"/>
    </row>
    <row r="38" spans="1:50">
      <c r="A38" s="164" t="s">
        <v>901</v>
      </c>
      <c r="B38" s="164" t="s">
        <v>903</v>
      </c>
      <c r="C38" s="164" t="s">
        <v>905</v>
      </c>
      <c r="D38" s="164" t="s">
        <v>793</v>
      </c>
      <c r="E38" s="164" t="s">
        <v>894</v>
      </c>
      <c r="F38" s="164" t="s">
        <v>227</v>
      </c>
      <c r="G38" s="223"/>
      <c r="H38" s="959">
        <v>1</v>
      </c>
      <c r="I38" s="224"/>
      <c r="J38" s="224"/>
      <c r="K38" s="224">
        <v>0</v>
      </c>
      <c r="L38" s="955">
        <v>0</v>
      </c>
      <c r="M38" s="958">
        <v>0</v>
      </c>
      <c r="N38" s="958">
        <v>0</v>
      </c>
      <c r="O38" s="958">
        <v>0</v>
      </c>
      <c r="P38" s="957">
        <v>1</v>
      </c>
      <c r="Q38" s="958">
        <v>1</v>
      </c>
      <c r="R38" s="958">
        <v>1</v>
      </c>
      <c r="S38" s="958">
        <v>1</v>
      </c>
      <c r="T38" s="958">
        <v>1</v>
      </c>
      <c r="U38" s="958">
        <v>1</v>
      </c>
      <c r="V38" s="1492">
        <v>0</v>
      </c>
      <c r="W38" s="222" t="s">
        <v>794</v>
      </c>
      <c r="X38" s="901"/>
      <c r="Y38" s="902"/>
      <c r="Z38" s="957">
        <v>0</v>
      </c>
      <c r="AA38" s="957">
        <v>0</v>
      </c>
      <c r="AB38" s="957">
        <v>0</v>
      </c>
      <c r="AC38" s="957">
        <v>1</v>
      </c>
      <c r="AD38" s="904"/>
      <c r="AE38" s="957">
        <v>0</v>
      </c>
      <c r="AF38" s="957">
        <v>0</v>
      </c>
      <c r="AG38" s="957">
        <v>0</v>
      </c>
      <c r="AH38" s="957">
        <v>0</v>
      </c>
      <c r="AI38" s="202"/>
      <c r="AJ38" s="202"/>
      <c r="AK38" s="202" t="s">
        <v>29</v>
      </c>
      <c r="AL38" s="202" t="s">
        <v>29</v>
      </c>
      <c r="AM38" s="202" t="s">
        <v>29</v>
      </c>
      <c r="AN38" s="202" t="s">
        <v>29</v>
      </c>
      <c r="AO38" s="203">
        <v>0</v>
      </c>
      <c r="AP38" s="203">
        <v>0</v>
      </c>
      <c r="AQ38" s="953" t="s">
        <v>850</v>
      </c>
      <c r="AR38" s="947" t="s">
        <v>273</v>
      </c>
      <c r="AS38" s="947" t="s">
        <v>273</v>
      </c>
      <c r="AT38" s="956">
        <v>0.1</v>
      </c>
      <c r="AU38" s="306" t="s">
        <v>29</v>
      </c>
      <c r="AV38" s="306" t="s">
        <v>29</v>
      </c>
      <c r="AX38" s="768"/>
    </row>
    <row r="39" spans="1:50">
      <c r="A39" s="164" t="s">
        <v>901</v>
      </c>
      <c r="B39" s="164" t="s">
        <v>903</v>
      </c>
      <c r="C39" s="164" t="s">
        <v>905</v>
      </c>
      <c r="D39" s="164" t="s">
        <v>786</v>
      </c>
      <c r="E39" s="164"/>
      <c r="F39" s="164" t="s">
        <v>227</v>
      </c>
      <c r="G39" s="223"/>
      <c r="H39" s="959"/>
      <c r="I39" s="224"/>
      <c r="J39" s="224"/>
      <c r="K39" s="224">
        <v>0</v>
      </c>
      <c r="L39" s="955">
        <v>0</v>
      </c>
      <c r="M39" s="958">
        <v>0</v>
      </c>
      <c r="N39" s="958">
        <v>0</v>
      </c>
      <c r="O39" s="958">
        <v>0</v>
      </c>
      <c r="P39" s="957">
        <v>1</v>
      </c>
      <c r="Q39" s="958">
        <v>1</v>
      </c>
      <c r="R39" s="958">
        <v>1</v>
      </c>
      <c r="S39" s="958">
        <v>1</v>
      </c>
      <c r="T39" s="958">
        <v>1</v>
      </c>
      <c r="U39" s="958">
        <v>1</v>
      </c>
      <c r="V39" s="903"/>
      <c r="W39" s="222" t="s">
        <v>53</v>
      </c>
      <c r="X39" s="901"/>
      <c r="Y39" s="902"/>
      <c r="Z39" s="957">
        <v>1</v>
      </c>
      <c r="AA39" s="957">
        <v>0</v>
      </c>
      <c r="AB39" s="957">
        <v>0</v>
      </c>
      <c r="AC39" s="957">
        <v>0</v>
      </c>
      <c r="AD39" s="904"/>
      <c r="AE39" s="957">
        <v>0</v>
      </c>
      <c r="AF39" s="957">
        <v>1</v>
      </c>
      <c r="AG39" s="957">
        <v>0</v>
      </c>
      <c r="AH39" s="957">
        <v>0</v>
      </c>
      <c r="AI39" s="202"/>
      <c r="AJ39" s="202"/>
      <c r="AK39" s="202" t="s">
        <v>29</v>
      </c>
      <c r="AL39" s="202" t="s">
        <v>29</v>
      </c>
      <c r="AM39" s="202" t="s">
        <v>29</v>
      </c>
      <c r="AN39" s="202" t="s">
        <v>29</v>
      </c>
      <c r="AO39" s="203">
        <v>0</v>
      </c>
      <c r="AP39" s="203">
        <v>0</v>
      </c>
      <c r="AQ39" s="953" t="s">
        <v>853</v>
      </c>
      <c r="AR39" s="947" t="s">
        <v>273</v>
      </c>
      <c r="AS39" s="947" t="s">
        <v>273</v>
      </c>
      <c r="AT39" s="956">
        <v>0.1</v>
      </c>
      <c r="AU39" s="306" t="s">
        <v>29</v>
      </c>
      <c r="AV39" s="306" t="s">
        <v>29</v>
      </c>
      <c r="AX39" s="768"/>
    </row>
    <row r="40" spans="1:50">
      <c r="A40" s="164" t="s">
        <v>901</v>
      </c>
      <c r="B40" s="164" t="s">
        <v>903</v>
      </c>
      <c r="C40" s="164" t="s">
        <v>905</v>
      </c>
      <c r="D40" s="164" t="s">
        <v>787</v>
      </c>
      <c r="E40" s="164"/>
      <c r="F40" s="164" t="s">
        <v>227</v>
      </c>
      <c r="G40" s="223"/>
      <c r="H40" s="959"/>
      <c r="I40" s="224"/>
      <c r="J40" s="224"/>
      <c r="K40" s="224">
        <v>0</v>
      </c>
      <c r="L40" s="955">
        <v>0</v>
      </c>
      <c r="M40" s="958">
        <v>0</v>
      </c>
      <c r="N40" s="958">
        <v>0</v>
      </c>
      <c r="O40" s="958">
        <v>0</v>
      </c>
      <c r="P40" s="957">
        <v>1</v>
      </c>
      <c r="Q40" s="958">
        <v>1</v>
      </c>
      <c r="R40" s="958">
        <v>1</v>
      </c>
      <c r="S40" s="958">
        <v>1</v>
      </c>
      <c r="T40" s="958">
        <v>1</v>
      </c>
      <c r="U40" s="958">
        <v>1</v>
      </c>
      <c r="V40" s="903"/>
      <c r="W40" s="222" t="s">
        <v>795</v>
      </c>
      <c r="X40" s="901"/>
      <c r="Y40" s="902"/>
      <c r="Z40" s="957">
        <v>0</v>
      </c>
      <c r="AA40" s="957">
        <v>1</v>
      </c>
      <c r="AB40" s="957">
        <v>0</v>
      </c>
      <c r="AC40" s="957">
        <v>0</v>
      </c>
      <c r="AD40" s="904"/>
      <c r="AE40" s="957">
        <v>0</v>
      </c>
      <c r="AF40" s="957">
        <v>0</v>
      </c>
      <c r="AG40" s="957">
        <v>0</v>
      </c>
      <c r="AH40" s="957">
        <v>0</v>
      </c>
      <c r="AI40" s="202"/>
      <c r="AJ40" s="202"/>
      <c r="AK40" s="202"/>
      <c r="AL40" s="202"/>
      <c r="AM40" s="202"/>
      <c r="AN40" s="202"/>
      <c r="AO40" s="203"/>
      <c r="AP40" s="203"/>
      <c r="AQ40" s="953" t="s">
        <v>858</v>
      </c>
      <c r="AR40" s="947" t="s">
        <v>273</v>
      </c>
      <c r="AS40" s="947" t="s">
        <v>273</v>
      </c>
      <c r="AT40" s="956">
        <v>0.1</v>
      </c>
      <c r="AX40" s="768"/>
    </row>
    <row r="41" spans="1:50">
      <c r="A41" s="164" t="s">
        <v>901</v>
      </c>
      <c r="B41" s="164" t="s">
        <v>903</v>
      </c>
      <c r="C41" s="164" t="s">
        <v>905</v>
      </c>
      <c r="D41" s="164" t="s">
        <v>436</v>
      </c>
      <c r="E41" s="164"/>
      <c r="F41" s="164" t="s">
        <v>227</v>
      </c>
      <c r="G41" s="223"/>
      <c r="H41" s="959"/>
      <c r="I41" s="224"/>
      <c r="J41" s="224"/>
      <c r="K41" s="224">
        <v>0</v>
      </c>
      <c r="L41" s="955">
        <v>0</v>
      </c>
      <c r="M41" s="958">
        <v>0</v>
      </c>
      <c r="N41" s="958">
        <v>0</v>
      </c>
      <c r="O41" s="958">
        <v>0</v>
      </c>
      <c r="P41" s="957">
        <v>1</v>
      </c>
      <c r="Q41" s="958">
        <v>1</v>
      </c>
      <c r="R41" s="958">
        <v>1</v>
      </c>
      <c r="S41" s="958">
        <v>1</v>
      </c>
      <c r="T41" s="958">
        <v>1</v>
      </c>
      <c r="U41" s="958">
        <v>1</v>
      </c>
      <c r="V41" s="903"/>
      <c r="W41" s="222" t="s">
        <v>55</v>
      </c>
      <c r="X41" s="901"/>
      <c r="Y41" s="902"/>
      <c r="Z41" s="957">
        <v>0</v>
      </c>
      <c r="AA41" s="957">
        <v>0</v>
      </c>
      <c r="AB41" s="957">
        <v>1</v>
      </c>
      <c r="AC41" s="957">
        <v>0</v>
      </c>
      <c r="AD41" s="904"/>
      <c r="AE41" s="957">
        <v>1</v>
      </c>
      <c r="AF41" s="957">
        <v>0</v>
      </c>
      <c r="AG41" s="957">
        <v>1</v>
      </c>
      <c r="AH41" s="957">
        <v>1</v>
      </c>
      <c r="AI41" s="202"/>
      <c r="AJ41" s="202"/>
      <c r="AK41" s="202"/>
      <c r="AL41" s="202"/>
      <c r="AM41" s="202"/>
      <c r="AN41" s="202"/>
      <c r="AO41" s="203"/>
      <c r="AP41" s="203"/>
      <c r="AQ41" s="953" t="s">
        <v>839</v>
      </c>
      <c r="AR41" s="947" t="s">
        <v>273</v>
      </c>
      <c r="AS41" s="947" t="s">
        <v>273</v>
      </c>
      <c r="AT41" s="956">
        <v>0.1</v>
      </c>
      <c r="AX41" s="768"/>
    </row>
    <row r="42" spans="1:50">
      <c r="A42" s="164"/>
      <c r="B42" s="164"/>
      <c r="C42" s="164"/>
      <c r="D42" s="164"/>
      <c r="E42" s="164"/>
      <c r="F42" s="164"/>
      <c r="G42" s="223"/>
      <c r="H42" s="959"/>
      <c r="I42" s="224"/>
      <c r="J42" s="224"/>
      <c r="K42" s="224"/>
      <c r="L42" s="955">
        <v>0</v>
      </c>
      <c r="M42" s="958"/>
      <c r="N42" s="958"/>
      <c r="O42" s="958"/>
      <c r="P42" s="957" t="s">
        <v>29</v>
      </c>
      <c r="Q42" s="958"/>
      <c r="R42" s="958"/>
      <c r="S42" s="958"/>
      <c r="T42" s="958"/>
      <c r="U42" s="958"/>
      <c r="V42" s="903"/>
      <c r="W42" s="222"/>
      <c r="X42" s="901"/>
      <c r="Y42" s="902"/>
      <c r="Z42" s="957" t="s">
        <v>29</v>
      </c>
      <c r="AA42" s="957" t="s">
        <v>29</v>
      </c>
      <c r="AB42" s="957" t="s">
        <v>29</v>
      </c>
      <c r="AC42" s="957" t="s">
        <v>29</v>
      </c>
      <c r="AD42" s="904"/>
      <c r="AE42" s="957" t="s">
        <v>29</v>
      </c>
      <c r="AF42" s="957" t="s">
        <v>29</v>
      </c>
      <c r="AG42" s="957" t="s">
        <v>29</v>
      </c>
      <c r="AH42" s="957" t="s">
        <v>29</v>
      </c>
      <c r="AI42" s="202"/>
      <c r="AJ42" s="202"/>
      <c r="AK42" s="202"/>
      <c r="AL42" s="202"/>
      <c r="AM42" s="202"/>
      <c r="AN42" s="202"/>
      <c r="AO42" s="203"/>
      <c r="AP42" s="203"/>
      <c r="AQ42" s="954"/>
      <c r="AR42" s="947"/>
      <c r="AS42" s="947"/>
      <c r="AT42" s="956"/>
      <c r="AX42" s="768"/>
    </row>
    <row r="43" spans="1:50">
      <c r="A43" s="164"/>
      <c r="B43" s="164"/>
      <c r="C43" s="164"/>
      <c r="D43" s="164"/>
      <c r="E43" s="164"/>
      <c r="F43" s="164"/>
      <c r="G43" s="223"/>
      <c r="H43" s="959"/>
      <c r="I43" s="224"/>
      <c r="J43" s="224"/>
      <c r="K43" s="224"/>
      <c r="L43" s="955">
        <v>0</v>
      </c>
      <c r="M43" s="958"/>
      <c r="N43" s="958"/>
      <c r="O43" s="958"/>
      <c r="P43" s="957" t="s">
        <v>29</v>
      </c>
      <c r="Q43" s="958"/>
      <c r="R43" s="958"/>
      <c r="S43" s="958"/>
      <c r="T43" s="958"/>
      <c r="U43" s="958"/>
      <c r="V43" s="903"/>
      <c r="W43" s="222"/>
      <c r="X43" s="901"/>
      <c r="Y43" s="902"/>
      <c r="Z43" s="957" t="s">
        <v>29</v>
      </c>
      <c r="AA43" s="957" t="s">
        <v>29</v>
      </c>
      <c r="AB43" s="957" t="s">
        <v>29</v>
      </c>
      <c r="AC43" s="957" t="s">
        <v>29</v>
      </c>
      <c r="AD43" s="904"/>
      <c r="AE43" s="957" t="s">
        <v>29</v>
      </c>
      <c r="AF43" s="957" t="s">
        <v>29</v>
      </c>
      <c r="AG43" s="957" t="s">
        <v>29</v>
      </c>
      <c r="AH43" s="957" t="s">
        <v>29</v>
      </c>
      <c r="AI43" s="202"/>
      <c r="AJ43" s="202"/>
      <c r="AK43" s="202"/>
      <c r="AL43" s="202"/>
      <c r="AM43" s="202"/>
      <c r="AN43" s="202"/>
      <c r="AO43" s="203"/>
      <c r="AP43" s="203"/>
      <c r="AQ43" s="954"/>
      <c r="AR43" s="947"/>
      <c r="AS43" s="947"/>
      <c r="AT43" s="956"/>
      <c r="AX43" s="768"/>
    </row>
    <row r="44" spans="1:50">
      <c r="A44" s="164"/>
      <c r="B44" s="164"/>
      <c r="C44" s="164"/>
      <c r="D44" s="164"/>
      <c r="E44" s="164"/>
      <c r="F44" s="164"/>
      <c r="G44" s="223"/>
      <c r="H44" s="959"/>
      <c r="I44" s="224"/>
      <c r="J44" s="224"/>
      <c r="K44" s="224"/>
      <c r="L44" s="955">
        <v>0</v>
      </c>
      <c r="M44" s="958"/>
      <c r="N44" s="958"/>
      <c r="O44" s="958"/>
      <c r="P44" s="957" t="s">
        <v>29</v>
      </c>
      <c r="Q44" s="958"/>
      <c r="R44" s="958"/>
      <c r="S44" s="958"/>
      <c r="T44" s="958"/>
      <c r="U44" s="958"/>
      <c r="V44" s="903"/>
      <c r="W44" s="222"/>
      <c r="X44" s="901"/>
      <c r="Y44" s="902"/>
      <c r="Z44" s="957" t="s">
        <v>29</v>
      </c>
      <c r="AA44" s="957" t="s">
        <v>29</v>
      </c>
      <c r="AB44" s="957" t="s">
        <v>29</v>
      </c>
      <c r="AC44" s="957" t="s">
        <v>29</v>
      </c>
      <c r="AD44" s="904"/>
      <c r="AE44" s="957" t="s">
        <v>29</v>
      </c>
      <c r="AF44" s="957" t="s">
        <v>29</v>
      </c>
      <c r="AG44" s="957" t="s">
        <v>29</v>
      </c>
      <c r="AH44" s="957" t="s">
        <v>29</v>
      </c>
      <c r="AI44" s="202"/>
      <c r="AJ44" s="202"/>
      <c r="AK44" s="202"/>
      <c r="AL44" s="202"/>
      <c r="AM44" s="202"/>
      <c r="AN44" s="202"/>
      <c r="AO44" s="203"/>
      <c r="AP44" s="203"/>
      <c r="AQ44" s="954"/>
      <c r="AR44" s="947"/>
      <c r="AS44" s="947"/>
      <c r="AT44" s="956"/>
      <c r="AX44" s="768"/>
    </row>
    <row r="45" spans="1:50">
      <c r="A45" s="164"/>
      <c r="B45" s="164"/>
      <c r="C45" s="164"/>
      <c r="D45" s="164"/>
      <c r="E45" s="164"/>
      <c r="F45" s="164"/>
      <c r="G45" s="223"/>
      <c r="H45" s="959"/>
      <c r="I45" s="224"/>
      <c r="J45" s="224"/>
      <c r="K45" s="224"/>
      <c r="L45" s="955">
        <v>0</v>
      </c>
      <c r="M45" s="958"/>
      <c r="N45" s="958"/>
      <c r="O45" s="958"/>
      <c r="P45" s="957" t="s">
        <v>29</v>
      </c>
      <c r="Q45" s="958"/>
      <c r="R45" s="958"/>
      <c r="S45" s="958"/>
      <c r="T45" s="958"/>
      <c r="U45" s="958"/>
      <c r="V45" s="903"/>
      <c r="W45" s="222"/>
      <c r="X45" s="901"/>
      <c r="Y45" s="902"/>
      <c r="Z45" s="957" t="s">
        <v>29</v>
      </c>
      <c r="AA45" s="957" t="s">
        <v>29</v>
      </c>
      <c r="AB45" s="957" t="s">
        <v>29</v>
      </c>
      <c r="AC45" s="957" t="s">
        <v>29</v>
      </c>
      <c r="AD45" s="904"/>
      <c r="AE45" s="957" t="s">
        <v>29</v>
      </c>
      <c r="AF45" s="957" t="s">
        <v>29</v>
      </c>
      <c r="AG45" s="957" t="s">
        <v>29</v>
      </c>
      <c r="AH45" s="957" t="s">
        <v>29</v>
      </c>
      <c r="AI45" s="202"/>
      <c r="AJ45" s="202"/>
      <c r="AK45" s="202"/>
      <c r="AL45" s="202"/>
      <c r="AM45" s="202"/>
      <c r="AN45" s="202"/>
      <c r="AO45" s="203"/>
      <c r="AP45" s="203"/>
      <c r="AQ45" s="954"/>
      <c r="AR45" s="947"/>
      <c r="AS45" s="947"/>
      <c r="AT45" s="956"/>
      <c r="AX45" s="768"/>
    </row>
    <row r="46" spans="1:50">
      <c r="A46" s="164"/>
      <c r="B46" s="164"/>
      <c r="C46" s="164"/>
      <c r="D46" s="164"/>
      <c r="E46" s="164"/>
      <c r="F46" s="164"/>
      <c r="G46" s="223"/>
      <c r="H46" s="959"/>
      <c r="I46" s="224"/>
      <c r="J46" s="224"/>
      <c r="K46" s="224"/>
      <c r="L46" s="955">
        <v>0</v>
      </c>
      <c r="M46" s="958"/>
      <c r="N46" s="958"/>
      <c r="O46" s="958"/>
      <c r="P46" s="957" t="s">
        <v>29</v>
      </c>
      <c r="Q46" s="958"/>
      <c r="R46" s="958"/>
      <c r="S46" s="958"/>
      <c r="T46" s="958"/>
      <c r="U46" s="958"/>
      <c r="V46" s="903"/>
      <c r="W46" s="222"/>
      <c r="X46" s="901"/>
      <c r="Y46" s="902"/>
      <c r="Z46" s="957" t="s">
        <v>29</v>
      </c>
      <c r="AA46" s="957" t="s">
        <v>29</v>
      </c>
      <c r="AB46" s="957" t="s">
        <v>29</v>
      </c>
      <c r="AC46" s="957" t="s">
        <v>29</v>
      </c>
      <c r="AD46" s="904"/>
      <c r="AE46" s="957" t="s">
        <v>29</v>
      </c>
      <c r="AF46" s="957" t="s">
        <v>29</v>
      </c>
      <c r="AG46" s="957" t="s">
        <v>29</v>
      </c>
      <c r="AH46" s="957" t="s">
        <v>29</v>
      </c>
      <c r="AI46" s="202"/>
      <c r="AJ46" s="202"/>
      <c r="AK46" s="202"/>
      <c r="AL46" s="202"/>
      <c r="AM46" s="202"/>
      <c r="AN46" s="202"/>
      <c r="AO46" s="203"/>
      <c r="AP46" s="203"/>
      <c r="AQ46" s="954"/>
      <c r="AR46" s="947"/>
      <c r="AS46" s="947"/>
      <c r="AT46" s="956"/>
      <c r="AX46" s="768"/>
    </row>
    <row r="47" spans="1:50">
      <c r="A47" s="164"/>
      <c r="B47" s="164"/>
      <c r="C47" s="164"/>
      <c r="D47" s="164"/>
      <c r="E47" s="164"/>
      <c r="F47" s="164"/>
      <c r="G47" s="223"/>
      <c r="H47" s="959"/>
      <c r="I47" s="224"/>
      <c r="J47" s="224"/>
      <c r="K47" s="224"/>
      <c r="L47" s="955">
        <v>0</v>
      </c>
      <c r="M47" s="958"/>
      <c r="N47" s="958"/>
      <c r="O47" s="958"/>
      <c r="P47" s="957" t="s">
        <v>29</v>
      </c>
      <c r="Q47" s="958"/>
      <c r="R47" s="958"/>
      <c r="S47" s="958"/>
      <c r="T47" s="958"/>
      <c r="U47" s="958"/>
      <c r="V47" s="903"/>
      <c r="W47" s="222"/>
      <c r="X47" s="901"/>
      <c r="Y47" s="902"/>
      <c r="Z47" s="957" t="s">
        <v>29</v>
      </c>
      <c r="AA47" s="957" t="s">
        <v>29</v>
      </c>
      <c r="AB47" s="957" t="s">
        <v>29</v>
      </c>
      <c r="AC47" s="957" t="s">
        <v>29</v>
      </c>
      <c r="AD47" s="904"/>
      <c r="AE47" s="957" t="s">
        <v>29</v>
      </c>
      <c r="AF47" s="957" t="s">
        <v>29</v>
      </c>
      <c r="AG47" s="957" t="s">
        <v>29</v>
      </c>
      <c r="AH47" s="957" t="s">
        <v>29</v>
      </c>
      <c r="AI47" s="202"/>
      <c r="AJ47" s="202"/>
      <c r="AK47" s="202"/>
      <c r="AL47" s="202"/>
      <c r="AM47" s="202"/>
      <c r="AN47" s="202"/>
      <c r="AO47" s="203"/>
      <c r="AP47" s="203"/>
      <c r="AQ47" s="954"/>
      <c r="AR47" s="947"/>
      <c r="AS47" s="947"/>
      <c r="AT47" s="956"/>
      <c r="AX47" s="768"/>
    </row>
    <row r="48" spans="1:50">
      <c r="A48" s="164"/>
      <c r="B48" s="164"/>
      <c r="C48" s="164"/>
      <c r="D48" s="164"/>
      <c r="E48" s="164"/>
      <c r="F48" s="164"/>
      <c r="G48" s="223"/>
      <c r="H48" s="959"/>
      <c r="I48" s="224"/>
      <c r="J48" s="224"/>
      <c r="K48" s="224"/>
      <c r="L48" s="955">
        <v>0</v>
      </c>
      <c r="M48" s="958"/>
      <c r="N48" s="958"/>
      <c r="O48" s="958"/>
      <c r="P48" s="957" t="s">
        <v>29</v>
      </c>
      <c r="Q48" s="958"/>
      <c r="R48" s="958"/>
      <c r="S48" s="958"/>
      <c r="T48" s="958"/>
      <c r="U48" s="958"/>
      <c r="V48" s="903"/>
      <c r="W48" s="222"/>
      <c r="X48" s="901"/>
      <c r="Y48" s="902"/>
      <c r="Z48" s="957" t="s">
        <v>29</v>
      </c>
      <c r="AA48" s="957" t="s">
        <v>29</v>
      </c>
      <c r="AB48" s="957" t="s">
        <v>29</v>
      </c>
      <c r="AC48" s="957" t="s">
        <v>29</v>
      </c>
      <c r="AD48" s="904"/>
      <c r="AE48" s="957" t="s">
        <v>29</v>
      </c>
      <c r="AF48" s="957" t="s">
        <v>29</v>
      </c>
      <c r="AG48" s="957" t="s">
        <v>29</v>
      </c>
      <c r="AH48" s="957" t="s">
        <v>29</v>
      </c>
      <c r="AI48" s="202"/>
      <c r="AJ48" s="202"/>
      <c r="AK48" s="202"/>
      <c r="AL48" s="202"/>
      <c r="AM48" s="202"/>
      <c r="AN48" s="202"/>
      <c r="AO48" s="203"/>
      <c r="AP48" s="203"/>
      <c r="AQ48" s="954"/>
      <c r="AR48" s="947"/>
      <c r="AS48" s="947"/>
      <c r="AT48" s="956"/>
      <c r="AX48" s="768"/>
    </row>
    <row r="49" spans="1:50">
      <c r="A49" s="164"/>
      <c r="B49" s="164"/>
      <c r="C49" s="164"/>
      <c r="D49" s="164"/>
      <c r="E49" s="164"/>
      <c r="F49" s="164"/>
      <c r="G49" s="223"/>
      <c r="H49" s="959"/>
      <c r="I49" s="224"/>
      <c r="J49" s="224"/>
      <c r="K49" s="224"/>
      <c r="L49" s="955">
        <v>0</v>
      </c>
      <c r="M49" s="958"/>
      <c r="N49" s="958"/>
      <c r="O49" s="958"/>
      <c r="P49" s="957" t="s">
        <v>29</v>
      </c>
      <c r="Q49" s="958"/>
      <c r="R49" s="958"/>
      <c r="S49" s="958"/>
      <c r="T49" s="958"/>
      <c r="U49" s="958"/>
      <c r="V49" s="903"/>
      <c r="W49" s="222"/>
      <c r="X49" s="901"/>
      <c r="Y49" s="902"/>
      <c r="Z49" s="957" t="s">
        <v>29</v>
      </c>
      <c r="AA49" s="957" t="s">
        <v>29</v>
      </c>
      <c r="AB49" s="957" t="s">
        <v>29</v>
      </c>
      <c r="AC49" s="957" t="s">
        <v>29</v>
      </c>
      <c r="AD49" s="904"/>
      <c r="AE49" s="957" t="s">
        <v>29</v>
      </c>
      <c r="AF49" s="957" t="s">
        <v>29</v>
      </c>
      <c r="AG49" s="957" t="s">
        <v>29</v>
      </c>
      <c r="AH49" s="957" t="s">
        <v>29</v>
      </c>
      <c r="AI49" s="202"/>
      <c r="AJ49" s="202"/>
      <c r="AK49" s="202"/>
      <c r="AL49" s="202"/>
      <c r="AM49" s="202"/>
      <c r="AN49" s="202"/>
      <c r="AO49" s="203"/>
      <c r="AP49" s="203"/>
      <c r="AQ49" s="954"/>
      <c r="AR49" s="947"/>
      <c r="AS49" s="947"/>
      <c r="AT49" s="956"/>
      <c r="AX49" s="768"/>
    </row>
    <row r="50" spans="1:50">
      <c r="A50" s="164"/>
      <c r="B50" s="164"/>
      <c r="C50" s="164"/>
      <c r="D50" s="164"/>
      <c r="E50" s="164"/>
      <c r="F50" s="164"/>
      <c r="G50" s="223"/>
      <c r="H50" s="959"/>
      <c r="I50" s="224"/>
      <c r="J50" s="224"/>
      <c r="K50" s="224"/>
      <c r="L50" s="955">
        <v>0</v>
      </c>
      <c r="M50" s="958"/>
      <c r="N50" s="958"/>
      <c r="O50" s="958"/>
      <c r="P50" s="957" t="s">
        <v>29</v>
      </c>
      <c r="Q50" s="958"/>
      <c r="R50" s="958"/>
      <c r="S50" s="958"/>
      <c r="T50" s="958"/>
      <c r="U50" s="958"/>
      <c r="V50" s="903"/>
      <c r="W50" s="222"/>
      <c r="X50" s="901"/>
      <c r="Y50" s="902"/>
      <c r="Z50" s="957" t="s">
        <v>29</v>
      </c>
      <c r="AA50" s="957" t="s">
        <v>29</v>
      </c>
      <c r="AB50" s="957" t="s">
        <v>29</v>
      </c>
      <c r="AC50" s="957" t="s">
        <v>29</v>
      </c>
      <c r="AD50" s="904"/>
      <c r="AE50" s="957" t="s">
        <v>29</v>
      </c>
      <c r="AF50" s="957" t="s">
        <v>29</v>
      </c>
      <c r="AG50" s="957" t="s">
        <v>29</v>
      </c>
      <c r="AH50" s="957" t="s">
        <v>29</v>
      </c>
      <c r="AI50" s="202"/>
      <c r="AJ50" s="202"/>
      <c r="AK50" s="202"/>
      <c r="AL50" s="202"/>
      <c r="AM50" s="202"/>
      <c r="AN50" s="202"/>
      <c r="AO50" s="203"/>
      <c r="AP50" s="203"/>
      <c r="AQ50" s="954"/>
      <c r="AR50" s="947"/>
      <c r="AS50" s="947"/>
      <c r="AT50" s="956"/>
      <c r="AX50" s="768"/>
    </row>
  </sheetData>
  <autoFilter ref="A4:AX39" xr:uid="{3ACE76C3-A8E9-4A72-8755-358BC072EDED}"/>
  <mergeCells count="7">
    <mergeCell ref="AU3:AV3"/>
    <mergeCell ref="N1:O1"/>
    <mergeCell ref="N2:O2"/>
    <mergeCell ref="M3:U3"/>
    <mergeCell ref="V3:AC3"/>
    <mergeCell ref="AD3:AH3"/>
    <mergeCell ref="AI3:AP3"/>
  </mergeCells>
  <dataValidations count="5">
    <dataValidation type="list" allowBlank="1" showInputMessage="1" showErrorMessage="1" sqref="AR5:AS50" xr:uid="{BA9793BB-259B-43FE-A059-1634C628ABD2}">
      <formula1>"Yes, No, Mixed"</formula1>
    </dataValidation>
    <dataValidation type="list" allowBlank="1" showInputMessage="1" showErrorMessage="1" sqref="W51:W1972 C42:C1048576" xr:uid="{F2565ED7-E8A4-4C27-8EDA-B3B2A67E92C5}">
      <formula1>#REF!</formula1>
    </dataValidation>
    <dataValidation type="list" allowBlank="1" showInputMessage="1" showErrorMessage="1" sqref="AI5:AI1048576 AK5:AK1048576 AM5:AM1048576" xr:uid="{4EA0F6FE-6E4D-4496-9B39-1D9EE7B1A118}">
      <formula1>FuelList</formula1>
    </dataValidation>
    <dataValidation type="list" allowBlank="1" showInputMessage="1" showErrorMessage="1" sqref="F5:F1048576" xr:uid="{00415EC1-C1F8-485D-8306-46F3BFDFA2A7}">
      <formula1>EndUse</formula1>
    </dataValidation>
    <dataValidation type="list" allowBlank="1" showInputMessage="1" showErrorMessage="1" sqref="A5:A41" xr:uid="{A1F9F9EB-047D-45FB-B806-12C2A5492396}">
      <formula1>Sector</formula1>
    </dataValidation>
  </dataValidations>
  <pageMargins left="0.75" right="0.75" top="1" bottom="1" header="0.5" footer="0.5"/>
  <pageSetup orientation="portrait"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A8E753A-577C-4FE3-93CB-4D9C85D8DDE1}">
          <x14:formula1>
            <xm:f>AvoidedEnergy!$A$4:$A$10</xm:f>
          </x14:formula1>
          <xm:sqref>AQ5:AQ50</xm:sqref>
        </x14:dataValidation>
        <x14:dataValidation type="list" allowBlank="1" showInputMessage="1" showErrorMessage="1" xr:uid="{D2DE7746-1CA2-4C75-91E1-F0006032581A}">
          <x14:formula1>
            <xm:f>DemandLookups!$A$6:$A$11</xm:f>
          </x14:formula1>
          <xm:sqref>W5:W50</xm:sqref>
        </x14:dataValidation>
        <x14:dataValidation type="list" allowBlank="1" showInputMessage="1" showErrorMessage="1" xr:uid="{AB35B2F4-B522-41B3-A107-BD156A5D4069}">
          <x14:formula1>
            <xm:f>Lookups!$E$197:$E$247</xm:f>
          </x14:formula1>
          <xm:sqref>C5:C41</xm:sqref>
        </x14:dataValidation>
        <x14:dataValidation type="list" allowBlank="1" showInputMessage="1" showErrorMessage="1" xr:uid="{28953454-1128-4061-B752-B68ED0B49CC9}">
          <x14:formula1>
            <xm:f>Lookups!$E$145:$E$174</xm:f>
          </x14:formula1>
          <xm:sqref>B5:B41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C000"/>
  </sheetPr>
  <dimension ref="A1:AX50"/>
  <sheetViews>
    <sheetView zoomScale="80" zoomScaleNormal="80" workbookViewId="0">
      <pane xSplit="7" ySplit="4" topLeftCell="H5" activePane="bottomRight" state="frozen"/>
      <selection activeCell="D19" sqref="D19"/>
      <selection pane="topRight" activeCell="D19" sqref="D19"/>
      <selection pane="bottomLeft" activeCell="D19" sqref="D19"/>
      <selection pane="bottomRight" activeCell="H29" sqref="H29"/>
    </sheetView>
  </sheetViews>
  <sheetFormatPr defaultColWidth="10" defaultRowHeight="12.75" outlineLevelCol="1"/>
  <cols>
    <col min="1" max="1" width="11.7109375" style="14" customWidth="1"/>
    <col min="2" max="2" width="17.5703125" style="14" customWidth="1"/>
    <col min="3" max="3" width="14.28515625" style="14" customWidth="1"/>
    <col min="4" max="4" width="65.85546875" style="14" bestFit="1" customWidth="1"/>
    <col min="5" max="5" width="19.140625" style="14" bestFit="1" customWidth="1"/>
    <col min="6" max="6" width="12.140625" style="14" customWidth="1"/>
    <col min="7" max="7" width="12.7109375" style="17" customWidth="1"/>
    <col min="8" max="8" width="14.5703125" style="108" customWidth="1"/>
    <col min="9" max="9" width="14.85546875" style="105" customWidth="1"/>
    <col min="10" max="10" width="15.42578125" style="107" customWidth="1"/>
    <col min="11" max="11" width="15.28515625" style="107" customWidth="1"/>
    <col min="12" max="12" width="14.85546875" style="17" customWidth="1"/>
    <col min="13" max="16" width="8.5703125" style="17" customWidth="1"/>
    <col min="17" max="21" width="8.5703125" style="14" customWidth="1"/>
    <col min="22" max="22" width="15.5703125" style="104" customWidth="1"/>
    <col min="23" max="23" width="17.42578125" style="14" bestFit="1" customWidth="1"/>
    <col min="24" max="24" width="13.28515625" style="14" hidden="1" customWidth="1" outlineLevel="1"/>
    <col min="25" max="25" width="12.28515625" style="39" hidden="1" customWidth="1" outlineLevel="1"/>
    <col min="26" max="26" width="8.7109375" style="91" customWidth="1" collapsed="1"/>
    <col min="27" max="29" width="10.28515625" style="91" customWidth="1"/>
    <col min="30" max="30" width="16.85546875" style="198" customWidth="1"/>
    <col min="31" max="34" width="8.85546875" style="17" customWidth="1"/>
    <col min="35" max="35" width="26.28515625" style="14" hidden="1" customWidth="1" outlineLevel="1"/>
    <col min="36" max="36" width="16.7109375" style="106" hidden="1" customWidth="1" outlineLevel="1"/>
    <col min="37" max="37" width="22.5703125" style="14" hidden="1" customWidth="1" outlineLevel="1"/>
    <col min="38" max="38" width="17.5703125" style="14" hidden="1" customWidth="1" outlineLevel="1"/>
    <col min="39" max="39" width="15.28515625" style="14" hidden="1" customWidth="1" outlineLevel="1"/>
    <col min="40" max="40" width="17.5703125" style="14" hidden="1" customWidth="1" outlineLevel="1"/>
    <col min="41" max="42" width="13.85546875" style="17" hidden="1" customWidth="1" outlineLevel="1"/>
    <col min="43" max="43" width="33.85546875" style="952" bestFit="1" customWidth="1" collapsed="1"/>
    <col min="44" max="44" width="5.140625" style="17" bestFit="1" customWidth="1"/>
    <col min="45" max="45" width="9.140625" style="17"/>
    <col min="46" max="46" width="11" style="17" customWidth="1"/>
    <col min="47" max="48" width="10" style="306"/>
    <col min="49" max="16384" width="10" style="2"/>
  </cols>
  <sheetData>
    <row r="1" spans="1:50">
      <c r="A1" s="18"/>
      <c r="B1" s="18"/>
      <c r="D1" s="25" t="s">
        <v>144</v>
      </c>
      <c r="E1" s="297" t="s">
        <v>368</v>
      </c>
      <c r="G1" s="18"/>
      <c r="H1" s="767"/>
      <c r="I1" s="763"/>
      <c r="J1" s="764"/>
      <c r="K1" s="20"/>
      <c r="L1" s="761"/>
      <c r="M1" s="834"/>
      <c r="N1" s="1502"/>
      <c r="O1" s="1502"/>
      <c r="P1" s="835"/>
      <c r="Q1" s="20"/>
      <c r="R1" s="840"/>
      <c r="S1" s="839"/>
      <c r="T1" s="1"/>
      <c r="U1" s="1"/>
      <c r="V1" s="94"/>
      <c r="W1" s="16"/>
      <c r="X1" s="16"/>
      <c r="Y1" s="155"/>
      <c r="Z1" s="88"/>
      <c r="AA1" s="89"/>
      <c r="AB1" s="89"/>
      <c r="AC1" s="89"/>
      <c r="AD1" s="196"/>
      <c r="AE1" s="22"/>
      <c r="AF1" s="21"/>
      <c r="AG1" s="21"/>
      <c r="AH1" s="21"/>
      <c r="AI1" s="21"/>
      <c r="AJ1" s="83"/>
      <c r="AK1" s="23"/>
      <c r="AL1" s="23"/>
      <c r="AM1" s="23"/>
      <c r="AN1" s="23"/>
      <c r="AO1" s="23"/>
      <c r="AP1" s="24"/>
      <c r="AQ1" s="948"/>
      <c r="AR1" s="24"/>
      <c r="AS1" s="24"/>
      <c r="AT1" s="24"/>
    </row>
    <row r="2" spans="1:50">
      <c r="A2" s="96"/>
      <c r="B2" s="96"/>
      <c r="D2" s="40" t="s">
        <v>165</v>
      </c>
      <c r="E2" s="97">
        <v>2026</v>
      </c>
      <c r="G2" s="85"/>
      <c r="H2" s="767"/>
      <c r="I2" s="763"/>
      <c r="J2" s="857"/>
      <c r="K2" s="769"/>
      <c r="L2" s="762"/>
      <c r="M2" s="19"/>
      <c r="N2" s="1503"/>
      <c r="O2" s="1503"/>
      <c r="P2" s="692"/>
      <c r="Q2" s="19"/>
      <c r="R2" s="199"/>
      <c r="S2" s="19"/>
      <c r="T2" s="19"/>
      <c r="U2" s="19"/>
      <c r="V2" s="103"/>
      <c r="W2" s="48"/>
      <c r="X2" s="48"/>
      <c r="Y2" s="156"/>
      <c r="Z2" s="90"/>
      <c r="AA2" s="90"/>
      <c r="AB2" s="90"/>
      <c r="AC2" s="90"/>
      <c r="AD2" s="197"/>
      <c r="AE2" s="19"/>
      <c r="AF2" s="19"/>
      <c r="AG2" s="19"/>
      <c r="AH2" s="19"/>
      <c r="AI2" s="19"/>
      <c r="AJ2" s="19"/>
      <c r="AK2" s="19"/>
      <c r="AL2" s="19"/>
      <c r="AM2" s="19"/>
      <c r="AN2" s="19"/>
      <c r="AO2" s="19"/>
      <c r="AP2" s="19"/>
      <c r="AQ2" s="949"/>
      <c r="AR2" s="19"/>
      <c r="AS2" s="19"/>
      <c r="AT2" s="19"/>
    </row>
    <row r="3" spans="1:50">
      <c r="A3" s="40"/>
      <c r="B3" s="86"/>
      <c r="C3" s="48"/>
      <c r="D3" s="48"/>
      <c r="E3" s="48"/>
      <c r="F3" s="838"/>
      <c r="G3" s="837"/>
      <c r="H3" s="836"/>
      <c r="I3" s="841"/>
      <c r="J3" s="765"/>
      <c r="K3" s="769"/>
      <c r="L3" s="766"/>
      <c r="M3" s="1504" t="s">
        <v>1</v>
      </c>
      <c r="N3" s="1504"/>
      <c r="O3" s="1504"/>
      <c r="P3" s="1504"/>
      <c r="Q3" s="1504"/>
      <c r="R3" s="1504"/>
      <c r="S3" s="1504"/>
      <c r="T3" s="1504"/>
      <c r="U3" s="1504"/>
      <c r="V3" s="1505" t="s">
        <v>2</v>
      </c>
      <c r="W3" s="1505"/>
      <c r="X3" s="1505"/>
      <c r="Y3" s="1505"/>
      <c r="Z3" s="1505"/>
      <c r="AA3" s="1505"/>
      <c r="AB3" s="1505"/>
      <c r="AC3" s="1505"/>
      <c r="AD3" s="1506" t="s">
        <v>3</v>
      </c>
      <c r="AE3" s="1506"/>
      <c r="AF3" s="1506"/>
      <c r="AG3" s="1506"/>
      <c r="AH3" s="1506"/>
      <c r="AI3" s="1507" t="s">
        <v>4</v>
      </c>
      <c r="AJ3" s="1507"/>
      <c r="AK3" s="1507"/>
      <c r="AL3" s="1507"/>
      <c r="AM3" s="1507"/>
      <c r="AN3" s="1507"/>
      <c r="AO3" s="1507"/>
      <c r="AP3" s="1507"/>
      <c r="AQ3" s="950"/>
      <c r="AS3" s="15"/>
      <c r="AT3" s="15"/>
      <c r="AU3" s="1501" t="s">
        <v>540</v>
      </c>
      <c r="AV3" s="1501"/>
    </row>
    <row r="4" spans="1:50" s="309" customFormat="1" ht="78" customHeight="1">
      <c r="A4" s="204" t="s">
        <v>419</v>
      </c>
      <c r="B4" s="204" t="s">
        <v>422</v>
      </c>
      <c r="C4" s="204" t="s">
        <v>421</v>
      </c>
      <c r="D4" s="204" t="s">
        <v>7</v>
      </c>
      <c r="E4" s="204" t="s">
        <v>886</v>
      </c>
      <c r="F4" s="204" t="s">
        <v>420</v>
      </c>
      <c r="G4" s="298" t="s">
        <v>78</v>
      </c>
      <c r="H4" s="205" t="s">
        <v>77</v>
      </c>
      <c r="I4" s="690" t="s">
        <v>9</v>
      </c>
      <c r="J4" s="299" t="s">
        <v>10</v>
      </c>
      <c r="K4" s="299" t="s">
        <v>277</v>
      </c>
      <c r="L4" s="300" t="s">
        <v>11</v>
      </c>
      <c r="M4" s="207" t="s">
        <v>12</v>
      </c>
      <c r="N4" s="207" t="s">
        <v>83</v>
      </c>
      <c r="O4" s="207" t="s">
        <v>84</v>
      </c>
      <c r="P4" s="206" t="s">
        <v>146</v>
      </c>
      <c r="Q4" s="207" t="s">
        <v>13</v>
      </c>
      <c r="R4" s="207" t="s">
        <v>167</v>
      </c>
      <c r="S4" s="207" t="s">
        <v>168</v>
      </c>
      <c r="T4" s="207" t="s">
        <v>169</v>
      </c>
      <c r="U4" s="207" t="s">
        <v>170</v>
      </c>
      <c r="V4" s="301" t="s">
        <v>14</v>
      </c>
      <c r="W4" s="214" t="s">
        <v>423</v>
      </c>
      <c r="X4" s="302" t="s">
        <v>542</v>
      </c>
      <c r="Y4" s="303" t="s">
        <v>543</v>
      </c>
      <c r="Z4" s="304" t="s">
        <v>15</v>
      </c>
      <c r="AA4" s="304" t="s">
        <v>16</v>
      </c>
      <c r="AB4" s="304" t="s">
        <v>17</v>
      </c>
      <c r="AC4" s="304" t="s">
        <v>18</v>
      </c>
      <c r="AD4" s="310" t="s">
        <v>19</v>
      </c>
      <c r="AE4" s="305" t="s">
        <v>20</v>
      </c>
      <c r="AF4" s="305" t="s">
        <v>21</v>
      </c>
      <c r="AG4" s="305" t="s">
        <v>22</v>
      </c>
      <c r="AH4" s="305" t="s">
        <v>23</v>
      </c>
      <c r="AI4" s="208" t="s">
        <v>424</v>
      </c>
      <c r="AJ4" s="209" t="s">
        <v>141</v>
      </c>
      <c r="AK4" s="208" t="s">
        <v>425</v>
      </c>
      <c r="AL4" s="210" t="s">
        <v>142</v>
      </c>
      <c r="AM4" s="208" t="s">
        <v>426</v>
      </c>
      <c r="AN4" s="208" t="s">
        <v>143</v>
      </c>
      <c r="AO4" s="211" t="s">
        <v>24</v>
      </c>
      <c r="AP4" s="211" t="s">
        <v>25</v>
      </c>
      <c r="AQ4" s="951" t="s">
        <v>800</v>
      </c>
      <c r="AR4" s="905" t="s">
        <v>797</v>
      </c>
      <c r="AS4" s="905" t="s">
        <v>798</v>
      </c>
      <c r="AT4" s="905" t="s">
        <v>799</v>
      </c>
      <c r="AU4" s="307" t="s">
        <v>541</v>
      </c>
      <c r="AV4" s="308" t="s">
        <v>82</v>
      </c>
    </row>
    <row r="5" spans="1:50">
      <c r="A5" s="164" t="s">
        <v>899</v>
      </c>
      <c r="B5" s="164" t="s">
        <v>902</v>
      </c>
      <c r="C5" s="164" t="s">
        <v>904</v>
      </c>
      <c r="D5" s="164" t="s">
        <v>778</v>
      </c>
      <c r="E5" s="164" t="s">
        <v>887</v>
      </c>
      <c r="F5" s="164" t="s">
        <v>227</v>
      </c>
      <c r="G5" s="223">
        <v>826.875</v>
      </c>
      <c r="H5" s="959">
        <v>1</v>
      </c>
      <c r="I5" s="224">
        <v>55.125</v>
      </c>
      <c r="J5" s="224">
        <v>55.125</v>
      </c>
      <c r="K5" s="224">
        <v>0</v>
      </c>
      <c r="L5" s="955">
        <v>0</v>
      </c>
      <c r="M5" s="958">
        <v>0</v>
      </c>
      <c r="N5" s="958">
        <v>0</v>
      </c>
      <c r="O5" s="958">
        <v>0</v>
      </c>
      <c r="P5" s="957">
        <v>1</v>
      </c>
      <c r="Q5" s="958">
        <v>1</v>
      </c>
      <c r="R5" s="958">
        <v>1</v>
      </c>
      <c r="S5" s="958">
        <v>1</v>
      </c>
      <c r="T5" s="958">
        <v>1</v>
      </c>
      <c r="U5" s="958">
        <v>1</v>
      </c>
      <c r="V5" s="903"/>
      <c r="W5" s="222" t="s">
        <v>55</v>
      </c>
      <c r="X5" s="901"/>
      <c r="Y5" s="902"/>
      <c r="Z5" s="957">
        <v>0</v>
      </c>
      <c r="AA5" s="957">
        <v>0</v>
      </c>
      <c r="AB5" s="957">
        <v>1</v>
      </c>
      <c r="AC5" s="957">
        <v>0</v>
      </c>
      <c r="AD5" s="904">
        <v>0.85066666666666668</v>
      </c>
      <c r="AE5" s="957">
        <v>1</v>
      </c>
      <c r="AF5" s="957">
        <v>0</v>
      </c>
      <c r="AG5" s="957">
        <v>1</v>
      </c>
      <c r="AH5" s="957">
        <v>1</v>
      </c>
      <c r="AI5" s="202"/>
      <c r="AJ5" s="202"/>
      <c r="AK5" s="202" t="s">
        <v>29</v>
      </c>
      <c r="AL5" s="202" t="s">
        <v>29</v>
      </c>
      <c r="AM5" s="202" t="s">
        <v>29</v>
      </c>
      <c r="AN5" s="202" t="s">
        <v>29</v>
      </c>
      <c r="AO5" s="203">
        <v>0</v>
      </c>
      <c r="AP5" s="203">
        <v>0</v>
      </c>
      <c r="AQ5" s="953" t="s">
        <v>839</v>
      </c>
      <c r="AR5" s="946" t="s">
        <v>273</v>
      </c>
      <c r="AS5" s="946" t="s">
        <v>273</v>
      </c>
      <c r="AT5" s="956">
        <v>0.1</v>
      </c>
      <c r="AU5" s="306" t="s">
        <v>29</v>
      </c>
      <c r="AV5" s="306" t="s">
        <v>29</v>
      </c>
      <c r="AX5" s="768"/>
    </row>
    <row r="6" spans="1:50">
      <c r="A6" s="164" t="s">
        <v>899</v>
      </c>
      <c r="B6" s="164" t="s">
        <v>902</v>
      </c>
      <c r="C6" s="164" t="s">
        <v>904</v>
      </c>
      <c r="D6" s="164" t="s">
        <v>779</v>
      </c>
      <c r="E6" s="164"/>
      <c r="F6" s="164" t="s">
        <v>227</v>
      </c>
      <c r="G6" s="223"/>
      <c r="H6" s="959"/>
      <c r="I6" s="224"/>
      <c r="J6" s="224"/>
      <c r="K6" s="224">
        <v>0</v>
      </c>
      <c r="L6" s="955">
        <v>0</v>
      </c>
      <c r="M6" s="958">
        <v>0</v>
      </c>
      <c r="N6" s="958">
        <v>0</v>
      </c>
      <c r="O6" s="958">
        <v>0</v>
      </c>
      <c r="P6" s="957">
        <v>1</v>
      </c>
      <c r="Q6" s="958">
        <v>1</v>
      </c>
      <c r="R6" s="958">
        <v>1</v>
      </c>
      <c r="S6" s="958">
        <v>1</v>
      </c>
      <c r="T6" s="958">
        <v>1</v>
      </c>
      <c r="U6" s="958">
        <v>1</v>
      </c>
      <c r="V6" s="903"/>
      <c r="W6" s="222" t="s">
        <v>55</v>
      </c>
      <c r="X6" s="901"/>
      <c r="Y6" s="902"/>
      <c r="Z6" s="957">
        <v>0</v>
      </c>
      <c r="AA6" s="957">
        <v>0</v>
      </c>
      <c r="AB6" s="957">
        <v>1</v>
      </c>
      <c r="AC6" s="957">
        <v>0</v>
      </c>
      <c r="AD6" s="904"/>
      <c r="AE6" s="957">
        <v>1</v>
      </c>
      <c r="AF6" s="957">
        <v>0</v>
      </c>
      <c r="AG6" s="957">
        <v>1</v>
      </c>
      <c r="AH6" s="957">
        <v>1</v>
      </c>
      <c r="AI6" s="202"/>
      <c r="AJ6" s="202"/>
      <c r="AK6" s="202" t="s">
        <v>29</v>
      </c>
      <c r="AL6" s="202" t="s">
        <v>29</v>
      </c>
      <c r="AM6" s="202" t="s">
        <v>29</v>
      </c>
      <c r="AN6" s="202" t="s">
        <v>29</v>
      </c>
      <c r="AO6" s="203">
        <v>0</v>
      </c>
      <c r="AP6" s="203">
        <v>0</v>
      </c>
      <c r="AQ6" s="953" t="s">
        <v>839</v>
      </c>
      <c r="AR6" s="947" t="s">
        <v>273</v>
      </c>
      <c r="AS6" s="947" t="s">
        <v>273</v>
      </c>
      <c r="AT6" s="956">
        <v>0.1</v>
      </c>
      <c r="AU6" s="306" t="s">
        <v>29</v>
      </c>
      <c r="AV6" s="306" t="s">
        <v>29</v>
      </c>
      <c r="AX6" s="768"/>
    </row>
    <row r="7" spans="1:50">
      <c r="A7" s="164" t="s">
        <v>899</v>
      </c>
      <c r="B7" s="164" t="s">
        <v>902</v>
      </c>
      <c r="C7" s="164" t="s">
        <v>904</v>
      </c>
      <c r="D7" s="164" t="s">
        <v>780</v>
      </c>
      <c r="E7" s="164"/>
      <c r="F7" s="164" t="s">
        <v>227</v>
      </c>
      <c r="G7" s="223"/>
      <c r="H7" s="959"/>
      <c r="I7" s="224"/>
      <c r="J7" s="224"/>
      <c r="K7" s="224">
        <v>0</v>
      </c>
      <c r="L7" s="955">
        <v>0</v>
      </c>
      <c r="M7" s="958">
        <v>0</v>
      </c>
      <c r="N7" s="958">
        <v>0</v>
      </c>
      <c r="O7" s="958">
        <v>0</v>
      </c>
      <c r="P7" s="957">
        <v>1</v>
      </c>
      <c r="Q7" s="958">
        <v>1</v>
      </c>
      <c r="R7" s="958">
        <v>1</v>
      </c>
      <c r="S7" s="958">
        <v>1</v>
      </c>
      <c r="T7" s="958">
        <v>1</v>
      </c>
      <c r="U7" s="958">
        <v>1</v>
      </c>
      <c r="V7" s="903"/>
      <c r="W7" s="222" t="s">
        <v>55</v>
      </c>
      <c r="X7" s="901"/>
      <c r="Y7" s="902"/>
      <c r="Z7" s="957">
        <v>0</v>
      </c>
      <c r="AA7" s="957">
        <v>0</v>
      </c>
      <c r="AB7" s="957">
        <v>1</v>
      </c>
      <c r="AC7" s="957">
        <v>0</v>
      </c>
      <c r="AD7" s="904"/>
      <c r="AE7" s="957">
        <v>1</v>
      </c>
      <c r="AF7" s="957">
        <v>0</v>
      </c>
      <c r="AG7" s="957">
        <v>1</v>
      </c>
      <c r="AH7" s="957">
        <v>1</v>
      </c>
      <c r="AI7" s="202"/>
      <c r="AJ7" s="202"/>
      <c r="AK7" s="202" t="s">
        <v>29</v>
      </c>
      <c r="AL7" s="202" t="s">
        <v>29</v>
      </c>
      <c r="AM7" s="202" t="s">
        <v>29</v>
      </c>
      <c r="AN7" s="202" t="s">
        <v>29</v>
      </c>
      <c r="AO7" s="203">
        <v>0</v>
      </c>
      <c r="AP7" s="203">
        <v>0</v>
      </c>
      <c r="AQ7" s="953" t="s">
        <v>843</v>
      </c>
      <c r="AR7" s="947" t="s">
        <v>273</v>
      </c>
      <c r="AS7" s="947" t="s">
        <v>388</v>
      </c>
      <c r="AT7" s="956">
        <v>1</v>
      </c>
      <c r="AU7" s="306" t="s">
        <v>29</v>
      </c>
      <c r="AV7" s="306" t="s">
        <v>29</v>
      </c>
      <c r="AX7" s="768"/>
    </row>
    <row r="8" spans="1:50">
      <c r="A8" s="164" t="s">
        <v>899</v>
      </c>
      <c r="B8" s="164" t="s">
        <v>902</v>
      </c>
      <c r="C8" s="164" t="s">
        <v>904</v>
      </c>
      <c r="D8" s="164" t="s">
        <v>781</v>
      </c>
      <c r="E8" s="164"/>
      <c r="F8" s="164" t="s">
        <v>227</v>
      </c>
      <c r="G8" s="223"/>
      <c r="H8" s="959"/>
      <c r="I8" s="224"/>
      <c r="J8" s="224"/>
      <c r="K8" s="224">
        <v>0</v>
      </c>
      <c r="L8" s="955">
        <v>0</v>
      </c>
      <c r="M8" s="958">
        <v>0</v>
      </c>
      <c r="N8" s="958">
        <v>0</v>
      </c>
      <c r="O8" s="958">
        <v>0</v>
      </c>
      <c r="P8" s="957">
        <v>1</v>
      </c>
      <c r="Q8" s="958">
        <v>1</v>
      </c>
      <c r="R8" s="958">
        <v>1</v>
      </c>
      <c r="S8" s="958">
        <v>1</v>
      </c>
      <c r="T8" s="958">
        <v>1</v>
      </c>
      <c r="U8" s="958">
        <v>1</v>
      </c>
      <c r="V8" s="903"/>
      <c r="W8" s="222" t="s">
        <v>794</v>
      </c>
      <c r="X8" s="901"/>
      <c r="Y8" s="902"/>
      <c r="Z8" s="957">
        <v>0</v>
      </c>
      <c r="AA8" s="957">
        <v>0</v>
      </c>
      <c r="AB8" s="957">
        <v>0</v>
      </c>
      <c r="AC8" s="957">
        <v>1</v>
      </c>
      <c r="AD8" s="904"/>
      <c r="AE8" s="957">
        <v>0</v>
      </c>
      <c r="AF8" s="957">
        <v>0</v>
      </c>
      <c r="AG8" s="957">
        <v>0</v>
      </c>
      <c r="AH8" s="957">
        <v>0</v>
      </c>
      <c r="AI8" s="202"/>
      <c r="AJ8" s="202"/>
      <c r="AK8" s="202" t="s">
        <v>29</v>
      </c>
      <c r="AL8" s="202" t="s">
        <v>29</v>
      </c>
      <c r="AM8" s="202" t="s">
        <v>29</v>
      </c>
      <c r="AN8" s="202" t="s">
        <v>29</v>
      </c>
      <c r="AO8" s="203">
        <v>0</v>
      </c>
      <c r="AP8" s="203">
        <v>0</v>
      </c>
      <c r="AQ8" s="953" t="s">
        <v>847</v>
      </c>
      <c r="AR8" s="947" t="s">
        <v>273</v>
      </c>
      <c r="AS8" s="947" t="s">
        <v>388</v>
      </c>
      <c r="AT8" s="956">
        <v>1</v>
      </c>
      <c r="AU8" s="306" t="s">
        <v>29</v>
      </c>
      <c r="AV8" s="306" t="s">
        <v>29</v>
      </c>
      <c r="AX8" s="768"/>
    </row>
    <row r="9" spans="1:50">
      <c r="A9" s="164" t="s">
        <v>899</v>
      </c>
      <c r="B9" s="164" t="s">
        <v>902</v>
      </c>
      <c r="C9" s="164" t="s">
        <v>904</v>
      </c>
      <c r="D9" s="164" t="s">
        <v>782</v>
      </c>
      <c r="E9" s="164"/>
      <c r="F9" s="164" t="s">
        <v>227</v>
      </c>
      <c r="G9" s="223"/>
      <c r="H9" s="959"/>
      <c r="I9" s="224"/>
      <c r="J9" s="224"/>
      <c r="K9" s="224">
        <v>0</v>
      </c>
      <c r="L9" s="955">
        <v>0</v>
      </c>
      <c r="M9" s="958">
        <v>0</v>
      </c>
      <c r="N9" s="958">
        <v>0</v>
      </c>
      <c r="O9" s="958">
        <v>0</v>
      </c>
      <c r="P9" s="957">
        <v>1</v>
      </c>
      <c r="Q9" s="958">
        <v>1</v>
      </c>
      <c r="R9" s="958">
        <v>1</v>
      </c>
      <c r="S9" s="958">
        <v>1</v>
      </c>
      <c r="T9" s="958">
        <v>1</v>
      </c>
      <c r="U9" s="958">
        <v>1</v>
      </c>
      <c r="V9" s="903"/>
      <c r="W9" s="222" t="s">
        <v>53</v>
      </c>
      <c r="X9" s="901"/>
      <c r="Y9" s="902"/>
      <c r="Z9" s="957">
        <v>1</v>
      </c>
      <c r="AA9" s="957">
        <v>0</v>
      </c>
      <c r="AB9" s="957">
        <v>0</v>
      </c>
      <c r="AC9" s="957">
        <v>0</v>
      </c>
      <c r="AD9" s="904"/>
      <c r="AE9" s="957">
        <v>0</v>
      </c>
      <c r="AF9" s="957">
        <v>1</v>
      </c>
      <c r="AG9" s="957">
        <v>0</v>
      </c>
      <c r="AH9" s="957">
        <v>0</v>
      </c>
      <c r="AI9" s="202"/>
      <c r="AJ9" s="202"/>
      <c r="AK9" s="202" t="s">
        <v>29</v>
      </c>
      <c r="AL9" s="202" t="s">
        <v>29</v>
      </c>
      <c r="AM9" s="202" t="s">
        <v>29</v>
      </c>
      <c r="AN9" s="202" t="s">
        <v>29</v>
      </c>
      <c r="AO9" s="203">
        <v>0</v>
      </c>
      <c r="AP9" s="203">
        <v>0</v>
      </c>
      <c r="AQ9" s="953" t="s">
        <v>853</v>
      </c>
      <c r="AR9" s="947" t="s">
        <v>273</v>
      </c>
      <c r="AS9" s="947" t="s">
        <v>388</v>
      </c>
      <c r="AT9" s="956">
        <v>1</v>
      </c>
      <c r="AU9" s="306" t="s">
        <v>29</v>
      </c>
      <c r="AV9" s="306" t="s">
        <v>29</v>
      </c>
      <c r="AX9" s="768"/>
    </row>
    <row r="10" spans="1:50">
      <c r="A10" s="164" t="s">
        <v>899</v>
      </c>
      <c r="B10" s="164" t="s">
        <v>902</v>
      </c>
      <c r="C10" s="164" t="s">
        <v>904</v>
      </c>
      <c r="D10" s="164" t="s">
        <v>783</v>
      </c>
      <c r="E10" s="164"/>
      <c r="F10" s="164" t="s">
        <v>227</v>
      </c>
      <c r="G10" s="223"/>
      <c r="H10" s="959"/>
      <c r="I10" s="224"/>
      <c r="J10" s="224"/>
      <c r="K10" s="224">
        <v>0</v>
      </c>
      <c r="L10" s="955">
        <v>0</v>
      </c>
      <c r="M10" s="958">
        <v>0</v>
      </c>
      <c r="N10" s="958">
        <v>0</v>
      </c>
      <c r="O10" s="958">
        <v>0</v>
      </c>
      <c r="P10" s="957">
        <v>1</v>
      </c>
      <c r="Q10" s="958">
        <v>1</v>
      </c>
      <c r="R10" s="958">
        <v>1</v>
      </c>
      <c r="S10" s="958">
        <v>1</v>
      </c>
      <c r="T10" s="958">
        <v>1</v>
      </c>
      <c r="U10" s="958">
        <v>1</v>
      </c>
      <c r="V10" s="903"/>
      <c r="W10" s="222" t="s">
        <v>795</v>
      </c>
      <c r="X10" s="901"/>
      <c r="Y10" s="902"/>
      <c r="Z10" s="957">
        <v>0</v>
      </c>
      <c r="AA10" s="957">
        <v>1</v>
      </c>
      <c r="AB10" s="957">
        <v>0</v>
      </c>
      <c r="AC10" s="957">
        <v>0</v>
      </c>
      <c r="AD10" s="904"/>
      <c r="AE10" s="957">
        <v>0</v>
      </c>
      <c r="AF10" s="957">
        <v>0</v>
      </c>
      <c r="AG10" s="957">
        <v>0</v>
      </c>
      <c r="AH10" s="957">
        <v>0</v>
      </c>
      <c r="AI10" s="202"/>
      <c r="AJ10" s="202"/>
      <c r="AK10" s="202" t="s">
        <v>29</v>
      </c>
      <c r="AL10" s="202" t="s">
        <v>29</v>
      </c>
      <c r="AM10" s="202" t="s">
        <v>29</v>
      </c>
      <c r="AN10" s="202" t="s">
        <v>29</v>
      </c>
      <c r="AO10" s="203">
        <v>0</v>
      </c>
      <c r="AP10" s="203">
        <v>0</v>
      </c>
      <c r="AQ10" s="953" t="s">
        <v>858</v>
      </c>
      <c r="AR10" s="947" t="s">
        <v>273</v>
      </c>
      <c r="AS10" s="947" t="s">
        <v>388</v>
      </c>
      <c r="AT10" s="956">
        <v>1</v>
      </c>
      <c r="AU10" s="306" t="s">
        <v>29</v>
      </c>
      <c r="AV10" s="306" t="s">
        <v>29</v>
      </c>
      <c r="AX10" s="768"/>
    </row>
    <row r="11" spans="1:50">
      <c r="A11" s="164" t="s">
        <v>899</v>
      </c>
      <c r="B11" s="164" t="s">
        <v>902</v>
      </c>
      <c r="C11" s="164" t="s">
        <v>904</v>
      </c>
      <c r="D11" s="164" t="s">
        <v>784</v>
      </c>
      <c r="E11" s="164" t="s">
        <v>888</v>
      </c>
      <c r="F11" s="164" t="s">
        <v>227</v>
      </c>
      <c r="G11" s="223"/>
      <c r="H11" s="959">
        <v>1</v>
      </c>
      <c r="I11" s="224"/>
      <c r="J11" s="224"/>
      <c r="K11" s="224">
        <v>0</v>
      </c>
      <c r="L11" s="955">
        <v>0</v>
      </c>
      <c r="M11" s="958">
        <v>0</v>
      </c>
      <c r="N11" s="958">
        <v>0</v>
      </c>
      <c r="O11" s="958">
        <v>0</v>
      </c>
      <c r="P11" s="957">
        <v>1</v>
      </c>
      <c r="Q11" s="958">
        <v>1</v>
      </c>
      <c r="R11" s="958">
        <v>1</v>
      </c>
      <c r="S11" s="958">
        <v>1</v>
      </c>
      <c r="T11" s="958">
        <v>1</v>
      </c>
      <c r="U11" s="958">
        <v>1</v>
      </c>
      <c r="V11" s="1492">
        <v>0</v>
      </c>
      <c r="W11" s="222" t="s">
        <v>55</v>
      </c>
      <c r="X11" s="901"/>
      <c r="Y11" s="902"/>
      <c r="Z11" s="957">
        <v>0</v>
      </c>
      <c r="AA11" s="957">
        <v>0</v>
      </c>
      <c r="AB11" s="957">
        <v>1</v>
      </c>
      <c r="AC11" s="957">
        <v>0</v>
      </c>
      <c r="AD11" s="904"/>
      <c r="AE11" s="957">
        <v>1</v>
      </c>
      <c r="AF11" s="957">
        <v>0</v>
      </c>
      <c r="AG11" s="957">
        <v>1</v>
      </c>
      <c r="AH11" s="957">
        <v>1</v>
      </c>
      <c r="AI11" s="202"/>
      <c r="AJ11" s="202"/>
      <c r="AK11" s="202" t="s">
        <v>29</v>
      </c>
      <c r="AL11" s="202" t="s">
        <v>29</v>
      </c>
      <c r="AM11" s="202" t="s">
        <v>29</v>
      </c>
      <c r="AN11" s="202" t="s">
        <v>29</v>
      </c>
      <c r="AO11" s="203">
        <v>0</v>
      </c>
      <c r="AP11" s="203">
        <v>0</v>
      </c>
      <c r="AQ11" s="953" t="s">
        <v>843</v>
      </c>
      <c r="AR11" s="947" t="s">
        <v>273</v>
      </c>
      <c r="AS11" s="947" t="s">
        <v>273</v>
      </c>
      <c r="AT11" s="956">
        <v>1</v>
      </c>
      <c r="AU11" s="306" t="s">
        <v>29</v>
      </c>
      <c r="AV11" s="306" t="s">
        <v>29</v>
      </c>
      <c r="AX11" s="768"/>
    </row>
    <row r="12" spans="1:50">
      <c r="A12" s="164" t="s">
        <v>899</v>
      </c>
      <c r="B12" s="164" t="s">
        <v>902</v>
      </c>
      <c r="C12" s="164" t="s">
        <v>904</v>
      </c>
      <c r="D12" s="164" t="s">
        <v>785</v>
      </c>
      <c r="E12" s="164" t="s">
        <v>889</v>
      </c>
      <c r="F12" s="164" t="s">
        <v>227</v>
      </c>
      <c r="G12" s="223"/>
      <c r="H12" s="959">
        <v>1</v>
      </c>
      <c r="I12" s="224"/>
      <c r="J12" s="224"/>
      <c r="K12" s="224">
        <v>0</v>
      </c>
      <c r="L12" s="955">
        <v>0</v>
      </c>
      <c r="M12" s="958">
        <v>0</v>
      </c>
      <c r="N12" s="958">
        <v>0</v>
      </c>
      <c r="O12" s="958">
        <v>0</v>
      </c>
      <c r="P12" s="957">
        <v>1</v>
      </c>
      <c r="Q12" s="958">
        <v>1</v>
      </c>
      <c r="R12" s="958">
        <v>1</v>
      </c>
      <c r="S12" s="958">
        <v>1</v>
      </c>
      <c r="T12" s="958">
        <v>1</v>
      </c>
      <c r="U12" s="958">
        <v>1</v>
      </c>
      <c r="V12" s="1492">
        <v>0</v>
      </c>
      <c r="W12" s="222" t="s">
        <v>794</v>
      </c>
      <c r="X12" s="901"/>
      <c r="Y12" s="902"/>
      <c r="Z12" s="957">
        <v>0</v>
      </c>
      <c r="AA12" s="957">
        <v>0</v>
      </c>
      <c r="AB12" s="957">
        <v>0</v>
      </c>
      <c r="AC12" s="957">
        <v>1</v>
      </c>
      <c r="AD12" s="1491">
        <v>0</v>
      </c>
      <c r="AE12" s="957">
        <v>0</v>
      </c>
      <c r="AF12" s="957">
        <v>0</v>
      </c>
      <c r="AG12" s="957">
        <v>0</v>
      </c>
      <c r="AH12" s="957">
        <v>0</v>
      </c>
      <c r="AI12" s="202"/>
      <c r="AJ12" s="202"/>
      <c r="AK12" s="202" t="s">
        <v>29</v>
      </c>
      <c r="AL12" s="202" t="s">
        <v>29</v>
      </c>
      <c r="AM12" s="202" t="s">
        <v>29</v>
      </c>
      <c r="AN12" s="202" t="s">
        <v>29</v>
      </c>
      <c r="AO12" s="203">
        <v>0</v>
      </c>
      <c r="AP12" s="203">
        <v>0</v>
      </c>
      <c r="AQ12" s="953" t="s">
        <v>847</v>
      </c>
      <c r="AR12" s="947" t="s">
        <v>273</v>
      </c>
      <c r="AS12" s="947" t="s">
        <v>273</v>
      </c>
      <c r="AT12" s="956">
        <v>1</v>
      </c>
      <c r="AU12" s="306" t="s">
        <v>29</v>
      </c>
      <c r="AV12" s="306" t="s">
        <v>29</v>
      </c>
      <c r="AX12" s="768"/>
    </row>
    <row r="13" spans="1:50">
      <c r="A13" s="164" t="s">
        <v>899</v>
      </c>
      <c r="B13" s="164" t="s">
        <v>902</v>
      </c>
      <c r="C13" s="164" t="s">
        <v>904</v>
      </c>
      <c r="D13" s="164" t="s">
        <v>786</v>
      </c>
      <c r="E13" s="164"/>
      <c r="F13" s="164" t="s">
        <v>227</v>
      </c>
      <c r="G13" s="223"/>
      <c r="H13" s="959"/>
      <c r="I13" s="224"/>
      <c r="J13" s="224"/>
      <c r="K13" s="224">
        <v>0</v>
      </c>
      <c r="L13" s="955">
        <v>0</v>
      </c>
      <c r="M13" s="958">
        <v>0</v>
      </c>
      <c r="N13" s="958">
        <v>0</v>
      </c>
      <c r="O13" s="958">
        <v>0</v>
      </c>
      <c r="P13" s="957">
        <v>1</v>
      </c>
      <c r="Q13" s="958">
        <v>1</v>
      </c>
      <c r="R13" s="958">
        <v>1</v>
      </c>
      <c r="S13" s="958">
        <v>1</v>
      </c>
      <c r="T13" s="958">
        <v>1</v>
      </c>
      <c r="U13" s="958">
        <v>1</v>
      </c>
      <c r="V13" s="903"/>
      <c r="W13" s="222" t="s">
        <v>53</v>
      </c>
      <c r="X13" s="901"/>
      <c r="Y13" s="902"/>
      <c r="Z13" s="957">
        <v>1</v>
      </c>
      <c r="AA13" s="957">
        <v>0</v>
      </c>
      <c r="AB13" s="957">
        <v>0</v>
      </c>
      <c r="AC13" s="957">
        <v>0</v>
      </c>
      <c r="AD13" s="904"/>
      <c r="AE13" s="957">
        <v>0</v>
      </c>
      <c r="AF13" s="957">
        <v>1</v>
      </c>
      <c r="AG13" s="957">
        <v>0</v>
      </c>
      <c r="AH13" s="957">
        <v>0</v>
      </c>
      <c r="AI13" s="202"/>
      <c r="AJ13" s="202"/>
      <c r="AK13" s="202"/>
      <c r="AL13" s="202"/>
      <c r="AM13" s="202"/>
      <c r="AN13" s="202"/>
      <c r="AO13" s="203"/>
      <c r="AP13" s="203"/>
      <c r="AQ13" s="953" t="s">
        <v>853</v>
      </c>
      <c r="AR13" s="947" t="s">
        <v>273</v>
      </c>
      <c r="AS13" s="947" t="s">
        <v>273</v>
      </c>
      <c r="AT13" s="956">
        <v>0.1</v>
      </c>
      <c r="AX13" s="768"/>
    </row>
    <row r="14" spans="1:50">
      <c r="A14" s="164" t="s">
        <v>899</v>
      </c>
      <c r="B14" s="164" t="s">
        <v>902</v>
      </c>
      <c r="C14" s="164" t="s">
        <v>904</v>
      </c>
      <c r="D14" s="164" t="s">
        <v>787</v>
      </c>
      <c r="E14" s="164"/>
      <c r="F14" s="164" t="s">
        <v>227</v>
      </c>
      <c r="G14" s="223"/>
      <c r="H14" s="959"/>
      <c r="I14" s="224"/>
      <c r="J14" s="224"/>
      <c r="K14" s="224">
        <v>0</v>
      </c>
      <c r="L14" s="955">
        <v>0</v>
      </c>
      <c r="M14" s="958">
        <v>0</v>
      </c>
      <c r="N14" s="958">
        <v>0</v>
      </c>
      <c r="O14" s="958">
        <v>0</v>
      </c>
      <c r="P14" s="957">
        <v>1</v>
      </c>
      <c r="Q14" s="958">
        <v>1</v>
      </c>
      <c r="R14" s="958">
        <v>1</v>
      </c>
      <c r="S14" s="958">
        <v>1</v>
      </c>
      <c r="T14" s="958">
        <v>1</v>
      </c>
      <c r="U14" s="958">
        <v>1</v>
      </c>
      <c r="V14" s="903"/>
      <c r="W14" s="222" t="s">
        <v>795</v>
      </c>
      <c r="X14" s="901"/>
      <c r="Y14" s="902"/>
      <c r="Z14" s="957">
        <v>0</v>
      </c>
      <c r="AA14" s="957">
        <v>1</v>
      </c>
      <c r="AB14" s="957">
        <v>0</v>
      </c>
      <c r="AC14" s="957">
        <v>0</v>
      </c>
      <c r="AD14" s="904"/>
      <c r="AE14" s="957">
        <v>0</v>
      </c>
      <c r="AF14" s="957">
        <v>0</v>
      </c>
      <c r="AG14" s="957">
        <v>0</v>
      </c>
      <c r="AH14" s="957">
        <v>0</v>
      </c>
      <c r="AI14" s="202"/>
      <c r="AJ14" s="202"/>
      <c r="AK14" s="202" t="s">
        <v>29</v>
      </c>
      <c r="AL14" s="202" t="s">
        <v>29</v>
      </c>
      <c r="AM14" s="202" t="s">
        <v>29</v>
      </c>
      <c r="AN14" s="202" t="s">
        <v>29</v>
      </c>
      <c r="AO14" s="203">
        <v>0</v>
      </c>
      <c r="AP14" s="203">
        <v>0</v>
      </c>
      <c r="AQ14" s="953" t="s">
        <v>858</v>
      </c>
      <c r="AR14" s="947" t="s">
        <v>273</v>
      </c>
      <c r="AS14" s="947" t="s">
        <v>273</v>
      </c>
      <c r="AT14" s="956">
        <v>0.1</v>
      </c>
      <c r="AU14" s="306" t="s">
        <v>29</v>
      </c>
      <c r="AV14" s="306" t="s">
        <v>29</v>
      </c>
      <c r="AX14" s="768"/>
    </row>
    <row r="15" spans="1:50">
      <c r="A15" s="164" t="s">
        <v>899</v>
      </c>
      <c r="B15" s="164" t="s">
        <v>902</v>
      </c>
      <c r="C15" s="164" t="s">
        <v>904</v>
      </c>
      <c r="D15" s="164" t="s">
        <v>788</v>
      </c>
      <c r="E15" s="164"/>
      <c r="F15" s="164" t="s">
        <v>227</v>
      </c>
      <c r="G15" s="223"/>
      <c r="H15" s="959"/>
      <c r="I15" s="224"/>
      <c r="J15" s="224"/>
      <c r="K15" s="224">
        <v>0</v>
      </c>
      <c r="L15" s="955">
        <v>0</v>
      </c>
      <c r="M15" s="958">
        <v>0</v>
      </c>
      <c r="N15" s="958">
        <v>0</v>
      </c>
      <c r="O15" s="958">
        <v>0</v>
      </c>
      <c r="P15" s="957">
        <v>1</v>
      </c>
      <c r="Q15" s="958">
        <v>1</v>
      </c>
      <c r="R15" s="958">
        <v>1</v>
      </c>
      <c r="S15" s="958">
        <v>1</v>
      </c>
      <c r="T15" s="958">
        <v>1</v>
      </c>
      <c r="U15" s="958">
        <v>1</v>
      </c>
      <c r="V15" s="903"/>
      <c r="W15" s="222" t="s">
        <v>55</v>
      </c>
      <c r="X15" s="901"/>
      <c r="Y15" s="902"/>
      <c r="Z15" s="957">
        <v>0</v>
      </c>
      <c r="AA15" s="957">
        <v>0</v>
      </c>
      <c r="AB15" s="957">
        <v>1</v>
      </c>
      <c r="AC15" s="957">
        <v>0</v>
      </c>
      <c r="AD15" s="904"/>
      <c r="AE15" s="957">
        <v>1</v>
      </c>
      <c r="AF15" s="957">
        <v>0</v>
      </c>
      <c r="AG15" s="957">
        <v>1</v>
      </c>
      <c r="AH15" s="957">
        <v>1</v>
      </c>
      <c r="AI15" s="202"/>
      <c r="AJ15" s="202"/>
      <c r="AK15" s="202" t="s">
        <v>29</v>
      </c>
      <c r="AL15" s="202" t="s">
        <v>29</v>
      </c>
      <c r="AM15" s="202" t="s">
        <v>29</v>
      </c>
      <c r="AN15" s="202" t="s">
        <v>29</v>
      </c>
      <c r="AO15" s="203">
        <v>0</v>
      </c>
      <c r="AP15" s="203">
        <v>0</v>
      </c>
      <c r="AQ15" s="953" t="s">
        <v>839</v>
      </c>
      <c r="AR15" s="947" t="s">
        <v>273</v>
      </c>
      <c r="AS15" s="947" t="s">
        <v>273</v>
      </c>
      <c r="AT15" s="956">
        <v>0.1</v>
      </c>
      <c r="AU15" s="306" t="s">
        <v>29</v>
      </c>
      <c r="AV15" s="306" t="s">
        <v>29</v>
      </c>
      <c r="AX15" s="768"/>
    </row>
    <row r="16" spans="1:50">
      <c r="A16" s="164" t="s">
        <v>899</v>
      </c>
      <c r="B16" s="164" t="s">
        <v>902</v>
      </c>
      <c r="C16" s="164" t="s">
        <v>904</v>
      </c>
      <c r="D16" s="1063" t="s">
        <v>789</v>
      </c>
      <c r="E16" s="1063"/>
      <c r="F16" s="1063" t="s">
        <v>227</v>
      </c>
      <c r="G16" s="1064"/>
      <c r="H16" s="1065"/>
      <c r="I16" s="1066"/>
      <c r="J16" s="1066"/>
      <c r="K16" s="1066">
        <v>0</v>
      </c>
      <c r="L16" s="1067">
        <v>0</v>
      </c>
      <c r="M16" s="1068">
        <v>0</v>
      </c>
      <c r="N16" s="1068">
        <v>0</v>
      </c>
      <c r="O16" s="1068">
        <v>0</v>
      </c>
      <c r="P16" s="1069">
        <v>1</v>
      </c>
      <c r="Q16" s="1068">
        <v>1</v>
      </c>
      <c r="R16" s="1068">
        <v>1</v>
      </c>
      <c r="S16" s="1068">
        <v>1</v>
      </c>
      <c r="T16" s="1068">
        <v>1</v>
      </c>
      <c r="U16" s="1068">
        <v>1</v>
      </c>
      <c r="V16" s="1070"/>
      <c r="W16" s="1071" t="s">
        <v>53</v>
      </c>
      <c r="X16" s="1072"/>
      <c r="Y16" s="1073"/>
      <c r="Z16" s="1069">
        <v>1</v>
      </c>
      <c r="AA16" s="1069">
        <v>0</v>
      </c>
      <c r="AB16" s="1069">
        <v>0</v>
      </c>
      <c r="AC16" s="1069">
        <v>0</v>
      </c>
      <c r="AD16" s="1074"/>
      <c r="AE16" s="1069">
        <v>0</v>
      </c>
      <c r="AF16" s="1069">
        <v>1</v>
      </c>
      <c r="AG16" s="1069">
        <v>0</v>
      </c>
      <c r="AH16" s="1069">
        <v>0</v>
      </c>
      <c r="AI16" s="1075"/>
      <c r="AJ16" s="1075"/>
      <c r="AK16" s="1075" t="s">
        <v>29</v>
      </c>
      <c r="AL16" s="1075" t="s">
        <v>29</v>
      </c>
      <c r="AM16" s="1075" t="s">
        <v>29</v>
      </c>
      <c r="AN16" s="1075" t="s">
        <v>29</v>
      </c>
      <c r="AO16" s="1076">
        <v>0</v>
      </c>
      <c r="AP16" s="1076">
        <v>0</v>
      </c>
      <c r="AQ16" s="1077" t="s">
        <v>853</v>
      </c>
      <c r="AR16" s="1078" t="s">
        <v>273</v>
      </c>
      <c r="AS16" s="1078" t="s">
        <v>273</v>
      </c>
      <c r="AT16" s="1079">
        <v>0.1</v>
      </c>
      <c r="AU16" s="306" t="s">
        <v>29</v>
      </c>
      <c r="AV16" s="306" t="s">
        <v>29</v>
      </c>
      <c r="AX16" s="768"/>
    </row>
    <row r="17" spans="1:50" hidden="1">
      <c r="A17" s="164" t="s">
        <v>900</v>
      </c>
      <c r="B17" s="164" t="s">
        <v>268</v>
      </c>
      <c r="C17" s="164" t="s">
        <v>687</v>
      </c>
      <c r="D17" s="164" t="s">
        <v>778</v>
      </c>
      <c r="E17" s="164"/>
      <c r="F17" s="164" t="s">
        <v>227</v>
      </c>
      <c r="G17" s="223"/>
      <c r="H17" s="959"/>
      <c r="I17" s="224"/>
      <c r="J17" s="224"/>
      <c r="K17" s="224">
        <v>0</v>
      </c>
      <c r="L17" s="955">
        <v>0</v>
      </c>
      <c r="M17" s="958">
        <v>0</v>
      </c>
      <c r="N17" s="958">
        <v>0</v>
      </c>
      <c r="O17" s="958">
        <v>0</v>
      </c>
      <c r="P17" s="957">
        <v>1</v>
      </c>
      <c r="Q17" s="958">
        <v>1</v>
      </c>
      <c r="R17" s="958">
        <v>1</v>
      </c>
      <c r="S17" s="958">
        <v>1</v>
      </c>
      <c r="T17" s="958">
        <v>1</v>
      </c>
      <c r="U17" s="958">
        <v>1</v>
      </c>
      <c r="V17" s="903"/>
      <c r="W17" s="222" t="s">
        <v>55</v>
      </c>
      <c r="X17" s="901"/>
      <c r="Y17" s="902"/>
      <c r="Z17" s="957">
        <v>0</v>
      </c>
      <c r="AA17" s="957">
        <v>0</v>
      </c>
      <c r="AB17" s="957">
        <v>1</v>
      </c>
      <c r="AC17" s="957">
        <v>0</v>
      </c>
      <c r="AD17" s="904">
        <v>1</v>
      </c>
      <c r="AE17" s="957">
        <v>1</v>
      </c>
      <c r="AF17" s="957">
        <v>0</v>
      </c>
      <c r="AG17" s="957">
        <v>1</v>
      </c>
      <c r="AH17" s="957">
        <v>1</v>
      </c>
      <c r="AI17" s="202"/>
      <c r="AJ17" s="202"/>
      <c r="AK17" s="202" t="s">
        <v>29</v>
      </c>
      <c r="AL17" s="202" t="s">
        <v>29</v>
      </c>
      <c r="AM17" s="202" t="s">
        <v>29</v>
      </c>
      <c r="AN17" s="202" t="s">
        <v>29</v>
      </c>
      <c r="AO17" s="203">
        <v>0</v>
      </c>
      <c r="AP17" s="203">
        <v>0</v>
      </c>
      <c r="AQ17" s="953" t="s">
        <v>839</v>
      </c>
      <c r="AR17" s="947" t="s">
        <v>273</v>
      </c>
      <c r="AS17" s="947" t="s">
        <v>273</v>
      </c>
      <c r="AT17" s="956">
        <v>0.1</v>
      </c>
      <c r="AU17" s="306" t="s">
        <v>29</v>
      </c>
      <c r="AV17" s="306" t="s">
        <v>29</v>
      </c>
      <c r="AX17" s="768"/>
    </row>
    <row r="18" spans="1:50" hidden="1">
      <c r="A18" s="164" t="s">
        <v>900</v>
      </c>
      <c r="B18" s="164" t="s">
        <v>268</v>
      </c>
      <c r="C18" s="164" t="s">
        <v>687</v>
      </c>
      <c r="D18" s="164" t="s">
        <v>779</v>
      </c>
      <c r="E18" s="164"/>
      <c r="F18" s="164" t="s">
        <v>227</v>
      </c>
      <c r="G18" s="223"/>
      <c r="H18" s="959"/>
      <c r="I18" s="224"/>
      <c r="J18" s="224"/>
      <c r="K18" s="224">
        <v>0</v>
      </c>
      <c r="L18" s="955">
        <v>0</v>
      </c>
      <c r="M18" s="958">
        <v>0</v>
      </c>
      <c r="N18" s="958">
        <v>0</v>
      </c>
      <c r="O18" s="958">
        <v>0</v>
      </c>
      <c r="P18" s="957">
        <v>1</v>
      </c>
      <c r="Q18" s="958">
        <v>1</v>
      </c>
      <c r="R18" s="958">
        <v>1</v>
      </c>
      <c r="S18" s="958">
        <v>1</v>
      </c>
      <c r="T18" s="958">
        <v>1</v>
      </c>
      <c r="U18" s="958">
        <v>1</v>
      </c>
      <c r="V18" s="903"/>
      <c r="W18" s="222" t="s">
        <v>55</v>
      </c>
      <c r="X18" s="901"/>
      <c r="Y18" s="902"/>
      <c r="Z18" s="957">
        <v>0</v>
      </c>
      <c r="AA18" s="957">
        <v>0</v>
      </c>
      <c r="AB18" s="957">
        <v>1</v>
      </c>
      <c r="AC18" s="957">
        <v>0</v>
      </c>
      <c r="AD18" s="904">
        <v>1</v>
      </c>
      <c r="AE18" s="957">
        <v>1</v>
      </c>
      <c r="AF18" s="957">
        <v>0</v>
      </c>
      <c r="AG18" s="957">
        <v>1</v>
      </c>
      <c r="AH18" s="957">
        <v>1</v>
      </c>
      <c r="AI18" s="202"/>
      <c r="AJ18" s="202"/>
      <c r="AK18" s="202" t="s">
        <v>29</v>
      </c>
      <c r="AL18" s="202" t="s">
        <v>29</v>
      </c>
      <c r="AM18" s="202" t="s">
        <v>29</v>
      </c>
      <c r="AN18" s="202" t="s">
        <v>29</v>
      </c>
      <c r="AO18" s="203">
        <v>0</v>
      </c>
      <c r="AP18" s="203">
        <v>0</v>
      </c>
      <c r="AQ18" s="953" t="s">
        <v>839</v>
      </c>
      <c r="AR18" s="947" t="s">
        <v>273</v>
      </c>
      <c r="AS18" s="947" t="s">
        <v>273</v>
      </c>
      <c r="AT18" s="956">
        <v>0.1</v>
      </c>
      <c r="AU18" s="306" t="s">
        <v>29</v>
      </c>
      <c r="AV18" s="306" t="s">
        <v>29</v>
      </c>
      <c r="AX18" s="768"/>
    </row>
    <row r="19" spans="1:50" hidden="1">
      <c r="A19" s="164" t="s">
        <v>900</v>
      </c>
      <c r="B19" s="164" t="s">
        <v>268</v>
      </c>
      <c r="C19" s="164" t="s">
        <v>687</v>
      </c>
      <c r="D19" s="164" t="s">
        <v>780</v>
      </c>
      <c r="E19" s="164"/>
      <c r="F19" s="164" t="s">
        <v>227</v>
      </c>
      <c r="G19" s="223"/>
      <c r="H19" s="959"/>
      <c r="I19" s="224"/>
      <c r="J19" s="224"/>
      <c r="K19" s="224">
        <v>0</v>
      </c>
      <c r="L19" s="955">
        <v>0</v>
      </c>
      <c r="M19" s="958">
        <v>0</v>
      </c>
      <c r="N19" s="958">
        <v>0</v>
      </c>
      <c r="O19" s="958">
        <v>0</v>
      </c>
      <c r="P19" s="957">
        <v>1</v>
      </c>
      <c r="Q19" s="958">
        <v>1</v>
      </c>
      <c r="R19" s="958">
        <v>1</v>
      </c>
      <c r="S19" s="958">
        <v>1</v>
      </c>
      <c r="T19" s="958">
        <v>1</v>
      </c>
      <c r="U19" s="958">
        <v>1</v>
      </c>
      <c r="V19" s="903"/>
      <c r="W19" s="222" t="s">
        <v>55</v>
      </c>
      <c r="X19" s="901"/>
      <c r="Y19" s="902"/>
      <c r="Z19" s="957">
        <v>0</v>
      </c>
      <c r="AA19" s="957">
        <v>0</v>
      </c>
      <c r="AB19" s="957">
        <v>1</v>
      </c>
      <c r="AC19" s="957">
        <v>0</v>
      </c>
      <c r="AD19" s="904">
        <v>1</v>
      </c>
      <c r="AE19" s="957">
        <v>1</v>
      </c>
      <c r="AF19" s="957">
        <v>0</v>
      </c>
      <c r="AG19" s="957">
        <v>1</v>
      </c>
      <c r="AH19" s="957">
        <v>1</v>
      </c>
      <c r="AI19" s="202"/>
      <c r="AJ19" s="202"/>
      <c r="AK19" s="202" t="s">
        <v>29</v>
      </c>
      <c r="AL19" s="202" t="s">
        <v>29</v>
      </c>
      <c r="AM19" s="202" t="s">
        <v>29</v>
      </c>
      <c r="AN19" s="202" t="s">
        <v>29</v>
      </c>
      <c r="AO19" s="203">
        <v>0</v>
      </c>
      <c r="AP19" s="203">
        <v>0</v>
      </c>
      <c r="AQ19" s="953" t="s">
        <v>843</v>
      </c>
      <c r="AR19" s="947" t="s">
        <v>273</v>
      </c>
      <c r="AS19" s="947" t="s">
        <v>388</v>
      </c>
      <c r="AT19" s="956">
        <v>1</v>
      </c>
      <c r="AU19" s="306" t="s">
        <v>29</v>
      </c>
      <c r="AV19" s="306" t="s">
        <v>29</v>
      </c>
      <c r="AX19" s="768"/>
    </row>
    <row r="20" spans="1:50" hidden="1">
      <c r="A20" s="164" t="s">
        <v>900</v>
      </c>
      <c r="B20" s="164" t="s">
        <v>268</v>
      </c>
      <c r="C20" s="164" t="s">
        <v>687</v>
      </c>
      <c r="D20" s="164" t="s">
        <v>781</v>
      </c>
      <c r="E20" s="164"/>
      <c r="F20" s="164" t="s">
        <v>227</v>
      </c>
      <c r="G20" s="223"/>
      <c r="H20" s="959"/>
      <c r="I20" s="224"/>
      <c r="J20" s="224"/>
      <c r="K20" s="224">
        <v>0</v>
      </c>
      <c r="L20" s="955">
        <v>0</v>
      </c>
      <c r="M20" s="958">
        <v>0</v>
      </c>
      <c r="N20" s="958">
        <v>0</v>
      </c>
      <c r="O20" s="958">
        <v>0</v>
      </c>
      <c r="P20" s="957">
        <v>1</v>
      </c>
      <c r="Q20" s="958">
        <v>1</v>
      </c>
      <c r="R20" s="958">
        <v>1</v>
      </c>
      <c r="S20" s="958">
        <v>1</v>
      </c>
      <c r="T20" s="958">
        <v>1</v>
      </c>
      <c r="U20" s="958">
        <v>1</v>
      </c>
      <c r="V20" s="903"/>
      <c r="W20" s="222" t="s">
        <v>794</v>
      </c>
      <c r="X20" s="901"/>
      <c r="Y20" s="902"/>
      <c r="Z20" s="957">
        <v>0</v>
      </c>
      <c r="AA20" s="957">
        <v>0</v>
      </c>
      <c r="AB20" s="957">
        <v>0</v>
      </c>
      <c r="AC20" s="957">
        <v>1</v>
      </c>
      <c r="AD20" s="904">
        <v>1</v>
      </c>
      <c r="AE20" s="957">
        <v>0</v>
      </c>
      <c r="AF20" s="957">
        <v>0</v>
      </c>
      <c r="AG20" s="957">
        <v>0</v>
      </c>
      <c r="AH20" s="957">
        <v>0</v>
      </c>
      <c r="AI20" s="202"/>
      <c r="AJ20" s="202"/>
      <c r="AK20" s="202" t="s">
        <v>29</v>
      </c>
      <c r="AL20" s="202" t="s">
        <v>29</v>
      </c>
      <c r="AM20" s="202" t="s">
        <v>29</v>
      </c>
      <c r="AN20" s="202" t="s">
        <v>29</v>
      </c>
      <c r="AO20" s="203">
        <v>0</v>
      </c>
      <c r="AP20" s="203">
        <v>0</v>
      </c>
      <c r="AQ20" s="953" t="s">
        <v>847</v>
      </c>
      <c r="AR20" s="947" t="s">
        <v>273</v>
      </c>
      <c r="AS20" s="947" t="s">
        <v>388</v>
      </c>
      <c r="AT20" s="956">
        <v>1</v>
      </c>
      <c r="AU20" s="306" t="s">
        <v>29</v>
      </c>
      <c r="AV20" s="306" t="s">
        <v>29</v>
      </c>
      <c r="AX20" s="768"/>
    </row>
    <row r="21" spans="1:50" hidden="1">
      <c r="A21" s="164" t="s">
        <v>900</v>
      </c>
      <c r="B21" s="164" t="s">
        <v>268</v>
      </c>
      <c r="C21" s="164" t="s">
        <v>687</v>
      </c>
      <c r="D21" s="164" t="s">
        <v>782</v>
      </c>
      <c r="E21" s="164"/>
      <c r="F21" s="164" t="s">
        <v>227</v>
      </c>
      <c r="G21" s="223"/>
      <c r="H21" s="959"/>
      <c r="I21" s="224"/>
      <c r="J21" s="224"/>
      <c r="K21" s="224">
        <v>0</v>
      </c>
      <c r="L21" s="955">
        <v>0</v>
      </c>
      <c r="M21" s="958">
        <v>0</v>
      </c>
      <c r="N21" s="958">
        <v>0</v>
      </c>
      <c r="O21" s="958">
        <v>0</v>
      </c>
      <c r="P21" s="957">
        <v>1</v>
      </c>
      <c r="Q21" s="958">
        <v>1</v>
      </c>
      <c r="R21" s="958">
        <v>1</v>
      </c>
      <c r="S21" s="958">
        <v>1</v>
      </c>
      <c r="T21" s="958">
        <v>1</v>
      </c>
      <c r="U21" s="958">
        <v>1</v>
      </c>
      <c r="V21" s="903"/>
      <c r="W21" s="222" t="s">
        <v>53</v>
      </c>
      <c r="X21" s="901"/>
      <c r="Y21" s="902"/>
      <c r="Z21" s="957">
        <v>1</v>
      </c>
      <c r="AA21" s="957">
        <v>0</v>
      </c>
      <c r="AB21" s="957">
        <v>0</v>
      </c>
      <c r="AC21" s="957">
        <v>0</v>
      </c>
      <c r="AD21" s="904">
        <v>1</v>
      </c>
      <c r="AE21" s="957">
        <v>0</v>
      </c>
      <c r="AF21" s="957">
        <v>1</v>
      </c>
      <c r="AG21" s="957">
        <v>0</v>
      </c>
      <c r="AH21" s="957">
        <v>0</v>
      </c>
      <c r="AI21" s="202"/>
      <c r="AJ21" s="202"/>
      <c r="AK21" s="202"/>
      <c r="AL21" s="202"/>
      <c r="AM21" s="202"/>
      <c r="AN21" s="202"/>
      <c r="AO21" s="203"/>
      <c r="AP21" s="203"/>
      <c r="AQ21" s="953" t="s">
        <v>853</v>
      </c>
      <c r="AR21" s="947" t="s">
        <v>273</v>
      </c>
      <c r="AS21" s="947" t="s">
        <v>388</v>
      </c>
      <c r="AT21" s="956">
        <v>1</v>
      </c>
      <c r="AX21" s="768"/>
    </row>
    <row r="22" spans="1:50" hidden="1">
      <c r="A22" s="164" t="s">
        <v>900</v>
      </c>
      <c r="B22" s="164" t="s">
        <v>268</v>
      </c>
      <c r="C22" s="164" t="s">
        <v>687</v>
      </c>
      <c r="D22" s="164" t="s">
        <v>783</v>
      </c>
      <c r="E22" s="164"/>
      <c r="F22" s="164" t="s">
        <v>227</v>
      </c>
      <c r="G22" s="223"/>
      <c r="H22" s="959"/>
      <c r="I22" s="224"/>
      <c r="J22" s="224"/>
      <c r="K22" s="224">
        <v>0</v>
      </c>
      <c r="L22" s="955">
        <v>0</v>
      </c>
      <c r="M22" s="958">
        <v>0</v>
      </c>
      <c r="N22" s="958">
        <v>0</v>
      </c>
      <c r="O22" s="958">
        <v>0</v>
      </c>
      <c r="P22" s="957">
        <v>1</v>
      </c>
      <c r="Q22" s="958">
        <v>1</v>
      </c>
      <c r="R22" s="958">
        <v>1</v>
      </c>
      <c r="S22" s="958">
        <v>1</v>
      </c>
      <c r="T22" s="958">
        <v>1</v>
      </c>
      <c r="U22" s="958">
        <v>1</v>
      </c>
      <c r="V22" s="903"/>
      <c r="W22" s="222" t="s">
        <v>795</v>
      </c>
      <c r="X22" s="901"/>
      <c r="Y22" s="902"/>
      <c r="Z22" s="957">
        <v>0</v>
      </c>
      <c r="AA22" s="957">
        <v>1</v>
      </c>
      <c r="AB22" s="957">
        <v>0</v>
      </c>
      <c r="AC22" s="957">
        <v>0</v>
      </c>
      <c r="AD22" s="904">
        <v>1</v>
      </c>
      <c r="AE22" s="957">
        <v>0</v>
      </c>
      <c r="AF22" s="957">
        <v>0</v>
      </c>
      <c r="AG22" s="957">
        <v>0</v>
      </c>
      <c r="AH22" s="957">
        <v>0</v>
      </c>
      <c r="AI22" s="202"/>
      <c r="AJ22" s="202"/>
      <c r="AK22" s="202" t="s">
        <v>29</v>
      </c>
      <c r="AL22" s="202" t="s">
        <v>29</v>
      </c>
      <c r="AM22" s="202" t="s">
        <v>29</v>
      </c>
      <c r="AN22" s="202" t="s">
        <v>29</v>
      </c>
      <c r="AO22" s="203">
        <v>0</v>
      </c>
      <c r="AP22" s="203">
        <v>0</v>
      </c>
      <c r="AQ22" s="953" t="s">
        <v>858</v>
      </c>
      <c r="AR22" s="947" t="s">
        <v>273</v>
      </c>
      <c r="AS22" s="947" t="s">
        <v>388</v>
      </c>
      <c r="AT22" s="956">
        <v>1</v>
      </c>
      <c r="AU22" s="306" t="s">
        <v>29</v>
      </c>
      <c r="AV22" s="306" t="s">
        <v>29</v>
      </c>
      <c r="AX22" s="768"/>
    </row>
    <row r="23" spans="1:50" hidden="1">
      <c r="A23" s="164" t="s">
        <v>900</v>
      </c>
      <c r="B23" s="164" t="s">
        <v>268</v>
      </c>
      <c r="C23" s="164" t="s">
        <v>687</v>
      </c>
      <c r="D23" s="164" t="s">
        <v>784</v>
      </c>
      <c r="E23" s="164"/>
      <c r="F23" s="164" t="s">
        <v>227</v>
      </c>
      <c r="G23" s="223"/>
      <c r="H23" s="959"/>
      <c r="I23" s="224"/>
      <c r="J23" s="224"/>
      <c r="K23" s="224">
        <v>0</v>
      </c>
      <c r="L23" s="955">
        <v>0</v>
      </c>
      <c r="M23" s="958">
        <v>0</v>
      </c>
      <c r="N23" s="958">
        <v>0</v>
      </c>
      <c r="O23" s="958">
        <v>0</v>
      </c>
      <c r="P23" s="957">
        <v>1</v>
      </c>
      <c r="Q23" s="958">
        <v>1</v>
      </c>
      <c r="R23" s="958">
        <v>1</v>
      </c>
      <c r="S23" s="958">
        <v>1</v>
      </c>
      <c r="T23" s="958">
        <v>1</v>
      </c>
      <c r="U23" s="958">
        <v>1</v>
      </c>
      <c r="V23" s="903"/>
      <c r="W23" s="222" t="s">
        <v>55</v>
      </c>
      <c r="X23" s="901"/>
      <c r="Y23" s="902"/>
      <c r="Z23" s="957">
        <v>0</v>
      </c>
      <c r="AA23" s="957">
        <v>0</v>
      </c>
      <c r="AB23" s="957">
        <v>1</v>
      </c>
      <c r="AC23" s="957">
        <v>0</v>
      </c>
      <c r="AD23" s="904">
        <v>1</v>
      </c>
      <c r="AE23" s="957">
        <v>1</v>
      </c>
      <c r="AF23" s="957">
        <v>0</v>
      </c>
      <c r="AG23" s="957">
        <v>1</v>
      </c>
      <c r="AH23" s="957">
        <v>1</v>
      </c>
      <c r="AI23" s="202"/>
      <c r="AJ23" s="202"/>
      <c r="AK23" s="202" t="s">
        <v>29</v>
      </c>
      <c r="AL23" s="202" t="s">
        <v>29</v>
      </c>
      <c r="AM23" s="202" t="s">
        <v>29</v>
      </c>
      <c r="AN23" s="202" t="s">
        <v>29</v>
      </c>
      <c r="AO23" s="203">
        <v>0</v>
      </c>
      <c r="AP23" s="203">
        <v>0</v>
      </c>
      <c r="AQ23" s="953" t="s">
        <v>843</v>
      </c>
      <c r="AR23" s="947" t="s">
        <v>273</v>
      </c>
      <c r="AS23" s="947" t="s">
        <v>273</v>
      </c>
      <c r="AT23" s="956">
        <v>1</v>
      </c>
      <c r="AU23" s="306" t="s">
        <v>29</v>
      </c>
      <c r="AV23" s="306" t="s">
        <v>29</v>
      </c>
      <c r="AX23" s="768"/>
    </row>
    <row r="24" spans="1:50" hidden="1">
      <c r="A24" s="164" t="s">
        <v>900</v>
      </c>
      <c r="B24" s="164" t="s">
        <v>268</v>
      </c>
      <c r="C24" s="164" t="s">
        <v>687</v>
      </c>
      <c r="D24" s="164" t="s">
        <v>785</v>
      </c>
      <c r="E24" s="164"/>
      <c r="F24" s="164" t="s">
        <v>227</v>
      </c>
      <c r="G24" s="223"/>
      <c r="H24" s="959"/>
      <c r="I24" s="224"/>
      <c r="J24" s="224"/>
      <c r="K24" s="224">
        <v>0</v>
      </c>
      <c r="L24" s="955">
        <v>0</v>
      </c>
      <c r="M24" s="958">
        <v>0</v>
      </c>
      <c r="N24" s="958">
        <v>0</v>
      </c>
      <c r="O24" s="958">
        <v>0</v>
      </c>
      <c r="P24" s="957">
        <v>1</v>
      </c>
      <c r="Q24" s="958">
        <v>1</v>
      </c>
      <c r="R24" s="958">
        <v>1</v>
      </c>
      <c r="S24" s="958">
        <v>1</v>
      </c>
      <c r="T24" s="958">
        <v>1</v>
      </c>
      <c r="U24" s="958">
        <v>1</v>
      </c>
      <c r="V24" s="903"/>
      <c r="W24" s="222" t="s">
        <v>794</v>
      </c>
      <c r="X24" s="901"/>
      <c r="Y24" s="902"/>
      <c r="Z24" s="957">
        <v>0</v>
      </c>
      <c r="AA24" s="957">
        <v>0</v>
      </c>
      <c r="AB24" s="957">
        <v>0</v>
      </c>
      <c r="AC24" s="957">
        <v>1</v>
      </c>
      <c r="AD24" s="904">
        <v>1</v>
      </c>
      <c r="AE24" s="957">
        <v>0</v>
      </c>
      <c r="AF24" s="957">
        <v>0</v>
      </c>
      <c r="AG24" s="957">
        <v>0</v>
      </c>
      <c r="AH24" s="957">
        <v>0</v>
      </c>
      <c r="AI24" s="202"/>
      <c r="AJ24" s="202"/>
      <c r="AK24" s="202" t="s">
        <v>29</v>
      </c>
      <c r="AL24" s="202" t="s">
        <v>29</v>
      </c>
      <c r="AM24" s="202" t="s">
        <v>29</v>
      </c>
      <c r="AN24" s="202" t="s">
        <v>29</v>
      </c>
      <c r="AO24" s="203">
        <v>0</v>
      </c>
      <c r="AP24" s="203">
        <v>0</v>
      </c>
      <c r="AQ24" s="953" t="s">
        <v>847</v>
      </c>
      <c r="AR24" s="947" t="s">
        <v>273</v>
      </c>
      <c r="AS24" s="947" t="s">
        <v>273</v>
      </c>
      <c r="AT24" s="956">
        <v>1</v>
      </c>
      <c r="AU24" s="306" t="s">
        <v>29</v>
      </c>
      <c r="AV24" s="306" t="s">
        <v>29</v>
      </c>
      <c r="AX24" s="768"/>
    </row>
    <row r="25" spans="1:50" hidden="1">
      <c r="A25" s="164" t="s">
        <v>900</v>
      </c>
      <c r="B25" s="164" t="s">
        <v>268</v>
      </c>
      <c r="C25" s="164" t="s">
        <v>687</v>
      </c>
      <c r="D25" s="164" t="s">
        <v>786</v>
      </c>
      <c r="E25" s="164"/>
      <c r="F25" s="164" t="s">
        <v>227</v>
      </c>
      <c r="G25" s="223"/>
      <c r="H25" s="959"/>
      <c r="I25" s="224"/>
      <c r="J25" s="224"/>
      <c r="K25" s="224">
        <v>0</v>
      </c>
      <c r="L25" s="955">
        <v>0</v>
      </c>
      <c r="M25" s="958">
        <v>0</v>
      </c>
      <c r="N25" s="958">
        <v>0</v>
      </c>
      <c r="O25" s="958">
        <v>0</v>
      </c>
      <c r="P25" s="957">
        <v>1</v>
      </c>
      <c r="Q25" s="958">
        <v>1</v>
      </c>
      <c r="R25" s="958">
        <v>1</v>
      </c>
      <c r="S25" s="958">
        <v>1</v>
      </c>
      <c r="T25" s="958">
        <v>1</v>
      </c>
      <c r="U25" s="958">
        <v>1</v>
      </c>
      <c r="V25" s="903"/>
      <c r="W25" s="222" t="s">
        <v>53</v>
      </c>
      <c r="X25" s="901"/>
      <c r="Y25" s="902"/>
      <c r="Z25" s="957">
        <v>1</v>
      </c>
      <c r="AA25" s="957">
        <v>0</v>
      </c>
      <c r="AB25" s="957">
        <v>0</v>
      </c>
      <c r="AC25" s="957">
        <v>0</v>
      </c>
      <c r="AD25" s="904">
        <v>1</v>
      </c>
      <c r="AE25" s="957">
        <v>0</v>
      </c>
      <c r="AF25" s="957">
        <v>1</v>
      </c>
      <c r="AG25" s="957">
        <v>0</v>
      </c>
      <c r="AH25" s="957">
        <v>0</v>
      </c>
      <c r="AI25" s="202"/>
      <c r="AJ25" s="202"/>
      <c r="AK25" s="202" t="s">
        <v>29</v>
      </c>
      <c r="AL25" s="202" t="s">
        <v>29</v>
      </c>
      <c r="AM25" s="202" t="s">
        <v>29</v>
      </c>
      <c r="AN25" s="202" t="s">
        <v>29</v>
      </c>
      <c r="AO25" s="203">
        <v>0</v>
      </c>
      <c r="AP25" s="203">
        <v>0</v>
      </c>
      <c r="AQ25" s="953" t="s">
        <v>853</v>
      </c>
      <c r="AR25" s="947" t="s">
        <v>273</v>
      </c>
      <c r="AS25" s="947" t="s">
        <v>273</v>
      </c>
      <c r="AT25" s="956">
        <v>0.1</v>
      </c>
      <c r="AU25" s="306" t="s">
        <v>29</v>
      </c>
      <c r="AV25" s="306" t="s">
        <v>29</v>
      </c>
      <c r="AX25" s="768"/>
    </row>
    <row r="26" spans="1:50" hidden="1">
      <c r="A26" s="164" t="s">
        <v>900</v>
      </c>
      <c r="B26" s="164" t="s">
        <v>268</v>
      </c>
      <c r="C26" s="164" t="s">
        <v>687</v>
      </c>
      <c r="D26" s="164" t="s">
        <v>787</v>
      </c>
      <c r="E26" s="164"/>
      <c r="F26" s="164" t="s">
        <v>227</v>
      </c>
      <c r="G26" s="223"/>
      <c r="H26" s="959"/>
      <c r="I26" s="224"/>
      <c r="J26" s="224"/>
      <c r="K26" s="224">
        <v>0</v>
      </c>
      <c r="L26" s="955">
        <v>0</v>
      </c>
      <c r="M26" s="958">
        <v>0</v>
      </c>
      <c r="N26" s="958">
        <v>0</v>
      </c>
      <c r="O26" s="958">
        <v>0</v>
      </c>
      <c r="P26" s="957">
        <v>1</v>
      </c>
      <c r="Q26" s="958">
        <v>1</v>
      </c>
      <c r="R26" s="958">
        <v>1</v>
      </c>
      <c r="S26" s="958">
        <v>1</v>
      </c>
      <c r="T26" s="958">
        <v>1</v>
      </c>
      <c r="U26" s="958">
        <v>1</v>
      </c>
      <c r="V26" s="903"/>
      <c r="W26" s="222" t="s">
        <v>795</v>
      </c>
      <c r="X26" s="901"/>
      <c r="Y26" s="902"/>
      <c r="Z26" s="957">
        <v>0</v>
      </c>
      <c r="AA26" s="957">
        <v>1</v>
      </c>
      <c r="AB26" s="957">
        <v>0</v>
      </c>
      <c r="AC26" s="957">
        <v>0</v>
      </c>
      <c r="AD26" s="904">
        <v>1</v>
      </c>
      <c r="AE26" s="957">
        <v>0</v>
      </c>
      <c r="AF26" s="957">
        <v>0</v>
      </c>
      <c r="AG26" s="957">
        <v>0</v>
      </c>
      <c r="AH26" s="957">
        <v>0</v>
      </c>
      <c r="AI26" s="202"/>
      <c r="AJ26" s="202"/>
      <c r="AK26" s="202" t="s">
        <v>29</v>
      </c>
      <c r="AL26" s="202" t="s">
        <v>29</v>
      </c>
      <c r="AM26" s="202" t="s">
        <v>29</v>
      </c>
      <c r="AN26" s="202" t="s">
        <v>29</v>
      </c>
      <c r="AO26" s="203">
        <v>0</v>
      </c>
      <c r="AP26" s="203">
        <v>0</v>
      </c>
      <c r="AQ26" s="953" t="s">
        <v>858</v>
      </c>
      <c r="AR26" s="947" t="s">
        <v>273</v>
      </c>
      <c r="AS26" s="947" t="s">
        <v>273</v>
      </c>
      <c r="AT26" s="956">
        <v>0.1</v>
      </c>
      <c r="AU26" s="306" t="s">
        <v>29</v>
      </c>
      <c r="AV26" s="306" t="s">
        <v>29</v>
      </c>
      <c r="AX26" s="768"/>
    </row>
    <row r="27" spans="1:50" hidden="1">
      <c r="A27" s="164" t="s">
        <v>900</v>
      </c>
      <c r="B27" s="164" t="s">
        <v>268</v>
      </c>
      <c r="C27" s="164" t="s">
        <v>687</v>
      </c>
      <c r="D27" s="164" t="s">
        <v>788</v>
      </c>
      <c r="E27" s="164"/>
      <c r="F27" s="164" t="s">
        <v>227</v>
      </c>
      <c r="G27" s="223"/>
      <c r="H27" s="959"/>
      <c r="I27" s="224"/>
      <c r="J27" s="224"/>
      <c r="K27" s="224">
        <v>0</v>
      </c>
      <c r="L27" s="955">
        <v>0</v>
      </c>
      <c r="M27" s="958">
        <v>0</v>
      </c>
      <c r="N27" s="958">
        <v>0</v>
      </c>
      <c r="O27" s="958">
        <v>0</v>
      </c>
      <c r="P27" s="957">
        <v>1</v>
      </c>
      <c r="Q27" s="958">
        <v>1</v>
      </c>
      <c r="R27" s="958">
        <v>1</v>
      </c>
      <c r="S27" s="958">
        <v>1</v>
      </c>
      <c r="T27" s="958">
        <v>1</v>
      </c>
      <c r="U27" s="958">
        <v>1</v>
      </c>
      <c r="V27" s="903"/>
      <c r="W27" s="222" t="s">
        <v>55</v>
      </c>
      <c r="X27" s="901"/>
      <c r="Y27" s="902"/>
      <c r="Z27" s="957">
        <v>0</v>
      </c>
      <c r="AA27" s="957">
        <v>0</v>
      </c>
      <c r="AB27" s="957">
        <v>1</v>
      </c>
      <c r="AC27" s="957">
        <v>0</v>
      </c>
      <c r="AD27" s="904">
        <v>1</v>
      </c>
      <c r="AE27" s="957">
        <v>1</v>
      </c>
      <c r="AF27" s="957">
        <v>0</v>
      </c>
      <c r="AG27" s="957">
        <v>1</v>
      </c>
      <c r="AH27" s="957">
        <v>1</v>
      </c>
      <c r="AI27" s="202"/>
      <c r="AJ27" s="202"/>
      <c r="AK27" s="202" t="s">
        <v>29</v>
      </c>
      <c r="AL27" s="202" t="s">
        <v>29</v>
      </c>
      <c r="AM27" s="202" t="s">
        <v>29</v>
      </c>
      <c r="AN27" s="202" t="s">
        <v>29</v>
      </c>
      <c r="AO27" s="203">
        <v>0</v>
      </c>
      <c r="AP27" s="203">
        <v>0</v>
      </c>
      <c r="AQ27" s="953" t="s">
        <v>839</v>
      </c>
      <c r="AR27" s="947" t="s">
        <v>273</v>
      </c>
      <c r="AS27" s="947" t="s">
        <v>273</v>
      </c>
      <c r="AT27" s="956">
        <v>0.1</v>
      </c>
      <c r="AU27" s="306" t="s">
        <v>29</v>
      </c>
      <c r="AV27" s="306" t="s">
        <v>29</v>
      </c>
      <c r="AX27" s="768"/>
    </row>
    <row r="28" spans="1:50" hidden="1">
      <c r="A28" s="164" t="s">
        <v>900</v>
      </c>
      <c r="B28" s="164" t="s">
        <v>268</v>
      </c>
      <c r="C28" s="164" t="s">
        <v>687</v>
      </c>
      <c r="D28" s="164" t="s">
        <v>789</v>
      </c>
      <c r="E28" s="164"/>
      <c r="F28" s="164" t="s">
        <v>227</v>
      </c>
      <c r="G28" s="223"/>
      <c r="H28" s="959"/>
      <c r="I28" s="224"/>
      <c r="J28" s="224"/>
      <c r="K28" s="224">
        <v>0</v>
      </c>
      <c r="L28" s="955">
        <v>0</v>
      </c>
      <c r="M28" s="958">
        <v>0</v>
      </c>
      <c r="N28" s="958">
        <v>0</v>
      </c>
      <c r="O28" s="958">
        <v>0</v>
      </c>
      <c r="P28" s="957">
        <v>1</v>
      </c>
      <c r="Q28" s="958">
        <v>1</v>
      </c>
      <c r="R28" s="958">
        <v>1</v>
      </c>
      <c r="S28" s="958">
        <v>1</v>
      </c>
      <c r="T28" s="958">
        <v>1</v>
      </c>
      <c r="U28" s="958">
        <v>1</v>
      </c>
      <c r="V28" s="903"/>
      <c r="W28" s="222" t="s">
        <v>53</v>
      </c>
      <c r="X28" s="901"/>
      <c r="Y28" s="902"/>
      <c r="Z28" s="957">
        <v>1</v>
      </c>
      <c r="AA28" s="957">
        <v>0</v>
      </c>
      <c r="AB28" s="957">
        <v>0</v>
      </c>
      <c r="AC28" s="957">
        <v>0</v>
      </c>
      <c r="AD28" s="904">
        <v>1</v>
      </c>
      <c r="AE28" s="957">
        <v>0</v>
      </c>
      <c r="AF28" s="957">
        <v>1</v>
      </c>
      <c r="AG28" s="957">
        <v>0</v>
      </c>
      <c r="AH28" s="957">
        <v>0</v>
      </c>
      <c r="AI28" s="202"/>
      <c r="AJ28" s="202"/>
      <c r="AK28" s="202"/>
      <c r="AL28" s="202"/>
      <c r="AM28" s="202"/>
      <c r="AN28" s="202"/>
      <c r="AO28" s="203"/>
      <c r="AP28" s="203"/>
      <c r="AQ28" s="953" t="s">
        <v>853</v>
      </c>
      <c r="AR28" s="947" t="s">
        <v>273</v>
      </c>
      <c r="AS28" s="947" t="s">
        <v>273</v>
      </c>
      <c r="AT28" s="956">
        <v>0.1</v>
      </c>
      <c r="AX28" s="768"/>
    </row>
    <row r="29" spans="1:50" s="1207" customFormat="1">
      <c r="A29" s="1192" t="s">
        <v>901</v>
      </c>
      <c r="B29" s="1192" t="s">
        <v>903</v>
      </c>
      <c r="C29" s="1192" t="s">
        <v>905</v>
      </c>
      <c r="D29" s="1192" t="s">
        <v>790</v>
      </c>
      <c r="E29" s="1192" t="s">
        <v>890</v>
      </c>
      <c r="F29" s="1192" t="s">
        <v>227</v>
      </c>
      <c r="G29" s="223">
        <v>22.05</v>
      </c>
      <c r="H29" s="959">
        <v>1</v>
      </c>
      <c r="I29" s="224">
        <v>2756.25</v>
      </c>
      <c r="J29" s="224">
        <v>2756.25</v>
      </c>
      <c r="K29" s="1193">
        <v>0</v>
      </c>
      <c r="L29" s="1194">
        <v>0</v>
      </c>
      <c r="M29" s="1195">
        <v>0</v>
      </c>
      <c r="N29" s="1195">
        <v>0</v>
      </c>
      <c r="O29" s="1195">
        <v>0</v>
      </c>
      <c r="P29" s="1196">
        <v>1</v>
      </c>
      <c r="Q29" s="1195">
        <v>1</v>
      </c>
      <c r="R29" s="1195">
        <v>1</v>
      </c>
      <c r="S29" s="1195">
        <v>1</v>
      </c>
      <c r="T29" s="1195">
        <v>1</v>
      </c>
      <c r="U29" s="1195">
        <v>1</v>
      </c>
      <c r="V29" s="1197"/>
      <c r="W29" s="1198" t="s">
        <v>55</v>
      </c>
      <c r="X29" s="1199"/>
      <c r="Y29" s="1200"/>
      <c r="Z29" s="1196">
        <v>0</v>
      </c>
      <c r="AA29" s="1196">
        <v>0</v>
      </c>
      <c r="AB29" s="1196">
        <v>1</v>
      </c>
      <c r="AC29" s="1196">
        <v>0</v>
      </c>
      <c r="AD29" s="1201">
        <v>159.5</v>
      </c>
      <c r="AE29" s="1196">
        <v>1</v>
      </c>
      <c r="AF29" s="1196">
        <v>0</v>
      </c>
      <c r="AG29" s="1196">
        <v>1</v>
      </c>
      <c r="AH29" s="1196">
        <v>1</v>
      </c>
      <c r="AI29" s="1202"/>
      <c r="AJ29" s="1202"/>
      <c r="AK29" s="1202" t="s">
        <v>29</v>
      </c>
      <c r="AL29" s="1202" t="s">
        <v>29</v>
      </c>
      <c r="AM29" s="1202" t="s">
        <v>29</v>
      </c>
      <c r="AN29" s="1202" t="s">
        <v>29</v>
      </c>
      <c r="AO29" s="1203">
        <v>0</v>
      </c>
      <c r="AP29" s="1203">
        <v>0</v>
      </c>
      <c r="AQ29" s="1204" t="s">
        <v>839</v>
      </c>
      <c r="AR29" s="946" t="s">
        <v>273</v>
      </c>
      <c r="AS29" s="946" t="s">
        <v>273</v>
      </c>
      <c r="AT29" s="1205">
        <v>0.1</v>
      </c>
      <c r="AU29" s="1206" t="s">
        <v>29</v>
      </c>
      <c r="AV29" s="1206" t="s">
        <v>29</v>
      </c>
      <c r="AX29" s="1208"/>
    </row>
    <row r="30" spans="1:50">
      <c r="A30" s="164" t="s">
        <v>901</v>
      </c>
      <c r="B30" s="164" t="s">
        <v>903</v>
      </c>
      <c r="C30" s="164" t="s">
        <v>905</v>
      </c>
      <c r="D30" s="164" t="s">
        <v>791</v>
      </c>
      <c r="E30" s="164"/>
      <c r="F30" s="164" t="s">
        <v>227</v>
      </c>
      <c r="G30" s="223"/>
      <c r="H30" s="959"/>
      <c r="I30" s="224"/>
      <c r="J30" s="224"/>
      <c r="K30" s="224">
        <v>0</v>
      </c>
      <c r="L30" s="955">
        <v>0</v>
      </c>
      <c r="M30" s="958">
        <v>0</v>
      </c>
      <c r="N30" s="958">
        <v>0</v>
      </c>
      <c r="O30" s="958">
        <v>0</v>
      </c>
      <c r="P30" s="957">
        <v>1</v>
      </c>
      <c r="Q30" s="958">
        <v>1</v>
      </c>
      <c r="R30" s="958">
        <v>1</v>
      </c>
      <c r="S30" s="958">
        <v>1</v>
      </c>
      <c r="T30" s="958">
        <v>1</v>
      </c>
      <c r="U30" s="958">
        <v>1</v>
      </c>
      <c r="V30" s="903"/>
      <c r="W30" s="222" t="s">
        <v>53</v>
      </c>
      <c r="X30" s="901"/>
      <c r="Y30" s="902"/>
      <c r="Z30" s="957">
        <v>1</v>
      </c>
      <c r="AA30" s="957">
        <v>0</v>
      </c>
      <c r="AB30" s="957">
        <v>0</v>
      </c>
      <c r="AC30" s="957">
        <v>0</v>
      </c>
      <c r="AD30" s="904"/>
      <c r="AE30" s="957">
        <v>0</v>
      </c>
      <c r="AF30" s="957">
        <v>1</v>
      </c>
      <c r="AG30" s="957">
        <v>0</v>
      </c>
      <c r="AH30" s="957">
        <v>0</v>
      </c>
      <c r="AI30" s="202"/>
      <c r="AJ30" s="202"/>
      <c r="AK30" s="202" t="s">
        <v>29</v>
      </c>
      <c r="AL30" s="202" t="s">
        <v>29</v>
      </c>
      <c r="AM30" s="202" t="s">
        <v>29</v>
      </c>
      <c r="AN30" s="202" t="s">
        <v>29</v>
      </c>
      <c r="AO30" s="203">
        <v>0</v>
      </c>
      <c r="AP30" s="203">
        <v>0</v>
      </c>
      <c r="AQ30" s="953" t="s">
        <v>853</v>
      </c>
      <c r="AR30" s="947" t="s">
        <v>273</v>
      </c>
      <c r="AS30" s="947" t="s">
        <v>273</v>
      </c>
      <c r="AT30" s="956">
        <v>0.1</v>
      </c>
      <c r="AU30" s="306" t="s">
        <v>29</v>
      </c>
      <c r="AV30" s="306" t="s">
        <v>29</v>
      </c>
      <c r="AX30" s="768"/>
    </row>
    <row r="31" spans="1:50">
      <c r="A31" s="164" t="s">
        <v>901</v>
      </c>
      <c r="B31" s="164" t="s">
        <v>903</v>
      </c>
      <c r="C31" s="164" t="s">
        <v>905</v>
      </c>
      <c r="D31" s="164" t="s">
        <v>780</v>
      </c>
      <c r="E31" s="164"/>
      <c r="F31" s="164" t="s">
        <v>227</v>
      </c>
      <c r="G31" s="223"/>
      <c r="H31" s="959"/>
      <c r="I31" s="224"/>
      <c r="J31" s="224"/>
      <c r="K31" s="224">
        <v>0</v>
      </c>
      <c r="L31" s="955">
        <v>0</v>
      </c>
      <c r="M31" s="958">
        <v>0</v>
      </c>
      <c r="N31" s="958">
        <v>0</v>
      </c>
      <c r="O31" s="958">
        <v>0</v>
      </c>
      <c r="P31" s="957">
        <v>1</v>
      </c>
      <c r="Q31" s="958">
        <v>1</v>
      </c>
      <c r="R31" s="958">
        <v>1</v>
      </c>
      <c r="S31" s="958">
        <v>1</v>
      </c>
      <c r="T31" s="958">
        <v>1</v>
      </c>
      <c r="U31" s="958">
        <v>1</v>
      </c>
      <c r="V31" s="903"/>
      <c r="W31" s="222" t="s">
        <v>55</v>
      </c>
      <c r="X31" s="901"/>
      <c r="Y31" s="902"/>
      <c r="Z31" s="957">
        <v>0</v>
      </c>
      <c r="AA31" s="957">
        <v>0</v>
      </c>
      <c r="AB31" s="957">
        <v>1</v>
      </c>
      <c r="AC31" s="957">
        <v>0</v>
      </c>
      <c r="AD31" s="904"/>
      <c r="AE31" s="957">
        <v>1</v>
      </c>
      <c r="AF31" s="957">
        <v>0</v>
      </c>
      <c r="AG31" s="957">
        <v>1</v>
      </c>
      <c r="AH31" s="957">
        <v>1</v>
      </c>
      <c r="AI31" s="202"/>
      <c r="AJ31" s="202"/>
      <c r="AK31" s="202" t="s">
        <v>29</v>
      </c>
      <c r="AL31" s="202" t="s">
        <v>29</v>
      </c>
      <c r="AM31" s="202" t="s">
        <v>29</v>
      </c>
      <c r="AN31" s="202" t="s">
        <v>29</v>
      </c>
      <c r="AO31" s="203">
        <v>0</v>
      </c>
      <c r="AP31" s="203">
        <v>0</v>
      </c>
      <c r="AQ31" s="953" t="s">
        <v>843</v>
      </c>
      <c r="AR31" s="947" t="s">
        <v>273</v>
      </c>
      <c r="AS31" s="947" t="s">
        <v>388</v>
      </c>
      <c r="AT31" s="956">
        <v>1</v>
      </c>
      <c r="AU31" s="306" t="s">
        <v>29</v>
      </c>
      <c r="AV31" s="306" t="s">
        <v>29</v>
      </c>
      <c r="AX31" s="768"/>
    </row>
    <row r="32" spans="1:50">
      <c r="A32" s="164" t="s">
        <v>901</v>
      </c>
      <c r="B32" s="164" t="s">
        <v>903</v>
      </c>
      <c r="C32" s="164" t="s">
        <v>905</v>
      </c>
      <c r="D32" s="164" t="s">
        <v>781</v>
      </c>
      <c r="E32" s="164"/>
      <c r="F32" s="164" t="s">
        <v>227</v>
      </c>
      <c r="G32" s="223"/>
      <c r="H32" s="959"/>
      <c r="I32" s="224"/>
      <c r="J32" s="224"/>
      <c r="K32" s="224">
        <v>0</v>
      </c>
      <c r="L32" s="955">
        <v>0</v>
      </c>
      <c r="M32" s="958">
        <v>0</v>
      </c>
      <c r="N32" s="958">
        <v>0</v>
      </c>
      <c r="O32" s="958">
        <v>0</v>
      </c>
      <c r="P32" s="957">
        <v>1</v>
      </c>
      <c r="Q32" s="958">
        <v>1</v>
      </c>
      <c r="R32" s="958">
        <v>1</v>
      </c>
      <c r="S32" s="958">
        <v>1</v>
      </c>
      <c r="T32" s="958">
        <v>1</v>
      </c>
      <c r="U32" s="958">
        <v>1</v>
      </c>
      <c r="V32" s="903"/>
      <c r="W32" s="222" t="s">
        <v>794</v>
      </c>
      <c r="X32" s="901"/>
      <c r="Y32" s="902"/>
      <c r="Z32" s="957">
        <v>0</v>
      </c>
      <c r="AA32" s="957">
        <v>0</v>
      </c>
      <c r="AB32" s="957">
        <v>0</v>
      </c>
      <c r="AC32" s="957">
        <v>1</v>
      </c>
      <c r="AD32" s="904"/>
      <c r="AE32" s="957">
        <v>0</v>
      </c>
      <c r="AF32" s="957">
        <v>0</v>
      </c>
      <c r="AG32" s="957">
        <v>0</v>
      </c>
      <c r="AH32" s="957">
        <v>0</v>
      </c>
      <c r="AI32" s="202"/>
      <c r="AJ32" s="202"/>
      <c r="AK32" s="202" t="s">
        <v>29</v>
      </c>
      <c r="AL32" s="202" t="s">
        <v>29</v>
      </c>
      <c r="AM32" s="202" t="s">
        <v>29</v>
      </c>
      <c r="AN32" s="202" t="s">
        <v>29</v>
      </c>
      <c r="AO32" s="203">
        <v>0</v>
      </c>
      <c r="AP32" s="203">
        <v>0</v>
      </c>
      <c r="AQ32" s="953" t="s">
        <v>847</v>
      </c>
      <c r="AR32" s="947" t="s">
        <v>273</v>
      </c>
      <c r="AS32" s="947" t="s">
        <v>388</v>
      </c>
      <c r="AT32" s="956">
        <v>1</v>
      </c>
      <c r="AU32" s="306" t="s">
        <v>29</v>
      </c>
      <c r="AV32" s="306" t="s">
        <v>29</v>
      </c>
      <c r="AX32" s="768"/>
    </row>
    <row r="33" spans="1:50">
      <c r="A33" s="164" t="s">
        <v>901</v>
      </c>
      <c r="B33" s="164" t="s">
        <v>903</v>
      </c>
      <c r="C33" s="164" t="s">
        <v>905</v>
      </c>
      <c r="D33" s="164" t="s">
        <v>782</v>
      </c>
      <c r="E33" s="164"/>
      <c r="F33" s="164" t="s">
        <v>227</v>
      </c>
      <c r="G33" s="223"/>
      <c r="H33" s="959"/>
      <c r="I33" s="224"/>
      <c r="J33" s="224"/>
      <c r="K33" s="224">
        <v>0</v>
      </c>
      <c r="L33" s="955">
        <v>0</v>
      </c>
      <c r="M33" s="958">
        <v>0</v>
      </c>
      <c r="N33" s="958">
        <v>0</v>
      </c>
      <c r="O33" s="958">
        <v>0</v>
      </c>
      <c r="P33" s="957">
        <v>1</v>
      </c>
      <c r="Q33" s="958">
        <v>1</v>
      </c>
      <c r="R33" s="958">
        <v>1</v>
      </c>
      <c r="S33" s="958">
        <v>1</v>
      </c>
      <c r="T33" s="958">
        <v>1</v>
      </c>
      <c r="U33" s="958">
        <v>1</v>
      </c>
      <c r="V33" s="903"/>
      <c r="W33" s="222" t="s">
        <v>53</v>
      </c>
      <c r="X33" s="901"/>
      <c r="Y33" s="902"/>
      <c r="Z33" s="957">
        <v>1</v>
      </c>
      <c r="AA33" s="957">
        <v>0</v>
      </c>
      <c r="AB33" s="957">
        <v>0</v>
      </c>
      <c r="AC33" s="957">
        <v>0</v>
      </c>
      <c r="AD33" s="904"/>
      <c r="AE33" s="957">
        <v>0</v>
      </c>
      <c r="AF33" s="957">
        <v>1</v>
      </c>
      <c r="AG33" s="957">
        <v>0</v>
      </c>
      <c r="AH33" s="957">
        <v>0</v>
      </c>
      <c r="AI33" s="202"/>
      <c r="AJ33" s="202"/>
      <c r="AK33" s="202" t="s">
        <v>29</v>
      </c>
      <c r="AL33" s="202" t="s">
        <v>29</v>
      </c>
      <c r="AM33" s="202" t="s">
        <v>29</v>
      </c>
      <c r="AN33" s="202" t="s">
        <v>29</v>
      </c>
      <c r="AO33" s="203">
        <v>0</v>
      </c>
      <c r="AP33" s="203">
        <v>0</v>
      </c>
      <c r="AQ33" s="953" t="s">
        <v>853</v>
      </c>
      <c r="AR33" s="947" t="s">
        <v>273</v>
      </c>
      <c r="AS33" s="947" t="s">
        <v>388</v>
      </c>
      <c r="AT33" s="956">
        <v>1</v>
      </c>
      <c r="AU33" s="306" t="s">
        <v>29</v>
      </c>
      <c r="AV33" s="306" t="s">
        <v>29</v>
      </c>
      <c r="AX33" s="768"/>
    </row>
    <row r="34" spans="1:50">
      <c r="A34" s="164" t="s">
        <v>901</v>
      </c>
      <c r="B34" s="164" t="s">
        <v>903</v>
      </c>
      <c r="C34" s="164" t="s">
        <v>905</v>
      </c>
      <c r="D34" s="164" t="s">
        <v>783</v>
      </c>
      <c r="E34" s="164"/>
      <c r="F34" s="164" t="s">
        <v>227</v>
      </c>
      <c r="G34" s="223"/>
      <c r="H34" s="959"/>
      <c r="I34" s="224"/>
      <c r="J34" s="224"/>
      <c r="K34" s="224">
        <v>0</v>
      </c>
      <c r="L34" s="955">
        <v>0</v>
      </c>
      <c r="M34" s="958">
        <v>0</v>
      </c>
      <c r="N34" s="958">
        <v>0</v>
      </c>
      <c r="O34" s="958">
        <v>0</v>
      </c>
      <c r="P34" s="957">
        <v>1</v>
      </c>
      <c r="Q34" s="958">
        <v>1</v>
      </c>
      <c r="R34" s="958">
        <v>1</v>
      </c>
      <c r="S34" s="958">
        <v>1</v>
      </c>
      <c r="T34" s="958">
        <v>1</v>
      </c>
      <c r="U34" s="958">
        <v>1</v>
      </c>
      <c r="V34" s="903"/>
      <c r="W34" s="222" t="s">
        <v>795</v>
      </c>
      <c r="X34" s="901"/>
      <c r="Y34" s="902"/>
      <c r="Z34" s="957">
        <v>0</v>
      </c>
      <c r="AA34" s="957">
        <v>1</v>
      </c>
      <c r="AB34" s="957">
        <v>0</v>
      </c>
      <c r="AC34" s="957">
        <v>0</v>
      </c>
      <c r="AD34" s="904"/>
      <c r="AE34" s="957">
        <v>0</v>
      </c>
      <c r="AF34" s="957">
        <v>0</v>
      </c>
      <c r="AG34" s="957">
        <v>0</v>
      </c>
      <c r="AH34" s="957">
        <v>0</v>
      </c>
      <c r="AI34" s="202"/>
      <c r="AJ34" s="202"/>
      <c r="AK34" s="202"/>
      <c r="AL34" s="202"/>
      <c r="AM34" s="202"/>
      <c r="AN34" s="202"/>
      <c r="AO34" s="203"/>
      <c r="AP34" s="203"/>
      <c r="AQ34" s="953" t="s">
        <v>858</v>
      </c>
      <c r="AR34" s="947" t="s">
        <v>273</v>
      </c>
      <c r="AS34" s="947" t="s">
        <v>388</v>
      </c>
      <c r="AT34" s="956">
        <v>1</v>
      </c>
      <c r="AX34" s="768"/>
    </row>
    <row r="35" spans="1:50">
      <c r="A35" s="164" t="s">
        <v>901</v>
      </c>
      <c r="B35" s="164" t="s">
        <v>903</v>
      </c>
      <c r="C35" s="164" t="s">
        <v>905</v>
      </c>
      <c r="D35" s="164" t="s">
        <v>784</v>
      </c>
      <c r="E35" s="164" t="s">
        <v>891</v>
      </c>
      <c r="F35" s="164" t="s">
        <v>227</v>
      </c>
      <c r="G35" s="223"/>
      <c r="H35" s="959">
        <v>1</v>
      </c>
      <c r="I35" s="224"/>
      <c r="J35" s="224"/>
      <c r="K35" s="224">
        <v>0</v>
      </c>
      <c r="L35" s="955">
        <v>0</v>
      </c>
      <c r="M35" s="958">
        <v>0</v>
      </c>
      <c r="N35" s="958">
        <v>0</v>
      </c>
      <c r="O35" s="958">
        <v>0</v>
      </c>
      <c r="P35" s="957">
        <v>1</v>
      </c>
      <c r="Q35" s="958">
        <v>1</v>
      </c>
      <c r="R35" s="958">
        <v>1</v>
      </c>
      <c r="S35" s="958">
        <v>1</v>
      </c>
      <c r="T35" s="958">
        <v>1</v>
      </c>
      <c r="U35" s="958">
        <v>1</v>
      </c>
      <c r="V35" s="1492">
        <v>0</v>
      </c>
      <c r="W35" s="222" t="s">
        <v>55</v>
      </c>
      <c r="X35" s="901"/>
      <c r="Y35" s="902"/>
      <c r="Z35" s="957">
        <v>0</v>
      </c>
      <c r="AA35" s="957">
        <v>0</v>
      </c>
      <c r="AB35" s="957">
        <v>1</v>
      </c>
      <c r="AC35" s="957">
        <v>0</v>
      </c>
      <c r="AD35" s="904"/>
      <c r="AE35" s="957">
        <v>1</v>
      </c>
      <c r="AF35" s="957">
        <v>0</v>
      </c>
      <c r="AG35" s="957">
        <v>1</v>
      </c>
      <c r="AH35" s="957">
        <v>1</v>
      </c>
      <c r="AI35" s="202"/>
      <c r="AJ35" s="202"/>
      <c r="AK35" s="202" t="s">
        <v>29</v>
      </c>
      <c r="AL35" s="202" t="s">
        <v>29</v>
      </c>
      <c r="AM35" s="202" t="s">
        <v>29</v>
      </c>
      <c r="AN35" s="202" t="s">
        <v>29</v>
      </c>
      <c r="AO35" s="203">
        <v>0</v>
      </c>
      <c r="AP35" s="203">
        <v>0</v>
      </c>
      <c r="AQ35" s="953" t="s">
        <v>843</v>
      </c>
      <c r="AR35" s="947" t="s">
        <v>273</v>
      </c>
      <c r="AS35" s="947" t="s">
        <v>273</v>
      </c>
      <c r="AT35" s="956">
        <v>1</v>
      </c>
      <c r="AU35" s="306" t="s">
        <v>29</v>
      </c>
      <c r="AV35" s="306" t="s">
        <v>29</v>
      </c>
      <c r="AX35" s="768"/>
    </row>
    <row r="36" spans="1:50">
      <c r="A36" s="164" t="s">
        <v>901</v>
      </c>
      <c r="B36" s="164" t="s">
        <v>903</v>
      </c>
      <c r="C36" s="164" t="s">
        <v>905</v>
      </c>
      <c r="D36" s="164" t="s">
        <v>785</v>
      </c>
      <c r="E36" s="164" t="s">
        <v>892</v>
      </c>
      <c r="F36" s="164" t="s">
        <v>227</v>
      </c>
      <c r="G36" s="223"/>
      <c r="H36" s="959">
        <v>1</v>
      </c>
      <c r="I36" s="224"/>
      <c r="J36" s="224"/>
      <c r="K36" s="224">
        <v>0</v>
      </c>
      <c r="L36" s="955">
        <v>0</v>
      </c>
      <c r="M36" s="958">
        <v>0</v>
      </c>
      <c r="N36" s="958">
        <v>0</v>
      </c>
      <c r="O36" s="958">
        <v>0</v>
      </c>
      <c r="P36" s="957">
        <v>1</v>
      </c>
      <c r="Q36" s="958">
        <v>1</v>
      </c>
      <c r="R36" s="958">
        <v>1</v>
      </c>
      <c r="S36" s="958">
        <v>1</v>
      </c>
      <c r="T36" s="958">
        <v>1</v>
      </c>
      <c r="U36" s="958">
        <v>1</v>
      </c>
      <c r="V36" s="1492">
        <v>0</v>
      </c>
      <c r="W36" s="222" t="s">
        <v>794</v>
      </c>
      <c r="X36" s="901"/>
      <c r="Y36" s="902"/>
      <c r="Z36" s="957">
        <v>0</v>
      </c>
      <c r="AA36" s="957">
        <v>0</v>
      </c>
      <c r="AB36" s="957">
        <v>0</v>
      </c>
      <c r="AC36" s="957">
        <v>1</v>
      </c>
      <c r="AD36" s="904"/>
      <c r="AE36" s="957">
        <v>0</v>
      </c>
      <c r="AF36" s="957">
        <v>0</v>
      </c>
      <c r="AG36" s="957">
        <v>0</v>
      </c>
      <c r="AH36" s="957">
        <v>0</v>
      </c>
      <c r="AI36" s="202"/>
      <c r="AJ36" s="202"/>
      <c r="AK36" s="202" t="s">
        <v>29</v>
      </c>
      <c r="AL36" s="202" t="s">
        <v>29</v>
      </c>
      <c r="AM36" s="202" t="s">
        <v>29</v>
      </c>
      <c r="AN36" s="202" t="s">
        <v>29</v>
      </c>
      <c r="AO36" s="203">
        <v>0</v>
      </c>
      <c r="AP36" s="203">
        <v>0</v>
      </c>
      <c r="AQ36" s="953" t="s">
        <v>847</v>
      </c>
      <c r="AR36" s="947" t="s">
        <v>273</v>
      </c>
      <c r="AS36" s="947" t="s">
        <v>273</v>
      </c>
      <c r="AT36" s="956">
        <v>1</v>
      </c>
      <c r="AU36" s="306" t="s">
        <v>29</v>
      </c>
      <c r="AV36" s="306" t="s">
        <v>29</v>
      </c>
      <c r="AX36" s="768"/>
    </row>
    <row r="37" spans="1:50">
      <c r="A37" s="164" t="s">
        <v>901</v>
      </c>
      <c r="B37" s="164" t="s">
        <v>903</v>
      </c>
      <c r="C37" s="164" t="s">
        <v>905</v>
      </c>
      <c r="D37" s="164" t="s">
        <v>792</v>
      </c>
      <c r="E37" s="164" t="s">
        <v>893</v>
      </c>
      <c r="F37" s="164" t="s">
        <v>227</v>
      </c>
      <c r="G37" s="223"/>
      <c r="H37" s="959">
        <v>1</v>
      </c>
      <c r="I37" s="224"/>
      <c r="J37" s="224"/>
      <c r="K37" s="224">
        <v>0</v>
      </c>
      <c r="L37" s="955">
        <v>0</v>
      </c>
      <c r="M37" s="958">
        <v>0</v>
      </c>
      <c r="N37" s="958">
        <v>0</v>
      </c>
      <c r="O37" s="958">
        <v>0</v>
      </c>
      <c r="P37" s="957">
        <v>1</v>
      </c>
      <c r="Q37" s="958">
        <v>1</v>
      </c>
      <c r="R37" s="958">
        <v>1</v>
      </c>
      <c r="S37" s="958">
        <v>1</v>
      </c>
      <c r="T37" s="958">
        <v>1</v>
      </c>
      <c r="U37" s="958">
        <v>1</v>
      </c>
      <c r="V37" s="1492">
        <v>0</v>
      </c>
      <c r="W37" s="222" t="s">
        <v>55</v>
      </c>
      <c r="X37" s="901"/>
      <c r="Y37" s="902"/>
      <c r="Z37" s="957">
        <v>0</v>
      </c>
      <c r="AA37" s="957">
        <v>0</v>
      </c>
      <c r="AB37" s="957">
        <v>1</v>
      </c>
      <c r="AC37" s="957">
        <v>0</v>
      </c>
      <c r="AD37" s="904"/>
      <c r="AE37" s="957">
        <v>1</v>
      </c>
      <c r="AF37" s="957">
        <v>0</v>
      </c>
      <c r="AG37" s="957">
        <v>1</v>
      </c>
      <c r="AH37" s="957">
        <v>1</v>
      </c>
      <c r="AI37" s="202"/>
      <c r="AJ37" s="202"/>
      <c r="AK37" s="202" t="s">
        <v>29</v>
      </c>
      <c r="AL37" s="202" t="s">
        <v>29</v>
      </c>
      <c r="AM37" s="202" t="s">
        <v>29</v>
      </c>
      <c r="AN37" s="202" t="s">
        <v>29</v>
      </c>
      <c r="AO37" s="203">
        <v>0</v>
      </c>
      <c r="AP37" s="203">
        <v>0</v>
      </c>
      <c r="AQ37" s="953" t="s">
        <v>839</v>
      </c>
      <c r="AR37" s="947" t="s">
        <v>273</v>
      </c>
      <c r="AS37" s="947" t="s">
        <v>273</v>
      </c>
      <c r="AT37" s="956">
        <v>0.1</v>
      </c>
      <c r="AU37" s="306" t="s">
        <v>29</v>
      </c>
      <c r="AV37" s="306" t="s">
        <v>29</v>
      </c>
      <c r="AX37" s="768"/>
    </row>
    <row r="38" spans="1:50">
      <c r="A38" s="164" t="s">
        <v>901</v>
      </c>
      <c r="B38" s="164" t="s">
        <v>903</v>
      </c>
      <c r="C38" s="164" t="s">
        <v>905</v>
      </c>
      <c r="D38" s="164" t="s">
        <v>793</v>
      </c>
      <c r="E38" s="164" t="s">
        <v>894</v>
      </c>
      <c r="F38" s="164" t="s">
        <v>227</v>
      </c>
      <c r="G38" s="223"/>
      <c r="H38" s="959">
        <v>1</v>
      </c>
      <c r="I38" s="224"/>
      <c r="J38" s="224"/>
      <c r="K38" s="224">
        <v>0</v>
      </c>
      <c r="L38" s="955">
        <v>0</v>
      </c>
      <c r="M38" s="958">
        <v>0</v>
      </c>
      <c r="N38" s="958">
        <v>0</v>
      </c>
      <c r="O38" s="958">
        <v>0</v>
      </c>
      <c r="P38" s="957">
        <v>1</v>
      </c>
      <c r="Q38" s="958">
        <v>1</v>
      </c>
      <c r="R38" s="958">
        <v>1</v>
      </c>
      <c r="S38" s="958">
        <v>1</v>
      </c>
      <c r="T38" s="958">
        <v>1</v>
      </c>
      <c r="U38" s="958">
        <v>1</v>
      </c>
      <c r="V38" s="1492">
        <v>0</v>
      </c>
      <c r="W38" s="222" t="s">
        <v>794</v>
      </c>
      <c r="X38" s="901"/>
      <c r="Y38" s="902"/>
      <c r="Z38" s="957">
        <v>0</v>
      </c>
      <c r="AA38" s="957">
        <v>0</v>
      </c>
      <c r="AB38" s="957">
        <v>0</v>
      </c>
      <c r="AC38" s="957">
        <v>1</v>
      </c>
      <c r="AD38" s="904"/>
      <c r="AE38" s="957">
        <v>0</v>
      </c>
      <c r="AF38" s="957">
        <v>0</v>
      </c>
      <c r="AG38" s="957">
        <v>0</v>
      </c>
      <c r="AH38" s="957">
        <v>0</v>
      </c>
      <c r="AI38" s="202"/>
      <c r="AJ38" s="202"/>
      <c r="AK38" s="202" t="s">
        <v>29</v>
      </c>
      <c r="AL38" s="202" t="s">
        <v>29</v>
      </c>
      <c r="AM38" s="202" t="s">
        <v>29</v>
      </c>
      <c r="AN38" s="202" t="s">
        <v>29</v>
      </c>
      <c r="AO38" s="203">
        <v>0</v>
      </c>
      <c r="AP38" s="203">
        <v>0</v>
      </c>
      <c r="AQ38" s="953" t="s">
        <v>850</v>
      </c>
      <c r="AR38" s="947" t="s">
        <v>273</v>
      </c>
      <c r="AS38" s="947" t="s">
        <v>273</v>
      </c>
      <c r="AT38" s="956">
        <v>0.1</v>
      </c>
      <c r="AU38" s="306" t="s">
        <v>29</v>
      </c>
      <c r="AV38" s="306" t="s">
        <v>29</v>
      </c>
      <c r="AX38" s="768"/>
    </row>
    <row r="39" spans="1:50">
      <c r="A39" s="164" t="s">
        <v>901</v>
      </c>
      <c r="B39" s="164" t="s">
        <v>903</v>
      </c>
      <c r="C39" s="164" t="s">
        <v>905</v>
      </c>
      <c r="D39" s="164" t="s">
        <v>786</v>
      </c>
      <c r="E39" s="164"/>
      <c r="F39" s="164" t="s">
        <v>227</v>
      </c>
      <c r="G39" s="223"/>
      <c r="H39" s="959"/>
      <c r="I39" s="224"/>
      <c r="J39" s="224"/>
      <c r="K39" s="224">
        <v>0</v>
      </c>
      <c r="L39" s="955">
        <v>0</v>
      </c>
      <c r="M39" s="958">
        <v>0</v>
      </c>
      <c r="N39" s="958">
        <v>0</v>
      </c>
      <c r="O39" s="958">
        <v>0</v>
      </c>
      <c r="P39" s="957">
        <v>1</v>
      </c>
      <c r="Q39" s="958">
        <v>1</v>
      </c>
      <c r="R39" s="958">
        <v>1</v>
      </c>
      <c r="S39" s="958">
        <v>1</v>
      </c>
      <c r="T39" s="958">
        <v>1</v>
      </c>
      <c r="U39" s="958">
        <v>1</v>
      </c>
      <c r="V39" s="903"/>
      <c r="W39" s="222" t="s">
        <v>53</v>
      </c>
      <c r="X39" s="901"/>
      <c r="Y39" s="902"/>
      <c r="Z39" s="957">
        <v>1</v>
      </c>
      <c r="AA39" s="957">
        <v>0</v>
      </c>
      <c r="AB39" s="957">
        <v>0</v>
      </c>
      <c r="AC39" s="957">
        <v>0</v>
      </c>
      <c r="AD39" s="904"/>
      <c r="AE39" s="957">
        <v>0</v>
      </c>
      <c r="AF39" s="957">
        <v>1</v>
      </c>
      <c r="AG39" s="957">
        <v>0</v>
      </c>
      <c r="AH39" s="957">
        <v>0</v>
      </c>
      <c r="AI39" s="202"/>
      <c r="AJ39" s="202"/>
      <c r="AK39" s="202" t="s">
        <v>29</v>
      </c>
      <c r="AL39" s="202" t="s">
        <v>29</v>
      </c>
      <c r="AM39" s="202" t="s">
        <v>29</v>
      </c>
      <c r="AN39" s="202" t="s">
        <v>29</v>
      </c>
      <c r="AO39" s="203">
        <v>0</v>
      </c>
      <c r="AP39" s="203">
        <v>0</v>
      </c>
      <c r="AQ39" s="953" t="s">
        <v>853</v>
      </c>
      <c r="AR39" s="947" t="s">
        <v>273</v>
      </c>
      <c r="AS39" s="947" t="s">
        <v>273</v>
      </c>
      <c r="AT39" s="956">
        <v>0.1</v>
      </c>
      <c r="AU39" s="306" t="s">
        <v>29</v>
      </c>
      <c r="AV39" s="306" t="s">
        <v>29</v>
      </c>
      <c r="AX39" s="768"/>
    </row>
    <row r="40" spans="1:50">
      <c r="A40" s="164" t="s">
        <v>901</v>
      </c>
      <c r="B40" s="164" t="s">
        <v>903</v>
      </c>
      <c r="C40" s="164" t="s">
        <v>905</v>
      </c>
      <c r="D40" s="164" t="s">
        <v>787</v>
      </c>
      <c r="E40" s="164"/>
      <c r="F40" s="164" t="s">
        <v>227</v>
      </c>
      <c r="G40" s="223"/>
      <c r="H40" s="959"/>
      <c r="I40" s="224"/>
      <c r="J40" s="224"/>
      <c r="K40" s="224">
        <v>0</v>
      </c>
      <c r="L40" s="955">
        <v>0</v>
      </c>
      <c r="M40" s="958">
        <v>0</v>
      </c>
      <c r="N40" s="958">
        <v>0</v>
      </c>
      <c r="O40" s="958">
        <v>0</v>
      </c>
      <c r="P40" s="957">
        <v>1</v>
      </c>
      <c r="Q40" s="958">
        <v>1</v>
      </c>
      <c r="R40" s="958">
        <v>1</v>
      </c>
      <c r="S40" s="958">
        <v>1</v>
      </c>
      <c r="T40" s="958">
        <v>1</v>
      </c>
      <c r="U40" s="958">
        <v>1</v>
      </c>
      <c r="V40" s="903"/>
      <c r="W40" s="222" t="s">
        <v>795</v>
      </c>
      <c r="X40" s="901"/>
      <c r="Y40" s="902"/>
      <c r="Z40" s="957">
        <v>0</v>
      </c>
      <c r="AA40" s="957">
        <v>1</v>
      </c>
      <c r="AB40" s="957">
        <v>0</v>
      </c>
      <c r="AC40" s="957">
        <v>0</v>
      </c>
      <c r="AD40" s="904"/>
      <c r="AE40" s="957">
        <v>0</v>
      </c>
      <c r="AF40" s="957">
        <v>0</v>
      </c>
      <c r="AG40" s="957">
        <v>0</v>
      </c>
      <c r="AH40" s="957">
        <v>0</v>
      </c>
      <c r="AI40" s="202"/>
      <c r="AJ40" s="202"/>
      <c r="AK40" s="202"/>
      <c r="AL40" s="202"/>
      <c r="AM40" s="202"/>
      <c r="AN40" s="202"/>
      <c r="AO40" s="203"/>
      <c r="AP40" s="203"/>
      <c r="AQ40" s="953" t="s">
        <v>858</v>
      </c>
      <c r="AR40" s="947" t="s">
        <v>273</v>
      </c>
      <c r="AS40" s="947" t="s">
        <v>273</v>
      </c>
      <c r="AT40" s="956">
        <v>0.1</v>
      </c>
      <c r="AX40" s="768"/>
    </row>
    <row r="41" spans="1:50">
      <c r="A41" s="164" t="s">
        <v>901</v>
      </c>
      <c r="B41" s="164" t="s">
        <v>903</v>
      </c>
      <c r="C41" s="164" t="s">
        <v>905</v>
      </c>
      <c r="D41" s="164" t="s">
        <v>436</v>
      </c>
      <c r="E41" s="164"/>
      <c r="F41" s="164" t="s">
        <v>227</v>
      </c>
      <c r="G41" s="223"/>
      <c r="H41" s="959"/>
      <c r="I41" s="224"/>
      <c r="J41" s="224"/>
      <c r="K41" s="224">
        <v>0</v>
      </c>
      <c r="L41" s="955">
        <v>0</v>
      </c>
      <c r="M41" s="958">
        <v>0</v>
      </c>
      <c r="N41" s="958">
        <v>0</v>
      </c>
      <c r="O41" s="958">
        <v>0</v>
      </c>
      <c r="P41" s="957">
        <v>1</v>
      </c>
      <c r="Q41" s="958">
        <v>1</v>
      </c>
      <c r="R41" s="958">
        <v>1</v>
      </c>
      <c r="S41" s="958">
        <v>1</v>
      </c>
      <c r="T41" s="958">
        <v>1</v>
      </c>
      <c r="U41" s="958">
        <v>1</v>
      </c>
      <c r="V41" s="903"/>
      <c r="W41" s="222" t="s">
        <v>55</v>
      </c>
      <c r="X41" s="901"/>
      <c r="Y41" s="902"/>
      <c r="Z41" s="957">
        <v>0</v>
      </c>
      <c r="AA41" s="957">
        <v>0</v>
      </c>
      <c r="AB41" s="957">
        <v>1</v>
      </c>
      <c r="AC41" s="957">
        <v>0</v>
      </c>
      <c r="AD41" s="904"/>
      <c r="AE41" s="957">
        <v>1</v>
      </c>
      <c r="AF41" s="957">
        <v>0</v>
      </c>
      <c r="AG41" s="957">
        <v>1</v>
      </c>
      <c r="AH41" s="957">
        <v>1</v>
      </c>
      <c r="AI41" s="202"/>
      <c r="AJ41" s="202"/>
      <c r="AK41" s="202"/>
      <c r="AL41" s="202"/>
      <c r="AM41" s="202"/>
      <c r="AN41" s="202"/>
      <c r="AO41" s="203"/>
      <c r="AP41" s="203"/>
      <c r="AQ41" s="953" t="s">
        <v>839</v>
      </c>
      <c r="AR41" s="947" t="s">
        <v>273</v>
      </c>
      <c r="AS41" s="947" t="s">
        <v>273</v>
      </c>
      <c r="AT41" s="956">
        <v>0.1</v>
      </c>
      <c r="AX41" s="768"/>
    </row>
    <row r="42" spans="1:50">
      <c r="A42" s="164"/>
      <c r="B42" s="164"/>
      <c r="C42" s="164"/>
      <c r="D42" s="164"/>
      <c r="E42" s="164"/>
      <c r="F42" s="164"/>
      <c r="G42" s="223"/>
      <c r="H42" s="959"/>
      <c r="I42" s="224"/>
      <c r="J42" s="224"/>
      <c r="K42" s="224"/>
      <c r="L42" s="955">
        <v>0</v>
      </c>
      <c r="M42" s="958"/>
      <c r="N42" s="958"/>
      <c r="O42" s="958"/>
      <c r="P42" s="957" t="s">
        <v>29</v>
      </c>
      <c r="Q42" s="958"/>
      <c r="R42" s="958"/>
      <c r="S42" s="958"/>
      <c r="T42" s="958"/>
      <c r="U42" s="958"/>
      <c r="V42" s="903"/>
      <c r="W42" s="222"/>
      <c r="X42" s="901"/>
      <c r="Y42" s="902"/>
      <c r="Z42" s="957" t="s">
        <v>29</v>
      </c>
      <c r="AA42" s="957" t="s">
        <v>29</v>
      </c>
      <c r="AB42" s="957" t="s">
        <v>29</v>
      </c>
      <c r="AC42" s="957" t="s">
        <v>29</v>
      </c>
      <c r="AD42" s="904"/>
      <c r="AE42" s="957" t="s">
        <v>29</v>
      </c>
      <c r="AF42" s="957" t="s">
        <v>29</v>
      </c>
      <c r="AG42" s="957" t="s">
        <v>29</v>
      </c>
      <c r="AH42" s="957" t="s">
        <v>29</v>
      </c>
      <c r="AI42" s="202"/>
      <c r="AJ42" s="202"/>
      <c r="AK42" s="202"/>
      <c r="AL42" s="202"/>
      <c r="AM42" s="202"/>
      <c r="AN42" s="202"/>
      <c r="AO42" s="203"/>
      <c r="AP42" s="203"/>
      <c r="AQ42" s="954"/>
      <c r="AR42" s="947"/>
      <c r="AS42" s="947"/>
      <c r="AT42" s="956"/>
      <c r="AX42" s="768"/>
    </row>
    <row r="43" spans="1:50">
      <c r="A43" s="164"/>
      <c r="B43" s="164"/>
      <c r="C43" s="164"/>
      <c r="D43" s="164"/>
      <c r="E43" s="164"/>
      <c r="F43" s="164"/>
      <c r="G43" s="223"/>
      <c r="H43" s="959"/>
      <c r="I43" s="224"/>
      <c r="J43" s="224"/>
      <c r="K43" s="224"/>
      <c r="L43" s="955">
        <v>0</v>
      </c>
      <c r="M43" s="958"/>
      <c r="N43" s="958"/>
      <c r="O43" s="958"/>
      <c r="P43" s="957" t="s">
        <v>29</v>
      </c>
      <c r="Q43" s="958"/>
      <c r="R43" s="958"/>
      <c r="S43" s="958"/>
      <c r="T43" s="958"/>
      <c r="U43" s="958"/>
      <c r="V43" s="903"/>
      <c r="W43" s="222"/>
      <c r="X43" s="901"/>
      <c r="Y43" s="902"/>
      <c r="Z43" s="957" t="s">
        <v>29</v>
      </c>
      <c r="AA43" s="957" t="s">
        <v>29</v>
      </c>
      <c r="AB43" s="957" t="s">
        <v>29</v>
      </c>
      <c r="AC43" s="957" t="s">
        <v>29</v>
      </c>
      <c r="AD43" s="904"/>
      <c r="AE43" s="957" t="s">
        <v>29</v>
      </c>
      <c r="AF43" s="957" t="s">
        <v>29</v>
      </c>
      <c r="AG43" s="957" t="s">
        <v>29</v>
      </c>
      <c r="AH43" s="957" t="s">
        <v>29</v>
      </c>
      <c r="AI43" s="202"/>
      <c r="AJ43" s="202"/>
      <c r="AK43" s="202"/>
      <c r="AL43" s="202"/>
      <c r="AM43" s="202"/>
      <c r="AN43" s="202"/>
      <c r="AO43" s="203"/>
      <c r="AP43" s="203"/>
      <c r="AQ43" s="954"/>
      <c r="AR43" s="947"/>
      <c r="AS43" s="947"/>
      <c r="AT43" s="956"/>
      <c r="AX43" s="768"/>
    </row>
    <row r="44" spans="1:50">
      <c r="A44" s="164"/>
      <c r="B44" s="164"/>
      <c r="C44" s="164"/>
      <c r="D44" s="164"/>
      <c r="E44" s="164"/>
      <c r="F44" s="164"/>
      <c r="G44" s="223"/>
      <c r="H44" s="959"/>
      <c r="I44" s="224"/>
      <c r="J44" s="224"/>
      <c r="K44" s="224"/>
      <c r="L44" s="955">
        <v>0</v>
      </c>
      <c r="M44" s="958"/>
      <c r="N44" s="958"/>
      <c r="O44" s="958"/>
      <c r="P44" s="957" t="s">
        <v>29</v>
      </c>
      <c r="Q44" s="958"/>
      <c r="R44" s="958"/>
      <c r="S44" s="958"/>
      <c r="T44" s="958"/>
      <c r="U44" s="958"/>
      <c r="V44" s="903"/>
      <c r="W44" s="222"/>
      <c r="X44" s="901"/>
      <c r="Y44" s="902"/>
      <c r="Z44" s="957" t="s">
        <v>29</v>
      </c>
      <c r="AA44" s="957" t="s">
        <v>29</v>
      </c>
      <c r="AB44" s="957" t="s">
        <v>29</v>
      </c>
      <c r="AC44" s="957" t="s">
        <v>29</v>
      </c>
      <c r="AD44" s="904"/>
      <c r="AE44" s="957" t="s">
        <v>29</v>
      </c>
      <c r="AF44" s="957" t="s">
        <v>29</v>
      </c>
      <c r="AG44" s="957" t="s">
        <v>29</v>
      </c>
      <c r="AH44" s="957" t="s">
        <v>29</v>
      </c>
      <c r="AI44" s="202"/>
      <c r="AJ44" s="202"/>
      <c r="AK44" s="202"/>
      <c r="AL44" s="202"/>
      <c r="AM44" s="202"/>
      <c r="AN44" s="202"/>
      <c r="AO44" s="203"/>
      <c r="AP44" s="203"/>
      <c r="AQ44" s="954"/>
      <c r="AR44" s="947"/>
      <c r="AS44" s="947"/>
      <c r="AT44" s="956"/>
      <c r="AX44" s="768"/>
    </row>
    <row r="45" spans="1:50">
      <c r="A45" s="164"/>
      <c r="B45" s="164"/>
      <c r="C45" s="164"/>
      <c r="D45" s="164"/>
      <c r="E45" s="164"/>
      <c r="F45" s="164"/>
      <c r="G45" s="223"/>
      <c r="H45" s="959"/>
      <c r="I45" s="224"/>
      <c r="J45" s="224"/>
      <c r="K45" s="224"/>
      <c r="L45" s="955">
        <v>0</v>
      </c>
      <c r="M45" s="958"/>
      <c r="N45" s="958"/>
      <c r="O45" s="958"/>
      <c r="P45" s="957" t="s">
        <v>29</v>
      </c>
      <c r="Q45" s="958"/>
      <c r="R45" s="958"/>
      <c r="S45" s="958"/>
      <c r="T45" s="958"/>
      <c r="U45" s="958"/>
      <c r="V45" s="903"/>
      <c r="W45" s="222"/>
      <c r="X45" s="901"/>
      <c r="Y45" s="902"/>
      <c r="Z45" s="957" t="s">
        <v>29</v>
      </c>
      <c r="AA45" s="957" t="s">
        <v>29</v>
      </c>
      <c r="AB45" s="957" t="s">
        <v>29</v>
      </c>
      <c r="AC45" s="957" t="s">
        <v>29</v>
      </c>
      <c r="AD45" s="904"/>
      <c r="AE45" s="957" t="s">
        <v>29</v>
      </c>
      <c r="AF45" s="957" t="s">
        <v>29</v>
      </c>
      <c r="AG45" s="957" t="s">
        <v>29</v>
      </c>
      <c r="AH45" s="957" t="s">
        <v>29</v>
      </c>
      <c r="AI45" s="202"/>
      <c r="AJ45" s="202"/>
      <c r="AK45" s="202"/>
      <c r="AL45" s="202"/>
      <c r="AM45" s="202"/>
      <c r="AN45" s="202"/>
      <c r="AO45" s="203"/>
      <c r="AP45" s="203"/>
      <c r="AQ45" s="954"/>
      <c r="AR45" s="947"/>
      <c r="AS45" s="947"/>
      <c r="AT45" s="956"/>
      <c r="AX45" s="768"/>
    </row>
    <row r="46" spans="1:50">
      <c r="A46" s="164"/>
      <c r="B46" s="164"/>
      <c r="C46" s="164"/>
      <c r="D46" s="164"/>
      <c r="E46" s="164"/>
      <c r="F46" s="164"/>
      <c r="G46" s="223"/>
      <c r="H46" s="959"/>
      <c r="I46" s="224"/>
      <c r="J46" s="224"/>
      <c r="K46" s="224"/>
      <c r="L46" s="955">
        <v>0</v>
      </c>
      <c r="M46" s="958"/>
      <c r="N46" s="958"/>
      <c r="O46" s="958"/>
      <c r="P46" s="957" t="s">
        <v>29</v>
      </c>
      <c r="Q46" s="958"/>
      <c r="R46" s="958"/>
      <c r="S46" s="958"/>
      <c r="T46" s="958"/>
      <c r="U46" s="958"/>
      <c r="V46" s="903"/>
      <c r="W46" s="222"/>
      <c r="X46" s="901"/>
      <c r="Y46" s="902"/>
      <c r="Z46" s="957" t="s">
        <v>29</v>
      </c>
      <c r="AA46" s="957" t="s">
        <v>29</v>
      </c>
      <c r="AB46" s="957" t="s">
        <v>29</v>
      </c>
      <c r="AC46" s="957" t="s">
        <v>29</v>
      </c>
      <c r="AD46" s="904"/>
      <c r="AE46" s="957" t="s">
        <v>29</v>
      </c>
      <c r="AF46" s="957" t="s">
        <v>29</v>
      </c>
      <c r="AG46" s="957" t="s">
        <v>29</v>
      </c>
      <c r="AH46" s="957" t="s">
        <v>29</v>
      </c>
      <c r="AI46" s="202"/>
      <c r="AJ46" s="202"/>
      <c r="AK46" s="202"/>
      <c r="AL46" s="202"/>
      <c r="AM46" s="202"/>
      <c r="AN46" s="202"/>
      <c r="AO46" s="203"/>
      <c r="AP46" s="203"/>
      <c r="AQ46" s="954"/>
      <c r="AR46" s="947"/>
      <c r="AS46" s="947"/>
      <c r="AT46" s="956"/>
      <c r="AX46" s="768"/>
    </row>
    <row r="47" spans="1:50">
      <c r="A47" s="164"/>
      <c r="B47" s="164"/>
      <c r="C47" s="164"/>
      <c r="D47" s="164"/>
      <c r="E47" s="164"/>
      <c r="F47" s="164"/>
      <c r="G47" s="223"/>
      <c r="H47" s="959"/>
      <c r="I47" s="224"/>
      <c r="J47" s="224"/>
      <c r="K47" s="224"/>
      <c r="L47" s="955">
        <v>0</v>
      </c>
      <c r="M47" s="958"/>
      <c r="N47" s="958"/>
      <c r="O47" s="958"/>
      <c r="P47" s="957" t="s">
        <v>29</v>
      </c>
      <c r="Q47" s="958"/>
      <c r="R47" s="958"/>
      <c r="S47" s="958"/>
      <c r="T47" s="958"/>
      <c r="U47" s="958"/>
      <c r="V47" s="903"/>
      <c r="W47" s="222"/>
      <c r="X47" s="901"/>
      <c r="Y47" s="902"/>
      <c r="Z47" s="957" t="s">
        <v>29</v>
      </c>
      <c r="AA47" s="957" t="s">
        <v>29</v>
      </c>
      <c r="AB47" s="957" t="s">
        <v>29</v>
      </c>
      <c r="AC47" s="957" t="s">
        <v>29</v>
      </c>
      <c r="AD47" s="904"/>
      <c r="AE47" s="957" t="s">
        <v>29</v>
      </c>
      <c r="AF47" s="957" t="s">
        <v>29</v>
      </c>
      <c r="AG47" s="957" t="s">
        <v>29</v>
      </c>
      <c r="AH47" s="957" t="s">
        <v>29</v>
      </c>
      <c r="AI47" s="202"/>
      <c r="AJ47" s="202"/>
      <c r="AK47" s="202"/>
      <c r="AL47" s="202"/>
      <c r="AM47" s="202"/>
      <c r="AN47" s="202"/>
      <c r="AO47" s="203"/>
      <c r="AP47" s="203"/>
      <c r="AQ47" s="954"/>
      <c r="AR47" s="947"/>
      <c r="AS47" s="947"/>
      <c r="AT47" s="956"/>
      <c r="AX47" s="768"/>
    </row>
    <row r="48" spans="1:50">
      <c r="A48" s="164"/>
      <c r="B48" s="164"/>
      <c r="C48" s="164"/>
      <c r="D48" s="164"/>
      <c r="E48" s="164"/>
      <c r="F48" s="164"/>
      <c r="G48" s="223"/>
      <c r="H48" s="959"/>
      <c r="I48" s="224"/>
      <c r="J48" s="224"/>
      <c r="K48" s="224"/>
      <c r="L48" s="955">
        <v>0</v>
      </c>
      <c r="M48" s="958"/>
      <c r="N48" s="958"/>
      <c r="O48" s="958"/>
      <c r="P48" s="957" t="s">
        <v>29</v>
      </c>
      <c r="Q48" s="958"/>
      <c r="R48" s="958"/>
      <c r="S48" s="958"/>
      <c r="T48" s="958"/>
      <c r="U48" s="958"/>
      <c r="V48" s="903"/>
      <c r="W48" s="222"/>
      <c r="X48" s="901"/>
      <c r="Y48" s="902"/>
      <c r="Z48" s="957" t="s">
        <v>29</v>
      </c>
      <c r="AA48" s="957" t="s">
        <v>29</v>
      </c>
      <c r="AB48" s="957" t="s">
        <v>29</v>
      </c>
      <c r="AC48" s="957" t="s">
        <v>29</v>
      </c>
      <c r="AD48" s="904"/>
      <c r="AE48" s="957" t="s">
        <v>29</v>
      </c>
      <c r="AF48" s="957" t="s">
        <v>29</v>
      </c>
      <c r="AG48" s="957" t="s">
        <v>29</v>
      </c>
      <c r="AH48" s="957" t="s">
        <v>29</v>
      </c>
      <c r="AI48" s="202"/>
      <c r="AJ48" s="202"/>
      <c r="AK48" s="202"/>
      <c r="AL48" s="202"/>
      <c r="AM48" s="202"/>
      <c r="AN48" s="202"/>
      <c r="AO48" s="203"/>
      <c r="AP48" s="203"/>
      <c r="AQ48" s="954"/>
      <c r="AR48" s="947"/>
      <c r="AS48" s="947"/>
      <c r="AT48" s="956"/>
      <c r="AX48" s="768"/>
    </row>
    <row r="49" spans="1:50">
      <c r="A49" s="164"/>
      <c r="B49" s="164"/>
      <c r="C49" s="164"/>
      <c r="D49" s="164"/>
      <c r="E49" s="164"/>
      <c r="F49" s="164"/>
      <c r="G49" s="223"/>
      <c r="H49" s="959"/>
      <c r="I49" s="224"/>
      <c r="J49" s="224"/>
      <c r="K49" s="224"/>
      <c r="L49" s="955">
        <v>0</v>
      </c>
      <c r="M49" s="958"/>
      <c r="N49" s="958"/>
      <c r="O49" s="958"/>
      <c r="P49" s="957" t="s">
        <v>29</v>
      </c>
      <c r="Q49" s="958"/>
      <c r="R49" s="958"/>
      <c r="S49" s="958"/>
      <c r="T49" s="958"/>
      <c r="U49" s="958"/>
      <c r="V49" s="903"/>
      <c r="W49" s="222"/>
      <c r="X49" s="901"/>
      <c r="Y49" s="902"/>
      <c r="Z49" s="957" t="s">
        <v>29</v>
      </c>
      <c r="AA49" s="957" t="s">
        <v>29</v>
      </c>
      <c r="AB49" s="957" t="s">
        <v>29</v>
      </c>
      <c r="AC49" s="957" t="s">
        <v>29</v>
      </c>
      <c r="AD49" s="904"/>
      <c r="AE49" s="957" t="s">
        <v>29</v>
      </c>
      <c r="AF49" s="957" t="s">
        <v>29</v>
      </c>
      <c r="AG49" s="957" t="s">
        <v>29</v>
      </c>
      <c r="AH49" s="957" t="s">
        <v>29</v>
      </c>
      <c r="AI49" s="202"/>
      <c r="AJ49" s="202"/>
      <c r="AK49" s="202"/>
      <c r="AL49" s="202"/>
      <c r="AM49" s="202"/>
      <c r="AN49" s="202"/>
      <c r="AO49" s="203"/>
      <c r="AP49" s="203"/>
      <c r="AQ49" s="954"/>
      <c r="AR49" s="947"/>
      <c r="AS49" s="947"/>
      <c r="AT49" s="956"/>
      <c r="AX49" s="768"/>
    </row>
    <row r="50" spans="1:50">
      <c r="A50" s="164"/>
      <c r="B50" s="164"/>
      <c r="C50" s="164"/>
      <c r="D50" s="164"/>
      <c r="E50" s="164"/>
      <c r="F50" s="164"/>
      <c r="G50" s="223"/>
      <c r="H50" s="959"/>
      <c r="I50" s="224"/>
      <c r="J50" s="224"/>
      <c r="K50" s="224"/>
      <c r="L50" s="955">
        <v>0</v>
      </c>
      <c r="M50" s="958"/>
      <c r="N50" s="958"/>
      <c r="O50" s="958"/>
      <c r="P50" s="957" t="s">
        <v>29</v>
      </c>
      <c r="Q50" s="958"/>
      <c r="R50" s="958"/>
      <c r="S50" s="958"/>
      <c r="T50" s="958"/>
      <c r="U50" s="958"/>
      <c r="V50" s="903"/>
      <c r="W50" s="222"/>
      <c r="X50" s="901"/>
      <c r="Y50" s="902"/>
      <c r="Z50" s="957" t="s">
        <v>29</v>
      </c>
      <c r="AA50" s="957" t="s">
        <v>29</v>
      </c>
      <c r="AB50" s="957" t="s">
        <v>29</v>
      </c>
      <c r="AC50" s="957" t="s">
        <v>29</v>
      </c>
      <c r="AD50" s="904"/>
      <c r="AE50" s="957" t="s">
        <v>29</v>
      </c>
      <c r="AF50" s="957" t="s">
        <v>29</v>
      </c>
      <c r="AG50" s="957" t="s">
        <v>29</v>
      </c>
      <c r="AH50" s="957" t="s">
        <v>29</v>
      </c>
      <c r="AI50" s="202"/>
      <c r="AJ50" s="202"/>
      <c r="AK50" s="202"/>
      <c r="AL50" s="202"/>
      <c r="AM50" s="202"/>
      <c r="AN50" s="202"/>
      <c r="AO50" s="203"/>
      <c r="AP50" s="203"/>
      <c r="AQ50" s="954"/>
      <c r="AR50" s="947"/>
      <c r="AS50" s="947"/>
      <c r="AT50" s="956"/>
      <c r="AX50" s="768"/>
    </row>
  </sheetData>
  <autoFilter ref="A4:AX39" xr:uid="{3ACE76C3-A8E9-4A72-8755-358BC072EDED}"/>
  <mergeCells count="7">
    <mergeCell ref="N1:O1"/>
    <mergeCell ref="N2:O2"/>
    <mergeCell ref="AU3:AV3"/>
    <mergeCell ref="AD3:AH3"/>
    <mergeCell ref="AI3:AP3"/>
    <mergeCell ref="M3:U3"/>
    <mergeCell ref="V3:AC3"/>
  </mergeCells>
  <phoneticPr fontId="29" type="noConversion"/>
  <dataValidations count="6">
    <dataValidation type="list" allowBlank="1" showInputMessage="1" showErrorMessage="1" sqref="C42:C1048576" xr:uid="{00000000-0002-0000-0900-000004000000}">
      <formula1>#REF!</formula1>
    </dataValidation>
    <dataValidation type="list" allowBlank="1" showInputMessage="1" showErrorMessage="1" sqref="A5:A41" xr:uid="{EDC7313F-CB7F-447F-B4C9-CE6634ECA269}">
      <formula1>Sector</formula1>
    </dataValidation>
    <dataValidation type="list" allowBlank="1" showInputMessage="1" showErrorMessage="1" sqref="F5:F1048576" xr:uid="{00000000-0002-0000-0900-000000000000}">
      <formula1>EndUse</formula1>
    </dataValidation>
    <dataValidation type="list" allowBlank="1" showInputMessage="1" showErrorMessage="1" sqref="AI5:AI1048576 AK5:AK1048576 AM5:AM1048576" xr:uid="{00000000-0002-0000-0900-000003000000}">
      <formula1>FuelList</formula1>
    </dataValidation>
    <dataValidation type="list" allowBlank="1" showInputMessage="1" showErrorMessage="1" sqref="W51:W1972" xr:uid="{00000000-0002-0000-0900-000005000000}">
      <formula1>#REF!</formula1>
    </dataValidation>
    <dataValidation type="list" allowBlank="1" showInputMessage="1" showErrorMessage="1" sqref="AR5:AS50" xr:uid="{DD091ABD-3696-47F9-94AF-E1718F659E1D}">
      <formula1>"Yes, No, Mixed"</formula1>
    </dataValidation>
  </dataValidations>
  <pageMargins left="0.75" right="0.75" top="1" bottom="1" header="0.5" footer="0.5"/>
  <pageSetup orientation="portrait"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65ECB351-52A5-40A0-8C4C-86A8B30B13F8}">
          <x14:formula1>
            <xm:f>Lookups!$E$145:$E$174</xm:f>
          </x14:formula1>
          <xm:sqref>B5:B41</xm:sqref>
        </x14:dataValidation>
        <x14:dataValidation type="list" allowBlank="1" showInputMessage="1" showErrorMessage="1" xr:uid="{3FFCDDCD-1BDE-49D6-9B58-24E372453420}">
          <x14:formula1>
            <xm:f>Lookups!$E$197:$E$247</xm:f>
          </x14:formula1>
          <xm:sqref>C5:C41</xm:sqref>
        </x14:dataValidation>
        <x14:dataValidation type="list" allowBlank="1" showInputMessage="1" showErrorMessage="1" xr:uid="{23174E45-60B9-4071-B365-75BE49A38FC6}">
          <x14:formula1>
            <xm:f>DemandLookups!$A$6:$A$11</xm:f>
          </x14:formula1>
          <xm:sqref>W5:W50</xm:sqref>
        </x14:dataValidation>
        <x14:dataValidation type="list" allowBlank="1" showInputMessage="1" showErrorMessage="1" xr:uid="{C47CA398-C994-4CFA-830B-AA725D68389C}">
          <x14:formula1>
            <xm:f>AvoidedEnergy!$A$4:$A$10</xm:f>
          </x14:formula1>
          <xm:sqref>AQ5:AQ50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134D-11F0-4C49-8B4B-298B9C00B77A}">
  <sheetPr>
    <tabColor theme="0" tint="-0.34998626667073579"/>
    <pageSetUpPr fitToPage="1"/>
  </sheetPr>
  <dimension ref="A1:DW50"/>
  <sheetViews>
    <sheetView zoomScale="80" zoomScaleNormal="80" workbookViewId="0">
      <pane xSplit="6" ySplit="4" topLeftCell="K5" activePane="bottomRight" state="frozen"/>
      <selection activeCell="I24" sqref="I24"/>
      <selection pane="topRight" activeCell="I24" sqref="I24"/>
      <selection pane="bottomLeft" activeCell="I24" sqref="I24"/>
      <selection pane="bottomRight" activeCell="J17" sqref="J17"/>
    </sheetView>
  </sheetViews>
  <sheetFormatPr defaultColWidth="10" defaultRowHeight="12.75" outlineLevelCol="1"/>
  <cols>
    <col min="1" max="1" width="10.7109375" style="10" customWidth="1"/>
    <col min="2" max="2" width="17.7109375" style="10" customWidth="1"/>
    <col min="3" max="3" width="22" style="10" customWidth="1"/>
    <col min="4" max="4" width="65.28515625" style="10" bestFit="1" customWidth="1"/>
    <col min="5" max="5" width="15.85546875" style="10" bestFit="1" customWidth="1"/>
    <col min="6" max="6" width="17.42578125" style="33" bestFit="1" customWidth="1"/>
    <col min="7" max="7" width="14.85546875" style="34" bestFit="1" customWidth="1"/>
    <col min="8" max="8" width="10.7109375" style="33" customWidth="1"/>
    <col min="9" max="9" width="14.7109375" style="34" customWidth="1"/>
    <col min="10" max="11" width="14.42578125" style="34" customWidth="1"/>
    <col min="12" max="12" width="16.5703125" style="13" customWidth="1"/>
    <col min="13" max="14" width="16.5703125" style="35" customWidth="1"/>
    <col min="15" max="15" width="16.5703125" style="36" customWidth="1"/>
    <col min="16" max="16" width="16.5703125" style="35" customWidth="1"/>
    <col min="17" max="17" width="16.5703125" style="36" customWidth="1"/>
    <col min="18" max="21" width="16" style="36" customWidth="1"/>
    <col min="22" max="22" width="18.42578125" style="35" customWidth="1"/>
    <col min="23" max="24" width="18.42578125" style="36" customWidth="1"/>
    <col min="25" max="26" width="18.42578125" style="66" customWidth="1"/>
    <col min="27" max="52" width="17.42578125" style="46" hidden="1" customWidth="1" outlineLevel="1"/>
    <col min="53" max="55" width="17.42578125" style="95" hidden="1" customWidth="1" outlineLevel="1"/>
    <col min="56" max="56" width="17.28515625" style="13" customWidth="1" collapsed="1"/>
    <col min="57" max="59" width="17.28515625" style="13" customWidth="1"/>
    <col min="60" max="60" width="17.28515625" style="37" customWidth="1"/>
    <col min="61" max="65" width="17.28515625" style="3" customWidth="1"/>
    <col min="66" max="67" width="17.28515625" style="38" customWidth="1"/>
    <col min="68" max="74" width="18.140625" style="13" customWidth="1"/>
    <col min="75" max="75" width="18.140625" style="37" customWidth="1"/>
    <col min="76" max="76" width="21.85546875" style="37" customWidth="1"/>
    <col min="77" max="83" width="17.140625" style="13" customWidth="1" outlineLevel="1"/>
    <col min="84" max="84" width="17.140625" style="37" customWidth="1" outlineLevel="1"/>
    <col min="85" max="92" width="16" style="3" customWidth="1" outlineLevel="1"/>
    <col min="93" max="93" width="16" style="38" customWidth="1" outlineLevel="1"/>
    <col min="94" max="94" width="20.42578125" style="38" customWidth="1" outlineLevel="1"/>
    <col min="95" max="95" width="17" style="38" customWidth="1" outlineLevel="1"/>
    <col min="96" max="104" width="17" style="13" customWidth="1" outlineLevel="1"/>
    <col min="105" max="105" width="20.5703125" style="13" customWidth="1" outlineLevel="1"/>
    <col min="106" max="106" width="15.42578125" style="13" customWidth="1" outlineLevel="1" collapsed="1"/>
    <col min="107" max="108" width="21.28515625" style="13" customWidth="1" outlineLevel="1"/>
    <col min="109" max="114" width="22.7109375" style="43" customWidth="1" outlineLevel="1"/>
    <col min="115" max="115" width="20.5703125" style="43" bestFit="1" customWidth="1"/>
    <col min="116" max="118" width="20.5703125" style="43" customWidth="1"/>
    <col min="119" max="119" width="14.140625" style="3" bestFit="1" customWidth="1"/>
    <col min="120" max="120" width="8" style="3" bestFit="1" customWidth="1"/>
    <col min="121" max="121" width="11.5703125" style="3" customWidth="1"/>
    <col min="122" max="122" width="13" style="3" customWidth="1"/>
    <col min="123" max="123" width="11.5703125" style="3" customWidth="1"/>
    <col min="124" max="124" width="20.42578125" style="3" bestFit="1" customWidth="1"/>
    <col min="125" max="125" width="10" style="3"/>
    <col min="126" max="126" width="12.7109375" style="3" customWidth="1"/>
    <col min="127" max="127" width="11.5703125" style="3" bestFit="1" customWidth="1"/>
    <col min="128" max="16384" width="10" style="3"/>
  </cols>
  <sheetData>
    <row r="1" spans="1:127" s="212" customFormat="1" ht="25.5">
      <c r="A1" s="64" t="s">
        <v>74</v>
      </c>
      <c r="B1" s="65">
        <f>Year1</f>
        <v>2024</v>
      </c>
      <c r="C1" s="56"/>
      <c r="D1" s="56"/>
      <c r="E1" s="56"/>
      <c r="F1" s="4"/>
      <c r="G1" s="57"/>
      <c r="H1" s="4"/>
      <c r="I1" s="57"/>
      <c r="J1" s="57"/>
      <c r="K1" s="57"/>
      <c r="L1" s="13"/>
      <c r="M1" s="114"/>
      <c r="N1" s="58"/>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972"/>
      <c r="BI1" s="7"/>
      <c r="BJ1" s="7"/>
      <c r="BK1" s="7"/>
      <c r="BL1" s="7"/>
      <c r="BM1" s="7"/>
      <c r="BN1" s="7"/>
      <c r="BO1" s="7"/>
      <c r="BP1" s="1163" t="s">
        <v>882</v>
      </c>
      <c r="BQ1" s="7"/>
      <c r="BR1" s="1163" t="s">
        <v>882</v>
      </c>
      <c r="BS1" s="1163" t="s">
        <v>882</v>
      </c>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3"/>
      <c r="DQ1" s="1165" t="s">
        <v>881</v>
      </c>
      <c r="DR1" s="1165" t="s">
        <v>881</v>
      </c>
      <c r="DS1" s="1164" t="s">
        <v>882</v>
      </c>
    </row>
    <row r="2" spans="1:127" s="8" customFormat="1" ht="13.5" thickBot="1">
      <c r="A2" s="5"/>
      <c r="B2" s="5"/>
      <c r="C2" s="5"/>
      <c r="D2" s="6"/>
      <c r="E2" s="6"/>
      <c r="F2" s="6"/>
      <c r="G2" s="6"/>
      <c r="H2" s="6"/>
      <c r="I2" s="6"/>
      <c r="J2" s="6"/>
      <c r="K2" s="6"/>
      <c r="L2" s="7"/>
      <c r="M2" s="7"/>
      <c r="N2" s="7"/>
      <c r="O2" s="7"/>
      <c r="P2" s="7"/>
      <c r="Q2" s="7"/>
      <c r="R2" s="7"/>
      <c r="S2" s="7"/>
      <c r="T2" s="7"/>
      <c r="U2" s="7"/>
      <c r="V2" s="7"/>
      <c r="W2" s="7"/>
      <c r="X2" s="7"/>
      <c r="Y2" s="7"/>
      <c r="Z2" s="7"/>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98"/>
      <c r="BB2" s="98"/>
      <c r="BC2" s="98"/>
      <c r="BD2" s="7"/>
      <c r="BE2" s="7"/>
      <c r="BF2" s="7"/>
      <c r="BG2" s="7"/>
      <c r="BH2" s="1151">
        <v>3</v>
      </c>
      <c r="BI2" s="7"/>
      <c r="BJ2" s="7"/>
      <c r="BK2" s="7"/>
      <c r="BL2" s="7"/>
      <c r="BM2" s="53">
        <v>11</v>
      </c>
      <c r="BN2" s="7">
        <v>4</v>
      </c>
      <c r="BO2" s="54"/>
      <c r="BP2" s="7"/>
      <c r="BQ2" s="7">
        <v>15</v>
      </c>
      <c r="BR2" s="7"/>
      <c r="BS2" s="7"/>
      <c r="BT2" s="7">
        <v>22</v>
      </c>
      <c r="BU2" s="7">
        <v>23</v>
      </c>
      <c r="BV2" s="7">
        <v>24</v>
      </c>
      <c r="BW2" s="26"/>
      <c r="BX2" s="26"/>
      <c r="BY2" s="7">
        <v>25</v>
      </c>
      <c r="BZ2" s="7">
        <f t="shared" ref="BZ2:CE2" si="0">BY2+1</f>
        <v>26</v>
      </c>
      <c r="CA2" s="7">
        <f t="shared" si="0"/>
        <v>27</v>
      </c>
      <c r="CB2" s="7">
        <f t="shared" si="0"/>
        <v>28</v>
      </c>
      <c r="CC2" s="7">
        <f t="shared" si="0"/>
        <v>29</v>
      </c>
      <c r="CD2" s="7">
        <f t="shared" si="0"/>
        <v>30</v>
      </c>
      <c r="CE2" s="7">
        <f t="shared" si="0"/>
        <v>31</v>
      </c>
      <c r="CF2" s="26"/>
      <c r="CG2" s="53">
        <f>CE2+1</f>
        <v>32</v>
      </c>
      <c r="CH2" s="53">
        <f>CG2+1</f>
        <v>33</v>
      </c>
      <c r="CI2" s="53">
        <f t="shared" ref="CI2:CN2" si="1">CH2+1</f>
        <v>34</v>
      </c>
      <c r="CJ2" s="53">
        <f t="shared" si="1"/>
        <v>35</v>
      </c>
      <c r="CK2" s="53">
        <f t="shared" si="1"/>
        <v>36</v>
      </c>
      <c r="CL2" s="53">
        <f t="shared" si="1"/>
        <v>37</v>
      </c>
      <c r="CM2" s="53">
        <f t="shared" si="1"/>
        <v>38</v>
      </c>
      <c r="CN2" s="53">
        <f t="shared" si="1"/>
        <v>39</v>
      </c>
      <c r="CO2" s="55"/>
      <c r="CP2" s="55"/>
      <c r="CQ2" s="1152">
        <f>CN2+1</f>
        <v>40</v>
      </c>
      <c r="CR2" s="7">
        <f>CQ2+1</f>
        <v>41</v>
      </c>
      <c r="CS2" s="7">
        <f t="shared" ref="CS2:CZ2" si="2">CR2+1</f>
        <v>42</v>
      </c>
      <c r="CT2" s="7">
        <f t="shared" si="2"/>
        <v>43</v>
      </c>
      <c r="CU2" s="7">
        <f t="shared" si="2"/>
        <v>44</v>
      </c>
      <c r="CV2" s="7">
        <f t="shared" si="2"/>
        <v>45</v>
      </c>
      <c r="CW2" s="7">
        <f t="shared" si="2"/>
        <v>46</v>
      </c>
      <c r="CX2" s="7">
        <f t="shared" si="2"/>
        <v>47</v>
      </c>
      <c r="CY2" s="7">
        <f t="shared" si="2"/>
        <v>48</v>
      </c>
      <c r="CZ2" s="7">
        <f t="shared" si="2"/>
        <v>49</v>
      </c>
      <c r="DA2" s="7"/>
      <c r="DB2" s="7"/>
      <c r="DC2" s="7">
        <f>CZ2+1</f>
        <v>50</v>
      </c>
      <c r="DD2" s="7">
        <f>DC2+1</f>
        <v>51</v>
      </c>
      <c r="DE2" s="42"/>
      <c r="DF2" s="7">
        <f>DD2+1</f>
        <v>52</v>
      </c>
      <c r="DG2" s="7">
        <f>DF2+1</f>
        <v>53</v>
      </c>
      <c r="DH2" s="7">
        <f>DG2+1</f>
        <v>54</v>
      </c>
      <c r="DI2" s="7">
        <f>DH2+1</f>
        <v>55</v>
      </c>
      <c r="DJ2" s="42"/>
      <c r="DK2" s="42"/>
      <c r="DL2" s="42"/>
      <c r="DM2" s="42"/>
      <c r="DN2" s="42"/>
    </row>
    <row r="3" spans="1:127" s="212" customFormat="1" ht="15.75" customHeight="1">
      <c r="A3" s="1527" t="s">
        <v>76</v>
      </c>
      <c r="B3" s="1528"/>
      <c r="C3" s="1528"/>
      <c r="D3" s="1528"/>
      <c r="E3" s="1528"/>
      <c r="F3" s="1528"/>
      <c r="G3" s="1528"/>
      <c r="H3" s="1528"/>
      <c r="I3" s="1529" t="s">
        <v>82</v>
      </c>
      <c r="J3" s="1529"/>
      <c r="K3" s="1529"/>
      <c r="L3" s="1530" t="s">
        <v>145</v>
      </c>
      <c r="M3" s="1531"/>
      <c r="N3" s="1531"/>
      <c r="O3" s="1531"/>
      <c r="P3" s="1531"/>
      <c r="Q3" s="1531"/>
      <c r="R3" s="1531"/>
      <c r="S3" s="1531"/>
      <c r="T3" s="1531"/>
      <c r="U3" s="1532"/>
      <c r="V3" s="1533" t="s">
        <v>147</v>
      </c>
      <c r="W3" s="1533"/>
      <c r="X3" s="1533"/>
      <c r="Y3" s="1533"/>
      <c r="Z3" s="1533"/>
      <c r="AA3" s="1534" t="s">
        <v>233</v>
      </c>
      <c r="AB3" s="1535"/>
      <c r="AC3" s="1535"/>
      <c r="AD3" s="1536"/>
      <c r="AE3" s="1524" t="s">
        <v>633</v>
      </c>
      <c r="AF3" s="1525"/>
      <c r="AG3" s="1525"/>
      <c r="AH3" s="1526"/>
      <c r="AI3" s="1524" t="s">
        <v>634</v>
      </c>
      <c r="AJ3" s="1525"/>
      <c r="AK3" s="1525"/>
      <c r="AL3" s="1526"/>
      <c r="AM3" s="1524" t="s">
        <v>635</v>
      </c>
      <c r="AN3" s="1525"/>
      <c r="AO3" s="1525"/>
      <c r="AP3" s="1526"/>
      <c r="AQ3" s="1524" t="s">
        <v>636</v>
      </c>
      <c r="AR3" s="1525"/>
      <c r="AS3" s="1525"/>
      <c r="AT3" s="1526"/>
      <c r="AU3" s="1524" t="s">
        <v>637</v>
      </c>
      <c r="AV3" s="1525"/>
      <c r="AW3" s="1525"/>
      <c r="AX3" s="1526"/>
      <c r="AY3" s="1524" t="s">
        <v>639</v>
      </c>
      <c r="AZ3" s="1526"/>
      <c r="BA3" s="1524" t="s">
        <v>638</v>
      </c>
      <c r="BB3" s="1525"/>
      <c r="BC3" s="1526"/>
      <c r="BD3" s="1541" t="s">
        <v>153</v>
      </c>
      <c r="BE3" s="1542"/>
      <c r="BF3" s="1542"/>
      <c r="BG3" s="1542"/>
      <c r="BH3" s="1543"/>
      <c r="BI3" s="1508" t="s">
        <v>155</v>
      </c>
      <c r="BJ3" s="1509"/>
      <c r="BK3" s="1509"/>
      <c r="BL3" s="1509"/>
      <c r="BM3" s="1509"/>
      <c r="BN3" s="1510"/>
      <c r="BO3" s="158" t="s">
        <v>182</v>
      </c>
      <c r="BP3" s="1511" t="s">
        <v>154</v>
      </c>
      <c r="BQ3" s="1512"/>
      <c r="BR3" s="1512"/>
      <c r="BS3" s="1512"/>
      <c r="BT3" s="1512"/>
      <c r="BU3" s="1512"/>
      <c r="BV3" s="1512"/>
      <c r="BW3" s="1513"/>
      <c r="BX3" s="159" t="s">
        <v>80</v>
      </c>
      <c r="BY3" s="1514" t="s">
        <v>157</v>
      </c>
      <c r="BZ3" s="1515"/>
      <c r="CA3" s="1515"/>
      <c r="CB3" s="1515"/>
      <c r="CC3" s="1515"/>
      <c r="CD3" s="1515"/>
      <c r="CE3" s="1515"/>
      <c r="CF3" s="1516"/>
      <c r="CG3" s="1517" t="s">
        <v>158</v>
      </c>
      <c r="CH3" s="1517"/>
      <c r="CI3" s="1517"/>
      <c r="CJ3" s="1517"/>
      <c r="CK3" s="1517"/>
      <c r="CL3" s="1517"/>
      <c r="CM3" s="1517"/>
      <c r="CN3" s="1517"/>
      <c r="CO3" s="1517"/>
      <c r="CP3" s="159" t="s">
        <v>208</v>
      </c>
      <c r="CQ3" s="1518" t="s">
        <v>381</v>
      </c>
      <c r="CR3" s="1519"/>
      <c r="CS3" s="1519"/>
      <c r="CT3" s="1519"/>
      <c r="CU3" s="1519"/>
      <c r="CV3" s="1519"/>
      <c r="CW3" s="1519"/>
      <c r="CX3" s="1519"/>
      <c r="CY3" s="1519"/>
      <c r="CZ3" s="1520"/>
      <c r="DA3" s="159" t="s">
        <v>80</v>
      </c>
      <c r="DB3" s="1537" t="s">
        <v>648</v>
      </c>
      <c r="DC3" s="1537"/>
      <c r="DD3" s="1537"/>
      <c r="DE3" s="1537"/>
      <c r="DF3" s="1538" t="s">
        <v>652</v>
      </c>
      <c r="DG3" s="1539"/>
      <c r="DH3" s="1539"/>
      <c r="DI3" s="1539"/>
      <c r="DJ3" s="1540"/>
      <c r="DK3" s="1182" t="s">
        <v>117</v>
      </c>
      <c r="DL3" s="1185" t="s">
        <v>117</v>
      </c>
      <c r="DM3" s="1186" t="s">
        <v>117</v>
      </c>
      <c r="DN3" s="1183" t="s">
        <v>117</v>
      </c>
      <c r="DO3" s="1521" t="s">
        <v>867</v>
      </c>
      <c r="DP3" s="1522"/>
      <c r="DQ3" s="1522"/>
      <c r="DR3" s="1522"/>
      <c r="DS3" s="1522"/>
      <c r="DT3" s="1522"/>
      <c r="DU3" s="1522"/>
      <c r="DV3" s="1522"/>
      <c r="DW3" s="1523"/>
    </row>
    <row r="4" spans="1:127" s="213" customFormat="1" ht="63.75">
      <c r="A4" s="218" t="s">
        <v>5</v>
      </c>
      <c r="B4" s="219" t="s">
        <v>6</v>
      </c>
      <c r="C4" s="219" t="s">
        <v>272</v>
      </c>
      <c r="D4" s="49" t="s">
        <v>7</v>
      </c>
      <c r="E4" s="219" t="s">
        <v>886</v>
      </c>
      <c r="F4" s="49" t="s">
        <v>8</v>
      </c>
      <c r="G4" s="50" t="s">
        <v>78</v>
      </c>
      <c r="H4" s="49" t="s">
        <v>77</v>
      </c>
      <c r="I4" s="51" t="s">
        <v>217</v>
      </c>
      <c r="J4" s="51" t="s">
        <v>218</v>
      </c>
      <c r="K4" s="51" t="s">
        <v>219</v>
      </c>
      <c r="L4" s="52" t="s">
        <v>225</v>
      </c>
      <c r="M4" s="52" t="s">
        <v>162</v>
      </c>
      <c r="N4" s="52" t="s">
        <v>274</v>
      </c>
      <c r="O4" s="52" t="s">
        <v>163</v>
      </c>
      <c r="P4" s="59" t="s">
        <v>164</v>
      </c>
      <c r="Q4" s="60" t="s">
        <v>148</v>
      </c>
      <c r="R4" s="92" t="s">
        <v>149</v>
      </c>
      <c r="S4" s="92" t="s">
        <v>150</v>
      </c>
      <c r="T4" s="92" t="s">
        <v>151</v>
      </c>
      <c r="U4" s="93" t="s">
        <v>152</v>
      </c>
      <c r="V4" s="61" t="s">
        <v>79</v>
      </c>
      <c r="W4" s="62" t="s">
        <v>192</v>
      </c>
      <c r="X4" s="62" t="s">
        <v>190</v>
      </c>
      <c r="Y4" s="62" t="s">
        <v>209</v>
      </c>
      <c r="Z4" s="62" t="s">
        <v>191</v>
      </c>
      <c r="AA4" s="79" t="s">
        <v>202</v>
      </c>
      <c r="AB4" s="79" t="s">
        <v>203</v>
      </c>
      <c r="AC4" s="79" t="s">
        <v>194</v>
      </c>
      <c r="AD4" s="79" t="s">
        <v>195</v>
      </c>
      <c r="AE4" s="63" t="s">
        <v>204</v>
      </c>
      <c r="AF4" s="63" t="s">
        <v>205</v>
      </c>
      <c r="AG4" s="63" t="s">
        <v>196</v>
      </c>
      <c r="AH4" s="63" t="s">
        <v>197</v>
      </c>
      <c r="AI4" s="115" t="s">
        <v>206</v>
      </c>
      <c r="AJ4" s="115" t="s">
        <v>207</v>
      </c>
      <c r="AK4" s="115" t="s">
        <v>198</v>
      </c>
      <c r="AL4" s="115" t="s">
        <v>199</v>
      </c>
      <c r="AM4" s="63" t="s">
        <v>254</v>
      </c>
      <c r="AN4" s="63" t="s">
        <v>255</v>
      </c>
      <c r="AO4" s="63" t="s">
        <v>256</v>
      </c>
      <c r="AP4" s="63" t="s">
        <v>257</v>
      </c>
      <c r="AQ4" s="115" t="s">
        <v>260</v>
      </c>
      <c r="AR4" s="115" t="s">
        <v>261</v>
      </c>
      <c r="AS4" s="115" t="s">
        <v>262</v>
      </c>
      <c r="AT4" s="115" t="s">
        <v>263</v>
      </c>
      <c r="AU4" s="63" t="s">
        <v>264</v>
      </c>
      <c r="AV4" s="63" t="s">
        <v>265</v>
      </c>
      <c r="AW4" s="63" t="s">
        <v>266</v>
      </c>
      <c r="AX4" s="63" t="s">
        <v>267</v>
      </c>
      <c r="AY4" s="115" t="s">
        <v>275</v>
      </c>
      <c r="AZ4" s="115" t="s">
        <v>276</v>
      </c>
      <c r="BA4" s="99" t="s">
        <v>259</v>
      </c>
      <c r="BB4" s="116" t="s">
        <v>200</v>
      </c>
      <c r="BC4" s="99" t="s">
        <v>201</v>
      </c>
      <c r="BD4" s="59" t="s">
        <v>171</v>
      </c>
      <c r="BE4" s="59" t="s">
        <v>172</v>
      </c>
      <c r="BF4" s="59" t="s">
        <v>173</v>
      </c>
      <c r="BG4" s="59" t="s">
        <v>174</v>
      </c>
      <c r="BH4" s="67" t="s">
        <v>429</v>
      </c>
      <c r="BI4" s="72" t="s">
        <v>175</v>
      </c>
      <c r="BJ4" s="72" t="s">
        <v>176</v>
      </c>
      <c r="BK4" s="72" t="s">
        <v>177</v>
      </c>
      <c r="BL4" s="72" t="s">
        <v>178</v>
      </c>
      <c r="BM4" s="606" t="s">
        <v>640</v>
      </c>
      <c r="BN4" s="68" t="s">
        <v>179</v>
      </c>
      <c r="BO4" s="69" t="s">
        <v>180</v>
      </c>
      <c r="BP4" s="76" t="s">
        <v>183</v>
      </c>
      <c r="BQ4" s="77" t="s">
        <v>185</v>
      </c>
      <c r="BR4" s="77" t="s">
        <v>184</v>
      </c>
      <c r="BS4" s="245" t="s">
        <v>507</v>
      </c>
      <c r="BT4" s="245" t="s">
        <v>506</v>
      </c>
      <c r="BU4" s="77" t="s">
        <v>187</v>
      </c>
      <c r="BV4" s="77" t="s">
        <v>188</v>
      </c>
      <c r="BW4" s="70" t="s">
        <v>181</v>
      </c>
      <c r="BX4" s="71" t="s">
        <v>186</v>
      </c>
      <c r="BY4" s="78" t="str">
        <f>Lookups!E108</f>
        <v>NG - Res Non Heating</v>
      </c>
      <c r="BZ4" s="78" t="str">
        <f>Lookups!E106</f>
        <v>NG - Res Hot Water</v>
      </c>
      <c r="CA4" s="78" t="str">
        <f>Lookups!E107</f>
        <v>NG - Res Heating</v>
      </c>
      <c r="CB4" s="78" t="str">
        <f>Lookups!E105</f>
        <v>NG - Res All</v>
      </c>
      <c r="CC4" s="78" t="str">
        <f>Lookups!E109</f>
        <v>NG - C&amp; I Gas Non Heating</v>
      </c>
      <c r="CD4" s="78" t="str">
        <f>Lookups!E110</f>
        <v>NG - C&amp;I Gas Heat</v>
      </c>
      <c r="CE4" s="78" t="str">
        <f>Lookups!E111</f>
        <v>NG - C&amp;I Gas All</v>
      </c>
      <c r="CF4" s="73" t="s">
        <v>189</v>
      </c>
      <c r="CG4" s="79" t="s">
        <v>86</v>
      </c>
      <c r="CH4" s="79" t="s">
        <v>115</v>
      </c>
      <c r="CI4" s="79" t="s">
        <v>220</v>
      </c>
      <c r="CJ4" s="79" t="s">
        <v>221</v>
      </c>
      <c r="CK4" s="79" t="s">
        <v>222</v>
      </c>
      <c r="CL4" s="79" t="s">
        <v>114</v>
      </c>
      <c r="CM4" s="79" t="s">
        <v>224</v>
      </c>
      <c r="CN4" s="79" t="s">
        <v>223</v>
      </c>
      <c r="CO4" s="74" t="s">
        <v>156</v>
      </c>
      <c r="CP4" s="71" t="s">
        <v>193</v>
      </c>
      <c r="CQ4" s="80" t="str">
        <f>Lookups!E112</f>
        <v>Fuel Oil - Residential Distillate</v>
      </c>
      <c r="CR4" s="80" t="str">
        <f>Lookups!E113</f>
        <v>Fuel Oil - Com Fuel</v>
      </c>
      <c r="CS4" s="80" t="str">
        <f>Lookups!E114</f>
        <v>Fuel Oil - Industrial</v>
      </c>
      <c r="CT4" s="610" t="s">
        <v>603</v>
      </c>
      <c r="CU4" s="80" t="str">
        <f>Lookups!E115</f>
        <v>Kerosene</v>
      </c>
      <c r="CV4" s="80" t="str">
        <f>Lookups!E116</f>
        <v>Propane</v>
      </c>
      <c r="CW4" s="80" t="str">
        <f>Lookups!E117</f>
        <v>Cord Wood</v>
      </c>
      <c r="CX4" s="162" t="str">
        <f>Lookups!E118</f>
        <v>Pellet Wood</v>
      </c>
      <c r="CY4" s="80" t="str">
        <f>Lookups!E119</f>
        <v>Res Water</v>
      </c>
      <c r="CZ4" s="163" t="str">
        <f>Lookups!E120</f>
        <v>C&amp;I Water</v>
      </c>
      <c r="DA4" s="71" t="s">
        <v>159</v>
      </c>
      <c r="DB4" s="217" t="s">
        <v>427</v>
      </c>
      <c r="DC4" s="217" t="s">
        <v>515</v>
      </c>
      <c r="DD4" s="616" t="s">
        <v>524</v>
      </c>
      <c r="DE4" s="75" t="s">
        <v>428</v>
      </c>
      <c r="DF4" s="613" t="s">
        <v>653</v>
      </c>
      <c r="DG4" s="613" t="s">
        <v>654</v>
      </c>
      <c r="DH4" s="613" t="s">
        <v>655</v>
      </c>
      <c r="DI4" s="613" t="s">
        <v>656</v>
      </c>
      <c r="DJ4" s="614" t="s">
        <v>657</v>
      </c>
      <c r="DK4" s="1181" t="s">
        <v>895</v>
      </c>
      <c r="DL4" s="1187" t="s">
        <v>896</v>
      </c>
      <c r="DM4" s="1188" t="s">
        <v>897</v>
      </c>
      <c r="DN4" s="1184" t="s">
        <v>898</v>
      </c>
      <c r="DO4" s="1153" t="s">
        <v>796</v>
      </c>
      <c r="DP4" s="1154" t="s">
        <v>797</v>
      </c>
      <c r="DQ4" s="969" t="s">
        <v>883</v>
      </c>
      <c r="DR4" s="969" t="s">
        <v>884</v>
      </c>
      <c r="DS4" s="969" t="s">
        <v>885</v>
      </c>
      <c r="DT4" s="1155" t="s">
        <v>667</v>
      </c>
      <c r="DU4" s="1154" t="s">
        <v>798</v>
      </c>
      <c r="DV4" s="1154" t="s">
        <v>799</v>
      </c>
      <c r="DW4" s="967" t="s">
        <v>879</v>
      </c>
    </row>
    <row r="5" spans="1:127">
      <c r="A5" s="160" t="str">
        <f>IF(ADRYr1!$B5=0,"",ADRYr1!A5)</f>
        <v>A - Residential</v>
      </c>
      <c r="B5" s="9" t="str">
        <f>IF(ADRYr1!$B5=0,"",ADRYr1!B5)</f>
        <v>A5 - Residential Active Demand Response</v>
      </c>
      <c r="C5" s="9" t="str">
        <f>IF(ADRYr1!$B5=0,"",ADRYr1!C5)</f>
        <v>A5a - Residential Active Demand Response</v>
      </c>
      <c r="D5" s="9" t="str">
        <f>IF(ADRYr1!$B5=0,"",ADRYr1!D5)</f>
        <v>Direct Load Control Targeted Dispatch Upfront/Annual Incentive Summer</v>
      </c>
      <c r="E5" s="9" t="str">
        <f>IF(ADRYr1!$B5=0,"",ADRYr1!E5)</f>
        <v>E21A5a001</v>
      </c>
      <c r="F5" s="11" t="str">
        <f>IF(ADRYr1!$B5=0,"",ADRYr1!F5)</f>
        <v>Behavior</v>
      </c>
      <c r="G5" s="12">
        <f>IF(ADRYr1!$G5&lt;&gt;0,ADRYr1!G5,"")</f>
        <v>750</v>
      </c>
      <c r="H5" s="960">
        <f>IF($G5="","",ROUND(ADRYr1!H5,0))</f>
        <v>1</v>
      </c>
      <c r="I5" s="47">
        <f>IF($G5="","",ADRYr1!I5*ADRYr1!P5*G5)</f>
        <v>37500</v>
      </c>
      <c r="J5" s="47">
        <f>IF($G5="","",ADRYr1!J5*G5)</f>
        <v>37500</v>
      </c>
      <c r="K5" s="47">
        <f>IF($G5="","",I5-J5)</f>
        <v>0</v>
      </c>
      <c r="L5" s="27">
        <f>IF($G5="","",ADRYr1!V5*G5/1000)</f>
        <v>0</v>
      </c>
      <c r="M5" s="27">
        <f>IF($G5="","",L5*ADRYr1!$Q5*ADRYr1!$R5)</f>
        <v>0</v>
      </c>
      <c r="N5" s="27">
        <f>IFERROR(L5*H5,"")</f>
        <v>0</v>
      </c>
      <c r="O5" s="27">
        <f>IF($G5="","",M5*$H5)</f>
        <v>0</v>
      </c>
      <c r="P5" s="27">
        <f>IF($G5="","",M5*ADRYr1!P5)</f>
        <v>0</v>
      </c>
      <c r="Q5" s="27">
        <f>IF($G5="","",P5*$H5)</f>
        <v>0</v>
      </c>
      <c r="R5" s="27">
        <f>IF($G5="","",$Q5*ADRYr1!Z5)</f>
        <v>0</v>
      </c>
      <c r="S5" s="27">
        <f>IF($G5="","",$Q5*ADRYr1!AA5)</f>
        <v>0</v>
      </c>
      <c r="T5" s="27">
        <f>IF($G5="","",$Q5*ADRYr1!AB5)</f>
        <v>0</v>
      </c>
      <c r="U5" s="27">
        <f>IF($G5="","",$Q5*ADRYr1!AC5)</f>
        <v>0</v>
      </c>
      <c r="V5" s="27">
        <f>IF($G5="","",G5*ADRYr1!$AD5*ADRYr1!$P5*ADRYr1!$Q5)</f>
        <v>638</v>
      </c>
      <c r="W5" s="27">
        <f>IF($G5="","",$G5*ADRYr1!$AD5*ADRYr1!$AF5*ADRYr1!Q5*ADRYr1!$S5)</f>
        <v>0</v>
      </c>
      <c r="X5" s="27">
        <f>IF($G5="","",$G5*ADRYr1!$AD5*ADRYr1!$AF5*ADRYr1!P5*ADRYr1!Q5*ADRYr1!$S5)</f>
        <v>0</v>
      </c>
      <c r="Y5" s="27">
        <f>IF($G5="","",$G5*ADRYr1!$AD5*ADRYr1!$AE5*ADRYr1!Q5*ADRYr1!$T5)</f>
        <v>638</v>
      </c>
      <c r="Z5" s="27">
        <f>IF($G5="","",$G5*ADRYr1!$AD5*ADRYr1!$AE5*ADRYr1!P5*ADRYr1!Q5*ADRYr1!$T5)</f>
        <v>638</v>
      </c>
      <c r="AA5" s="45">
        <f>IF($G5="","",$G5*ADRYr1!$Q5*ADRYr1!$U5*(IF(IFERROR(SEARCH("NG", ADRYr1!$AI5),0),ADRYr1!$AJ5,0)+IF(IFERROR(SEARCH("NG", ADRYr1!$AK5),0),ADRYr1!$AL5,0)+IF(IFERROR(SEARCH("NG", ADRYr1!$AM5),0),ADRYr1!$AN5,0)))</f>
        <v>0</v>
      </c>
      <c r="AB5" s="45">
        <f>IF($G5="","",AA5*$H5)</f>
        <v>0</v>
      </c>
      <c r="AC5" s="45">
        <f>IF($G5="",0,AA5*ADRYr1!$P5)</f>
        <v>0</v>
      </c>
      <c r="AD5" s="45">
        <f>IF($G5="","",AC5*$H5)</f>
        <v>0</v>
      </c>
      <c r="AE5" s="45">
        <f>IF($G5="","",$G5*ADRYr1!$Q5*ADRYr1!$U5*(IF(IFERROR(SEARCH("Oil", ADRYr1!$AI5), 0),ADRYr1!$AJ5,0)+IF(IFERROR(SEARCH("Oil", ADRYr1!$AK5), 0),ADRYr1!$AL5,0)+IF(IFERROR(SEARCH("Oil", ADRYr1!$AM5), 0),ADRYr1!$AN5,0)))</f>
        <v>0</v>
      </c>
      <c r="AF5" s="45">
        <f>IF($G5="","",AE5*$H5)</f>
        <v>0</v>
      </c>
      <c r="AG5" s="45">
        <f>IF($G5="",0,AE5*ADRYr1!$P5)</f>
        <v>0</v>
      </c>
      <c r="AH5" s="45">
        <f>IF($G5="","",AG5*$H5)</f>
        <v>0</v>
      </c>
      <c r="AI5" s="45">
        <f>IF($G5="","",$G5*ADRYr1!$Q5*ADRYr1!$U5*(IF(ADRYr1!$AI5=Lookups!$E$116,ADRYr1!$AJ5,IF(ADRYr1!$AK5=Lookups!$E$116,ADRYr1!$AL5,IF(ADRYr1!$AM5=Lookups!$E$116,ADRYr1!$AN5,0)))))</f>
        <v>0</v>
      </c>
      <c r="AJ5" s="45">
        <f>IF($G5="","",AI5*$H5)</f>
        <v>0</v>
      </c>
      <c r="AK5" s="45">
        <f>IF($G5="",0,AI5*ADRYr1!$P5)</f>
        <v>0</v>
      </c>
      <c r="AL5" s="45">
        <f>IF($G5="","",AK5*$H5)</f>
        <v>0</v>
      </c>
      <c r="AM5" s="45">
        <f>IF($G5="","",$G5*ADRYr1!$Q5*ADRYr1!$U5*(IF(ADRYr1!$AI5=Lookups!$E$115,ADRYr1!$AJ5,IF(ADRYr1!$AK5=Lookups!$E$115,ADRYr1!$AL5,IF(ADRYr1!$AM5=Lookups!$E$115,ADRYr1!$AN5,0)))))</f>
        <v>0</v>
      </c>
      <c r="AN5" s="45">
        <f>IF($G5="","",AM5*$H5)</f>
        <v>0</v>
      </c>
      <c r="AO5" s="45">
        <f>IF($G5="",0,AM5*ADRYr1!$P5)</f>
        <v>0</v>
      </c>
      <c r="AP5" s="45">
        <f>IF($G5="","",AO5*$H5)</f>
        <v>0</v>
      </c>
      <c r="AQ5" s="45">
        <f>IF($G5="","",$G5*ADRYr1!$Q5*ADRYr1!$U5*(IF(ADRYr1!$AI5=Lookups!$E$117,ADRYr1!$AJ5,IF(ADRYr1!$AK5=Lookups!$E$117,ADRYr1!$AL5,IF(ADRYr1!$AM5=Lookups!$E$117,ADRYr1!$AN5,0)))))</f>
        <v>0</v>
      </c>
      <c r="AR5" s="45">
        <f>IF($G5="","",AQ5*$H5)</f>
        <v>0</v>
      </c>
      <c r="AS5" s="45">
        <f>IF($G5="","",AQ5*ADRYr1!$P5)</f>
        <v>0</v>
      </c>
      <c r="AT5" s="45">
        <f>IF($G5="","",AS5*$H5)</f>
        <v>0</v>
      </c>
      <c r="AU5" s="45">
        <f>IF($G5="","",$G5*ADRYr1!$Q5*ADRYr1!$U5*(IF(ADRYr1!$AI5=Lookups!$E$118,ADRYr1!$AJ5,IF(ADRYr1!$AK5=Lookups!$E$118,ADRYr1!$AL5,IF(ADRYr1!$AM5=Lookups!$E$118,ADRYr1!$AN5,0)))))</f>
        <v>0</v>
      </c>
      <c r="AV5" s="45">
        <f>IF($G5="","",AU5*$H5)</f>
        <v>0</v>
      </c>
      <c r="AW5" s="45">
        <f>IF($G5="","",AU5*ADRYr1!$P5)</f>
        <v>0</v>
      </c>
      <c r="AX5" s="45">
        <f>IF($G5="","",AW5*$H5)</f>
        <v>0</v>
      </c>
      <c r="AY5" s="45">
        <f>SUM(AC5,AG5,AK5,AO5,AS5,AW5)</f>
        <v>0</v>
      </c>
      <c r="AZ5" s="45">
        <f>SUM(AD5,AH5,AL5,AP5,AT5,AX5)</f>
        <v>0</v>
      </c>
      <c r="BA5" s="101">
        <f>IF($G5="","",$G5*ADRYr1!$P5*ADRYr1!$Q5*ADRYr1!$U5*ADRYr1!AO5)</f>
        <v>0</v>
      </c>
      <c r="BB5" s="102">
        <f>IF($G5="","",$G5*ADRYr1!$P5*ADRYr1!$Q5*ADRYr1!$U5*ADRYr1!AP5)</f>
        <v>0</v>
      </c>
      <c r="BC5" s="100">
        <f>IF($G5="","",SUM(BA5:BB5)*$H5)</f>
        <v>0</v>
      </c>
      <c r="BD5" s="961"/>
      <c r="BE5" s="961"/>
      <c r="BF5" s="961"/>
      <c r="BG5" s="961"/>
      <c r="BH5" s="962">
        <f t="shared" ref="BH5:BH50" si="3">IF($G5="","",((1+$DW5)*INDEX(avoidedcosttblADM,MATCH($DT5,avoidedcosttblADMkey,0),BH$2)*$P5*1000))</f>
        <v>0</v>
      </c>
      <c r="BI5" s="961"/>
      <c r="BJ5" s="961"/>
      <c r="BK5" s="961"/>
      <c r="BL5" s="961"/>
      <c r="BM5" s="30">
        <f t="shared" ref="BM5:BM50" si="4">IF($G5="","",(1+AveLoss)*((INDEX(avoidedcosttbl,$H5,BM$2))+(($H5-ROUNDDOWN($H5,0))*((INDEX(avoidedcosttbl,ROUNDUP($H5,0),BM$2))-(INDEX(avoidedcosttbl,ROUNDDOWN($H5,0),BM$2)))))*$P5*1000)</f>
        <v>0</v>
      </c>
      <c r="BN5" s="963">
        <f t="shared" ref="BN5:BN50" si="5">IF($G5="","",((1+$DW5)*INDEX(avoidedcosttblADM,MATCH($DT5,avoidedcosttblADMkey,0),BN$2)*$P5*1000)+BM5)</f>
        <v>0</v>
      </c>
      <c r="BO5" s="31">
        <f>IF($G5="","",SUM(BH5,BN5))</f>
        <v>0</v>
      </c>
      <c r="BP5" s="964">
        <f t="shared" ref="BP5:BP50" si="6">IF($G5="","",(1+SumPeakEnergyLL)*$Z5*$DV5*IF($DP5="No",
INDEX(avoidedcosttblADMcapYr1,1,$H5)+(($H5-ROUNDDOWN($H5,0))*(INDEX(avoidedcosttblADMcapYr1,ROUNDUP($H5,0),1)-(INDEX(avoidedcosttblADMcapYr1,ROUNDDOWN($H5,0),1)))),
INDEX(avoidedcosttbl,$H5,$DQ5)+(($H5-ROUNDDOWN($H5,0))*(INDEX(avoidedcosttbl,ROUNDUP($H5,0),$DQ5)-(INDEX(avoidedcosttbl,ROUNDDOWN($H5,0),$DQ5))))))</f>
        <v>4760.1765138889677</v>
      </c>
      <c r="BQ5" s="28">
        <f t="shared" ref="BQ5:BQ50" si="7">IF($G5="","",(1+WntPeakEnergyLL)*(INDEX(avoidedcosttbl,$H5,BQ$2)+(($H5-ROUNDDOWN($H5,0))*(INDEX(avoidedcosttbl,ROUNDUP($H5,0),BQ$2)-(INDEX(avoidedcosttbl,ROUNDDOWN($H5,0),BQ$2)))))*$X5)</f>
        <v>0</v>
      </c>
      <c r="BR5" s="964">
        <f t="shared" ref="BR5:BR50" si="8">IF($G5="","",(1+SumPeakEnergyLL)*$Z5*$DV5*IF($DP5="No",
INDEX(avoidedcosttblADMcapDRIPEYr1,1,$H5)+(($H5-ROUNDDOWN($H5,0))*(INDEX(avoidedcosttblADMcapDRIPEYr1,ROUNDUP($H5,0),1)-(INDEX(avoidedcosttblADMcapDRIPEYr1,ROUNDDOWN($H5,0),1)))),
INDEX(avoidedcosttbl,$H5,$DR5)+(($H5-ROUNDDOWN($H5,0))*(INDEX(avoidedcosttbl,ROUNDUP($H5,0),$DR5)-(INDEX(avoidedcosttbl,ROUNDDOWN($H5,0),$DR5))))))</f>
        <v>2048.4290622761969</v>
      </c>
      <c r="BS5" s="964">
        <f t="shared" ref="BS5:BS50" si="9">IF($G5="","",(1+SumPeakEnergyLL)*$Z5*(INDEX(avoidedcosttbl,$H5,$DS5)+(($H5-ROUNDDOWN($H5,0))*(INDEX(avoidedcosttbl,ROUNDUP($H5,0),$DS5)-(INDEX(avoidedcosttbl,ROUNDDOWN($H5,0),$DS5))))))</f>
        <v>0</v>
      </c>
      <c r="BT5" s="28">
        <f t="shared" ref="BT5:BV24" si="10">IF($G5="","",(INDEX(avoidedcosttbl,$H5,BT$2)+(($H5-ROUNDDOWN($H5,0))*(INDEX(avoidedcosttbl,ROUNDUP($H5,0),BT$2)-(INDEX(avoidedcosttbl,ROUNDDOWN($H5,0),BT$2)))))*$Z5)</f>
        <v>63937.809186869708</v>
      </c>
      <c r="BU5" s="28">
        <f t="shared" si="10"/>
        <v>0</v>
      </c>
      <c r="BV5" s="28">
        <f t="shared" si="10"/>
        <v>77734.104427107464</v>
      </c>
      <c r="BW5" s="29">
        <f>IF($G5="","",SUM(BP5:BV5))</f>
        <v>148480.51919014234</v>
      </c>
      <c r="BX5" s="29">
        <f>IF($G5="","",BO5+BW5)</f>
        <v>148480.51919014234</v>
      </c>
      <c r="BY5" s="28">
        <f>IF($G5="","",$G5*(IF(ADRYr1!$AI5=BY$4,ADRYr1!$AJ5,IF(ADRYr1!$AK5=BY$4,ADRYr1!$AL5,IF(ADRYr1!$AM5=BY$4,ADRYr1!$AN5,0))))*(INDEX(avoidedcosttbl,$H5,BY$2)+(($H5-ROUNDDOWN($H5,0))*(INDEX(avoidedcosttbl,ROUNDUP($H5,0),BY$2)-(INDEX(avoidedcosttbl,ROUNDDOWN($H5,0),BY$2)))))*ADRYr1!P5*ADRYr1!Q5*ADRYr1!U5)</f>
        <v>0</v>
      </c>
      <c r="BZ5" s="28">
        <f>IF($G5="","",$G5*(IF(ADRYr1!$AI5=BZ$4,ADRYr1!$AJ5,IF(ADRYr1!$AK5=BZ$4,ADRYr1!$AL5,IF(ADRYr1!$AM5=BZ$4,ADRYr1!$AN5,0))))*(INDEX(avoidedcosttbl,$H5,BZ$2)+(($H5-ROUNDDOWN($H5,0))*(INDEX(avoidedcosttbl,ROUNDUP($H5,0),BZ$2)-(INDEX(avoidedcosttbl,ROUNDDOWN($H5,0),BZ$2)))))*ADRYr1!P5*ADRYr1!Q5*ADRYr1!U5)</f>
        <v>0</v>
      </c>
      <c r="CA5" s="28">
        <f>IF($G5="","",$G5*(IF(ADRYr1!$AI5=CA$4,ADRYr1!$AJ5,IF(ADRYr1!$AK5=CA$4,ADRYr1!$AL5,IF(ADRYr1!$AM5=CA$4,ADRYr1!$AN5,0))))*(INDEX(avoidedcosttbl,$H5,CA$2)+(($H5-ROUNDDOWN($H5,0))*(INDEX(avoidedcosttbl,ROUNDUP($H5,0),CA$2)-(INDEX(avoidedcosttbl,ROUNDDOWN($H5,0),CA$2)))))*ADRYr1!P5*ADRYr1!Q5*ADRYr1!U5)</f>
        <v>0</v>
      </c>
      <c r="CB5" s="28">
        <f>IF($G5="","",$G5*(IF(ADRYr1!$AI5=CB$4,ADRYr1!$AJ5,IF(ADRYr1!$AK5=CB$4,ADRYr1!$AL5,IF(ADRYr1!$AM5=CB$4,ADRYr1!$AN5,0))))*(INDEX(avoidedcosttbl,$H5,CB$2)+(($H5-ROUNDDOWN($H5,0))*(INDEX(avoidedcosttbl,ROUNDUP($H5,0),CB$2)-(INDEX(avoidedcosttbl,ROUNDDOWN($H5,0),CB$2)))))*ADRYr1!P5*ADRYr1!Q5*ADRYr1!U5)</f>
        <v>0</v>
      </c>
      <c r="CC5" s="28">
        <f>IF($G5="","",$G5*(IF(ADRYr1!$AI5=CC$4,ADRYr1!$AJ5,IF(ADRYr1!$AK5=CC$4,ADRYr1!$AL5,IF(ADRYr1!$AM5=CC$4,ADRYr1!$AN5,0))))*(INDEX(avoidedcosttbl,$H5,CC$2)+(($H5-ROUNDDOWN($H5,0))*(INDEX(avoidedcosttbl,ROUNDUP($H5,0),CC$2)-(INDEX(avoidedcosttbl,ROUNDDOWN($H5,0),CC$2)))))*ADRYr1!P5*ADRYr1!Q5*ADRYr1!U5)</f>
        <v>0</v>
      </c>
      <c r="CD5" s="28">
        <f>IF($G5="","",$G5*(IF(ADRYr1!$AI5=CD$4,ADRYr1!$AJ5,IF(ADRYr1!$AK5=CD$4,ADRYr1!$AL5,IF(ADRYr1!$AM5=CD$4,ADRYr1!$AN5,0))))*(INDEX(avoidedcosttbl,$H5,CD$2)+(($H5-ROUNDDOWN($H5,0))*(INDEX(avoidedcosttbl,ROUNDUP($H5,0),CD$2)-(INDEX(avoidedcosttbl,ROUNDDOWN($H5,0),CD$2)))))*ADRYr1!P5*ADRYr1!Q5*ADRYr1!U5)</f>
        <v>0</v>
      </c>
      <c r="CE5" s="28">
        <f>IF($G5="","",$G5*(IF(ADRYr1!$AI5=CE$4,ADRYr1!$AJ5,IF(ADRYr1!$AK5=CE$4,ADRYr1!$AL5,IF(ADRYr1!$AM5=CE$4,ADRYr1!$AN5,0))))*(INDEX(avoidedcosttbl,$H5,CE$2)+(($H5-ROUNDDOWN($H5,0))*(INDEX(avoidedcosttbl,ROUNDUP($H5,0),CE$2)-(INDEX(avoidedcosttbl,ROUNDDOWN($H5,0),CE$2)))))*ADRYr1!P5*ADRYr1!Q5*ADRYr1!U5)</f>
        <v>0</v>
      </c>
      <c r="CF5" s="41">
        <f>IF($G5="","",SUM(BY5:CE5))</f>
        <v>0</v>
      </c>
      <c r="CG5" s="30">
        <f t="shared" ref="CG5:CG50" si="11">IF($G5="","",$AC5*((INDEX(avoidedcosttbl,$H5,CG$2))+(($H5-ROUNDDOWN($H5,0))*((INDEX(avoidedcosttbl,ROUNDUP($H5,0),CG$2))-(INDEX(avoidedcosttbl,ROUNDDOWN($H5,0),CG$2))))))</f>
        <v>0</v>
      </c>
      <c r="CH5" s="30">
        <f>IF($G5="","",$G5*(IF(ADRYr1!$AI5=BY$4,ADRYr1!$AJ5,IF(ADRYr1!$AK5=BY$4,ADRYr1!$AL5,IF(ADRYr1!$AM5=BY$4,ADRYr1!$AN5,0))))*(INDEX(avoidedcosttbl,$H5,CH$2)+(($H5-ROUNDDOWN($H5,0))*(INDEX(avoidedcosttbl,ROUNDUP($H5,0),CH$2)-(INDEX(avoidedcosttbl,ROUNDDOWN($H5,0),CH$2)))))*ADRYr1!P5*ADRYr1!Q5*ADRYr1!U5)</f>
        <v>0</v>
      </c>
      <c r="CI5" s="30">
        <f>IF($G5="","",$G5*(IF(ADRYr1!$AI5=BZ$4,ADRYr1!$AJ5,IF(ADRYr1!$AK5=BZ$4,ADRYr1!$AL5,IF(ADRYr1!$AM5=BZ$4,ADRYr1!$AN5,0))))*(INDEX(avoidedcosttbl,$H5,CI$2)+(($H5-ROUNDDOWN($H5,0))*(INDEX(avoidedcosttbl,ROUNDUP($H5,0),CI$2)-(INDEX(avoidedcosttbl,ROUNDDOWN($H5,0),CI$2)))))*ADRYr1!P5*ADRYr1!Q5*ADRYr1!U5)</f>
        <v>0</v>
      </c>
      <c r="CJ5" s="30">
        <f>IF($G5="","",$G5*(IF(ADRYr1!$AI5=CA$4,ADRYr1!$AJ5,IF(ADRYr1!$AK5=CA$4,ADRYr1!$AL5,IF(ADRYr1!$AM5=CA$4,ADRYr1!$AN5,0))))*(INDEX(avoidedcosttbl,$H5,CJ$2)+(($H5-ROUNDDOWN($H5,0))*(INDEX(avoidedcosttbl,ROUNDUP($H5,0),CJ$2)-(INDEX(avoidedcosttbl,ROUNDDOWN($H5,0),CJ$2)))))*ADRYr1!P5*ADRYr1!Q5*ADRYr1!U5)</f>
        <v>0</v>
      </c>
      <c r="CK5" s="30">
        <f>IF($G5="","",$G5*(IF(ADRYr1!$AI5=CB$4,ADRYr1!$AJ5,IF(ADRYr1!$AK5=CB$4,ADRYr1!$AL5,IF(ADRYr1!$AM5=CB$4,ADRYr1!$AN5,0))))*(INDEX(avoidedcosttbl,$H5,CK$2)+(($H5-ROUNDDOWN($H5,0))*(INDEX(avoidedcosttbl,ROUNDUP($H5,0),CK$2)-(INDEX(avoidedcosttbl,ROUNDDOWN($H5,0),CK$2)))))*ADRYr1!P5*ADRYr1!Q5*ADRYr1!U5)</f>
        <v>0</v>
      </c>
      <c r="CL5" s="30">
        <f>IF($G5="","",$G5*(IF(ADRYr1!$AI5=CC$4,ADRYr1!$AJ5,IF(ADRYr1!$AK5=CC$4,ADRYr1!$AL5,IF(ADRYr1!$AM5=CC$4,ADRYr1!$AN5,0))))*(INDEX(avoidedcosttbl,$H5,CL$2)+(($H5-ROUNDDOWN($H5,0))*(INDEX(avoidedcosttbl,ROUNDUP($H5,0),CL$2)-(INDEX(avoidedcosttbl,ROUNDDOWN($H5,0),CL$2)))))*ADRYr1!P5*ADRYr1!Q5*ADRYr1!U5)</f>
        <v>0</v>
      </c>
      <c r="CM5" s="30">
        <f>IF($G5="","",$G5*(IF(ADRYr1!$AI5=CD$4,ADRYr1!$AJ5,IF(ADRYr1!$AK5=CD$4,ADRYr1!$AL5,IF(ADRYr1!$AM5=CD$4,ADRYr1!$AN5,0))))*(INDEX(avoidedcosttbl,$H5,CM$2)+(($H5-ROUNDDOWN($H5,0))*(INDEX(avoidedcosttbl,ROUNDUP($H5,0),CM$2)-(INDEX(avoidedcosttbl,ROUNDDOWN($H5,0),CM$2)))))*ADRYr1!P5*ADRYr1!Q5*ADRYr1!U5)</f>
        <v>0</v>
      </c>
      <c r="CN5" s="30">
        <f>IF($G5="","",$G5*(IF(ADRYr1!$AI5=CE$4,ADRYr1!$AJ5,IF(ADRYr1!$AK5=CE$4,ADRYr1!$AL5,IF(ADRYr1!$AM5=CE$4,ADRYr1!$AN5,0))))*(INDEX(avoidedcosttbl,$H5,CN$2)+(($H5-ROUNDDOWN($H5,0))*(INDEX(avoidedcosttbl,ROUNDUP($H5,0),CN$2)-(INDEX(avoidedcosttbl,ROUNDDOWN($H5,0),CN$2)))))*ADRYr1!P5*ADRYr1!Q5*ADRYr1!U5)</f>
        <v>0</v>
      </c>
      <c r="CO5" s="220">
        <f>IF($G5="","",SUM(CG5:CN5))</f>
        <v>0</v>
      </c>
      <c r="CP5" s="220">
        <f>IF($G5="","",CF5+CO5)</f>
        <v>0</v>
      </c>
      <c r="CQ5" s="157">
        <f>IF($G5="","",$G5*(IF(ADRYr1!$AI5=CQ$4,ADRYr1!$AJ5,IF(ADRYr1!$AK5=CQ$4,ADRYr1!$AL5,IF(ADRYr1!$AM5=CQ$4,ADRYr1!$AN5,0))))*(INDEX(avoidedcosttbl,$H5,CQ$2)+(($H5-ROUNDDOWN($H5,0))*(INDEX(avoidedcosttbl,ROUNDUP($H5,0),CQ$2)-(INDEX(avoidedcosttbl,ROUNDDOWN($H5,0),CQ$2)))))*ADRYr1!$P5*ADRYr1!$Q5*ADRYr1!$U5)</f>
        <v>0</v>
      </c>
      <c r="CR5" s="28">
        <f>IF($G5="","",G5*(IF(ADRYr1!$AI5=CR$4,ADRYr1!$AJ5,IF(ADRYr1!$AK5=CR$4,ADRYr1!$AL5,IF(ADRYr1!$AM5=CR$4,ADRYr1!$AN5,0))))*(INDEX(avoidedcosttbl,$H5,CR$2)+(($H5-ROUNDDOWN($H5,0))*(INDEX(avoidedcosttbl,ROUNDUP($H5,0),CR$2)-(INDEX(avoidedcosttbl,ROUNDDOWN($H5,0),CR$2)))))*ADRYr1!$P5*ADRYr1!$Q5*ADRYr1!$U5)</f>
        <v>0</v>
      </c>
      <c r="CS5" s="28">
        <f>IF($G5="","",G5*(IF(ADRYr1!$AI5=CS$4,ADRYr1!$AJ5,IF(ADRYr1!$AK5=CS$4,ADRYr1!$AL5,IF(ADRYr1!$AM5=CS$4,ADRYr1!$AN5,0))))*(INDEX(avoidedcosttbl,$H5,CS$2)+(($H5-ROUNDDOWN($H5,0))*(INDEX(avoidedcosttbl,ROUNDUP($H5,0),CS$2)-(INDEX(avoidedcosttbl,ROUNDDOWN($H5,0),CS$2)))))*ADRYr1!$P5*ADRYr1!$Q5*ADRYr1!$U5)</f>
        <v>0</v>
      </c>
      <c r="CT5" s="28">
        <f t="shared" ref="CT5:CT50" si="12">IF($G5="","",$AG5*(INDEX(avoidedcosttbl,$H5,CT$2)+(($H5-ROUNDDOWN($H5,0))*(INDEX(avoidedcosttbl,ROUNDUP($H5,0),CT$2)-(INDEX(avoidedcosttbl,ROUNDDOWN($H5,0),CT$2))))))</f>
        <v>0</v>
      </c>
      <c r="CU5" s="28">
        <f>IF($G5="","",G5*(IF(ADRYr1!$AI5=CU$4,ADRYr1!$AJ5,IF(ADRYr1!$AK5=CU$4,ADRYr1!$AL5,IF(ADRYr1!$AM5=CU$4,ADRYr1!$AN5,0))))*(INDEX(avoidedcosttbl,$H5,CU$2)+(($H5-ROUNDDOWN($H5,0))*(INDEX(avoidedcosttbl,ROUNDUP($H5,0),CU$2)-(INDEX(avoidedcosttbl,ROUNDDOWN($H5,0),CU$2)))))*ADRYr1!$P5*ADRYr1!$Q5*ADRYr1!$U5)</f>
        <v>0</v>
      </c>
      <c r="CV5" s="28">
        <f>IF($G5="","",G5*(IF(ADRYr1!$AI5=CV$4,ADRYr1!$AJ5,IF(ADRYr1!$AK5=CV$4,ADRYr1!$AL5,IF(ADRYr1!$AM5=CV$4,ADRYr1!$AN5,0))))*(INDEX(avoidedcosttbl,$H5,CV$2)+(($H5-ROUNDDOWN($H5,0))*(INDEX(avoidedcosttbl,ROUNDUP($H5,0),CV$2)-(INDEX(avoidedcosttbl,ROUNDDOWN($H5,0),CV$2)))))*ADRYr1!$P5*ADRYr1!$Q5*ADRYr1!$U5)</f>
        <v>0</v>
      </c>
      <c r="CW5" s="28">
        <f>IF($G5="","",G5*(IF(ADRYr1!$AI5=CW$4,ADRYr1!$AJ5,IF(ADRYr1!$AK5=CW$4,ADRYr1!$AL5,IF(ADRYr1!$AM5=CW$4,ADRYr1!$AN5,0))))*(INDEX(avoidedcosttbl,$H5,CW$2)+(($H5-ROUNDDOWN($H5,0))*(INDEX(avoidedcosttbl,ROUNDUP($H5,0),CW$2)-(INDEX(avoidedcosttbl,ROUNDDOWN($H5,0),CW$2)))))*ADRYr1!$P5*ADRYr1!$Q5*ADRYr1!$U5)</f>
        <v>0</v>
      </c>
      <c r="CX5" s="28">
        <f>IF($G5="","",G5*(IF(ADRYr1!$AI5=CX$4,ADRYr1!$AJ5,IF(ADRYr1!$AK5=CX$4,ADRYr1!$AL5,IF(ADRYr1!$AM5=CX$4,ADRYr1!$AN5,0))))*(INDEX(avoidedcosttbl,$H5,CX$2)+(($H5-ROUNDDOWN($H5,0))*(INDEX(avoidedcosttbl,ROUNDUP($H5,0),CX$2)-(INDEX(avoidedcosttbl,ROUNDDOWN($H5,0),CX$2)))))*ADRYr1!$P5*ADRYr1!$Q5*ADRYr1!$U5)</f>
        <v>0</v>
      </c>
      <c r="CY5" s="28">
        <f t="shared" ref="CY5:CY50" si="13">IF($G5="","",BA5*(INDEX(avoidedcosttbl,$H5,CY$2)+(($H5-ROUNDDOWN($H5,0))*(INDEX(avoidedcosttbl,ROUNDUP($H5,0),CY$2)-(INDEX(avoidedcosttbl,ROUNDDOWN($H5,0),CY$2))))))</f>
        <v>0</v>
      </c>
      <c r="CZ5" s="32">
        <f t="shared" ref="CZ5:CZ50" si="14">IF($G5="","",BB5*(INDEX(avoidedcosttbl,$H5,CZ$2)+(($H5-ROUNDDOWN($H5,0))*(INDEX(avoidedcosttbl,ROUNDUP($H5,0),CZ$2)-(INDEX(avoidedcosttbl,ROUNDDOWN($H5,0),CZ$2))))))</f>
        <v>0</v>
      </c>
      <c r="DA5" s="84">
        <f>IF($G5="","",SUM(CP5:CZ5))</f>
        <v>0</v>
      </c>
      <c r="DB5" s="81" t="str">
        <f>IF(NEIadder="Yes",IF($G5="","",INDEX(Lookups!$G$70:$G$71,MATCH($A5,Lookups!$E$70:$E$71,0))*(SUM(CP5:CX5,BX5))),"")</f>
        <v/>
      </c>
      <c r="DC5" s="263" t="str">
        <f t="shared" ref="DC5:DC50" si="15">IF(FE="Yes",IF($G5="","", FEpercent*(AC5*NGE+AG5*OilE+AK5*PropE+AO5*KerE)*(INDEX(avoidedcosttbl,$H5,DC$2)+(($H5-ROUNDDOWN($H5,0))*(INDEX(avoidedcosttbl,ROUNDUP($H5,0),DC$2)-(INDEX(avoidedcosttbl,ROUNDDOWN($H5,0),DC$2)))))),"")</f>
        <v/>
      </c>
      <c r="DD5" s="166">
        <f t="shared" ref="DD5:DD50" si="16">IF($G5="","",(AC5*NGCO2+AG5*OilCO2+AK5*PropaneCO2+AO5*KeroseneCO2)/2000*(INDEX(avoidedcosttbl,$H5,DD$2)+(($H5-ROUNDDOWN($H5,0))*(INDEX(avoidedcosttbl,ROUNDUP($H5,0),DD$2)-(INDEX(avoidedcosttbl,ROUNDDOWN($H5,0),DD$2))))))</f>
        <v>0</v>
      </c>
      <c r="DE5" s="82">
        <f>SUM(DB5:DD5)</f>
        <v>0</v>
      </c>
      <c r="DF5" s="615">
        <f>IF($G5="","",(1+WntPeakEnergyLL)*(INDEX(avoidedcosttbl,$H5,DF$2)+(($H5-ROUNDDOWN($H5,0))*(INDEX(avoidedcosttbl,ROUNDUP($H5,0),DF$2)-(INDEX(avoidedcosttbl,ROUNDDOWN($H5,0),DF$2)))))*$P5*1000*ADRYr1!Z5)</f>
        <v>0</v>
      </c>
      <c r="DG5" s="615">
        <f>IF($G5="","",(1+WntOffPeakEnergyLL)*(INDEX(avoidedcosttbl,$H5,DG$2)+(($H5-ROUNDDOWN($H5,0))*(INDEX(avoidedcosttbl,ROUNDUP($H5,0),DG$2)-(INDEX(avoidedcosttbl,ROUNDDOWN($H5,0),DG$2)))))*$P5*1000*ADRYr1!AA5)</f>
        <v>0</v>
      </c>
      <c r="DH5" s="615">
        <f>IF($G5="","",(1+SumPeakEnergyLL)*(INDEX(avoidedcosttbl,$H5,DH$2)+(($H5-ROUNDDOWN($H5,0))*(INDEX(avoidedcosttbl,ROUNDUP($H5,0),DH$2)-(INDEX(avoidedcosttbl,ROUNDDOWN($H5,0),DH$2)))))*$P5*1000*ADRYr1!AB5)</f>
        <v>0</v>
      </c>
      <c r="DI5" s="615">
        <f>IF($G5="","",(1+SumOffPeakEnergyLL)*(INDEX(avoidedcosttbl,$H5,DI$2)+(($H5-ROUNDDOWN($H5,0))*(INDEX(avoidedcosttbl,ROUNDUP($H5,0),DI$2)-(INDEX(avoidedcosttbl,ROUNDDOWN($H5,0),DI$2)))))*$P5*1000*ADRYr1!AC5)</f>
        <v>0</v>
      </c>
      <c r="DJ5" s="29">
        <f>IF($G5="","",SUM(DF5:DI5))</f>
        <v>0</v>
      </c>
      <c r="DK5" s="161">
        <f>IF($G5="","",DE5+DA5+BX5)</f>
        <v>148480.51919014234</v>
      </c>
      <c r="DL5" s="1189">
        <f>IF($G5="","",IF(LEFT(A5,1)="B",DE5+DA5+BX5,DD5+DA5+BX5))</f>
        <v>148480.51919014234</v>
      </c>
      <c r="DM5" s="1189">
        <f>IF($G5="","",BX5)</f>
        <v>148480.51919014234</v>
      </c>
      <c r="DN5" s="43">
        <f>IF($G5="","",DE5+DA5+BX5+DJ5)</f>
        <v>148480.51919014234</v>
      </c>
      <c r="DO5" s="966" t="str">
        <f>IF($G5="","",ADRYr1!AQ5)</f>
        <v>Top 20 All Hours</v>
      </c>
      <c r="DP5" s="968" t="str">
        <f>IF($G5="","",ADRYr1!AR5)</f>
        <v>No</v>
      </c>
      <c r="DQ5" s="970" t="str">
        <f>IF($G5="","",IF($DP5="Yes",COLUMN(AESC!$L$10),IF($DP5="No","Using AvoidedDemand tab",IF($DP5="Mixed",COLUMN(AESC!$N$10)))))</f>
        <v>Using AvoidedDemand tab</v>
      </c>
      <c r="DR5" s="970" t="str">
        <f>IF($G5="","",IF($DP5="Yes",COLUMN(AESC!$P$10),IF($DP5="No","Using AvoidedDemand tab",IF($DP5="Mixed",COLUMN(AESC!$R$10)))))</f>
        <v>Using AvoidedDemand tab</v>
      </c>
      <c r="DS5" s="970">
        <f>IF($G5="","",IF($DP5="Yes",COLUMN(AESC!$S$10),IF($DP5="No",COLUMN(AESC!$T$10),IF($DP5="Mixed",COLUMN(AESC!$U$10)))))</f>
        <v>20</v>
      </c>
      <c r="DT5" s="970" t="str">
        <f t="shared" ref="DT5:DT50" si="17">IF($G5="","",$B$1&amp;"-"&amp;DO5&amp;"-"&amp;H5)</f>
        <v>2024-Top 20 All Hours-1</v>
      </c>
      <c r="DU5" s="970" t="str">
        <f>IF($G5="","",ADRYr1!AS5)</f>
        <v>No</v>
      </c>
      <c r="DV5" s="971">
        <f>IF($G5="","",ADRYr1!AT5)</f>
        <v>0.1</v>
      </c>
      <c r="DW5" s="1162">
        <f>IF($G5="","",INDEX(AvoidedEnergy!$H$4:$H$10,MATCH($DO5,AvoidedEnergy!$A$4:$A$10,0)))</f>
        <v>0.09</v>
      </c>
    </row>
    <row r="6" spans="1:127">
      <c r="A6" s="160" t="str">
        <f>IF(ADRYr1!$B6=0,"",ADRYr1!A6)</f>
        <v>A - Residential</v>
      </c>
      <c r="B6" s="9" t="str">
        <f>IF(ADRYr1!$B6=0,"",ADRYr1!B6)</f>
        <v>A5 - Residential Active Demand Response</v>
      </c>
      <c r="C6" s="9" t="str">
        <f>IF(ADRYr1!$B6=0,"",ADRYr1!C6)</f>
        <v>A5a - Residential Active Demand Response</v>
      </c>
      <c r="D6" s="9" t="str">
        <f>IF(ADRYr1!$B6=0,"",ADRYr1!D6)</f>
        <v>Behavior DR</v>
      </c>
      <c r="E6" s="9">
        <f>IF(ADRYr1!$B6=0,"",ADRYr1!E6)</f>
        <v>0</v>
      </c>
      <c r="F6" s="11" t="str">
        <f>IF(ADRYr1!$B6=0,"",ADRYr1!F6)</f>
        <v>Behavior</v>
      </c>
      <c r="G6" s="12" t="str">
        <f>IF(ADRYr1!$G6&lt;&gt;0,ADRYr1!G6,"")</f>
        <v/>
      </c>
      <c r="H6" s="960" t="str">
        <f>IF($G6="","",ROUND(ADRYr1!H6,0))</f>
        <v/>
      </c>
      <c r="I6" s="47" t="str">
        <f>IF($G6="","",ADRYr1!I6*ADRYr1!P6*G6)</f>
        <v/>
      </c>
      <c r="J6" s="47" t="str">
        <f>IF($G6="","",ADRYr1!J6*G6)</f>
        <v/>
      </c>
      <c r="K6" s="47" t="str">
        <f t="shared" ref="K6:K50" si="18">IF($G6="","",I6-J6)</f>
        <v/>
      </c>
      <c r="L6" s="27" t="str">
        <f>IF($G6="","",ADRYr1!V6*G6/1000)</f>
        <v/>
      </c>
      <c r="M6" s="27" t="str">
        <f>IF($G6="","",L6*ADRYr1!$Q6*ADRYr1!$R6)</f>
        <v/>
      </c>
      <c r="N6" s="27" t="str">
        <f t="shared" ref="N6:N50" si="19">IFERROR(L6*H6,"")</f>
        <v/>
      </c>
      <c r="O6" s="27" t="str">
        <f t="shared" ref="O6:O50" si="20">IF($G6="","",M6*$H6)</f>
        <v/>
      </c>
      <c r="P6" s="27" t="str">
        <f>IF($G6="","",M6*ADRYr1!P6)</f>
        <v/>
      </c>
      <c r="Q6" s="27" t="str">
        <f t="shared" ref="Q6:Q50" si="21">IF($G6="","",P6*$H6)</f>
        <v/>
      </c>
      <c r="R6" s="27" t="str">
        <f>IF($G6="","",$Q6*ADRYr1!Z6)</f>
        <v/>
      </c>
      <c r="S6" s="27" t="str">
        <f>IF($G6="","",$Q6*ADRYr1!AA6)</f>
        <v/>
      </c>
      <c r="T6" s="27" t="str">
        <f>IF($G6="","",$Q6*ADRYr1!AB6)</f>
        <v/>
      </c>
      <c r="U6" s="27" t="str">
        <f>IF($G6="","",$Q6*ADRYr1!AC6)</f>
        <v/>
      </c>
      <c r="V6" s="27" t="str">
        <f>IF($G6="","",G6*ADRYr1!$AD6*ADRYr1!$P6*ADRYr1!$Q6)</f>
        <v/>
      </c>
      <c r="W6" s="27" t="str">
        <f>IF($G6="","",$G6*ADRYr1!$AD6*ADRYr1!$AF6*ADRYr1!Q6*ADRYr1!$S6)</f>
        <v/>
      </c>
      <c r="X6" s="27" t="str">
        <f>IF($G6="","",$G6*ADRYr1!$AD6*ADRYr1!$AF6*ADRYr1!P6*ADRYr1!Q6*ADRYr1!$S6)</f>
        <v/>
      </c>
      <c r="Y6" s="27" t="str">
        <f>IF($G6="","",$G6*ADRYr1!$AD6*ADRYr1!$AE6*ADRYr1!Q6*ADRYr1!$T6)</f>
        <v/>
      </c>
      <c r="Z6" s="27" t="str">
        <f>IF($G6="","",$G6*ADRYr1!$AD6*ADRYr1!$AE6*ADRYr1!P6*ADRYr1!Q6*ADRYr1!$T6)</f>
        <v/>
      </c>
      <c r="AA6" s="45" t="str">
        <f>IF($G6="","",$G6*ADRYr1!$Q6*ADRYr1!$U6*(IF(IFERROR(SEARCH("NG", ADRYr1!$AI6),0),ADRYr1!$AJ6,0)+IF(IFERROR(SEARCH("NG", ADRYr1!$AK6),0),ADRYr1!$AL6,0)+IF(IFERROR(SEARCH("NG", ADRYr1!$AM6),0),ADRYr1!$AN6,0)))</f>
        <v/>
      </c>
      <c r="AB6" s="45" t="str">
        <f t="shared" ref="AB6:AB50" si="22">IF($G6="","",AA6*$H6)</f>
        <v/>
      </c>
      <c r="AC6" s="45">
        <f>IF($G6="",0,AA6*ADRYr1!$P6)</f>
        <v>0</v>
      </c>
      <c r="AD6" s="45" t="str">
        <f t="shared" ref="AD6:AD50" si="23">IF($G6="","",AC6*$H6)</f>
        <v/>
      </c>
      <c r="AE6" s="45" t="str">
        <f>IF($G6="","",$G6*ADRYr1!$Q6*ADRYr1!$U6*(IF(IFERROR(SEARCH("Oil", ADRYr1!$AI6), 0),ADRYr1!$AJ6,0)+IF(IFERROR(SEARCH("Oil", ADRYr1!$AK6), 0),ADRYr1!$AL6,0)+IF(IFERROR(SEARCH("Oil", ADRYr1!$AM6), 0),ADRYr1!$AN6,0)))</f>
        <v/>
      </c>
      <c r="AF6" s="45" t="str">
        <f t="shared" ref="AF6:AF50" si="24">IF($G6="","",AE6*$H6)</f>
        <v/>
      </c>
      <c r="AG6" s="45">
        <f>IF($G6="",0,AE6*ADRYr1!$P6)</f>
        <v>0</v>
      </c>
      <c r="AH6" s="45" t="str">
        <f t="shared" ref="AH6:AH50" si="25">IF($G6="","",AG6*$H6)</f>
        <v/>
      </c>
      <c r="AI6" s="45" t="str">
        <f>IF($G6="","",$G6*ADRYr1!$Q6*ADRYr1!$U6*(IF(ADRYr1!$AI6=Lookups!$E$116,ADRYr1!$AJ6,IF(ADRYr1!$AK6=Lookups!$E$116,ADRYr1!$AL6,IF(ADRYr1!$AM6=Lookups!$E$116,ADRYr1!$AN6,0)))))</f>
        <v/>
      </c>
      <c r="AJ6" s="45" t="str">
        <f t="shared" ref="AJ6:AJ50" si="26">IF($G6="","",AI6*$H6)</f>
        <v/>
      </c>
      <c r="AK6" s="45">
        <f>IF($G6="",0,AI6*ADRYr1!$P6)</f>
        <v>0</v>
      </c>
      <c r="AL6" s="45" t="str">
        <f t="shared" ref="AL6:AL50" si="27">IF($G6="","",AK6*$H6)</f>
        <v/>
      </c>
      <c r="AM6" s="45" t="str">
        <f>IF($G6="","",$G6*ADRYr1!$Q6*ADRYr1!$U6*(IF(ADRYr1!$AI6=Lookups!$E$115,ADRYr1!$AJ6,IF(ADRYr1!$AK6=Lookups!$E$115,ADRYr1!$AL6,IF(ADRYr1!$AM6=Lookups!$E$115,ADRYr1!$AN6,0)))))</f>
        <v/>
      </c>
      <c r="AN6" s="45" t="str">
        <f t="shared" ref="AN6:AN50" si="28">IF($G6="","",AM6*$H6)</f>
        <v/>
      </c>
      <c r="AO6" s="45">
        <f>IF($G6="",0,AM6*ADRYr1!$P6)</f>
        <v>0</v>
      </c>
      <c r="AP6" s="45" t="str">
        <f t="shared" ref="AP6:AP50" si="29">IF($G6="","",AO6*$H6)</f>
        <v/>
      </c>
      <c r="AQ6" s="45" t="str">
        <f>IF($G6="","",$G6*ADRYr1!$Q6*ADRYr1!$U6*(IF(ADRYr1!$AI6=Lookups!$E$117,ADRYr1!$AJ6,IF(ADRYr1!$AK6=Lookups!$E$117,ADRYr1!$AL6,IF(ADRYr1!$AM6=Lookups!$E$117,ADRYr1!$AN6,0)))))</f>
        <v/>
      </c>
      <c r="AR6" s="45" t="str">
        <f t="shared" ref="AR6:AR50" si="30">IF($G6="","",AQ6*$H6)</f>
        <v/>
      </c>
      <c r="AS6" s="45" t="str">
        <f>IF($G6="","",AQ6*ADRYr1!$P6)</f>
        <v/>
      </c>
      <c r="AT6" s="45" t="str">
        <f t="shared" ref="AT6:AT50" si="31">IF($G6="","",AS6*$H6)</f>
        <v/>
      </c>
      <c r="AU6" s="45" t="str">
        <f>IF($G6="","",$G6*ADRYr1!$Q6*ADRYr1!$U6*(IF(ADRYr1!$AI6=Lookups!$E$118,ADRYr1!$AJ6,IF(ADRYr1!$AK6=Lookups!$E$118,ADRYr1!$AL6,IF(ADRYr1!$AM6=Lookups!$E$118,ADRYr1!$AN6,0)))))</f>
        <v/>
      </c>
      <c r="AV6" s="45" t="str">
        <f t="shared" ref="AV6:AV50" si="32">IF($G6="","",AU6*$H6)</f>
        <v/>
      </c>
      <c r="AW6" s="45" t="str">
        <f>IF($G6="","",AU6*ADRYr1!$P6)</f>
        <v/>
      </c>
      <c r="AX6" s="45" t="str">
        <f t="shared" ref="AX6:AX50" si="33">IF($G6="","",AW6*$H6)</f>
        <v/>
      </c>
      <c r="AY6" s="45">
        <f t="shared" ref="AY6:AZ21" si="34">SUM(AC6,AG6,AK6,AO6,AS6,AW6)</f>
        <v>0</v>
      </c>
      <c r="AZ6" s="45">
        <f t="shared" si="34"/>
        <v>0</v>
      </c>
      <c r="BA6" s="101" t="str">
        <f>IF($G6="","",$G6*ADRYr1!$P6*ADRYr1!$Q6*ADRYr1!$U6*ADRYr1!AO6)</f>
        <v/>
      </c>
      <c r="BB6" s="102" t="str">
        <f>IF($G6="","",$G6*ADRYr1!$P6*ADRYr1!$Q6*ADRYr1!$U6*ADRYr1!AP6)</f>
        <v/>
      </c>
      <c r="BC6" s="100" t="str">
        <f t="shared" ref="BC6:BC50" si="35">IF($G6="","",SUM(BA6:BB6)*$H6)</f>
        <v/>
      </c>
      <c r="BD6" s="961"/>
      <c r="BE6" s="961"/>
      <c r="BF6" s="961"/>
      <c r="BG6" s="961"/>
      <c r="BH6" s="962" t="str">
        <f t="shared" si="3"/>
        <v/>
      </c>
      <c r="BI6" s="961"/>
      <c r="BJ6" s="961"/>
      <c r="BK6" s="961"/>
      <c r="BL6" s="961"/>
      <c r="BM6" s="30" t="str">
        <f t="shared" si="4"/>
        <v/>
      </c>
      <c r="BN6" s="963" t="str">
        <f t="shared" si="5"/>
        <v/>
      </c>
      <c r="BO6" s="31" t="str">
        <f t="shared" ref="BO6:BO50" si="36">IF($G6="","",SUM(BH6,BN6))</f>
        <v/>
      </c>
      <c r="BP6" s="964" t="str">
        <f t="shared" si="6"/>
        <v/>
      </c>
      <c r="BQ6" s="28" t="str">
        <f t="shared" si="7"/>
        <v/>
      </c>
      <c r="BR6" s="964" t="str">
        <f t="shared" si="8"/>
        <v/>
      </c>
      <c r="BS6" s="964" t="str">
        <f t="shared" si="9"/>
        <v/>
      </c>
      <c r="BT6" s="28" t="str">
        <f t="shared" si="10"/>
        <v/>
      </c>
      <c r="BU6" s="28" t="str">
        <f t="shared" si="10"/>
        <v/>
      </c>
      <c r="BV6" s="28" t="str">
        <f t="shared" si="10"/>
        <v/>
      </c>
      <c r="BW6" s="29" t="str">
        <f t="shared" ref="BW6:BW50" si="37">IF($G6="","",SUM(BP6:BV6))</f>
        <v/>
      </c>
      <c r="BX6" s="29" t="str">
        <f t="shared" ref="BX6:BX50" si="38">IF($G6="","",BO6+BW6)</f>
        <v/>
      </c>
      <c r="BY6" s="28" t="str">
        <f>IF($G6="","",$G6*(IF(ADRYr1!$AI6=BY$4,ADRYr1!$AJ6,IF(ADRYr1!$AK6=BY$4,ADRYr1!$AL6,IF(ADRYr1!$AM6=BY$4,ADRYr1!$AN6,0))))*(INDEX(avoidedcosttbl,$H6,BY$2)+(($H6-ROUNDDOWN($H6,0))*(INDEX(avoidedcosttbl,ROUNDUP($H6,0),BY$2)-(INDEX(avoidedcosttbl,ROUNDDOWN($H6,0),BY$2)))))*ADRYr1!P6*ADRYr1!Q6*ADRYr1!U6)</f>
        <v/>
      </c>
      <c r="BZ6" s="28" t="str">
        <f>IF($G6="","",$G6*(IF(ADRYr1!$AI6=BZ$4,ADRYr1!$AJ6,IF(ADRYr1!$AK6=BZ$4,ADRYr1!$AL6,IF(ADRYr1!$AM6=BZ$4,ADRYr1!$AN6,0))))*(INDEX(avoidedcosttbl,$H6,BZ$2)+(($H6-ROUNDDOWN($H6,0))*(INDEX(avoidedcosttbl,ROUNDUP($H6,0),BZ$2)-(INDEX(avoidedcosttbl,ROUNDDOWN($H6,0),BZ$2)))))*ADRYr1!P6*ADRYr1!Q6*ADRYr1!U6)</f>
        <v/>
      </c>
      <c r="CA6" s="28" t="str">
        <f>IF($G6="","",$G6*(IF(ADRYr1!$AI6=CA$4,ADRYr1!$AJ6,IF(ADRYr1!$AK6=CA$4,ADRYr1!$AL6,IF(ADRYr1!$AM6=CA$4,ADRYr1!$AN6,0))))*(INDEX(avoidedcosttbl,$H6,CA$2)+(($H6-ROUNDDOWN($H6,0))*(INDEX(avoidedcosttbl,ROUNDUP($H6,0),CA$2)-(INDEX(avoidedcosttbl,ROUNDDOWN($H6,0),CA$2)))))*ADRYr1!P6*ADRYr1!Q6*ADRYr1!U6)</f>
        <v/>
      </c>
      <c r="CB6" s="28" t="str">
        <f>IF($G6="","",$G6*(IF(ADRYr1!$AI6=CB$4,ADRYr1!$AJ6,IF(ADRYr1!$AK6=CB$4,ADRYr1!$AL6,IF(ADRYr1!$AM6=CB$4,ADRYr1!$AN6,0))))*(INDEX(avoidedcosttbl,$H6,CB$2)+(($H6-ROUNDDOWN($H6,0))*(INDEX(avoidedcosttbl,ROUNDUP($H6,0),CB$2)-(INDEX(avoidedcosttbl,ROUNDDOWN($H6,0),CB$2)))))*ADRYr1!P6*ADRYr1!Q6*ADRYr1!U6)</f>
        <v/>
      </c>
      <c r="CC6" s="28" t="str">
        <f>IF($G6="","",$G6*(IF(ADRYr1!$AI6=CC$4,ADRYr1!$AJ6,IF(ADRYr1!$AK6=CC$4,ADRYr1!$AL6,IF(ADRYr1!$AM6=CC$4,ADRYr1!$AN6,0))))*(INDEX(avoidedcosttbl,$H6,CC$2)+(($H6-ROUNDDOWN($H6,0))*(INDEX(avoidedcosttbl,ROUNDUP($H6,0),CC$2)-(INDEX(avoidedcosttbl,ROUNDDOWN($H6,0),CC$2)))))*ADRYr1!P6*ADRYr1!Q6*ADRYr1!U6)</f>
        <v/>
      </c>
      <c r="CD6" s="28" t="str">
        <f>IF($G6="","",$G6*(IF(ADRYr1!$AI6=CD$4,ADRYr1!$AJ6,IF(ADRYr1!$AK6=CD$4,ADRYr1!$AL6,IF(ADRYr1!$AM6=CD$4,ADRYr1!$AN6,0))))*(INDEX(avoidedcosttbl,$H6,CD$2)+(($H6-ROUNDDOWN($H6,0))*(INDEX(avoidedcosttbl,ROUNDUP($H6,0),CD$2)-(INDEX(avoidedcosttbl,ROUNDDOWN($H6,0),CD$2)))))*ADRYr1!P6*ADRYr1!Q6*ADRYr1!U6)</f>
        <v/>
      </c>
      <c r="CE6" s="28" t="str">
        <f>IF($G6="","",$G6*(IF(ADRYr1!$AI6=CE$4,ADRYr1!$AJ6,IF(ADRYr1!$AK6=CE$4,ADRYr1!$AL6,IF(ADRYr1!$AM6=CE$4,ADRYr1!$AN6,0))))*(INDEX(avoidedcosttbl,$H6,CE$2)+(($H6-ROUNDDOWN($H6,0))*(INDEX(avoidedcosttbl,ROUNDUP($H6,0),CE$2)-(INDEX(avoidedcosttbl,ROUNDDOWN($H6,0),CE$2)))))*ADRYr1!P6*ADRYr1!Q6*ADRYr1!U6)</f>
        <v/>
      </c>
      <c r="CF6" s="41" t="str">
        <f t="shared" ref="CF6:CF50" si="39">IF($G6="","",SUM(BY6:CE6))</f>
        <v/>
      </c>
      <c r="CG6" s="30" t="str">
        <f t="shared" si="11"/>
        <v/>
      </c>
      <c r="CH6" s="30" t="str">
        <f>IF($G6="","",$G6*(IF(ADRYr1!$AI6=BY$4,ADRYr1!$AJ6,IF(ADRYr1!$AK6=BY$4,ADRYr1!$AL6,IF(ADRYr1!$AM6=BY$4,ADRYr1!$AN6,0))))*(INDEX(avoidedcosttbl,$H6,CH$2)+(($H6-ROUNDDOWN($H6,0))*(INDEX(avoidedcosttbl,ROUNDUP($H6,0),CH$2)-(INDEX(avoidedcosttbl,ROUNDDOWN($H6,0),CH$2)))))*ADRYr1!P6*ADRYr1!Q6*ADRYr1!U6)</f>
        <v/>
      </c>
      <c r="CI6" s="30" t="str">
        <f>IF($G6="","",$G6*(IF(ADRYr1!$AI6=BZ$4,ADRYr1!$AJ6,IF(ADRYr1!$AK6=BZ$4,ADRYr1!$AL6,IF(ADRYr1!$AM6=BZ$4,ADRYr1!$AN6,0))))*(INDEX(avoidedcosttbl,$H6,CI$2)+(($H6-ROUNDDOWN($H6,0))*(INDEX(avoidedcosttbl,ROUNDUP($H6,0),CI$2)-(INDEX(avoidedcosttbl,ROUNDDOWN($H6,0),CI$2)))))*ADRYr1!P6*ADRYr1!Q6*ADRYr1!U6)</f>
        <v/>
      </c>
      <c r="CJ6" s="30" t="str">
        <f>IF($G6="","",$G6*(IF(ADRYr1!$AI6=CA$4,ADRYr1!$AJ6,IF(ADRYr1!$AK6=CA$4,ADRYr1!$AL6,IF(ADRYr1!$AM6=CA$4,ADRYr1!$AN6,0))))*(INDEX(avoidedcosttbl,$H6,CJ$2)+(($H6-ROUNDDOWN($H6,0))*(INDEX(avoidedcosttbl,ROUNDUP($H6,0),CJ$2)-(INDEX(avoidedcosttbl,ROUNDDOWN($H6,0),CJ$2)))))*ADRYr1!P6*ADRYr1!Q6*ADRYr1!U6)</f>
        <v/>
      </c>
      <c r="CK6" s="30" t="str">
        <f>IF($G6="","",$G6*(IF(ADRYr1!$AI6=CB$4,ADRYr1!$AJ6,IF(ADRYr1!$AK6=CB$4,ADRYr1!$AL6,IF(ADRYr1!$AM6=CB$4,ADRYr1!$AN6,0))))*(INDEX(avoidedcosttbl,$H6,CK$2)+(($H6-ROUNDDOWN($H6,0))*(INDEX(avoidedcosttbl,ROUNDUP($H6,0),CK$2)-(INDEX(avoidedcosttbl,ROUNDDOWN($H6,0),CK$2)))))*ADRYr1!P6*ADRYr1!Q6*ADRYr1!U6)</f>
        <v/>
      </c>
      <c r="CL6" s="30" t="str">
        <f>IF($G6="","",$G6*(IF(ADRYr1!$AI6=CC$4,ADRYr1!$AJ6,IF(ADRYr1!$AK6=CC$4,ADRYr1!$AL6,IF(ADRYr1!$AM6=CC$4,ADRYr1!$AN6,0))))*(INDEX(avoidedcosttbl,$H6,CL$2)+(($H6-ROUNDDOWN($H6,0))*(INDEX(avoidedcosttbl,ROUNDUP($H6,0),CL$2)-(INDEX(avoidedcosttbl,ROUNDDOWN($H6,0),CL$2)))))*ADRYr1!P6*ADRYr1!Q6*ADRYr1!U6)</f>
        <v/>
      </c>
      <c r="CM6" s="30" t="str">
        <f>IF($G6="","",$G6*(IF(ADRYr1!$AI6=CD$4,ADRYr1!$AJ6,IF(ADRYr1!$AK6=CD$4,ADRYr1!$AL6,IF(ADRYr1!$AM6=CD$4,ADRYr1!$AN6,0))))*(INDEX(avoidedcosttbl,$H6,CM$2)+(($H6-ROUNDDOWN($H6,0))*(INDEX(avoidedcosttbl,ROUNDUP($H6,0),CM$2)-(INDEX(avoidedcosttbl,ROUNDDOWN($H6,0),CM$2)))))*ADRYr1!P6*ADRYr1!Q6*ADRYr1!U6)</f>
        <v/>
      </c>
      <c r="CN6" s="30" t="str">
        <f>IF($G6="","",$G6*(IF(ADRYr1!$AI6=CE$4,ADRYr1!$AJ6,IF(ADRYr1!$AK6=CE$4,ADRYr1!$AL6,IF(ADRYr1!$AM6=CE$4,ADRYr1!$AN6,0))))*(INDEX(avoidedcosttbl,$H6,CN$2)+(($H6-ROUNDDOWN($H6,0))*(INDEX(avoidedcosttbl,ROUNDUP($H6,0),CN$2)-(INDEX(avoidedcosttbl,ROUNDDOWN($H6,0),CN$2)))))*ADRYr1!P6*ADRYr1!Q6*ADRYr1!U6)</f>
        <v/>
      </c>
      <c r="CO6" s="220" t="str">
        <f t="shared" ref="CO6:CO50" si="40">IF($G6="","",SUM(CG6:CN6))</f>
        <v/>
      </c>
      <c r="CP6" s="220" t="str">
        <f t="shared" ref="CP6:CP50" si="41">IF($G6="","",CF6+CO6)</f>
        <v/>
      </c>
      <c r="CQ6" s="157" t="str">
        <f>IF($G6="","",$G6*(IF(ADRYr1!$AI6=CQ$4,ADRYr1!$AJ6,IF(ADRYr1!$AK6=CQ$4,ADRYr1!$AL6,IF(ADRYr1!$AM6=CQ$4,ADRYr1!$AN6,0))))*(INDEX(avoidedcosttbl,$H6,CQ$2)+(($H6-ROUNDDOWN($H6,0))*(INDEX(avoidedcosttbl,ROUNDUP($H6,0),CQ$2)-(INDEX(avoidedcosttbl,ROUNDDOWN($H6,0),CQ$2)))))*ADRYr1!$P6*ADRYr1!$Q6*ADRYr1!$U6)</f>
        <v/>
      </c>
      <c r="CR6" s="28" t="str">
        <f>IF($G6="","",G6*(IF(ADRYr1!$AI6=CR$4,ADRYr1!$AJ6,IF(ADRYr1!$AK6=CR$4,ADRYr1!$AL6,IF(ADRYr1!$AM6=CR$4,ADRYr1!$AN6,0))))*(INDEX(avoidedcosttbl,$H6,CR$2)+(($H6-ROUNDDOWN($H6,0))*(INDEX(avoidedcosttbl,ROUNDUP($H6,0),CR$2)-(INDEX(avoidedcosttbl,ROUNDDOWN($H6,0),CR$2)))))*ADRYr1!$P6*ADRYr1!$Q6*ADRYr1!$U6)</f>
        <v/>
      </c>
      <c r="CS6" s="28" t="str">
        <f>IF($G6="","",G6*(IF(ADRYr1!$AI6=CS$4,ADRYr1!$AJ6,IF(ADRYr1!$AK6=CS$4,ADRYr1!$AL6,IF(ADRYr1!$AM6=CS$4,ADRYr1!$AN6,0))))*(INDEX(avoidedcosttbl,$H6,CS$2)+(($H6-ROUNDDOWN($H6,0))*(INDEX(avoidedcosttbl,ROUNDUP($H6,0),CS$2)-(INDEX(avoidedcosttbl,ROUNDDOWN($H6,0),CS$2)))))*ADRYr1!$P6*ADRYr1!$Q6*ADRYr1!$U6)</f>
        <v/>
      </c>
      <c r="CT6" s="28" t="str">
        <f t="shared" si="12"/>
        <v/>
      </c>
      <c r="CU6" s="28" t="str">
        <f>IF($G6="","",G6*(IF(ADRYr1!$AI6=CU$4,ADRYr1!$AJ6,IF(ADRYr1!$AK6=CU$4,ADRYr1!$AL6,IF(ADRYr1!$AM6=CU$4,ADRYr1!$AN6,0))))*(INDEX(avoidedcosttbl,$H6,CU$2)+(($H6-ROUNDDOWN($H6,0))*(INDEX(avoidedcosttbl,ROUNDUP($H6,0),CU$2)-(INDEX(avoidedcosttbl,ROUNDDOWN($H6,0),CU$2)))))*ADRYr1!$P6*ADRYr1!$Q6*ADRYr1!$U6)</f>
        <v/>
      </c>
      <c r="CV6" s="28" t="str">
        <f>IF($G6="","",G6*(IF(ADRYr1!$AI6=CV$4,ADRYr1!$AJ6,IF(ADRYr1!$AK6=CV$4,ADRYr1!$AL6,IF(ADRYr1!$AM6=CV$4,ADRYr1!$AN6,0))))*(INDEX(avoidedcosttbl,$H6,CV$2)+(($H6-ROUNDDOWN($H6,0))*(INDEX(avoidedcosttbl,ROUNDUP($H6,0),CV$2)-(INDEX(avoidedcosttbl,ROUNDDOWN($H6,0),CV$2)))))*ADRYr1!$P6*ADRYr1!$Q6*ADRYr1!$U6)</f>
        <v/>
      </c>
      <c r="CW6" s="28" t="str">
        <f>IF($G6="","",G6*(IF(ADRYr1!$AI6=CW$4,ADRYr1!$AJ6,IF(ADRYr1!$AK6=CW$4,ADRYr1!$AL6,IF(ADRYr1!$AM6=CW$4,ADRYr1!$AN6,0))))*(INDEX(avoidedcosttbl,$H6,CW$2)+(($H6-ROUNDDOWN($H6,0))*(INDEX(avoidedcosttbl,ROUNDUP($H6,0),CW$2)-(INDEX(avoidedcosttbl,ROUNDDOWN($H6,0),CW$2)))))*ADRYr1!$P6*ADRYr1!$Q6*ADRYr1!$U6)</f>
        <v/>
      </c>
      <c r="CX6" s="28" t="str">
        <f>IF($G6="","",G6*(IF(ADRYr1!$AI6=CX$4,ADRYr1!$AJ6,IF(ADRYr1!$AK6=CX$4,ADRYr1!$AL6,IF(ADRYr1!$AM6=CX$4,ADRYr1!$AN6,0))))*(INDEX(avoidedcosttbl,$H6,CX$2)+(($H6-ROUNDDOWN($H6,0))*(INDEX(avoidedcosttbl,ROUNDUP($H6,0),CX$2)-(INDEX(avoidedcosttbl,ROUNDDOWN($H6,0),CX$2)))))*ADRYr1!$P6*ADRYr1!$Q6*ADRYr1!$U6)</f>
        <v/>
      </c>
      <c r="CY6" s="28" t="str">
        <f t="shared" si="13"/>
        <v/>
      </c>
      <c r="CZ6" s="32" t="str">
        <f t="shared" si="14"/>
        <v/>
      </c>
      <c r="DA6" s="84" t="str">
        <f t="shared" ref="DA6:DA50" si="42">IF($G6="","",SUM(CP6:CZ6))</f>
        <v/>
      </c>
      <c r="DB6" s="81" t="str">
        <f>IF(NEIadder="Yes",IF($G6="","",INDEX(Lookups!$G$70:$G$71,MATCH($A6,Lookups!$E$70:$E$71,0))*(SUM(CP6:CX6,BX6))),"")</f>
        <v/>
      </c>
      <c r="DC6" s="263" t="str">
        <f t="shared" si="15"/>
        <v/>
      </c>
      <c r="DD6" s="166" t="str">
        <f t="shared" si="16"/>
        <v/>
      </c>
      <c r="DE6" s="82">
        <f t="shared" ref="DE6:DE50" si="43">SUM(DB6:DD6)</f>
        <v>0</v>
      </c>
      <c r="DF6" s="615" t="str">
        <f>IF($G6="","",(1+WntPeakEnergyLL)*(INDEX(avoidedcosttbl,$H6,DF$2)+(($H6-ROUNDDOWN($H6,0))*(INDEX(avoidedcosttbl,ROUNDUP($H6,0),DF$2)-(INDEX(avoidedcosttbl,ROUNDDOWN($H6,0),DF$2)))))*$P6*1000*ADRYr1!Z6)</f>
        <v/>
      </c>
      <c r="DG6" s="615" t="str">
        <f>IF($G6="","",(1+WntOffPeakEnergyLL)*(INDEX(avoidedcosttbl,$H6,DG$2)+(($H6-ROUNDDOWN($H6,0))*(INDEX(avoidedcosttbl,ROUNDUP($H6,0),DG$2)-(INDEX(avoidedcosttbl,ROUNDDOWN($H6,0),DG$2)))))*$P6*1000*ADRYr1!AA6)</f>
        <v/>
      </c>
      <c r="DH6" s="615" t="str">
        <f>IF($G6="","",(1+SumPeakEnergyLL)*(INDEX(avoidedcosttbl,$H6,DH$2)+(($H6-ROUNDDOWN($H6,0))*(INDEX(avoidedcosttbl,ROUNDUP($H6,0),DH$2)-(INDEX(avoidedcosttbl,ROUNDDOWN($H6,0),DH$2)))))*$P6*1000*ADRYr1!AB6)</f>
        <v/>
      </c>
      <c r="DI6" s="615" t="str">
        <f>IF($G6="","",(1+SumOffPeakEnergyLL)*(INDEX(avoidedcosttbl,$H6,DI$2)+(($H6-ROUNDDOWN($H6,0))*(INDEX(avoidedcosttbl,ROUNDUP($H6,0),DI$2)-(INDEX(avoidedcosttbl,ROUNDDOWN($H6,0),DI$2)))))*$P6*1000*ADRYr1!AC6)</f>
        <v/>
      </c>
      <c r="DJ6" s="29" t="str">
        <f t="shared" ref="DJ6:DJ50" si="44">IF($G6="","",SUM(DF6:DI6))</f>
        <v/>
      </c>
      <c r="DK6" s="161" t="str">
        <f t="shared" ref="DK6:DK41" si="45">IF($G6="","",DE6+DA6+BX6)</f>
        <v/>
      </c>
      <c r="DL6" s="1189" t="str">
        <f t="shared" ref="DL6:DL41" si="46">IF($G6="","",IF(LEFT(A6,1)="B",DE6+DA6+BX6,DD6+DA6+BX6))</f>
        <v/>
      </c>
      <c r="DM6" s="1189" t="str">
        <f t="shared" ref="DM6:DM50" si="47">IF($G6="","",BX6)</f>
        <v/>
      </c>
      <c r="DN6" s="43" t="str">
        <f t="shared" ref="DN6:DN41" si="48">IF($G6="","",DE6+DA6+BX6+DJ6)</f>
        <v/>
      </c>
      <c r="DO6" s="966" t="str">
        <f>IF($G6="","",ADRYr1!AQ6)</f>
        <v/>
      </c>
      <c r="DP6" s="968" t="str">
        <f>IF($G6="","",ADRYr1!AR6)</f>
        <v/>
      </c>
      <c r="DQ6" s="970" t="str">
        <f>IF($G6="","",IF($DP6="Yes",COLUMN(AESC!$L$10),IF($DP6="No","Using AvoidedDemand tab",IF($DP6="Mixed",COLUMN(AESC!$N$10)))))</f>
        <v/>
      </c>
      <c r="DR6" s="970" t="str">
        <f>IF($G6="","",IF($DP6="Yes",COLUMN(AESC!$P$10),IF($DP6="No","Using AvoidedDemand tab",IF($DP6="Mixed",COLUMN(AESC!$R$10)))))</f>
        <v/>
      </c>
      <c r="DS6" s="970" t="str">
        <f>IF($G6="","",IF($DP6="Yes",COLUMN(AESC!$S$10),IF($DP6="No",COLUMN(AESC!$T$10),IF($DP6="Mixed",COLUMN(AESC!$U$10)))))</f>
        <v/>
      </c>
      <c r="DT6" s="970" t="str">
        <f t="shared" si="17"/>
        <v/>
      </c>
      <c r="DU6" s="970" t="str">
        <f>IF($G6="","",ADRYr1!AS6)</f>
        <v/>
      </c>
      <c r="DV6" s="971" t="str">
        <f>IF($G6="","",ADRYr1!AT6)</f>
        <v/>
      </c>
      <c r="DW6" s="1162" t="str">
        <f>IF($G6="","",INDEX(AvoidedEnergy!$H$4:$H$10,MATCH($DO6,AvoidedEnergy!$A$4:$A$10,0)))</f>
        <v/>
      </c>
    </row>
    <row r="7" spans="1:127">
      <c r="A7" s="160" t="str">
        <f>IF(ADRYr1!$B7=0,"",ADRYr1!A7)</f>
        <v>A - Residential</v>
      </c>
      <c r="B7" s="9" t="str">
        <f>IF(ADRYr1!$B7=0,"",ADRYr1!B7)</f>
        <v>A5 - Residential Active Demand Response</v>
      </c>
      <c r="C7" s="9" t="str">
        <f>IF(ADRYr1!$B7=0,"",ADRYr1!C7)</f>
        <v>A5a - Residential Active Demand Response</v>
      </c>
      <c r="D7" s="9" t="str">
        <f>IF(ADRYr1!$B7=0,"",ADRYr1!D7)</f>
        <v>Storage Daily Dispatch Upfront Incentive (savings) Summer</v>
      </c>
      <c r="E7" s="9">
        <f>IF(ADRYr1!$B7=0,"",ADRYr1!E7)</f>
        <v>0</v>
      </c>
      <c r="F7" s="11" t="str">
        <f>IF(ADRYr1!$B7=0,"",ADRYr1!F7)</f>
        <v>Behavior</v>
      </c>
      <c r="G7" s="12" t="str">
        <f>IF(ADRYr1!$G7&lt;&gt;0,ADRYr1!G7,"")</f>
        <v/>
      </c>
      <c r="H7" s="960" t="str">
        <f>IF($G7="","",ROUND(ADRYr1!H7,0))</f>
        <v/>
      </c>
      <c r="I7" s="47" t="str">
        <f>IF($G7="","",ADRYr1!I7*ADRYr1!P7*G7)</f>
        <v/>
      </c>
      <c r="J7" s="47" t="str">
        <f>IF($G7="","",ADRYr1!J7*G7)</f>
        <v/>
      </c>
      <c r="K7" s="47" t="str">
        <f t="shared" si="18"/>
        <v/>
      </c>
      <c r="L7" s="27" t="str">
        <f>IF($G7="","",ADRYr1!V7*G7/1000)</f>
        <v/>
      </c>
      <c r="M7" s="27" t="str">
        <f>IF($G7="","",L7*ADRYr1!$Q7*ADRYr1!$R7)</f>
        <v/>
      </c>
      <c r="N7" s="27" t="str">
        <f t="shared" si="19"/>
        <v/>
      </c>
      <c r="O7" s="27" t="str">
        <f t="shared" si="20"/>
        <v/>
      </c>
      <c r="P7" s="27" t="str">
        <f>IF($G7="","",M7*ADRYr1!P7)</f>
        <v/>
      </c>
      <c r="Q7" s="27" t="str">
        <f t="shared" si="21"/>
        <v/>
      </c>
      <c r="R7" s="27" t="str">
        <f>IF($G7="","",$Q7*ADRYr1!Z7)</f>
        <v/>
      </c>
      <c r="S7" s="27" t="str">
        <f>IF($G7="","",$Q7*ADRYr1!AA7)</f>
        <v/>
      </c>
      <c r="T7" s="27" t="str">
        <f>IF($G7="","",$Q7*ADRYr1!AB7)</f>
        <v/>
      </c>
      <c r="U7" s="27" t="str">
        <f>IF($G7="","",$Q7*ADRYr1!AC7)</f>
        <v/>
      </c>
      <c r="V7" s="27" t="str">
        <f>IF($G7="","",G7*ADRYr1!$AD7*ADRYr1!$P7*ADRYr1!$Q7)</f>
        <v/>
      </c>
      <c r="W7" s="27" t="str">
        <f>IF($G7="","",$G7*ADRYr1!$AD7*ADRYr1!$AF7*ADRYr1!Q7*ADRYr1!$S7)</f>
        <v/>
      </c>
      <c r="X7" s="27" t="str">
        <f>IF($G7="","",$G7*ADRYr1!$AD7*ADRYr1!$AF7*ADRYr1!P7*ADRYr1!Q7*ADRYr1!$S7)</f>
        <v/>
      </c>
      <c r="Y7" s="27" t="str">
        <f>IF($G7="","",$G7*ADRYr1!$AD7*ADRYr1!$AE7*ADRYr1!Q7*ADRYr1!$T7)</f>
        <v/>
      </c>
      <c r="Z7" s="27" t="str">
        <f>IF($G7="","",$G7*ADRYr1!$AD7*ADRYr1!$AE7*ADRYr1!P7*ADRYr1!Q7*ADRYr1!$T7)</f>
        <v/>
      </c>
      <c r="AA7" s="45" t="str">
        <f>IF($G7="","",$G7*ADRYr1!$Q7*ADRYr1!$U7*(IF(IFERROR(SEARCH("NG", ADRYr1!$AI7),0),ADRYr1!$AJ7,0)+IF(IFERROR(SEARCH("NG", ADRYr1!$AK7),0),ADRYr1!$AL7,0)+IF(IFERROR(SEARCH("NG", ADRYr1!$AM7),0),ADRYr1!$AN7,0)))</f>
        <v/>
      </c>
      <c r="AB7" s="45" t="str">
        <f t="shared" si="22"/>
        <v/>
      </c>
      <c r="AC7" s="45">
        <f>IF($G7="",0,AA7*ADRYr1!$P7)</f>
        <v>0</v>
      </c>
      <c r="AD7" s="45" t="str">
        <f t="shared" si="23"/>
        <v/>
      </c>
      <c r="AE7" s="45" t="str">
        <f>IF($G7="","",$G7*ADRYr1!$Q7*ADRYr1!$U7*(IF(IFERROR(SEARCH("Oil", ADRYr1!$AI7), 0),ADRYr1!$AJ7,0)+IF(IFERROR(SEARCH("Oil", ADRYr1!$AK7), 0),ADRYr1!$AL7,0)+IF(IFERROR(SEARCH("Oil", ADRYr1!$AM7), 0),ADRYr1!$AN7,0)))</f>
        <v/>
      </c>
      <c r="AF7" s="45" t="str">
        <f t="shared" si="24"/>
        <v/>
      </c>
      <c r="AG7" s="45">
        <f>IF($G7="",0,AE7*ADRYr1!$P7)</f>
        <v>0</v>
      </c>
      <c r="AH7" s="45" t="str">
        <f t="shared" si="25"/>
        <v/>
      </c>
      <c r="AI7" s="45" t="str">
        <f>IF($G7="","",$G7*ADRYr1!$Q7*ADRYr1!$U7*(IF(ADRYr1!$AI7=Lookups!$E$116,ADRYr1!$AJ7,IF(ADRYr1!$AK7=Lookups!$E$116,ADRYr1!$AL7,IF(ADRYr1!$AM7=Lookups!$E$116,ADRYr1!$AN7,0)))))</f>
        <v/>
      </c>
      <c r="AJ7" s="45" t="str">
        <f t="shared" si="26"/>
        <v/>
      </c>
      <c r="AK7" s="45">
        <f>IF($G7="",0,AI7*ADRYr1!$P7)</f>
        <v>0</v>
      </c>
      <c r="AL7" s="45" t="str">
        <f t="shared" si="27"/>
        <v/>
      </c>
      <c r="AM7" s="45" t="str">
        <f>IF($G7="","",$G7*ADRYr1!$Q7*ADRYr1!$U7*(IF(ADRYr1!$AI7=Lookups!$E$115,ADRYr1!$AJ7,IF(ADRYr1!$AK7=Lookups!$E$115,ADRYr1!$AL7,IF(ADRYr1!$AM7=Lookups!$E$115,ADRYr1!$AN7,0)))))</f>
        <v/>
      </c>
      <c r="AN7" s="45" t="str">
        <f t="shared" si="28"/>
        <v/>
      </c>
      <c r="AO7" s="45">
        <f>IF($G7="",0,AM7*ADRYr1!$P7)</f>
        <v>0</v>
      </c>
      <c r="AP7" s="45" t="str">
        <f t="shared" si="29"/>
        <v/>
      </c>
      <c r="AQ7" s="45" t="str">
        <f>IF($G7="","",$G7*ADRYr1!$Q7*ADRYr1!$U7*(IF(ADRYr1!$AI7=Lookups!$E$117,ADRYr1!$AJ7,IF(ADRYr1!$AK7=Lookups!$E$117,ADRYr1!$AL7,IF(ADRYr1!$AM7=Lookups!$E$117,ADRYr1!$AN7,0)))))</f>
        <v/>
      </c>
      <c r="AR7" s="45" t="str">
        <f t="shared" si="30"/>
        <v/>
      </c>
      <c r="AS7" s="45" t="str">
        <f>IF($G7="","",AQ7*ADRYr1!$P7)</f>
        <v/>
      </c>
      <c r="AT7" s="45" t="str">
        <f t="shared" si="31"/>
        <v/>
      </c>
      <c r="AU7" s="45" t="str">
        <f>IF($G7="","",$G7*ADRYr1!$Q7*ADRYr1!$U7*(IF(ADRYr1!$AI7=Lookups!$E$118,ADRYr1!$AJ7,IF(ADRYr1!$AK7=Lookups!$E$118,ADRYr1!$AL7,IF(ADRYr1!$AM7=Lookups!$E$118,ADRYr1!$AN7,0)))))</f>
        <v/>
      </c>
      <c r="AV7" s="45" t="str">
        <f t="shared" si="32"/>
        <v/>
      </c>
      <c r="AW7" s="45" t="str">
        <f>IF($G7="","",AU7*ADRYr1!$P7)</f>
        <v/>
      </c>
      <c r="AX7" s="45" t="str">
        <f t="shared" si="33"/>
        <v/>
      </c>
      <c r="AY7" s="45">
        <f t="shared" si="34"/>
        <v>0</v>
      </c>
      <c r="AZ7" s="45">
        <f t="shared" si="34"/>
        <v>0</v>
      </c>
      <c r="BA7" s="101" t="str">
        <f>IF($G7="","",$G7*ADRYr1!$P7*ADRYr1!$Q7*ADRYr1!$U7*ADRYr1!AO7)</f>
        <v/>
      </c>
      <c r="BB7" s="102" t="str">
        <f>IF($G7="","",$G7*ADRYr1!$P7*ADRYr1!$Q7*ADRYr1!$U7*ADRYr1!AP7)</f>
        <v/>
      </c>
      <c r="BC7" s="100" t="str">
        <f t="shared" si="35"/>
        <v/>
      </c>
      <c r="BD7" s="961"/>
      <c r="BE7" s="961"/>
      <c r="BF7" s="961"/>
      <c r="BG7" s="961"/>
      <c r="BH7" s="962" t="str">
        <f t="shared" si="3"/>
        <v/>
      </c>
      <c r="BI7" s="961"/>
      <c r="BJ7" s="961"/>
      <c r="BK7" s="961"/>
      <c r="BL7" s="961"/>
      <c r="BM7" s="30" t="str">
        <f t="shared" si="4"/>
        <v/>
      </c>
      <c r="BN7" s="963" t="str">
        <f t="shared" si="5"/>
        <v/>
      </c>
      <c r="BO7" s="31" t="str">
        <f t="shared" si="36"/>
        <v/>
      </c>
      <c r="BP7" s="964" t="str">
        <f t="shared" si="6"/>
        <v/>
      </c>
      <c r="BQ7" s="28" t="str">
        <f t="shared" si="7"/>
        <v/>
      </c>
      <c r="BR7" s="964" t="str">
        <f t="shared" si="8"/>
        <v/>
      </c>
      <c r="BS7" s="964" t="str">
        <f t="shared" si="9"/>
        <v/>
      </c>
      <c r="BT7" s="28" t="str">
        <f t="shared" si="10"/>
        <v/>
      </c>
      <c r="BU7" s="28" t="str">
        <f t="shared" si="10"/>
        <v/>
      </c>
      <c r="BV7" s="28" t="str">
        <f t="shared" si="10"/>
        <v/>
      </c>
      <c r="BW7" s="29" t="str">
        <f t="shared" si="37"/>
        <v/>
      </c>
      <c r="BX7" s="29" t="str">
        <f t="shared" si="38"/>
        <v/>
      </c>
      <c r="BY7" s="28" t="str">
        <f>IF($G7="","",$G7*(IF(ADRYr1!$AI7=BY$4,ADRYr1!$AJ7,IF(ADRYr1!$AK7=BY$4,ADRYr1!$AL7,IF(ADRYr1!$AM7=BY$4,ADRYr1!$AN7,0))))*(INDEX(avoidedcosttbl,$H7,BY$2)+(($H7-ROUNDDOWN($H7,0))*(INDEX(avoidedcosttbl,ROUNDUP($H7,0),BY$2)-(INDEX(avoidedcosttbl,ROUNDDOWN($H7,0),BY$2)))))*ADRYr1!P7*ADRYr1!Q7*ADRYr1!U7)</f>
        <v/>
      </c>
      <c r="BZ7" s="28" t="str">
        <f>IF($G7="","",$G7*(IF(ADRYr1!$AI7=BZ$4,ADRYr1!$AJ7,IF(ADRYr1!$AK7=BZ$4,ADRYr1!$AL7,IF(ADRYr1!$AM7=BZ$4,ADRYr1!$AN7,0))))*(INDEX(avoidedcosttbl,$H7,BZ$2)+(($H7-ROUNDDOWN($H7,0))*(INDEX(avoidedcosttbl,ROUNDUP($H7,0),BZ$2)-(INDEX(avoidedcosttbl,ROUNDDOWN($H7,0),BZ$2)))))*ADRYr1!P7*ADRYr1!Q7*ADRYr1!U7)</f>
        <v/>
      </c>
      <c r="CA7" s="28" t="str">
        <f>IF($G7="","",$G7*(IF(ADRYr1!$AI7=CA$4,ADRYr1!$AJ7,IF(ADRYr1!$AK7=CA$4,ADRYr1!$AL7,IF(ADRYr1!$AM7=CA$4,ADRYr1!$AN7,0))))*(INDEX(avoidedcosttbl,$H7,CA$2)+(($H7-ROUNDDOWN($H7,0))*(INDEX(avoidedcosttbl,ROUNDUP($H7,0),CA$2)-(INDEX(avoidedcosttbl,ROUNDDOWN($H7,0),CA$2)))))*ADRYr1!P7*ADRYr1!Q7*ADRYr1!U7)</f>
        <v/>
      </c>
      <c r="CB7" s="28" t="str">
        <f>IF($G7="","",$G7*(IF(ADRYr1!$AI7=CB$4,ADRYr1!$AJ7,IF(ADRYr1!$AK7=CB$4,ADRYr1!$AL7,IF(ADRYr1!$AM7=CB$4,ADRYr1!$AN7,0))))*(INDEX(avoidedcosttbl,$H7,CB$2)+(($H7-ROUNDDOWN($H7,0))*(INDEX(avoidedcosttbl,ROUNDUP($H7,0),CB$2)-(INDEX(avoidedcosttbl,ROUNDDOWN($H7,0),CB$2)))))*ADRYr1!P7*ADRYr1!Q7*ADRYr1!U7)</f>
        <v/>
      </c>
      <c r="CC7" s="28" t="str">
        <f>IF($G7="","",$G7*(IF(ADRYr1!$AI7=CC$4,ADRYr1!$AJ7,IF(ADRYr1!$AK7=CC$4,ADRYr1!$AL7,IF(ADRYr1!$AM7=CC$4,ADRYr1!$AN7,0))))*(INDEX(avoidedcosttbl,$H7,CC$2)+(($H7-ROUNDDOWN($H7,0))*(INDEX(avoidedcosttbl,ROUNDUP($H7,0),CC$2)-(INDEX(avoidedcosttbl,ROUNDDOWN($H7,0),CC$2)))))*ADRYr1!P7*ADRYr1!Q7*ADRYr1!U7)</f>
        <v/>
      </c>
      <c r="CD7" s="28" t="str">
        <f>IF($G7="","",$G7*(IF(ADRYr1!$AI7=CD$4,ADRYr1!$AJ7,IF(ADRYr1!$AK7=CD$4,ADRYr1!$AL7,IF(ADRYr1!$AM7=CD$4,ADRYr1!$AN7,0))))*(INDEX(avoidedcosttbl,$H7,CD$2)+(($H7-ROUNDDOWN($H7,0))*(INDEX(avoidedcosttbl,ROUNDUP($H7,0),CD$2)-(INDEX(avoidedcosttbl,ROUNDDOWN($H7,0),CD$2)))))*ADRYr1!P7*ADRYr1!Q7*ADRYr1!U7)</f>
        <v/>
      </c>
      <c r="CE7" s="28" t="str">
        <f>IF($G7="","",$G7*(IF(ADRYr1!$AI7=CE$4,ADRYr1!$AJ7,IF(ADRYr1!$AK7=CE$4,ADRYr1!$AL7,IF(ADRYr1!$AM7=CE$4,ADRYr1!$AN7,0))))*(INDEX(avoidedcosttbl,$H7,CE$2)+(($H7-ROUNDDOWN($H7,0))*(INDEX(avoidedcosttbl,ROUNDUP($H7,0),CE$2)-(INDEX(avoidedcosttbl,ROUNDDOWN($H7,0),CE$2)))))*ADRYr1!P7*ADRYr1!Q7*ADRYr1!U7)</f>
        <v/>
      </c>
      <c r="CF7" s="41" t="str">
        <f>IF($G7="","",SUM(BY7:CE7))</f>
        <v/>
      </c>
      <c r="CG7" s="30" t="str">
        <f t="shared" si="11"/>
        <v/>
      </c>
      <c r="CH7" s="30" t="str">
        <f>IF($G7="","",$G7*(IF(ADRYr1!$AI7=BY$4,ADRYr1!$AJ7,IF(ADRYr1!$AK7=BY$4,ADRYr1!$AL7,IF(ADRYr1!$AM7=BY$4,ADRYr1!$AN7,0))))*(INDEX(avoidedcosttbl,$H7,CH$2)+(($H7-ROUNDDOWN($H7,0))*(INDEX(avoidedcosttbl,ROUNDUP($H7,0),CH$2)-(INDEX(avoidedcosttbl,ROUNDDOWN($H7,0),CH$2)))))*ADRYr1!P7*ADRYr1!Q7*ADRYr1!U7)</f>
        <v/>
      </c>
      <c r="CI7" s="30" t="str">
        <f>IF($G7="","",$G7*(IF(ADRYr1!$AI7=BZ$4,ADRYr1!$AJ7,IF(ADRYr1!$AK7=BZ$4,ADRYr1!$AL7,IF(ADRYr1!$AM7=BZ$4,ADRYr1!$AN7,0))))*(INDEX(avoidedcosttbl,$H7,CI$2)+(($H7-ROUNDDOWN($H7,0))*(INDEX(avoidedcosttbl,ROUNDUP($H7,0),CI$2)-(INDEX(avoidedcosttbl,ROUNDDOWN($H7,0),CI$2)))))*ADRYr1!P7*ADRYr1!Q7*ADRYr1!U7)</f>
        <v/>
      </c>
      <c r="CJ7" s="30" t="str">
        <f>IF($G7="","",$G7*(IF(ADRYr1!$AI7=CA$4,ADRYr1!$AJ7,IF(ADRYr1!$AK7=CA$4,ADRYr1!$AL7,IF(ADRYr1!$AM7=CA$4,ADRYr1!$AN7,0))))*(INDEX(avoidedcosttbl,$H7,CJ$2)+(($H7-ROUNDDOWN($H7,0))*(INDEX(avoidedcosttbl,ROUNDUP($H7,0),CJ$2)-(INDEX(avoidedcosttbl,ROUNDDOWN($H7,0),CJ$2)))))*ADRYr1!P7*ADRYr1!Q7*ADRYr1!U7)</f>
        <v/>
      </c>
      <c r="CK7" s="30" t="str">
        <f>IF($G7="","",$G7*(IF(ADRYr1!$AI7=CB$4,ADRYr1!$AJ7,IF(ADRYr1!$AK7=CB$4,ADRYr1!$AL7,IF(ADRYr1!$AM7=CB$4,ADRYr1!$AN7,0))))*(INDEX(avoidedcosttbl,$H7,CK$2)+(($H7-ROUNDDOWN($H7,0))*(INDEX(avoidedcosttbl,ROUNDUP($H7,0),CK$2)-(INDEX(avoidedcosttbl,ROUNDDOWN($H7,0),CK$2)))))*ADRYr1!P7*ADRYr1!Q7*ADRYr1!U7)</f>
        <v/>
      </c>
      <c r="CL7" s="30" t="str">
        <f>IF($G7="","",$G7*(IF(ADRYr1!$AI7=CC$4,ADRYr1!$AJ7,IF(ADRYr1!$AK7=CC$4,ADRYr1!$AL7,IF(ADRYr1!$AM7=CC$4,ADRYr1!$AN7,0))))*(INDEX(avoidedcosttbl,$H7,CL$2)+(($H7-ROUNDDOWN($H7,0))*(INDEX(avoidedcosttbl,ROUNDUP($H7,0),CL$2)-(INDEX(avoidedcosttbl,ROUNDDOWN($H7,0),CL$2)))))*ADRYr1!P7*ADRYr1!Q7*ADRYr1!U7)</f>
        <v/>
      </c>
      <c r="CM7" s="30" t="str">
        <f>IF($G7="","",$G7*(IF(ADRYr1!$AI7=CD$4,ADRYr1!$AJ7,IF(ADRYr1!$AK7=CD$4,ADRYr1!$AL7,IF(ADRYr1!$AM7=CD$4,ADRYr1!$AN7,0))))*(INDEX(avoidedcosttbl,$H7,CM$2)+(($H7-ROUNDDOWN($H7,0))*(INDEX(avoidedcosttbl,ROUNDUP($H7,0),CM$2)-(INDEX(avoidedcosttbl,ROUNDDOWN($H7,0),CM$2)))))*ADRYr1!P7*ADRYr1!Q7*ADRYr1!U7)</f>
        <v/>
      </c>
      <c r="CN7" s="30" t="str">
        <f>IF($G7="","",$G7*(IF(ADRYr1!$AI7=CE$4,ADRYr1!$AJ7,IF(ADRYr1!$AK7=CE$4,ADRYr1!$AL7,IF(ADRYr1!$AM7=CE$4,ADRYr1!$AN7,0))))*(INDEX(avoidedcosttbl,$H7,CN$2)+(($H7-ROUNDDOWN($H7,0))*(INDEX(avoidedcosttbl,ROUNDUP($H7,0),CN$2)-(INDEX(avoidedcosttbl,ROUNDDOWN($H7,0),CN$2)))))*ADRYr1!P7*ADRYr1!Q7*ADRYr1!U7)</f>
        <v/>
      </c>
      <c r="CO7" s="220" t="str">
        <f t="shared" si="40"/>
        <v/>
      </c>
      <c r="CP7" s="220" t="str">
        <f t="shared" si="41"/>
        <v/>
      </c>
      <c r="CQ7" s="157" t="str">
        <f>IF($G7="","",$G7*(IF(ADRYr1!$AI7=CQ$4,ADRYr1!$AJ7,IF(ADRYr1!$AK7=CQ$4,ADRYr1!$AL7,IF(ADRYr1!$AM7=CQ$4,ADRYr1!$AN7,0))))*(INDEX(avoidedcosttbl,$H7,CQ$2)+(($H7-ROUNDDOWN($H7,0))*(INDEX(avoidedcosttbl,ROUNDUP($H7,0),CQ$2)-(INDEX(avoidedcosttbl,ROUNDDOWN($H7,0),CQ$2)))))*ADRYr1!$P7*ADRYr1!$Q7*ADRYr1!$U7)</f>
        <v/>
      </c>
      <c r="CR7" s="28" t="str">
        <f>IF($G7="","",G7*(IF(ADRYr1!$AI7=CR$4,ADRYr1!$AJ7,IF(ADRYr1!$AK7=CR$4,ADRYr1!$AL7,IF(ADRYr1!$AM7=CR$4,ADRYr1!$AN7,0))))*(INDEX(avoidedcosttbl,$H7,CR$2)+(($H7-ROUNDDOWN($H7,0))*(INDEX(avoidedcosttbl,ROUNDUP($H7,0),CR$2)-(INDEX(avoidedcosttbl,ROUNDDOWN($H7,0),CR$2)))))*ADRYr1!$P7*ADRYr1!$Q7*ADRYr1!$U7)</f>
        <v/>
      </c>
      <c r="CS7" s="28" t="str">
        <f>IF($G7="","",G7*(IF(ADRYr1!$AI7=CS$4,ADRYr1!$AJ7,IF(ADRYr1!$AK7=CS$4,ADRYr1!$AL7,IF(ADRYr1!$AM7=CS$4,ADRYr1!$AN7,0))))*(INDEX(avoidedcosttbl,$H7,CS$2)+(($H7-ROUNDDOWN($H7,0))*(INDEX(avoidedcosttbl,ROUNDUP($H7,0),CS$2)-(INDEX(avoidedcosttbl,ROUNDDOWN($H7,0),CS$2)))))*ADRYr1!$P7*ADRYr1!$Q7*ADRYr1!$U7)</f>
        <v/>
      </c>
      <c r="CT7" s="28" t="str">
        <f t="shared" si="12"/>
        <v/>
      </c>
      <c r="CU7" s="28" t="str">
        <f>IF($G7="","",G7*(IF(ADRYr1!$AI7=CU$4,ADRYr1!$AJ7,IF(ADRYr1!$AK7=CU$4,ADRYr1!$AL7,IF(ADRYr1!$AM7=CU$4,ADRYr1!$AN7,0))))*(INDEX(avoidedcosttbl,$H7,CU$2)+(($H7-ROUNDDOWN($H7,0))*(INDEX(avoidedcosttbl,ROUNDUP($H7,0),CU$2)-(INDEX(avoidedcosttbl,ROUNDDOWN($H7,0),CU$2)))))*ADRYr1!$P7*ADRYr1!$Q7*ADRYr1!$U7)</f>
        <v/>
      </c>
      <c r="CV7" s="28" t="str">
        <f>IF($G7="","",G7*(IF(ADRYr1!$AI7=CV$4,ADRYr1!$AJ7,IF(ADRYr1!$AK7=CV$4,ADRYr1!$AL7,IF(ADRYr1!$AM7=CV$4,ADRYr1!$AN7,0))))*(INDEX(avoidedcosttbl,$H7,CV$2)+(($H7-ROUNDDOWN($H7,0))*(INDEX(avoidedcosttbl,ROUNDUP($H7,0),CV$2)-(INDEX(avoidedcosttbl,ROUNDDOWN($H7,0),CV$2)))))*ADRYr1!$P7*ADRYr1!$Q7*ADRYr1!$U7)</f>
        <v/>
      </c>
      <c r="CW7" s="28" t="str">
        <f>IF($G7="","",G7*(IF(ADRYr1!$AI7=CW$4,ADRYr1!$AJ7,IF(ADRYr1!$AK7=CW$4,ADRYr1!$AL7,IF(ADRYr1!$AM7=CW$4,ADRYr1!$AN7,0))))*(INDEX(avoidedcosttbl,$H7,CW$2)+(($H7-ROUNDDOWN($H7,0))*(INDEX(avoidedcosttbl,ROUNDUP($H7,0),CW$2)-(INDEX(avoidedcosttbl,ROUNDDOWN($H7,0),CW$2)))))*ADRYr1!$P7*ADRYr1!$Q7*ADRYr1!$U7)</f>
        <v/>
      </c>
      <c r="CX7" s="28" t="str">
        <f>IF($G7="","",G7*(IF(ADRYr1!$AI7=CX$4,ADRYr1!$AJ7,IF(ADRYr1!$AK7=CX$4,ADRYr1!$AL7,IF(ADRYr1!$AM7=CX$4,ADRYr1!$AN7,0))))*(INDEX(avoidedcosttbl,$H7,CX$2)+(($H7-ROUNDDOWN($H7,0))*(INDEX(avoidedcosttbl,ROUNDUP($H7,0),CX$2)-(INDEX(avoidedcosttbl,ROUNDDOWN($H7,0),CX$2)))))*ADRYr1!$P7*ADRYr1!$Q7*ADRYr1!$U7)</f>
        <v/>
      </c>
      <c r="CY7" s="28" t="str">
        <f t="shared" si="13"/>
        <v/>
      </c>
      <c r="CZ7" s="32" t="str">
        <f t="shared" si="14"/>
        <v/>
      </c>
      <c r="DA7" s="84" t="str">
        <f t="shared" si="42"/>
        <v/>
      </c>
      <c r="DB7" s="81" t="str">
        <f>IF(NEIadder="Yes",IF($G7="","",INDEX(Lookups!$G$70:$G$71,MATCH($A7,Lookups!$E$70:$E$71,0))*(SUM(CP7:CX7,BX7))),"")</f>
        <v/>
      </c>
      <c r="DC7" s="263" t="str">
        <f t="shared" si="15"/>
        <v/>
      </c>
      <c r="DD7" s="166" t="str">
        <f t="shared" si="16"/>
        <v/>
      </c>
      <c r="DE7" s="82">
        <f t="shared" si="43"/>
        <v>0</v>
      </c>
      <c r="DF7" s="615" t="str">
        <f>IF($G7="","",(1+WntPeakEnergyLL)*(INDEX(avoidedcosttbl,$H7,DF$2)+(($H7-ROUNDDOWN($H7,0))*(INDEX(avoidedcosttbl,ROUNDUP($H7,0),DF$2)-(INDEX(avoidedcosttbl,ROUNDDOWN($H7,0),DF$2)))))*$P7*1000*ADRYr1!Z7)</f>
        <v/>
      </c>
      <c r="DG7" s="615" t="str">
        <f>IF($G7="","",(1+WntOffPeakEnergyLL)*(INDEX(avoidedcosttbl,$H7,DG$2)+(($H7-ROUNDDOWN($H7,0))*(INDEX(avoidedcosttbl,ROUNDUP($H7,0),DG$2)-(INDEX(avoidedcosttbl,ROUNDDOWN($H7,0),DG$2)))))*$P7*1000*ADRYr1!AA7)</f>
        <v/>
      </c>
      <c r="DH7" s="615" t="str">
        <f>IF($G7="","",(1+SumPeakEnergyLL)*(INDEX(avoidedcosttbl,$H7,DH$2)+(($H7-ROUNDDOWN($H7,0))*(INDEX(avoidedcosttbl,ROUNDUP($H7,0),DH$2)-(INDEX(avoidedcosttbl,ROUNDDOWN($H7,0),DH$2)))))*$P7*1000*ADRYr1!AB7)</f>
        <v/>
      </c>
      <c r="DI7" s="615" t="str">
        <f>IF($G7="","",(1+SumOffPeakEnergyLL)*(INDEX(avoidedcosttbl,$H7,DI$2)+(($H7-ROUNDDOWN($H7,0))*(INDEX(avoidedcosttbl,ROUNDUP($H7,0),DI$2)-(INDEX(avoidedcosttbl,ROUNDDOWN($H7,0),DI$2)))))*$P7*1000*ADRYr1!AC7)</f>
        <v/>
      </c>
      <c r="DJ7" s="29" t="str">
        <f t="shared" si="44"/>
        <v/>
      </c>
      <c r="DK7" s="161" t="str">
        <f t="shared" si="45"/>
        <v/>
      </c>
      <c r="DL7" s="1189" t="str">
        <f t="shared" si="46"/>
        <v/>
      </c>
      <c r="DM7" s="1189" t="str">
        <f t="shared" si="47"/>
        <v/>
      </c>
      <c r="DN7" s="43" t="str">
        <f t="shared" si="48"/>
        <v/>
      </c>
      <c r="DO7" s="966" t="str">
        <f>IF($G7="","",ADRYr1!AQ7)</f>
        <v/>
      </c>
      <c r="DP7" s="968" t="str">
        <f>IF($G7="","",ADRYr1!AR7)</f>
        <v/>
      </c>
      <c r="DQ7" s="970" t="str">
        <f>IF($G7="","",IF($DP7="Yes",COLUMN(AESC!$L$10),IF($DP7="No","Using AvoidedDemand tab",IF($DP7="Mixed",COLUMN(AESC!$N$10)))))</f>
        <v/>
      </c>
      <c r="DR7" s="970" t="str">
        <f>IF($G7="","",IF($DP7="Yes",COLUMN(AESC!$P$10),IF($DP7="No","Using AvoidedDemand tab",IF($DP7="Mixed",COLUMN(AESC!$R$10)))))</f>
        <v/>
      </c>
      <c r="DS7" s="970" t="str">
        <f>IF($G7="","",IF($DP7="Yes",COLUMN(AESC!$S$10),IF($DP7="No",COLUMN(AESC!$T$10),IF($DP7="Mixed",COLUMN(AESC!$U$10)))))</f>
        <v/>
      </c>
      <c r="DT7" s="970" t="str">
        <f t="shared" si="17"/>
        <v/>
      </c>
      <c r="DU7" s="970" t="str">
        <f>IF($G7="","",ADRYr1!AS7)</f>
        <v/>
      </c>
      <c r="DV7" s="971" t="str">
        <f>IF($G7="","",ADRYr1!AT7)</f>
        <v/>
      </c>
      <c r="DW7" s="1162" t="str">
        <f>IF($G7="","",INDEX(AvoidedEnergy!$H$4:$H$10,MATCH($DO7,AvoidedEnergy!$A$4:$A$10,0)))</f>
        <v/>
      </c>
    </row>
    <row r="8" spans="1:127">
      <c r="A8" s="160" t="str">
        <f>IF(ADRYr1!$B8=0,"",ADRYr1!A8)</f>
        <v>A - Residential</v>
      </c>
      <c r="B8" s="9" t="str">
        <f>IF(ADRYr1!$B8=0,"",ADRYr1!B8)</f>
        <v>A5 - Residential Active Demand Response</v>
      </c>
      <c r="C8" s="9" t="str">
        <f>IF(ADRYr1!$B8=0,"",ADRYr1!C8)</f>
        <v>A5a - Residential Active Demand Response</v>
      </c>
      <c r="D8" s="9" t="str">
        <f>IF(ADRYr1!$B8=0,"",ADRYr1!D8)</f>
        <v>Storage Daily Dispatch Upfront Incentive (consumption) Summer</v>
      </c>
      <c r="E8" s="9">
        <f>IF(ADRYr1!$B8=0,"",ADRYr1!E8)</f>
        <v>0</v>
      </c>
      <c r="F8" s="11" t="str">
        <f>IF(ADRYr1!$B8=0,"",ADRYr1!F8)</f>
        <v>Behavior</v>
      </c>
      <c r="G8" s="12" t="str">
        <f>IF(ADRYr1!$G8&lt;&gt;0,ADRYr1!G8,"")</f>
        <v/>
      </c>
      <c r="H8" s="960" t="str">
        <f>IF($G8="","",ROUND(ADRYr1!H8,0))</f>
        <v/>
      </c>
      <c r="I8" s="47" t="str">
        <f>IF($G8="","",ADRYr1!I8*ADRYr1!P8*G8)</f>
        <v/>
      </c>
      <c r="J8" s="47" t="str">
        <f>IF($G8="","",ADRYr1!J8*G8)</f>
        <v/>
      </c>
      <c r="K8" s="47" t="str">
        <f t="shared" si="18"/>
        <v/>
      </c>
      <c r="L8" s="27" t="str">
        <f>IF($G8="","",ADRYr1!V8*G8/1000)</f>
        <v/>
      </c>
      <c r="M8" s="27" t="str">
        <f>IF($G8="","",L8*ADRYr1!$Q8*ADRYr1!$R8)</f>
        <v/>
      </c>
      <c r="N8" s="27" t="str">
        <f t="shared" si="19"/>
        <v/>
      </c>
      <c r="O8" s="27" t="str">
        <f t="shared" si="20"/>
        <v/>
      </c>
      <c r="P8" s="27" t="str">
        <f>IF($G8="","",M8*ADRYr1!P8)</f>
        <v/>
      </c>
      <c r="Q8" s="27" t="str">
        <f t="shared" si="21"/>
        <v/>
      </c>
      <c r="R8" s="27" t="str">
        <f>IF($G8="","",$Q8*ADRYr1!Z8)</f>
        <v/>
      </c>
      <c r="S8" s="27" t="str">
        <f>IF($G8="","",$Q8*ADRYr1!AA8)</f>
        <v/>
      </c>
      <c r="T8" s="27" t="str">
        <f>IF($G8="","",$Q8*ADRYr1!AB8)</f>
        <v/>
      </c>
      <c r="U8" s="27" t="str">
        <f>IF($G8="","",$Q8*ADRYr1!AC8)</f>
        <v/>
      </c>
      <c r="V8" s="27" t="str">
        <f>IF($G8="","",G8*ADRYr1!$AD8*ADRYr1!$P8*ADRYr1!$Q8)</f>
        <v/>
      </c>
      <c r="W8" s="27" t="str">
        <f>IF($G8="","",$G8*ADRYr1!$AD8*ADRYr1!$AF8*ADRYr1!Q8*ADRYr1!$S8)</f>
        <v/>
      </c>
      <c r="X8" s="27" t="str">
        <f>IF($G8="","",$G8*ADRYr1!$AD8*ADRYr1!$AF8*ADRYr1!P8*ADRYr1!Q8*ADRYr1!$S8)</f>
        <v/>
      </c>
      <c r="Y8" s="27" t="str">
        <f>IF($G8="","",$G8*ADRYr1!$AD8*ADRYr1!$AE8*ADRYr1!Q8*ADRYr1!$T8)</f>
        <v/>
      </c>
      <c r="Z8" s="27" t="str">
        <f>IF($G8="","",$G8*ADRYr1!$AD8*ADRYr1!$AE8*ADRYr1!P8*ADRYr1!Q8*ADRYr1!$T8)</f>
        <v/>
      </c>
      <c r="AA8" s="45" t="str">
        <f>IF($G8="","",$G8*ADRYr1!$Q8*ADRYr1!$U8*(IF(IFERROR(SEARCH("NG", ADRYr1!$AI8),0),ADRYr1!$AJ8,0)+IF(IFERROR(SEARCH("NG", ADRYr1!$AK8),0),ADRYr1!$AL8,0)+IF(IFERROR(SEARCH("NG", ADRYr1!$AM8),0),ADRYr1!$AN8,0)))</f>
        <v/>
      </c>
      <c r="AB8" s="45" t="str">
        <f t="shared" si="22"/>
        <v/>
      </c>
      <c r="AC8" s="45">
        <f>IF($G8="",0,AA8*ADRYr1!$P8)</f>
        <v>0</v>
      </c>
      <c r="AD8" s="45" t="str">
        <f t="shared" si="23"/>
        <v/>
      </c>
      <c r="AE8" s="45" t="str">
        <f>IF($G8="","",$G8*ADRYr1!$Q8*ADRYr1!$U8*(IF(IFERROR(SEARCH("Oil", ADRYr1!$AI8), 0),ADRYr1!$AJ8,0)+IF(IFERROR(SEARCH("Oil", ADRYr1!$AK8), 0),ADRYr1!$AL8,0)+IF(IFERROR(SEARCH("Oil", ADRYr1!$AM8), 0),ADRYr1!$AN8,0)))</f>
        <v/>
      </c>
      <c r="AF8" s="45" t="str">
        <f t="shared" si="24"/>
        <v/>
      </c>
      <c r="AG8" s="45">
        <f>IF($G8="",0,AE8*ADRYr1!$P8)</f>
        <v>0</v>
      </c>
      <c r="AH8" s="45" t="str">
        <f t="shared" si="25"/>
        <v/>
      </c>
      <c r="AI8" s="45" t="str">
        <f>IF($G8="","",$G8*ADRYr1!$Q8*ADRYr1!$U8*(IF(ADRYr1!$AI8=Lookups!$E$116,ADRYr1!$AJ8,IF(ADRYr1!$AK8=Lookups!$E$116,ADRYr1!$AL8,IF(ADRYr1!$AM8=Lookups!$E$116,ADRYr1!$AN8,0)))))</f>
        <v/>
      </c>
      <c r="AJ8" s="45" t="str">
        <f t="shared" si="26"/>
        <v/>
      </c>
      <c r="AK8" s="45">
        <f>IF($G8="",0,AI8*ADRYr1!$P8)</f>
        <v>0</v>
      </c>
      <c r="AL8" s="45" t="str">
        <f t="shared" si="27"/>
        <v/>
      </c>
      <c r="AM8" s="45" t="str">
        <f>IF($G8="","",$G8*ADRYr1!$Q8*ADRYr1!$U8*(IF(ADRYr1!$AI8=Lookups!$E$115,ADRYr1!$AJ8,IF(ADRYr1!$AK8=Lookups!$E$115,ADRYr1!$AL8,IF(ADRYr1!$AM8=Lookups!$E$115,ADRYr1!$AN8,0)))))</f>
        <v/>
      </c>
      <c r="AN8" s="45" t="str">
        <f t="shared" si="28"/>
        <v/>
      </c>
      <c r="AO8" s="45">
        <f>IF($G8="",0,AM8*ADRYr1!$P8)</f>
        <v>0</v>
      </c>
      <c r="AP8" s="45" t="str">
        <f t="shared" si="29"/>
        <v/>
      </c>
      <c r="AQ8" s="45" t="str">
        <f>IF($G8="","",$G8*ADRYr1!$Q8*ADRYr1!$U8*(IF(ADRYr1!$AI8=Lookups!$E$117,ADRYr1!$AJ8,IF(ADRYr1!$AK8=Lookups!$E$117,ADRYr1!$AL8,IF(ADRYr1!$AM8=Lookups!$E$117,ADRYr1!$AN8,0)))))</f>
        <v/>
      </c>
      <c r="AR8" s="45" t="str">
        <f t="shared" si="30"/>
        <v/>
      </c>
      <c r="AS8" s="45" t="str">
        <f>IF($G8="","",AQ8*ADRYr1!$P8)</f>
        <v/>
      </c>
      <c r="AT8" s="45" t="str">
        <f t="shared" si="31"/>
        <v/>
      </c>
      <c r="AU8" s="45" t="str">
        <f>IF($G8="","",$G8*ADRYr1!$Q8*ADRYr1!$U8*(IF(ADRYr1!$AI8=Lookups!$E$118,ADRYr1!$AJ8,IF(ADRYr1!$AK8=Lookups!$E$118,ADRYr1!$AL8,IF(ADRYr1!$AM8=Lookups!$E$118,ADRYr1!$AN8,0)))))</f>
        <v/>
      </c>
      <c r="AV8" s="45" t="str">
        <f t="shared" si="32"/>
        <v/>
      </c>
      <c r="AW8" s="45" t="str">
        <f>IF($G8="","",AU8*ADRYr1!$P8)</f>
        <v/>
      </c>
      <c r="AX8" s="45" t="str">
        <f t="shared" si="33"/>
        <v/>
      </c>
      <c r="AY8" s="45">
        <f t="shared" si="34"/>
        <v>0</v>
      </c>
      <c r="AZ8" s="45">
        <f t="shared" si="34"/>
        <v>0</v>
      </c>
      <c r="BA8" s="101" t="str">
        <f>IF($G8="","",$G8*ADRYr1!$P8*ADRYr1!$Q8*ADRYr1!$U8*ADRYr1!AO8)</f>
        <v/>
      </c>
      <c r="BB8" s="102" t="str">
        <f>IF($G8="","",$G8*ADRYr1!$P8*ADRYr1!$Q8*ADRYr1!$U8*ADRYr1!AP8)</f>
        <v/>
      </c>
      <c r="BC8" s="100" t="str">
        <f t="shared" si="35"/>
        <v/>
      </c>
      <c r="BD8" s="961"/>
      <c r="BE8" s="961"/>
      <c r="BF8" s="961"/>
      <c r="BG8" s="961"/>
      <c r="BH8" s="962" t="str">
        <f t="shared" si="3"/>
        <v/>
      </c>
      <c r="BI8" s="961"/>
      <c r="BJ8" s="961"/>
      <c r="BK8" s="961"/>
      <c r="BL8" s="961"/>
      <c r="BM8" s="30" t="str">
        <f t="shared" si="4"/>
        <v/>
      </c>
      <c r="BN8" s="963" t="str">
        <f t="shared" si="5"/>
        <v/>
      </c>
      <c r="BO8" s="31" t="str">
        <f t="shared" si="36"/>
        <v/>
      </c>
      <c r="BP8" s="964" t="str">
        <f t="shared" si="6"/>
        <v/>
      </c>
      <c r="BQ8" s="28" t="str">
        <f t="shared" si="7"/>
        <v/>
      </c>
      <c r="BR8" s="964" t="str">
        <f t="shared" si="8"/>
        <v/>
      </c>
      <c r="BS8" s="964" t="str">
        <f t="shared" si="9"/>
        <v/>
      </c>
      <c r="BT8" s="28" t="str">
        <f t="shared" si="10"/>
        <v/>
      </c>
      <c r="BU8" s="28" t="str">
        <f t="shared" si="10"/>
        <v/>
      </c>
      <c r="BV8" s="28" t="str">
        <f t="shared" si="10"/>
        <v/>
      </c>
      <c r="BW8" s="29" t="str">
        <f t="shared" si="37"/>
        <v/>
      </c>
      <c r="BX8" s="29" t="str">
        <f t="shared" si="38"/>
        <v/>
      </c>
      <c r="BY8" s="28" t="str">
        <f>IF($G8="","",$G8*(IF(ADRYr1!$AI8=BY$4,ADRYr1!$AJ8,IF(ADRYr1!$AK8=BY$4,ADRYr1!$AL8,IF(ADRYr1!$AM8=BY$4,ADRYr1!$AN8,0))))*(INDEX(avoidedcosttbl,$H8,BY$2)+(($H8-ROUNDDOWN($H8,0))*(INDEX(avoidedcosttbl,ROUNDUP($H8,0),BY$2)-(INDEX(avoidedcosttbl,ROUNDDOWN($H8,0),BY$2)))))*ADRYr1!P8*ADRYr1!Q8*ADRYr1!U8)</f>
        <v/>
      </c>
      <c r="BZ8" s="28" t="str">
        <f>IF($G8="","",$G8*(IF(ADRYr1!$AI8=BZ$4,ADRYr1!$AJ8,IF(ADRYr1!$AK8=BZ$4,ADRYr1!$AL8,IF(ADRYr1!$AM8=BZ$4,ADRYr1!$AN8,0))))*(INDEX(avoidedcosttbl,$H8,BZ$2)+(($H8-ROUNDDOWN($H8,0))*(INDEX(avoidedcosttbl,ROUNDUP($H8,0),BZ$2)-(INDEX(avoidedcosttbl,ROUNDDOWN($H8,0),BZ$2)))))*ADRYr1!P8*ADRYr1!Q8*ADRYr1!U8)</f>
        <v/>
      </c>
      <c r="CA8" s="28" t="str">
        <f>IF($G8="","",$G8*(IF(ADRYr1!$AI8=CA$4,ADRYr1!$AJ8,IF(ADRYr1!$AK8=CA$4,ADRYr1!$AL8,IF(ADRYr1!$AM8=CA$4,ADRYr1!$AN8,0))))*(INDEX(avoidedcosttbl,$H8,CA$2)+(($H8-ROUNDDOWN($H8,0))*(INDEX(avoidedcosttbl,ROUNDUP($H8,0),CA$2)-(INDEX(avoidedcosttbl,ROUNDDOWN($H8,0),CA$2)))))*ADRYr1!P8*ADRYr1!Q8*ADRYr1!U8)</f>
        <v/>
      </c>
      <c r="CB8" s="28" t="str">
        <f>IF($G8="","",$G8*(IF(ADRYr1!$AI8=CB$4,ADRYr1!$AJ8,IF(ADRYr1!$AK8=CB$4,ADRYr1!$AL8,IF(ADRYr1!$AM8=CB$4,ADRYr1!$AN8,0))))*(INDEX(avoidedcosttbl,$H8,CB$2)+(($H8-ROUNDDOWN($H8,0))*(INDEX(avoidedcosttbl,ROUNDUP($H8,0),CB$2)-(INDEX(avoidedcosttbl,ROUNDDOWN($H8,0),CB$2)))))*ADRYr1!P8*ADRYr1!Q8*ADRYr1!U8)</f>
        <v/>
      </c>
      <c r="CC8" s="28" t="str">
        <f>IF($G8="","",$G8*(IF(ADRYr1!$AI8=CC$4,ADRYr1!$AJ8,IF(ADRYr1!$AK8=CC$4,ADRYr1!$AL8,IF(ADRYr1!$AM8=CC$4,ADRYr1!$AN8,0))))*(INDEX(avoidedcosttbl,$H8,CC$2)+(($H8-ROUNDDOWN($H8,0))*(INDEX(avoidedcosttbl,ROUNDUP($H8,0),CC$2)-(INDEX(avoidedcosttbl,ROUNDDOWN($H8,0),CC$2)))))*ADRYr1!P8*ADRYr1!Q8*ADRYr1!U8)</f>
        <v/>
      </c>
      <c r="CD8" s="28" t="str">
        <f>IF($G8="","",$G8*(IF(ADRYr1!$AI8=CD$4,ADRYr1!$AJ8,IF(ADRYr1!$AK8=CD$4,ADRYr1!$AL8,IF(ADRYr1!$AM8=CD$4,ADRYr1!$AN8,0))))*(INDEX(avoidedcosttbl,$H8,CD$2)+(($H8-ROUNDDOWN($H8,0))*(INDEX(avoidedcosttbl,ROUNDUP($H8,0),CD$2)-(INDEX(avoidedcosttbl,ROUNDDOWN($H8,0),CD$2)))))*ADRYr1!P8*ADRYr1!Q8*ADRYr1!U8)</f>
        <v/>
      </c>
      <c r="CE8" s="28" t="str">
        <f>IF($G8="","",$G8*(IF(ADRYr1!$AI8=CE$4,ADRYr1!$AJ8,IF(ADRYr1!$AK8=CE$4,ADRYr1!$AL8,IF(ADRYr1!$AM8=CE$4,ADRYr1!$AN8,0))))*(INDEX(avoidedcosttbl,$H8,CE$2)+(($H8-ROUNDDOWN($H8,0))*(INDEX(avoidedcosttbl,ROUNDUP($H8,0),CE$2)-(INDEX(avoidedcosttbl,ROUNDDOWN($H8,0),CE$2)))))*ADRYr1!P8*ADRYr1!Q8*ADRYr1!U8)</f>
        <v/>
      </c>
      <c r="CF8" s="41" t="str">
        <f t="shared" si="39"/>
        <v/>
      </c>
      <c r="CG8" s="30" t="str">
        <f t="shared" si="11"/>
        <v/>
      </c>
      <c r="CH8" s="30" t="str">
        <f>IF($G8="","",$G8*(IF(ADRYr1!$AI8=BY$4,ADRYr1!$AJ8,IF(ADRYr1!$AK8=BY$4,ADRYr1!$AL8,IF(ADRYr1!$AM8=BY$4,ADRYr1!$AN8,0))))*(INDEX(avoidedcosttbl,$H8,CH$2)+(($H8-ROUNDDOWN($H8,0))*(INDEX(avoidedcosttbl,ROUNDUP($H8,0),CH$2)-(INDEX(avoidedcosttbl,ROUNDDOWN($H8,0),CH$2)))))*ADRYr1!P8*ADRYr1!Q8*ADRYr1!U8)</f>
        <v/>
      </c>
      <c r="CI8" s="30" t="str">
        <f>IF($G8="","",$G8*(IF(ADRYr1!$AI8=BZ$4,ADRYr1!$AJ8,IF(ADRYr1!$AK8=BZ$4,ADRYr1!$AL8,IF(ADRYr1!$AM8=BZ$4,ADRYr1!$AN8,0))))*(INDEX(avoidedcosttbl,$H8,CI$2)+(($H8-ROUNDDOWN($H8,0))*(INDEX(avoidedcosttbl,ROUNDUP($H8,0),CI$2)-(INDEX(avoidedcosttbl,ROUNDDOWN($H8,0),CI$2)))))*ADRYr1!P8*ADRYr1!Q8*ADRYr1!U8)</f>
        <v/>
      </c>
      <c r="CJ8" s="30" t="str">
        <f>IF($G8="","",$G8*(IF(ADRYr1!$AI8=CA$4,ADRYr1!$AJ8,IF(ADRYr1!$AK8=CA$4,ADRYr1!$AL8,IF(ADRYr1!$AM8=CA$4,ADRYr1!$AN8,0))))*(INDEX(avoidedcosttbl,$H8,CJ$2)+(($H8-ROUNDDOWN($H8,0))*(INDEX(avoidedcosttbl,ROUNDUP($H8,0),CJ$2)-(INDEX(avoidedcosttbl,ROUNDDOWN($H8,0),CJ$2)))))*ADRYr1!P8*ADRYr1!Q8*ADRYr1!U8)</f>
        <v/>
      </c>
      <c r="CK8" s="30" t="str">
        <f>IF($G8="","",$G8*(IF(ADRYr1!$AI8=CB$4,ADRYr1!$AJ8,IF(ADRYr1!$AK8=CB$4,ADRYr1!$AL8,IF(ADRYr1!$AM8=CB$4,ADRYr1!$AN8,0))))*(INDEX(avoidedcosttbl,$H8,CK$2)+(($H8-ROUNDDOWN($H8,0))*(INDEX(avoidedcosttbl,ROUNDUP($H8,0),CK$2)-(INDEX(avoidedcosttbl,ROUNDDOWN($H8,0),CK$2)))))*ADRYr1!P8*ADRYr1!Q8*ADRYr1!U8)</f>
        <v/>
      </c>
      <c r="CL8" s="30" t="str">
        <f>IF($G8="","",$G8*(IF(ADRYr1!$AI8=CC$4,ADRYr1!$AJ8,IF(ADRYr1!$AK8=CC$4,ADRYr1!$AL8,IF(ADRYr1!$AM8=CC$4,ADRYr1!$AN8,0))))*(INDEX(avoidedcosttbl,$H8,CL$2)+(($H8-ROUNDDOWN($H8,0))*(INDEX(avoidedcosttbl,ROUNDUP($H8,0),CL$2)-(INDEX(avoidedcosttbl,ROUNDDOWN($H8,0),CL$2)))))*ADRYr1!P8*ADRYr1!Q8*ADRYr1!U8)</f>
        <v/>
      </c>
      <c r="CM8" s="30" t="str">
        <f>IF($G8="","",$G8*(IF(ADRYr1!$AI8=CD$4,ADRYr1!$AJ8,IF(ADRYr1!$AK8=CD$4,ADRYr1!$AL8,IF(ADRYr1!$AM8=CD$4,ADRYr1!$AN8,0))))*(INDEX(avoidedcosttbl,$H8,CM$2)+(($H8-ROUNDDOWN($H8,0))*(INDEX(avoidedcosttbl,ROUNDUP($H8,0),CM$2)-(INDEX(avoidedcosttbl,ROUNDDOWN($H8,0),CM$2)))))*ADRYr1!P8*ADRYr1!Q8*ADRYr1!U8)</f>
        <v/>
      </c>
      <c r="CN8" s="30" t="str">
        <f>IF($G8="","",$G8*(IF(ADRYr1!$AI8=CE$4,ADRYr1!$AJ8,IF(ADRYr1!$AK8=CE$4,ADRYr1!$AL8,IF(ADRYr1!$AM8=CE$4,ADRYr1!$AN8,0))))*(INDEX(avoidedcosttbl,$H8,CN$2)+(($H8-ROUNDDOWN($H8,0))*(INDEX(avoidedcosttbl,ROUNDUP($H8,0),CN$2)-(INDEX(avoidedcosttbl,ROUNDDOWN($H8,0),CN$2)))))*ADRYr1!P8*ADRYr1!Q8*ADRYr1!U8)</f>
        <v/>
      </c>
      <c r="CO8" s="220" t="str">
        <f t="shared" si="40"/>
        <v/>
      </c>
      <c r="CP8" s="220" t="str">
        <f t="shared" si="41"/>
        <v/>
      </c>
      <c r="CQ8" s="157" t="str">
        <f>IF($G8="","",$G8*(IF(ADRYr1!$AI8=CQ$4,ADRYr1!$AJ8,IF(ADRYr1!$AK8=CQ$4,ADRYr1!$AL8,IF(ADRYr1!$AM8=CQ$4,ADRYr1!$AN8,0))))*(INDEX(avoidedcosttbl,$H8,CQ$2)+(($H8-ROUNDDOWN($H8,0))*(INDEX(avoidedcosttbl,ROUNDUP($H8,0),CQ$2)-(INDEX(avoidedcosttbl,ROUNDDOWN($H8,0),CQ$2)))))*ADRYr1!$P8*ADRYr1!$Q8*ADRYr1!$U8)</f>
        <v/>
      </c>
      <c r="CR8" s="28" t="str">
        <f>IF($G8="","",G8*(IF(ADRYr1!$AI8=CR$4,ADRYr1!$AJ8,IF(ADRYr1!$AK8=CR$4,ADRYr1!$AL8,IF(ADRYr1!$AM8=CR$4,ADRYr1!$AN8,0))))*(INDEX(avoidedcosttbl,$H8,CR$2)+(($H8-ROUNDDOWN($H8,0))*(INDEX(avoidedcosttbl,ROUNDUP($H8,0),CR$2)-(INDEX(avoidedcosttbl,ROUNDDOWN($H8,0),CR$2)))))*ADRYr1!$P8*ADRYr1!$Q8*ADRYr1!$U8)</f>
        <v/>
      </c>
      <c r="CS8" s="28" t="str">
        <f>IF($G8="","",G8*(IF(ADRYr1!$AI8=CS$4,ADRYr1!$AJ8,IF(ADRYr1!$AK8=CS$4,ADRYr1!$AL8,IF(ADRYr1!$AM8=CS$4,ADRYr1!$AN8,0))))*(INDEX(avoidedcosttbl,$H8,CS$2)+(($H8-ROUNDDOWN($H8,0))*(INDEX(avoidedcosttbl,ROUNDUP($H8,0),CS$2)-(INDEX(avoidedcosttbl,ROUNDDOWN($H8,0),CS$2)))))*ADRYr1!$P8*ADRYr1!$Q8*ADRYr1!$U8)</f>
        <v/>
      </c>
      <c r="CT8" s="28" t="str">
        <f t="shared" si="12"/>
        <v/>
      </c>
      <c r="CU8" s="28" t="str">
        <f>IF($G8="","",G8*(IF(ADRYr1!$AI8=CU$4,ADRYr1!$AJ8,IF(ADRYr1!$AK8=CU$4,ADRYr1!$AL8,IF(ADRYr1!$AM8=CU$4,ADRYr1!$AN8,0))))*(INDEX(avoidedcosttbl,$H8,CU$2)+(($H8-ROUNDDOWN($H8,0))*(INDEX(avoidedcosttbl,ROUNDUP($H8,0),CU$2)-(INDEX(avoidedcosttbl,ROUNDDOWN($H8,0),CU$2)))))*ADRYr1!$P8*ADRYr1!$Q8*ADRYr1!$U8)</f>
        <v/>
      </c>
      <c r="CV8" s="28" t="str">
        <f>IF($G8="","",G8*(IF(ADRYr1!$AI8=CV$4,ADRYr1!$AJ8,IF(ADRYr1!$AK8=CV$4,ADRYr1!$AL8,IF(ADRYr1!$AM8=CV$4,ADRYr1!$AN8,0))))*(INDEX(avoidedcosttbl,$H8,CV$2)+(($H8-ROUNDDOWN($H8,0))*(INDEX(avoidedcosttbl,ROUNDUP($H8,0),CV$2)-(INDEX(avoidedcosttbl,ROUNDDOWN($H8,0),CV$2)))))*ADRYr1!$P8*ADRYr1!$Q8*ADRYr1!$U8)</f>
        <v/>
      </c>
      <c r="CW8" s="28" t="str">
        <f>IF($G8="","",G8*(IF(ADRYr1!$AI8=CW$4,ADRYr1!$AJ8,IF(ADRYr1!$AK8=CW$4,ADRYr1!$AL8,IF(ADRYr1!$AM8=CW$4,ADRYr1!$AN8,0))))*(INDEX(avoidedcosttbl,$H8,CW$2)+(($H8-ROUNDDOWN($H8,0))*(INDEX(avoidedcosttbl,ROUNDUP($H8,0),CW$2)-(INDEX(avoidedcosttbl,ROUNDDOWN($H8,0),CW$2)))))*ADRYr1!$P8*ADRYr1!$Q8*ADRYr1!$U8)</f>
        <v/>
      </c>
      <c r="CX8" s="28" t="str">
        <f>IF($G8="","",G8*(IF(ADRYr1!$AI8=CX$4,ADRYr1!$AJ8,IF(ADRYr1!$AK8=CX$4,ADRYr1!$AL8,IF(ADRYr1!$AM8=CX$4,ADRYr1!$AN8,0))))*(INDEX(avoidedcosttbl,$H8,CX$2)+(($H8-ROUNDDOWN($H8,0))*(INDEX(avoidedcosttbl,ROUNDUP($H8,0),CX$2)-(INDEX(avoidedcosttbl,ROUNDDOWN($H8,0),CX$2)))))*ADRYr1!$P8*ADRYr1!$Q8*ADRYr1!$U8)</f>
        <v/>
      </c>
      <c r="CY8" s="28" t="str">
        <f t="shared" si="13"/>
        <v/>
      </c>
      <c r="CZ8" s="32" t="str">
        <f t="shared" si="14"/>
        <v/>
      </c>
      <c r="DA8" s="84" t="str">
        <f t="shared" si="42"/>
        <v/>
      </c>
      <c r="DB8" s="81" t="str">
        <f>IF(NEIadder="Yes",IF($G8="","",INDEX(Lookups!$G$70:$G$71,MATCH($A8,Lookups!$E$70:$E$71,0))*(SUM(CP8:CX8,BX8))),"")</f>
        <v/>
      </c>
      <c r="DC8" s="263" t="str">
        <f t="shared" si="15"/>
        <v/>
      </c>
      <c r="DD8" s="166" t="str">
        <f t="shared" si="16"/>
        <v/>
      </c>
      <c r="DE8" s="82">
        <f t="shared" si="43"/>
        <v>0</v>
      </c>
      <c r="DF8" s="615" t="str">
        <f>IF($G8="","",(1+WntPeakEnergyLL)*(INDEX(avoidedcosttbl,$H8,DF$2)+(($H8-ROUNDDOWN($H8,0))*(INDEX(avoidedcosttbl,ROUNDUP($H8,0),DF$2)-(INDEX(avoidedcosttbl,ROUNDDOWN($H8,0),DF$2)))))*$P8*1000*ADRYr1!Z8)</f>
        <v/>
      </c>
      <c r="DG8" s="615" t="str">
        <f>IF($G8="","",(1+WntOffPeakEnergyLL)*(INDEX(avoidedcosttbl,$H8,DG$2)+(($H8-ROUNDDOWN($H8,0))*(INDEX(avoidedcosttbl,ROUNDUP($H8,0),DG$2)-(INDEX(avoidedcosttbl,ROUNDDOWN($H8,0),DG$2)))))*$P8*1000*ADRYr1!AA8)</f>
        <v/>
      </c>
      <c r="DH8" s="615" t="str">
        <f>IF($G8="","",(1+SumPeakEnergyLL)*(INDEX(avoidedcosttbl,$H8,DH$2)+(($H8-ROUNDDOWN($H8,0))*(INDEX(avoidedcosttbl,ROUNDUP($H8,0),DH$2)-(INDEX(avoidedcosttbl,ROUNDDOWN($H8,0),DH$2)))))*$P8*1000*ADRYr1!AB8)</f>
        <v/>
      </c>
      <c r="DI8" s="615" t="str">
        <f>IF($G8="","",(1+SumOffPeakEnergyLL)*(INDEX(avoidedcosttbl,$H8,DI$2)+(($H8-ROUNDDOWN($H8,0))*(INDEX(avoidedcosttbl,ROUNDUP($H8,0),DI$2)-(INDEX(avoidedcosttbl,ROUNDDOWN($H8,0),DI$2)))))*$P8*1000*ADRYr1!AC8)</f>
        <v/>
      </c>
      <c r="DJ8" s="29" t="str">
        <f t="shared" si="44"/>
        <v/>
      </c>
      <c r="DK8" s="161" t="str">
        <f t="shared" si="45"/>
        <v/>
      </c>
      <c r="DL8" s="1189" t="str">
        <f t="shared" si="46"/>
        <v/>
      </c>
      <c r="DM8" s="1189" t="str">
        <f t="shared" si="47"/>
        <v/>
      </c>
      <c r="DN8" s="43" t="str">
        <f t="shared" si="48"/>
        <v/>
      </c>
      <c r="DO8" s="966" t="str">
        <f>IF($G8="","",ADRYr1!AQ8)</f>
        <v/>
      </c>
      <c r="DP8" s="968" t="str">
        <f>IF($G8="","",ADRYr1!AR8)</f>
        <v/>
      </c>
      <c r="DQ8" s="970" t="str">
        <f>IF($G8="","",IF($DP8="Yes",COLUMN(AESC!$L$10),IF($DP8="No","Using AvoidedDemand tab",IF($DP8="Mixed",COLUMN(AESC!$N$10)))))</f>
        <v/>
      </c>
      <c r="DR8" s="970" t="str">
        <f>IF($G8="","",IF($DP8="Yes",COLUMN(AESC!$P$10),IF($DP8="No","Using AvoidedDemand tab",IF($DP8="Mixed",COLUMN(AESC!$R$10)))))</f>
        <v/>
      </c>
      <c r="DS8" s="970" t="str">
        <f>IF($G8="","",IF($DP8="Yes",COLUMN(AESC!$S$10),IF($DP8="No",COLUMN(AESC!$T$10),IF($DP8="Mixed",COLUMN(AESC!$U$10)))))</f>
        <v/>
      </c>
      <c r="DT8" s="970" t="str">
        <f t="shared" si="17"/>
        <v/>
      </c>
      <c r="DU8" s="970" t="str">
        <f>IF($G8="","",ADRYr1!AS8)</f>
        <v/>
      </c>
      <c r="DV8" s="971" t="str">
        <f>IF($G8="","",ADRYr1!AT8)</f>
        <v/>
      </c>
      <c r="DW8" s="1162" t="str">
        <f>IF($G8="","",INDEX(AvoidedEnergy!$H$4:$H$10,MATCH($DO8,AvoidedEnergy!$A$4:$A$10,0)))</f>
        <v/>
      </c>
    </row>
    <row r="9" spans="1:127">
      <c r="A9" s="160" t="str">
        <f>IF(ADRYr1!$B9=0,"",ADRYr1!A9)</f>
        <v>A - Residential</v>
      </c>
      <c r="B9" s="9" t="str">
        <f>IF(ADRYr1!$B9=0,"",ADRYr1!B9)</f>
        <v>A5 - Residential Active Demand Response</v>
      </c>
      <c r="C9" s="9" t="str">
        <f>IF(ADRYr1!$B9=0,"",ADRYr1!C9)</f>
        <v>A5a - Residential Active Demand Response</v>
      </c>
      <c r="D9" s="9" t="str">
        <f>IF(ADRYr1!$B9=0,"",ADRYr1!D9)</f>
        <v>Storage Daily Dispatch Upfront Incentive (savings) Winter</v>
      </c>
      <c r="E9" s="9">
        <f>IF(ADRYr1!$B9=0,"",ADRYr1!E9)</f>
        <v>0</v>
      </c>
      <c r="F9" s="11" t="str">
        <f>IF(ADRYr1!$B9=0,"",ADRYr1!F9)</f>
        <v>Behavior</v>
      </c>
      <c r="G9" s="12" t="str">
        <f>IF(ADRYr1!$G9&lt;&gt;0,ADRYr1!G9,"")</f>
        <v/>
      </c>
      <c r="H9" s="960" t="str">
        <f>IF($G9="","",ROUND(ADRYr1!H9,0))</f>
        <v/>
      </c>
      <c r="I9" s="47" t="str">
        <f>IF($G9="","",ADRYr1!I9*ADRYr1!P9*G9)</f>
        <v/>
      </c>
      <c r="J9" s="47" t="str">
        <f>IF($G9="","",ADRYr1!J9*G9)</f>
        <v/>
      </c>
      <c r="K9" s="47" t="str">
        <f t="shared" si="18"/>
        <v/>
      </c>
      <c r="L9" s="27" t="str">
        <f>IF($G9="","",ADRYr1!V9*G9/1000)</f>
        <v/>
      </c>
      <c r="M9" s="27" t="str">
        <f>IF($G9="","",L9*ADRYr1!$Q9*ADRYr1!$R9)</f>
        <v/>
      </c>
      <c r="N9" s="27" t="str">
        <f t="shared" si="19"/>
        <v/>
      </c>
      <c r="O9" s="27" t="str">
        <f t="shared" si="20"/>
        <v/>
      </c>
      <c r="P9" s="27" t="str">
        <f>IF($G9="","",M9*ADRYr1!P9)</f>
        <v/>
      </c>
      <c r="Q9" s="27" t="str">
        <f t="shared" si="21"/>
        <v/>
      </c>
      <c r="R9" s="27" t="str">
        <f>IF($G9="","",$Q9*ADRYr1!Z9)</f>
        <v/>
      </c>
      <c r="S9" s="27" t="str">
        <f>IF($G9="","",$Q9*ADRYr1!AA9)</f>
        <v/>
      </c>
      <c r="T9" s="27" t="str">
        <f>IF($G9="","",$Q9*ADRYr1!AB9)</f>
        <v/>
      </c>
      <c r="U9" s="27" t="str">
        <f>IF($G9="","",$Q9*ADRYr1!AC9)</f>
        <v/>
      </c>
      <c r="V9" s="27" t="str">
        <f>IF($G9="","",G9*ADRYr1!$AD9*ADRYr1!$P9*ADRYr1!$Q9)</f>
        <v/>
      </c>
      <c r="W9" s="27" t="str">
        <f>IF($G9="","",$G9*ADRYr1!$AD9*ADRYr1!$AF9*ADRYr1!Q9*ADRYr1!$S9)</f>
        <v/>
      </c>
      <c r="X9" s="27" t="str">
        <f>IF($G9="","",$G9*ADRYr1!$AD9*ADRYr1!$AF9*ADRYr1!P9*ADRYr1!Q9*ADRYr1!$S9)</f>
        <v/>
      </c>
      <c r="Y9" s="27" t="str">
        <f>IF($G9="","",$G9*ADRYr1!$AD9*ADRYr1!$AE9*ADRYr1!Q9*ADRYr1!$T9)</f>
        <v/>
      </c>
      <c r="Z9" s="27" t="str">
        <f>IF($G9="","",$G9*ADRYr1!$AD9*ADRYr1!$AE9*ADRYr1!P9*ADRYr1!Q9*ADRYr1!$T9)</f>
        <v/>
      </c>
      <c r="AA9" s="45" t="str">
        <f>IF($G9="","",$G9*ADRYr1!$Q9*ADRYr1!$U9*(IF(IFERROR(SEARCH("NG", ADRYr1!$AI9),0),ADRYr1!$AJ9,0)+IF(IFERROR(SEARCH("NG", ADRYr1!$AK9),0),ADRYr1!$AL9,0)+IF(IFERROR(SEARCH("NG", ADRYr1!$AM9),0),ADRYr1!$AN9,0)))</f>
        <v/>
      </c>
      <c r="AB9" s="45" t="str">
        <f t="shared" si="22"/>
        <v/>
      </c>
      <c r="AC9" s="45">
        <f>IF($G9="",0,AA9*ADRYr1!$P9)</f>
        <v>0</v>
      </c>
      <c r="AD9" s="45" t="str">
        <f t="shared" si="23"/>
        <v/>
      </c>
      <c r="AE9" s="45" t="str">
        <f>IF($G9="","",$G9*ADRYr1!$Q9*ADRYr1!$U9*(IF(IFERROR(SEARCH("Oil", ADRYr1!$AI9), 0),ADRYr1!$AJ9,0)+IF(IFERROR(SEARCH("Oil", ADRYr1!$AK9), 0),ADRYr1!$AL9,0)+IF(IFERROR(SEARCH("Oil", ADRYr1!$AM9), 0),ADRYr1!$AN9,0)))</f>
        <v/>
      </c>
      <c r="AF9" s="45" t="str">
        <f t="shared" si="24"/>
        <v/>
      </c>
      <c r="AG9" s="45">
        <f>IF($G9="",0,AE9*ADRYr1!$P9)</f>
        <v>0</v>
      </c>
      <c r="AH9" s="45" t="str">
        <f t="shared" si="25"/>
        <v/>
      </c>
      <c r="AI9" s="45" t="str">
        <f>IF($G9="","",$G9*ADRYr1!$Q9*ADRYr1!$U9*(IF(ADRYr1!$AI9=Lookups!$E$116,ADRYr1!$AJ9,IF(ADRYr1!$AK9=Lookups!$E$116,ADRYr1!$AL9,IF(ADRYr1!$AM9=Lookups!$E$116,ADRYr1!$AN9,0)))))</f>
        <v/>
      </c>
      <c r="AJ9" s="45" t="str">
        <f t="shared" si="26"/>
        <v/>
      </c>
      <c r="AK9" s="45">
        <f>IF($G9="",0,AI9*ADRYr1!$P9)</f>
        <v>0</v>
      </c>
      <c r="AL9" s="45" t="str">
        <f t="shared" si="27"/>
        <v/>
      </c>
      <c r="AM9" s="45" t="str">
        <f>IF($G9="","",$G9*ADRYr1!$Q9*ADRYr1!$U9*(IF(ADRYr1!$AI9=Lookups!$E$115,ADRYr1!$AJ9,IF(ADRYr1!$AK9=Lookups!$E$115,ADRYr1!$AL9,IF(ADRYr1!$AM9=Lookups!$E$115,ADRYr1!$AN9,0)))))</f>
        <v/>
      </c>
      <c r="AN9" s="45" t="str">
        <f t="shared" si="28"/>
        <v/>
      </c>
      <c r="AO9" s="45">
        <f>IF($G9="",0,AM9*ADRYr1!$P9)</f>
        <v>0</v>
      </c>
      <c r="AP9" s="45" t="str">
        <f t="shared" si="29"/>
        <v/>
      </c>
      <c r="AQ9" s="45" t="str">
        <f>IF($G9="","",$G9*ADRYr1!$Q9*ADRYr1!$U9*(IF(ADRYr1!$AI9=Lookups!$E$117,ADRYr1!$AJ9,IF(ADRYr1!$AK9=Lookups!$E$117,ADRYr1!$AL9,IF(ADRYr1!$AM9=Lookups!$E$117,ADRYr1!$AN9,0)))))</f>
        <v/>
      </c>
      <c r="AR9" s="45" t="str">
        <f t="shared" si="30"/>
        <v/>
      </c>
      <c r="AS9" s="45" t="str">
        <f>IF($G9="","",AQ9*ADRYr1!$P9)</f>
        <v/>
      </c>
      <c r="AT9" s="45" t="str">
        <f t="shared" si="31"/>
        <v/>
      </c>
      <c r="AU9" s="45" t="str">
        <f>IF($G9="","",$G9*ADRYr1!$Q9*ADRYr1!$U9*(IF(ADRYr1!$AI9=Lookups!$E$118,ADRYr1!$AJ9,IF(ADRYr1!$AK9=Lookups!$E$118,ADRYr1!$AL9,IF(ADRYr1!$AM9=Lookups!$E$118,ADRYr1!$AN9,0)))))</f>
        <v/>
      </c>
      <c r="AV9" s="45" t="str">
        <f t="shared" si="32"/>
        <v/>
      </c>
      <c r="AW9" s="45" t="str">
        <f>IF($G9="","",AU9*ADRYr1!$P9)</f>
        <v/>
      </c>
      <c r="AX9" s="45" t="str">
        <f t="shared" si="33"/>
        <v/>
      </c>
      <c r="AY9" s="45">
        <f t="shared" si="34"/>
        <v>0</v>
      </c>
      <c r="AZ9" s="45">
        <f t="shared" si="34"/>
        <v>0</v>
      </c>
      <c r="BA9" s="101" t="str">
        <f>IF($G9="","",$G9*ADRYr1!$P9*ADRYr1!$Q9*ADRYr1!$U9*ADRYr1!AO9)</f>
        <v/>
      </c>
      <c r="BB9" s="102" t="str">
        <f>IF($G9="","",$G9*ADRYr1!$P9*ADRYr1!$Q9*ADRYr1!$U9*ADRYr1!AP9)</f>
        <v/>
      </c>
      <c r="BC9" s="100" t="str">
        <f t="shared" si="35"/>
        <v/>
      </c>
      <c r="BD9" s="961"/>
      <c r="BE9" s="961"/>
      <c r="BF9" s="961"/>
      <c r="BG9" s="961"/>
      <c r="BH9" s="962" t="str">
        <f t="shared" si="3"/>
        <v/>
      </c>
      <c r="BI9" s="961"/>
      <c r="BJ9" s="961"/>
      <c r="BK9" s="961"/>
      <c r="BL9" s="961"/>
      <c r="BM9" s="30" t="str">
        <f t="shared" si="4"/>
        <v/>
      </c>
      <c r="BN9" s="963" t="str">
        <f t="shared" si="5"/>
        <v/>
      </c>
      <c r="BO9" s="31" t="str">
        <f t="shared" si="36"/>
        <v/>
      </c>
      <c r="BP9" s="964" t="str">
        <f t="shared" si="6"/>
        <v/>
      </c>
      <c r="BQ9" s="28" t="str">
        <f t="shared" si="7"/>
        <v/>
      </c>
      <c r="BR9" s="964" t="str">
        <f t="shared" si="8"/>
        <v/>
      </c>
      <c r="BS9" s="964" t="str">
        <f t="shared" si="9"/>
        <v/>
      </c>
      <c r="BT9" s="28" t="str">
        <f t="shared" si="10"/>
        <v/>
      </c>
      <c r="BU9" s="28" t="str">
        <f t="shared" si="10"/>
        <v/>
      </c>
      <c r="BV9" s="28" t="str">
        <f t="shared" si="10"/>
        <v/>
      </c>
      <c r="BW9" s="29" t="str">
        <f t="shared" si="37"/>
        <v/>
      </c>
      <c r="BX9" s="29" t="str">
        <f t="shared" si="38"/>
        <v/>
      </c>
      <c r="BY9" s="28" t="str">
        <f>IF($G9="","",$G9*(IF(ADRYr1!$AI9=BY$4,ADRYr1!$AJ9,IF(ADRYr1!$AK9=BY$4,ADRYr1!$AL9,IF(ADRYr1!$AM9=BY$4,ADRYr1!$AN9,0))))*(INDEX(avoidedcosttbl,$H9,BY$2)+(($H9-ROUNDDOWN($H9,0))*(INDEX(avoidedcosttbl,ROUNDUP($H9,0),BY$2)-(INDEX(avoidedcosttbl,ROUNDDOWN($H9,0),BY$2)))))*ADRYr1!P9*ADRYr1!Q9*ADRYr1!U9)</f>
        <v/>
      </c>
      <c r="BZ9" s="28" t="str">
        <f>IF($G9="","",$G9*(IF(ADRYr1!$AI9=BZ$4,ADRYr1!$AJ9,IF(ADRYr1!$AK9=BZ$4,ADRYr1!$AL9,IF(ADRYr1!$AM9=BZ$4,ADRYr1!$AN9,0))))*(INDEX(avoidedcosttbl,$H9,BZ$2)+(($H9-ROUNDDOWN($H9,0))*(INDEX(avoidedcosttbl,ROUNDUP($H9,0),BZ$2)-(INDEX(avoidedcosttbl,ROUNDDOWN($H9,0),BZ$2)))))*ADRYr1!P9*ADRYr1!Q9*ADRYr1!U9)</f>
        <v/>
      </c>
      <c r="CA9" s="28" t="str">
        <f>IF($G9="","",$G9*(IF(ADRYr1!$AI9=CA$4,ADRYr1!$AJ9,IF(ADRYr1!$AK9=CA$4,ADRYr1!$AL9,IF(ADRYr1!$AM9=CA$4,ADRYr1!$AN9,0))))*(INDEX(avoidedcosttbl,$H9,CA$2)+(($H9-ROUNDDOWN($H9,0))*(INDEX(avoidedcosttbl,ROUNDUP($H9,0),CA$2)-(INDEX(avoidedcosttbl,ROUNDDOWN($H9,0),CA$2)))))*ADRYr1!P9*ADRYr1!Q9*ADRYr1!U9)</f>
        <v/>
      </c>
      <c r="CB9" s="28" t="str">
        <f>IF($G9="","",$G9*(IF(ADRYr1!$AI9=CB$4,ADRYr1!$AJ9,IF(ADRYr1!$AK9=CB$4,ADRYr1!$AL9,IF(ADRYr1!$AM9=CB$4,ADRYr1!$AN9,0))))*(INDEX(avoidedcosttbl,$H9,CB$2)+(($H9-ROUNDDOWN($H9,0))*(INDEX(avoidedcosttbl,ROUNDUP($H9,0),CB$2)-(INDEX(avoidedcosttbl,ROUNDDOWN($H9,0),CB$2)))))*ADRYr1!P9*ADRYr1!Q9*ADRYr1!U9)</f>
        <v/>
      </c>
      <c r="CC9" s="28" t="str">
        <f>IF($G9="","",$G9*(IF(ADRYr1!$AI9=CC$4,ADRYr1!$AJ9,IF(ADRYr1!$AK9=CC$4,ADRYr1!$AL9,IF(ADRYr1!$AM9=CC$4,ADRYr1!$AN9,0))))*(INDEX(avoidedcosttbl,$H9,CC$2)+(($H9-ROUNDDOWN($H9,0))*(INDEX(avoidedcosttbl,ROUNDUP($H9,0),CC$2)-(INDEX(avoidedcosttbl,ROUNDDOWN($H9,0),CC$2)))))*ADRYr1!P9*ADRYr1!Q9*ADRYr1!U9)</f>
        <v/>
      </c>
      <c r="CD9" s="28" t="str">
        <f>IF($G9="","",$G9*(IF(ADRYr1!$AI9=CD$4,ADRYr1!$AJ9,IF(ADRYr1!$AK9=CD$4,ADRYr1!$AL9,IF(ADRYr1!$AM9=CD$4,ADRYr1!$AN9,0))))*(INDEX(avoidedcosttbl,$H9,CD$2)+(($H9-ROUNDDOWN($H9,0))*(INDEX(avoidedcosttbl,ROUNDUP($H9,0),CD$2)-(INDEX(avoidedcosttbl,ROUNDDOWN($H9,0),CD$2)))))*ADRYr1!P9*ADRYr1!Q9*ADRYr1!U9)</f>
        <v/>
      </c>
      <c r="CE9" s="28" t="str">
        <f>IF($G9="","",$G9*(IF(ADRYr1!$AI9=CE$4,ADRYr1!$AJ9,IF(ADRYr1!$AK9=CE$4,ADRYr1!$AL9,IF(ADRYr1!$AM9=CE$4,ADRYr1!$AN9,0))))*(INDEX(avoidedcosttbl,$H9,CE$2)+(($H9-ROUNDDOWN($H9,0))*(INDEX(avoidedcosttbl,ROUNDUP($H9,0),CE$2)-(INDEX(avoidedcosttbl,ROUNDDOWN($H9,0),CE$2)))))*ADRYr1!P9*ADRYr1!Q9*ADRYr1!U9)</f>
        <v/>
      </c>
      <c r="CF9" s="41" t="str">
        <f t="shared" si="39"/>
        <v/>
      </c>
      <c r="CG9" s="30" t="str">
        <f t="shared" si="11"/>
        <v/>
      </c>
      <c r="CH9" s="30" t="str">
        <f>IF($G9="","",$G9*(IF(ADRYr1!$AI9=BY$4,ADRYr1!$AJ9,IF(ADRYr1!$AK9=BY$4,ADRYr1!$AL9,IF(ADRYr1!$AM9=BY$4,ADRYr1!$AN9,0))))*(INDEX(avoidedcosttbl,$H9,CH$2)+(($H9-ROUNDDOWN($H9,0))*(INDEX(avoidedcosttbl,ROUNDUP($H9,0),CH$2)-(INDEX(avoidedcosttbl,ROUNDDOWN($H9,0),CH$2)))))*ADRYr1!P9*ADRYr1!Q9*ADRYr1!U9)</f>
        <v/>
      </c>
      <c r="CI9" s="30" t="str">
        <f>IF($G9="","",$G9*(IF(ADRYr1!$AI9=BZ$4,ADRYr1!$AJ9,IF(ADRYr1!$AK9=BZ$4,ADRYr1!$AL9,IF(ADRYr1!$AM9=BZ$4,ADRYr1!$AN9,0))))*(INDEX(avoidedcosttbl,$H9,CI$2)+(($H9-ROUNDDOWN($H9,0))*(INDEX(avoidedcosttbl,ROUNDUP($H9,0),CI$2)-(INDEX(avoidedcosttbl,ROUNDDOWN($H9,0),CI$2)))))*ADRYr1!P9*ADRYr1!Q9*ADRYr1!U9)</f>
        <v/>
      </c>
      <c r="CJ9" s="30" t="str">
        <f>IF($G9="","",$G9*(IF(ADRYr1!$AI9=CA$4,ADRYr1!$AJ9,IF(ADRYr1!$AK9=CA$4,ADRYr1!$AL9,IF(ADRYr1!$AM9=CA$4,ADRYr1!$AN9,0))))*(INDEX(avoidedcosttbl,$H9,CJ$2)+(($H9-ROUNDDOWN($H9,0))*(INDEX(avoidedcosttbl,ROUNDUP($H9,0),CJ$2)-(INDEX(avoidedcosttbl,ROUNDDOWN($H9,0),CJ$2)))))*ADRYr1!P9*ADRYr1!Q9*ADRYr1!U9)</f>
        <v/>
      </c>
      <c r="CK9" s="30" t="str">
        <f>IF($G9="","",$G9*(IF(ADRYr1!$AI9=CB$4,ADRYr1!$AJ9,IF(ADRYr1!$AK9=CB$4,ADRYr1!$AL9,IF(ADRYr1!$AM9=CB$4,ADRYr1!$AN9,0))))*(INDEX(avoidedcosttbl,$H9,CK$2)+(($H9-ROUNDDOWN($H9,0))*(INDEX(avoidedcosttbl,ROUNDUP($H9,0),CK$2)-(INDEX(avoidedcosttbl,ROUNDDOWN($H9,0),CK$2)))))*ADRYr1!P9*ADRYr1!Q9*ADRYr1!U9)</f>
        <v/>
      </c>
      <c r="CL9" s="30" t="str">
        <f>IF($G9="","",$G9*(IF(ADRYr1!$AI9=CC$4,ADRYr1!$AJ9,IF(ADRYr1!$AK9=CC$4,ADRYr1!$AL9,IF(ADRYr1!$AM9=CC$4,ADRYr1!$AN9,0))))*(INDEX(avoidedcosttbl,$H9,CL$2)+(($H9-ROUNDDOWN($H9,0))*(INDEX(avoidedcosttbl,ROUNDUP($H9,0),CL$2)-(INDEX(avoidedcosttbl,ROUNDDOWN($H9,0),CL$2)))))*ADRYr1!P9*ADRYr1!Q9*ADRYr1!U9)</f>
        <v/>
      </c>
      <c r="CM9" s="30" t="str">
        <f>IF($G9="","",$G9*(IF(ADRYr1!$AI9=CD$4,ADRYr1!$AJ9,IF(ADRYr1!$AK9=CD$4,ADRYr1!$AL9,IF(ADRYr1!$AM9=CD$4,ADRYr1!$AN9,0))))*(INDEX(avoidedcosttbl,$H9,CM$2)+(($H9-ROUNDDOWN($H9,0))*(INDEX(avoidedcosttbl,ROUNDUP($H9,0),CM$2)-(INDEX(avoidedcosttbl,ROUNDDOWN($H9,0),CM$2)))))*ADRYr1!P9*ADRYr1!Q9*ADRYr1!U9)</f>
        <v/>
      </c>
      <c r="CN9" s="30" t="str">
        <f>IF($G9="","",$G9*(IF(ADRYr1!$AI9=CE$4,ADRYr1!$AJ9,IF(ADRYr1!$AK9=CE$4,ADRYr1!$AL9,IF(ADRYr1!$AM9=CE$4,ADRYr1!$AN9,0))))*(INDEX(avoidedcosttbl,$H9,CN$2)+(($H9-ROUNDDOWN($H9,0))*(INDEX(avoidedcosttbl,ROUNDUP($H9,0),CN$2)-(INDEX(avoidedcosttbl,ROUNDDOWN($H9,0),CN$2)))))*ADRYr1!P9*ADRYr1!Q9*ADRYr1!U9)</f>
        <v/>
      </c>
      <c r="CO9" s="220" t="str">
        <f t="shared" si="40"/>
        <v/>
      </c>
      <c r="CP9" s="220" t="str">
        <f t="shared" si="41"/>
        <v/>
      </c>
      <c r="CQ9" s="157" t="str">
        <f>IF($G9="","",$G9*(IF(ADRYr1!$AI9=CQ$4,ADRYr1!$AJ9,IF(ADRYr1!$AK9=CQ$4,ADRYr1!$AL9,IF(ADRYr1!$AM9=CQ$4,ADRYr1!$AN9,0))))*(INDEX(avoidedcosttbl,$H9,CQ$2)+(($H9-ROUNDDOWN($H9,0))*(INDEX(avoidedcosttbl,ROUNDUP($H9,0),CQ$2)-(INDEX(avoidedcosttbl,ROUNDDOWN($H9,0),CQ$2)))))*ADRYr1!$P9*ADRYr1!$Q9*ADRYr1!$U9)</f>
        <v/>
      </c>
      <c r="CR9" s="28" t="str">
        <f>IF($G9="","",G9*(IF(ADRYr1!$AI9=CR$4,ADRYr1!$AJ9,IF(ADRYr1!$AK9=CR$4,ADRYr1!$AL9,IF(ADRYr1!$AM9=CR$4,ADRYr1!$AN9,0))))*(INDEX(avoidedcosttbl,$H9,CR$2)+(($H9-ROUNDDOWN($H9,0))*(INDEX(avoidedcosttbl,ROUNDUP($H9,0),CR$2)-(INDEX(avoidedcosttbl,ROUNDDOWN($H9,0),CR$2)))))*ADRYr1!$P9*ADRYr1!$Q9*ADRYr1!$U9)</f>
        <v/>
      </c>
      <c r="CS9" s="28" t="str">
        <f>IF($G9="","",G9*(IF(ADRYr1!$AI9=CS$4,ADRYr1!$AJ9,IF(ADRYr1!$AK9=CS$4,ADRYr1!$AL9,IF(ADRYr1!$AM9=CS$4,ADRYr1!$AN9,0))))*(INDEX(avoidedcosttbl,$H9,CS$2)+(($H9-ROUNDDOWN($H9,0))*(INDEX(avoidedcosttbl,ROUNDUP($H9,0),CS$2)-(INDEX(avoidedcosttbl,ROUNDDOWN($H9,0),CS$2)))))*ADRYr1!$P9*ADRYr1!$Q9*ADRYr1!$U9)</f>
        <v/>
      </c>
      <c r="CT9" s="28" t="str">
        <f t="shared" si="12"/>
        <v/>
      </c>
      <c r="CU9" s="28" t="str">
        <f>IF($G9="","",G9*(IF(ADRYr1!$AI9=CU$4,ADRYr1!$AJ9,IF(ADRYr1!$AK9=CU$4,ADRYr1!$AL9,IF(ADRYr1!$AM9=CU$4,ADRYr1!$AN9,0))))*(INDEX(avoidedcosttbl,$H9,CU$2)+(($H9-ROUNDDOWN($H9,0))*(INDEX(avoidedcosttbl,ROUNDUP($H9,0),CU$2)-(INDEX(avoidedcosttbl,ROUNDDOWN($H9,0),CU$2)))))*ADRYr1!$P9*ADRYr1!$Q9*ADRYr1!$U9)</f>
        <v/>
      </c>
      <c r="CV9" s="28" t="str">
        <f>IF($G9="","",G9*(IF(ADRYr1!$AI9=CV$4,ADRYr1!$AJ9,IF(ADRYr1!$AK9=CV$4,ADRYr1!$AL9,IF(ADRYr1!$AM9=CV$4,ADRYr1!$AN9,0))))*(INDEX(avoidedcosttbl,$H9,CV$2)+(($H9-ROUNDDOWN($H9,0))*(INDEX(avoidedcosttbl,ROUNDUP($H9,0),CV$2)-(INDEX(avoidedcosttbl,ROUNDDOWN($H9,0),CV$2)))))*ADRYr1!$P9*ADRYr1!$Q9*ADRYr1!$U9)</f>
        <v/>
      </c>
      <c r="CW9" s="28" t="str">
        <f>IF($G9="","",G9*(IF(ADRYr1!$AI9=CW$4,ADRYr1!$AJ9,IF(ADRYr1!$AK9=CW$4,ADRYr1!$AL9,IF(ADRYr1!$AM9=CW$4,ADRYr1!$AN9,0))))*(INDEX(avoidedcosttbl,$H9,CW$2)+(($H9-ROUNDDOWN($H9,0))*(INDEX(avoidedcosttbl,ROUNDUP($H9,0),CW$2)-(INDEX(avoidedcosttbl,ROUNDDOWN($H9,0),CW$2)))))*ADRYr1!$P9*ADRYr1!$Q9*ADRYr1!$U9)</f>
        <v/>
      </c>
      <c r="CX9" s="28" t="str">
        <f>IF($G9="","",G9*(IF(ADRYr1!$AI9=CX$4,ADRYr1!$AJ9,IF(ADRYr1!$AK9=CX$4,ADRYr1!$AL9,IF(ADRYr1!$AM9=CX$4,ADRYr1!$AN9,0))))*(INDEX(avoidedcosttbl,$H9,CX$2)+(($H9-ROUNDDOWN($H9,0))*(INDEX(avoidedcosttbl,ROUNDUP($H9,0),CX$2)-(INDEX(avoidedcosttbl,ROUNDDOWN($H9,0),CX$2)))))*ADRYr1!$P9*ADRYr1!$Q9*ADRYr1!$U9)</f>
        <v/>
      </c>
      <c r="CY9" s="28" t="str">
        <f t="shared" si="13"/>
        <v/>
      </c>
      <c r="CZ9" s="32" t="str">
        <f t="shared" si="14"/>
        <v/>
      </c>
      <c r="DA9" s="84" t="str">
        <f t="shared" si="42"/>
        <v/>
      </c>
      <c r="DB9" s="81" t="str">
        <f>IF(NEIadder="Yes",IF($G9="","",INDEX(Lookups!$G$70:$G$71,MATCH($A9,Lookups!$E$70:$E$71,0))*(SUM(CP9:CX9,BX9))),"")</f>
        <v/>
      </c>
      <c r="DC9" s="263" t="str">
        <f t="shared" si="15"/>
        <v/>
      </c>
      <c r="DD9" s="166" t="str">
        <f t="shared" si="16"/>
        <v/>
      </c>
      <c r="DE9" s="82">
        <f t="shared" si="43"/>
        <v>0</v>
      </c>
      <c r="DF9" s="615" t="str">
        <f>IF($G9="","",(1+WntPeakEnergyLL)*(INDEX(avoidedcosttbl,$H9,DF$2)+(($H9-ROUNDDOWN($H9,0))*(INDEX(avoidedcosttbl,ROUNDUP($H9,0),DF$2)-(INDEX(avoidedcosttbl,ROUNDDOWN($H9,0),DF$2)))))*$P9*1000*ADRYr1!Z9)</f>
        <v/>
      </c>
      <c r="DG9" s="615" t="str">
        <f>IF($G9="","",(1+WntOffPeakEnergyLL)*(INDEX(avoidedcosttbl,$H9,DG$2)+(($H9-ROUNDDOWN($H9,0))*(INDEX(avoidedcosttbl,ROUNDUP($H9,0),DG$2)-(INDEX(avoidedcosttbl,ROUNDDOWN($H9,0),DG$2)))))*$P9*1000*ADRYr1!AA9)</f>
        <v/>
      </c>
      <c r="DH9" s="615" t="str">
        <f>IF($G9="","",(1+SumPeakEnergyLL)*(INDEX(avoidedcosttbl,$H9,DH$2)+(($H9-ROUNDDOWN($H9,0))*(INDEX(avoidedcosttbl,ROUNDUP($H9,0),DH$2)-(INDEX(avoidedcosttbl,ROUNDDOWN($H9,0),DH$2)))))*$P9*1000*ADRYr1!AB9)</f>
        <v/>
      </c>
      <c r="DI9" s="615" t="str">
        <f>IF($G9="","",(1+SumOffPeakEnergyLL)*(INDEX(avoidedcosttbl,$H9,DI$2)+(($H9-ROUNDDOWN($H9,0))*(INDEX(avoidedcosttbl,ROUNDUP($H9,0),DI$2)-(INDEX(avoidedcosttbl,ROUNDDOWN($H9,0),DI$2)))))*$P9*1000*ADRYr1!AC9)</f>
        <v/>
      </c>
      <c r="DJ9" s="29" t="str">
        <f t="shared" si="44"/>
        <v/>
      </c>
      <c r="DK9" s="161" t="str">
        <f t="shared" si="45"/>
        <v/>
      </c>
      <c r="DL9" s="1189" t="str">
        <f t="shared" si="46"/>
        <v/>
      </c>
      <c r="DM9" s="1189" t="str">
        <f t="shared" si="47"/>
        <v/>
      </c>
      <c r="DN9" s="43" t="str">
        <f t="shared" si="48"/>
        <v/>
      </c>
      <c r="DO9" s="966" t="str">
        <f>IF($G9="","",ADRYr1!AQ9)</f>
        <v/>
      </c>
      <c r="DP9" s="968" t="str">
        <f>IF($G9="","",ADRYr1!AR9)</f>
        <v/>
      </c>
      <c r="DQ9" s="970" t="str">
        <f>IF($G9="","",IF($DP9="Yes",COLUMN(AESC!$L$10),IF($DP9="No","Using AvoidedDemand tab",IF($DP9="Mixed",COLUMN(AESC!$N$10)))))</f>
        <v/>
      </c>
      <c r="DR9" s="970" t="str">
        <f>IF($G9="","",IF($DP9="Yes",COLUMN(AESC!$P$10),IF($DP9="No","Using AvoidedDemand tab",IF($DP9="Mixed",COLUMN(AESC!$R$10)))))</f>
        <v/>
      </c>
      <c r="DS9" s="970" t="str">
        <f>IF($G9="","",IF($DP9="Yes",COLUMN(AESC!$S$10),IF($DP9="No",COLUMN(AESC!$T$10),IF($DP9="Mixed",COLUMN(AESC!$U$10)))))</f>
        <v/>
      </c>
      <c r="DT9" s="970" t="str">
        <f t="shared" si="17"/>
        <v/>
      </c>
      <c r="DU9" s="970" t="str">
        <f>IF($G9="","",ADRYr1!AS9)</f>
        <v/>
      </c>
      <c r="DV9" s="971" t="str">
        <f>IF($G9="","",ADRYr1!AT9)</f>
        <v/>
      </c>
      <c r="DW9" s="1162" t="str">
        <f>IF($G9="","",INDEX(AvoidedEnergy!$H$4:$H$10,MATCH($DO9,AvoidedEnergy!$A$4:$A$10,0)))</f>
        <v/>
      </c>
    </row>
    <row r="10" spans="1:127">
      <c r="A10" s="160" t="str">
        <f>IF(ADRYr1!$B10=0,"",ADRYr1!A10)</f>
        <v>A - Residential</v>
      </c>
      <c r="B10" s="9" t="str">
        <f>IF(ADRYr1!$B10=0,"",ADRYr1!B10)</f>
        <v>A5 - Residential Active Demand Response</v>
      </c>
      <c r="C10" s="9" t="str">
        <f>IF(ADRYr1!$B10=0,"",ADRYr1!C10)</f>
        <v>A5a - Residential Active Demand Response</v>
      </c>
      <c r="D10" s="9" t="str">
        <f>IF(ADRYr1!$B10=0,"",ADRYr1!D10)</f>
        <v>Storage Daily Dispatch Upfront Incentive (consumption) Winter</v>
      </c>
      <c r="E10" s="9">
        <f>IF(ADRYr1!$B10=0,"",ADRYr1!E10)</f>
        <v>0</v>
      </c>
      <c r="F10" s="11" t="str">
        <f>IF(ADRYr1!$B10=0,"",ADRYr1!F10)</f>
        <v>Behavior</v>
      </c>
      <c r="G10" s="12" t="str">
        <f>IF(ADRYr1!$G10&lt;&gt;0,ADRYr1!G10,"")</f>
        <v/>
      </c>
      <c r="H10" s="960" t="str">
        <f>IF($G10="","",ROUND(ADRYr1!H10,0))</f>
        <v/>
      </c>
      <c r="I10" s="47" t="str">
        <f>IF($G10="","",ADRYr1!I10*ADRYr1!P10*G10)</f>
        <v/>
      </c>
      <c r="J10" s="47" t="str">
        <f>IF($G10="","",ADRYr1!J10*G10)</f>
        <v/>
      </c>
      <c r="K10" s="47" t="str">
        <f t="shared" si="18"/>
        <v/>
      </c>
      <c r="L10" s="27" t="str">
        <f>IF($G10="","",ADRYr1!V10*G10/1000)</f>
        <v/>
      </c>
      <c r="M10" s="27" t="str">
        <f>IF($G10="","",L10*ADRYr1!$Q10*ADRYr1!$R10)</f>
        <v/>
      </c>
      <c r="N10" s="27" t="str">
        <f t="shared" si="19"/>
        <v/>
      </c>
      <c r="O10" s="27" t="str">
        <f t="shared" si="20"/>
        <v/>
      </c>
      <c r="P10" s="27" t="str">
        <f>IF($G10="","",M10*ADRYr1!P10)</f>
        <v/>
      </c>
      <c r="Q10" s="27" t="str">
        <f t="shared" si="21"/>
        <v/>
      </c>
      <c r="R10" s="27" t="str">
        <f>IF($G10="","",$Q10*ADRYr1!Z10)</f>
        <v/>
      </c>
      <c r="S10" s="27" t="str">
        <f>IF($G10="","",$Q10*ADRYr1!AA10)</f>
        <v/>
      </c>
      <c r="T10" s="27" t="str">
        <f>IF($G10="","",$Q10*ADRYr1!AB10)</f>
        <v/>
      </c>
      <c r="U10" s="27" t="str">
        <f>IF($G10="","",$Q10*ADRYr1!AC10)</f>
        <v/>
      </c>
      <c r="V10" s="27" t="str">
        <f>IF($G10="","",G10*ADRYr1!$AD10*ADRYr1!$P10*ADRYr1!$Q10)</f>
        <v/>
      </c>
      <c r="W10" s="27" t="str">
        <f>IF($G10="","",$G10*ADRYr1!$AD10*ADRYr1!$AF10*ADRYr1!Q10*ADRYr1!$S10)</f>
        <v/>
      </c>
      <c r="X10" s="27" t="str">
        <f>IF($G10="","",$G10*ADRYr1!$AD10*ADRYr1!$AF10*ADRYr1!P10*ADRYr1!Q10*ADRYr1!$S10)</f>
        <v/>
      </c>
      <c r="Y10" s="27" t="str">
        <f>IF($G10="","",$G10*ADRYr1!$AD10*ADRYr1!$AE10*ADRYr1!Q10*ADRYr1!$T10)</f>
        <v/>
      </c>
      <c r="Z10" s="27" t="str">
        <f>IF($G10="","",$G10*ADRYr1!$AD10*ADRYr1!$AE10*ADRYr1!P10*ADRYr1!Q10*ADRYr1!$T10)</f>
        <v/>
      </c>
      <c r="AA10" s="45" t="str">
        <f>IF($G10="","",$G10*ADRYr1!$Q10*ADRYr1!$U10*(IF(IFERROR(SEARCH("NG", ADRYr1!$AI10),0),ADRYr1!$AJ10,0)+IF(IFERROR(SEARCH("NG", ADRYr1!$AK10),0),ADRYr1!$AL10,0)+IF(IFERROR(SEARCH("NG", ADRYr1!$AM10),0),ADRYr1!$AN10,0)))</f>
        <v/>
      </c>
      <c r="AB10" s="45" t="str">
        <f t="shared" si="22"/>
        <v/>
      </c>
      <c r="AC10" s="45">
        <f>IF($G10="",0,AA10*ADRYr1!$P10)</f>
        <v>0</v>
      </c>
      <c r="AD10" s="45" t="str">
        <f t="shared" si="23"/>
        <v/>
      </c>
      <c r="AE10" s="45" t="str">
        <f>IF($G10="","",$G10*ADRYr1!$Q10*ADRYr1!$U10*(IF(IFERROR(SEARCH("Oil", ADRYr1!$AI10), 0),ADRYr1!$AJ10,0)+IF(IFERROR(SEARCH("Oil", ADRYr1!$AK10), 0),ADRYr1!$AL10,0)+IF(IFERROR(SEARCH("Oil", ADRYr1!$AM10), 0),ADRYr1!$AN10,0)))</f>
        <v/>
      </c>
      <c r="AF10" s="45" t="str">
        <f t="shared" si="24"/>
        <v/>
      </c>
      <c r="AG10" s="45">
        <f>IF($G10="",0,AE10*ADRYr1!$P10)</f>
        <v>0</v>
      </c>
      <c r="AH10" s="45" t="str">
        <f t="shared" si="25"/>
        <v/>
      </c>
      <c r="AI10" s="45" t="str">
        <f>IF($G10="","",$G10*ADRYr1!$Q10*ADRYr1!$U10*(IF(ADRYr1!$AI10=Lookups!$E$116,ADRYr1!$AJ10,IF(ADRYr1!$AK10=Lookups!$E$116,ADRYr1!$AL10,IF(ADRYr1!$AM10=Lookups!$E$116,ADRYr1!$AN10,0)))))</f>
        <v/>
      </c>
      <c r="AJ10" s="45" t="str">
        <f t="shared" si="26"/>
        <v/>
      </c>
      <c r="AK10" s="45">
        <f>IF($G10="",0,AI10*ADRYr1!$P10)</f>
        <v>0</v>
      </c>
      <c r="AL10" s="45" t="str">
        <f t="shared" si="27"/>
        <v/>
      </c>
      <c r="AM10" s="45" t="str">
        <f>IF($G10="","",$G10*ADRYr1!$Q10*ADRYr1!$U10*(IF(ADRYr1!$AI10=Lookups!$E$115,ADRYr1!$AJ10,IF(ADRYr1!$AK10=Lookups!$E$115,ADRYr1!$AL10,IF(ADRYr1!$AM10=Lookups!$E$115,ADRYr1!$AN10,0)))))</f>
        <v/>
      </c>
      <c r="AN10" s="45" t="str">
        <f t="shared" si="28"/>
        <v/>
      </c>
      <c r="AO10" s="45">
        <f>IF($G10="",0,AM10*ADRYr1!$P10)</f>
        <v>0</v>
      </c>
      <c r="AP10" s="45" t="str">
        <f t="shared" si="29"/>
        <v/>
      </c>
      <c r="AQ10" s="45" t="str">
        <f>IF($G10="","",$G10*ADRYr1!$Q10*ADRYr1!$U10*(IF(ADRYr1!$AI10=Lookups!$E$117,ADRYr1!$AJ10,IF(ADRYr1!$AK10=Lookups!$E$117,ADRYr1!$AL10,IF(ADRYr1!$AM10=Lookups!$E$117,ADRYr1!$AN10,0)))))</f>
        <v/>
      </c>
      <c r="AR10" s="45" t="str">
        <f t="shared" si="30"/>
        <v/>
      </c>
      <c r="AS10" s="45" t="str">
        <f>IF($G10="","",AQ10*ADRYr1!$P10)</f>
        <v/>
      </c>
      <c r="AT10" s="45" t="str">
        <f t="shared" si="31"/>
        <v/>
      </c>
      <c r="AU10" s="45" t="str">
        <f>IF($G10="","",$G10*ADRYr1!$Q10*ADRYr1!$U10*(IF(ADRYr1!$AI10=Lookups!$E$118,ADRYr1!$AJ10,IF(ADRYr1!$AK10=Lookups!$E$118,ADRYr1!$AL10,IF(ADRYr1!$AM10=Lookups!$E$118,ADRYr1!$AN10,0)))))</f>
        <v/>
      </c>
      <c r="AV10" s="45" t="str">
        <f t="shared" si="32"/>
        <v/>
      </c>
      <c r="AW10" s="45" t="str">
        <f>IF($G10="","",AU10*ADRYr1!$P10)</f>
        <v/>
      </c>
      <c r="AX10" s="45" t="str">
        <f t="shared" si="33"/>
        <v/>
      </c>
      <c r="AY10" s="45">
        <f t="shared" si="34"/>
        <v>0</v>
      </c>
      <c r="AZ10" s="45">
        <f t="shared" si="34"/>
        <v>0</v>
      </c>
      <c r="BA10" s="101" t="str">
        <f>IF($G10="","",$G10*ADRYr1!$P10*ADRYr1!$Q10*ADRYr1!$U10*ADRYr1!AO10)</f>
        <v/>
      </c>
      <c r="BB10" s="102" t="str">
        <f>IF($G10="","",$G10*ADRYr1!$P10*ADRYr1!$Q10*ADRYr1!$U10*ADRYr1!AP10)</f>
        <v/>
      </c>
      <c r="BC10" s="100" t="str">
        <f t="shared" si="35"/>
        <v/>
      </c>
      <c r="BD10" s="961"/>
      <c r="BE10" s="961"/>
      <c r="BF10" s="961"/>
      <c r="BG10" s="961"/>
      <c r="BH10" s="962" t="str">
        <f t="shared" si="3"/>
        <v/>
      </c>
      <c r="BI10" s="961"/>
      <c r="BJ10" s="961"/>
      <c r="BK10" s="961"/>
      <c r="BL10" s="961"/>
      <c r="BM10" s="30" t="str">
        <f t="shared" si="4"/>
        <v/>
      </c>
      <c r="BN10" s="963" t="str">
        <f t="shared" si="5"/>
        <v/>
      </c>
      <c r="BO10" s="31" t="str">
        <f t="shared" si="36"/>
        <v/>
      </c>
      <c r="BP10" s="964" t="str">
        <f t="shared" si="6"/>
        <v/>
      </c>
      <c r="BQ10" s="28" t="str">
        <f t="shared" si="7"/>
        <v/>
      </c>
      <c r="BR10" s="964" t="str">
        <f t="shared" si="8"/>
        <v/>
      </c>
      <c r="BS10" s="964" t="str">
        <f t="shared" si="9"/>
        <v/>
      </c>
      <c r="BT10" s="28" t="str">
        <f t="shared" si="10"/>
        <v/>
      </c>
      <c r="BU10" s="28" t="str">
        <f t="shared" si="10"/>
        <v/>
      </c>
      <c r="BV10" s="28" t="str">
        <f t="shared" si="10"/>
        <v/>
      </c>
      <c r="BW10" s="29" t="str">
        <f t="shared" si="37"/>
        <v/>
      </c>
      <c r="BX10" s="29" t="str">
        <f t="shared" si="38"/>
        <v/>
      </c>
      <c r="BY10" s="28" t="str">
        <f>IF($G10="","",$G10*(IF(ADRYr1!$AI10=BY$4,ADRYr1!$AJ10,IF(ADRYr1!$AK10=BY$4,ADRYr1!$AL10,IF(ADRYr1!$AM10=BY$4,ADRYr1!$AN10,0))))*(INDEX(avoidedcosttbl,$H10,BY$2)+(($H10-ROUNDDOWN($H10,0))*(INDEX(avoidedcosttbl,ROUNDUP($H10,0),BY$2)-(INDEX(avoidedcosttbl,ROUNDDOWN($H10,0),BY$2)))))*ADRYr1!P10*ADRYr1!Q10*ADRYr1!U10)</f>
        <v/>
      </c>
      <c r="BZ10" s="28" t="str">
        <f>IF($G10="","",$G10*(IF(ADRYr1!$AI10=BZ$4,ADRYr1!$AJ10,IF(ADRYr1!$AK10=BZ$4,ADRYr1!$AL10,IF(ADRYr1!$AM10=BZ$4,ADRYr1!$AN10,0))))*(INDEX(avoidedcosttbl,$H10,BZ$2)+(($H10-ROUNDDOWN($H10,0))*(INDEX(avoidedcosttbl,ROUNDUP($H10,0),BZ$2)-(INDEX(avoidedcosttbl,ROUNDDOWN($H10,0),BZ$2)))))*ADRYr1!P10*ADRYr1!Q10*ADRYr1!U10)</f>
        <v/>
      </c>
      <c r="CA10" s="28" t="str">
        <f>IF($G10="","",$G10*(IF(ADRYr1!$AI10=CA$4,ADRYr1!$AJ10,IF(ADRYr1!$AK10=CA$4,ADRYr1!$AL10,IF(ADRYr1!$AM10=CA$4,ADRYr1!$AN10,0))))*(INDEX(avoidedcosttbl,$H10,CA$2)+(($H10-ROUNDDOWN($H10,0))*(INDEX(avoidedcosttbl,ROUNDUP($H10,0),CA$2)-(INDEX(avoidedcosttbl,ROUNDDOWN($H10,0),CA$2)))))*ADRYr1!P10*ADRYr1!Q10*ADRYr1!U10)</f>
        <v/>
      </c>
      <c r="CB10" s="28" t="str">
        <f>IF($G10="","",$G10*(IF(ADRYr1!$AI10=CB$4,ADRYr1!$AJ10,IF(ADRYr1!$AK10=CB$4,ADRYr1!$AL10,IF(ADRYr1!$AM10=CB$4,ADRYr1!$AN10,0))))*(INDEX(avoidedcosttbl,$H10,CB$2)+(($H10-ROUNDDOWN($H10,0))*(INDEX(avoidedcosttbl,ROUNDUP($H10,0),CB$2)-(INDEX(avoidedcosttbl,ROUNDDOWN($H10,0),CB$2)))))*ADRYr1!P10*ADRYr1!Q10*ADRYr1!U10)</f>
        <v/>
      </c>
      <c r="CC10" s="28" t="str">
        <f>IF($G10="","",$G10*(IF(ADRYr1!$AI10=CC$4,ADRYr1!$AJ10,IF(ADRYr1!$AK10=CC$4,ADRYr1!$AL10,IF(ADRYr1!$AM10=CC$4,ADRYr1!$AN10,0))))*(INDEX(avoidedcosttbl,$H10,CC$2)+(($H10-ROUNDDOWN($H10,0))*(INDEX(avoidedcosttbl,ROUNDUP($H10,0),CC$2)-(INDEX(avoidedcosttbl,ROUNDDOWN($H10,0),CC$2)))))*ADRYr1!P10*ADRYr1!Q10*ADRYr1!U10)</f>
        <v/>
      </c>
      <c r="CD10" s="28" t="str">
        <f>IF($G10="","",$G10*(IF(ADRYr1!$AI10=CD$4,ADRYr1!$AJ10,IF(ADRYr1!$AK10=CD$4,ADRYr1!$AL10,IF(ADRYr1!$AM10=CD$4,ADRYr1!$AN10,0))))*(INDEX(avoidedcosttbl,$H10,CD$2)+(($H10-ROUNDDOWN($H10,0))*(INDEX(avoidedcosttbl,ROUNDUP($H10,0),CD$2)-(INDEX(avoidedcosttbl,ROUNDDOWN($H10,0),CD$2)))))*ADRYr1!P10*ADRYr1!Q10*ADRYr1!U10)</f>
        <v/>
      </c>
      <c r="CE10" s="28" t="str">
        <f>IF($G10="","",$G10*(IF(ADRYr1!$AI10=CE$4,ADRYr1!$AJ10,IF(ADRYr1!$AK10=CE$4,ADRYr1!$AL10,IF(ADRYr1!$AM10=CE$4,ADRYr1!$AN10,0))))*(INDEX(avoidedcosttbl,$H10,CE$2)+(($H10-ROUNDDOWN($H10,0))*(INDEX(avoidedcosttbl,ROUNDUP($H10,0),CE$2)-(INDEX(avoidedcosttbl,ROUNDDOWN($H10,0),CE$2)))))*ADRYr1!P10*ADRYr1!Q10*ADRYr1!U10)</f>
        <v/>
      </c>
      <c r="CF10" s="41" t="str">
        <f t="shared" si="39"/>
        <v/>
      </c>
      <c r="CG10" s="30" t="str">
        <f t="shared" si="11"/>
        <v/>
      </c>
      <c r="CH10" s="30" t="str">
        <f>IF($G10="","",$G10*(IF(ADRYr1!$AI10=BY$4,ADRYr1!$AJ10,IF(ADRYr1!$AK10=BY$4,ADRYr1!$AL10,IF(ADRYr1!$AM10=BY$4,ADRYr1!$AN10,0))))*(INDEX(avoidedcosttbl,$H10,CH$2)+(($H10-ROUNDDOWN($H10,0))*(INDEX(avoidedcosttbl,ROUNDUP($H10,0),CH$2)-(INDEX(avoidedcosttbl,ROUNDDOWN($H10,0),CH$2)))))*ADRYr1!P10*ADRYr1!Q10*ADRYr1!U10)</f>
        <v/>
      </c>
      <c r="CI10" s="30" t="str">
        <f>IF($G10="","",$G10*(IF(ADRYr1!$AI10=BZ$4,ADRYr1!$AJ10,IF(ADRYr1!$AK10=BZ$4,ADRYr1!$AL10,IF(ADRYr1!$AM10=BZ$4,ADRYr1!$AN10,0))))*(INDEX(avoidedcosttbl,$H10,CI$2)+(($H10-ROUNDDOWN($H10,0))*(INDEX(avoidedcosttbl,ROUNDUP($H10,0),CI$2)-(INDEX(avoidedcosttbl,ROUNDDOWN($H10,0),CI$2)))))*ADRYr1!P10*ADRYr1!Q10*ADRYr1!U10)</f>
        <v/>
      </c>
      <c r="CJ10" s="30" t="str">
        <f>IF($G10="","",$G10*(IF(ADRYr1!$AI10=CA$4,ADRYr1!$AJ10,IF(ADRYr1!$AK10=CA$4,ADRYr1!$AL10,IF(ADRYr1!$AM10=CA$4,ADRYr1!$AN10,0))))*(INDEX(avoidedcosttbl,$H10,CJ$2)+(($H10-ROUNDDOWN($H10,0))*(INDEX(avoidedcosttbl,ROUNDUP($H10,0),CJ$2)-(INDEX(avoidedcosttbl,ROUNDDOWN($H10,0),CJ$2)))))*ADRYr1!P10*ADRYr1!Q10*ADRYr1!U10)</f>
        <v/>
      </c>
      <c r="CK10" s="30" t="str">
        <f>IF($G10="","",$G10*(IF(ADRYr1!$AI10=CB$4,ADRYr1!$AJ10,IF(ADRYr1!$AK10=CB$4,ADRYr1!$AL10,IF(ADRYr1!$AM10=CB$4,ADRYr1!$AN10,0))))*(INDEX(avoidedcosttbl,$H10,CK$2)+(($H10-ROUNDDOWN($H10,0))*(INDEX(avoidedcosttbl,ROUNDUP($H10,0),CK$2)-(INDEX(avoidedcosttbl,ROUNDDOWN($H10,0),CK$2)))))*ADRYr1!P10*ADRYr1!Q10*ADRYr1!U10)</f>
        <v/>
      </c>
      <c r="CL10" s="30" t="str">
        <f>IF($G10="","",$G10*(IF(ADRYr1!$AI10=CC$4,ADRYr1!$AJ10,IF(ADRYr1!$AK10=CC$4,ADRYr1!$AL10,IF(ADRYr1!$AM10=CC$4,ADRYr1!$AN10,0))))*(INDEX(avoidedcosttbl,$H10,CL$2)+(($H10-ROUNDDOWN($H10,0))*(INDEX(avoidedcosttbl,ROUNDUP($H10,0),CL$2)-(INDEX(avoidedcosttbl,ROUNDDOWN($H10,0),CL$2)))))*ADRYr1!P10*ADRYr1!Q10*ADRYr1!U10)</f>
        <v/>
      </c>
      <c r="CM10" s="30" t="str">
        <f>IF($G10="","",$G10*(IF(ADRYr1!$AI10=CD$4,ADRYr1!$AJ10,IF(ADRYr1!$AK10=CD$4,ADRYr1!$AL10,IF(ADRYr1!$AM10=CD$4,ADRYr1!$AN10,0))))*(INDEX(avoidedcosttbl,$H10,CM$2)+(($H10-ROUNDDOWN($H10,0))*(INDEX(avoidedcosttbl,ROUNDUP($H10,0),CM$2)-(INDEX(avoidedcosttbl,ROUNDDOWN($H10,0),CM$2)))))*ADRYr1!P10*ADRYr1!Q10*ADRYr1!U10)</f>
        <v/>
      </c>
      <c r="CN10" s="30" t="str">
        <f>IF($G10="","",$G10*(IF(ADRYr1!$AI10=CE$4,ADRYr1!$AJ10,IF(ADRYr1!$AK10=CE$4,ADRYr1!$AL10,IF(ADRYr1!$AM10=CE$4,ADRYr1!$AN10,0))))*(INDEX(avoidedcosttbl,$H10,CN$2)+(($H10-ROUNDDOWN($H10,0))*(INDEX(avoidedcosttbl,ROUNDUP($H10,0),CN$2)-(INDEX(avoidedcosttbl,ROUNDDOWN($H10,0),CN$2)))))*ADRYr1!P10*ADRYr1!Q10*ADRYr1!U10)</f>
        <v/>
      </c>
      <c r="CO10" s="220" t="str">
        <f t="shared" si="40"/>
        <v/>
      </c>
      <c r="CP10" s="220" t="str">
        <f t="shared" si="41"/>
        <v/>
      </c>
      <c r="CQ10" s="157" t="str">
        <f>IF($G10="","",$G10*(IF(ADRYr1!$AI10=CQ$4,ADRYr1!$AJ10,IF(ADRYr1!$AK10=CQ$4,ADRYr1!$AL10,IF(ADRYr1!$AM10=CQ$4,ADRYr1!$AN10,0))))*(INDEX(avoidedcosttbl,$H10,CQ$2)+(($H10-ROUNDDOWN($H10,0))*(INDEX(avoidedcosttbl,ROUNDUP($H10,0),CQ$2)-(INDEX(avoidedcosttbl,ROUNDDOWN($H10,0),CQ$2)))))*ADRYr1!$P10*ADRYr1!$Q10*ADRYr1!$U10)</f>
        <v/>
      </c>
      <c r="CR10" s="28" t="str">
        <f>IF($G10="","",G10*(IF(ADRYr1!$AI10=CR$4,ADRYr1!$AJ10,IF(ADRYr1!$AK10=CR$4,ADRYr1!$AL10,IF(ADRYr1!$AM10=CR$4,ADRYr1!$AN10,0))))*(INDEX(avoidedcosttbl,$H10,CR$2)+(($H10-ROUNDDOWN($H10,0))*(INDEX(avoidedcosttbl,ROUNDUP($H10,0),CR$2)-(INDEX(avoidedcosttbl,ROUNDDOWN($H10,0),CR$2)))))*ADRYr1!$P10*ADRYr1!$Q10*ADRYr1!$U10)</f>
        <v/>
      </c>
      <c r="CS10" s="28" t="str">
        <f>IF($G10="","",G10*(IF(ADRYr1!$AI10=CS$4,ADRYr1!$AJ10,IF(ADRYr1!$AK10=CS$4,ADRYr1!$AL10,IF(ADRYr1!$AM10=CS$4,ADRYr1!$AN10,0))))*(INDEX(avoidedcosttbl,$H10,CS$2)+(($H10-ROUNDDOWN($H10,0))*(INDEX(avoidedcosttbl,ROUNDUP($H10,0),CS$2)-(INDEX(avoidedcosttbl,ROUNDDOWN($H10,0),CS$2)))))*ADRYr1!$P10*ADRYr1!$Q10*ADRYr1!$U10)</f>
        <v/>
      </c>
      <c r="CT10" s="28" t="str">
        <f t="shared" si="12"/>
        <v/>
      </c>
      <c r="CU10" s="28" t="str">
        <f>IF($G10="","",G10*(IF(ADRYr1!$AI10=CU$4,ADRYr1!$AJ10,IF(ADRYr1!$AK10=CU$4,ADRYr1!$AL10,IF(ADRYr1!$AM10=CU$4,ADRYr1!$AN10,0))))*(INDEX(avoidedcosttbl,$H10,CU$2)+(($H10-ROUNDDOWN($H10,0))*(INDEX(avoidedcosttbl,ROUNDUP($H10,0),CU$2)-(INDEX(avoidedcosttbl,ROUNDDOWN($H10,0),CU$2)))))*ADRYr1!$P10*ADRYr1!$Q10*ADRYr1!$U10)</f>
        <v/>
      </c>
      <c r="CV10" s="28" t="str">
        <f>IF($G10="","",G10*(IF(ADRYr1!$AI10=CV$4,ADRYr1!$AJ10,IF(ADRYr1!$AK10=CV$4,ADRYr1!$AL10,IF(ADRYr1!$AM10=CV$4,ADRYr1!$AN10,0))))*(INDEX(avoidedcosttbl,$H10,CV$2)+(($H10-ROUNDDOWN($H10,0))*(INDEX(avoidedcosttbl,ROUNDUP($H10,0),CV$2)-(INDEX(avoidedcosttbl,ROUNDDOWN($H10,0),CV$2)))))*ADRYr1!$P10*ADRYr1!$Q10*ADRYr1!$U10)</f>
        <v/>
      </c>
      <c r="CW10" s="28" t="str">
        <f>IF($G10="","",G10*(IF(ADRYr1!$AI10=CW$4,ADRYr1!$AJ10,IF(ADRYr1!$AK10=CW$4,ADRYr1!$AL10,IF(ADRYr1!$AM10=CW$4,ADRYr1!$AN10,0))))*(INDEX(avoidedcosttbl,$H10,CW$2)+(($H10-ROUNDDOWN($H10,0))*(INDEX(avoidedcosttbl,ROUNDUP($H10,0),CW$2)-(INDEX(avoidedcosttbl,ROUNDDOWN($H10,0),CW$2)))))*ADRYr1!$P10*ADRYr1!$Q10*ADRYr1!$U10)</f>
        <v/>
      </c>
      <c r="CX10" s="28" t="str">
        <f>IF($G10="","",G10*(IF(ADRYr1!$AI10=CX$4,ADRYr1!$AJ10,IF(ADRYr1!$AK10=CX$4,ADRYr1!$AL10,IF(ADRYr1!$AM10=CX$4,ADRYr1!$AN10,0))))*(INDEX(avoidedcosttbl,$H10,CX$2)+(($H10-ROUNDDOWN($H10,0))*(INDEX(avoidedcosttbl,ROUNDUP($H10,0),CX$2)-(INDEX(avoidedcosttbl,ROUNDDOWN($H10,0),CX$2)))))*ADRYr1!$P10*ADRYr1!$Q10*ADRYr1!$U10)</f>
        <v/>
      </c>
      <c r="CY10" s="28" t="str">
        <f t="shared" si="13"/>
        <v/>
      </c>
      <c r="CZ10" s="32" t="str">
        <f t="shared" si="14"/>
        <v/>
      </c>
      <c r="DA10" s="84" t="str">
        <f t="shared" si="42"/>
        <v/>
      </c>
      <c r="DB10" s="81" t="str">
        <f>IF(NEIadder="Yes",IF($G10="","",INDEX(Lookups!$G$70:$G$71,MATCH($A10,Lookups!$E$70:$E$71,0))*(SUM(CP10:CX10,BX10))),"")</f>
        <v/>
      </c>
      <c r="DC10" s="263" t="str">
        <f t="shared" si="15"/>
        <v/>
      </c>
      <c r="DD10" s="166" t="str">
        <f t="shared" si="16"/>
        <v/>
      </c>
      <c r="DE10" s="82">
        <f>SUM(DB10:DD10)</f>
        <v>0</v>
      </c>
      <c r="DF10" s="615" t="str">
        <f>IF($G10="","",(1+WntPeakEnergyLL)*(INDEX(avoidedcosttbl,$H10,DF$2)+(($H10-ROUNDDOWN($H10,0))*(INDEX(avoidedcosttbl,ROUNDUP($H10,0),DF$2)-(INDEX(avoidedcosttbl,ROUNDDOWN($H10,0),DF$2)))))*$P10*1000*ADRYr1!Z10)</f>
        <v/>
      </c>
      <c r="DG10" s="615" t="str">
        <f>IF($G10="","",(1+WntOffPeakEnergyLL)*(INDEX(avoidedcosttbl,$H10,DG$2)+(($H10-ROUNDDOWN($H10,0))*(INDEX(avoidedcosttbl,ROUNDUP($H10,0),DG$2)-(INDEX(avoidedcosttbl,ROUNDDOWN($H10,0),DG$2)))))*$P10*1000*ADRYr1!AA10)</f>
        <v/>
      </c>
      <c r="DH10" s="615" t="str">
        <f>IF($G10="","",(1+SumPeakEnergyLL)*(INDEX(avoidedcosttbl,$H10,DH$2)+(($H10-ROUNDDOWN($H10,0))*(INDEX(avoidedcosttbl,ROUNDUP($H10,0),DH$2)-(INDEX(avoidedcosttbl,ROUNDDOWN($H10,0),DH$2)))))*$P10*1000*ADRYr1!AB10)</f>
        <v/>
      </c>
      <c r="DI10" s="615" t="str">
        <f>IF($G10="","",(1+SumOffPeakEnergyLL)*(INDEX(avoidedcosttbl,$H10,DI$2)+(($H10-ROUNDDOWN($H10,0))*(INDEX(avoidedcosttbl,ROUNDUP($H10,0),DI$2)-(INDEX(avoidedcosttbl,ROUNDDOWN($H10,0),DI$2)))))*$P10*1000*ADRYr1!AC10)</f>
        <v/>
      </c>
      <c r="DJ10" s="29" t="str">
        <f t="shared" si="44"/>
        <v/>
      </c>
      <c r="DK10" s="161" t="str">
        <f t="shared" si="45"/>
        <v/>
      </c>
      <c r="DL10" s="1189" t="str">
        <f t="shared" si="46"/>
        <v/>
      </c>
      <c r="DM10" s="1189" t="str">
        <f t="shared" si="47"/>
        <v/>
      </c>
      <c r="DN10" s="43" t="str">
        <f t="shared" si="48"/>
        <v/>
      </c>
      <c r="DO10" s="966" t="str">
        <f>IF($G10="","",ADRYr1!AQ10)</f>
        <v/>
      </c>
      <c r="DP10" s="968" t="str">
        <f>IF($G10="","",ADRYr1!AR10)</f>
        <v/>
      </c>
      <c r="DQ10" s="970" t="str">
        <f>IF($G10="","",IF($DP10="Yes",COLUMN(AESC!$L$10),IF($DP10="No","Using AvoidedDemand tab",IF($DP10="Mixed",COLUMN(AESC!$N$10)))))</f>
        <v/>
      </c>
      <c r="DR10" s="970" t="str">
        <f>IF($G10="","",IF($DP10="Yes",COLUMN(AESC!$P$10),IF($DP10="No","Using AvoidedDemand tab",IF($DP10="Mixed",COLUMN(AESC!$R$10)))))</f>
        <v/>
      </c>
      <c r="DS10" s="970" t="str">
        <f>IF($G10="","",IF($DP10="Yes",COLUMN(AESC!$S$10),IF($DP10="No",COLUMN(AESC!$T$10),IF($DP10="Mixed",COLUMN(AESC!$U$10)))))</f>
        <v/>
      </c>
      <c r="DT10" s="970" t="str">
        <f t="shared" si="17"/>
        <v/>
      </c>
      <c r="DU10" s="970" t="str">
        <f>IF($G10="","",ADRYr1!AS10)</f>
        <v/>
      </c>
      <c r="DV10" s="971" t="str">
        <f>IF($G10="","",ADRYr1!AT10)</f>
        <v/>
      </c>
      <c r="DW10" s="1162" t="str">
        <f>IF($G10="","",INDEX(AvoidedEnergy!$H$4:$H$10,MATCH($DO10,AvoidedEnergy!$A$4:$A$10,0)))</f>
        <v/>
      </c>
    </row>
    <row r="11" spans="1:127">
      <c r="A11" s="160" t="str">
        <f>IF(ADRYr1!$B11=0,"",ADRYr1!A11)</f>
        <v>A - Residential</v>
      </c>
      <c r="B11" s="9" t="str">
        <f>IF(ADRYr1!$B11=0,"",ADRYr1!B11)</f>
        <v>A5 - Residential Active Demand Response</v>
      </c>
      <c r="C11" s="9" t="str">
        <f>IF(ADRYr1!$B11=0,"",ADRYr1!C11)</f>
        <v>A5a - Residential Active Demand Response</v>
      </c>
      <c r="D11" s="9" t="str">
        <f>IF(ADRYr1!$B11=0,"",ADRYr1!D11)</f>
        <v>Storage Daily Dispatch P4P (savings) Summer</v>
      </c>
      <c r="E11" s="9" t="str">
        <f>IF(ADRYr1!$B11=0,"",ADRYr1!E11)</f>
        <v>E21A5a002</v>
      </c>
      <c r="F11" s="11" t="str">
        <f>IF(ADRYr1!$B11=0,"",ADRYr1!F11)</f>
        <v>Behavior</v>
      </c>
      <c r="G11" s="12" t="str">
        <f>IF(ADRYr1!$G11&lt;&gt;0,ADRYr1!G11,"")</f>
        <v/>
      </c>
      <c r="H11" s="960" t="str">
        <f>IF($G11="","",ROUND(ADRYr1!H11,0))</f>
        <v/>
      </c>
      <c r="I11" s="47" t="str">
        <f>IF($G11="","",ADRYr1!I11*ADRYr1!P11*G11)</f>
        <v/>
      </c>
      <c r="J11" s="47" t="str">
        <f>IF($G11="","",ADRYr1!J11*G11)</f>
        <v/>
      </c>
      <c r="K11" s="47" t="str">
        <f t="shared" si="18"/>
        <v/>
      </c>
      <c r="L11" s="27" t="str">
        <f>IF($G11="","",ADRYr1!V11*G11/1000)</f>
        <v/>
      </c>
      <c r="M11" s="27" t="str">
        <f>IF($G11="","",L11*ADRYr1!$Q11*ADRYr1!$R11)</f>
        <v/>
      </c>
      <c r="N11" s="27" t="str">
        <f t="shared" si="19"/>
        <v/>
      </c>
      <c r="O11" s="27" t="str">
        <f t="shared" si="20"/>
        <v/>
      </c>
      <c r="P11" s="27" t="str">
        <f>IF($G11="","",M11*ADRYr1!P11)</f>
        <v/>
      </c>
      <c r="Q11" s="27" t="str">
        <f t="shared" si="21"/>
        <v/>
      </c>
      <c r="R11" s="27" t="str">
        <f>IF($G11="","",$Q11*ADRYr1!Z11)</f>
        <v/>
      </c>
      <c r="S11" s="27" t="str">
        <f>IF($G11="","",$Q11*ADRYr1!AA11)</f>
        <v/>
      </c>
      <c r="T11" s="27" t="str">
        <f>IF($G11="","",$Q11*ADRYr1!AB11)</f>
        <v/>
      </c>
      <c r="U11" s="27" t="str">
        <f>IF($G11="","",$Q11*ADRYr1!AC11)</f>
        <v/>
      </c>
      <c r="V11" s="27" t="str">
        <f>IF($G11="","",G11*ADRYr1!$AD11*ADRYr1!$P11*ADRYr1!$Q11)</f>
        <v/>
      </c>
      <c r="W11" s="27" t="str">
        <f>IF($G11="","",$G11*ADRYr1!$AD11*ADRYr1!$AF11*ADRYr1!Q11*ADRYr1!$S11)</f>
        <v/>
      </c>
      <c r="X11" s="27" t="str">
        <f>IF($G11="","",$G11*ADRYr1!$AD11*ADRYr1!$AF11*ADRYr1!P11*ADRYr1!Q11*ADRYr1!$S11)</f>
        <v/>
      </c>
      <c r="Y11" s="27" t="str">
        <f>IF($G11="","",$G11*ADRYr1!$AD11*ADRYr1!$AE11*ADRYr1!Q11*ADRYr1!$T11)</f>
        <v/>
      </c>
      <c r="Z11" s="27" t="str">
        <f>IF($G11="","",$G11*ADRYr1!$AD11*ADRYr1!$AE11*ADRYr1!P11*ADRYr1!Q11*ADRYr1!$T11)</f>
        <v/>
      </c>
      <c r="AA11" s="45" t="str">
        <f>IF($G11="","",$G11*ADRYr1!$Q11*ADRYr1!$U11*(IF(IFERROR(SEARCH("NG", ADRYr1!$AI11),0),ADRYr1!$AJ11,0)+IF(IFERROR(SEARCH("NG", ADRYr1!$AK11),0),ADRYr1!$AL11,0)+IF(IFERROR(SEARCH("NG", ADRYr1!$AM11),0),ADRYr1!$AN11,0)))</f>
        <v/>
      </c>
      <c r="AB11" s="45" t="str">
        <f t="shared" si="22"/>
        <v/>
      </c>
      <c r="AC11" s="45">
        <f>IF($G11="",0,AA11*ADRYr1!$P11)</f>
        <v>0</v>
      </c>
      <c r="AD11" s="45" t="str">
        <f t="shared" si="23"/>
        <v/>
      </c>
      <c r="AE11" s="45" t="str">
        <f>IF($G11="","",$G11*ADRYr1!$Q11*ADRYr1!$U11*(IF(IFERROR(SEARCH("Oil", ADRYr1!$AI11), 0),ADRYr1!$AJ11,0)+IF(IFERROR(SEARCH("Oil", ADRYr1!$AK11), 0),ADRYr1!$AL11,0)+IF(IFERROR(SEARCH("Oil", ADRYr1!$AM11), 0),ADRYr1!$AN11,0)))</f>
        <v/>
      </c>
      <c r="AF11" s="45" t="str">
        <f t="shared" si="24"/>
        <v/>
      </c>
      <c r="AG11" s="45">
        <f>IF($G11="",0,AE11*ADRYr1!$P11)</f>
        <v>0</v>
      </c>
      <c r="AH11" s="45" t="str">
        <f t="shared" si="25"/>
        <v/>
      </c>
      <c r="AI11" s="45" t="str">
        <f>IF($G11="","",$G11*ADRYr1!$Q11*ADRYr1!$U11*(IF(ADRYr1!$AI11=Lookups!$E$116,ADRYr1!$AJ11,IF(ADRYr1!$AK11=Lookups!$E$116,ADRYr1!$AL11,IF(ADRYr1!$AM11=Lookups!$E$116,ADRYr1!$AN11,0)))))</f>
        <v/>
      </c>
      <c r="AJ11" s="45" t="str">
        <f t="shared" si="26"/>
        <v/>
      </c>
      <c r="AK11" s="45">
        <f>IF($G11="",0,AI11*ADRYr1!$P11)</f>
        <v>0</v>
      </c>
      <c r="AL11" s="45" t="str">
        <f t="shared" si="27"/>
        <v/>
      </c>
      <c r="AM11" s="45" t="str">
        <f>IF($G11="","",$G11*ADRYr1!$Q11*ADRYr1!$U11*(IF(ADRYr1!$AI11=Lookups!$E$115,ADRYr1!$AJ11,IF(ADRYr1!$AK11=Lookups!$E$115,ADRYr1!$AL11,IF(ADRYr1!$AM11=Lookups!$E$115,ADRYr1!$AN11,0)))))</f>
        <v/>
      </c>
      <c r="AN11" s="45" t="str">
        <f t="shared" si="28"/>
        <v/>
      </c>
      <c r="AO11" s="45">
        <f>IF($G11="",0,AM11*ADRYr1!$P11)</f>
        <v>0</v>
      </c>
      <c r="AP11" s="45" t="str">
        <f t="shared" si="29"/>
        <v/>
      </c>
      <c r="AQ11" s="45" t="str">
        <f>IF($G11="","",$G11*ADRYr1!$Q11*ADRYr1!$U11*(IF(ADRYr1!$AI11=Lookups!$E$117,ADRYr1!$AJ11,IF(ADRYr1!$AK11=Lookups!$E$117,ADRYr1!$AL11,IF(ADRYr1!$AM11=Lookups!$E$117,ADRYr1!$AN11,0)))))</f>
        <v/>
      </c>
      <c r="AR11" s="45" t="str">
        <f t="shared" si="30"/>
        <v/>
      </c>
      <c r="AS11" s="45" t="str">
        <f>IF($G11="","",AQ11*ADRYr1!$P11)</f>
        <v/>
      </c>
      <c r="AT11" s="45" t="str">
        <f t="shared" si="31"/>
        <v/>
      </c>
      <c r="AU11" s="45" t="str">
        <f>IF($G11="","",$G11*ADRYr1!$Q11*ADRYr1!$U11*(IF(ADRYr1!$AI11=Lookups!$E$118,ADRYr1!$AJ11,IF(ADRYr1!$AK11=Lookups!$E$118,ADRYr1!$AL11,IF(ADRYr1!$AM11=Lookups!$E$118,ADRYr1!$AN11,0)))))</f>
        <v/>
      </c>
      <c r="AV11" s="45" t="str">
        <f t="shared" si="32"/>
        <v/>
      </c>
      <c r="AW11" s="45" t="str">
        <f>IF($G11="","",AU11*ADRYr1!$P11)</f>
        <v/>
      </c>
      <c r="AX11" s="45" t="str">
        <f t="shared" si="33"/>
        <v/>
      </c>
      <c r="AY11" s="45">
        <f t="shared" si="34"/>
        <v>0</v>
      </c>
      <c r="AZ11" s="45">
        <f t="shared" si="34"/>
        <v>0</v>
      </c>
      <c r="BA11" s="101" t="str">
        <f>IF($G11="","",$G11*ADRYr1!$P11*ADRYr1!$Q11*ADRYr1!$U11*ADRYr1!AO11)</f>
        <v/>
      </c>
      <c r="BB11" s="102" t="str">
        <f>IF($G11="","",$G11*ADRYr1!$P11*ADRYr1!$Q11*ADRYr1!$U11*ADRYr1!AP11)</f>
        <v/>
      </c>
      <c r="BC11" s="100" t="str">
        <f t="shared" si="35"/>
        <v/>
      </c>
      <c r="BD11" s="961"/>
      <c r="BE11" s="961"/>
      <c r="BF11" s="961"/>
      <c r="BG11" s="961"/>
      <c r="BH11" s="962" t="str">
        <f>IF($G11="","",((1+$DW11)*INDEX(avoidedcosttblADM,MATCH($DT11,avoidedcosttblADMkey,0),BH$2)*$P11*1000))</f>
        <v/>
      </c>
      <c r="BI11" s="961"/>
      <c r="BJ11" s="961"/>
      <c r="BK11" s="961"/>
      <c r="BL11" s="961"/>
      <c r="BM11" s="30" t="str">
        <f t="shared" si="4"/>
        <v/>
      </c>
      <c r="BN11" s="963" t="str">
        <f t="shared" si="5"/>
        <v/>
      </c>
      <c r="BO11" s="31" t="str">
        <f t="shared" si="36"/>
        <v/>
      </c>
      <c r="BP11" s="964" t="str">
        <f t="shared" si="6"/>
        <v/>
      </c>
      <c r="BQ11" s="28" t="str">
        <f t="shared" si="7"/>
        <v/>
      </c>
      <c r="BR11" s="964" t="str">
        <f t="shared" si="8"/>
        <v/>
      </c>
      <c r="BS11" s="964" t="str">
        <f t="shared" si="9"/>
        <v/>
      </c>
      <c r="BT11" s="28" t="str">
        <f t="shared" si="10"/>
        <v/>
      </c>
      <c r="BU11" s="28" t="str">
        <f t="shared" si="10"/>
        <v/>
      </c>
      <c r="BV11" s="28" t="str">
        <f t="shared" si="10"/>
        <v/>
      </c>
      <c r="BW11" s="29" t="str">
        <f t="shared" si="37"/>
        <v/>
      </c>
      <c r="BX11" s="29" t="str">
        <f t="shared" si="38"/>
        <v/>
      </c>
      <c r="BY11" s="28" t="str">
        <f>IF($G11="","",$G11*(IF(ADRYr1!$AI11=BY$4,ADRYr1!$AJ11,IF(ADRYr1!$AK11=BY$4,ADRYr1!$AL11,IF(ADRYr1!$AM11=BY$4,ADRYr1!$AN11,0))))*(INDEX(avoidedcosttbl,$H11,BY$2)+(($H11-ROUNDDOWN($H11,0))*(INDEX(avoidedcosttbl,ROUNDUP($H11,0),BY$2)-(INDEX(avoidedcosttbl,ROUNDDOWN($H11,0),BY$2)))))*ADRYr1!P11*ADRYr1!Q11*ADRYr1!U11)</f>
        <v/>
      </c>
      <c r="BZ11" s="28" t="str">
        <f>IF($G11="","",$G11*(IF(ADRYr1!$AI11=BZ$4,ADRYr1!$AJ11,IF(ADRYr1!$AK11=BZ$4,ADRYr1!$AL11,IF(ADRYr1!$AM11=BZ$4,ADRYr1!$AN11,0))))*(INDEX(avoidedcosttbl,$H11,BZ$2)+(($H11-ROUNDDOWN($H11,0))*(INDEX(avoidedcosttbl,ROUNDUP($H11,0),BZ$2)-(INDEX(avoidedcosttbl,ROUNDDOWN($H11,0),BZ$2)))))*ADRYr1!P11*ADRYr1!Q11*ADRYr1!U11)</f>
        <v/>
      </c>
      <c r="CA11" s="28" t="str">
        <f>IF($G11="","",$G11*(IF(ADRYr1!$AI11=CA$4,ADRYr1!$AJ11,IF(ADRYr1!$AK11=CA$4,ADRYr1!$AL11,IF(ADRYr1!$AM11=CA$4,ADRYr1!$AN11,0))))*(INDEX(avoidedcosttbl,$H11,CA$2)+(($H11-ROUNDDOWN($H11,0))*(INDEX(avoidedcosttbl,ROUNDUP($H11,0),CA$2)-(INDEX(avoidedcosttbl,ROUNDDOWN($H11,0),CA$2)))))*ADRYr1!P11*ADRYr1!Q11*ADRYr1!U11)</f>
        <v/>
      </c>
      <c r="CB11" s="28" t="str">
        <f>IF($G11="","",$G11*(IF(ADRYr1!$AI11=CB$4,ADRYr1!$AJ11,IF(ADRYr1!$AK11=CB$4,ADRYr1!$AL11,IF(ADRYr1!$AM11=CB$4,ADRYr1!$AN11,0))))*(INDEX(avoidedcosttbl,$H11,CB$2)+(($H11-ROUNDDOWN($H11,0))*(INDEX(avoidedcosttbl,ROUNDUP($H11,0),CB$2)-(INDEX(avoidedcosttbl,ROUNDDOWN($H11,0),CB$2)))))*ADRYr1!P11*ADRYr1!Q11*ADRYr1!U11)</f>
        <v/>
      </c>
      <c r="CC11" s="28" t="str">
        <f>IF($G11="","",$G11*(IF(ADRYr1!$AI11=CC$4,ADRYr1!$AJ11,IF(ADRYr1!$AK11=CC$4,ADRYr1!$AL11,IF(ADRYr1!$AM11=CC$4,ADRYr1!$AN11,0))))*(INDEX(avoidedcosttbl,$H11,CC$2)+(($H11-ROUNDDOWN($H11,0))*(INDEX(avoidedcosttbl,ROUNDUP($H11,0),CC$2)-(INDEX(avoidedcosttbl,ROUNDDOWN($H11,0),CC$2)))))*ADRYr1!P11*ADRYr1!Q11*ADRYr1!U11)</f>
        <v/>
      </c>
      <c r="CD11" s="28" t="str">
        <f>IF($G11="","",$G11*(IF(ADRYr1!$AI11=CD$4,ADRYr1!$AJ11,IF(ADRYr1!$AK11=CD$4,ADRYr1!$AL11,IF(ADRYr1!$AM11=CD$4,ADRYr1!$AN11,0))))*(INDEX(avoidedcosttbl,$H11,CD$2)+(($H11-ROUNDDOWN($H11,0))*(INDEX(avoidedcosttbl,ROUNDUP($H11,0),CD$2)-(INDEX(avoidedcosttbl,ROUNDDOWN($H11,0),CD$2)))))*ADRYr1!P11*ADRYr1!Q11*ADRYr1!U11)</f>
        <v/>
      </c>
      <c r="CE11" s="28" t="str">
        <f>IF($G11="","",$G11*(IF(ADRYr1!$AI11=CE$4,ADRYr1!$AJ11,IF(ADRYr1!$AK11=CE$4,ADRYr1!$AL11,IF(ADRYr1!$AM11=CE$4,ADRYr1!$AN11,0))))*(INDEX(avoidedcosttbl,$H11,CE$2)+(($H11-ROUNDDOWN($H11,0))*(INDEX(avoidedcosttbl,ROUNDUP($H11,0),CE$2)-(INDEX(avoidedcosttbl,ROUNDDOWN($H11,0),CE$2)))))*ADRYr1!P11*ADRYr1!Q11*ADRYr1!U11)</f>
        <v/>
      </c>
      <c r="CF11" s="41" t="str">
        <f t="shared" si="39"/>
        <v/>
      </c>
      <c r="CG11" s="30" t="str">
        <f t="shared" si="11"/>
        <v/>
      </c>
      <c r="CH11" s="30" t="str">
        <f>IF($G11="","",$G11*(IF(ADRYr1!$AI11=BY$4,ADRYr1!$AJ11,IF(ADRYr1!$AK11=BY$4,ADRYr1!$AL11,IF(ADRYr1!$AM11=BY$4,ADRYr1!$AN11,0))))*(INDEX(avoidedcosttbl,$H11,CH$2)+(($H11-ROUNDDOWN($H11,0))*(INDEX(avoidedcosttbl,ROUNDUP($H11,0),CH$2)-(INDEX(avoidedcosttbl,ROUNDDOWN($H11,0),CH$2)))))*ADRYr1!P11*ADRYr1!Q11*ADRYr1!U11)</f>
        <v/>
      </c>
      <c r="CI11" s="30" t="str">
        <f>IF($G11="","",$G11*(IF(ADRYr1!$AI11=BZ$4,ADRYr1!$AJ11,IF(ADRYr1!$AK11=BZ$4,ADRYr1!$AL11,IF(ADRYr1!$AM11=BZ$4,ADRYr1!$AN11,0))))*(INDEX(avoidedcosttbl,$H11,CI$2)+(($H11-ROUNDDOWN($H11,0))*(INDEX(avoidedcosttbl,ROUNDUP($H11,0),CI$2)-(INDEX(avoidedcosttbl,ROUNDDOWN($H11,0),CI$2)))))*ADRYr1!P11*ADRYr1!Q11*ADRYr1!U11)</f>
        <v/>
      </c>
      <c r="CJ11" s="30" t="str">
        <f>IF($G11="","",$G11*(IF(ADRYr1!$AI11=CA$4,ADRYr1!$AJ11,IF(ADRYr1!$AK11=CA$4,ADRYr1!$AL11,IF(ADRYr1!$AM11=CA$4,ADRYr1!$AN11,0))))*(INDEX(avoidedcosttbl,$H11,CJ$2)+(($H11-ROUNDDOWN($H11,0))*(INDEX(avoidedcosttbl,ROUNDUP($H11,0),CJ$2)-(INDEX(avoidedcosttbl,ROUNDDOWN($H11,0),CJ$2)))))*ADRYr1!P11*ADRYr1!Q11*ADRYr1!U11)</f>
        <v/>
      </c>
      <c r="CK11" s="30" t="str">
        <f>IF($G11="","",$G11*(IF(ADRYr1!$AI11=CB$4,ADRYr1!$AJ11,IF(ADRYr1!$AK11=CB$4,ADRYr1!$AL11,IF(ADRYr1!$AM11=CB$4,ADRYr1!$AN11,0))))*(INDEX(avoidedcosttbl,$H11,CK$2)+(($H11-ROUNDDOWN($H11,0))*(INDEX(avoidedcosttbl,ROUNDUP($H11,0),CK$2)-(INDEX(avoidedcosttbl,ROUNDDOWN($H11,0),CK$2)))))*ADRYr1!P11*ADRYr1!Q11*ADRYr1!U11)</f>
        <v/>
      </c>
      <c r="CL11" s="30" t="str">
        <f>IF($G11="","",$G11*(IF(ADRYr1!$AI11=CC$4,ADRYr1!$AJ11,IF(ADRYr1!$AK11=CC$4,ADRYr1!$AL11,IF(ADRYr1!$AM11=CC$4,ADRYr1!$AN11,0))))*(INDEX(avoidedcosttbl,$H11,CL$2)+(($H11-ROUNDDOWN($H11,0))*(INDEX(avoidedcosttbl,ROUNDUP($H11,0),CL$2)-(INDEX(avoidedcosttbl,ROUNDDOWN($H11,0),CL$2)))))*ADRYr1!P11*ADRYr1!Q11*ADRYr1!U11)</f>
        <v/>
      </c>
      <c r="CM11" s="30" t="str">
        <f>IF($G11="","",$G11*(IF(ADRYr1!$AI11=CD$4,ADRYr1!$AJ11,IF(ADRYr1!$AK11=CD$4,ADRYr1!$AL11,IF(ADRYr1!$AM11=CD$4,ADRYr1!$AN11,0))))*(INDEX(avoidedcosttbl,$H11,CM$2)+(($H11-ROUNDDOWN($H11,0))*(INDEX(avoidedcosttbl,ROUNDUP($H11,0),CM$2)-(INDEX(avoidedcosttbl,ROUNDDOWN($H11,0),CM$2)))))*ADRYr1!P11*ADRYr1!Q11*ADRYr1!U11)</f>
        <v/>
      </c>
      <c r="CN11" s="30" t="str">
        <f>IF($G11="","",$G11*(IF(ADRYr1!$AI11=CE$4,ADRYr1!$AJ11,IF(ADRYr1!$AK11=CE$4,ADRYr1!$AL11,IF(ADRYr1!$AM11=CE$4,ADRYr1!$AN11,0))))*(INDEX(avoidedcosttbl,$H11,CN$2)+(($H11-ROUNDDOWN($H11,0))*(INDEX(avoidedcosttbl,ROUNDUP($H11,0),CN$2)-(INDEX(avoidedcosttbl,ROUNDDOWN($H11,0),CN$2)))))*ADRYr1!P11*ADRYr1!Q11*ADRYr1!U11)</f>
        <v/>
      </c>
      <c r="CO11" s="220" t="str">
        <f t="shared" si="40"/>
        <v/>
      </c>
      <c r="CP11" s="220" t="str">
        <f t="shared" si="41"/>
        <v/>
      </c>
      <c r="CQ11" s="157" t="str">
        <f>IF($G11="","",$G11*(IF(ADRYr1!$AI11=CQ$4,ADRYr1!$AJ11,IF(ADRYr1!$AK11=CQ$4,ADRYr1!$AL11,IF(ADRYr1!$AM11=CQ$4,ADRYr1!$AN11,0))))*(INDEX(avoidedcosttbl,$H11,CQ$2)+(($H11-ROUNDDOWN($H11,0))*(INDEX(avoidedcosttbl,ROUNDUP($H11,0),CQ$2)-(INDEX(avoidedcosttbl,ROUNDDOWN($H11,0),CQ$2)))))*ADRYr1!$P11*ADRYr1!$Q11*ADRYr1!$U11)</f>
        <v/>
      </c>
      <c r="CR11" s="28" t="str">
        <f>IF($G11="","",G11*(IF(ADRYr1!$AI11=CR$4,ADRYr1!$AJ11,IF(ADRYr1!$AK11=CR$4,ADRYr1!$AL11,IF(ADRYr1!$AM11=CR$4,ADRYr1!$AN11,0))))*(INDEX(avoidedcosttbl,$H11,CR$2)+(($H11-ROUNDDOWN($H11,0))*(INDEX(avoidedcosttbl,ROUNDUP($H11,0),CR$2)-(INDEX(avoidedcosttbl,ROUNDDOWN($H11,0),CR$2)))))*ADRYr1!$P11*ADRYr1!$Q11*ADRYr1!$U11)</f>
        <v/>
      </c>
      <c r="CS11" s="28" t="str">
        <f>IF($G11="","",G11*(IF(ADRYr1!$AI11=CS$4,ADRYr1!$AJ11,IF(ADRYr1!$AK11=CS$4,ADRYr1!$AL11,IF(ADRYr1!$AM11=CS$4,ADRYr1!$AN11,0))))*(INDEX(avoidedcosttbl,$H11,CS$2)+(($H11-ROUNDDOWN($H11,0))*(INDEX(avoidedcosttbl,ROUNDUP($H11,0),CS$2)-(INDEX(avoidedcosttbl,ROUNDDOWN($H11,0),CS$2)))))*ADRYr1!$P11*ADRYr1!$Q11*ADRYr1!$U11)</f>
        <v/>
      </c>
      <c r="CT11" s="28" t="str">
        <f t="shared" si="12"/>
        <v/>
      </c>
      <c r="CU11" s="28" t="str">
        <f>IF($G11="","",G11*(IF(ADRYr1!$AI11=CU$4,ADRYr1!$AJ11,IF(ADRYr1!$AK11=CU$4,ADRYr1!$AL11,IF(ADRYr1!$AM11=CU$4,ADRYr1!$AN11,0))))*(INDEX(avoidedcosttbl,$H11,CU$2)+(($H11-ROUNDDOWN($H11,0))*(INDEX(avoidedcosttbl,ROUNDUP($H11,0),CU$2)-(INDEX(avoidedcosttbl,ROUNDDOWN($H11,0),CU$2)))))*ADRYr1!$P11*ADRYr1!$Q11*ADRYr1!$U11)</f>
        <v/>
      </c>
      <c r="CV11" s="28" t="str">
        <f>IF($G11="","",G11*(IF(ADRYr1!$AI11=CV$4,ADRYr1!$AJ11,IF(ADRYr1!$AK11=CV$4,ADRYr1!$AL11,IF(ADRYr1!$AM11=CV$4,ADRYr1!$AN11,0))))*(INDEX(avoidedcosttbl,$H11,CV$2)+(($H11-ROUNDDOWN($H11,0))*(INDEX(avoidedcosttbl,ROUNDUP($H11,0),CV$2)-(INDEX(avoidedcosttbl,ROUNDDOWN($H11,0),CV$2)))))*ADRYr1!$P11*ADRYr1!$Q11*ADRYr1!$U11)</f>
        <v/>
      </c>
      <c r="CW11" s="28" t="str">
        <f>IF($G11="","",G11*(IF(ADRYr1!$AI11=CW$4,ADRYr1!$AJ11,IF(ADRYr1!$AK11=CW$4,ADRYr1!$AL11,IF(ADRYr1!$AM11=CW$4,ADRYr1!$AN11,0))))*(INDEX(avoidedcosttbl,$H11,CW$2)+(($H11-ROUNDDOWN($H11,0))*(INDEX(avoidedcosttbl,ROUNDUP($H11,0),CW$2)-(INDEX(avoidedcosttbl,ROUNDDOWN($H11,0),CW$2)))))*ADRYr1!$P11*ADRYr1!$Q11*ADRYr1!$U11)</f>
        <v/>
      </c>
      <c r="CX11" s="28" t="str">
        <f>IF($G11="","",G11*(IF(ADRYr1!$AI11=CX$4,ADRYr1!$AJ11,IF(ADRYr1!$AK11=CX$4,ADRYr1!$AL11,IF(ADRYr1!$AM11=CX$4,ADRYr1!$AN11,0))))*(INDEX(avoidedcosttbl,$H11,CX$2)+(($H11-ROUNDDOWN($H11,0))*(INDEX(avoidedcosttbl,ROUNDUP($H11,0),CX$2)-(INDEX(avoidedcosttbl,ROUNDDOWN($H11,0),CX$2)))))*ADRYr1!$P11*ADRYr1!$Q11*ADRYr1!$U11)</f>
        <v/>
      </c>
      <c r="CY11" s="28" t="str">
        <f t="shared" si="13"/>
        <v/>
      </c>
      <c r="CZ11" s="32" t="str">
        <f t="shared" si="14"/>
        <v/>
      </c>
      <c r="DA11" s="84" t="str">
        <f t="shared" si="42"/>
        <v/>
      </c>
      <c r="DB11" s="81" t="str">
        <f>IF(NEIadder="Yes",IF($G11="","",INDEX(Lookups!$G$70:$G$71,MATCH($A11,Lookups!$E$70:$E$71,0))*(SUM(CP11:CX11,BX11))),"")</f>
        <v/>
      </c>
      <c r="DC11" s="263" t="str">
        <f t="shared" si="15"/>
        <v/>
      </c>
      <c r="DD11" s="166" t="str">
        <f t="shared" si="16"/>
        <v/>
      </c>
      <c r="DE11" s="82">
        <f>SUM(DB11:DD11)</f>
        <v>0</v>
      </c>
      <c r="DF11" s="615" t="str">
        <f>IF($G11="","",(1+WntPeakEnergyLL)*(INDEX(avoidedcosttbl,$H11,DF$2)+(($H11-ROUNDDOWN($H11,0))*(INDEX(avoidedcosttbl,ROUNDUP($H11,0),DF$2)-(INDEX(avoidedcosttbl,ROUNDDOWN($H11,0),DF$2)))))*$P11*1000*ADRYr1!Z11)</f>
        <v/>
      </c>
      <c r="DG11" s="615" t="str">
        <f>IF($G11="","",(1+WntOffPeakEnergyLL)*(INDEX(avoidedcosttbl,$H11,DG$2)+(($H11-ROUNDDOWN($H11,0))*(INDEX(avoidedcosttbl,ROUNDUP($H11,0),DG$2)-(INDEX(avoidedcosttbl,ROUNDDOWN($H11,0),DG$2)))))*$P11*1000*ADRYr1!AA11)</f>
        <v/>
      </c>
      <c r="DH11" s="615" t="str">
        <f>IF($G11="","",(1+SumPeakEnergyLL)*(INDEX(avoidedcosttbl,$H11,DH$2)+(($H11-ROUNDDOWN($H11,0))*(INDEX(avoidedcosttbl,ROUNDUP($H11,0),DH$2)-(INDEX(avoidedcosttbl,ROUNDDOWN($H11,0),DH$2)))))*$P11*1000*ADRYr1!AB11)</f>
        <v/>
      </c>
      <c r="DI11" s="615" t="str">
        <f>IF($G11="","",(1+SumOffPeakEnergyLL)*(INDEX(avoidedcosttbl,$H11,DI$2)+(($H11-ROUNDDOWN($H11,0))*(INDEX(avoidedcosttbl,ROUNDUP($H11,0),DI$2)-(INDEX(avoidedcosttbl,ROUNDDOWN($H11,0),DI$2)))))*$P11*1000*ADRYr1!AC11)</f>
        <v/>
      </c>
      <c r="DJ11" s="29" t="str">
        <f t="shared" si="44"/>
        <v/>
      </c>
      <c r="DK11" s="161" t="str">
        <f t="shared" si="45"/>
        <v/>
      </c>
      <c r="DL11" s="1189" t="str">
        <f>IF($G11="","",IF(LEFT(A11,1)="B",DE11+DA11+BX11,DD11+DA11+BX11))</f>
        <v/>
      </c>
      <c r="DM11" s="1189" t="str">
        <f t="shared" si="47"/>
        <v/>
      </c>
      <c r="DN11" s="43" t="str">
        <f t="shared" si="48"/>
        <v/>
      </c>
      <c r="DO11" s="966" t="str">
        <f>IF($G11="","",ADRYr1!AQ11)</f>
        <v/>
      </c>
      <c r="DP11" s="968" t="str">
        <f>IF($G11="","",ADRYr1!AR11)</f>
        <v/>
      </c>
      <c r="DQ11" s="970" t="str">
        <f>IF($G11="","",IF($DP11="Yes",COLUMN(AESC!$L$10),IF($DP11="No","Using AvoidedDemand tab",IF($DP11="Mixed",COLUMN(AESC!$N$10)))))</f>
        <v/>
      </c>
      <c r="DR11" s="970" t="str">
        <f>IF($G11="","",IF($DP11="Yes",COLUMN(AESC!$P$10),IF($DP11="No","Using AvoidedDemand tab",IF($DP11="Mixed",COLUMN(AESC!$R$10)))))</f>
        <v/>
      </c>
      <c r="DS11" s="970" t="str">
        <f>IF($G11="","",IF($DP11="Yes",COLUMN(AESC!$S$10),IF($DP11="No",COLUMN(AESC!$T$10),IF($DP11="Mixed",COLUMN(AESC!$U$10)))))</f>
        <v/>
      </c>
      <c r="DT11" s="970" t="str">
        <f t="shared" si="17"/>
        <v/>
      </c>
      <c r="DU11" s="970" t="str">
        <f>IF($G11="","",ADRYr1!AS11)</f>
        <v/>
      </c>
      <c r="DV11" s="971" t="str">
        <f>IF($G11="","",ADRYr1!AT11)</f>
        <v/>
      </c>
      <c r="DW11" s="1162" t="str">
        <f>IF($G11="","",INDEX(AvoidedEnergy!$H$4:$H$10,MATCH($DO11,AvoidedEnergy!$A$4:$A$10,0)))</f>
        <v/>
      </c>
    </row>
    <row r="12" spans="1:127">
      <c r="A12" s="160" t="str">
        <f>IF(ADRYr1!$B12=0,"",ADRYr1!A12)</f>
        <v>A - Residential</v>
      </c>
      <c r="B12" s="9" t="str">
        <f>IF(ADRYr1!$B12=0,"",ADRYr1!B12)</f>
        <v>A5 - Residential Active Demand Response</v>
      </c>
      <c r="C12" s="9" t="str">
        <f>IF(ADRYr1!$B12=0,"",ADRYr1!C12)</f>
        <v>A5a - Residential Active Demand Response</v>
      </c>
      <c r="D12" s="9" t="str">
        <f>IF(ADRYr1!$B12=0,"",ADRYr1!D12)</f>
        <v>Storage Daily Dispatch P4P (consumption) Summer</v>
      </c>
      <c r="E12" s="9" t="str">
        <f>IF(ADRYr1!$B12=0,"",ADRYr1!E12)</f>
        <v>E21A5a003</v>
      </c>
      <c r="F12" s="11" t="str">
        <f>IF(ADRYr1!$B12=0,"",ADRYr1!F12)</f>
        <v>Behavior</v>
      </c>
      <c r="G12" s="12" t="str">
        <f>IF(ADRYr1!$G12&lt;&gt;0,ADRYr1!G12,"")</f>
        <v/>
      </c>
      <c r="H12" s="960" t="str">
        <f>IF($G12="","",ROUND(ADRYr1!H12,0))</f>
        <v/>
      </c>
      <c r="I12" s="47" t="str">
        <f>IF($G12="","",ADRYr1!I12*ADRYr1!P12*G12)</f>
        <v/>
      </c>
      <c r="J12" s="47" t="str">
        <f>IF($G12="","",ADRYr1!J12*G12)</f>
        <v/>
      </c>
      <c r="K12" s="47" t="str">
        <f t="shared" si="18"/>
        <v/>
      </c>
      <c r="L12" s="27" t="str">
        <f>IF($G12="","",ADRYr1!V12*G12/1000)</f>
        <v/>
      </c>
      <c r="M12" s="27" t="str">
        <f>IF($G12="","",L12*ADRYr1!$Q12*ADRYr1!$R12)</f>
        <v/>
      </c>
      <c r="N12" s="27" t="str">
        <f t="shared" si="19"/>
        <v/>
      </c>
      <c r="O12" s="27" t="str">
        <f t="shared" si="20"/>
        <v/>
      </c>
      <c r="P12" s="27" t="str">
        <f>IF($G12="","",M12*ADRYr1!P12)</f>
        <v/>
      </c>
      <c r="Q12" s="27" t="str">
        <f t="shared" si="21"/>
        <v/>
      </c>
      <c r="R12" s="27" t="str">
        <f>IF($G12="","",$Q12*ADRYr1!Z12)</f>
        <v/>
      </c>
      <c r="S12" s="27" t="str">
        <f>IF($G12="","",$Q12*ADRYr1!AA12)</f>
        <v/>
      </c>
      <c r="T12" s="27" t="str">
        <f>IF($G12="","",$Q12*ADRYr1!AB12)</f>
        <v/>
      </c>
      <c r="U12" s="27" t="str">
        <f>IF($G12="","",$Q12*ADRYr1!AC12)</f>
        <v/>
      </c>
      <c r="V12" s="27" t="str">
        <f>IF($G12="","",G12*ADRYr1!$AD12*ADRYr1!$P12*ADRYr1!$Q12)</f>
        <v/>
      </c>
      <c r="W12" s="27" t="str">
        <f>IF($G12="","",$G12*ADRYr1!$AD12*ADRYr1!$AF12*ADRYr1!Q12*ADRYr1!$S12)</f>
        <v/>
      </c>
      <c r="X12" s="27" t="str">
        <f>IF($G12="","",$G12*ADRYr1!$AD12*ADRYr1!$AF12*ADRYr1!P12*ADRYr1!Q12*ADRYr1!$S12)</f>
        <v/>
      </c>
      <c r="Y12" s="27" t="str">
        <f>IF($G12="","",$G12*ADRYr1!$AD12*ADRYr1!$AE12*ADRYr1!Q12*ADRYr1!$T12)</f>
        <v/>
      </c>
      <c r="Z12" s="27" t="str">
        <f>IF($G12="","",$G12*ADRYr1!$AD12*ADRYr1!$AE12*ADRYr1!P12*ADRYr1!Q12*ADRYr1!$T12)</f>
        <v/>
      </c>
      <c r="AA12" s="45" t="str">
        <f>IF($G12="","",$G12*ADRYr1!$Q12*ADRYr1!$U12*(IF(IFERROR(SEARCH("NG", ADRYr1!$AI12),0),ADRYr1!$AJ12,0)+IF(IFERROR(SEARCH("NG", ADRYr1!$AK12),0),ADRYr1!$AL12,0)+IF(IFERROR(SEARCH("NG", ADRYr1!$AM12),0),ADRYr1!$AN12,0)))</f>
        <v/>
      </c>
      <c r="AB12" s="45" t="str">
        <f t="shared" si="22"/>
        <v/>
      </c>
      <c r="AC12" s="45">
        <f>IF($G12="",0,AA12*ADRYr1!$P12)</f>
        <v>0</v>
      </c>
      <c r="AD12" s="45" t="str">
        <f t="shared" si="23"/>
        <v/>
      </c>
      <c r="AE12" s="45" t="str">
        <f>IF($G12="","",$G12*ADRYr1!$Q12*ADRYr1!$U12*(IF(IFERROR(SEARCH("Oil", ADRYr1!$AI12), 0),ADRYr1!$AJ12,0)+IF(IFERROR(SEARCH("Oil", ADRYr1!$AK12), 0),ADRYr1!$AL12,0)+IF(IFERROR(SEARCH("Oil", ADRYr1!$AM12), 0),ADRYr1!$AN12,0)))</f>
        <v/>
      </c>
      <c r="AF12" s="45" t="str">
        <f t="shared" si="24"/>
        <v/>
      </c>
      <c r="AG12" s="45">
        <f>IF($G12="",0,AE12*ADRYr1!$P12)</f>
        <v>0</v>
      </c>
      <c r="AH12" s="45" t="str">
        <f t="shared" si="25"/>
        <v/>
      </c>
      <c r="AI12" s="45" t="str">
        <f>IF($G12="","",$G12*ADRYr1!$Q12*ADRYr1!$U12*(IF(ADRYr1!$AI12=Lookups!$E$116,ADRYr1!$AJ12,IF(ADRYr1!$AK12=Lookups!$E$116,ADRYr1!$AL12,IF(ADRYr1!$AM12=Lookups!$E$116,ADRYr1!$AN12,0)))))</f>
        <v/>
      </c>
      <c r="AJ12" s="45" t="str">
        <f t="shared" si="26"/>
        <v/>
      </c>
      <c r="AK12" s="45">
        <f>IF($G12="",0,AI12*ADRYr1!$P12)</f>
        <v>0</v>
      </c>
      <c r="AL12" s="45" t="str">
        <f t="shared" si="27"/>
        <v/>
      </c>
      <c r="AM12" s="45" t="str">
        <f>IF($G12="","",$G12*ADRYr1!$Q12*ADRYr1!$U12*(IF(ADRYr1!$AI12=Lookups!$E$115,ADRYr1!$AJ12,IF(ADRYr1!$AK12=Lookups!$E$115,ADRYr1!$AL12,IF(ADRYr1!$AM12=Lookups!$E$115,ADRYr1!$AN12,0)))))</f>
        <v/>
      </c>
      <c r="AN12" s="45" t="str">
        <f t="shared" si="28"/>
        <v/>
      </c>
      <c r="AO12" s="45">
        <f>IF($G12="",0,AM12*ADRYr1!$P12)</f>
        <v>0</v>
      </c>
      <c r="AP12" s="45" t="str">
        <f t="shared" si="29"/>
        <v/>
      </c>
      <c r="AQ12" s="45" t="str">
        <f>IF($G12="","",$G12*ADRYr1!$Q12*ADRYr1!$U12*(IF(ADRYr1!$AI12=Lookups!$E$117,ADRYr1!$AJ12,IF(ADRYr1!$AK12=Lookups!$E$117,ADRYr1!$AL12,IF(ADRYr1!$AM12=Lookups!$E$117,ADRYr1!$AN12,0)))))</f>
        <v/>
      </c>
      <c r="AR12" s="45" t="str">
        <f t="shared" si="30"/>
        <v/>
      </c>
      <c r="AS12" s="45" t="str">
        <f>IF($G12="","",AQ12*ADRYr1!$P12)</f>
        <v/>
      </c>
      <c r="AT12" s="45" t="str">
        <f t="shared" si="31"/>
        <v/>
      </c>
      <c r="AU12" s="45" t="str">
        <f>IF($G12="","",$G12*ADRYr1!$Q12*ADRYr1!$U12*(IF(ADRYr1!$AI12=Lookups!$E$118,ADRYr1!$AJ12,IF(ADRYr1!$AK12=Lookups!$E$118,ADRYr1!$AL12,IF(ADRYr1!$AM12=Lookups!$E$118,ADRYr1!$AN12,0)))))</f>
        <v/>
      </c>
      <c r="AV12" s="45" t="str">
        <f t="shared" si="32"/>
        <v/>
      </c>
      <c r="AW12" s="45" t="str">
        <f>IF($G12="","",AU12*ADRYr1!$P12)</f>
        <v/>
      </c>
      <c r="AX12" s="45" t="str">
        <f t="shared" si="33"/>
        <v/>
      </c>
      <c r="AY12" s="45">
        <f t="shared" si="34"/>
        <v>0</v>
      </c>
      <c r="AZ12" s="45">
        <f t="shared" si="34"/>
        <v>0</v>
      </c>
      <c r="BA12" s="101" t="str">
        <f>IF($G12="","",$G12*ADRYr1!$P12*ADRYr1!$Q12*ADRYr1!$U12*ADRYr1!AO12)</f>
        <v/>
      </c>
      <c r="BB12" s="102" t="str">
        <f>IF($G12="","",$G12*ADRYr1!$P12*ADRYr1!$Q12*ADRYr1!$U12*ADRYr1!AP12)</f>
        <v/>
      </c>
      <c r="BC12" s="100" t="str">
        <f t="shared" si="35"/>
        <v/>
      </c>
      <c r="BD12" s="961"/>
      <c r="BE12" s="961"/>
      <c r="BF12" s="961"/>
      <c r="BG12" s="961"/>
      <c r="BH12" s="962" t="str">
        <f t="shared" si="3"/>
        <v/>
      </c>
      <c r="BI12" s="961"/>
      <c r="BJ12" s="961"/>
      <c r="BK12" s="961"/>
      <c r="BL12" s="961"/>
      <c r="BM12" s="30" t="str">
        <f t="shared" si="4"/>
        <v/>
      </c>
      <c r="BN12" s="963" t="str">
        <f t="shared" si="5"/>
        <v/>
      </c>
      <c r="BO12" s="31" t="str">
        <f t="shared" si="36"/>
        <v/>
      </c>
      <c r="BP12" s="964" t="str">
        <f t="shared" si="6"/>
        <v/>
      </c>
      <c r="BQ12" s="28" t="str">
        <f t="shared" si="7"/>
        <v/>
      </c>
      <c r="BR12" s="964" t="str">
        <f t="shared" si="8"/>
        <v/>
      </c>
      <c r="BS12" s="964" t="str">
        <f t="shared" si="9"/>
        <v/>
      </c>
      <c r="BT12" s="28" t="str">
        <f t="shared" si="10"/>
        <v/>
      </c>
      <c r="BU12" s="28" t="str">
        <f t="shared" si="10"/>
        <v/>
      </c>
      <c r="BV12" s="28" t="str">
        <f t="shared" si="10"/>
        <v/>
      </c>
      <c r="BW12" s="29" t="str">
        <f t="shared" si="37"/>
        <v/>
      </c>
      <c r="BX12" s="29" t="str">
        <f t="shared" si="38"/>
        <v/>
      </c>
      <c r="BY12" s="28" t="str">
        <f>IF($G12="","",$G12*(IF(ADRYr1!$AI12=BY$4,ADRYr1!$AJ12,IF(ADRYr1!$AK12=BY$4,ADRYr1!$AL12,IF(ADRYr1!$AM12=BY$4,ADRYr1!$AN12,0))))*(INDEX(avoidedcosttbl,$H12,BY$2)+(($H12-ROUNDDOWN($H12,0))*(INDEX(avoidedcosttbl,ROUNDUP($H12,0),BY$2)-(INDEX(avoidedcosttbl,ROUNDDOWN($H12,0),BY$2)))))*ADRYr1!P12*ADRYr1!Q12*ADRYr1!U12)</f>
        <v/>
      </c>
      <c r="BZ12" s="28" t="str">
        <f>IF($G12="","",$G12*(IF(ADRYr1!$AI12=BZ$4,ADRYr1!$AJ12,IF(ADRYr1!$AK12=BZ$4,ADRYr1!$AL12,IF(ADRYr1!$AM12=BZ$4,ADRYr1!$AN12,0))))*(INDEX(avoidedcosttbl,$H12,BZ$2)+(($H12-ROUNDDOWN($H12,0))*(INDEX(avoidedcosttbl,ROUNDUP($H12,0),BZ$2)-(INDEX(avoidedcosttbl,ROUNDDOWN($H12,0),BZ$2)))))*ADRYr1!P12*ADRYr1!Q12*ADRYr1!U12)</f>
        <v/>
      </c>
      <c r="CA12" s="28" t="str">
        <f>IF($G12="","",$G12*(IF(ADRYr1!$AI12=CA$4,ADRYr1!$AJ12,IF(ADRYr1!$AK12=CA$4,ADRYr1!$AL12,IF(ADRYr1!$AM12=CA$4,ADRYr1!$AN12,0))))*(INDEX(avoidedcosttbl,$H12,CA$2)+(($H12-ROUNDDOWN($H12,0))*(INDEX(avoidedcosttbl,ROUNDUP($H12,0),CA$2)-(INDEX(avoidedcosttbl,ROUNDDOWN($H12,0),CA$2)))))*ADRYr1!P12*ADRYr1!Q12*ADRYr1!U12)</f>
        <v/>
      </c>
      <c r="CB12" s="28" t="str">
        <f>IF($G12="","",$G12*(IF(ADRYr1!$AI12=CB$4,ADRYr1!$AJ12,IF(ADRYr1!$AK12=CB$4,ADRYr1!$AL12,IF(ADRYr1!$AM12=CB$4,ADRYr1!$AN12,0))))*(INDEX(avoidedcosttbl,$H12,CB$2)+(($H12-ROUNDDOWN($H12,0))*(INDEX(avoidedcosttbl,ROUNDUP($H12,0),CB$2)-(INDEX(avoidedcosttbl,ROUNDDOWN($H12,0),CB$2)))))*ADRYr1!P12*ADRYr1!Q12*ADRYr1!U12)</f>
        <v/>
      </c>
      <c r="CC12" s="28" t="str">
        <f>IF($G12="","",$G12*(IF(ADRYr1!$AI12=CC$4,ADRYr1!$AJ12,IF(ADRYr1!$AK12=CC$4,ADRYr1!$AL12,IF(ADRYr1!$AM12=CC$4,ADRYr1!$AN12,0))))*(INDEX(avoidedcosttbl,$H12,CC$2)+(($H12-ROUNDDOWN($H12,0))*(INDEX(avoidedcosttbl,ROUNDUP($H12,0),CC$2)-(INDEX(avoidedcosttbl,ROUNDDOWN($H12,0),CC$2)))))*ADRYr1!P12*ADRYr1!Q12*ADRYr1!U12)</f>
        <v/>
      </c>
      <c r="CD12" s="28" t="str">
        <f>IF($G12="","",$G12*(IF(ADRYr1!$AI12=CD$4,ADRYr1!$AJ12,IF(ADRYr1!$AK12=CD$4,ADRYr1!$AL12,IF(ADRYr1!$AM12=CD$4,ADRYr1!$AN12,0))))*(INDEX(avoidedcosttbl,$H12,CD$2)+(($H12-ROUNDDOWN($H12,0))*(INDEX(avoidedcosttbl,ROUNDUP($H12,0),CD$2)-(INDEX(avoidedcosttbl,ROUNDDOWN($H12,0),CD$2)))))*ADRYr1!P12*ADRYr1!Q12*ADRYr1!U12)</f>
        <v/>
      </c>
      <c r="CE12" s="28" t="str">
        <f>IF($G12="","",$G12*(IF(ADRYr1!$AI12=CE$4,ADRYr1!$AJ12,IF(ADRYr1!$AK12=CE$4,ADRYr1!$AL12,IF(ADRYr1!$AM12=CE$4,ADRYr1!$AN12,0))))*(INDEX(avoidedcosttbl,$H12,CE$2)+(($H12-ROUNDDOWN($H12,0))*(INDEX(avoidedcosttbl,ROUNDUP($H12,0),CE$2)-(INDEX(avoidedcosttbl,ROUNDDOWN($H12,0),CE$2)))))*ADRYr1!P12*ADRYr1!Q12*ADRYr1!U12)</f>
        <v/>
      </c>
      <c r="CF12" s="41" t="str">
        <f t="shared" si="39"/>
        <v/>
      </c>
      <c r="CG12" s="30" t="str">
        <f t="shared" si="11"/>
        <v/>
      </c>
      <c r="CH12" s="30" t="str">
        <f>IF($G12="","",$G12*(IF(ADRYr1!$AI12=BY$4,ADRYr1!$AJ12,IF(ADRYr1!$AK12=BY$4,ADRYr1!$AL12,IF(ADRYr1!$AM12=BY$4,ADRYr1!$AN12,0))))*(INDEX(avoidedcosttbl,$H12,CH$2)+(($H12-ROUNDDOWN($H12,0))*(INDEX(avoidedcosttbl,ROUNDUP($H12,0),CH$2)-(INDEX(avoidedcosttbl,ROUNDDOWN($H12,0),CH$2)))))*ADRYr1!P12*ADRYr1!Q12*ADRYr1!U12)</f>
        <v/>
      </c>
      <c r="CI12" s="30" t="str">
        <f>IF($G12="","",$G12*(IF(ADRYr1!$AI12=BZ$4,ADRYr1!$AJ12,IF(ADRYr1!$AK12=BZ$4,ADRYr1!$AL12,IF(ADRYr1!$AM12=BZ$4,ADRYr1!$AN12,0))))*(INDEX(avoidedcosttbl,$H12,CI$2)+(($H12-ROUNDDOWN($H12,0))*(INDEX(avoidedcosttbl,ROUNDUP($H12,0),CI$2)-(INDEX(avoidedcosttbl,ROUNDDOWN($H12,0),CI$2)))))*ADRYr1!P12*ADRYr1!Q12*ADRYr1!U12)</f>
        <v/>
      </c>
      <c r="CJ12" s="30" t="str">
        <f>IF($G12="","",$G12*(IF(ADRYr1!$AI12=CA$4,ADRYr1!$AJ12,IF(ADRYr1!$AK12=CA$4,ADRYr1!$AL12,IF(ADRYr1!$AM12=CA$4,ADRYr1!$AN12,0))))*(INDEX(avoidedcosttbl,$H12,CJ$2)+(($H12-ROUNDDOWN($H12,0))*(INDEX(avoidedcosttbl,ROUNDUP($H12,0),CJ$2)-(INDEX(avoidedcosttbl,ROUNDDOWN($H12,0),CJ$2)))))*ADRYr1!P12*ADRYr1!Q12*ADRYr1!U12)</f>
        <v/>
      </c>
      <c r="CK12" s="30" t="str">
        <f>IF($G12="","",$G12*(IF(ADRYr1!$AI12=CB$4,ADRYr1!$AJ12,IF(ADRYr1!$AK12=CB$4,ADRYr1!$AL12,IF(ADRYr1!$AM12=CB$4,ADRYr1!$AN12,0))))*(INDEX(avoidedcosttbl,$H12,CK$2)+(($H12-ROUNDDOWN($H12,0))*(INDEX(avoidedcosttbl,ROUNDUP($H12,0),CK$2)-(INDEX(avoidedcosttbl,ROUNDDOWN($H12,0),CK$2)))))*ADRYr1!P12*ADRYr1!Q12*ADRYr1!U12)</f>
        <v/>
      </c>
      <c r="CL12" s="30" t="str">
        <f>IF($G12="","",$G12*(IF(ADRYr1!$AI12=CC$4,ADRYr1!$AJ12,IF(ADRYr1!$AK12=CC$4,ADRYr1!$AL12,IF(ADRYr1!$AM12=CC$4,ADRYr1!$AN12,0))))*(INDEX(avoidedcosttbl,$H12,CL$2)+(($H12-ROUNDDOWN($H12,0))*(INDEX(avoidedcosttbl,ROUNDUP($H12,0),CL$2)-(INDEX(avoidedcosttbl,ROUNDDOWN($H12,0),CL$2)))))*ADRYr1!P12*ADRYr1!Q12*ADRYr1!U12)</f>
        <v/>
      </c>
      <c r="CM12" s="30" t="str">
        <f>IF($G12="","",$G12*(IF(ADRYr1!$AI12=CD$4,ADRYr1!$AJ12,IF(ADRYr1!$AK12=CD$4,ADRYr1!$AL12,IF(ADRYr1!$AM12=CD$4,ADRYr1!$AN12,0))))*(INDEX(avoidedcosttbl,$H12,CM$2)+(($H12-ROUNDDOWN($H12,0))*(INDEX(avoidedcosttbl,ROUNDUP($H12,0),CM$2)-(INDEX(avoidedcosttbl,ROUNDDOWN($H12,0),CM$2)))))*ADRYr1!P12*ADRYr1!Q12*ADRYr1!U12)</f>
        <v/>
      </c>
      <c r="CN12" s="30" t="str">
        <f>IF($G12="","",$G12*(IF(ADRYr1!$AI12=CE$4,ADRYr1!$AJ12,IF(ADRYr1!$AK12=CE$4,ADRYr1!$AL12,IF(ADRYr1!$AM12=CE$4,ADRYr1!$AN12,0))))*(INDEX(avoidedcosttbl,$H12,CN$2)+(($H12-ROUNDDOWN($H12,0))*(INDEX(avoidedcosttbl,ROUNDUP($H12,0),CN$2)-(INDEX(avoidedcosttbl,ROUNDDOWN($H12,0),CN$2)))))*ADRYr1!P12*ADRYr1!Q12*ADRYr1!U12)</f>
        <v/>
      </c>
      <c r="CO12" s="220" t="str">
        <f t="shared" si="40"/>
        <v/>
      </c>
      <c r="CP12" s="220" t="str">
        <f t="shared" si="41"/>
        <v/>
      </c>
      <c r="CQ12" s="157" t="str">
        <f>IF($G12="","",$G12*(IF(ADRYr1!$AI12=CQ$4,ADRYr1!$AJ12,IF(ADRYr1!$AK12=CQ$4,ADRYr1!$AL12,IF(ADRYr1!$AM12=CQ$4,ADRYr1!$AN12,0))))*(INDEX(avoidedcosttbl,$H12,CQ$2)+(($H12-ROUNDDOWN($H12,0))*(INDEX(avoidedcosttbl,ROUNDUP($H12,0),CQ$2)-(INDEX(avoidedcosttbl,ROUNDDOWN($H12,0),CQ$2)))))*ADRYr1!$P12*ADRYr1!$Q12*ADRYr1!$U12)</f>
        <v/>
      </c>
      <c r="CR12" s="28" t="str">
        <f>IF($G12="","",G12*(IF(ADRYr1!$AI12=CR$4,ADRYr1!$AJ12,IF(ADRYr1!$AK12=CR$4,ADRYr1!$AL12,IF(ADRYr1!$AM12=CR$4,ADRYr1!$AN12,0))))*(INDEX(avoidedcosttbl,$H12,CR$2)+(($H12-ROUNDDOWN($H12,0))*(INDEX(avoidedcosttbl,ROUNDUP($H12,0),CR$2)-(INDEX(avoidedcosttbl,ROUNDDOWN($H12,0),CR$2)))))*ADRYr1!$P12*ADRYr1!$Q12*ADRYr1!$U12)</f>
        <v/>
      </c>
      <c r="CS12" s="28" t="str">
        <f>IF($G12="","",G12*(IF(ADRYr1!$AI12=CS$4,ADRYr1!$AJ12,IF(ADRYr1!$AK12=CS$4,ADRYr1!$AL12,IF(ADRYr1!$AM12=CS$4,ADRYr1!$AN12,0))))*(INDEX(avoidedcosttbl,$H12,CS$2)+(($H12-ROUNDDOWN($H12,0))*(INDEX(avoidedcosttbl,ROUNDUP($H12,0),CS$2)-(INDEX(avoidedcosttbl,ROUNDDOWN($H12,0),CS$2)))))*ADRYr1!$P12*ADRYr1!$Q12*ADRYr1!$U12)</f>
        <v/>
      </c>
      <c r="CT12" s="28" t="str">
        <f t="shared" si="12"/>
        <v/>
      </c>
      <c r="CU12" s="28" t="str">
        <f>IF($G12="","",G12*(IF(ADRYr1!$AI12=CU$4,ADRYr1!$AJ12,IF(ADRYr1!$AK12=CU$4,ADRYr1!$AL12,IF(ADRYr1!$AM12=CU$4,ADRYr1!$AN12,0))))*(INDEX(avoidedcosttbl,$H12,CU$2)+(($H12-ROUNDDOWN($H12,0))*(INDEX(avoidedcosttbl,ROUNDUP($H12,0),CU$2)-(INDEX(avoidedcosttbl,ROUNDDOWN($H12,0),CU$2)))))*ADRYr1!$P12*ADRYr1!$Q12*ADRYr1!$U12)</f>
        <v/>
      </c>
      <c r="CV12" s="28" t="str">
        <f>IF($G12="","",G12*(IF(ADRYr1!$AI12=CV$4,ADRYr1!$AJ12,IF(ADRYr1!$AK12=CV$4,ADRYr1!$AL12,IF(ADRYr1!$AM12=CV$4,ADRYr1!$AN12,0))))*(INDEX(avoidedcosttbl,$H12,CV$2)+(($H12-ROUNDDOWN($H12,0))*(INDEX(avoidedcosttbl,ROUNDUP($H12,0),CV$2)-(INDEX(avoidedcosttbl,ROUNDDOWN($H12,0),CV$2)))))*ADRYr1!$P12*ADRYr1!$Q12*ADRYr1!$U12)</f>
        <v/>
      </c>
      <c r="CW12" s="28" t="str">
        <f>IF($G12="","",G12*(IF(ADRYr1!$AI12=CW$4,ADRYr1!$AJ12,IF(ADRYr1!$AK12=CW$4,ADRYr1!$AL12,IF(ADRYr1!$AM12=CW$4,ADRYr1!$AN12,0))))*(INDEX(avoidedcosttbl,$H12,CW$2)+(($H12-ROUNDDOWN($H12,0))*(INDEX(avoidedcosttbl,ROUNDUP($H12,0),CW$2)-(INDEX(avoidedcosttbl,ROUNDDOWN($H12,0),CW$2)))))*ADRYr1!$P12*ADRYr1!$Q12*ADRYr1!$U12)</f>
        <v/>
      </c>
      <c r="CX12" s="28" t="str">
        <f>IF($G12="","",G12*(IF(ADRYr1!$AI12=CX$4,ADRYr1!$AJ12,IF(ADRYr1!$AK12=CX$4,ADRYr1!$AL12,IF(ADRYr1!$AM12=CX$4,ADRYr1!$AN12,0))))*(INDEX(avoidedcosttbl,$H12,CX$2)+(($H12-ROUNDDOWN($H12,0))*(INDEX(avoidedcosttbl,ROUNDUP($H12,0),CX$2)-(INDEX(avoidedcosttbl,ROUNDDOWN($H12,0),CX$2)))))*ADRYr1!$P12*ADRYr1!$Q12*ADRYr1!$U12)</f>
        <v/>
      </c>
      <c r="CY12" s="28" t="str">
        <f t="shared" si="13"/>
        <v/>
      </c>
      <c r="CZ12" s="32" t="str">
        <f t="shared" si="14"/>
        <v/>
      </c>
      <c r="DA12" s="84" t="str">
        <f t="shared" si="42"/>
        <v/>
      </c>
      <c r="DB12" s="81" t="str">
        <f>IF(NEIadder="Yes",IF($G12="","",INDEX(Lookups!$G$70:$G$71,MATCH($A12,Lookups!$E$70:$E$71,0))*(SUM(CP12:CX12,BX12))),"")</f>
        <v/>
      </c>
      <c r="DC12" s="263" t="str">
        <f t="shared" si="15"/>
        <v/>
      </c>
      <c r="DD12" s="166" t="str">
        <f t="shared" si="16"/>
        <v/>
      </c>
      <c r="DE12" s="82">
        <f t="shared" si="43"/>
        <v>0</v>
      </c>
      <c r="DF12" s="615" t="str">
        <f>IF($G12="","",(1+WntPeakEnergyLL)*(INDEX(avoidedcosttbl,$H12,DF$2)+(($H12-ROUNDDOWN($H12,0))*(INDEX(avoidedcosttbl,ROUNDUP($H12,0),DF$2)-(INDEX(avoidedcosttbl,ROUNDDOWN($H12,0),DF$2)))))*$P12*1000*ADRYr1!Z12)</f>
        <v/>
      </c>
      <c r="DG12" s="615" t="str">
        <f>IF($G12="","",(1+WntOffPeakEnergyLL)*(INDEX(avoidedcosttbl,$H12,DG$2)+(($H12-ROUNDDOWN($H12,0))*(INDEX(avoidedcosttbl,ROUNDUP($H12,0),DG$2)-(INDEX(avoidedcosttbl,ROUNDDOWN($H12,0),DG$2)))))*$P12*1000*ADRYr1!AA12)</f>
        <v/>
      </c>
      <c r="DH12" s="615" t="str">
        <f>IF($G12="","",(1+SumPeakEnergyLL)*(INDEX(avoidedcosttbl,$H12,DH$2)+(($H12-ROUNDDOWN($H12,0))*(INDEX(avoidedcosttbl,ROUNDUP($H12,0),DH$2)-(INDEX(avoidedcosttbl,ROUNDDOWN($H12,0),DH$2)))))*$P12*1000*ADRYr1!AB12)</f>
        <v/>
      </c>
      <c r="DI12" s="615" t="str">
        <f>IF($G12="","",(1+SumOffPeakEnergyLL)*(INDEX(avoidedcosttbl,$H12,DI$2)+(($H12-ROUNDDOWN($H12,0))*(INDEX(avoidedcosttbl,ROUNDUP($H12,0),DI$2)-(INDEX(avoidedcosttbl,ROUNDDOWN($H12,0),DI$2)))))*$P12*1000*ADRYr1!AC12)</f>
        <v/>
      </c>
      <c r="DJ12" s="29" t="str">
        <f t="shared" si="44"/>
        <v/>
      </c>
      <c r="DK12" s="161" t="str">
        <f t="shared" si="45"/>
        <v/>
      </c>
      <c r="DL12" s="1189" t="str">
        <f t="shared" si="46"/>
        <v/>
      </c>
      <c r="DM12" s="1189" t="str">
        <f t="shared" si="47"/>
        <v/>
      </c>
      <c r="DN12" s="43" t="str">
        <f t="shared" si="48"/>
        <v/>
      </c>
      <c r="DO12" s="966" t="str">
        <f>IF($G12="","",ADRYr1!AQ12)</f>
        <v/>
      </c>
      <c r="DP12" s="968" t="str">
        <f>IF($G12="","",ADRYr1!AR12)</f>
        <v/>
      </c>
      <c r="DQ12" s="970" t="str">
        <f>IF($G12="","",IF($DP12="Yes",COLUMN(AESC!$L$10),IF($DP12="No","Using AvoidedDemand tab",IF($DP12="Mixed",COLUMN(AESC!$N$10)))))</f>
        <v/>
      </c>
      <c r="DR12" s="970" t="str">
        <f>IF($G12="","",IF($DP12="Yes",COLUMN(AESC!$P$10),IF($DP12="No","Using AvoidedDemand tab",IF($DP12="Mixed",COLUMN(AESC!$R$10)))))</f>
        <v/>
      </c>
      <c r="DS12" s="970" t="str">
        <f>IF($G12="","",IF($DP12="Yes",COLUMN(AESC!$S$10),IF($DP12="No",COLUMN(AESC!$T$10),IF($DP12="Mixed",COLUMN(AESC!$U$10)))))</f>
        <v/>
      </c>
      <c r="DT12" s="970" t="str">
        <f t="shared" si="17"/>
        <v/>
      </c>
      <c r="DU12" s="970" t="str">
        <f>IF($G12="","",ADRYr1!AS12)</f>
        <v/>
      </c>
      <c r="DV12" s="971" t="str">
        <f>IF($G12="","",ADRYr1!AT12)</f>
        <v/>
      </c>
      <c r="DW12" s="1162" t="str">
        <f>IF($G12="","",INDEX(AvoidedEnergy!$H$4:$H$10,MATCH($DO12,AvoidedEnergy!$A$4:$A$10,0)))</f>
        <v/>
      </c>
    </row>
    <row r="13" spans="1:127">
      <c r="A13" s="160" t="str">
        <f>IF(ADRYr1!$B13=0,"",ADRYr1!A13)</f>
        <v>A - Residential</v>
      </c>
      <c r="B13" s="9" t="str">
        <f>IF(ADRYr1!$B13=0,"",ADRYr1!B13)</f>
        <v>A5 - Residential Active Demand Response</v>
      </c>
      <c r="C13" s="9" t="str">
        <f>IF(ADRYr1!$B13=0,"",ADRYr1!C13)</f>
        <v>A5a - Residential Active Demand Response</v>
      </c>
      <c r="D13" s="9" t="str">
        <f>IF(ADRYr1!$B13=0,"",ADRYr1!D13)</f>
        <v>Storage Targeted Dispatch P4P (savings) Winter</v>
      </c>
      <c r="E13" s="9">
        <f>IF(ADRYr1!$B13=0,"",ADRYr1!E13)</f>
        <v>0</v>
      </c>
      <c r="F13" s="11" t="str">
        <f>IF(ADRYr1!$B13=0,"",ADRYr1!F13)</f>
        <v>Behavior</v>
      </c>
      <c r="G13" s="12" t="str">
        <f>IF(ADRYr1!$G13&lt;&gt;0,ADRYr1!G13,"")</f>
        <v/>
      </c>
      <c r="H13" s="960" t="str">
        <f>IF($G13="","",ROUND(ADRYr1!H13,0))</f>
        <v/>
      </c>
      <c r="I13" s="47" t="str">
        <f>IF($G13="","",ADRYr1!I13*ADRYr1!P13*G13)</f>
        <v/>
      </c>
      <c r="J13" s="47" t="str">
        <f>IF($G13="","",ADRYr1!J13*G13)</f>
        <v/>
      </c>
      <c r="K13" s="47" t="str">
        <f t="shared" si="18"/>
        <v/>
      </c>
      <c r="L13" s="27" t="str">
        <f>IF($G13="","",ADRYr1!V13*G13/1000)</f>
        <v/>
      </c>
      <c r="M13" s="27" t="str">
        <f>IF($G13="","",L13*ADRYr1!$Q13*ADRYr1!$R13)</f>
        <v/>
      </c>
      <c r="N13" s="27" t="str">
        <f t="shared" si="19"/>
        <v/>
      </c>
      <c r="O13" s="27" t="str">
        <f t="shared" si="20"/>
        <v/>
      </c>
      <c r="P13" s="27" t="str">
        <f>IF($G13="","",M13*ADRYr1!P13)</f>
        <v/>
      </c>
      <c r="Q13" s="27" t="str">
        <f t="shared" si="21"/>
        <v/>
      </c>
      <c r="R13" s="27" t="str">
        <f>IF($G13="","",$Q13*ADRYr1!Z13)</f>
        <v/>
      </c>
      <c r="S13" s="27" t="str">
        <f>IF($G13="","",$Q13*ADRYr1!AA13)</f>
        <v/>
      </c>
      <c r="T13" s="27" t="str">
        <f>IF($G13="","",$Q13*ADRYr1!AB13)</f>
        <v/>
      </c>
      <c r="U13" s="27" t="str">
        <f>IF($G13="","",$Q13*ADRYr1!AC13)</f>
        <v/>
      </c>
      <c r="V13" s="27" t="str">
        <f>IF($G13="","",G13*ADRYr1!$AD13*ADRYr1!$P13*ADRYr1!$Q13)</f>
        <v/>
      </c>
      <c r="W13" s="27" t="str">
        <f>IF($G13="","",$G13*ADRYr1!$AD13*ADRYr1!$AF13*ADRYr1!Q13*ADRYr1!$S13)</f>
        <v/>
      </c>
      <c r="X13" s="27" t="str">
        <f>IF($G13="","",$G13*ADRYr1!$AD13*ADRYr1!$AF13*ADRYr1!P13*ADRYr1!Q13*ADRYr1!$S13)</f>
        <v/>
      </c>
      <c r="Y13" s="27" t="str">
        <f>IF($G13="","",$G13*ADRYr1!$AD13*ADRYr1!$AE13*ADRYr1!Q13*ADRYr1!$T13)</f>
        <v/>
      </c>
      <c r="Z13" s="27" t="str">
        <f>IF($G13="","",$G13*ADRYr1!$AD13*ADRYr1!$AE13*ADRYr1!P13*ADRYr1!Q13*ADRYr1!$T13)</f>
        <v/>
      </c>
      <c r="AA13" s="45" t="str">
        <f>IF($G13="","",$G13*ADRYr1!$Q13*ADRYr1!$U13*(IF(IFERROR(SEARCH("NG", ADRYr1!$AI13),0),ADRYr1!$AJ13,0)+IF(IFERROR(SEARCH("NG", ADRYr1!$AK13),0),ADRYr1!$AL13,0)+IF(IFERROR(SEARCH("NG", ADRYr1!$AM13),0),ADRYr1!$AN13,0)))</f>
        <v/>
      </c>
      <c r="AB13" s="45" t="str">
        <f t="shared" si="22"/>
        <v/>
      </c>
      <c r="AC13" s="45">
        <f>IF($G13="",0,AA13*ADRYr1!$P13)</f>
        <v>0</v>
      </c>
      <c r="AD13" s="45" t="str">
        <f t="shared" si="23"/>
        <v/>
      </c>
      <c r="AE13" s="45" t="str">
        <f>IF($G13="","",$G13*ADRYr1!$Q13*ADRYr1!$U13*(IF(IFERROR(SEARCH("Oil", ADRYr1!$AI13), 0),ADRYr1!$AJ13,0)+IF(IFERROR(SEARCH("Oil", ADRYr1!$AK13), 0),ADRYr1!$AL13,0)+IF(IFERROR(SEARCH("Oil", ADRYr1!$AM13), 0),ADRYr1!$AN13,0)))</f>
        <v/>
      </c>
      <c r="AF13" s="45" t="str">
        <f t="shared" si="24"/>
        <v/>
      </c>
      <c r="AG13" s="45">
        <f>IF($G13="",0,AE13*ADRYr1!$P13)</f>
        <v>0</v>
      </c>
      <c r="AH13" s="45" t="str">
        <f t="shared" si="25"/>
        <v/>
      </c>
      <c r="AI13" s="45" t="str">
        <f>IF($G13="","",$G13*ADRYr1!$Q13*ADRYr1!$U13*(IF(ADRYr1!$AI13=Lookups!$E$116,ADRYr1!$AJ13,IF(ADRYr1!$AK13=Lookups!$E$116,ADRYr1!$AL13,IF(ADRYr1!$AM13=Lookups!$E$116,ADRYr1!$AN13,0)))))</f>
        <v/>
      </c>
      <c r="AJ13" s="45" t="str">
        <f t="shared" si="26"/>
        <v/>
      </c>
      <c r="AK13" s="45">
        <f>IF($G13="",0,AI13*ADRYr1!$P13)</f>
        <v>0</v>
      </c>
      <c r="AL13" s="45" t="str">
        <f t="shared" si="27"/>
        <v/>
      </c>
      <c r="AM13" s="45" t="str">
        <f>IF($G13="","",$G13*ADRYr1!$Q13*ADRYr1!$U13*(IF(ADRYr1!$AI13=Lookups!$E$115,ADRYr1!$AJ13,IF(ADRYr1!$AK13=Lookups!$E$115,ADRYr1!$AL13,IF(ADRYr1!$AM13=Lookups!$E$115,ADRYr1!$AN13,0)))))</f>
        <v/>
      </c>
      <c r="AN13" s="45" t="str">
        <f t="shared" si="28"/>
        <v/>
      </c>
      <c r="AO13" s="45">
        <f>IF($G13="",0,AM13*ADRYr1!$P13)</f>
        <v>0</v>
      </c>
      <c r="AP13" s="45" t="str">
        <f t="shared" si="29"/>
        <v/>
      </c>
      <c r="AQ13" s="45" t="str">
        <f>IF($G13="","",$G13*ADRYr1!$Q13*ADRYr1!$U13*(IF(ADRYr1!$AI13=Lookups!$E$117,ADRYr1!$AJ13,IF(ADRYr1!$AK13=Lookups!$E$117,ADRYr1!$AL13,IF(ADRYr1!$AM13=Lookups!$E$117,ADRYr1!$AN13,0)))))</f>
        <v/>
      </c>
      <c r="AR13" s="45" t="str">
        <f t="shared" si="30"/>
        <v/>
      </c>
      <c r="AS13" s="45" t="str">
        <f>IF($G13="","",AQ13*ADRYr1!$P13)</f>
        <v/>
      </c>
      <c r="AT13" s="45" t="str">
        <f t="shared" si="31"/>
        <v/>
      </c>
      <c r="AU13" s="45" t="str">
        <f>IF($G13="","",$G13*ADRYr1!$Q13*ADRYr1!$U13*(IF(ADRYr1!$AI13=Lookups!$E$118,ADRYr1!$AJ13,IF(ADRYr1!$AK13=Lookups!$E$118,ADRYr1!$AL13,IF(ADRYr1!$AM13=Lookups!$E$118,ADRYr1!$AN13,0)))))</f>
        <v/>
      </c>
      <c r="AV13" s="45" t="str">
        <f t="shared" si="32"/>
        <v/>
      </c>
      <c r="AW13" s="45" t="str">
        <f>IF($G13="","",AU13*ADRYr1!$P13)</f>
        <v/>
      </c>
      <c r="AX13" s="45" t="str">
        <f t="shared" si="33"/>
        <v/>
      </c>
      <c r="AY13" s="45">
        <f t="shared" si="34"/>
        <v>0</v>
      </c>
      <c r="AZ13" s="45">
        <f t="shared" si="34"/>
        <v>0</v>
      </c>
      <c r="BA13" s="101" t="str">
        <f>IF($G13="","",$G13*ADRYr1!$P13*ADRYr1!$Q13*ADRYr1!$U13*ADRYr1!AO13)</f>
        <v/>
      </c>
      <c r="BB13" s="102" t="str">
        <f>IF($G13="","",$G13*ADRYr1!$P13*ADRYr1!$Q13*ADRYr1!$U13*ADRYr1!AP13)</f>
        <v/>
      </c>
      <c r="BC13" s="100" t="str">
        <f t="shared" si="35"/>
        <v/>
      </c>
      <c r="BD13" s="961"/>
      <c r="BE13" s="961"/>
      <c r="BF13" s="961"/>
      <c r="BG13" s="961"/>
      <c r="BH13" s="962" t="str">
        <f t="shared" si="3"/>
        <v/>
      </c>
      <c r="BI13" s="961"/>
      <c r="BJ13" s="961"/>
      <c r="BK13" s="961"/>
      <c r="BL13" s="961"/>
      <c r="BM13" s="30" t="str">
        <f t="shared" si="4"/>
        <v/>
      </c>
      <c r="BN13" s="963" t="str">
        <f t="shared" si="5"/>
        <v/>
      </c>
      <c r="BO13" s="31" t="str">
        <f t="shared" si="36"/>
        <v/>
      </c>
      <c r="BP13" s="964" t="str">
        <f t="shared" si="6"/>
        <v/>
      </c>
      <c r="BQ13" s="28" t="str">
        <f t="shared" si="7"/>
        <v/>
      </c>
      <c r="BR13" s="964" t="str">
        <f t="shared" si="8"/>
        <v/>
      </c>
      <c r="BS13" s="964" t="str">
        <f t="shared" si="9"/>
        <v/>
      </c>
      <c r="BT13" s="28" t="str">
        <f t="shared" si="10"/>
        <v/>
      </c>
      <c r="BU13" s="28" t="str">
        <f t="shared" si="10"/>
        <v/>
      </c>
      <c r="BV13" s="28" t="str">
        <f t="shared" si="10"/>
        <v/>
      </c>
      <c r="BW13" s="29" t="str">
        <f t="shared" si="37"/>
        <v/>
      </c>
      <c r="BX13" s="29" t="str">
        <f t="shared" si="38"/>
        <v/>
      </c>
      <c r="BY13" s="28" t="str">
        <f>IF($G13="","",$G13*(IF(ADRYr1!$AI13=BY$4,ADRYr1!$AJ13,IF(ADRYr1!$AK13=BY$4,ADRYr1!$AL13,IF(ADRYr1!$AM13=BY$4,ADRYr1!$AN13,0))))*(INDEX(avoidedcosttbl,$H13,BY$2)+(($H13-ROUNDDOWN($H13,0))*(INDEX(avoidedcosttbl,ROUNDUP($H13,0),BY$2)-(INDEX(avoidedcosttbl,ROUNDDOWN($H13,0),BY$2)))))*ADRYr1!P13*ADRYr1!Q13*ADRYr1!U13)</f>
        <v/>
      </c>
      <c r="BZ13" s="28" t="str">
        <f>IF($G13="","",$G13*(IF(ADRYr1!$AI13=BZ$4,ADRYr1!$AJ13,IF(ADRYr1!$AK13=BZ$4,ADRYr1!$AL13,IF(ADRYr1!$AM13=BZ$4,ADRYr1!$AN13,0))))*(INDEX(avoidedcosttbl,$H13,BZ$2)+(($H13-ROUNDDOWN($H13,0))*(INDEX(avoidedcosttbl,ROUNDUP($H13,0),BZ$2)-(INDEX(avoidedcosttbl,ROUNDDOWN($H13,0),BZ$2)))))*ADRYr1!P13*ADRYr1!Q13*ADRYr1!U13)</f>
        <v/>
      </c>
      <c r="CA13" s="28" t="str">
        <f>IF($G13="","",$G13*(IF(ADRYr1!$AI13=CA$4,ADRYr1!$AJ13,IF(ADRYr1!$AK13=CA$4,ADRYr1!$AL13,IF(ADRYr1!$AM13=CA$4,ADRYr1!$AN13,0))))*(INDEX(avoidedcosttbl,$H13,CA$2)+(($H13-ROUNDDOWN($H13,0))*(INDEX(avoidedcosttbl,ROUNDUP($H13,0),CA$2)-(INDEX(avoidedcosttbl,ROUNDDOWN($H13,0),CA$2)))))*ADRYr1!P13*ADRYr1!Q13*ADRYr1!U13)</f>
        <v/>
      </c>
      <c r="CB13" s="28" t="str">
        <f>IF($G13="","",$G13*(IF(ADRYr1!$AI13=CB$4,ADRYr1!$AJ13,IF(ADRYr1!$AK13=CB$4,ADRYr1!$AL13,IF(ADRYr1!$AM13=CB$4,ADRYr1!$AN13,0))))*(INDEX(avoidedcosttbl,$H13,CB$2)+(($H13-ROUNDDOWN($H13,0))*(INDEX(avoidedcosttbl,ROUNDUP($H13,0),CB$2)-(INDEX(avoidedcosttbl,ROUNDDOWN($H13,0),CB$2)))))*ADRYr1!P13*ADRYr1!Q13*ADRYr1!U13)</f>
        <v/>
      </c>
      <c r="CC13" s="28" t="str">
        <f>IF($G13="","",$G13*(IF(ADRYr1!$AI13=CC$4,ADRYr1!$AJ13,IF(ADRYr1!$AK13=CC$4,ADRYr1!$AL13,IF(ADRYr1!$AM13=CC$4,ADRYr1!$AN13,0))))*(INDEX(avoidedcosttbl,$H13,CC$2)+(($H13-ROUNDDOWN($H13,0))*(INDEX(avoidedcosttbl,ROUNDUP($H13,0),CC$2)-(INDEX(avoidedcosttbl,ROUNDDOWN($H13,0),CC$2)))))*ADRYr1!P13*ADRYr1!Q13*ADRYr1!U13)</f>
        <v/>
      </c>
      <c r="CD13" s="28" t="str">
        <f>IF($G13="","",$G13*(IF(ADRYr1!$AI13=CD$4,ADRYr1!$AJ13,IF(ADRYr1!$AK13=CD$4,ADRYr1!$AL13,IF(ADRYr1!$AM13=CD$4,ADRYr1!$AN13,0))))*(INDEX(avoidedcosttbl,$H13,CD$2)+(($H13-ROUNDDOWN($H13,0))*(INDEX(avoidedcosttbl,ROUNDUP($H13,0),CD$2)-(INDEX(avoidedcosttbl,ROUNDDOWN($H13,0),CD$2)))))*ADRYr1!P13*ADRYr1!Q13*ADRYr1!U13)</f>
        <v/>
      </c>
      <c r="CE13" s="28" t="str">
        <f>IF($G13="","",$G13*(IF(ADRYr1!$AI13=CE$4,ADRYr1!$AJ13,IF(ADRYr1!$AK13=CE$4,ADRYr1!$AL13,IF(ADRYr1!$AM13=CE$4,ADRYr1!$AN13,0))))*(INDEX(avoidedcosttbl,$H13,CE$2)+(($H13-ROUNDDOWN($H13,0))*(INDEX(avoidedcosttbl,ROUNDUP($H13,0),CE$2)-(INDEX(avoidedcosttbl,ROUNDDOWN($H13,0),CE$2)))))*ADRYr1!P13*ADRYr1!Q13*ADRYr1!U13)</f>
        <v/>
      </c>
      <c r="CF13" s="41" t="str">
        <f t="shared" si="39"/>
        <v/>
      </c>
      <c r="CG13" s="30" t="str">
        <f t="shared" si="11"/>
        <v/>
      </c>
      <c r="CH13" s="30" t="str">
        <f>IF($G13="","",$G13*(IF(ADRYr1!$AI13=BY$4,ADRYr1!$AJ13,IF(ADRYr1!$AK13=BY$4,ADRYr1!$AL13,IF(ADRYr1!$AM13=BY$4,ADRYr1!$AN13,0))))*(INDEX(avoidedcosttbl,$H13,CH$2)+(($H13-ROUNDDOWN($H13,0))*(INDEX(avoidedcosttbl,ROUNDUP($H13,0),CH$2)-(INDEX(avoidedcosttbl,ROUNDDOWN($H13,0),CH$2)))))*ADRYr1!P13*ADRYr1!Q13*ADRYr1!U13)</f>
        <v/>
      </c>
      <c r="CI13" s="30" t="str">
        <f>IF($G13="","",$G13*(IF(ADRYr1!$AI13=BZ$4,ADRYr1!$AJ13,IF(ADRYr1!$AK13=BZ$4,ADRYr1!$AL13,IF(ADRYr1!$AM13=BZ$4,ADRYr1!$AN13,0))))*(INDEX(avoidedcosttbl,$H13,CI$2)+(($H13-ROUNDDOWN($H13,0))*(INDEX(avoidedcosttbl,ROUNDUP($H13,0),CI$2)-(INDEX(avoidedcosttbl,ROUNDDOWN($H13,0),CI$2)))))*ADRYr1!P13*ADRYr1!Q13*ADRYr1!U13)</f>
        <v/>
      </c>
      <c r="CJ13" s="30" t="str">
        <f>IF($G13="","",$G13*(IF(ADRYr1!$AI13=CA$4,ADRYr1!$AJ13,IF(ADRYr1!$AK13=CA$4,ADRYr1!$AL13,IF(ADRYr1!$AM13=CA$4,ADRYr1!$AN13,0))))*(INDEX(avoidedcosttbl,$H13,CJ$2)+(($H13-ROUNDDOWN($H13,0))*(INDEX(avoidedcosttbl,ROUNDUP($H13,0),CJ$2)-(INDEX(avoidedcosttbl,ROUNDDOWN($H13,0),CJ$2)))))*ADRYr1!P13*ADRYr1!Q13*ADRYr1!U13)</f>
        <v/>
      </c>
      <c r="CK13" s="30" t="str">
        <f>IF($G13="","",$G13*(IF(ADRYr1!$AI13=CB$4,ADRYr1!$AJ13,IF(ADRYr1!$AK13=CB$4,ADRYr1!$AL13,IF(ADRYr1!$AM13=CB$4,ADRYr1!$AN13,0))))*(INDEX(avoidedcosttbl,$H13,CK$2)+(($H13-ROUNDDOWN($H13,0))*(INDEX(avoidedcosttbl,ROUNDUP($H13,0),CK$2)-(INDEX(avoidedcosttbl,ROUNDDOWN($H13,0),CK$2)))))*ADRYr1!P13*ADRYr1!Q13*ADRYr1!U13)</f>
        <v/>
      </c>
      <c r="CL13" s="30" t="str">
        <f>IF($G13="","",$G13*(IF(ADRYr1!$AI13=CC$4,ADRYr1!$AJ13,IF(ADRYr1!$AK13=CC$4,ADRYr1!$AL13,IF(ADRYr1!$AM13=CC$4,ADRYr1!$AN13,0))))*(INDEX(avoidedcosttbl,$H13,CL$2)+(($H13-ROUNDDOWN($H13,0))*(INDEX(avoidedcosttbl,ROUNDUP($H13,0),CL$2)-(INDEX(avoidedcosttbl,ROUNDDOWN($H13,0),CL$2)))))*ADRYr1!P13*ADRYr1!Q13*ADRYr1!U13)</f>
        <v/>
      </c>
      <c r="CM13" s="30" t="str">
        <f>IF($G13="","",$G13*(IF(ADRYr1!$AI13=CD$4,ADRYr1!$AJ13,IF(ADRYr1!$AK13=CD$4,ADRYr1!$AL13,IF(ADRYr1!$AM13=CD$4,ADRYr1!$AN13,0))))*(INDEX(avoidedcosttbl,$H13,CM$2)+(($H13-ROUNDDOWN($H13,0))*(INDEX(avoidedcosttbl,ROUNDUP($H13,0),CM$2)-(INDEX(avoidedcosttbl,ROUNDDOWN($H13,0),CM$2)))))*ADRYr1!P13*ADRYr1!Q13*ADRYr1!U13)</f>
        <v/>
      </c>
      <c r="CN13" s="30" t="str">
        <f>IF($G13="","",$G13*(IF(ADRYr1!$AI13=CE$4,ADRYr1!$AJ13,IF(ADRYr1!$AK13=CE$4,ADRYr1!$AL13,IF(ADRYr1!$AM13=CE$4,ADRYr1!$AN13,0))))*(INDEX(avoidedcosttbl,$H13,CN$2)+(($H13-ROUNDDOWN($H13,0))*(INDEX(avoidedcosttbl,ROUNDUP($H13,0),CN$2)-(INDEX(avoidedcosttbl,ROUNDDOWN($H13,0),CN$2)))))*ADRYr1!P13*ADRYr1!Q13*ADRYr1!U13)</f>
        <v/>
      </c>
      <c r="CO13" s="220" t="str">
        <f t="shared" si="40"/>
        <v/>
      </c>
      <c r="CP13" s="220" t="str">
        <f t="shared" si="41"/>
        <v/>
      </c>
      <c r="CQ13" s="157" t="str">
        <f>IF($G13="","",$G13*(IF(ADRYr1!$AI13=CQ$4,ADRYr1!$AJ13,IF(ADRYr1!$AK13=CQ$4,ADRYr1!$AL13,IF(ADRYr1!$AM13=CQ$4,ADRYr1!$AN13,0))))*(INDEX(avoidedcosttbl,$H13,CQ$2)+(($H13-ROUNDDOWN($H13,0))*(INDEX(avoidedcosttbl,ROUNDUP($H13,0),CQ$2)-(INDEX(avoidedcosttbl,ROUNDDOWN($H13,0),CQ$2)))))*ADRYr1!$P13*ADRYr1!$Q13*ADRYr1!$U13)</f>
        <v/>
      </c>
      <c r="CR13" s="28" t="str">
        <f>IF($G13="","",G13*(IF(ADRYr1!$AI13=CR$4,ADRYr1!$AJ13,IF(ADRYr1!$AK13=CR$4,ADRYr1!$AL13,IF(ADRYr1!$AM13=CR$4,ADRYr1!$AN13,0))))*(INDEX(avoidedcosttbl,$H13,CR$2)+(($H13-ROUNDDOWN($H13,0))*(INDEX(avoidedcosttbl,ROUNDUP($H13,0),CR$2)-(INDEX(avoidedcosttbl,ROUNDDOWN($H13,0),CR$2)))))*ADRYr1!$P13*ADRYr1!$Q13*ADRYr1!$U13)</f>
        <v/>
      </c>
      <c r="CS13" s="28" t="str">
        <f>IF($G13="","",G13*(IF(ADRYr1!$AI13=CS$4,ADRYr1!$AJ13,IF(ADRYr1!$AK13=CS$4,ADRYr1!$AL13,IF(ADRYr1!$AM13=CS$4,ADRYr1!$AN13,0))))*(INDEX(avoidedcosttbl,$H13,CS$2)+(($H13-ROUNDDOWN($H13,0))*(INDEX(avoidedcosttbl,ROUNDUP($H13,0),CS$2)-(INDEX(avoidedcosttbl,ROUNDDOWN($H13,0),CS$2)))))*ADRYr1!$P13*ADRYr1!$Q13*ADRYr1!$U13)</f>
        <v/>
      </c>
      <c r="CT13" s="28" t="str">
        <f t="shared" si="12"/>
        <v/>
      </c>
      <c r="CU13" s="28" t="str">
        <f>IF($G13="","",G13*(IF(ADRYr1!$AI13=CU$4,ADRYr1!$AJ13,IF(ADRYr1!$AK13=CU$4,ADRYr1!$AL13,IF(ADRYr1!$AM13=CU$4,ADRYr1!$AN13,0))))*(INDEX(avoidedcosttbl,$H13,CU$2)+(($H13-ROUNDDOWN($H13,0))*(INDEX(avoidedcosttbl,ROUNDUP($H13,0),CU$2)-(INDEX(avoidedcosttbl,ROUNDDOWN($H13,0),CU$2)))))*ADRYr1!$P13*ADRYr1!$Q13*ADRYr1!$U13)</f>
        <v/>
      </c>
      <c r="CV13" s="28" t="str">
        <f>IF($G13="","",G13*(IF(ADRYr1!$AI13=CV$4,ADRYr1!$AJ13,IF(ADRYr1!$AK13=CV$4,ADRYr1!$AL13,IF(ADRYr1!$AM13=CV$4,ADRYr1!$AN13,0))))*(INDEX(avoidedcosttbl,$H13,CV$2)+(($H13-ROUNDDOWN($H13,0))*(INDEX(avoidedcosttbl,ROUNDUP($H13,0),CV$2)-(INDEX(avoidedcosttbl,ROUNDDOWN($H13,0),CV$2)))))*ADRYr1!$P13*ADRYr1!$Q13*ADRYr1!$U13)</f>
        <v/>
      </c>
      <c r="CW13" s="28" t="str">
        <f>IF($G13="","",G13*(IF(ADRYr1!$AI13=CW$4,ADRYr1!$AJ13,IF(ADRYr1!$AK13=CW$4,ADRYr1!$AL13,IF(ADRYr1!$AM13=CW$4,ADRYr1!$AN13,0))))*(INDEX(avoidedcosttbl,$H13,CW$2)+(($H13-ROUNDDOWN($H13,0))*(INDEX(avoidedcosttbl,ROUNDUP($H13,0),CW$2)-(INDEX(avoidedcosttbl,ROUNDDOWN($H13,0),CW$2)))))*ADRYr1!$P13*ADRYr1!$Q13*ADRYr1!$U13)</f>
        <v/>
      </c>
      <c r="CX13" s="28" t="str">
        <f>IF($G13="","",G13*(IF(ADRYr1!$AI13=CX$4,ADRYr1!$AJ13,IF(ADRYr1!$AK13=CX$4,ADRYr1!$AL13,IF(ADRYr1!$AM13=CX$4,ADRYr1!$AN13,0))))*(INDEX(avoidedcosttbl,$H13,CX$2)+(($H13-ROUNDDOWN($H13,0))*(INDEX(avoidedcosttbl,ROUNDUP($H13,0),CX$2)-(INDEX(avoidedcosttbl,ROUNDDOWN($H13,0),CX$2)))))*ADRYr1!$P13*ADRYr1!$Q13*ADRYr1!$U13)</f>
        <v/>
      </c>
      <c r="CY13" s="28" t="str">
        <f t="shared" si="13"/>
        <v/>
      </c>
      <c r="CZ13" s="32" t="str">
        <f t="shared" si="14"/>
        <v/>
      </c>
      <c r="DA13" s="84" t="str">
        <f t="shared" si="42"/>
        <v/>
      </c>
      <c r="DB13" s="81" t="str">
        <f>IF(NEIadder="Yes",IF($G13="","",INDEX(Lookups!$G$70:$G$71,MATCH($A13,Lookups!$E$70:$E$71,0))*(SUM(CP13:CX13,BX13))),"")</f>
        <v/>
      </c>
      <c r="DC13" s="263" t="str">
        <f t="shared" si="15"/>
        <v/>
      </c>
      <c r="DD13" s="166" t="str">
        <f t="shared" si="16"/>
        <v/>
      </c>
      <c r="DE13" s="82">
        <f t="shared" si="43"/>
        <v>0</v>
      </c>
      <c r="DF13" s="615" t="str">
        <f>IF($G13="","",(1+WntPeakEnergyLL)*(INDEX(avoidedcosttbl,$H13,DF$2)+(($H13-ROUNDDOWN($H13,0))*(INDEX(avoidedcosttbl,ROUNDUP($H13,0),DF$2)-(INDEX(avoidedcosttbl,ROUNDDOWN($H13,0),DF$2)))))*$P13*1000*ADRYr1!Z13)</f>
        <v/>
      </c>
      <c r="DG13" s="615" t="str">
        <f>IF($G13="","",(1+WntOffPeakEnergyLL)*(INDEX(avoidedcosttbl,$H13,DG$2)+(($H13-ROUNDDOWN($H13,0))*(INDEX(avoidedcosttbl,ROUNDUP($H13,0),DG$2)-(INDEX(avoidedcosttbl,ROUNDDOWN($H13,0),DG$2)))))*$P13*1000*ADRYr1!AA13)</f>
        <v/>
      </c>
      <c r="DH13" s="615" t="str">
        <f>IF($G13="","",(1+SumPeakEnergyLL)*(INDEX(avoidedcosttbl,$H13,DH$2)+(($H13-ROUNDDOWN($H13,0))*(INDEX(avoidedcosttbl,ROUNDUP($H13,0),DH$2)-(INDEX(avoidedcosttbl,ROUNDDOWN($H13,0),DH$2)))))*$P13*1000*ADRYr1!AB13)</f>
        <v/>
      </c>
      <c r="DI13" s="615" t="str">
        <f>IF($G13="","",(1+SumOffPeakEnergyLL)*(INDEX(avoidedcosttbl,$H13,DI$2)+(($H13-ROUNDDOWN($H13,0))*(INDEX(avoidedcosttbl,ROUNDUP($H13,0),DI$2)-(INDEX(avoidedcosttbl,ROUNDDOWN($H13,0),DI$2)))))*$P13*1000*ADRYr1!AC13)</f>
        <v/>
      </c>
      <c r="DJ13" s="29" t="str">
        <f t="shared" si="44"/>
        <v/>
      </c>
      <c r="DK13" s="161" t="str">
        <f t="shared" si="45"/>
        <v/>
      </c>
      <c r="DL13" s="1189" t="str">
        <f t="shared" si="46"/>
        <v/>
      </c>
      <c r="DM13" s="1189" t="str">
        <f t="shared" si="47"/>
        <v/>
      </c>
      <c r="DN13" s="43" t="str">
        <f t="shared" si="48"/>
        <v/>
      </c>
      <c r="DO13" s="966" t="str">
        <f>IF($G13="","",ADRYr1!AQ13)</f>
        <v/>
      </c>
      <c r="DP13" s="968" t="str">
        <f>IF($G13="","",ADRYr1!AR13)</f>
        <v/>
      </c>
      <c r="DQ13" s="970" t="str">
        <f>IF($G13="","",IF($DP13="Yes",COLUMN(AESC!$L$10),IF($DP13="No","Using AvoidedDemand tab",IF($DP13="Mixed",COLUMN(AESC!$N$10)))))</f>
        <v/>
      </c>
      <c r="DR13" s="970" t="str">
        <f>IF($G13="","",IF($DP13="Yes",COLUMN(AESC!$P$10),IF($DP13="No","Using AvoidedDemand tab",IF($DP13="Mixed",COLUMN(AESC!$R$10)))))</f>
        <v/>
      </c>
      <c r="DS13" s="970" t="str">
        <f>IF($G13="","",IF($DP13="Yes",COLUMN(AESC!$S$10),IF($DP13="No",COLUMN(AESC!$T$10),IF($DP13="Mixed",COLUMN(AESC!$U$10)))))</f>
        <v/>
      </c>
      <c r="DT13" s="970" t="str">
        <f t="shared" si="17"/>
        <v/>
      </c>
      <c r="DU13" s="970" t="str">
        <f>IF($G13="","",ADRYr1!AS13)</f>
        <v/>
      </c>
      <c r="DV13" s="971" t="str">
        <f>IF($G13="","",ADRYr1!AT13)</f>
        <v/>
      </c>
      <c r="DW13" s="1162" t="str">
        <f>IF($G13="","",INDEX(AvoidedEnergy!$H$4:$H$10,MATCH($DO13,AvoidedEnergy!$A$4:$A$10,0)))</f>
        <v/>
      </c>
    </row>
    <row r="14" spans="1:127">
      <c r="A14" s="160" t="str">
        <f>IF(ADRYr1!$B14=0,"",ADRYr1!A14)</f>
        <v>A - Residential</v>
      </c>
      <c r="B14" s="9" t="str">
        <f>IF(ADRYr1!$B14=0,"",ADRYr1!B14)</f>
        <v>A5 - Residential Active Demand Response</v>
      </c>
      <c r="C14" s="9" t="str">
        <f>IF(ADRYr1!$B14=0,"",ADRYr1!C14)</f>
        <v>A5a - Residential Active Demand Response</v>
      </c>
      <c r="D14" s="9" t="str">
        <f>IF(ADRYr1!$B14=0,"",ADRYr1!D14)</f>
        <v>Storage Targeted Dispatch P4P (consumption) Winter</v>
      </c>
      <c r="E14" s="9">
        <f>IF(ADRYr1!$B14=0,"",ADRYr1!E14)</f>
        <v>0</v>
      </c>
      <c r="F14" s="11" t="str">
        <f>IF(ADRYr1!$B14=0,"",ADRYr1!F14)</f>
        <v>Behavior</v>
      </c>
      <c r="G14" s="12" t="str">
        <f>IF(ADRYr1!$G14&lt;&gt;0,ADRYr1!G14,"")</f>
        <v/>
      </c>
      <c r="H14" s="960" t="str">
        <f>IF($G14="","",ROUND(ADRYr1!H14,0))</f>
        <v/>
      </c>
      <c r="I14" s="47" t="str">
        <f>IF($G14="","",ADRYr1!I14*ADRYr1!P14*G14)</f>
        <v/>
      </c>
      <c r="J14" s="47" t="str">
        <f>IF($G14="","",ADRYr1!J14*G14)</f>
        <v/>
      </c>
      <c r="K14" s="47" t="str">
        <f t="shared" si="18"/>
        <v/>
      </c>
      <c r="L14" s="27" t="str">
        <f>IF($G14="","",ADRYr1!V14*G14/1000)</f>
        <v/>
      </c>
      <c r="M14" s="27" t="str">
        <f>IF($G14="","",L14*ADRYr1!$Q14*ADRYr1!$R14)</f>
        <v/>
      </c>
      <c r="N14" s="27" t="str">
        <f t="shared" si="19"/>
        <v/>
      </c>
      <c r="O14" s="27" t="str">
        <f t="shared" si="20"/>
        <v/>
      </c>
      <c r="P14" s="27" t="str">
        <f>IF($G14="","",M14*ADRYr1!P14)</f>
        <v/>
      </c>
      <c r="Q14" s="27" t="str">
        <f t="shared" si="21"/>
        <v/>
      </c>
      <c r="R14" s="27" t="str">
        <f>IF($G14="","",$Q14*ADRYr1!Z14)</f>
        <v/>
      </c>
      <c r="S14" s="27" t="str">
        <f>IF($G14="","",$Q14*ADRYr1!AA14)</f>
        <v/>
      </c>
      <c r="T14" s="27" t="str">
        <f>IF($G14="","",$Q14*ADRYr1!AB14)</f>
        <v/>
      </c>
      <c r="U14" s="27" t="str">
        <f>IF($G14="","",$Q14*ADRYr1!AC14)</f>
        <v/>
      </c>
      <c r="V14" s="27" t="str">
        <f>IF($G14="","",G14*ADRYr1!$AD14*ADRYr1!$P14*ADRYr1!$Q14)</f>
        <v/>
      </c>
      <c r="W14" s="27" t="str">
        <f>IF($G14="","",$G14*ADRYr1!$AD14*ADRYr1!$AF14*ADRYr1!Q14*ADRYr1!$S14)</f>
        <v/>
      </c>
      <c r="X14" s="27" t="str">
        <f>IF($G14="","",$G14*ADRYr1!$AD14*ADRYr1!$AF14*ADRYr1!P14*ADRYr1!Q14*ADRYr1!$S14)</f>
        <v/>
      </c>
      <c r="Y14" s="27" t="str">
        <f>IF($G14="","",$G14*ADRYr1!$AD14*ADRYr1!$AE14*ADRYr1!Q14*ADRYr1!$T14)</f>
        <v/>
      </c>
      <c r="Z14" s="27" t="str">
        <f>IF($G14="","",$G14*ADRYr1!$AD14*ADRYr1!$AE14*ADRYr1!P14*ADRYr1!Q14*ADRYr1!$T14)</f>
        <v/>
      </c>
      <c r="AA14" s="45" t="str">
        <f>IF($G14="","",$G14*ADRYr1!$Q14*ADRYr1!$U14*(IF(IFERROR(SEARCH("NG", ADRYr1!$AI14),0),ADRYr1!$AJ14,0)+IF(IFERROR(SEARCH("NG", ADRYr1!$AK14),0),ADRYr1!$AL14,0)+IF(IFERROR(SEARCH("NG", ADRYr1!$AM14),0),ADRYr1!$AN14,0)))</f>
        <v/>
      </c>
      <c r="AB14" s="45" t="str">
        <f t="shared" si="22"/>
        <v/>
      </c>
      <c r="AC14" s="45">
        <f>IF($G14="",0,AA14*ADRYr1!$P14)</f>
        <v>0</v>
      </c>
      <c r="AD14" s="45" t="str">
        <f t="shared" si="23"/>
        <v/>
      </c>
      <c r="AE14" s="45" t="str">
        <f>IF($G14="","",$G14*ADRYr1!$Q14*ADRYr1!$U14*(IF(IFERROR(SEARCH("Oil", ADRYr1!$AI14), 0),ADRYr1!$AJ14,0)+IF(IFERROR(SEARCH("Oil", ADRYr1!$AK14), 0),ADRYr1!$AL14,0)+IF(IFERROR(SEARCH("Oil", ADRYr1!$AM14), 0),ADRYr1!$AN14,0)))</f>
        <v/>
      </c>
      <c r="AF14" s="45" t="str">
        <f t="shared" si="24"/>
        <v/>
      </c>
      <c r="AG14" s="45">
        <f>IF($G14="",0,AE14*ADRYr1!$P14)</f>
        <v>0</v>
      </c>
      <c r="AH14" s="45" t="str">
        <f t="shared" si="25"/>
        <v/>
      </c>
      <c r="AI14" s="45" t="str">
        <f>IF($G14="","",$G14*ADRYr1!$Q14*ADRYr1!$U14*(IF(ADRYr1!$AI14=Lookups!$E$116,ADRYr1!$AJ14,IF(ADRYr1!$AK14=Lookups!$E$116,ADRYr1!$AL14,IF(ADRYr1!$AM14=Lookups!$E$116,ADRYr1!$AN14,0)))))</f>
        <v/>
      </c>
      <c r="AJ14" s="45" t="str">
        <f t="shared" si="26"/>
        <v/>
      </c>
      <c r="AK14" s="45">
        <f>IF($G14="",0,AI14*ADRYr1!$P14)</f>
        <v>0</v>
      </c>
      <c r="AL14" s="45" t="str">
        <f t="shared" si="27"/>
        <v/>
      </c>
      <c r="AM14" s="45" t="str">
        <f>IF($G14="","",$G14*ADRYr1!$Q14*ADRYr1!$U14*(IF(ADRYr1!$AI14=Lookups!$E$115,ADRYr1!$AJ14,IF(ADRYr1!$AK14=Lookups!$E$115,ADRYr1!$AL14,IF(ADRYr1!$AM14=Lookups!$E$115,ADRYr1!$AN14,0)))))</f>
        <v/>
      </c>
      <c r="AN14" s="45" t="str">
        <f t="shared" si="28"/>
        <v/>
      </c>
      <c r="AO14" s="45">
        <f>IF($G14="",0,AM14*ADRYr1!$P14)</f>
        <v>0</v>
      </c>
      <c r="AP14" s="45" t="str">
        <f t="shared" si="29"/>
        <v/>
      </c>
      <c r="AQ14" s="45" t="str">
        <f>IF($G14="","",$G14*ADRYr1!$Q14*ADRYr1!$U14*(IF(ADRYr1!$AI14=Lookups!$E$117,ADRYr1!$AJ14,IF(ADRYr1!$AK14=Lookups!$E$117,ADRYr1!$AL14,IF(ADRYr1!$AM14=Lookups!$E$117,ADRYr1!$AN14,0)))))</f>
        <v/>
      </c>
      <c r="AR14" s="45" t="str">
        <f t="shared" si="30"/>
        <v/>
      </c>
      <c r="AS14" s="45" t="str">
        <f>IF($G14="","",AQ14*ADRYr1!$P14)</f>
        <v/>
      </c>
      <c r="AT14" s="45" t="str">
        <f t="shared" si="31"/>
        <v/>
      </c>
      <c r="AU14" s="45" t="str">
        <f>IF($G14="","",$G14*ADRYr1!$Q14*ADRYr1!$U14*(IF(ADRYr1!$AI14=Lookups!$E$118,ADRYr1!$AJ14,IF(ADRYr1!$AK14=Lookups!$E$118,ADRYr1!$AL14,IF(ADRYr1!$AM14=Lookups!$E$118,ADRYr1!$AN14,0)))))</f>
        <v/>
      </c>
      <c r="AV14" s="45" t="str">
        <f t="shared" si="32"/>
        <v/>
      </c>
      <c r="AW14" s="45" t="str">
        <f>IF($G14="","",AU14*ADRYr1!$P14)</f>
        <v/>
      </c>
      <c r="AX14" s="45" t="str">
        <f t="shared" si="33"/>
        <v/>
      </c>
      <c r="AY14" s="45">
        <f t="shared" si="34"/>
        <v>0</v>
      </c>
      <c r="AZ14" s="45">
        <f t="shared" si="34"/>
        <v>0</v>
      </c>
      <c r="BA14" s="101" t="str">
        <f>IF($G14="","",$G14*ADRYr1!$P14*ADRYr1!$Q14*ADRYr1!$U14*ADRYr1!AO14)</f>
        <v/>
      </c>
      <c r="BB14" s="102" t="str">
        <f>IF($G14="","",$G14*ADRYr1!$P14*ADRYr1!$Q14*ADRYr1!$U14*ADRYr1!AP14)</f>
        <v/>
      </c>
      <c r="BC14" s="100" t="str">
        <f t="shared" si="35"/>
        <v/>
      </c>
      <c r="BD14" s="961"/>
      <c r="BE14" s="961"/>
      <c r="BF14" s="961"/>
      <c r="BG14" s="961"/>
      <c r="BH14" s="962" t="str">
        <f t="shared" si="3"/>
        <v/>
      </c>
      <c r="BI14" s="961"/>
      <c r="BJ14" s="961"/>
      <c r="BK14" s="961"/>
      <c r="BL14" s="961"/>
      <c r="BM14" s="30" t="str">
        <f t="shared" si="4"/>
        <v/>
      </c>
      <c r="BN14" s="963" t="str">
        <f t="shared" si="5"/>
        <v/>
      </c>
      <c r="BO14" s="31" t="str">
        <f t="shared" si="36"/>
        <v/>
      </c>
      <c r="BP14" s="964" t="str">
        <f t="shared" si="6"/>
        <v/>
      </c>
      <c r="BQ14" s="28" t="str">
        <f t="shared" si="7"/>
        <v/>
      </c>
      <c r="BR14" s="964" t="str">
        <f t="shared" si="8"/>
        <v/>
      </c>
      <c r="BS14" s="964" t="str">
        <f t="shared" si="9"/>
        <v/>
      </c>
      <c r="BT14" s="28" t="str">
        <f t="shared" si="10"/>
        <v/>
      </c>
      <c r="BU14" s="28" t="str">
        <f t="shared" si="10"/>
        <v/>
      </c>
      <c r="BV14" s="28" t="str">
        <f t="shared" si="10"/>
        <v/>
      </c>
      <c r="BW14" s="29" t="str">
        <f t="shared" si="37"/>
        <v/>
      </c>
      <c r="BX14" s="29" t="str">
        <f t="shared" si="38"/>
        <v/>
      </c>
      <c r="BY14" s="28" t="str">
        <f>IF($G14="","",$G14*(IF(ADRYr1!$AI14=BY$4,ADRYr1!$AJ14,IF(ADRYr1!$AK14=BY$4,ADRYr1!$AL14,IF(ADRYr1!$AM14=BY$4,ADRYr1!$AN14,0))))*(INDEX(avoidedcosttbl,$H14,BY$2)+(($H14-ROUNDDOWN($H14,0))*(INDEX(avoidedcosttbl,ROUNDUP($H14,0),BY$2)-(INDEX(avoidedcosttbl,ROUNDDOWN($H14,0),BY$2)))))*ADRYr1!P14*ADRYr1!Q14*ADRYr1!U14)</f>
        <v/>
      </c>
      <c r="BZ14" s="28" t="str">
        <f>IF($G14="","",$G14*(IF(ADRYr1!$AI14=BZ$4,ADRYr1!$AJ14,IF(ADRYr1!$AK14=BZ$4,ADRYr1!$AL14,IF(ADRYr1!$AM14=BZ$4,ADRYr1!$AN14,0))))*(INDEX(avoidedcosttbl,$H14,BZ$2)+(($H14-ROUNDDOWN($H14,0))*(INDEX(avoidedcosttbl,ROUNDUP($H14,0),BZ$2)-(INDEX(avoidedcosttbl,ROUNDDOWN($H14,0),BZ$2)))))*ADRYr1!P14*ADRYr1!Q14*ADRYr1!U14)</f>
        <v/>
      </c>
      <c r="CA14" s="28" t="str">
        <f>IF($G14="","",$G14*(IF(ADRYr1!$AI14=CA$4,ADRYr1!$AJ14,IF(ADRYr1!$AK14=CA$4,ADRYr1!$AL14,IF(ADRYr1!$AM14=CA$4,ADRYr1!$AN14,0))))*(INDEX(avoidedcosttbl,$H14,CA$2)+(($H14-ROUNDDOWN($H14,0))*(INDEX(avoidedcosttbl,ROUNDUP($H14,0),CA$2)-(INDEX(avoidedcosttbl,ROUNDDOWN($H14,0),CA$2)))))*ADRYr1!P14*ADRYr1!Q14*ADRYr1!U14)</f>
        <v/>
      </c>
      <c r="CB14" s="28" t="str">
        <f>IF($G14="","",$G14*(IF(ADRYr1!$AI14=CB$4,ADRYr1!$AJ14,IF(ADRYr1!$AK14=CB$4,ADRYr1!$AL14,IF(ADRYr1!$AM14=CB$4,ADRYr1!$AN14,0))))*(INDEX(avoidedcosttbl,$H14,CB$2)+(($H14-ROUNDDOWN($H14,0))*(INDEX(avoidedcosttbl,ROUNDUP($H14,0),CB$2)-(INDEX(avoidedcosttbl,ROUNDDOWN($H14,0),CB$2)))))*ADRYr1!P14*ADRYr1!Q14*ADRYr1!U14)</f>
        <v/>
      </c>
      <c r="CC14" s="28" t="str">
        <f>IF($G14="","",$G14*(IF(ADRYr1!$AI14=CC$4,ADRYr1!$AJ14,IF(ADRYr1!$AK14=CC$4,ADRYr1!$AL14,IF(ADRYr1!$AM14=CC$4,ADRYr1!$AN14,0))))*(INDEX(avoidedcosttbl,$H14,CC$2)+(($H14-ROUNDDOWN($H14,0))*(INDEX(avoidedcosttbl,ROUNDUP($H14,0),CC$2)-(INDEX(avoidedcosttbl,ROUNDDOWN($H14,0),CC$2)))))*ADRYr1!P14*ADRYr1!Q14*ADRYr1!U14)</f>
        <v/>
      </c>
      <c r="CD14" s="28" t="str">
        <f>IF($G14="","",$G14*(IF(ADRYr1!$AI14=CD$4,ADRYr1!$AJ14,IF(ADRYr1!$AK14=CD$4,ADRYr1!$AL14,IF(ADRYr1!$AM14=CD$4,ADRYr1!$AN14,0))))*(INDEX(avoidedcosttbl,$H14,CD$2)+(($H14-ROUNDDOWN($H14,0))*(INDEX(avoidedcosttbl,ROUNDUP($H14,0),CD$2)-(INDEX(avoidedcosttbl,ROUNDDOWN($H14,0),CD$2)))))*ADRYr1!P14*ADRYr1!Q14*ADRYr1!U14)</f>
        <v/>
      </c>
      <c r="CE14" s="28" t="str">
        <f>IF($G14="","",$G14*(IF(ADRYr1!$AI14=CE$4,ADRYr1!$AJ14,IF(ADRYr1!$AK14=CE$4,ADRYr1!$AL14,IF(ADRYr1!$AM14=CE$4,ADRYr1!$AN14,0))))*(INDEX(avoidedcosttbl,$H14,CE$2)+(($H14-ROUNDDOWN($H14,0))*(INDEX(avoidedcosttbl,ROUNDUP($H14,0),CE$2)-(INDEX(avoidedcosttbl,ROUNDDOWN($H14,0),CE$2)))))*ADRYr1!P14*ADRYr1!Q14*ADRYr1!U14)</f>
        <v/>
      </c>
      <c r="CF14" s="41" t="str">
        <f t="shared" si="39"/>
        <v/>
      </c>
      <c r="CG14" s="30" t="str">
        <f t="shared" si="11"/>
        <v/>
      </c>
      <c r="CH14" s="30" t="str">
        <f>IF($G14="","",$G14*(IF(ADRYr1!$AI14=BY$4,ADRYr1!$AJ14,IF(ADRYr1!$AK14=BY$4,ADRYr1!$AL14,IF(ADRYr1!$AM14=BY$4,ADRYr1!$AN14,0))))*(INDEX(avoidedcosttbl,$H14,CH$2)+(($H14-ROUNDDOWN($H14,0))*(INDEX(avoidedcosttbl,ROUNDUP($H14,0),CH$2)-(INDEX(avoidedcosttbl,ROUNDDOWN($H14,0),CH$2)))))*ADRYr1!P14*ADRYr1!Q14*ADRYr1!U14)</f>
        <v/>
      </c>
      <c r="CI14" s="30" t="str">
        <f>IF($G14="","",$G14*(IF(ADRYr1!$AI14=BZ$4,ADRYr1!$AJ14,IF(ADRYr1!$AK14=BZ$4,ADRYr1!$AL14,IF(ADRYr1!$AM14=BZ$4,ADRYr1!$AN14,0))))*(INDEX(avoidedcosttbl,$H14,CI$2)+(($H14-ROUNDDOWN($H14,0))*(INDEX(avoidedcosttbl,ROUNDUP($H14,0),CI$2)-(INDEX(avoidedcosttbl,ROUNDDOWN($H14,0),CI$2)))))*ADRYr1!P14*ADRYr1!Q14*ADRYr1!U14)</f>
        <v/>
      </c>
      <c r="CJ14" s="30" t="str">
        <f>IF($G14="","",$G14*(IF(ADRYr1!$AI14=CA$4,ADRYr1!$AJ14,IF(ADRYr1!$AK14=CA$4,ADRYr1!$AL14,IF(ADRYr1!$AM14=CA$4,ADRYr1!$AN14,0))))*(INDEX(avoidedcosttbl,$H14,CJ$2)+(($H14-ROUNDDOWN($H14,0))*(INDEX(avoidedcosttbl,ROUNDUP($H14,0),CJ$2)-(INDEX(avoidedcosttbl,ROUNDDOWN($H14,0),CJ$2)))))*ADRYr1!P14*ADRYr1!Q14*ADRYr1!U14)</f>
        <v/>
      </c>
      <c r="CK14" s="30" t="str">
        <f>IF($G14="","",$G14*(IF(ADRYr1!$AI14=CB$4,ADRYr1!$AJ14,IF(ADRYr1!$AK14=CB$4,ADRYr1!$AL14,IF(ADRYr1!$AM14=CB$4,ADRYr1!$AN14,0))))*(INDEX(avoidedcosttbl,$H14,CK$2)+(($H14-ROUNDDOWN($H14,0))*(INDEX(avoidedcosttbl,ROUNDUP($H14,0),CK$2)-(INDEX(avoidedcosttbl,ROUNDDOWN($H14,0),CK$2)))))*ADRYr1!P14*ADRYr1!Q14*ADRYr1!U14)</f>
        <v/>
      </c>
      <c r="CL14" s="30" t="str">
        <f>IF($G14="","",$G14*(IF(ADRYr1!$AI14=CC$4,ADRYr1!$AJ14,IF(ADRYr1!$AK14=CC$4,ADRYr1!$AL14,IF(ADRYr1!$AM14=CC$4,ADRYr1!$AN14,0))))*(INDEX(avoidedcosttbl,$H14,CL$2)+(($H14-ROUNDDOWN($H14,0))*(INDEX(avoidedcosttbl,ROUNDUP($H14,0),CL$2)-(INDEX(avoidedcosttbl,ROUNDDOWN($H14,0),CL$2)))))*ADRYr1!P14*ADRYr1!Q14*ADRYr1!U14)</f>
        <v/>
      </c>
      <c r="CM14" s="30" t="str">
        <f>IF($G14="","",$G14*(IF(ADRYr1!$AI14=CD$4,ADRYr1!$AJ14,IF(ADRYr1!$AK14=CD$4,ADRYr1!$AL14,IF(ADRYr1!$AM14=CD$4,ADRYr1!$AN14,0))))*(INDEX(avoidedcosttbl,$H14,CM$2)+(($H14-ROUNDDOWN($H14,0))*(INDEX(avoidedcosttbl,ROUNDUP($H14,0),CM$2)-(INDEX(avoidedcosttbl,ROUNDDOWN($H14,0),CM$2)))))*ADRYr1!P14*ADRYr1!Q14*ADRYr1!U14)</f>
        <v/>
      </c>
      <c r="CN14" s="30" t="str">
        <f>IF($G14="","",$G14*(IF(ADRYr1!$AI14=CE$4,ADRYr1!$AJ14,IF(ADRYr1!$AK14=CE$4,ADRYr1!$AL14,IF(ADRYr1!$AM14=CE$4,ADRYr1!$AN14,0))))*(INDEX(avoidedcosttbl,$H14,CN$2)+(($H14-ROUNDDOWN($H14,0))*(INDEX(avoidedcosttbl,ROUNDUP($H14,0),CN$2)-(INDEX(avoidedcosttbl,ROUNDDOWN($H14,0),CN$2)))))*ADRYr1!P14*ADRYr1!Q14*ADRYr1!U14)</f>
        <v/>
      </c>
      <c r="CO14" s="220" t="str">
        <f t="shared" si="40"/>
        <v/>
      </c>
      <c r="CP14" s="220" t="str">
        <f t="shared" si="41"/>
        <v/>
      </c>
      <c r="CQ14" s="157" t="str">
        <f>IF($G14="","",$G14*(IF(ADRYr1!$AI14=CQ$4,ADRYr1!$AJ14,IF(ADRYr1!$AK14=CQ$4,ADRYr1!$AL14,IF(ADRYr1!$AM14=CQ$4,ADRYr1!$AN14,0))))*(INDEX(avoidedcosttbl,$H14,CQ$2)+(($H14-ROUNDDOWN($H14,0))*(INDEX(avoidedcosttbl,ROUNDUP($H14,0),CQ$2)-(INDEX(avoidedcosttbl,ROUNDDOWN($H14,0),CQ$2)))))*ADRYr1!$P14*ADRYr1!$Q14*ADRYr1!$U14)</f>
        <v/>
      </c>
      <c r="CR14" s="28" t="str">
        <f>IF($G14="","",G14*(IF(ADRYr1!$AI14=CR$4,ADRYr1!$AJ14,IF(ADRYr1!$AK14=CR$4,ADRYr1!$AL14,IF(ADRYr1!$AM14=CR$4,ADRYr1!$AN14,0))))*(INDEX(avoidedcosttbl,$H14,CR$2)+(($H14-ROUNDDOWN($H14,0))*(INDEX(avoidedcosttbl,ROUNDUP($H14,0),CR$2)-(INDEX(avoidedcosttbl,ROUNDDOWN($H14,0),CR$2)))))*ADRYr1!$P14*ADRYr1!$Q14*ADRYr1!$U14)</f>
        <v/>
      </c>
      <c r="CS14" s="28" t="str">
        <f>IF($G14="","",G14*(IF(ADRYr1!$AI14=CS$4,ADRYr1!$AJ14,IF(ADRYr1!$AK14=CS$4,ADRYr1!$AL14,IF(ADRYr1!$AM14=CS$4,ADRYr1!$AN14,0))))*(INDEX(avoidedcosttbl,$H14,CS$2)+(($H14-ROUNDDOWN($H14,0))*(INDEX(avoidedcosttbl,ROUNDUP($H14,0),CS$2)-(INDEX(avoidedcosttbl,ROUNDDOWN($H14,0),CS$2)))))*ADRYr1!$P14*ADRYr1!$Q14*ADRYr1!$U14)</f>
        <v/>
      </c>
      <c r="CT14" s="28" t="str">
        <f t="shared" si="12"/>
        <v/>
      </c>
      <c r="CU14" s="28" t="str">
        <f>IF($G14="","",G14*(IF(ADRYr1!$AI14=CU$4,ADRYr1!$AJ14,IF(ADRYr1!$AK14=CU$4,ADRYr1!$AL14,IF(ADRYr1!$AM14=CU$4,ADRYr1!$AN14,0))))*(INDEX(avoidedcosttbl,$H14,CU$2)+(($H14-ROUNDDOWN($H14,0))*(INDEX(avoidedcosttbl,ROUNDUP($H14,0),CU$2)-(INDEX(avoidedcosttbl,ROUNDDOWN($H14,0),CU$2)))))*ADRYr1!$P14*ADRYr1!$Q14*ADRYr1!$U14)</f>
        <v/>
      </c>
      <c r="CV14" s="28" t="str">
        <f>IF($G14="","",G14*(IF(ADRYr1!$AI14=CV$4,ADRYr1!$AJ14,IF(ADRYr1!$AK14=CV$4,ADRYr1!$AL14,IF(ADRYr1!$AM14=CV$4,ADRYr1!$AN14,0))))*(INDEX(avoidedcosttbl,$H14,CV$2)+(($H14-ROUNDDOWN($H14,0))*(INDEX(avoidedcosttbl,ROUNDUP($H14,0),CV$2)-(INDEX(avoidedcosttbl,ROUNDDOWN($H14,0),CV$2)))))*ADRYr1!$P14*ADRYr1!$Q14*ADRYr1!$U14)</f>
        <v/>
      </c>
      <c r="CW14" s="28" t="str">
        <f>IF($G14="","",G14*(IF(ADRYr1!$AI14=CW$4,ADRYr1!$AJ14,IF(ADRYr1!$AK14=CW$4,ADRYr1!$AL14,IF(ADRYr1!$AM14=CW$4,ADRYr1!$AN14,0))))*(INDEX(avoidedcosttbl,$H14,CW$2)+(($H14-ROUNDDOWN($H14,0))*(INDEX(avoidedcosttbl,ROUNDUP($H14,0),CW$2)-(INDEX(avoidedcosttbl,ROUNDDOWN($H14,0),CW$2)))))*ADRYr1!$P14*ADRYr1!$Q14*ADRYr1!$U14)</f>
        <v/>
      </c>
      <c r="CX14" s="28" t="str">
        <f>IF($G14="","",G14*(IF(ADRYr1!$AI14=CX$4,ADRYr1!$AJ14,IF(ADRYr1!$AK14=CX$4,ADRYr1!$AL14,IF(ADRYr1!$AM14=CX$4,ADRYr1!$AN14,0))))*(INDEX(avoidedcosttbl,$H14,CX$2)+(($H14-ROUNDDOWN($H14,0))*(INDEX(avoidedcosttbl,ROUNDUP($H14,0),CX$2)-(INDEX(avoidedcosttbl,ROUNDDOWN($H14,0),CX$2)))))*ADRYr1!$P14*ADRYr1!$Q14*ADRYr1!$U14)</f>
        <v/>
      </c>
      <c r="CY14" s="28" t="str">
        <f t="shared" si="13"/>
        <v/>
      </c>
      <c r="CZ14" s="32" t="str">
        <f t="shared" si="14"/>
        <v/>
      </c>
      <c r="DA14" s="84" t="str">
        <f t="shared" si="42"/>
        <v/>
      </c>
      <c r="DB14" s="81" t="str">
        <f>IF(NEIadder="Yes",IF($G14="","",INDEX(Lookups!$G$70:$G$71,MATCH($A14,Lookups!$E$70:$E$71,0))*(SUM(CP14:CX14,BX14))),"")</f>
        <v/>
      </c>
      <c r="DC14" s="263" t="str">
        <f t="shared" si="15"/>
        <v/>
      </c>
      <c r="DD14" s="166" t="str">
        <f t="shared" si="16"/>
        <v/>
      </c>
      <c r="DE14" s="82">
        <f t="shared" si="43"/>
        <v>0</v>
      </c>
      <c r="DF14" s="615" t="str">
        <f>IF($G14="","",(1+WntPeakEnergyLL)*(INDEX(avoidedcosttbl,$H14,DF$2)+(($H14-ROUNDDOWN($H14,0))*(INDEX(avoidedcosttbl,ROUNDUP($H14,0),DF$2)-(INDEX(avoidedcosttbl,ROUNDDOWN($H14,0),DF$2)))))*$P14*1000*ADRYr1!Z14)</f>
        <v/>
      </c>
      <c r="DG14" s="615" t="str">
        <f>IF($G14="","",(1+WntOffPeakEnergyLL)*(INDEX(avoidedcosttbl,$H14,DG$2)+(($H14-ROUNDDOWN($H14,0))*(INDEX(avoidedcosttbl,ROUNDUP($H14,0),DG$2)-(INDEX(avoidedcosttbl,ROUNDDOWN($H14,0),DG$2)))))*$P14*1000*ADRYr1!AA14)</f>
        <v/>
      </c>
      <c r="DH14" s="615" t="str">
        <f>IF($G14="","",(1+SumPeakEnergyLL)*(INDEX(avoidedcosttbl,$H14,DH$2)+(($H14-ROUNDDOWN($H14,0))*(INDEX(avoidedcosttbl,ROUNDUP($H14,0),DH$2)-(INDEX(avoidedcosttbl,ROUNDDOWN($H14,0),DH$2)))))*$P14*1000*ADRYr1!AB14)</f>
        <v/>
      </c>
      <c r="DI14" s="615" t="str">
        <f>IF($G14="","",(1+SumOffPeakEnergyLL)*(INDEX(avoidedcosttbl,$H14,DI$2)+(($H14-ROUNDDOWN($H14,0))*(INDEX(avoidedcosttbl,ROUNDUP($H14,0),DI$2)-(INDEX(avoidedcosttbl,ROUNDDOWN($H14,0),DI$2)))))*$P14*1000*ADRYr1!AC14)</f>
        <v/>
      </c>
      <c r="DJ14" s="29" t="str">
        <f t="shared" si="44"/>
        <v/>
      </c>
      <c r="DK14" s="161" t="str">
        <f t="shared" si="45"/>
        <v/>
      </c>
      <c r="DL14" s="1189" t="str">
        <f t="shared" si="46"/>
        <v/>
      </c>
      <c r="DM14" s="1189" t="str">
        <f t="shared" si="47"/>
        <v/>
      </c>
      <c r="DN14" s="43" t="str">
        <f t="shared" si="48"/>
        <v/>
      </c>
      <c r="DO14" s="966" t="str">
        <f>IF($G14="","",ADRYr1!AQ14)</f>
        <v/>
      </c>
      <c r="DP14" s="968" t="str">
        <f>IF($G14="","",ADRYr1!AR14)</f>
        <v/>
      </c>
      <c r="DQ14" s="970" t="str">
        <f>IF($G14="","",IF($DP14="Yes",COLUMN(AESC!$L$10),IF($DP14="No","Using AvoidedDemand tab",IF($DP14="Mixed",COLUMN(AESC!$N$10)))))</f>
        <v/>
      </c>
      <c r="DR14" s="970" t="str">
        <f>IF($G14="","",IF($DP14="Yes",COLUMN(AESC!$P$10),IF($DP14="No","Using AvoidedDemand tab",IF($DP14="Mixed",COLUMN(AESC!$R$10)))))</f>
        <v/>
      </c>
      <c r="DS14" s="970" t="str">
        <f>IF($G14="","",IF($DP14="Yes",COLUMN(AESC!$S$10),IF($DP14="No",COLUMN(AESC!$T$10),IF($DP14="Mixed",COLUMN(AESC!$U$10)))))</f>
        <v/>
      </c>
      <c r="DT14" s="970" t="str">
        <f t="shared" si="17"/>
        <v/>
      </c>
      <c r="DU14" s="970" t="str">
        <f>IF($G14="","",ADRYr1!AS14)</f>
        <v/>
      </c>
      <c r="DV14" s="971" t="str">
        <f>IF($G14="","",ADRYr1!AT14)</f>
        <v/>
      </c>
      <c r="DW14" s="1162" t="str">
        <f>IF($G14="","",INDEX(AvoidedEnergy!$H$4:$H$10,MATCH($DO14,AvoidedEnergy!$A$4:$A$10,0)))</f>
        <v/>
      </c>
    </row>
    <row r="15" spans="1:127">
      <c r="A15" s="160" t="str">
        <f>IF(ADRYr1!$B15=0,"",ADRYr1!A15)</f>
        <v>A - Residential</v>
      </c>
      <c r="B15" s="9" t="str">
        <f>IF(ADRYr1!$B15=0,"",ADRYr1!B15)</f>
        <v>A5 - Residential Active Demand Response</v>
      </c>
      <c r="C15" s="9" t="str">
        <f>IF(ADRYr1!$B15=0,"",ADRYr1!C15)</f>
        <v>A5a - Residential Active Demand Response</v>
      </c>
      <c r="D15" s="9" t="str">
        <f>IF(ADRYr1!$B15=0,"",ADRYr1!D15)</f>
        <v>EV Load Management Summer</v>
      </c>
      <c r="E15" s="9">
        <f>IF(ADRYr1!$B15=0,"",ADRYr1!E15)</f>
        <v>0</v>
      </c>
      <c r="F15" s="11" t="str">
        <f>IF(ADRYr1!$B15=0,"",ADRYr1!F15)</f>
        <v>Behavior</v>
      </c>
      <c r="G15" s="12" t="str">
        <f>IF(ADRYr1!$G15&lt;&gt;0,ADRYr1!G15,"")</f>
        <v/>
      </c>
      <c r="H15" s="960" t="str">
        <f>IF($G15="","",ROUND(ADRYr1!H15,0))</f>
        <v/>
      </c>
      <c r="I15" s="47" t="str">
        <f>IF($G15="","",ADRYr1!I15*ADRYr1!P15*G15)</f>
        <v/>
      </c>
      <c r="J15" s="47" t="str">
        <f>IF($G15="","",ADRYr1!J15*G15)</f>
        <v/>
      </c>
      <c r="K15" s="47" t="str">
        <f t="shared" si="18"/>
        <v/>
      </c>
      <c r="L15" s="27" t="str">
        <f>IF($G15="","",ADRYr1!V15*G15/1000)</f>
        <v/>
      </c>
      <c r="M15" s="27" t="str">
        <f>IF($G15="","",L15*ADRYr1!$Q15*ADRYr1!$R15)</f>
        <v/>
      </c>
      <c r="N15" s="27" t="str">
        <f t="shared" si="19"/>
        <v/>
      </c>
      <c r="O15" s="27" t="str">
        <f t="shared" si="20"/>
        <v/>
      </c>
      <c r="P15" s="27" t="str">
        <f>IF($G15="","",M15*ADRYr1!P15)</f>
        <v/>
      </c>
      <c r="Q15" s="27" t="str">
        <f t="shared" si="21"/>
        <v/>
      </c>
      <c r="R15" s="27" t="str">
        <f>IF($G15="","",$Q15*ADRYr1!Z15)</f>
        <v/>
      </c>
      <c r="S15" s="27" t="str">
        <f>IF($G15="","",$Q15*ADRYr1!AA15)</f>
        <v/>
      </c>
      <c r="T15" s="27" t="str">
        <f>IF($G15="","",$Q15*ADRYr1!AB15)</f>
        <v/>
      </c>
      <c r="U15" s="27" t="str">
        <f>IF($G15="","",$Q15*ADRYr1!AC15)</f>
        <v/>
      </c>
      <c r="V15" s="27" t="str">
        <f>IF($G15="","",G15*ADRYr1!$AD15*ADRYr1!$P15*ADRYr1!$Q15)</f>
        <v/>
      </c>
      <c r="W15" s="27" t="str">
        <f>IF($G15="","",$G15*ADRYr1!$AD15*ADRYr1!$AF15*ADRYr1!Q15*ADRYr1!$S15)</f>
        <v/>
      </c>
      <c r="X15" s="27" t="str">
        <f>IF($G15="","",$G15*ADRYr1!$AD15*ADRYr1!$AF15*ADRYr1!P15*ADRYr1!Q15*ADRYr1!$S15)</f>
        <v/>
      </c>
      <c r="Y15" s="27" t="str">
        <f>IF($G15="","",$G15*ADRYr1!$AD15*ADRYr1!$AE15*ADRYr1!Q15*ADRYr1!$T15)</f>
        <v/>
      </c>
      <c r="Z15" s="27" t="str">
        <f>IF($G15="","",$G15*ADRYr1!$AD15*ADRYr1!$AE15*ADRYr1!P15*ADRYr1!Q15*ADRYr1!$T15)</f>
        <v/>
      </c>
      <c r="AA15" s="45" t="str">
        <f>IF($G15="","",$G15*ADRYr1!$Q15*ADRYr1!$U15*(IF(IFERROR(SEARCH("NG", ADRYr1!$AI15),0),ADRYr1!$AJ15,0)+IF(IFERROR(SEARCH("NG", ADRYr1!$AK15),0),ADRYr1!$AL15,0)+IF(IFERROR(SEARCH("NG", ADRYr1!$AM15),0),ADRYr1!$AN15,0)))</f>
        <v/>
      </c>
      <c r="AB15" s="45" t="str">
        <f t="shared" si="22"/>
        <v/>
      </c>
      <c r="AC15" s="45">
        <f>IF($G15="",0,AA15*ADRYr1!$P15)</f>
        <v>0</v>
      </c>
      <c r="AD15" s="45" t="str">
        <f t="shared" si="23"/>
        <v/>
      </c>
      <c r="AE15" s="45" t="str">
        <f>IF($G15="","",$G15*ADRYr1!$Q15*ADRYr1!$U15*(IF(IFERROR(SEARCH("Oil", ADRYr1!$AI15), 0),ADRYr1!$AJ15,0)+IF(IFERROR(SEARCH("Oil", ADRYr1!$AK15), 0),ADRYr1!$AL15,0)+IF(IFERROR(SEARCH("Oil", ADRYr1!$AM15), 0),ADRYr1!$AN15,0)))</f>
        <v/>
      </c>
      <c r="AF15" s="45" t="str">
        <f t="shared" si="24"/>
        <v/>
      </c>
      <c r="AG15" s="45">
        <f>IF($G15="",0,AE15*ADRYr1!$P15)</f>
        <v>0</v>
      </c>
      <c r="AH15" s="45" t="str">
        <f t="shared" si="25"/>
        <v/>
      </c>
      <c r="AI15" s="45" t="str">
        <f>IF($G15="","",$G15*ADRYr1!$Q15*ADRYr1!$U15*(IF(ADRYr1!$AI15=Lookups!$E$116,ADRYr1!$AJ15,IF(ADRYr1!$AK15=Lookups!$E$116,ADRYr1!$AL15,IF(ADRYr1!$AM15=Lookups!$E$116,ADRYr1!$AN15,0)))))</f>
        <v/>
      </c>
      <c r="AJ15" s="45" t="str">
        <f t="shared" si="26"/>
        <v/>
      </c>
      <c r="AK15" s="45">
        <f>IF($G15="",0,AI15*ADRYr1!$P15)</f>
        <v>0</v>
      </c>
      <c r="AL15" s="45" t="str">
        <f t="shared" si="27"/>
        <v/>
      </c>
      <c r="AM15" s="45" t="str">
        <f>IF($G15="","",$G15*ADRYr1!$Q15*ADRYr1!$U15*(IF(ADRYr1!$AI15=Lookups!$E$115,ADRYr1!$AJ15,IF(ADRYr1!$AK15=Lookups!$E$115,ADRYr1!$AL15,IF(ADRYr1!$AM15=Lookups!$E$115,ADRYr1!$AN15,0)))))</f>
        <v/>
      </c>
      <c r="AN15" s="45" t="str">
        <f t="shared" si="28"/>
        <v/>
      </c>
      <c r="AO15" s="45">
        <f>IF($G15="",0,AM15*ADRYr1!$P15)</f>
        <v>0</v>
      </c>
      <c r="AP15" s="45" t="str">
        <f t="shared" si="29"/>
        <v/>
      </c>
      <c r="AQ15" s="45" t="str">
        <f>IF($G15="","",$G15*ADRYr1!$Q15*ADRYr1!$U15*(IF(ADRYr1!$AI15=Lookups!$E$117,ADRYr1!$AJ15,IF(ADRYr1!$AK15=Lookups!$E$117,ADRYr1!$AL15,IF(ADRYr1!$AM15=Lookups!$E$117,ADRYr1!$AN15,0)))))</f>
        <v/>
      </c>
      <c r="AR15" s="45" t="str">
        <f t="shared" si="30"/>
        <v/>
      </c>
      <c r="AS15" s="45" t="str">
        <f>IF($G15="","",AQ15*ADRYr1!$P15)</f>
        <v/>
      </c>
      <c r="AT15" s="45" t="str">
        <f t="shared" si="31"/>
        <v/>
      </c>
      <c r="AU15" s="45" t="str">
        <f>IF($G15="","",$G15*ADRYr1!$Q15*ADRYr1!$U15*(IF(ADRYr1!$AI15=Lookups!$E$118,ADRYr1!$AJ15,IF(ADRYr1!$AK15=Lookups!$E$118,ADRYr1!$AL15,IF(ADRYr1!$AM15=Lookups!$E$118,ADRYr1!$AN15,0)))))</f>
        <v/>
      </c>
      <c r="AV15" s="45" t="str">
        <f t="shared" si="32"/>
        <v/>
      </c>
      <c r="AW15" s="45" t="str">
        <f>IF($G15="","",AU15*ADRYr1!$P15)</f>
        <v/>
      </c>
      <c r="AX15" s="45" t="str">
        <f t="shared" si="33"/>
        <v/>
      </c>
      <c r="AY15" s="45">
        <f t="shared" si="34"/>
        <v>0</v>
      </c>
      <c r="AZ15" s="45">
        <f t="shared" si="34"/>
        <v>0</v>
      </c>
      <c r="BA15" s="101" t="str">
        <f>IF($G15="","",$G15*ADRYr1!$P15*ADRYr1!$Q15*ADRYr1!$U15*ADRYr1!AO15)</f>
        <v/>
      </c>
      <c r="BB15" s="102" t="str">
        <f>IF($G15="","",$G15*ADRYr1!$P15*ADRYr1!$Q15*ADRYr1!$U15*ADRYr1!AP15)</f>
        <v/>
      </c>
      <c r="BC15" s="100" t="str">
        <f t="shared" si="35"/>
        <v/>
      </c>
      <c r="BD15" s="961"/>
      <c r="BE15" s="961"/>
      <c r="BF15" s="961"/>
      <c r="BG15" s="961"/>
      <c r="BH15" s="962" t="str">
        <f t="shared" si="3"/>
        <v/>
      </c>
      <c r="BI15" s="961"/>
      <c r="BJ15" s="961"/>
      <c r="BK15" s="961"/>
      <c r="BL15" s="961"/>
      <c r="BM15" s="30" t="str">
        <f t="shared" si="4"/>
        <v/>
      </c>
      <c r="BN15" s="963" t="str">
        <f t="shared" si="5"/>
        <v/>
      </c>
      <c r="BO15" s="31" t="str">
        <f t="shared" si="36"/>
        <v/>
      </c>
      <c r="BP15" s="964" t="str">
        <f t="shared" si="6"/>
        <v/>
      </c>
      <c r="BQ15" s="28" t="str">
        <f t="shared" si="7"/>
        <v/>
      </c>
      <c r="BR15" s="964" t="str">
        <f t="shared" si="8"/>
        <v/>
      </c>
      <c r="BS15" s="964" t="str">
        <f t="shared" si="9"/>
        <v/>
      </c>
      <c r="BT15" s="28" t="str">
        <f t="shared" si="10"/>
        <v/>
      </c>
      <c r="BU15" s="28" t="str">
        <f t="shared" si="10"/>
        <v/>
      </c>
      <c r="BV15" s="28" t="str">
        <f t="shared" si="10"/>
        <v/>
      </c>
      <c r="BW15" s="29" t="str">
        <f t="shared" si="37"/>
        <v/>
      </c>
      <c r="BX15" s="29" t="str">
        <f t="shared" si="38"/>
        <v/>
      </c>
      <c r="BY15" s="28" t="str">
        <f>IF($G15="","",$G15*(IF(ADRYr1!$AI15=BY$4,ADRYr1!$AJ15,IF(ADRYr1!$AK15=BY$4,ADRYr1!$AL15,IF(ADRYr1!$AM15=BY$4,ADRYr1!$AN15,0))))*(INDEX(avoidedcosttbl,$H15,BY$2)+(($H15-ROUNDDOWN($H15,0))*(INDEX(avoidedcosttbl,ROUNDUP($H15,0),BY$2)-(INDEX(avoidedcosttbl,ROUNDDOWN($H15,0),BY$2)))))*ADRYr1!P15*ADRYr1!Q15*ADRYr1!U15)</f>
        <v/>
      </c>
      <c r="BZ15" s="28" t="str">
        <f>IF($G15="","",$G15*(IF(ADRYr1!$AI15=BZ$4,ADRYr1!$AJ15,IF(ADRYr1!$AK15=BZ$4,ADRYr1!$AL15,IF(ADRYr1!$AM15=BZ$4,ADRYr1!$AN15,0))))*(INDEX(avoidedcosttbl,$H15,BZ$2)+(($H15-ROUNDDOWN($H15,0))*(INDEX(avoidedcosttbl,ROUNDUP($H15,0),BZ$2)-(INDEX(avoidedcosttbl,ROUNDDOWN($H15,0),BZ$2)))))*ADRYr1!P15*ADRYr1!Q15*ADRYr1!U15)</f>
        <v/>
      </c>
      <c r="CA15" s="28" t="str">
        <f>IF($G15="","",$G15*(IF(ADRYr1!$AI15=CA$4,ADRYr1!$AJ15,IF(ADRYr1!$AK15=CA$4,ADRYr1!$AL15,IF(ADRYr1!$AM15=CA$4,ADRYr1!$AN15,0))))*(INDEX(avoidedcosttbl,$H15,CA$2)+(($H15-ROUNDDOWN($H15,0))*(INDEX(avoidedcosttbl,ROUNDUP($H15,0),CA$2)-(INDEX(avoidedcosttbl,ROUNDDOWN($H15,0),CA$2)))))*ADRYr1!P15*ADRYr1!Q15*ADRYr1!U15)</f>
        <v/>
      </c>
      <c r="CB15" s="28" t="str">
        <f>IF($G15="","",$G15*(IF(ADRYr1!$AI15=CB$4,ADRYr1!$AJ15,IF(ADRYr1!$AK15=CB$4,ADRYr1!$AL15,IF(ADRYr1!$AM15=CB$4,ADRYr1!$AN15,0))))*(INDEX(avoidedcosttbl,$H15,CB$2)+(($H15-ROUNDDOWN($H15,0))*(INDEX(avoidedcosttbl,ROUNDUP($H15,0),CB$2)-(INDEX(avoidedcosttbl,ROUNDDOWN($H15,0),CB$2)))))*ADRYr1!P15*ADRYr1!Q15*ADRYr1!U15)</f>
        <v/>
      </c>
      <c r="CC15" s="28" t="str">
        <f>IF($G15="","",$G15*(IF(ADRYr1!$AI15=CC$4,ADRYr1!$AJ15,IF(ADRYr1!$AK15=CC$4,ADRYr1!$AL15,IF(ADRYr1!$AM15=CC$4,ADRYr1!$AN15,0))))*(INDEX(avoidedcosttbl,$H15,CC$2)+(($H15-ROUNDDOWN($H15,0))*(INDEX(avoidedcosttbl,ROUNDUP($H15,0),CC$2)-(INDEX(avoidedcosttbl,ROUNDDOWN($H15,0),CC$2)))))*ADRYr1!P15*ADRYr1!Q15*ADRYr1!U15)</f>
        <v/>
      </c>
      <c r="CD15" s="28" t="str">
        <f>IF($G15="","",$G15*(IF(ADRYr1!$AI15=CD$4,ADRYr1!$AJ15,IF(ADRYr1!$AK15=CD$4,ADRYr1!$AL15,IF(ADRYr1!$AM15=CD$4,ADRYr1!$AN15,0))))*(INDEX(avoidedcosttbl,$H15,CD$2)+(($H15-ROUNDDOWN($H15,0))*(INDEX(avoidedcosttbl,ROUNDUP($H15,0),CD$2)-(INDEX(avoidedcosttbl,ROUNDDOWN($H15,0),CD$2)))))*ADRYr1!P15*ADRYr1!Q15*ADRYr1!U15)</f>
        <v/>
      </c>
      <c r="CE15" s="28" t="str">
        <f>IF($G15="","",$G15*(IF(ADRYr1!$AI15=CE$4,ADRYr1!$AJ15,IF(ADRYr1!$AK15=CE$4,ADRYr1!$AL15,IF(ADRYr1!$AM15=CE$4,ADRYr1!$AN15,0))))*(INDEX(avoidedcosttbl,$H15,CE$2)+(($H15-ROUNDDOWN($H15,0))*(INDEX(avoidedcosttbl,ROUNDUP($H15,0),CE$2)-(INDEX(avoidedcosttbl,ROUNDDOWN($H15,0),CE$2)))))*ADRYr1!P15*ADRYr1!Q15*ADRYr1!U15)</f>
        <v/>
      </c>
      <c r="CF15" s="41" t="str">
        <f t="shared" si="39"/>
        <v/>
      </c>
      <c r="CG15" s="30" t="str">
        <f t="shared" si="11"/>
        <v/>
      </c>
      <c r="CH15" s="30" t="str">
        <f>IF($G15="","",$G15*(IF(ADRYr1!$AI15=BY$4,ADRYr1!$AJ15,IF(ADRYr1!$AK15=BY$4,ADRYr1!$AL15,IF(ADRYr1!$AM15=BY$4,ADRYr1!$AN15,0))))*(INDEX(avoidedcosttbl,$H15,CH$2)+(($H15-ROUNDDOWN($H15,0))*(INDEX(avoidedcosttbl,ROUNDUP($H15,0),CH$2)-(INDEX(avoidedcosttbl,ROUNDDOWN($H15,0),CH$2)))))*ADRYr1!P15*ADRYr1!Q15*ADRYr1!U15)</f>
        <v/>
      </c>
      <c r="CI15" s="30" t="str">
        <f>IF($G15="","",$G15*(IF(ADRYr1!$AI15=BZ$4,ADRYr1!$AJ15,IF(ADRYr1!$AK15=BZ$4,ADRYr1!$AL15,IF(ADRYr1!$AM15=BZ$4,ADRYr1!$AN15,0))))*(INDEX(avoidedcosttbl,$H15,CI$2)+(($H15-ROUNDDOWN($H15,0))*(INDEX(avoidedcosttbl,ROUNDUP($H15,0),CI$2)-(INDEX(avoidedcosttbl,ROUNDDOWN($H15,0),CI$2)))))*ADRYr1!P15*ADRYr1!Q15*ADRYr1!U15)</f>
        <v/>
      </c>
      <c r="CJ15" s="30" t="str">
        <f>IF($G15="","",$G15*(IF(ADRYr1!$AI15=CA$4,ADRYr1!$AJ15,IF(ADRYr1!$AK15=CA$4,ADRYr1!$AL15,IF(ADRYr1!$AM15=CA$4,ADRYr1!$AN15,0))))*(INDEX(avoidedcosttbl,$H15,CJ$2)+(($H15-ROUNDDOWN($H15,0))*(INDEX(avoidedcosttbl,ROUNDUP($H15,0),CJ$2)-(INDEX(avoidedcosttbl,ROUNDDOWN($H15,0),CJ$2)))))*ADRYr1!P15*ADRYr1!Q15*ADRYr1!U15)</f>
        <v/>
      </c>
      <c r="CK15" s="30" t="str">
        <f>IF($G15="","",$G15*(IF(ADRYr1!$AI15=CB$4,ADRYr1!$AJ15,IF(ADRYr1!$AK15=CB$4,ADRYr1!$AL15,IF(ADRYr1!$AM15=CB$4,ADRYr1!$AN15,0))))*(INDEX(avoidedcosttbl,$H15,CK$2)+(($H15-ROUNDDOWN($H15,0))*(INDEX(avoidedcosttbl,ROUNDUP($H15,0),CK$2)-(INDEX(avoidedcosttbl,ROUNDDOWN($H15,0),CK$2)))))*ADRYr1!P15*ADRYr1!Q15*ADRYr1!U15)</f>
        <v/>
      </c>
      <c r="CL15" s="30" t="str">
        <f>IF($G15="","",$G15*(IF(ADRYr1!$AI15=CC$4,ADRYr1!$AJ15,IF(ADRYr1!$AK15=CC$4,ADRYr1!$AL15,IF(ADRYr1!$AM15=CC$4,ADRYr1!$AN15,0))))*(INDEX(avoidedcosttbl,$H15,CL$2)+(($H15-ROUNDDOWN($H15,0))*(INDEX(avoidedcosttbl,ROUNDUP($H15,0),CL$2)-(INDEX(avoidedcosttbl,ROUNDDOWN($H15,0),CL$2)))))*ADRYr1!P15*ADRYr1!Q15*ADRYr1!U15)</f>
        <v/>
      </c>
      <c r="CM15" s="30" t="str">
        <f>IF($G15="","",$G15*(IF(ADRYr1!$AI15=CD$4,ADRYr1!$AJ15,IF(ADRYr1!$AK15=CD$4,ADRYr1!$AL15,IF(ADRYr1!$AM15=CD$4,ADRYr1!$AN15,0))))*(INDEX(avoidedcosttbl,$H15,CM$2)+(($H15-ROUNDDOWN($H15,0))*(INDEX(avoidedcosttbl,ROUNDUP($H15,0),CM$2)-(INDEX(avoidedcosttbl,ROUNDDOWN($H15,0),CM$2)))))*ADRYr1!P15*ADRYr1!Q15*ADRYr1!U15)</f>
        <v/>
      </c>
      <c r="CN15" s="30" t="str">
        <f>IF($G15="","",$G15*(IF(ADRYr1!$AI15=CE$4,ADRYr1!$AJ15,IF(ADRYr1!$AK15=CE$4,ADRYr1!$AL15,IF(ADRYr1!$AM15=CE$4,ADRYr1!$AN15,0))))*(INDEX(avoidedcosttbl,$H15,CN$2)+(($H15-ROUNDDOWN($H15,0))*(INDEX(avoidedcosttbl,ROUNDUP($H15,0),CN$2)-(INDEX(avoidedcosttbl,ROUNDDOWN($H15,0),CN$2)))))*ADRYr1!P15*ADRYr1!Q15*ADRYr1!U15)</f>
        <v/>
      </c>
      <c r="CO15" s="220" t="str">
        <f t="shared" si="40"/>
        <v/>
      </c>
      <c r="CP15" s="220" t="str">
        <f t="shared" si="41"/>
        <v/>
      </c>
      <c r="CQ15" s="157" t="str">
        <f>IF($G15="","",$G15*(IF(ADRYr1!$AI15=CQ$4,ADRYr1!$AJ15,IF(ADRYr1!$AK15=CQ$4,ADRYr1!$AL15,IF(ADRYr1!$AM15=CQ$4,ADRYr1!$AN15,0))))*(INDEX(avoidedcosttbl,$H15,CQ$2)+(($H15-ROUNDDOWN($H15,0))*(INDEX(avoidedcosttbl,ROUNDUP($H15,0),CQ$2)-(INDEX(avoidedcosttbl,ROUNDDOWN($H15,0),CQ$2)))))*ADRYr1!$P15*ADRYr1!$Q15*ADRYr1!$U15)</f>
        <v/>
      </c>
      <c r="CR15" s="28" t="str">
        <f>IF($G15="","",G15*(IF(ADRYr1!$AI15=CR$4,ADRYr1!$AJ15,IF(ADRYr1!$AK15=CR$4,ADRYr1!$AL15,IF(ADRYr1!$AM15=CR$4,ADRYr1!$AN15,0))))*(INDEX(avoidedcosttbl,$H15,CR$2)+(($H15-ROUNDDOWN($H15,0))*(INDEX(avoidedcosttbl,ROUNDUP($H15,0),CR$2)-(INDEX(avoidedcosttbl,ROUNDDOWN($H15,0),CR$2)))))*ADRYr1!$P15*ADRYr1!$Q15*ADRYr1!$U15)</f>
        <v/>
      </c>
      <c r="CS15" s="28" t="str">
        <f>IF($G15="","",G15*(IF(ADRYr1!$AI15=CS$4,ADRYr1!$AJ15,IF(ADRYr1!$AK15=CS$4,ADRYr1!$AL15,IF(ADRYr1!$AM15=CS$4,ADRYr1!$AN15,0))))*(INDEX(avoidedcosttbl,$H15,CS$2)+(($H15-ROUNDDOWN($H15,0))*(INDEX(avoidedcosttbl,ROUNDUP($H15,0),CS$2)-(INDEX(avoidedcosttbl,ROUNDDOWN($H15,0),CS$2)))))*ADRYr1!$P15*ADRYr1!$Q15*ADRYr1!$U15)</f>
        <v/>
      </c>
      <c r="CT15" s="28" t="str">
        <f t="shared" si="12"/>
        <v/>
      </c>
      <c r="CU15" s="28" t="str">
        <f>IF($G15="","",G15*(IF(ADRYr1!$AI15=CU$4,ADRYr1!$AJ15,IF(ADRYr1!$AK15=CU$4,ADRYr1!$AL15,IF(ADRYr1!$AM15=CU$4,ADRYr1!$AN15,0))))*(INDEX(avoidedcosttbl,$H15,CU$2)+(($H15-ROUNDDOWN($H15,0))*(INDEX(avoidedcosttbl,ROUNDUP($H15,0),CU$2)-(INDEX(avoidedcosttbl,ROUNDDOWN($H15,0),CU$2)))))*ADRYr1!$P15*ADRYr1!$Q15*ADRYr1!$U15)</f>
        <v/>
      </c>
      <c r="CV15" s="28" t="str">
        <f>IF($G15="","",G15*(IF(ADRYr1!$AI15=CV$4,ADRYr1!$AJ15,IF(ADRYr1!$AK15=CV$4,ADRYr1!$AL15,IF(ADRYr1!$AM15=CV$4,ADRYr1!$AN15,0))))*(INDEX(avoidedcosttbl,$H15,CV$2)+(($H15-ROUNDDOWN($H15,0))*(INDEX(avoidedcosttbl,ROUNDUP($H15,0),CV$2)-(INDEX(avoidedcosttbl,ROUNDDOWN($H15,0),CV$2)))))*ADRYr1!$P15*ADRYr1!$Q15*ADRYr1!$U15)</f>
        <v/>
      </c>
      <c r="CW15" s="28" t="str">
        <f>IF($G15="","",G15*(IF(ADRYr1!$AI15=CW$4,ADRYr1!$AJ15,IF(ADRYr1!$AK15=CW$4,ADRYr1!$AL15,IF(ADRYr1!$AM15=CW$4,ADRYr1!$AN15,0))))*(INDEX(avoidedcosttbl,$H15,CW$2)+(($H15-ROUNDDOWN($H15,0))*(INDEX(avoidedcosttbl,ROUNDUP($H15,0),CW$2)-(INDEX(avoidedcosttbl,ROUNDDOWN($H15,0),CW$2)))))*ADRYr1!$P15*ADRYr1!$Q15*ADRYr1!$U15)</f>
        <v/>
      </c>
      <c r="CX15" s="28" t="str">
        <f>IF($G15="","",G15*(IF(ADRYr1!$AI15=CX$4,ADRYr1!$AJ15,IF(ADRYr1!$AK15=CX$4,ADRYr1!$AL15,IF(ADRYr1!$AM15=CX$4,ADRYr1!$AN15,0))))*(INDEX(avoidedcosttbl,$H15,CX$2)+(($H15-ROUNDDOWN($H15,0))*(INDEX(avoidedcosttbl,ROUNDUP($H15,0),CX$2)-(INDEX(avoidedcosttbl,ROUNDDOWN($H15,0),CX$2)))))*ADRYr1!$P15*ADRYr1!$Q15*ADRYr1!$U15)</f>
        <v/>
      </c>
      <c r="CY15" s="28" t="str">
        <f t="shared" si="13"/>
        <v/>
      </c>
      <c r="CZ15" s="32" t="str">
        <f t="shared" si="14"/>
        <v/>
      </c>
      <c r="DA15" s="84" t="str">
        <f t="shared" si="42"/>
        <v/>
      </c>
      <c r="DB15" s="81" t="str">
        <f>IF(NEIadder="Yes",IF($G15="","",INDEX(Lookups!$G$70:$G$71,MATCH($A15,Lookups!$E$70:$E$71,0))*(SUM(CP15:CX15,BX15))),"")</f>
        <v/>
      </c>
      <c r="DC15" s="263" t="str">
        <f t="shared" si="15"/>
        <v/>
      </c>
      <c r="DD15" s="166" t="str">
        <f t="shared" si="16"/>
        <v/>
      </c>
      <c r="DE15" s="82">
        <f t="shared" si="43"/>
        <v>0</v>
      </c>
      <c r="DF15" s="615" t="str">
        <f>IF($G15="","",(1+WntPeakEnergyLL)*(INDEX(avoidedcosttbl,$H15,DF$2)+(($H15-ROUNDDOWN($H15,0))*(INDEX(avoidedcosttbl,ROUNDUP($H15,0),DF$2)-(INDEX(avoidedcosttbl,ROUNDDOWN($H15,0),DF$2)))))*$P15*1000*ADRYr1!Z15)</f>
        <v/>
      </c>
      <c r="DG15" s="615" t="str">
        <f>IF($G15="","",(1+WntOffPeakEnergyLL)*(INDEX(avoidedcosttbl,$H15,DG$2)+(($H15-ROUNDDOWN($H15,0))*(INDEX(avoidedcosttbl,ROUNDUP($H15,0),DG$2)-(INDEX(avoidedcosttbl,ROUNDDOWN($H15,0),DG$2)))))*$P15*1000*ADRYr1!AA15)</f>
        <v/>
      </c>
      <c r="DH15" s="615" t="str">
        <f>IF($G15="","",(1+SumPeakEnergyLL)*(INDEX(avoidedcosttbl,$H15,DH$2)+(($H15-ROUNDDOWN($H15,0))*(INDEX(avoidedcosttbl,ROUNDUP($H15,0),DH$2)-(INDEX(avoidedcosttbl,ROUNDDOWN($H15,0),DH$2)))))*$P15*1000*ADRYr1!AB15)</f>
        <v/>
      </c>
      <c r="DI15" s="615" t="str">
        <f>IF($G15="","",(1+SumOffPeakEnergyLL)*(INDEX(avoidedcosttbl,$H15,DI$2)+(($H15-ROUNDDOWN($H15,0))*(INDEX(avoidedcosttbl,ROUNDUP($H15,0),DI$2)-(INDEX(avoidedcosttbl,ROUNDDOWN($H15,0),DI$2)))))*$P15*1000*ADRYr1!AC15)</f>
        <v/>
      </c>
      <c r="DJ15" s="29" t="str">
        <f t="shared" si="44"/>
        <v/>
      </c>
      <c r="DK15" s="161" t="str">
        <f t="shared" si="45"/>
        <v/>
      </c>
      <c r="DL15" s="1189" t="str">
        <f t="shared" si="46"/>
        <v/>
      </c>
      <c r="DM15" s="1189" t="str">
        <f t="shared" si="47"/>
        <v/>
      </c>
      <c r="DN15" s="43" t="str">
        <f t="shared" si="48"/>
        <v/>
      </c>
      <c r="DO15" s="966" t="str">
        <f>IF($G15="","",ADRYr1!AQ15)</f>
        <v/>
      </c>
      <c r="DP15" s="968" t="str">
        <f>IF($G15="","",ADRYr1!AR15)</f>
        <v/>
      </c>
      <c r="DQ15" s="970" t="str">
        <f>IF($G15="","",IF($DP15="Yes",COLUMN(AESC!$L$10),IF($DP15="No","Using AvoidedDemand tab",IF($DP15="Mixed",COLUMN(AESC!$N$10)))))</f>
        <v/>
      </c>
      <c r="DR15" s="970" t="str">
        <f>IF($G15="","",IF($DP15="Yes",COLUMN(AESC!$P$10),IF($DP15="No","Using AvoidedDemand tab",IF($DP15="Mixed",COLUMN(AESC!$R$10)))))</f>
        <v/>
      </c>
      <c r="DS15" s="970" t="str">
        <f>IF($G15="","",IF($DP15="Yes",COLUMN(AESC!$S$10),IF($DP15="No",COLUMN(AESC!$T$10),IF($DP15="Mixed",COLUMN(AESC!$U$10)))))</f>
        <v/>
      </c>
      <c r="DT15" s="970" t="str">
        <f t="shared" si="17"/>
        <v/>
      </c>
      <c r="DU15" s="970" t="str">
        <f>IF($G15="","",ADRYr1!AS15)</f>
        <v/>
      </c>
      <c r="DV15" s="971" t="str">
        <f>IF($G15="","",ADRYr1!AT15)</f>
        <v/>
      </c>
      <c r="DW15" s="1162" t="str">
        <f>IF($G15="","",INDEX(AvoidedEnergy!$H$4:$H$10,MATCH($DO15,AvoidedEnergy!$A$4:$A$10,0)))</f>
        <v/>
      </c>
    </row>
    <row r="16" spans="1:127">
      <c r="A16" s="160" t="str">
        <f>IF(ADRYr1!$B16=0,"",ADRYr1!A16)</f>
        <v>A - Residential</v>
      </c>
      <c r="B16" s="9" t="str">
        <f>IF(ADRYr1!$B16=0,"",ADRYr1!B16)</f>
        <v>A5 - Residential Active Demand Response</v>
      </c>
      <c r="C16" s="9" t="str">
        <f>IF(ADRYr1!$B16=0,"",ADRYr1!C16)</f>
        <v>A5a - Residential Active Demand Response</v>
      </c>
      <c r="D16" s="9" t="str">
        <f>IF(ADRYr1!$B16=0,"",ADRYr1!D16)</f>
        <v>EV Load Management Winter</v>
      </c>
      <c r="E16" s="9">
        <f>IF(ADRYr1!$B16=0,"",ADRYr1!E16)</f>
        <v>0</v>
      </c>
      <c r="F16" s="11" t="str">
        <f>IF(ADRYr1!$B16=0,"",ADRYr1!F16)</f>
        <v>Behavior</v>
      </c>
      <c r="G16" s="12" t="str">
        <f>IF(ADRYr1!$G16&lt;&gt;0,ADRYr1!G16,"")</f>
        <v/>
      </c>
      <c r="H16" s="960" t="str">
        <f>IF($G16="","",ROUND(ADRYr1!H16,0))</f>
        <v/>
      </c>
      <c r="I16" s="47" t="str">
        <f>IF($G16="","",ADRYr1!I16*ADRYr1!P16*G16)</f>
        <v/>
      </c>
      <c r="J16" s="47" t="str">
        <f>IF($G16="","",ADRYr1!J16*G16)</f>
        <v/>
      </c>
      <c r="K16" s="47" t="str">
        <f t="shared" si="18"/>
        <v/>
      </c>
      <c r="L16" s="27" t="str">
        <f>IF($G16="","",ADRYr1!V16*G16/1000)</f>
        <v/>
      </c>
      <c r="M16" s="27" t="str">
        <f>IF($G16="","",L16*ADRYr1!$Q16*ADRYr1!$R16)</f>
        <v/>
      </c>
      <c r="N16" s="27" t="str">
        <f t="shared" si="19"/>
        <v/>
      </c>
      <c r="O16" s="27" t="str">
        <f t="shared" si="20"/>
        <v/>
      </c>
      <c r="P16" s="27" t="str">
        <f>IF($G16="","",M16*ADRYr1!P16)</f>
        <v/>
      </c>
      <c r="Q16" s="27" t="str">
        <f t="shared" si="21"/>
        <v/>
      </c>
      <c r="R16" s="27" t="str">
        <f>IF($G16="","",$Q16*ADRYr1!Z16)</f>
        <v/>
      </c>
      <c r="S16" s="27" t="str">
        <f>IF($G16="","",$Q16*ADRYr1!AA16)</f>
        <v/>
      </c>
      <c r="T16" s="27" t="str">
        <f>IF($G16="","",$Q16*ADRYr1!AB16)</f>
        <v/>
      </c>
      <c r="U16" s="27" t="str">
        <f>IF($G16="","",$Q16*ADRYr1!AC16)</f>
        <v/>
      </c>
      <c r="V16" s="27" t="str">
        <f>IF($G16="","",G16*ADRYr1!$AD16*ADRYr1!$P16*ADRYr1!$Q16)</f>
        <v/>
      </c>
      <c r="W16" s="27" t="str">
        <f>IF($G16="","",$G16*ADRYr1!$AD16*ADRYr1!$AF16*ADRYr1!Q16*ADRYr1!$S16)</f>
        <v/>
      </c>
      <c r="X16" s="27" t="str">
        <f>IF($G16="","",$G16*ADRYr1!$AD16*ADRYr1!$AF16*ADRYr1!P16*ADRYr1!Q16*ADRYr1!$S16)</f>
        <v/>
      </c>
      <c r="Y16" s="27" t="str">
        <f>IF($G16="","",$G16*ADRYr1!$AD16*ADRYr1!$AE16*ADRYr1!Q16*ADRYr1!$T16)</f>
        <v/>
      </c>
      <c r="Z16" s="27" t="str">
        <f>IF($G16="","",$G16*ADRYr1!$AD16*ADRYr1!$AE16*ADRYr1!P16*ADRYr1!Q16*ADRYr1!$T16)</f>
        <v/>
      </c>
      <c r="AA16" s="45" t="str">
        <f>IF($G16="","",$G16*ADRYr1!$Q16*ADRYr1!$U16*(IF(IFERROR(SEARCH("NG", ADRYr1!$AI16),0),ADRYr1!$AJ16,0)+IF(IFERROR(SEARCH("NG", ADRYr1!$AK16),0),ADRYr1!$AL16,0)+IF(IFERROR(SEARCH("NG", ADRYr1!$AM16),0),ADRYr1!$AN16,0)))</f>
        <v/>
      </c>
      <c r="AB16" s="45" t="str">
        <f t="shared" si="22"/>
        <v/>
      </c>
      <c r="AC16" s="45">
        <f>IF($G16="",0,AA16*ADRYr1!$P16)</f>
        <v>0</v>
      </c>
      <c r="AD16" s="45" t="str">
        <f t="shared" si="23"/>
        <v/>
      </c>
      <c r="AE16" s="45" t="str">
        <f>IF($G16="","",$G16*ADRYr1!$Q16*ADRYr1!$U16*(IF(IFERROR(SEARCH("Oil", ADRYr1!$AI16), 0),ADRYr1!$AJ16,0)+IF(IFERROR(SEARCH("Oil", ADRYr1!$AK16), 0),ADRYr1!$AL16,0)+IF(IFERROR(SEARCH("Oil", ADRYr1!$AM16), 0),ADRYr1!$AN16,0)))</f>
        <v/>
      </c>
      <c r="AF16" s="45" t="str">
        <f t="shared" si="24"/>
        <v/>
      </c>
      <c r="AG16" s="45">
        <f>IF($G16="",0,AE16*ADRYr1!$P16)</f>
        <v>0</v>
      </c>
      <c r="AH16" s="45" t="str">
        <f t="shared" si="25"/>
        <v/>
      </c>
      <c r="AI16" s="45" t="str">
        <f>IF($G16="","",$G16*ADRYr1!$Q16*ADRYr1!$U16*(IF(ADRYr1!$AI16=Lookups!$E$116,ADRYr1!$AJ16,IF(ADRYr1!$AK16=Lookups!$E$116,ADRYr1!$AL16,IF(ADRYr1!$AM16=Lookups!$E$116,ADRYr1!$AN16,0)))))</f>
        <v/>
      </c>
      <c r="AJ16" s="45" t="str">
        <f t="shared" si="26"/>
        <v/>
      </c>
      <c r="AK16" s="45">
        <f>IF($G16="",0,AI16*ADRYr1!$P16)</f>
        <v>0</v>
      </c>
      <c r="AL16" s="45" t="str">
        <f t="shared" si="27"/>
        <v/>
      </c>
      <c r="AM16" s="45" t="str">
        <f>IF($G16="","",$G16*ADRYr1!$Q16*ADRYr1!$U16*(IF(ADRYr1!$AI16=Lookups!$E$115,ADRYr1!$AJ16,IF(ADRYr1!$AK16=Lookups!$E$115,ADRYr1!$AL16,IF(ADRYr1!$AM16=Lookups!$E$115,ADRYr1!$AN16,0)))))</f>
        <v/>
      </c>
      <c r="AN16" s="45" t="str">
        <f t="shared" si="28"/>
        <v/>
      </c>
      <c r="AO16" s="45">
        <f>IF($G16="",0,AM16*ADRYr1!$P16)</f>
        <v>0</v>
      </c>
      <c r="AP16" s="45" t="str">
        <f t="shared" si="29"/>
        <v/>
      </c>
      <c r="AQ16" s="45" t="str">
        <f>IF($G16="","",$G16*ADRYr1!$Q16*ADRYr1!$U16*(IF(ADRYr1!$AI16=Lookups!$E$117,ADRYr1!$AJ16,IF(ADRYr1!$AK16=Lookups!$E$117,ADRYr1!$AL16,IF(ADRYr1!$AM16=Lookups!$E$117,ADRYr1!$AN16,0)))))</f>
        <v/>
      </c>
      <c r="AR16" s="45" t="str">
        <f t="shared" si="30"/>
        <v/>
      </c>
      <c r="AS16" s="45" t="str">
        <f>IF($G16="","",AQ16*ADRYr1!$P16)</f>
        <v/>
      </c>
      <c r="AT16" s="45" t="str">
        <f t="shared" si="31"/>
        <v/>
      </c>
      <c r="AU16" s="45" t="str">
        <f>IF($G16="","",$G16*ADRYr1!$Q16*ADRYr1!$U16*(IF(ADRYr1!$AI16=Lookups!$E$118,ADRYr1!$AJ16,IF(ADRYr1!$AK16=Lookups!$E$118,ADRYr1!$AL16,IF(ADRYr1!$AM16=Lookups!$E$118,ADRYr1!$AN16,0)))))</f>
        <v/>
      </c>
      <c r="AV16" s="45" t="str">
        <f t="shared" si="32"/>
        <v/>
      </c>
      <c r="AW16" s="45" t="str">
        <f>IF($G16="","",AU16*ADRYr1!$P16)</f>
        <v/>
      </c>
      <c r="AX16" s="45" t="str">
        <f t="shared" si="33"/>
        <v/>
      </c>
      <c r="AY16" s="45">
        <f t="shared" si="34"/>
        <v>0</v>
      </c>
      <c r="AZ16" s="45">
        <f t="shared" si="34"/>
        <v>0</v>
      </c>
      <c r="BA16" s="101" t="str">
        <f>IF($G16="","",$G16*ADRYr1!$P16*ADRYr1!$Q16*ADRYr1!$U16*ADRYr1!AO16)</f>
        <v/>
      </c>
      <c r="BB16" s="102" t="str">
        <f>IF($G16="","",$G16*ADRYr1!$P16*ADRYr1!$Q16*ADRYr1!$U16*ADRYr1!AP16)</f>
        <v/>
      </c>
      <c r="BC16" s="100" t="str">
        <f t="shared" si="35"/>
        <v/>
      </c>
      <c r="BD16" s="961"/>
      <c r="BE16" s="961"/>
      <c r="BF16" s="961"/>
      <c r="BG16" s="961"/>
      <c r="BH16" s="962" t="str">
        <f t="shared" si="3"/>
        <v/>
      </c>
      <c r="BI16" s="961"/>
      <c r="BJ16" s="961"/>
      <c r="BK16" s="961"/>
      <c r="BL16" s="961"/>
      <c r="BM16" s="30" t="str">
        <f t="shared" si="4"/>
        <v/>
      </c>
      <c r="BN16" s="963" t="str">
        <f t="shared" si="5"/>
        <v/>
      </c>
      <c r="BO16" s="31" t="str">
        <f t="shared" si="36"/>
        <v/>
      </c>
      <c r="BP16" s="964" t="str">
        <f t="shared" si="6"/>
        <v/>
      </c>
      <c r="BQ16" s="28" t="str">
        <f t="shared" si="7"/>
        <v/>
      </c>
      <c r="BR16" s="964" t="str">
        <f t="shared" si="8"/>
        <v/>
      </c>
      <c r="BS16" s="964" t="str">
        <f t="shared" si="9"/>
        <v/>
      </c>
      <c r="BT16" s="28" t="str">
        <f t="shared" si="10"/>
        <v/>
      </c>
      <c r="BU16" s="28" t="str">
        <f t="shared" si="10"/>
        <v/>
      </c>
      <c r="BV16" s="28" t="str">
        <f t="shared" si="10"/>
        <v/>
      </c>
      <c r="BW16" s="29" t="str">
        <f t="shared" si="37"/>
        <v/>
      </c>
      <c r="BX16" s="29" t="str">
        <f t="shared" si="38"/>
        <v/>
      </c>
      <c r="BY16" s="28" t="str">
        <f>IF($G16="","",$G16*(IF(ADRYr1!$AI16=BY$4,ADRYr1!$AJ16,IF(ADRYr1!$AK16=BY$4,ADRYr1!$AL16,IF(ADRYr1!$AM16=BY$4,ADRYr1!$AN16,0))))*(INDEX(avoidedcosttbl,$H16,BY$2)+(($H16-ROUNDDOWN($H16,0))*(INDEX(avoidedcosttbl,ROUNDUP($H16,0),BY$2)-(INDEX(avoidedcosttbl,ROUNDDOWN($H16,0),BY$2)))))*ADRYr1!P16*ADRYr1!Q16*ADRYr1!U16)</f>
        <v/>
      </c>
      <c r="BZ16" s="28" t="str">
        <f>IF($G16="","",$G16*(IF(ADRYr1!$AI16=BZ$4,ADRYr1!$AJ16,IF(ADRYr1!$AK16=BZ$4,ADRYr1!$AL16,IF(ADRYr1!$AM16=BZ$4,ADRYr1!$AN16,0))))*(INDEX(avoidedcosttbl,$H16,BZ$2)+(($H16-ROUNDDOWN($H16,0))*(INDEX(avoidedcosttbl,ROUNDUP($H16,0),BZ$2)-(INDEX(avoidedcosttbl,ROUNDDOWN($H16,0),BZ$2)))))*ADRYr1!P16*ADRYr1!Q16*ADRYr1!U16)</f>
        <v/>
      </c>
      <c r="CA16" s="28" t="str">
        <f>IF($G16="","",$G16*(IF(ADRYr1!$AI16=CA$4,ADRYr1!$AJ16,IF(ADRYr1!$AK16=CA$4,ADRYr1!$AL16,IF(ADRYr1!$AM16=CA$4,ADRYr1!$AN16,0))))*(INDEX(avoidedcosttbl,$H16,CA$2)+(($H16-ROUNDDOWN($H16,0))*(INDEX(avoidedcosttbl,ROUNDUP($H16,0),CA$2)-(INDEX(avoidedcosttbl,ROUNDDOWN($H16,0),CA$2)))))*ADRYr1!P16*ADRYr1!Q16*ADRYr1!U16)</f>
        <v/>
      </c>
      <c r="CB16" s="28" t="str">
        <f>IF($G16="","",$G16*(IF(ADRYr1!$AI16=CB$4,ADRYr1!$AJ16,IF(ADRYr1!$AK16=CB$4,ADRYr1!$AL16,IF(ADRYr1!$AM16=CB$4,ADRYr1!$AN16,0))))*(INDEX(avoidedcosttbl,$H16,CB$2)+(($H16-ROUNDDOWN($H16,0))*(INDEX(avoidedcosttbl,ROUNDUP($H16,0),CB$2)-(INDEX(avoidedcosttbl,ROUNDDOWN($H16,0),CB$2)))))*ADRYr1!P16*ADRYr1!Q16*ADRYr1!U16)</f>
        <v/>
      </c>
      <c r="CC16" s="28" t="str">
        <f>IF($G16="","",$G16*(IF(ADRYr1!$AI16=CC$4,ADRYr1!$AJ16,IF(ADRYr1!$AK16=CC$4,ADRYr1!$AL16,IF(ADRYr1!$AM16=CC$4,ADRYr1!$AN16,0))))*(INDEX(avoidedcosttbl,$H16,CC$2)+(($H16-ROUNDDOWN($H16,0))*(INDEX(avoidedcosttbl,ROUNDUP($H16,0),CC$2)-(INDEX(avoidedcosttbl,ROUNDDOWN($H16,0),CC$2)))))*ADRYr1!P16*ADRYr1!Q16*ADRYr1!U16)</f>
        <v/>
      </c>
      <c r="CD16" s="28" t="str">
        <f>IF($G16="","",$G16*(IF(ADRYr1!$AI16=CD$4,ADRYr1!$AJ16,IF(ADRYr1!$AK16=CD$4,ADRYr1!$AL16,IF(ADRYr1!$AM16=CD$4,ADRYr1!$AN16,0))))*(INDEX(avoidedcosttbl,$H16,CD$2)+(($H16-ROUNDDOWN($H16,0))*(INDEX(avoidedcosttbl,ROUNDUP($H16,0),CD$2)-(INDEX(avoidedcosttbl,ROUNDDOWN($H16,0),CD$2)))))*ADRYr1!P16*ADRYr1!Q16*ADRYr1!U16)</f>
        <v/>
      </c>
      <c r="CE16" s="28" t="str">
        <f>IF($G16="","",$G16*(IF(ADRYr1!$AI16=CE$4,ADRYr1!$AJ16,IF(ADRYr1!$AK16=CE$4,ADRYr1!$AL16,IF(ADRYr1!$AM16=CE$4,ADRYr1!$AN16,0))))*(INDEX(avoidedcosttbl,$H16,CE$2)+(($H16-ROUNDDOWN($H16,0))*(INDEX(avoidedcosttbl,ROUNDUP($H16,0),CE$2)-(INDEX(avoidedcosttbl,ROUNDDOWN($H16,0),CE$2)))))*ADRYr1!P16*ADRYr1!Q16*ADRYr1!U16)</f>
        <v/>
      </c>
      <c r="CF16" s="41" t="str">
        <f t="shared" si="39"/>
        <v/>
      </c>
      <c r="CG16" s="30" t="str">
        <f t="shared" si="11"/>
        <v/>
      </c>
      <c r="CH16" s="30" t="str">
        <f>IF($G16="","",$G16*(IF(ADRYr1!$AI16=BY$4,ADRYr1!$AJ16,IF(ADRYr1!$AK16=BY$4,ADRYr1!$AL16,IF(ADRYr1!$AM16=BY$4,ADRYr1!$AN16,0))))*(INDEX(avoidedcosttbl,$H16,CH$2)+(($H16-ROUNDDOWN($H16,0))*(INDEX(avoidedcosttbl,ROUNDUP($H16,0),CH$2)-(INDEX(avoidedcosttbl,ROUNDDOWN($H16,0),CH$2)))))*ADRYr1!P16*ADRYr1!Q16*ADRYr1!U16)</f>
        <v/>
      </c>
      <c r="CI16" s="30" t="str">
        <f>IF($G16="","",$G16*(IF(ADRYr1!$AI16=BZ$4,ADRYr1!$AJ16,IF(ADRYr1!$AK16=BZ$4,ADRYr1!$AL16,IF(ADRYr1!$AM16=BZ$4,ADRYr1!$AN16,0))))*(INDEX(avoidedcosttbl,$H16,CI$2)+(($H16-ROUNDDOWN($H16,0))*(INDEX(avoidedcosttbl,ROUNDUP($H16,0),CI$2)-(INDEX(avoidedcosttbl,ROUNDDOWN($H16,0),CI$2)))))*ADRYr1!P16*ADRYr1!Q16*ADRYr1!U16)</f>
        <v/>
      </c>
      <c r="CJ16" s="30" t="str">
        <f>IF($G16="","",$G16*(IF(ADRYr1!$AI16=CA$4,ADRYr1!$AJ16,IF(ADRYr1!$AK16=CA$4,ADRYr1!$AL16,IF(ADRYr1!$AM16=CA$4,ADRYr1!$AN16,0))))*(INDEX(avoidedcosttbl,$H16,CJ$2)+(($H16-ROUNDDOWN($H16,0))*(INDEX(avoidedcosttbl,ROUNDUP($H16,0),CJ$2)-(INDEX(avoidedcosttbl,ROUNDDOWN($H16,0),CJ$2)))))*ADRYr1!P16*ADRYr1!Q16*ADRYr1!U16)</f>
        <v/>
      </c>
      <c r="CK16" s="30" t="str">
        <f>IF($G16="","",$G16*(IF(ADRYr1!$AI16=CB$4,ADRYr1!$AJ16,IF(ADRYr1!$AK16=CB$4,ADRYr1!$AL16,IF(ADRYr1!$AM16=CB$4,ADRYr1!$AN16,0))))*(INDEX(avoidedcosttbl,$H16,CK$2)+(($H16-ROUNDDOWN($H16,0))*(INDEX(avoidedcosttbl,ROUNDUP($H16,0),CK$2)-(INDEX(avoidedcosttbl,ROUNDDOWN($H16,0),CK$2)))))*ADRYr1!P16*ADRYr1!Q16*ADRYr1!U16)</f>
        <v/>
      </c>
      <c r="CL16" s="30" t="str">
        <f>IF($G16="","",$G16*(IF(ADRYr1!$AI16=CC$4,ADRYr1!$AJ16,IF(ADRYr1!$AK16=CC$4,ADRYr1!$AL16,IF(ADRYr1!$AM16=CC$4,ADRYr1!$AN16,0))))*(INDEX(avoidedcosttbl,$H16,CL$2)+(($H16-ROUNDDOWN($H16,0))*(INDEX(avoidedcosttbl,ROUNDUP($H16,0),CL$2)-(INDEX(avoidedcosttbl,ROUNDDOWN($H16,0),CL$2)))))*ADRYr1!P16*ADRYr1!Q16*ADRYr1!U16)</f>
        <v/>
      </c>
      <c r="CM16" s="30" t="str">
        <f>IF($G16="","",$G16*(IF(ADRYr1!$AI16=CD$4,ADRYr1!$AJ16,IF(ADRYr1!$AK16=CD$4,ADRYr1!$AL16,IF(ADRYr1!$AM16=CD$4,ADRYr1!$AN16,0))))*(INDEX(avoidedcosttbl,$H16,CM$2)+(($H16-ROUNDDOWN($H16,0))*(INDEX(avoidedcosttbl,ROUNDUP($H16,0),CM$2)-(INDEX(avoidedcosttbl,ROUNDDOWN($H16,0),CM$2)))))*ADRYr1!P16*ADRYr1!Q16*ADRYr1!U16)</f>
        <v/>
      </c>
      <c r="CN16" s="30" t="str">
        <f>IF($G16="","",$G16*(IF(ADRYr1!$AI16=CE$4,ADRYr1!$AJ16,IF(ADRYr1!$AK16=CE$4,ADRYr1!$AL16,IF(ADRYr1!$AM16=CE$4,ADRYr1!$AN16,0))))*(INDEX(avoidedcosttbl,$H16,CN$2)+(($H16-ROUNDDOWN($H16,0))*(INDEX(avoidedcosttbl,ROUNDUP($H16,0),CN$2)-(INDEX(avoidedcosttbl,ROUNDDOWN($H16,0),CN$2)))))*ADRYr1!P16*ADRYr1!Q16*ADRYr1!U16)</f>
        <v/>
      </c>
      <c r="CO16" s="220" t="str">
        <f t="shared" si="40"/>
        <v/>
      </c>
      <c r="CP16" s="220" t="str">
        <f t="shared" si="41"/>
        <v/>
      </c>
      <c r="CQ16" s="157" t="str">
        <f>IF($G16="","",$G16*(IF(ADRYr1!$AI16=CQ$4,ADRYr1!$AJ16,IF(ADRYr1!$AK16=CQ$4,ADRYr1!$AL16,IF(ADRYr1!$AM16=CQ$4,ADRYr1!$AN16,0))))*(INDEX(avoidedcosttbl,$H16,CQ$2)+(($H16-ROUNDDOWN($H16,0))*(INDEX(avoidedcosttbl,ROUNDUP($H16,0),CQ$2)-(INDEX(avoidedcosttbl,ROUNDDOWN($H16,0),CQ$2)))))*ADRYr1!$P16*ADRYr1!$Q16*ADRYr1!$U16)</f>
        <v/>
      </c>
      <c r="CR16" s="28" t="str">
        <f>IF($G16="","",G16*(IF(ADRYr1!$AI16=CR$4,ADRYr1!$AJ16,IF(ADRYr1!$AK16=CR$4,ADRYr1!$AL16,IF(ADRYr1!$AM16=CR$4,ADRYr1!$AN16,0))))*(INDEX(avoidedcosttbl,$H16,CR$2)+(($H16-ROUNDDOWN($H16,0))*(INDEX(avoidedcosttbl,ROUNDUP($H16,0),CR$2)-(INDEX(avoidedcosttbl,ROUNDDOWN($H16,0),CR$2)))))*ADRYr1!$P16*ADRYr1!$Q16*ADRYr1!$U16)</f>
        <v/>
      </c>
      <c r="CS16" s="28" t="str">
        <f>IF($G16="","",G16*(IF(ADRYr1!$AI16=CS$4,ADRYr1!$AJ16,IF(ADRYr1!$AK16=CS$4,ADRYr1!$AL16,IF(ADRYr1!$AM16=CS$4,ADRYr1!$AN16,0))))*(INDEX(avoidedcosttbl,$H16,CS$2)+(($H16-ROUNDDOWN($H16,0))*(INDEX(avoidedcosttbl,ROUNDUP($H16,0),CS$2)-(INDEX(avoidedcosttbl,ROUNDDOWN($H16,0),CS$2)))))*ADRYr1!$P16*ADRYr1!$Q16*ADRYr1!$U16)</f>
        <v/>
      </c>
      <c r="CT16" s="28" t="str">
        <f t="shared" si="12"/>
        <v/>
      </c>
      <c r="CU16" s="28" t="str">
        <f>IF($G16="","",G16*(IF(ADRYr1!$AI16=CU$4,ADRYr1!$AJ16,IF(ADRYr1!$AK16=CU$4,ADRYr1!$AL16,IF(ADRYr1!$AM16=CU$4,ADRYr1!$AN16,0))))*(INDEX(avoidedcosttbl,$H16,CU$2)+(($H16-ROUNDDOWN($H16,0))*(INDEX(avoidedcosttbl,ROUNDUP($H16,0),CU$2)-(INDEX(avoidedcosttbl,ROUNDDOWN($H16,0),CU$2)))))*ADRYr1!$P16*ADRYr1!$Q16*ADRYr1!$U16)</f>
        <v/>
      </c>
      <c r="CV16" s="28" t="str">
        <f>IF($G16="","",G16*(IF(ADRYr1!$AI16=CV$4,ADRYr1!$AJ16,IF(ADRYr1!$AK16=CV$4,ADRYr1!$AL16,IF(ADRYr1!$AM16=CV$4,ADRYr1!$AN16,0))))*(INDEX(avoidedcosttbl,$H16,CV$2)+(($H16-ROUNDDOWN($H16,0))*(INDEX(avoidedcosttbl,ROUNDUP($H16,0),CV$2)-(INDEX(avoidedcosttbl,ROUNDDOWN($H16,0),CV$2)))))*ADRYr1!$P16*ADRYr1!$Q16*ADRYr1!$U16)</f>
        <v/>
      </c>
      <c r="CW16" s="28" t="str">
        <f>IF($G16="","",G16*(IF(ADRYr1!$AI16=CW$4,ADRYr1!$AJ16,IF(ADRYr1!$AK16=CW$4,ADRYr1!$AL16,IF(ADRYr1!$AM16=CW$4,ADRYr1!$AN16,0))))*(INDEX(avoidedcosttbl,$H16,CW$2)+(($H16-ROUNDDOWN($H16,0))*(INDEX(avoidedcosttbl,ROUNDUP($H16,0),CW$2)-(INDEX(avoidedcosttbl,ROUNDDOWN($H16,0),CW$2)))))*ADRYr1!$P16*ADRYr1!$Q16*ADRYr1!$U16)</f>
        <v/>
      </c>
      <c r="CX16" s="28" t="str">
        <f>IF($G16="","",G16*(IF(ADRYr1!$AI16=CX$4,ADRYr1!$AJ16,IF(ADRYr1!$AK16=CX$4,ADRYr1!$AL16,IF(ADRYr1!$AM16=CX$4,ADRYr1!$AN16,0))))*(INDEX(avoidedcosttbl,$H16,CX$2)+(($H16-ROUNDDOWN($H16,0))*(INDEX(avoidedcosttbl,ROUNDUP($H16,0),CX$2)-(INDEX(avoidedcosttbl,ROUNDDOWN($H16,0),CX$2)))))*ADRYr1!$P16*ADRYr1!$Q16*ADRYr1!$U16)</f>
        <v/>
      </c>
      <c r="CY16" s="28" t="str">
        <f t="shared" si="13"/>
        <v/>
      </c>
      <c r="CZ16" s="32" t="str">
        <f t="shared" si="14"/>
        <v/>
      </c>
      <c r="DA16" s="84" t="str">
        <f t="shared" si="42"/>
        <v/>
      </c>
      <c r="DB16" s="81" t="str">
        <f>IF(NEIadder="Yes",IF($G16="","",INDEX(Lookups!$G$70:$G$71,MATCH($A16,Lookups!$E$70:$E$71,0))*(SUM(CP16:CX16,BX16))),"")</f>
        <v/>
      </c>
      <c r="DC16" s="263" t="str">
        <f t="shared" si="15"/>
        <v/>
      </c>
      <c r="DD16" s="166" t="str">
        <f t="shared" si="16"/>
        <v/>
      </c>
      <c r="DE16" s="82">
        <f t="shared" si="43"/>
        <v>0</v>
      </c>
      <c r="DF16" s="615" t="str">
        <f>IF($G16="","",(1+WntPeakEnergyLL)*(INDEX(avoidedcosttbl,$H16,DF$2)+(($H16-ROUNDDOWN($H16,0))*(INDEX(avoidedcosttbl,ROUNDUP($H16,0),DF$2)-(INDEX(avoidedcosttbl,ROUNDDOWN($H16,0),DF$2)))))*$P16*1000*ADRYr1!Z16)</f>
        <v/>
      </c>
      <c r="DG16" s="615" t="str">
        <f>IF($G16="","",(1+WntOffPeakEnergyLL)*(INDEX(avoidedcosttbl,$H16,DG$2)+(($H16-ROUNDDOWN($H16,0))*(INDEX(avoidedcosttbl,ROUNDUP($H16,0),DG$2)-(INDEX(avoidedcosttbl,ROUNDDOWN($H16,0),DG$2)))))*$P16*1000*ADRYr1!AA16)</f>
        <v/>
      </c>
      <c r="DH16" s="615" t="str">
        <f>IF($G16="","",(1+SumPeakEnergyLL)*(INDEX(avoidedcosttbl,$H16,DH$2)+(($H16-ROUNDDOWN($H16,0))*(INDEX(avoidedcosttbl,ROUNDUP($H16,0),DH$2)-(INDEX(avoidedcosttbl,ROUNDDOWN($H16,0),DH$2)))))*$P16*1000*ADRYr1!AB16)</f>
        <v/>
      </c>
      <c r="DI16" s="615" t="str">
        <f>IF($G16="","",(1+SumOffPeakEnergyLL)*(INDEX(avoidedcosttbl,$H16,DI$2)+(($H16-ROUNDDOWN($H16,0))*(INDEX(avoidedcosttbl,ROUNDUP($H16,0),DI$2)-(INDEX(avoidedcosttbl,ROUNDDOWN($H16,0),DI$2)))))*$P16*1000*ADRYr1!AC16)</f>
        <v/>
      </c>
      <c r="DJ16" s="29" t="str">
        <f t="shared" si="44"/>
        <v/>
      </c>
      <c r="DK16" s="161" t="str">
        <f t="shared" si="45"/>
        <v/>
      </c>
      <c r="DL16" s="1189" t="str">
        <f t="shared" si="46"/>
        <v/>
      </c>
      <c r="DM16" s="1189" t="str">
        <f t="shared" si="47"/>
        <v/>
      </c>
      <c r="DN16" s="43" t="str">
        <f t="shared" si="48"/>
        <v/>
      </c>
      <c r="DO16" s="966" t="str">
        <f>IF($G16="","",ADRYr1!AQ16)</f>
        <v/>
      </c>
      <c r="DP16" s="968" t="str">
        <f>IF($G16="","",ADRYr1!AR16)</f>
        <v/>
      </c>
      <c r="DQ16" s="970" t="str">
        <f>IF($G16="","",IF($DP16="Yes",COLUMN(AESC!$L$10),IF($DP16="No","Using AvoidedDemand tab",IF($DP16="Mixed",COLUMN(AESC!$N$10)))))</f>
        <v/>
      </c>
      <c r="DR16" s="970" t="str">
        <f>IF($G16="","",IF($DP16="Yes",COLUMN(AESC!$P$10),IF($DP16="No","Using AvoidedDemand tab",IF($DP16="Mixed",COLUMN(AESC!$R$10)))))</f>
        <v/>
      </c>
      <c r="DS16" s="970" t="str">
        <f>IF($G16="","",IF($DP16="Yes",COLUMN(AESC!$S$10),IF($DP16="No",COLUMN(AESC!$T$10),IF($DP16="Mixed",COLUMN(AESC!$U$10)))))</f>
        <v/>
      </c>
      <c r="DT16" s="970" t="str">
        <f t="shared" si="17"/>
        <v/>
      </c>
      <c r="DU16" s="970" t="str">
        <f>IF($G16="","",ADRYr1!AS16)</f>
        <v/>
      </c>
      <c r="DV16" s="971" t="str">
        <f>IF($G16="","",ADRYr1!AT16)</f>
        <v/>
      </c>
      <c r="DW16" s="1162" t="str">
        <f>IF($G16="","",INDEX(AvoidedEnergy!$H$4:$H$10,MATCH($DO16,AvoidedEnergy!$A$4:$A$10,0)))</f>
        <v/>
      </c>
    </row>
    <row r="17" spans="1:127">
      <c r="A17" s="160" t="str">
        <f>IF(ADRYr1!$B17=0,"",ADRYr1!A17)</f>
        <v>B - Low-Income</v>
      </c>
      <c r="B17" s="9" t="str">
        <f>IF(ADRYr1!$B17=0,"",ADRYr1!B17)</f>
        <v>Home Energy Assistance</v>
      </c>
      <c r="C17" s="9" t="str">
        <f>IF(ADRYr1!$B17=0,"",ADRYr1!C17)</f>
        <v>Res Demand Response</v>
      </c>
      <c r="D17" s="9" t="str">
        <f>IF(ADRYr1!$B17=0,"",ADRYr1!D17)</f>
        <v>Direct Load Control Targeted Dispatch Upfront/Annual Incentive Summer</v>
      </c>
      <c r="E17" s="9">
        <f>IF(ADRYr1!$B17=0,"",ADRYr1!E17)</f>
        <v>0</v>
      </c>
      <c r="F17" s="11" t="str">
        <f>IF(ADRYr1!$B17=0,"",ADRYr1!F17)</f>
        <v>Behavior</v>
      </c>
      <c r="G17" s="12" t="str">
        <f>IF(ADRYr1!$G17&lt;&gt;0,ADRYr1!G17,"")</f>
        <v/>
      </c>
      <c r="H17" s="960" t="str">
        <f>IF($G17="","",ROUND(ADRYr1!H17,0))</f>
        <v/>
      </c>
      <c r="I17" s="47" t="str">
        <f>IF($G17="","",ADRYr1!I17*ADRYr1!P17*G17)</f>
        <v/>
      </c>
      <c r="J17" s="47" t="str">
        <f>IF($G17="","",ADRYr1!J17*G17)</f>
        <v/>
      </c>
      <c r="K17" s="47" t="str">
        <f t="shared" si="18"/>
        <v/>
      </c>
      <c r="L17" s="27" t="str">
        <f>IF($G17="","",ADRYr1!V17*G17/1000)</f>
        <v/>
      </c>
      <c r="M17" s="27" t="str">
        <f>IF($G17="","",L17*ADRYr1!$Q17*ADRYr1!$R17)</f>
        <v/>
      </c>
      <c r="N17" s="27" t="str">
        <f t="shared" si="19"/>
        <v/>
      </c>
      <c r="O17" s="27" t="str">
        <f t="shared" si="20"/>
        <v/>
      </c>
      <c r="P17" s="27" t="str">
        <f>IF($G17="","",M17*ADRYr1!P17)</f>
        <v/>
      </c>
      <c r="Q17" s="27" t="str">
        <f t="shared" si="21"/>
        <v/>
      </c>
      <c r="R17" s="27" t="str">
        <f>IF($G17="","",$Q17*ADRYr1!Z17)</f>
        <v/>
      </c>
      <c r="S17" s="27" t="str">
        <f>IF($G17="","",$Q17*ADRYr1!AA17)</f>
        <v/>
      </c>
      <c r="T17" s="27" t="str">
        <f>IF($G17="","",$Q17*ADRYr1!AB17)</f>
        <v/>
      </c>
      <c r="U17" s="27" t="str">
        <f>IF($G17="","",$Q17*ADRYr1!AC17)</f>
        <v/>
      </c>
      <c r="V17" s="27" t="str">
        <f>IF($G17="","",G17*ADRYr1!$AD17*ADRYr1!$P17*ADRYr1!$Q17)</f>
        <v/>
      </c>
      <c r="W17" s="27" t="str">
        <f>IF($G17="","",$G17*ADRYr1!$AD17*ADRYr1!$AF17*ADRYr1!Q17*ADRYr1!$S17)</f>
        <v/>
      </c>
      <c r="X17" s="27" t="str">
        <f>IF($G17="","",$G17*ADRYr1!$AD17*ADRYr1!$AF17*ADRYr1!P17*ADRYr1!Q17*ADRYr1!$S17)</f>
        <v/>
      </c>
      <c r="Y17" s="27" t="str">
        <f>IF($G17="","",$G17*ADRYr1!$AD17*ADRYr1!$AE17*ADRYr1!Q17*ADRYr1!$T17)</f>
        <v/>
      </c>
      <c r="Z17" s="27" t="str">
        <f>IF($G17="","",$G17*ADRYr1!$AD17*ADRYr1!$AE17*ADRYr1!P17*ADRYr1!Q17*ADRYr1!$T17)</f>
        <v/>
      </c>
      <c r="AA17" s="45" t="str">
        <f>IF($G17="","",$G17*ADRYr1!$Q17*ADRYr1!$U17*(IF(IFERROR(SEARCH("NG", ADRYr1!$AI17),0),ADRYr1!$AJ17,0)+IF(IFERROR(SEARCH("NG", ADRYr1!$AK17),0),ADRYr1!$AL17,0)+IF(IFERROR(SEARCH("NG", ADRYr1!$AM17),0),ADRYr1!$AN17,0)))</f>
        <v/>
      </c>
      <c r="AB17" s="45" t="str">
        <f t="shared" si="22"/>
        <v/>
      </c>
      <c r="AC17" s="45">
        <f>IF($G17="",0,AA17*ADRYr1!$P17)</f>
        <v>0</v>
      </c>
      <c r="AD17" s="45" t="str">
        <f t="shared" si="23"/>
        <v/>
      </c>
      <c r="AE17" s="45" t="str">
        <f>IF($G17="","",$G17*ADRYr1!$Q17*ADRYr1!$U17*(IF(IFERROR(SEARCH("Oil", ADRYr1!$AI17), 0),ADRYr1!$AJ17,0)+IF(IFERROR(SEARCH("Oil", ADRYr1!$AK17), 0),ADRYr1!$AL17,0)+IF(IFERROR(SEARCH("Oil", ADRYr1!$AM17), 0),ADRYr1!$AN17,0)))</f>
        <v/>
      </c>
      <c r="AF17" s="45" t="str">
        <f t="shared" si="24"/>
        <v/>
      </c>
      <c r="AG17" s="45">
        <f>IF($G17="",0,AE17*ADRYr1!$P17)</f>
        <v>0</v>
      </c>
      <c r="AH17" s="45" t="str">
        <f t="shared" si="25"/>
        <v/>
      </c>
      <c r="AI17" s="45" t="str">
        <f>IF($G17="","",$G17*ADRYr1!$Q17*ADRYr1!$U17*(IF(ADRYr1!$AI17=Lookups!$E$116,ADRYr1!$AJ17,IF(ADRYr1!$AK17=Lookups!$E$116,ADRYr1!$AL17,IF(ADRYr1!$AM17=Lookups!$E$116,ADRYr1!$AN17,0)))))</f>
        <v/>
      </c>
      <c r="AJ17" s="45" t="str">
        <f t="shared" si="26"/>
        <v/>
      </c>
      <c r="AK17" s="45">
        <f>IF($G17="",0,AI17*ADRYr1!$P17)</f>
        <v>0</v>
      </c>
      <c r="AL17" s="45" t="str">
        <f t="shared" si="27"/>
        <v/>
      </c>
      <c r="AM17" s="45" t="str">
        <f>IF($G17="","",$G17*ADRYr1!$Q17*ADRYr1!$U17*(IF(ADRYr1!$AI17=Lookups!$E$115,ADRYr1!$AJ17,IF(ADRYr1!$AK17=Lookups!$E$115,ADRYr1!$AL17,IF(ADRYr1!$AM17=Lookups!$E$115,ADRYr1!$AN17,0)))))</f>
        <v/>
      </c>
      <c r="AN17" s="45" t="str">
        <f t="shared" si="28"/>
        <v/>
      </c>
      <c r="AO17" s="45">
        <f>IF($G17="",0,AM17*ADRYr1!$P17)</f>
        <v>0</v>
      </c>
      <c r="AP17" s="45" t="str">
        <f t="shared" si="29"/>
        <v/>
      </c>
      <c r="AQ17" s="45" t="str">
        <f>IF($G17="","",$G17*ADRYr1!$Q17*ADRYr1!$U17*(IF(ADRYr1!$AI17=Lookups!$E$117,ADRYr1!$AJ17,IF(ADRYr1!$AK17=Lookups!$E$117,ADRYr1!$AL17,IF(ADRYr1!$AM17=Lookups!$E$117,ADRYr1!$AN17,0)))))</f>
        <v/>
      </c>
      <c r="AR17" s="45" t="str">
        <f t="shared" si="30"/>
        <v/>
      </c>
      <c r="AS17" s="45" t="str">
        <f>IF($G17="","",AQ17*ADRYr1!$P17)</f>
        <v/>
      </c>
      <c r="AT17" s="45" t="str">
        <f t="shared" si="31"/>
        <v/>
      </c>
      <c r="AU17" s="45" t="str">
        <f>IF($G17="","",$G17*ADRYr1!$Q17*ADRYr1!$U17*(IF(ADRYr1!$AI17=Lookups!$E$118,ADRYr1!$AJ17,IF(ADRYr1!$AK17=Lookups!$E$118,ADRYr1!$AL17,IF(ADRYr1!$AM17=Lookups!$E$118,ADRYr1!$AN17,0)))))</f>
        <v/>
      </c>
      <c r="AV17" s="45" t="str">
        <f t="shared" si="32"/>
        <v/>
      </c>
      <c r="AW17" s="45" t="str">
        <f>IF($G17="","",AU17*ADRYr1!$P17)</f>
        <v/>
      </c>
      <c r="AX17" s="45" t="str">
        <f t="shared" si="33"/>
        <v/>
      </c>
      <c r="AY17" s="45">
        <f t="shared" si="34"/>
        <v>0</v>
      </c>
      <c r="AZ17" s="45">
        <f t="shared" si="34"/>
        <v>0</v>
      </c>
      <c r="BA17" s="101" t="str">
        <f>IF($G17="","",$G17*ADRYr1!$P17*ADRYr1!$Q17*ADRYr1!$U17*ADRYr1!AO17)</f>
        <v/>
      </c>
      <c r="BB17" s="102" t="str">
        <f>IF($G17="","",$G17*ADRYr1!$P17*ADRYr1!$Q17*ADRYr1!$U17*ADRYr1!AP17)</f>
        <v/>
      </c>
      <c r="BC17" s="100" t="str">
        <f t="shared" si="35"/>
        <v/>
      </c>
      <c r="BD17" s="961"/>
      <c r="BE17" s="961"/>
      <c r="BF17" s="961"/>
      <c r="BG17" s="961"/>
      <c r="BH17" s="962" t="str">
        <f t="shared" si="3"/>
        <v/>
      </c>
      <c r="BI17" s="961"/>
      <c r="BJ17" s="961"/>
      <c r="BK17" s="961"/>
      <c r="BL17" s="961"/>
      <c r="BM17" s="30" t="str">
        <f t="shared" si="4"/>
        <v/>
      </c>
      <c r="BN17" s="963" t="str">
        <f t="shared" si="5"/>
        <v/>
      </c>
      <c r="BO17" s="31" t="str">
        <f t="shared" si="36"/>
        <v/>
      </c>
      <c r="BP17" s="964" t="str">
        <f t="shared" si="6"/>
        <v/>
      </c>
      <c r="BQ17" s="28" t="str">
        <f t="shared" si="7"/>
        <v/>
      </c>
      <c r="BR17" s="964" t="str">
        <f t="shared" si="8"/>
        <v/>
      </c>
      <c r="BS17" s="964" t="str">
        <f t="shared" si="9"/>
        <v/>
      </c>
      <c r="BT17" s="28" t="str">
        <f t="shared" si="10"/>
        <v/>
      </c>
      <c r="BU17" s="28" t="str">
        <f t="shared" si="10"/>
        <v/>
      </c>
      <c r="BV17" s="28" t="str">
        <f t="shared" si="10"/>
        <v/>
      </c>
      <c r="BW17" s="29" t="str">
        <f t="shared" si="37"/>
        <v/>
      </c>
      <c r="BX17" s="29" t="str">
        <f t="shared" si="38"/>
        <v/>
      </c>
      <c r="BY17" s="28" t="str">
        <f>IF($G17="","",$G17*(IF(ADRYr1!$AI17=BY$4,ADRYr1!$AJ17,IF(ADRYr1!$AK17=BY$4,ADRYr1!$AL17,IF(ADRYr1!$AM17=BY$4,ADRYr1!$AN17,0))))*(INDEX(avoidedcosttbl,$H17,BY$2)+(($H17-ROUNDDOWN($H17,0))*(INDEX(avoidedcosttbl,ROUNDUP($H17,0),BY$2)-(INDEX(avoidedcosttbl,ROUNDDOWN($H17,0),BY$2)))))*ADRYr1!P17*ADRYr1!Q17*ADRYr1!U17)</f>
        <v/>
      </c>
      <c r="BZ17" s="28" t="str">
        <f>IF($G17="","",$G17*(IF(ADRYr1!$AI17=BZ$4,ADRYr1!$AJ17,IF(ADRYr1!$AK17=BZ$4,ADRYr1!$AL17,IF(ADRYr1!$AM17=BZ$4,ADRYr1!$AN17,0))))*(INDEX(avoidedcosttbl,$H17,BZ$2)+(($H17-ROUNDDOWN($H17,0))*(INDEX(avoidedcosttbl,ROUNDUP($H17,0),BZ$2)-(INDEX(avoidedcosttbl,ROUNDDOWN($H17,0),BZ$2)))))*ADRYr1!P17*ADRYr1!Q17*ADRYr1!U17)</f>
        <v/>
      </c>
      <c r="CA17" s="28" t="str">
        <f>IF($G17="","",$G17*(IF(ADRYr1!$AI17=CA$4,ADRYr1!$AJ17,IF(ADRYr1!$AK17=CA$4,ADRYr1!$AL17,IF(ADRYr1!$AM17=CA$4,ADRYr1!$AN17,0))))*(INDEX(avoidedcosttbl,$H17,CA$2)+(($H17-ROUNDDOWN($H17,0))*(INDEX(avoidedcosttbl,ROUNDUP($H17,0),CA$2)-(INDEX(avoidedcosttbl,ROUNDDOWN($H17,0),CA$2)))))*ADRYr1!P17*ADRYr1!Q17*ADRYr1!U17)</f>
        <v/>
      </c>
      <c r="CB17" s="28" t="str">
        <f>IF($G17="","",$G17*(IF(ADRYr1!$AI17=CB$4,ADRYr1!$AJ17,IF(ADRYr1!$AK17=CB$4,ADRYr1!$AL17,IF(ADRYr1!$AM17=CB$4,ADRYr1!$AN17,0))))*(INDEX(avoidedcosttbl,$H17,CB$2)+(($H17-ROUNDDOWN($H17,0))*(INDEX(avoidedcosttbl,ROUNDUP($H17,0),CB$2)-(INDEX(avoidedcosttbl,ROUNDDOWN($H17,0),CB$2)))))*ADRYr1!P17*ADRYr1!Q17*ADRYr1!U17)</f>
        <v/>
      </c>
      <c r="CC17" s="28" t="str">
        <f>IF($G17="","",$G17*(IF(ADRYr1!$AI17=CC$4,ADRYr1!$AJ17,IF(ADRYr1!$AK17=CC$4,ADRYr1!$AL17,IF(ADRYr1!$AM17=CC$4,ADRYr1!$AN17,0))))*(INDEX(avoidedcosttbl,$H17,CC$2)+(($H17-ROUNDDOWN($H17,0))*(INDEX(avoidedcosttbl,ROUNDUP($H17,0),CC$2)-(INDEX(avoidedcosttbl,ROUNDDOWN($H17,0),CC$2)))))*ADRYr1!P17*ADRYr1!Q17*ADRYr1!U17)</f>
        <v/>
      </c>
      <c r="CD17" s="28" t="str">
        <f>IF($G17="","",$G17*(IF(ADRYr1!$AI17=CD$4,ADRYr1!$AJ17,IF(ADRYr1!$AK17=CD$4,ADRYr1!$AL17,IF(ADRYr1!$AM17=CD$4,ADRYr1!$AN17,0))))*(INDEX(avoidedcosttbl,$H17,CD$2)+(($H17-ROUNDDOWN($H17,0))*(INDEX(avoidedcosttbl,ROUNDUP($H17,0),CD$2)-(INDEX(avoidedcosttbl,ROUNDDOWN($H17,0),CD$2)))))*ADRYr1!P17*ADRYr1!Q17*ADRYr1!U17)</f>
        <v/>
      </c>
      <c r="CE17" s="28" t="str">
        <f>IF($G17="","",$G17*(IF(ADRYr1!$AI17=CE$4,ADRYr1!$AJ17,IF(ADRYr1!$AK17=CE$4,ADRYr1!$AL17,IF(ADRYr1!$AM17=CE$4,ADRYr1!$AN17,0))))*(INDEX(avoidedcosttbl,$H17,CE$2)+(($H17-ROUNDDOWN($H17,0))*(INDEX(avoidedcosttbl,ROUNDUP($H17,0),CE$2)-(INDEX(avoidedcosttbl,ROUNDDOWN($H17,0),CE$2)))))*ADRYr1!P17*ADRYr1!Q17*ADRYr1!U17)</f>
        <v/>
      </c>
      <c r="CF17" s="41" t="str">
        <f t="shared" si="39"/>
        <v/>
      </c>
      <c r="CG17" s="30" t="str">
        <f t="shared" si="11"/>
        <v/>
      </c>
      <c r="CH17" s="30" t="str">
        <f>IF($G17="","",$G17*(IF(ADRYr1!$AI17=BY$4,ADRYr1!$AJ17,IF(ADRYr1!$AK17=BY$4,ADRYr1!$AL17,IF(ADRYr1!$AM17=BY$4,ADRYr1!$AN17,0))))*(INDEX(avoidedcosttbl,$H17,CH$2)+(($H17-ROUNDDOWN($H17,0))*(INDEX(avoidedcosttbl,ROUNDUP($H17,0),CH$2)-(INDEX(avoidedcosttbl,ROUNDDOWN($H17,0),CH$2)))))*ADRYr1!P17*ADRYr1!Q17*ADRYr1!U17)</f>
        <v/>
      </c>
      <c r="CI17" s="30" t="str">
        <f>IF($G17="","",$G17*(IF(ADRYr1!$AI17=BZ$4,ADRYr1!$AJ17,IF(ADRYr1!$AK17=BZ$4,ADRYr1!$AL17,IF(ADRYr1!$AM17=BZ$4,ADRYr1!$AN17,0))))*(INDEX(avoidedcosttbl,$H17,CI$2)+(($H17-ROUNDDOWN($H17,0))*(INDEX(avoidedcosttbl,ROUNDUP($H17,0),CI$2)-(INDEX(avoidedcosttbl,ROUNDDOWN($H17,0),CI$2)))))*ADRYr1!P17*ADRYr1!Q17*ADRYr1!U17)</f>
        <v/>
      </c>
      <c r="CJ17" s="30" t="str">
        <f>IF($G17="","",$G17*(IF(ADRYr1!$AI17=CA$4,ADRYr1!$AJ17,IF(ADRYr1!$AK17=CA$4,ADRYr1!$AL17,IF(ADRYr1!$AM17=CA$4,ADRYr1!$AN17,0))))*(INDEX(avoidedcosttbl,$H17,CJ$2)+(($H17-ROUNDDOWN($H17,0))*(INDEX(avoidedcosttbl,ROUNDUP($H17,0),CJ$2)-(INDEX(avoidedcosttbl,ROUNDDOWN($H17,0),CJ$2)))))*ADRYr1!P17*ADRYr1!Q17*ADRYr1!U17)</f>
        <v/>
      </c>
      <c r="CK17" s="30" t="str">
        <f>IF($G17="","",$G17*(IF(ADRYr1!$AI17=CB$4,ADRYr1!$AJ17,IF(ADRYr1!$AK17=CB$4,ADRYr1!$AL17,IF(ADRYr1!$AM17=CB$4,ADRYr1!$AN17,0))))*(INDEX(avoidedcosttbl,$H17,CK$2)+(($H17-ROUNDDOWN($H17,0))*(INDEX(avoidedcosttbl,ROUNDUP($H17,0),CK$2)-(INDEX(avoidedcosttbl,ROUNDDOWN($H17,0),CK$2)))))*ADRYr1!P17*ADRYr1!Q17*ADRYr1!U17)</f>
        <v/>
      </c>
      <c r="CL17" s="30" t="str">
        <f>IF($G17="","",$G17*(IF(ADRYr1!$AI17=CC$4,ADRYr1!$AJ17,IF(ADRYr1!$AK17=CC$4,ADRYr1!$AL17,IF(ADRYr1!$AM17=CC$4,ADRYr1!$AN17,0))))*(INDEX(avoidedcosttbl,$H17,CL$2)+(($H17-ROUNDDOWN($H17,0))*(INDEX(avoidedcosttbl,ROUNDUP($H17,0),CL$2)-(INDEX(avoidedcosttbl,ROUNDDOWN($H17,0),CL$2)))))*ADRYr1!P17*ADRYr1!Q17*ADRYr1!U17)</f>
        <v/>
      </c>
      <c r="CM17" s="30" t="str">
        <f>IF($G17="","",$G17*(IF(ADRYr1!$AI17=CD$4,ADRYr1!$AJ17,IF(ADRYr1!$AK17=CD$4,ADRYr1!$AL17,IF(ADRYr1!$AM17=CD$4,ADRYr1!$AN17,0))))*(INDEX(avoidedcosttbl,$H17,CM$2)+(($H17-ROUNDDOWN($H17,0))*(INDEX(avoidedcosttbl,ROUNDUP($H17,0),CM$2)-(INDEX(avoidedcosttbl,ROUNDDOWN($H17,0),CM$2)))))*ADRYr1!P17*ADRYr1!Q17*ADRYr1!U17)</f>
        <v/>
      </c>
      <c r="CN17" s="30" t="str">
        <f>IF($G17="","",$G17*(IF(ADRYr1!$AI17=CE$4,ADRYr1!$AJ17,IF(ADRYr1!$AK17=CE$4,ADRYr1!$AL17,IF(ADRYr1!$AM17=CE$4,ADRYr1!$AN17,0))))*(INDEX(avoidedcosttbl,$H17,CN$2)+(($H17-ROUNDDOWN($H17,0))*(INDEX(avoidedcosttbl,ROUNDUP($H17,0),CN$2)-(INDEX(avoidedcosttbl,ROUNDDOWN($H17,0),CN$2)))))*ADRYr1!P17*ADRYr1!Q17*ADRYr1!U17)</f>
        <v/>
      </c>
      <c r="CO17" s="220" t="str">
        <f t="shared" si="40"/>
        <v/>
      </c>
      <c r="CP17" s="220" t="str">
        <f t="shared" si="41"/>
        <v/>
      </c>
      <c r="CQ17" s="157" t="str">
        <f>IF($G17="","",$G17*(IF(ADRYr1!$AI17=CQ$4,ADRYr1!$AJ17,IF(ADRYr1!$AK17=CQ$4,ADRYr1!$AL17,IF(ADRYr1!$AM17=CQ$4,ADRYr1!$AN17,0))))*(INDEX(avoidedcosttbl,$H17,CQ$2)+(($H17-ROUNDDOWN($H17,0))*(INDEX(avoidedcosttbl,ROUNDUP($H17,0),CQ$2)-(INDEX(avoidedcosttbl,ROUNDDOWN($H17,0),CQ$2)))))*ADRYr1!$P17*ADRYr1!$Q17*ADRYr1!$U17)</f>
        <v/>
      </c>
      <c r="CR17" s="28" t="str">
        <f>IF($G17="","",G17*(IF(ADRYr1!$AI17=CR$4,ADRYr1!$AJ17,IF(ADRYr1!$AK17=CR$4,ADRYr1!$AL17,IF(ADRYr1!$AM17=CR$4,ADRYr1!$AN17,0))))*(INDEX(avoidedcosttbl,$H17,CR$2)+(($H17-ROUNDDOWN($H17,0))*(INDEX(avoidedcosttbl,ROUNDUP($H17,0),CR$2)-(INDEX(avoidedcosttbl,ROUNDDOWN($H17,0),CR$2)))))*ADRYr1!$P17*ADRYr1!$Q17*ADRYr1!$U17)</f>
        <v/>
      </c>
      <c r="CS17" s="28" t="str">
        <f>IF($G17="","",G17*(IF(ADRYr1!$AI17=CS$4,ADRYr1!$AJ17,IF(ADRYr1!$AK17=CS$4,ADRYr1!$AL17,IF(ADRYr1!$AM17=CS$4,ADRYr1!$AN17,0))))*(INDEX(avoidedcosttbl,$H17,CS$2)+(($H17-ROUNDDOWN($H17,0))*(INDEX(avoidedcosttbl,ROUNDUP($H17,0),CS$2)-(INDEX(avoidedcosttbl,ROUNDDOWN($H17,0),CS$2)))))*ADRYr1!$P17*ADRYr1!$Q17*ADRYr1!$U17)</f>
        <v/>
      </c>
      <c r="CT17" s="28" t="str">
        <f t="shared" si="12"/>
        <v/>
      </c>
      <c r="CU17" s="28" t="str">
        <f>IF($G17="","",G17*(IF(ADRYr1!$AI17=CU$4,ADRYr1!$AJ17,IF(ADRYr1!$AK17=CU$4,ADRYr1!$AL17,IF(ADRYr1!$AM17=CU$4,ADRYr1!$AN17,0))))*(INDEX(avoidedcosttbl,$H17,CU$2)+(($H17-ROUNDDOWN($H17,0))*(INDEX(avoidedcosttbl,ROUNDUP($H17,0),CU$2)-(INDEX(avoidedcosttbl,ROUNDDOWN($H17,0),CU$2)))))*ADRYr1!$P17*ADRYr1!$Q17*ADRYr1!$U17)</f>
        <v/>
      </c>
      <c r="CV17" s="28" t="str">
        <f>IF($G17="","",G17*(IF(ADRYr1!$AI17=CV$4,ADRYr1!$AJ17,IF(ADRYr1!$AK17=CV$4,ADRYr1!$AL17,IF(ADRYr1!$AM17=CV$4,ADRYr1!$AN17,0))))*(INDEX(avoidedcosttbl,$H17,CV$2)+(($H17-ROUNDDOWN($H17,0))*(INDEX(avoidedcosttbl,ROUNDUP($H17,0),CV$2)-(INDEX(avoidedcosttbl,ROUNDDOWN($H17,0),CV$2)))))*ADRYr1!$P17*ADRYr1!$Q17*ADRYr1!$U17)</f>
        <v/>
      </c>
      <c r="CW17" s="28" t="str">
        <f>IF($G17="","",G17*(IF(ADRYr1!$AI17=CW$4,ADRYr1!$AJ17,IF(ADRYr1!$AK17=CW$4,ADRYr1!$AL17,IF(ADRYr1!$AM17=CW$4,ADRYr1!$AN17,0))))*(INDEX(avoidedcosttbl,$H17,CW$2)+(($H17-ROUNDDOWN($H17,0))*(INDEX(avoidedcosttbl,ROUNDUP($H17,0),CW$2)-(INDEX(avoidedcosttbl,ROUNDDOWN($H17,0),CW$2)))))*ADRYr1!$P17*ADRYr1!$Q17*ADRYr1!$U17)</f>
        <v/>
      </c>
      <c r="CX17" s="28" t="str">
        <f>IF($G17="","",G17*(IF(ADRYr1!$AI17=CX$4,ADRYr1!$AJ17,IF(ADRYr1!$AK17=CX$4,ADRYr1!$AL17,IF(ADRYr1!$AM17=CX$4,ADRYr1!$AN17,0))))*(INDEX(avoidedcosttbl,$H17,CX$2)+(($H17-ROUNDDOWN($H17,0))*(INDEX(avoidedcosttbl,ROUNDUP($H17,0),CX$2)-(INDEX(avoidedcosttbl,ROUNDDOWN($H17,0),CX$2)))))*ADRYr1!$P17*ADRYr1!$Q17*ADRYr1!$U17)</f>
        <v/>
      </c>
      <c r="CY17" s="28" t="str">
        <f t="shared" si="13"/>
        <v/>
      </c>
      <c r="CZ17" s="32" t="str">
        <f t="shared" si="14"/>
        <v/>
      </c>
      <c r="DA17" s="84" t="str">
        <f t="shared" si="42"/>
        <v/>
      </c>
      <c r="DB17" s="81" t="str">
        <f>IF(NEIadder="Yes",IF($G17="","",INDEX(Lookups!$G$70:$G$71,MATCH($A17,Lookups!$E$70:$E$71,0))*(SUM(CP17:CX17,BX17))),"")</f>
        <v/>
      </c>
      <c r="DC17" s="263" t="str">
        <f t="shared" si="15"/>
        <v/>
      </c>
      <c r="DD17" s="166" t="str">
        <f t="shared" si="16"/>
        <v/>
      </c>
      <c r="DE17" s="82">
        <f t="shared" si="43"/>
        <v>0</v>
      </c>
      <c r="DF17" s="615" t="str">
        <f>IF($G17="","",(1+WntPeakEnergyLL)*(INDEX(avoidedcosttbl,$H17,DF$2)+(($H17-ROUNDDOWN($H17,0))*(INDEX(avoidedcosttbl,ROUNDUP($H17,0),DF$2)-(INDEX(avoidedcosttbl,ROUNDDOWN($H17,0),DF$2)))))*$P17*1000*ADRYr1!Z17)</f>
        <v/>
      </c>
      <c r="DG17" s="615" t="str">
        <f>IF($G17="","",(1+WntOffPeakEnergyLL)*(INDEX(avoidedcosttbl,$H17,DG$2)+(($H17-ROUNDDOWN($H17,0))*(INDEX(avoidedcosttbl,ROUNDUP($H17,0),DG$2)-(INDEX(avoidedcosttbl,ROUNDDOWN($H17,0),DG$2)))))*$P17*1000*ADRYr1!AA17)</f>
        <v/>
      </c>
      <c r="DH17" s="615" t="str">
        <f>IF($G17="","",(1+SumPeakEnergyLL)*(INDEX(avoidedcosttbl,$H17,DH$2)+(($H17-ROUNDDOWN($H17,0))*(INDEX(avoidedcosttbl,ROUNDUP($H17,0),DH$2)-(INDEX(avoidedcosttbl,ROUNDDOWN($H17,0),DH$2)))))*$P17*1000*ADRYr1!AB17)</f>
        <v/>
      </c>
      <c r="DI17" s="615" t="str">
        <f>IF($G17="","",(1+SumOffPeakEnergyLL)*(INDEX(avoidedcosttbl,$H17,DI$2)+(($H17-ROUNDDOWN($H17,0))*(INDEX(avoidedcosttbl,ROUNDUP($H17,0),DI$2)-(INDEX(avoidedcosttbl,ROUNDDOWN($H17,0),DI$2)))))*$P17*1000*ADRYr1!AC17)</f>
        <v/>
      </c>
      <c r="DJ17" s="29" t="str">
        <f t="shared" si="44"/>
        <v/>
      </c>
      <c r="DK17" s="161" t="str">
        <f t="shared" si="45"/>
        <v/>
      </c>
      <c r="DL17" s="1189" t="str">
        <f t="shared" si="46"/>
        <v/>
      </c>
      <c r="DM17" s="1189" t="str">
        <f t="shared" si="47"/>
        <v/>
      </c>
      <c r="DN17" s="43" t="str">
        <f t="shared" si="48"/>
        <v/>
      </c>
      <c r="DO17" s="966" t="str">
        <f>IF($G17="","",ADRYr1!AQ17)</f>
        <v/>
      </c>
      <c r="DP17" s="968" t="str">
        <f>IF($G17="","",ADRYr1!AR17)</f>
        <v/>
      </c>
      <c r="DQ17" s="970" t="str">
        <f>IF($G17="","",IF($DP17="Yes",COLUMN(AESC!$L$10),IF($DP17="No","Using AvoidedDemand tab",IF($DP17="Mixed",COLUMN(AESC!$N$10)))))</f>
        <v/>
      </c>
      <c r="DR17" s="970" t="str">
        <f>IF($G17="","",IF($DP17="Yes",COLUMN(AESC!$P$10),IF($DP17="No","Using AvoidedDemand tab",IF($DP17="Mixed",COLUMN(AESC!$R$10)))))</f>
        <v/>
      </c>
      <c r="DS17" s="970" t="str">
        <f>IF($G17="","",IF($DP17="Yes",COLUMN(AESC!$S$10),IF($DP17="No",COLUMN(AESC!$T$10),IF($DP17="Mixed",COLUMN(AESC!$U$10)))))</f>
        <v/>
      </c>
      <c r="DT17" s="970" t="str">
        <f t="shared" si="17"/>
        <v/>
      </c>
      <c r="DU17" s="970" t="str">
        <f>IF($G17="","",ADRYr1!AS17)</f>
        <v/>
      </c>
      <c r="DV17" s="971" t="str">
        <f>IF($G17="","",ADRYr1!AT17)</f>
        <v/>
      </c>
      <c r="DW17" s="1162" t="str">
        <f>IF($G17="","",INDEX(AvoidedEnergy!$H$4:$H$10,MATCH($DO17,AvoidedEnergy!$A$4:$A$10,0)))</f>
        <v/>
      </c>
    </row>
    <row r="18" spans="1:127">
      <c r="A18" s="160" t="str">
        <f>IF(ADRYr1!$B18=0,"",ADRYr1!A18)</f>
        <v>B - Low-Income</v>
      </c>
      <c r="B18" s="9" t="str">
        <f>IF(ADRYr1!$B18=0,"",ADRYr1!B18)</f>
        <v>Home Energy Assistance</v>
      </c>
      <c r="C18" s="9" t="str">
        <f>IF(ADRYr1!$B18=0,"",ADRYr1!C18)</f>
        <v>Res Demand Response</v>
      </c>
      <c r="D18" s="9" t="str">
        <f>IF(ADRYr1!$B18=0,"",ADRYr1!D18)</f>
        <v>Behavior DR</v>
      </c>
      <c r="E18" s="9">
        <f>IF(ADRYr1!$B18=0,"",ADRYr1!E18)</f>
        <v>0</v>
      </c>
      <c r="F18" s="11" t="str">
        <f>IF(ADRYr1!$B18=0,"",ADRYr1!F18)</f>
        <v>Behavior</v>
      </c>
      <c r="G18" s="12" t="str">
        <f>IF(ADRYr1!$G18&lt;&gt;0,ADRYr1!G18,"")</f>
        <v/>
      </c>
      <c r="H18" s="960" t="str">
        <f>IF($G18="","",ROUND(ADRYr1!H18,0))</f>
        <v/>
      </c>
      <c r="I18" s="47" t="str">
        <f>IF($G18="","",ADRYr1!I18*ADRYr1!P18*G18)</f>
        <v/>
      </c>
      <c r="J18" s="47" t="str">
        <f>IF($G18="","",ADRYr1!J18*G18)</f>
        <v/>
      </c>
      <c r="K18" s="47" t="str">
        <f t="shared" si="18"/>
        <v/>
      </c>
      <c r="L18" s="27" t="str">
        <f>IF($G18="","",ADRYr1!V18*G18/1000)</f>
        <v/>
      </c>
      <c r="M18" s="27" t="str">
        <f>IF($G18="","",L18*ADRYr1!$Q18*ADRYr1!$R18)</f>
        <v/>
      </c>
      <c r="N18" s="27" t="str">
        <f t="shared" si="19"/>
        <v/>
      </c>
      <c r="O18" s="27" t="str">
        <f t="shared" si="20"/>
        <v/>
      </c>
      <c r="P18" s="27" t="str">
        <f>IF($G18="","",M18*ADRYr1!P18)</f>
        <v/>
      </c>
      <c r="Q18" s="27" t="str">
        <f t="shared" si="21"/>
        <v/>
      </c>
      <c r="R18" s="27" t="str">
        <f>IF($G18="","",$Q18*ADRYr1!Z18)</f>
        <v/>
      </c>
      <c r="S18" s="27" t="str">
        <f>IF($G18="","",$Q18*ADRYr1!AA18)</f>
        <v/>
      </c>
      <c r="T18" s="27" t="str">
        <f>IF($G18="","",$Q18*ADRYr1!AB18)</f>
        <v/>
      </c>
      <c r="U18" s="27" t="str">
        <f>IF($G18="","",$Q18*ADRYr1!AC18)</f>
        <v/>
      </c>
      <c r="V18" s="27" t="str">
        <f>IF($G18="","",G18*ADRYr1!$AD18*ADRYr1!$P18*ADRYr1!$Q18)</f>
        <v/>
      </c>
      <c r="W18" s="27" t="str">
        <f>IF($G18="","",$G18*ADRYr1!$AD18*ADRYr1!$AF18*ADRYr1!Q18*ADRYr1!$S18)</f>
        <v/>
      </c>
      <c r="X18" s="27" t="str">
        <f>IF($G18="","",$G18*ADRYr1!$AD18*ADRYr1!$AF18*ADRYr1!P18*ADRYr1!Q18*ADRYr1!$S18)</f>
        <v/>
      </c>
      <c r="Y18" s="27" t="str">
        <f>IF($G18="","",$G18*ADRYr1!$AD18*ADRYr1!$AE18*ADRYr1!Q18*ADRYr1!$T18)</f>
        <v/>
      </c>
      <c r="Z18" s="27" t="str">
        <f>IF($G18="","",$G18*ADRYr1!$AD18*ADRYr1!$AE18*ADRYr1!P18*ADRYr1!Q18*ADRYr1!$T18)</f>
        <v/>
      </c>
      <c r="AA18" s="45" t="str">
        <f>IF($G18="","",$G18*ADRYr1!$Q18*ADRYr1!$U18*(IF(IFERROR(SEARCH("NG", ADRYr1!$AI18),0),ADRYr1!$AJ18,0)+IF(IFERROR(SEARCH("NG", ADRYr1!$AK18),0),ADRYr1!$AL18,0)+IF(IFERROR(SEARCH("NG", ADRYr1!$AM18),0),ADRYr1!$AN18,0)))</f>
        <v/>
      </c>
      <c r="AB18" s="45" t="str">
        <f t="shared" si="22"/>
        <v/>
      </c>
      <c r="AC18" s="45">
        <f>IF($G18="",0,AA18*ADRYr1!$P18)</f>
        <v>0</v>
      </c>
      <c r="AD18" s="45" t="str">
        <f t="shared" si="23"/>
        <v/>
      </c>
      <c r="AE18" s="45" t="str">
        <f>IF($G18="","",$G18*ADRYr1!$Q18*ADRYr1!$U18*(IF(IFERROR(SEARCH("Oil", ADRYr1!$AI18), 0),ADRYr1!$AJ18,0)+IF(IFERROR(SEARCH("Oil", ADRYr1!$AK18), 0),ADRYr1!$AL18,0)+IF(IFERROR(SEARCH("Oil", ADRYr1!$AM18), 0),ADRYr1!$AN18,0)))</f>
        <v/>
      </c>
      <c r="AF18" s="45" t="str">
        <f t="shared" si="24"/>
        <v/>
      </c>
      <c r="AG18" s="45">
        <f>IF($G18="",0,AE18*ADRYr1!$P18)</f>
        <v>0</v>
      </c>
      <c r="AH18" s="45" t="str">
        <f t="shared" si="25"/>
        <v/>
      </c>
      <c r="AI18" s="45" t="str">
        <f>IF($G18="","",$G18*ADRYr1!$Q18*ADRYr1!$U18*(IF(ADRYr1!$AI18=Lookups!$E$116,ADRYr1!$AJ18,IF(ADRYr1!$AK18=Lookups!$E$116,ADRYr1!$AL18,IF(ADRYr1!$AM18=Lookups!$E$116,ADRYr1!$AN18,0)))))</f>
        <v/>
      </c>
      <c r="AJ18" s="45" t="str">
        <f t="shared" si="26"/>
        <v/>
      </c>
      <c r="AK18" s="45">
        <f>IF($G18="",0,AI18*ADRYr1!$P18)</f>
        <v>0</v>
      </c>
      <c r="AL18" s="45" t="str">
        <f t="shared" si="27"/>
        <v/>
      </c>
      <c r="AM18" s="45" t="str">
        <f>IF($G18="","",$G18*ADRYr1!$Q18*ADRYr1!$U18*(IF(ADRYr1!$AI18=Lookups!$E$115,ADRYr1!$AJ18,IF(ADRYr1!$AK18=Lookups!$E$115,ADRYr1!$AL18,IF(ADRYr1!$AM18=Lookups!$E$115,ADRYr1!$AN18,0)))))</f>
        <v/>
      </c>
      <c r="AN18" s="45" t="str">
        <f t="shared" si="28"/>
        <v/>
      </c>
      <c r="AO18" s="45">
        <f>IF($G18="",0,AM18*ADRYr1!$P18)</f>
        <v>0</v>
      </c>
      <c r="AP18" s="45" t="str">
        <f t="shared" si="29"/>
        <v/>
      </c>
      <c r="AQ18" s="45" t="str">
        <f>IF($G18="","",$G18*ADRYr1!$Q18*ADRYr1!$U18*(IF(ADRYr1!$AI18=Lookups!$E$117,ADRYr1!$AJ18,IF(ADRYr1!$AK18=Lookups!$E$117,ADRYr1!$AL18,IF(ADRYr1!$AM18=Lookups!$E$117,ADRYr1!$AN18,0)))))</f>
        <v/>
      </c>
      <c r="AR18" s="45" t="str">
        <f t="shared" si="30"/>
        <v/>
      </c>
      <c r="AS18" s="45" t="str">
        <f>IF($G18="","",AQ18*ADRYr1!$P18)</f>
        <v/>
      </c>
      <c r="AT18" s="45" t="str">
        <f t="shared" si="31"/>
        <v/>
      </c>
      <c r="AU18" s="45" t="str">
        <f>IF($G18="","",$G18*ADRYr1!$Q18*ADRYr1!$U18*(IF(ADRYr1!$AI18=Lookups!$E$118,ADRYr1!$AJ18,IF(ADRYr1!$AK18=Lookups!$E$118,ADRYr1!$AL18,IF(ADRYr1!$AM18=Lookups!$E$118,ADRYr1!$AN18,0)))))</f>
        <v/>
      </c>
      <c r="AV18" s="45" t="str">
        <f t="shared" si="32"/>
        <v/>
      </c>
      <c r="AW18" s="45" t="str">
        <f>IF($G18="","",AU18*ADRYr1!$P18)</f>
        <v/>
      </c>
      <c r="AX18" s="45" t="str">
        <f t="shared" si="33"/>
        <v/>
      </c>
      <c r="AY18" s="45">
        <f t="shared" si="34"/>
        <v>0</v>
      </c>
      <c r="AZ18" s="45">
        <f t="shared" si="34"/>
        <v>0</v>
      </c>
      <c r="BA18" s="101" t="str">
        <f>IF($G18="","",$G18*ADRYr1!$P18*ADRYr1!$Q18*ADRYr1!$U18*ADRYr1!AO18)</f>
        <v/>
      </c>
      <c r="BB18" s="102" t="str">
        <f>IF($G18="","",$G18*ADRYr1!$P18*ADRYr1!$Q18*ADRYr1!$U18*ADRYr1!AP18)</f>
        <v/>
      </c>
      <c r="BC18" s="100" t="str">
        <f t="shared" si="35"/>
        <v/>
      </c>
      <c r="BD18" s="961"/>
      <c r="BE18" s="961"/>
      <c r="BF18" s="961"/>
      <c r="BG18" s="961"/>
      <c r="BH18" s="962" t="str">
        <f t="shared" si="3"/>
        <v/>
      </c>
      <c r="BI18" s="961"/>
      <c r="BJ18" s="961"/>
      <c r="BK18" s="961"/>
      <c r="BL18" s="961"/>
      <c r="BM18" s="30" t="str">
        <f t="shared" si="4"/>
        <v/>
      </c>
      <c r="BN18" s="963" t="str">
        <f t="shared" si="5"/>
        <v/>
      </c>
      <c r="BO18" s="31" t="str">
        <f t="shared" si="36"/>
        <v/>
      </c>
      <c r="BP18" s="964" t="str">
        <f t="shared" si="6"/>
        <v/>
      </c>
      <c r="BQ18" s="28" t="str">
        <f t="shared" si="7"/>
        <v/>
      </c>
      <c r="BR18" s="964" t="str">
        <f t="shared" si="8"/>
        <v/>
      </c>
      <c r="BS18" s="964" t="str">
        <f t="shared" si="9"/>
        <v/>
      </c>
      <c r="BT18" s="28" t="str">
        <f t="shared" si="10"/>
        <v/>
      </c>
      <c r="BU18" s="28" t="str">
        <f t="shared" si="10"/>
        <v/>
      </c>
      <c r="BV18" s="28" t="str">
        <f t="shared" si="10"/>
        <v/>
      </c>
      <c r="BW18" s="29" t="str">
        <f t="shared" si="37"/>
        <v/>
      </c>
      <c r="BX18" s="29" t="str">
        <f t="shared" si="38"/>
        <v/>
      </c>
      <c r="BY18" s="28" t="str">
        <f>IF($G18="","",$G18*(IF(ADRYr1!$AI18=BY$4,ADRYr1!$AJ18,IF(ADRYr1!$AK18=BY$4,ADRYr1!$AL18,IF(ADRYr1!$AM18=BY$4,ADRYr1!$AN18,0))))*(INDEX(avoidedcosttbl,$H18,BY$2)+(($H18-ROUNDDOWN($H18,0))*(INDEX(avoidedcosttbl,ROUNDUP($H18,0),BY$2)-(INDEX(avoidedcosttbl,ROUNDDOWN($H18,0),BY$2)))))*ADRYr1!P18*ADRYr1!Q18*ADRYr1!U18)</f>
        <v/>
      </c>
      <c r="BZ18" s="28" t="str">
        <f>IF($G18="","",$G18*(IF(ADRYr1!$AI18=BZ$4,ADRYr1!$AJ18,IF(ADRYr1!$AK18=BZ$4,ADRYr1!$AL18,IF(ADRYr1!$AM18=BZ$4,ADRYr1!$AN18,0))))*(INDEX(avoidedcosttbl,$H18,BZ$2)+(($H18-ROUNDDOWN($H18,0))*(INDEX(avoidedcosttbl,ROUNDUP($H18,0),BZ$2)-(INDEX(avoidedcosttbl,ROUNDDOWN($H18,0),BZ$2)))))*ADRYr1!P18*ADRYr1!Q18*ADRYr1!U18)</f>
        <v/>
      </c>
      <c r="CA18" s="28" t="str">
        <f>IF($G18="","",$G18*(IF(ADRYr1!$AI18=CA$4,ADRYr1!$AJ18,IF(ADRYr1!$AK18=CA$4,ADRYr1!$AL18,IF(ADRYr1!$AM18=CA$4,ADRYr1!$AN18,0))))*(INDEX(avoidedcosttbl,$H18,CA$2)+(($H18-ROUNDDOWN($H18,0))*(INDEX(avoidedcosttbl,ROUNDUP($H18,0),CA$2)-(INDEX(avoidedcosttbl,ROUNDDOWN($H18,0),CA$2)))))*ADRYr1!P18*ADRYr1!Q18*ADRYr1!U18)</f>
        <v/>
      </c>
      <c r="CB18" s="28" t="str">
        <f>IF($G18="","",$G18*(IF(ADRYr1!$AI18=CB$4,ADRYr1!$AJ18,IF(ADRYr1!$AK18=CB$4,ADRYr1!$AL18,IF(ADRYr1!$AM18=CB$4,ADRYr1!$AN18,0))))*(INDEX(avoidedcosttbl,$H18,CB$2)+(($H18-ROUNDDOWN($H18,0))*(INDEX(avoidedcosttbl,ROUNDUP($H18,0),CB$2)-(INDEX(avoidedcosttbl,ROUNDDOWN($H18,0),CB$2)))))*ADRYr1!P18*ADRYr1!Q18*ADRYr1!U18)</f>
        <v/>
      </c>
      <c r="CC18" s="28" t="str">
        <f>IF($G18="","",$G18*(IF(ADRYr1!$AI18=CC$4,ADRYr1!$AJ18,IF(ADRYr1!$AK18=CC$4,ADRYr1!$AL18,IF(ADRYr1!$AM18=CC$4,ADRYr1!$AN18,0))))*(INDEX(avoidedcosttbl,$H18,CC$2)+(($H18-ROUNDDOWN($H18,0))*(INDEX(avoidedcosttbl,ROUNDUP($H18,0),CC$2)-(INDEX(avoidedcosttbl,ROUNDDOWN($H18,0),CC$2)))))*ADRYr1!P18*ADRYr1!Q18*ADRYr1!U18)</f>
        <v/>
      </c>
      <c r="CD18" s="28" t="str">
        <f>IF($G18="","",$G18*(IF(ADRYr1!$AI18=CD$4,ADRYr1!$AJ18,IF(ADRYr1!$AK18=CD$4,ADRYr1!$AL18,IF(ADRYr1!$AM18=CD$4,ADRYr1!$AN18,0))))*(INDEX(avoidedcosttbl,$H18,CD$2)+(($H18-ROUNDDOWN($H18,0))*(INDEX(avoidedcosttbl,ROUNDUP($H18,0),CD$2)-(INDEX(avoidedcosttbl,ROUNDDOWN($H18,0),CD$2)))))*ADRYr1!P18*ADRYr1!Q18*ADRYr1!U18)</f>
        <v/>
      </c>
      <c r="CE18" s="28" t="str">
        <f>IF($G18="","",$G18*(IF(ADRYr1!$AI18=CE$4,ADRYr1!$AJ18,IF(ADRYr1!$AK18=CE$4,ADRYr1!$AL18,IF(ADRYr1!$AM18=CE$4,ADRYr1!$AN18,0))))*(INDEX(avoidedcosttbl,$H18,CE$2)+(($H18-ROUNDDOWN($H18,0))*(INDEX(avoidedcosttbl,ROUNDUP($H18,0),CE$2)-(INDEX(avoidedcosttbl,ROUNDDOWN($H18,0),CE$2)))))*ADRYr1!P18*ADRYr1!Q18*ADRYr1!U18)</f>
        <v/>
      </c>
      <c r="CF18" s="41" t="str">
        <f t="shared" si="39"/>
        <v/>
      </c>
      <c r="CG18" s="30" t="str">
        <f t="shared" si="11"/>
        <v/>
      </c>
      <c r="CH18" s="30" t="str">
        <f>IF($G18="","",$G18*(IF(ADRYr1!$AI18=BY$4,ADRYr1!$AJ18,IF(ADRYr1!$AK18=BY$4,ADRYr1!$AL18,IF(ADRYr1!$AM18=BY$4,ADRYr1!$AN18,0))))*(INDEX(avoidedcosttbl,$H18,CH$2)+(($H18-ROUNDDOWN($H18,0))*(INDEX(avoidedcosttbl,ROUNDUP($H18,0),CH$2)-(INDEX(avoidedcosttbl,ROUNDDOWN($H18,0),CH$2)))))*ADRYr1!P18*ADRYr1!Q18*ADRYr1!U18)</f>
        <v/>
      </c>
      <c r="CI18" s="30" t="str">
        <f>IF($G18="","",$G18*(IF(ADRYr1!$AI18=BZ$4,ADRYr1!$AJ18,IF(ADRYr1!$AK18=BZ$4,ADRYr1!$AL18,IF(ADRYr1!$AM18=BZ$4,ADRYr1!$AN18,0))))*(INDEX(avoidedcosttbl,$H18,CI$2)+(($H18-ROUNDDOWN($H18,0))*(INDEX(avoidedcosttbl,ROUNDUP($H18,0),CI$2)-(INDEX(avoidedcosttbl,ROUNDDOWN($H18,0),CI$2)))))*ADRYr1!P18*ADRYr1!Q18*ADRYr1!U18)</f>
        <v/>
      </c>
      <c r="CJ18" s="30" t="str">
        <f>IF($G18="","",$G18*(IF(ADRYr1!$AI18=CA$4,ADRYr1!$AJ18,IF(ADRYr1!$AK18=CA$4,ADRYr1!$AL18,IF(ADRYr1!$AM18=CA$4,ADRYr1!$AN18,0))))*(INDEX(avoidedcosttbl,$H18,CJ$2)+(($H18-ROUNDDOWN($H18,0))*(INDEX(avoidedcosttbl,ROUNDUP($H18,0),CJ$2)-(INDEX(avoidedcosttbl,ROUNDDOWN($H18,0),CJ$2)))))*ADRYr1!P18*ADRYr1!Q18*ADRYr1!U18)</f>
        <v/>
      </c>
      <c r="CK18" s="30" t="str">
        <f>IF($G18="","",$G18*(IF(ADRYr1!$AI18=CB$4,ADRYr1!$AJ18,IF(ADRYr1!$AK18=CB$4,ADRYr1!$AL18,IF(ADRYr1!$AM18=CB$4,ADRYr1!$AN18,0))))*(INDEX(avoidedcosttbl,$H18,CK$2)+(($H18-ROUNDDOWN($H18,0))*(INDEX(avoidedcosttbl,ROUNDUP($H18,0),CK$2)-(INDEX(avoidedcosttbl,ROUNDDOWN($H18,0),CK$2)))))*ADRYr1!P18*ADRYr1!Q18*ADRYr1!U18)</f>
        <v/>
      </c>
      <c r="CL18" s="30" t="str">
        <f>IF($G18="","",$G18*(IF(ADRYr1!$AI18=CC$4,ADRYr1!$AJ18,IF(ADRYr1!$AK18=CC$4,ADRYr1!$AL18,IF(ADRYr1!$AM18=CC$4,ADRYr1!$AN18,0))))*(INDEX(avoidedcosttbl,$H18,CL$2)+(($H18-ROUNDDOWN($H18,0))*(INDEX(avoidedcosttbl,ROUNDUP($H18,0),CL$2)-(INDEX(avoidedcosttbl,ROUNDDOWN($H18,0),CL$2)))))*ADRYr1!P18*ADRYr1!Q18*ADRYr1!U18)</f>
        <v/>
      </c>
      <c r="CM18" s="30" t="str">
        <f>IF($G18="","",$G18*(IF(ADRYr1!$AI18=CD$4,ADRYr1!$AJ18,IF(ADRYr1!$AK18=CD$4,ADRYr1!$AL18,IF(ADRYr1!$AM18=CD$4,ADRYr1!$AN18,0))))*(INDEX(avoidedcosttbl,$H18,CM$2)+(($H18-ROUNDDOWN($H18,0))*(INDEX(avoidedcosttbl,ROUNDUP($H18,0),CM$2)-(INDEX(avoidedcosttbl,ROUNDDOWN($H18,0),CM$2)))))*ADRYr1!P18*ADRYr1!Q18*ADRYr1!U18)</f>
        <v/>
      </c>
      <c r="CN18" s="30" t="str">
        <f>IF($G18="","",$G18*(IF(ADRYr1!$AI18=CE$4,ADRYr1!$AJ18,IF(ADRYr1!$AK18=CE$4,ADRYr1!$AL18,IF(ADRYr1!$AM18=CE$4,ADRYr1!$AN18,0))))*(INDEX(avoidedcosttbl,$H18,CN$2)+(($H18-ROUNDDOWN($H18,0))*(INDEX(avoidedcosttbl,ROUNDUP($H18,0),CN$2)-(INDEX(avoidedcosttbl,ROUNDDOWN($H18,0),CN$2)))))*ADRYr1!P18*ADRYr1!Q18*ADRYr1!U18)</f>
        <v/>
      </c>
      <c r="CO18" s="220" t="str">
        <f t="shared" si="40"/>
        <v/>
      </c>
      <c r="CP18" s="220" t="str">
        <f t="shared" si="41"/>
        <v/>
      </c>
      <c r="CQ18" s="157" t="str">
        <f>IF($G18="","",$G18*(IF(ADRYr1!$AI18=CQ$4,ADRYr1!$AJ18,IF(ADRYr1!$AK18=CQ$4,ADRYr1!$AL18,IF(ADRYr1!$AM18=CQ$4,ADRYr1!$AN18,0))))*(INDEX(avoidedcosttbl,$H18,CQ$2)+(($H18-ROUNDDOWN($H18,0))*(INDEX(avoidedcosttbl,ROUNDUP($H18,0),CQ$2)-(INDEX(avoidedcosttbl,ROUNDDOWN($H18,0),CQ$2)))))*ADRYr1!$P18*ADRYr1!$Q18*ADRYr1!$U18)</f>
        <v/>
      </c>
      <c r="CR18" s="28" t="str">
        <f>IF($G18="","",G18*(IF(ADRYr1!$AI18=CR$4,ADRYr1!$AJ18,IF(ADRYr1!$AK18=CR$4,ADRYr1!$AL18,IF(ADRYr1!$AM18=CR$4,ADRYr1!$AN18,0))))*(INDEX(avoidedcosttbl,$H18,CR$2)+(($H18-ROUNDDOWN($H18,0))*(INDEX(avoidedcosttbl,ROUNDUP($H18,0),CR$2)-(INDEX(avoidedcosttbl,ROUNDDOWN($H18,0),CR$2)))))*ADRYr1!$P18*ADRYr1!$Q18*ADRYr1!$U18)</f>
        <v/>
      </c>
      <c r="CS18" s="28" t="str">
        <f>IF($G18="","",G18*(IF(ADRYr1!$AI18=CS$4,ADRYr1!$AJ18,IF(ADRYr1!$AK18=CS$4,ADRYr1!$AL18,IF(ADRYr1!$AM18=CS$4,ADRYr1!$AN18,0))))*(INDEX(avoidedcosttbl,$H18,CS$2)+(($H18-ROUNDDOWN($H18,0))*(INDEX(avoidedcosttbl,ROUNDUP($H18,0),CS$2)-(INDEX(avoidedcosttbl,ROUNDDOWN($H18,0),CS$2)))))*ADRYr1!$P18*ADRYr1!$Q18*ADRYr1!$U18)</f>
        <v/>
      </c>
      <c r="CT18" s="28" t="str">
        <f t="shared" si="12"/>
        <v/>
      </c>
      <c r="CU18" s="28" t="str">
        <f>IF($G18="","",G18*(IF(ADRYr1!$AI18=CU$4,ADRYr1!$AJ18,IF(ADRYr1!$AK18=CU$4,ADRYr1!$AL18,IF(ADRYr1!$AM18=CU$4,ADRYr1!$AN18,0))))*(INDEX(avoidedcosttbl,$H18,CU$2)+(($H18-ROUNDDOWN($H18,0))*(INDEX(avoidedcosttbl,ROUNDUP($H18,0),CU$2)-(INDEX(avoidedcosttbl,ROUNDDOWN($H18,0),CU$2)))))*ADRYr1!$P18*ADRYr1!$Q18*ADRYr1!$U18)</f>
        <v/>
      </c>
      <c r="CV18" s="28" t="str">
        <f>IF($G18="","",G18*(IF(ADRYr1!$AI18=CV$4,ADRYr1!$AJ18,IF(ADRYr1!$AK18=CV$4,ADRYr1!$AL18,IF(ADRYr1!$AM18=CV$4,ADRYr1!$AN18,0))))*(INDEX(avoidedcosttbl,$H18,CV$2)+(($H18-ROUNDDOWN($H18,0))*(INDEX(avoidedcosttbl,ROUNDUP($H18,0),CV$2)-(INDEX(avoidedcosttbl,ROUNDDOWN($H18,0),CV$2)))))*ADRYr1!$P18*ADRYr1!$Q18*ADRYr1!$U18)</f>
        <v/>
      </c>
      <c r="CW18" s="28" t="str">
        <f>IF($G18="","",G18*(IF(ADRYr1!$AI18=CW$4,ADRYr1!$AJ18,IF(ADRYr1!$AK18=CW$4,ADRYr1!$AL18,IF(ADRYr1!$AM18=CW$4,ADRYr1!$AN18,0))))*(INDEX(avoidedcosttbl,$H18,CW$2)+(($H18-ROUNDDOWN($H18,0))*(INDEX(avoidedcosttbl,ROUNDUP($H18,0),CW$2)-(INDEX(avoidedcosttbl,ROUNDDOWN($H18,0),CW$2)))))*ADRYr1!$P18*ADRYr1!$Q18*ADRYr1!$U18)</f>
        <v/>
      </c>
      <c r="CX18" s="28" t="str">
        <f>IF($G18="","",G18*(IF(ADRYr1!$AI18=CX$4,ADRYr1!$AJ18,IF(ADRYr1!$AK18=CX$4,ADRYr1!$AL18,IF(ADRYr1!$AM18=CX$4,ADRYr1!$AN18,0))))*(INDEX(avoidedcosttbl,$H18,CX$2)+(($H18-ROUNDDOWN($H18,0))*(INDEX(avoidedcosttbl,ROUNDUP($H18,0),CX$2)-(INDEX(avoidedcosttbl,ROUNDDOWN($H18,0),CX$2)))))*ADRYr1!$P18*ADRYr1!$Q18*ADRYr1!$U18)</f>
        <v/>
      </c>
      <c r="CY18" s="28" t="str">
        <f t="shared" si="13"/>
        <v/>
      </c>
      <c r="CZ18" s="32" t="str">
        <f t="shared" si="14"/>
        <v/>
      </c>
      <c r="DA18" s="84" t="str">
        <f t="shared" si="42"/>
        <v/>
      </c>
      <c r="DB18" s="81" t="str">
        <f>IF(NEIadder="Yes",IF($G18="","",INDEX(Lookups!$G$70:$G$71,MATCH($A18,Lookups!$E$70:$E$71,0))*(SUM(CP18:CX18,BX18))),"")</f>
        <v/>
      </c>
      <c r="DC18" s="263" t="str">
        <f t="shared" si="15"/>
        <v/>
      </c>
      <c r="DD18" s="166" t="str">
        <f t="shared" si="16"/>
        <v/>
      </c>
      <c r="DE18" s="82">
        <f t="shared" si="43"/>
        <v>0</v>
      </c>
      <c r="DF18" s="615" t="str">
        <f>IF($G18="","",(1+WntPeakEnergyLL)*(INDEX(avoidedcosttbl,$H18,DF$2)+(($H18-ROUNDDOWN($H18,0))*(INDEX(avoidedcosttbl,ROUNDUP($H18,0),DF$2)-(INDEX(avoidedcosttbl,ROUNDDOWN($H18,0),DF$2)))))*$P18*1000*ADRYr1!Z18)</f>
        <v/>
      </c>
      <c r="DG18" s="615" t="str">
        <f>IF($G18="","",(1+WntOffPeakEnergyLL)*(INDEX(avoidedcosttbl,$H18,DG$2)+(($H18-ROUNDDOWN($H18,0))*(INDEX(avoidedcosttbl,ROUNDUP($H18,0),DG$2)-(INDEX(avoidedcosttbl,ROUNDDOWN($H18,0),DG$2)))))*$P18*1000*ADRYr1!AA18)</f>
        <v/>
      </c>
      <c r="DH18" s="615" t="str">
        <f>IF($G18="","",(1+SumPeakEnergyLL)*(INDEX(avoidedcosttbl,$H18,DH$2)+(($H18-ROUNDDOWN($H18,0))*(INDEX(avoidedcosttbl,ROUNDUP($H18,0),DH$2)-(INDEX(avoidedcosttbl,ROUNDDOWN($H18,0),DH$2)))))*$P18*1000*ADRYr1!AB18)</f>
        <v/>
      </c>
      <c r="DI18" s="615" t="str">
        <f>IF($G18="","",(1+SumOffPeakEnergyLL)*(INDEX(avoidedcosttbl,$H18,DI$2)+(($H18-ROUNDDOWN($H18,0))*(INDEX(avoidedcosttbl,ROUNDUP($H18,0),DI$2)-(INDEX(avoidedcosttbl,ROUNDDOWN($H18,0),DI$2)))))*$P18*1000*ADRYr1!AC18)</f>
        <v/>
      </c>
      <c r="DJ18" s="29" t="str">
        <f t="shared" si="44"/>
        <v/>
      </c>
      <c r="DK18" s="161" t="str">
        <f t="shared" si="45"/>
        <v/>
      </c>
      <c r="DL18" s="1189" t="str">
        <f t="shared" si="46"/>
        <v/>
      </c>
      <c r="DM18" s="1189" t="str">
        <f t="shared" si="47"/>
        <v/>
      </c>
      <c r="DN18" s="43" t="str">
        <f t="shared" si="48"/>
        <v/>
      </c>
      <c r="DO18" s="966" t="str">
        <f>IF($G18="","",ADRYr1!AQ18)</f>
        <v/>
      </c>
      <c r="DP18" s="968" t="str">
        <f>IF($G18="","",ADRYr1!AR18)</f>
        <v/>
      </c>
      <c r="DQ18" s="970" t="str">
        <f>IF($G18="","",IF($DP18="Yes",COLUMN(AESC!$L$10),IF($DP18="No","Using AvoidedDemand tab",IF($DP18="Mixed",COLUMN(AESC!$N$10)))))</f>
        <v/>
      </c>
      <c r="DR18" s="970" t="str">
        <f>IF($G18="","",IF($DP18="Yes",COLUMN(AESC!$P$10),IF($DP18="No","Using AvoidedDemand tab",IF($DP18="Mixed",COLUMN(AESC!$R$10)))))</f>
        <v/>
      </c>
      <c r="DS18" s="970" t="str">
        <f>IF($G18="","",IF($DP18="Yes",COLUMN(AESC!$S$10),IF($DP18="No",COLUMN(AESC!$T$10),IF($DP18="Mixed",COLUMN(AESC!$U$10)))))</f>
        <v/>
      </c>
      <c r="DT18" s="970" t="str">
        <f t="shared" si="17"/>
        <v/>
      </c>
      <c r="DU18" s="970" t="str">
        <f>IF($G18="","",ADRYr1!AS18)</f>
        <v/>
      </c>
      <c r="DV18" s="971" t="str">
        <f>IF($G18="","",ADRYr1!AT18)</f>
        <v/>
      </c>
      <c r="DW18" s="1162" t="str">
        <f>IF($G18="","",INDEX(AvoidedEnergy!$H$4:$H$10,MATCH($DO18,AvoidedEnergy!$A$4:$A$10,0)))</f>
        <v/>
      </c>
    </row>
    <row r="19" spans="1:127">
      <c r="A19" s="160" t="str">
        <f>IF(ADRYr1!$B19=0,"",ADRYr1!A19)</f>
        <v>B - Low-Income</v>
      </c>
      <c r="B19" s="9" t="str">
        <f>IF(ADRYr1!$B19=0,"",ADRYr1!B19)</f>
        <v>Home Energy Assistance</v>
      </c>
      <c r="C19" s="9" t="str">
        <f>IF(ADRYr1!$B19=0,"",ADRYr1!C19)</f>
        <v>Res Demand Response</v>
      </c>
      <c r="D19" s="9" t="str">
        <f>IF(ADRYr1!$B19=0,"",ADRYr1!D19)</f>
        <v>Storage Daily Dispatch Upfront Incentive (savings) Summer</v>
      </c>
      <c r="E19" s="9">
        <f>IF(ADRYr1!$B19=0,"",ADRYr1!E19)</f>
        <v>0</v>
      </c>
      <c r="F19" s="11" t="str">
        <f>IF(ADRYr1!$B19=0,"",ADRYr1!F19)</f>
        <v>Behavior</v>
      </c>
      <c r="G19" s="12" t="str">
        <f>IF(ADRYr1!$G19&lt;&gt;0,ADRYr1!G19,"")</f>
        <v/>
      </c>
      <c r="H19" s="960" t="str">
        <f>IF($G19="","",ROUND(ADRYr1!H19,0))</f>
        <v/>
      </c>
      <c r="I19" s="47" t="str">
        <f>IF($G19="","",ADRYr1!I19*ADRYr1!P19*G19)</f>
        <v/>
      </c>
      <c r="J19" s="47" t="str">
        <f>IF($G19="","",ADRYr1!J19*G19)</f>
        <v/>
      </c>
      <c r="K19" s="47" t="str">
        <f t="shared" si="18"/>
        <v/>
      </c>
      <c r="L19" s="27" t="str">
        <f>IF($G19="","",ADRYr1!V19*G19/1000)</f>
        <v/>
      </c>
      <c r="M19" s="27" t="str">
        <f>IF($G19="","",L19*ADRYr1!$Q19*ADRYr1!$R19)</f>
        <v/>
      </c>
      <c r="N19" s="27" t="str">
        <f t="shared" si="19"/>
        <v/>
      </c>
      <c r="O19" s="27" t="str">
        <f t="shared" si="20"/>
        <v/>
      </c>
      <c r="P19" s="27" t="str">
        <f>IF($G19="","",M19*ADRYr1!P19)</f>
        <v/>
      </c>
      <c r="Q19" s="27" t="str">
        <f t="shared" si="21"/>
        <v/>
      </c>
      <c r="R19" s="27" t="str">
        <f>IF($G19="","",$Q19*ADRYr1!Z19)</f>
        <v/>
      </c>
      <c r="S19" s="27" t="str">
        <f>IF($G19="","",$Q19*ADRYr1!AA19)</f>
        <v/>
      </c>
      <c r="T19" s="27" t="str">
        <f>IF($G19="","",$Q19*ADRYr1!AB19)</f>
        <v/>
      </c>
      <c r="U19" s="27" t="str">
        <f>IF($G19="","",$Q19*ADRYr1!AC19)</f>
        <v/>
      </c>
      <c r="V19" s="27" t="str">
        <f>IF($G19="","",G19*ADRYr1!$AD19*ADRYr1!$P19*ADRYr1!$Q19)</f>
        <v/>
      </c>
      <c r="W19" s="27" t="str">
        <f>IF($G19="","",$G19*ADRYr1!$AD19*ADRYr1!$AF19*ADRYr1!Q19*ADRYr1!$S19)</f>
        <v/>
      </c>
      <c r="X19" s="27" t="str">
        <f>IF($G19="","",$G19*ADRYr1!$AD19*ADRYr1!$AF19*ADRYr1!P19*ADRYr1!Q19*ADRYr1!$S19)</f>
        <v/>
      </c>
      <c r="Y19" s="27" t="str">
        <f>IF($G19="","",$G19*ADRYr1!$AD19*ADRYr1!$AE19*ADRYr1!Q19*ADRYr1!$T19)</f>
        <v/>
      </c>
      <c r="Z19" s="27" t="str">
        <f>IF($G19="","",$G19*ADRYr1!$AD19*ADRYr1!$AE19*ADRYr1!P19*ADRYr1!Q19*ADRYr1!$T19)</f>
        <v/>
      </c>
      <c r="AA19" s="45" t="str">
        <f>IF($G19="","",$G19*ADRYr1!$Q19*ADRYr1!$U19*(IF(IFERROR(SEARCH("NG", ADRYr1!$AI19),0),ADRYr1!$AJ19,0)+IF(IFERROR(SEARCH("NG", ADRYr1!$AK19),0),ADRYr1!$AL19,0)+IF(IFERROR(SEARCH("NG", ADRYr1!$AM19),0),ADRYr1!$AN19,0)))</f>
        <v/>
      </c>
      <c r="AB19" s="45" t="str">
        <f t="shared" si="22"/>
        <v/>
      </c>
      <c r="AC19" s="45">
        <f>IF($G19="",0,AA19*ADRYr1!$P19)</f>
        <v>0</v>
      </c>
      <c r="AD19" s="45" t="str">
        <f t="shared" si="23"/>
        <v/>
      </c>
      <c r="AE19" s="45" t="str">
        <f>IF($G19="","",$G19*ADRYr1!$Q19*ADRYr1!$U19*(IF(IFERROR(SEARCH("Oil", ADRYr1!$AI19), 0),ADRYr1!$AJ19,0)+IF(IFERROR(SEARCH("Oil", ADRYr1!$AK19), 0),ADRYr1!$AL19,0)+IF(IFERROR(SEARCH("Oil", ADRYr1!$AM19), 0),ADRYr1!$AN19,0)))</f>
        <v/>
      </c>
      <c r="AF19" s="45" t="str">
        <f t="shared" si="24"/>
        <v/>
      </c>
      <c r="AG19" s="45">
        <f>IF($G19="",0,AE19*ADRYr1!$P19)</f>
        <v>0</v>
      </c>
      <c r="AH19" s="45" t="str">
        <f t="shared" si="25"/>
        <v/>
      </c>
      <c r="AI19" s="45" t="str">
        <f>IF($G19="","",$G19*ADRYr1!$Q19*ADRYr1!$U19*(IF(ADRYr1!$AI19=Lookups!$E$116,ADRYr1!$AJ19,IF(ADRYr1!$AK19=Lookups!$E$116,ADRYr1!$AL19,IF(ADRYr1!$AM19=Lookups!$E$116,ADRYr1!$AN19,0)))))</f>
        <v/>
      </c>
      <c r="AJ19" s="45" t="str">
        <f t="shared" si="26"/>
        <v/>
      </c>
      <c r="AK19" s="45">
        <f>IF($G19="",0,AI19*ADRYr1!$P19)</f>
        <v>0</v>
      </c>
      <c r="AL19" s="45" t="str">
        <f t="shared" si="27"/>
        <v/>
      </c>
      <c r="AM19" s="45" t="str">
        <f>IF($G19="","",$G19*ADRYr1!$Q19*ADRYr1!$U19*(IF(ADRYr1!$AI19=Lookups!$E$115,ADRYr1!$AJ19,IF(ADRYr1!$AK19=Lookups!$E$115,ADRYr1!$AL19,IF(ADRYr1!$AM19=Lookups!$E$115,ADRYr1!$AN19,0)))))</f>
        <v/>
      </c>
      <c r="AN19" s="45" t="str">
        <f t="shared" si="28"/>
        <v/>
      </c>
      <c r="AO19" s="45">
        <f>IF($G19="",0,AM19*ADRYr1!$P19)</f>
        <v>0</v>
      </c>
      <c r="AP19" s="45" t="str">
        <f t="shared" si="29"/>
        <v/>
      </c>
      <c r="AQ19" s="45" t="str">
        <f>IF($G19="","",$G19*ADRYr1!$Q19*ADRYr1!$U19*(IF(ADRYr1!$AI19=Lookups!$E$117,ADRYr1!$AJ19,IF(ADRYr1!$AK19=Lookups!$E$117,ADRYr1!$AL19,IF(ADRYr1!$AM19=Lookups!$E$117,ADRYr1!$AN19,0)))))</f>
        <v/>
      </c>
      <c r="AR19" s="45" t="str">
        <f t="shared" si="30"/>
        <v/>
      </c>
      <c r="AS19" s="45" t="str">
        <f>IF($G19="","",AQ19*ADRYr1!$P19)</f>
        <v/>
      </c>
      <c r="AT19" s="45" t="str">
        <f t="shared" si="31"/>
        <v/>
      </c>
      <c r="AU19" s="45" t="str">
        <f>IF($G19="","",$G19*ADRYr1!$Q19*ADRYr1!$U19*(IF(ADRYr1!$AI19=Lookups!$E$118,ADRYr1!$AJ19,IF(ADRYr1!$AK19=Lookups!$E$118,ADRYr1!$AL19,IF(ADRYr1!$AM19=Lookups!$E$118,ADRYr1!$AN19,0)))))</f>
        <v/>
      </c>
      <c r="AV19" s="45" t="str">
        <f t="shared" si="32"/>
        <v/>
      </c>
      <c r="AW19" s="45" t="str">
        <f>IF($G19="","",AU19*ADRYr1!$P19)</f>
        <v/>
      </c>
      <c r="AX19" s="45" t="str">
        <f t="shared" si="33"/>
        <v/>
      </c>
      <c r="AY19" s="45">
        <f t="shared" si="34"/>
        <v>0</v>
      </c>
      <c r="AZ19" s="45">
        <f t="shared" si="34"/>
        <v>0</v>
      </c>
      <c r="BA19" s="101" t="str">
        <f>IF($G19="","",$G19*ADRYr1!$P19*ADRYr1!$Q19*ADRYr1!$U19*ADRYr1!AO19)</f>
        <v/>
      </c>
      <c r="BB19" s="102" t="str">
        <f>IF($G19="","",$G19*ADRYr1!$P19*ADRYr1!$Q19*ADRYr1!$U19*ADRYr1!AP19)</f>
        <v/>
      </c>
      <c r="BC19" s="100" t="str">
        <f t="shared" si="35"/>
        <v/>
      </c>
      <c r="BD19" s="961"/>
      <c r="BE19" s="961"/>
      <c r="BF19" s="961"/>
      <c r="BG19" s="961"/>
      <c r="BH19" s="962" t="str">
        <f t="shared" si="3"/>
        <v/>
      </c>
      <c r="BI19" s="961"/>
      <c r="BJ19" s="961"/>
      <c r="BK19" s="961"/>
      <c r="BL19" s="961"/>
      <c r="BM19" s="30" t="str">
        <f t="shared" si="4"/>
        <v/>
      </c>
      <c r="BN19" s="963" t="str">
        <f t="shared" si="5"/>
        <v/>
      </c>
      <c r="BO19" s="31" t="str">
        <f t="shared" si="36"/>
        <v/>
      </c>
      <c r="BP19" s="964" t="str">
        <f t="shared" si="6"/>
        <v/>
      </c>
      <c r="BQ19" s="28" t="str">
        <f t="shared" si="7"/>
        <v/>
      </c>
      <c r="BR19" s="964" t="str">
        <f t="shared" si="8"/>
        <v/>
      </c>
      <c r="BS19" s="964" t="str">
        <f t="shared" si="9"/>
        <v/>
      </c>
      <c r="BT19" s="28" t="str">
        <f t="shared" si="10"/>
        <v/>
      </c>
      <c r="BU19" s="28" t="str">
        <f t="shared" si="10"/>
        <v/>
      </c>
      <c r="BV19" s="28" t="str">
        <f t="shared" si="10"/>
        <v/>
      </c>
      <c r="BW19" s="29" t="str">
        <f t="shared" si="37"/>
        <v/>
      </c>
      <c r="BX19" s="29" t="str">
        <f t="shared" si="38"/>
        <v/>
      </c>
      <c r="BY19" s="28" t="str">
        <f>IF($G19="","",$G19*(IF(ADRYr1!$AI19=BY$4,ADRYr1!$AJ19,IF(ADRYr1!$AK19=BY$4,ADRYr1!$AL19,IF(ADRYr1!$AM19=BY$4,ADRYr1!$AN19,0))))*(INDEX(avoidedcosttbl,$H19,BY$2)+(($H19-ROUNDDOWN($H19,0))*(INDEX(avoidedcosttbl,ROUNDUP($H19,0),BY$2)-(INDEX(avoidedcosttbl,ROUNDDOWN($H19,0),BY$2)))))*ADRYr1!P19*ADRYr1!Q19*ADRYr1!U19)</f>
        <v/>
      </c>
      <c r="BZ19" s="28" t="str">
        <f>IF($G19="","",$G19*(IF(ADRYr1!$AI19=BZ$4,ADRYr1!$AJ19,IF(ADRYr1!$AK19=BZ$4,ADRYr1!$AL19,IF(ADRYr1!$AM19=BZ$4,ADRYr1!$AN19,0))))*(INDEX(avoidedcosttbl,$H19,BZ$2)+(($H19-ROUNDDOWN($H19,0))*(INDEX(avoidedcosttbl,ROUNDUP($H19,0),BZ$2)-(INDEX(avoidedcosttbl,ROUNDDOWN($H19,0),BZ$2)))))*ADRYr1!P19*ADRYr1!Q19*ADRYr1!U19)</f>
        <v/>
      </c>
      <c r="CA19" s="28" t="str">
        <f>IF($G19="","",$G19*(IF(ADRYr1!$AI19=CA$4,ADRYr1!$AJ19,IF(ADRYr1!$AK19=CA$4,ADRYr1!$AL19,IF(ADRYr1!$AM19=CA$4,ADRYr1!$AN19,0))))*(INDEX(avoidedcosttbl,$H19,CA$2)+(($H19-ROUNDDOWN($H19,0))*(INDEX(avoidedcosttbl,ROUNDUP($H19,0),CA$2)-(INDEX(avoidedcosttbl,ROUNDDOWN($H19,0),CA$2)))))*ADRYr1!P19*ADRYr1!Q19*ADRYr1!U19)</f>
        <v/>
      </c>
      <c r="CB19" s="28" t="str">
        <f>IF($G19="","",$G19*(IF(ADRYr1!$AI19=CB$4,ADRYr1!$AJ19,IF(ADRYr1!$AK19=CB$4,ADRYr1!$AL19,IF(ADRYr1!$AM19=CB$4,ADRYr1!$AN19,0))))*(INDEX(avoidedcosttbl,$H19,CB$2)+(($H19-ROUNDDOWN($H19,0))*(INDEX(avoidedcosttbl,ROUNDUP($H19,0),CB$2)-(INDEX(avoidedcosttbl,ROUNDDOWN($H19,0),CB$2)))))*ADRYr1!P19*ADRYr1!Q19*ADRYr1!U19)</f>
        <v/>
      </c>
      <c r="CC19" s="28" t="str">
        <f>IF($G19="","",$G19*(IF(ADRYr1!$AI19=CC$4,ADRYr1!$AJ19,IF(ADRYr1!$AK19=CC$4,ADRYr1!$AL19,IF(ADRYr1!$AM19=CC$4,ADRYr1!$AN19,0))))*(INDEX(avoidedcosttbl,$H19,CC$2)+(($H19-ROUNDDOWN($H19,0))*(INDEX(avoidedcosttbl,ROUNDUP($H19,0),CC$2)-(INDEX(avoidedcosttbl,ROUNDDOWN($H19,0),CC$2)))))*ADRYr1!P19*ADRYr1!Q19*ADRYr1!U19)</f>
        <v/>
      </c>
      <c r="CD19" s="28" t="str">
        <f>IF($G19="","",$G19*(IF(ADRYr1!$AI19=CD$4,ADRYr1!$AJ19,IF(ADRYr1!$AK19=CD$4,ADRYr1!$AL19,IF(ADRYr1!$AM19=CD$4,ADRYr1!$AN19,0))))*(INDEX(avoidedcosttbl,$H19,CD$2)+(($H19-ROUNDDOWN($H19,0))*(INDEX(avoidedcosttbl,ROUNDUP($H19,0),CD$2)-(INDEX(avoidedcosttbl,ROUNDDOWN($H19,0),CD$2)))))*ADRYr1!P19*ADRYr1!Q19*ADRYr1!U19)</f>
        <v/>
      </c>
      <c r="CE19" s="28" t="str">
        <f>IF($G19="","",$G19*(IF(ADRYr1!$AI19=CE$4,ADRYr1!$AJ19,IF(ADRYr1!$AK19=CE$4,ADRYr1!$AL19,IF(ADRYr1!$AM19=CE$4,ADRYr1!$AN19,0))))*(INDEX(avoidedcosttbl,$H19,CE$2)+(($H19-ROUNDDOWN($H19,0))*(INDEX(avoidedcosttbl,ROUNDUP($H19,0),CE$2)-(INDEX(avoidedcosttbl,ROUNDDOWN($H19,0),CE$2)))))*ADRYr1!P19*ADRYr1!Q19*ADRYr1!U19)</f>
        <v/>
      </c>
      <c r="CF19" s="41" t="str">
        <f t="shared" si="39"/>
        <v/>
      </c>
      <c r="CG19" s="30" t="str">
        <f t="shared" si="11"/>
        <v/>
      </c>
      <c r="CH19" s="30" t="str">
        <f>IF($G19="","",$G19*(IF(ADRYr1!$AI19=BY$4,ADRYr1!$AJ19,IF(ADRYr1!$AK19=BY$4,ADRYr1!$AL19,IF(ADRYr1!$AM19=BY$4,ADRYr1!$AN19,0))))*(INDEX(avoidedcosttbl,$H19,CH$2)+(($H19-ROUNDDOWN($H19,0))*(INDEX(avoidedcosttbl,ROUNDUP($H19,0),CH$2)-(INDEX(avoidedcosttbl,ROUNDDOWN($H19,0),CH$2)))))*ADRYr1!P19*ADRYr1!Q19*ADRYr1!U19)</f>
        <v/>
      </c>
      <c r="CI19" s="30" t="str">
        <f>IF($G19="","",$G19*(IF(ADRYr1!$AI19=BZ$4,ADRYr1!$AJ19,IF(ADRYr1!$AK19=BZ$4,ADRYr1!$AL19,IF(ADRYr1!$AM19=BZ$4,ADRYr1!$AN19,0))))*(INDEX(avoidedcosttbl,$H19,CI$2)+(($H19-ROUNDDOWN($H19,0))*(INDEX(avoidedcosttbl,ROUNDUP($H19,0),CI$2)-(INDEX(avoidedcosttbl,ROUNDDOWN($H19,0),CI$2)))))*ADRYr1!P19*ADRYr1!Q19*ADRYr1!U19)</f>
        <v/>
      </c>
      <c r="CJ19" s="30" t="str">
        <f>IF($G19="","",$G19*(IF(ADRYr1!$AI19=CA$4,ADRYr1!$AJ19,IF(ADRYr1!$AK19=CA$4,ADRYr1!$AL19,IF(ADRYr1!$AM19=CA$4,ADRYr1!$AN19,0))))*(INDEX(avoidedcosttbl,$H19,CJ$2)+(($H19-ROUNDDOWN($H19,0))*(INDEX(avoidedcosttbl,ROUNDUP($H19,0),CJ$2)-(INDEX(avoidedcosttbl,ROUNDDOWN($H19,0),CJ$2)))))*ADRYr1!P19*ADRYr1!Q19*ADRYr1!U19)</f>
        <v/>
      </c>
      <c r="CK19" s="30" t="str">
        <f>IF($G19="","",$G19*(IF(ADRYr1!$AI19=CB$4,ADRYr1!$AJ19,IF(ADRYr1!$AK19=CB$4,ADRYr1!$AL19,IF(ADRYr1!$AM19=CB$4,ADRYr1!$AN19,0))))*(INDEX(avoidedcosttbl,$H19,CK$2)+(($H19-ROUNDDOWN($H19,0))*(INDEX(avoidedcosttbl,ROUNDUP($H19,0),CK$2)-(INDEX(avoidedcosttbl,ROUNDDOWN($H19,0),CK$2)))))*ADRYr1!P19*ADRYr1!Q19*ADRYr1!U19)</f>
        <v/>
      </c>
      <c r="CL19" s="30" t="str">
        <f>IF($G19="","",$G19*(IF(ADRYr1!$AI19=CC$4,ADRYr1!$AJ19,IF(ADRYr1!$AK19=CC$4,ADRYr1!$AL19,IF(ADRYr1!$AM19=CC$4,ADRYr1!$AN19,0))))*(INDEX(avoidedcosttbl,$H19,CL$2)+(($H19-ROUNDDOWN($H19,0))*(INDEX(avoidedcosttbl,ROUNDUP($H19,0),CL$2)-(INDEX(avoidedcosttbl,ROUNDDOWN($H19,0),CL$2)))))*ADRYr1!P19*ADRYr1!Q19*ADRYr1!U19)</f>
        <v/>
      </c>
      <c r="CM19" s="30" t="str">
        <f>IF($G19="","",$G19*(IF(ADRYr1!$AI19=CD$4,ADRYr1!$AJ19,IF(ADRYr1!$AK19=CD$4,ADRYr1!$AL19,IF(ADRYr1!$AM19=CD$4,ADRYr1!$AN19,0))))*(INDEX(avoidedcosttbl,$H19,CM$2)+(($H19-ROUNDDOWN($H19,0))*(INDEX(avoidedcosttbl,ROUNDUP($H19,0),CM$2)-(INDEX(avoidedcosttbl,ROUNDDOWN($H19,0),CM$2)))))*ADRYr1!P19*ADRYr1!Q19*ADRYr1!U19)</f>
        <v/>
      </c>
      <c r="CN19" s="30" t="str">
        <f>IF($G19="","",$G19*(IF(ADRYr1!$AI19=CE$4,ADRYr1!$AJ19,IF(ADRYr1!$AK19=CE$4,ADRYr1!$AL19,IF(ADRYr1!$AM19=CE$4,ADRYr1!$AN19,0))))*(INDEX(avoidedcosttbl,$H19,CN$2)+(($H19-ROUNDDOWN($H19,0))*(INDEX(avoidedcosttbl,ROUNDUP($H19,0),CN$2)-(INDEX(avoidedcosttbl,ROUNDDOWN($H19,0),CN$2)))))*ADRYr1!P19*ADRYr1!Q19*ADRYr1!U19)</f>
        <v/>
      </c>
      <c r="CO19" s="220" t="str">
        <f t="shared" si="40"/>
        <v/>
      </c>
      <c r="CP19" s="220" t="str">
        <f t="shared" si="41"/>
        <v/>
      </c>
      <c r="CQ19" s="157" t="str">
        <f>IF($G19="","",$G19*(IF(ADRYr1!$AI19=CQ$4,ADRYr1!$AJ19,IF(ADRYr1!$AK19=CQ$4,ADRYr1!$AL19,IF(ADRYr1!$AM19=CQ$4,ADRYr1!$AN19,0))))*(INDEX(avoidedcosttbl,$H19,CQ$2)+(($H19-ROUNDDOWN($H19,0))*(INDEX(avoidedcosttbl,ROUNDUP($H19,0),CQ$2)-(INDEX(avoidedcosttbl,ROUNDDOWN($H19,0),CQ$2)))))*ADRYr1!$P19*ADRYr1!$Q19*ADRYr1!$U19)</f>
        <v/>
      </c>
      <c r="CR19" s="28" t="str">
        <f>IF($G19="","",G19*(IF(ADRYr1!$AI19=CR$4,ADRYr1!$AJ19,IF(ADRYr1!$AK19=CR$4,ADRYr1!$AL19,IF(ADRYr1!$AM19=CR$4,ADRYr1!$AN19,0))))*(INDEX(avoidedcosttbl,$H19,CR$2)+(($H19-ROUNDDOWN($H19,0))*(INDEX(avoidedcosttbl,ROUNDUP($H19,0),CR$2)-(INDEX(avoidedcosttbl,ROUNDDOWN($H19,0),CR$2)))))*ADRYr1!$P19*ADRYr1!$Q19*ADRYr1!$U19)</f>
        <v/>
      </c>
      <c r="CS19" s="28" t="str">
        <f>IF($G19="","",G19*(IF(ADRYr1!$AI19=CS$4,ADRYr1!$AJ19,IF(ADRYr1!$AK19=CS$4,ADRYr1!$AL19,IF(ADRYr1!$AM19=CS$4,ADRYr1!$AN19,0))))*(INDEX(avoidedcosttbl,$H19,CS$2)+(($H19-ROUNDDOWN($H19,0))*(INDEX(avoidedcosttbl,ROUNDUP($H19,0),CS$2)-(INDEX(avoidedcosttbl,ROUNDDOWN($H19,0),CS$2)))))*ADRYr1!$P19*ADRYr1!$Q19*ADRYr1!$U19)</f>
        <v/>
      </c>
      <c r="CT19" s="28" t="str">
        <f t="shared" si="12"/>
        <v/>
      </c>
      <c r="CU19" s="28" t="str">
        <f>IF($G19="","",G19*(IF(ADRYr1!$AI19=CU$4,ADRYr1!$AJ19,IF(ADRYr1!$AK19=CU$4,ADRYr1!$AL19,IF(ADRYr1!$AM19=CU$4,ADRYr1!$AN19,0))))*(INDEX(avoidedcosttbl,$H19,CU$2)+(($H19-ROUNDDOWN($H19,0))*(INDEX(avoidedcosttbl,ROUNDUP($H19,0),CU$2)-(INDEX(avoidedcosttbl,ROUNDDOWN($H19,0),CU$2)))))*ADRYr1!$P19*ADRYr1!$Q19*ADRYr1!$U19)</f>
        <v/>
      </c>
      <c r="CV19" s="28" t="str">
        <f>IF($G19="","",G19*(IF(ADRYr1!$AI19=CV$4,ADRYr1!$AJ19,IF(ADRYr1!$AK19=CV$4,ADRYr1!$AL19,IF(ADRYr1!$AM19=CV$4,ADRYr1!$AN19,0))))*(INDEX(avoidedcosttbl,$H19,CV$2)+(($H19-ROUNDDOWN($H19,0))*(INDEX(avoidedcosttbl,ROUNDUP($H19,0),CV$2)-(INDEX(avoidedcosttbl,ROUNDDOWN($H19,0),CV$2)))))*ADRYr1!$P19*ADRYr1!$Q19*ADRYr1!$U19)</f>
        <v/>
      </c>
      <c r="CW19" s="28" t="str">
        <f>IF($G19="","",G19*(IF(ADRYr1!$AI19=CW$4,ADRYr1!$AJ19,IF(ADRYr1!$AK19=CW$4,ADRYr1!$AL19,IF(ADRYr1!$AM19=CW$4,ADRYr1!$AN19,0))))*(INDEX(avoidedcosttbl,$H19,CW$2)+(($H19-ROUNDDOWN($H19,0))*(INDEX(avoidedcosttbl,ROUNDUP($H19,0),CW$2)-(INDEX(avoidedcosttbl,ROUNDDOWN($H19,0),CW$2)))))*ADRYr1!$P19*ADRYr1!$Q19*ADRYr1!$U19)</f>
        <v/>
      </c>
      <c r="CX19" s="28" t="str">
        <f>IF($G19="","",G19*(IF(ADRYr1!$AI19=CX$4,ADRYr1!$AJ19,IF(ADRYr1!$AK19=CX$4,ADRYr1!$AL19,IF(ADRYr1!$AM19=CX$4,ADRYr1!$AN19,0))))*(INDEX(avoidedcosttbl,$H19,CX$2)+(($H19-ROUNDDOWN($H19,0))*(INDEX(avoidedcosttbl,ROUNDUP($H19,0),CX$2)-(INDEX(avoidedcosttbl,ROUNDDOWN($H19,0),CX$2)))))*ADRYr1!$P19*ADRYr1!$Q19*ADRYr1!$U19)</f>
        <v/>
      </c>
      <c r="CY19" s="28" t="str">
        <f t="shared" si="13"/>
        <v/>
      </c>
      <c r="CZ19" s="32" t="str">
        <f t="shared" si="14"/>
        <v/>
      </c>
      <c r="DA19" s="84" t="str">
        <f t="shared" si="42"/>
        <v/>
      </c>
      <c r="DB19" s="81" t="str">
        <f>IF(NEIadder="Yes",IF($G19="","",INDEX(Lookups!$G$70:$G$71,MATCH($A19,Lookups!$E$70:$E$71,0))*(SUM(CP19:CX19,BX19))),"")</f>
        <v/>
      </c>
      <c r="DC19" s="263" t="str">
        <f t="shared" si="15"/>
        <v/>
      </c>
      <c r="DD19" s="166" t="str">
        <f t="shared" si="16"/>
        <v/>
      </c>
      <c r="DE19" s="82">
        <f t="shared" si="43"/>
        <v>0</v>
      </c>
      <c r="DF19" s="615" t="str">
        <f>IF($G19="","",(1+WntPeakEnergyLL)*(INDEX(avoidedcosttbl,$H19,DF$2)+(($H19-ROUNDDOWN($H19,0))*(INDEX(avoidedcosttbl,ROUNDUP($H19,0),DF$2)-(INDEX(avoidedcosttbl,ROUNDDOWN($H19,0),DF$2)))))*$P19*1000*ADRYr1!Z19)</f>
        <v/>
      </c>
      <c r="DG19" s="615" t="str">
        <f>IF($G19="","",(1+WntOffPeakEnergyLL)*(INDEX(avoidedcosttbl,$H19,DG$2)+(($H19-ROUNDDOWN($H19,0))*(INDEX(avoidedcosttbl,ROUNDUP($H19,0),DG$2)-(INDEX(avoidedcosttbl,ROUNDDOWN($H19,0),DG$2)))))*$P19*1000*ADRYr1!AA19)</f>
        <v/>
      </c>
      <c r="DH19" s="615" t="str">
        <f>IF($G19="","",(1+SumPeakEnergyLL)*(INDEX(avoidedcosttbl,$H19,DH$2)+(($H19-ROUNDDOWN($H19,0))*(INDEX(avoidedcosttbl,ROUNDUP($H19,0),DH$2)-(INDEX(avoidedcosttbl,ROUNDDOWN($H19,0),DH$2)))))*$P19*1000*ADRYr1!AB19)</f>
        <v/>
      </c>
      <c r="DI19" s="615" t="str">
        <f>IF($G19="","",(1+SumOffPeakEnergyLL)*(INDEX(avoidedcosttbl,$H19,DI$2)+(($H19-ROUNDDOWN($H19,0))*(INDEX(avoidedcosttbl,ROUNDUP($H19,0),DI$2)-(INDEX(avoidedcosttbl,ROUNDDOWN($H19,0),DI$2)))))*$P19*1000*ADRYr1!AC19)</f>
        <v/>
      </c>
      <c r="DJ19" s="29" t="str">
        <f t="shared" si="44"/>
        <v/>
      </c>
      <c r="DK19" s="161" t="str">
        <f t="shared" si="45"/>
        <v/>
      </c>
      <c r="DL19" s="1189" t="str">
        <f t="shared" si="46"/>
        <v/>
      </c>
      <c r="DM19" s="1189" t="str">
        <f t="shared" si="47"/>
        <v/>
      </c>
      <c r="DN19" s="43" t="str">
        <f t="shared" si="48"/>
        <v/>
      </c>
      <c r="DO19" s="966" t="str">
        <f>IF($G19="","",ADRYr1!AQ19)</f>
        <v/>
      </c>
      <c r="DP19" s="968" t="str">
        <f>IF($G19="","",ADRYr1!AR19)</f>
        <v/>
      </c>
      <c r="DQ19" s="970" t="str">
        <f>IF($G19="","",IF($DP19="Yes",COLUMN(AESC!$L$10),IF($DP19="No","Using AvoidedDemand tab",IF($DP19="Mixed",COLUMN(AESC!$N$10)))))</f>
        <v/>
      </c>
      <c r="DR19" s="970" t="str">
        <f>IF($G19="","",IF($DP19="Yes",COLUMN(AESC!$P$10),IF($DP19="No","Using AvoidedDemand tab",IF($DP19="Mixed",COLUMN(AESC!$R$10)))))</f>
        <v/>
      </c>
      <c r="DS19" s="970" t="str">
        <f>IF($G19="","",IF($DP19="Yes",COLUMN(AESC!$S$10),IF($DP19="No",COLUMN(AESC!$T$10),IF($DP19="Mixed",COLUMN(AESC!$U$10)))))</f>
        <v/>
      </c>
      <c r="DT19" s="970" t="str">
        <f t="shared" si="17"/>
        <v/>
      </c>
      <c r="DU19" s="970" t="str">
        <f>IF($G19="","",ADRYr1!AS19)</f>
        <v/>
      </c>
      <c r="DV19" s="971" t="str">
        <f>IF($G19="","",ADRYr1!AT19)</f>
        <v/>
      </c>
      <c r="DW19" s="1162" t="str">
        <f>IF($G19="","",INDEX(AvoidedEnergy!$H$4:$H$10,MATCH($DO19,AvoidedEnergy!$A$4:$A$10,0)))</f>
        <v/>
      </c>
    </row>
    <row r="20" spans="1:127">
      <c r="A20" s="160" t="str">
        <f>IF(ADRYr1!$B20=0,"",ADRYr1!A20)</f>
        <v>B - Low-Income</v>
      </c>
      <c r="B20" s="9" t="str">
        <f>IF(ADRYr1!$B20=0,"",ADRYr1!B20)</f>
        <v>Home Energy Assistance</v>
      </c>
      <c r="C20" s="9" t="str">
        <f>IF(ADRYr1!$B20=0,"",ADRYr1!C20)</f>
        <v>Res Demand Response</v>
      </c>
      <c r="D20" s="9" t="str">
        <f>IF(ADRYr1!$B20=0,"",ADRYr1!D20)</f>
        <v>Storage Daily Dispatch Upfront Incentive (consumption) Summer</v>
      </c>
      <c r="E20" s="9">
        <f>IF(ADRYr1!$B20=0,"",ADRYr1!E20)</f>
        <v>0</v>
      </c>
      <c r="F20" s="11" t="str">
        <f>IF(ADRYr1!$B20=0,"",ADRYr1!F20)</f>
        <v>Behavior</v>
      </c>
      <c r="G20" s="12" t="str">
        <f>IF(ADRYr1!$G20&lt;&gt;0,ADRYr1!G20,"")</f>
        <v/>
      </c>
      <c r="H20" s="960" t="str">
        <f>IF($G20="","",ROUND(ADRYr1!H20,0))</f>
        <v/>
      </c>
      <c r="I20" s="47" t="str">
        <f>IF($G20="","",ADRYr1!I20*ADRYr1!P20*G20)</f>
        <v/>
      </c>
      <c r="J20" s="47" t="str">
        <f>IF($G20="","",ADRYr1!J20*G20)</f>
        <v/>
      </c>
      <c r="K20" s="47" t="str">
        <f t="shared" si="18"/>
        <v/>
      </c>
      <c r="L20" s="27" t="str">
        <f>IF($G20="","",ADRYr1!V20*G20/1000)</f>
        <v/>
      </c>
      <c r="M20" s="27" t="str">
        <f>IF($G20="","",L20*ADRYr1!$Q20*ADRYr1!$R20)</f>
        <v/>
      </c>
      <c r="N20" s="27" t="str">
        <f t="shared" si="19"/>
        <v/>
      </c>
      <c r="O20" s="27" t="str">
        <f t="shared" si="20"/>
        <v/>
      </c>
      <c r="P20" s="27" t="str">
        <f>IF($G20="","",M20*ADRYr1!P20)</f>
        <v/>
      </c>
      <c r="Q20" s="27" t="str">
        <f t="shared" si="21"/>
        <v/>
      </c>
      <c r="R20" s="27" t="str">
        <f>IF($G20="","",$Q20*ADRYr1!Z20)</f>
        <v/>
      </c>
      <c r="S20" s="27" t="str">
        <f>IF($G20="","",$Q20*ADRYr1!AA20)</f>
        <v/>
      </c>
      <c r="T20" s="27" t="str">
        <f>IF($G20="","",$Q20*ADRYr1!AB20)</f>
        <v/>
      </c>
      <c r="U20" s="27" t="str">
        <f>IF($G20="","",$Q20*ADRYr1!AC20)</f>
        <v/>
      </c>
      <c r="V20" s="27" t="str">
        <f>IF($G20="","",G20*ADRYr1!$AD20*ADRYr1!$P20*ADRYr1!$Q20)</f>
        <v/>
      </c>
      <c r="W20" s="27" t="str">
        <f>IF($G20="","",$G20*ADRYr1!$AD20*ADRYr1!$AF20*ADRYr1!Q20*ADRYr1!$S20)</f>
        <v/>
      </c>
      <c r="X20" s="27" t="str">
        <f>IF($G20="","",$G20*ADRYr1!$AD20*ADRYr1!$AF20*ADRYr1!P20*ADRYr1!Q20*ADRYr1!$S20)</f>
        <v/>
      </c>
      <c r="Y20" s="27" t="str">
        <f>IF($G20="","",$G20*ADRYr1!$AD20*ADRYr1!$AE20*ADRYr1!Q20*ADRYr1!$T20)</f>
        <v/>
      </c>
      <c r="Z20" s="27" t="str">
        <f>IF($G20="","",$G20*ADRYr1!$AD20*ADRYr1!$AE20*ADRYr1!P20*ADRYr1!Q20*ADRYr1!$T20)</f>
        <v/>
      </c>
      <c r="AA20" s="45" t="str">
        <f>IF($G20="","",$G20*ADRYr1!$Q20*ADRYr1!$U20*(IF(IFERROR(SEARCH("NG", ADRYr1!$AI20),0),ADRYr1!$AJ20,0)+IF(IFERROR(SEARCH("NG", ADRYr1!$AK20),0),ADRYr1!$AL20,0)+IF(IFERROR(SEARCH("NG", ADRYr1!$AM20),0),ADRYr1!$AN20,0)))</f>
        <v/>
      </c>
      <c r="AB20" s="45" t="str">
        <f t="shared" si="22"/>
        <v/>
      </c>
      <c r="AC20" s="45">
        <f>IF($G20="",0,AA20*ADRYr1!$P20)</f>
        <v>0</v>
      </c>
      <c r="AD20" s="45" t="str">
        <f t="shared" si="23"/>
        <v/>
      </c>
      <c r="AE20" s="45" t="str">
        <f>IF($G20="","",$G20*ADRYr1!$Q20*ADRYr1!$U20*(IF(IFERROR(SEARCH("Oil", ADRYr1!$AI20), 0),ADRYr1!$AJ20,0)+IF(IFERROR(SEARCH("Oil", ADRYr1!$AK20), 0),ADRYr1!$AL20,0)+IF(IFERROR(SEARCH("Oil", ADRYr1!$AM20), 0),ADRYr1!$AN20,0)))</f>
        <v/>
      </c>
      <c r="AF20" s="45" t="str">
        <f t="shared" si="24"/>
        <v/>
      </c>
      <c r="AG20" s="45">
        <f>IF($G20="",0,AE20*ADRYr1!$P20)</f>
        <v>0</v>
      </c>
      <c r="AH20" s="45" t="str">
        <f t="shared" si="25"/>
        <v/>
      </c>
      <c r="AI20" s="45" t="str">
        <f>IF($G20="","",$G20*ADRYr1!$Q20*ADRYr1!$U20*(IF(ADRYr1!$AI20=Lookups!$E$116,ADRYr1!$AJ20,IF(ADRYr1!$AK20=Lookups!$E$116,ADRYr1!$AL20,IF(ADRYr1!$AM20=Lookups!$E$116,ADRYr1!$AN20,0)))))</f>
        <v/>
      </c>
      <c r="AJ20" s="45" t="str">
        <f t="shared" si="26"/>
        <v/>
      </c>
      <c r="AK20" s="45">
        <f>IF($G20="",0,AI20*ADRYr1!$P20)</f>
        <v>0</v>
      </c>
      <c r="AL20" s="45" t="str">
        <f t="shared" si="27"/>
        <v/>
      </c>
      <c r="AM20" s="45" t="str">
        <f>IF($G20="","",$G20*ADRYr1!$Q20*ADRYr1!$U20*(IF(ADRYr1!$AI20=Lookups!$E$115,ADRYr1!$AJ20,IF(ADRYr1!$AK20=Lookups!$E$115,ADRYr1!$AL20,IF(ADRYr1!$AM20=Lookups!$E$115,ADRYr1!$AN20,0)))))</f>
        <v/>
      </c>
      <c r="AN20" s="45" t="str">
        <f t="shared" si="28"/>
        <v/>
      </c>
      <c r="AO20" s="45">
        <f>IF($G20="",0,AM20*ADRYr1!$P20)</f>
        <v>0</v>
      </c>
      <c r="AP20" s="45" t="str">
        <f t="shared" si="29"/>
        <v/>
      </c>
      <c r="AQ20" s="45" t="str">
        <f>IF($G20="","",$G20*ADRYr1!$Q20*ADRYr1!$U20*(IF(ADRYr1!$AI20=Lookups!$E$117,ADRYr1!$AJ20,IF(ADRYr1!$AK20=Lookups!$E$117,ADRYr1!$AL20,IF(ADRYr1!$AM20=Lookups!$E$117,ADRYr1!$AN20,0)))))</f>
        <v/>
      </c>
      <c r="AR20" s="45" t="str">
        <f t="shared" si="30"/>
        <v/>
      </c>
      <c r="AS20" s="45" t="str">
        <f>IF($G20="","",AQ20*ADRYr1!$P20)</f>
        <v/>
      </c>
      <c r="AT20" s="45" t="str">
        <f t="shared" si="31"/>
        <v/>
      </c>
      <c r="AU20" s="45" t="str">
        <f>IF($G20="","",$G20*ADRYr1!$Q20*ADRYr1!$U20*(IF(ADRYr1!$AI20=Lookups!$E$118,ADRYr1!$AJ20,IF(ADRYr1!$AK20=Lookups!$E$118,ADRYr1!$AL20,IF(ADRYr1!$AM20=Lookups!$E$118,ADRYr1!$AN20,0)))))</f>
        <v/>
      </c>
      <c r="AV20" s="45" t="str">
        <f t="shared" si="32"/>
        <v/>
      </c>
      <c r="AW20" s="45" t="str">
        <f>IF($G20="","",AU20*ADRYr1!$P20)</f>
        <v/>
      </c>
      <c r="AX20" s="45" t="str">
        <f t="shared" si="33"/>
        <v/>
      </c>
      <c r="AY20" s="45">
        <f t="shared" si="34"/>
        <v>0</v>
      </c>
      <c r="AZ20" s="45">
        <f t="shared" si="34"/>
        <v>0</v>
      </c>
      <c r="BA20" s="101" t="str">
        <f>IF($G20="","",$G20*ADRYr1!$P20*ADRYr1!$Q20*ADRYr1!$U20*ADRYr1!AO20)</f>
        <v/>
      </c>
      <c r="BB20" s="102" t="str">
        <f>IF($G20="","",$G20*ADRYr1!$P20*ADRYr1!$Q20*ADRYr1!$U20*ADRYr1!AP20)</f>
        <v/>
      </c>
      <c r="BC20" s="100" t="str">
        <f t="shared" si="35"/>
        <v/>
      </c>
      <c r="BD20" s="961"/>
      <c r="BE20" s="961"/>
      <c r="BF20" s="961"/>
      <c r="BG20" s="961"/>
      <c r="BH20" s="962" t="str">
        <f t="shared" si="3"/>
        <v/>
      </c>
      <c r="BI20" s="961"/>
      <c r="BJ20" s="961"/>
      <c r="BK20" s="961"/>
      <c r="BL20" s="961"/>
      <c r="BM20" s="30" t="str">
        <f t="shared" si="4"/>
        <v/>
      </c>
      <c r="BN20" s="963" t="str">
        <f t="shared" si="5"/>
        <v/>
      </c>
      <c r="BO20" s="31" t="str">
        <f t="shared" si="36"/>
        <v/>
      </c>
      <c r="BP20" s="964" t="str">
        <f t="shared" si="6"/>
        <v/>
      </c>
      <c r="BQ20" s="28" t="str">
        <f t="shared" si="7"/>
        <v/>
      </c>
      <c r="BR20" s="964" t="str">
        <f t="shared" si="8"/>
        <v/>
      </c>
      <c r="BS20" s="964" t="str">
        <f t="shared" si="9"/>
        <v/>
      </c>
      <c r="BT20" s="28" t="str">
        <f t="shared" si="10"/>
        <v/>
      </c>
      <c r="BU20" s="28" t="str">
        <f t="shared" si="10"/>
        <v/>
      </c>
      <c r="BV20" s="28" t="str">
        <f t="shared" si="10"/>
        <v/>
      </c>
      <c r="BW20" s="29" t="str">
        <f t="shared" si="37"/>
        <v/>
      </c>
      <c r="BX20" s="29" t="str">
        <f t="shared" si="38"/>
        <v/>
      </c>
      <c r="BY20" s="28" t="str">
        <f>IF($G20="","",$G20*(IF(ADRYr1!$AI20=BY$4,ADRYr1!$AJ20,IF(ADRYr1!$AK20=BY$4,ADRYr1!$AL20,IF(ADRYr1!$AM20=BY$4,ADRYr1!$AN20,0))))*(INDEX(avoidedcosttbl,$H20,BY$2)+(($H20-ROUNDDOWN($H20,0))*(INDEX(avoidedcosttbl,ROUNDUP($H20,0),BY$2)-(INDEX(avoidedcosttbl,ROUNDDOWN($H20,0),BY$2)))))*ADRYr1!P20*ADRYr1!Q20*ADRYr1!U20)</f>
        <v/>
      </c>
      <c r="BZ20" s="28" t="str">
        <f>IF($G20="","",$G20*(IF(ADRYr1!$AI20=BZ$4,ADRYr1!$AJ20,IF(ADRYr1!$AK20=BZ$4,ADRYr1!$AL20,IF(ADRYr1!$AM20=BZ$4,ADRYr1!$AN20,0))))*(INDEX(avoidedcosttbl,$H20,BZ$2)+(($H20-ROUNDDOWN($H20,0))*(INDEX(avoidedcosttbl,ROUNDUP($H20,0),BZ$2)-(INDEX(avoidedcosttbl,ROUNDDOWN($H20,0),BZ$2)))))*ADRYr1!P20*ADRYr1!Q20*ADRYr1!U20)</f>
        <v/>
      </c>
      <c r="CA20" s="28" t="str">
        <f>IF($G20="","",$G20*(IF(ADRYr1!$AI20=CA$4,ADRYr1!$AJ20,IF(ADRYr1!$AK20=CA$4,ADRYr1!$AL20,IF(ADRYr1!$AM20=CA$4,ADRYr1!$AN20,0))))*(INDEX(avoidedcosttbl,$H20,CA$2)+(($H20-ROUNDDOWN($H20,0))*(INDEX(avoidedcosttbl,ROUNDUP($H20,0),CA$2)-(INDEX(avoidedcosttbl,ROUNDDOWN($H20,0),CA$2)))))*ADRYr1!P20*ADRYr1!Q20*ADRYr1!U20)</f>
        <v/>
      </c>
      <c r="CB20" s="28" t="str">
        <f>IF($G20="","",$G20*(IF(ADRYr1!$AI20=CB$4,ADRYr1!$AJ20,IF(ADRYr1!$AK20=CB$4,ADRYr1!$AL20,IF(ADRYr1!$AM20=CB$4,ADRYr1!$AN20,0))))*(INDEX(avoidedcosttbl,$H20,CB$2)+(($H20-ROUNDDOWN($H20,0))*(INDEX(avoidedcosttbl,ROUNDUP($H20,0),CB$2)-(INDEX(avoidedcosttbl,ROUNDDOWN($H20,0),CB$2)))))*ADRYr1!P20*ADRYr1!Q20*ADRYr1!U20)</f>
        <v/>
      </c>
      <c r="CC20" s="28" t="str">
        <f>IF($G20="","",$G20*(IF(ADRYr1!$AI20=CC$4,ADRYr1!$AJ20,IF(ADRYr1!$AK20=CC$4,ADRYr1!$AL20,IF(ADRYr1!$AM20=CC$4,ADRYr1!$AN20,0))))*(INDEX(avoidedcosttbl,$H20,CC$2)+(($H20-ROUNDDOWN($H20,0))*(INDEX(avoidedcosttbl,ROUNDUP($H20,0),CC$2)-(INDEX(avoidedcosttbl,ROUNDDOWN($H20,0),CC$2)))))*ADRYr1!P20*ADRYr1!Q20*ADRYr1!U20)</f>
        <v/>
      </c>
      <c r="CD20" s="28" t="str">
        <f>IF($G20="","",$G20*(IF(ADRYr1!$AI20=CD$4,ADRYr1!$AJ20,IF(ADRYr1!$AK20=CD$4,ADRYr1!$AL20,IF(ADRYr1!$AM20=CD$4,ADRYr1!$AN20,0))))*(INDEX(avoidedcosttbl,$H20,CD$2)+(($H20-ROUNDDOWN($H20,0))*(INDEX(avoidedcosttbl,ROUNDUP($H20,0),CD$2)-(INDEX(avoidedcosttbl,ROUNDDOWN($H20,0),CD$2)))))*ADRYr1!P20*ADRYr1!Q20*ADRYr1!U20)</f>
        <v/>
      </c>
      <c r="CE20" s="28" t="str">
        <f>IF($G20="","",$G20*(IF(ADRYr1!$AI20=CE$4,ADRYr1!$AJ20,IF(ADRYr1!$AK20=CE$4,ADRYr1!$AL20,IF(ADRYr1!$AM20=CE$4,ADRYr1!$AN20,0))))*(INDEX(avoidedcosttbl,$H20,CE$2)+(($H20-ROUNDDOWN($H20,0))*(INDEX(avoidedcosttbl,ROUNDUP($H20,0),CE$2)-(INDEX(avoidedcosttbl,ROUNDDOWN($H20,0),CE$2)))))*ADRYr1!P20*ADRYr1!Q20*ADRYr1!U20)</f>
        <v/>
      </c>
      <c r="CF20" s="41" t="str">
        <f t="shared" si="39"/>
        <v/>
      </c>
      <c r="CG20" s="30" t="str">
        <f t="shared" si="11"/>
        <v/>
      </c>
      <c r="CH20" s="30" t="str">
        <f>IF($G20="","",$G20*(IF(ADRYr1!$AI20=BY$4,ADRYr1!$AJ20,IF(ADRYr1!$AK20=BY$4,ADRYr1!$AL20,IF(ADRYr1!$AM20=BY$4,ADRYr1!$AN20,0))))*(INDEX(avoidedcosttbl,$H20,CH$2)+(($H20-ROUNDDOWN($H20,0))*(INDEX(avoidedcosttbl,ROUNDUP($H20,0),CH$2)-(INDEX(avoidedcosttbl,ROUNDDOWN($H20,0),CH$2)))))*ADRYr1!P20*ADRYr1!Q20*ADRYr1!U20)</f>
        <v/>
      </c>
      <c r="CI20" s="30" t="str">
        <f>IF($G20="","",$G20*(IF(ADRYr1!$AI20=BZ$4,ADRYr1!$AJ20,IF(ADRYr1!$AK20=BZ$4,ADRYr1!$AL20,IF(ADRYr1!$AM20=BZ$4,ADRYr1!$AN20,0))))*(INDEX(avoidedcosttbl,$H20,CI$2)+(($H20-ROUNDDOWN($H20,0))*(INDEX(avoidedcosttbl,ROUNDUP($H20,0),CI$2)-(INDEX(avoidedcosttbl,ROUNDDOWN($H20,0),CI$2)))))*ADRYr1!P20*ADRYr1!Q20*ADRYr1!U20)</f>
        <v/>
      </c>
      <c r="CJ20" s="30" t="str">
        <f>IF($G20="","",$G20*(IF(ADRYr1!$AI20=CA$4,ADRYr1!$AJ20,IF(ADRYr1!$AK20=CA$4,ADRYr1!$AL20,IF(ADRYr1!$AM20=CA$4,ADRYr1!$AN20,0))))*(INDEX(avoidedcosttbl,$H20,CJ$2)+(($H20-ROUNDDOWN($H20,0))*(INDEX(avoidedcosttbl,ROUNDUP($H20,0),CJ$2)-(INDEX(avoidedcosttbl,ROUNDDOWN($H20,0),CJ$2)))))*ADRYr1!P20*ADRYr1!Q20*ADRYr1!U20)</f>
        <v/>
      </c>
      <c r="CK20" s="30" t="str">
        <f>IF($G20="","",$G20*(IF(ADRYr1!$AI20=CB$4,ADRYr1!$AJ20,IF(ADRYr1!$AK20=CB$4,ADRYr1!$AL20,IF(ADRYr1!$AM20=CB$4,ADRYr1!$AN20,0))))*(INDEX(avoidedcosttbl,$H20,CK$2)+(($H20-ROUNDDOWN($H20,0))*(INDEX(avoidedcosttbl,ROUNDUP($H20,0),CK$2)-(INDEX(avoidedcosttbl,ROUNDDOWN($H20,0),CK$2)))))*ADRYr1!P20*ADRYr1!Q20*ADRYr1!U20)</f>
        <v/>
      </c>
      <c r="CL20" s="30" t="str">
        <f>IF($G20="","",$G20*(IF(ADRYr1!$AI20=CC$4,ADRYr1!$AJ20,IF(ADRYr1!$AK20=CC$4,ADRYr1!$AL20,IF(ADRYr1!$AM20=CC$4,ADRYr1!$AN20,0))))*(INDEX(avoidedcosttbl,$H20,CL$2)+(($H20-ROUNDDOWN($H20,0))*(INDEX(avoidedcosttbl,ROUNDUP($H20,0),CL$2)-(INDEX(avoidedcosttbl,ROUNDDOWN($H20,0),CL$2)))))*ADRYr1!P20*ADRYr1!Q20*ADRYr1!U20)</f>
        <v/>
      </c>
      <c r="CM20" s="30" t="str">
        <f>IF($G20="","",$G20*(IF(ADRYr1!$AI20=CD$4,ADRYr1!$AJ20,IF(ADRYr1!$AK20=CD$4,ADRYr1!$AL20,IF(ADRYr1!$AM20=CD$4,ADRYr1!$AN20,0))))*(INDEX(avoidedcosttbl,$H20,CM$2)+(($H20-ROUNDDOWN($H20,0))*(INDEX(avoidedcosttbl,ROUNDUP($H20,0),CM$2)-(INDEX(avoidedcosttbl,ROUNDDOWN($H20,0),CM$2)))))*ADRYr1!P20*ADRYr1!Q20*ADRYr1!U20)</f>
        <v/>
      </c>
      <c r="CN20" s="30" t="str">
        <f>IF($G20="","",$G20*(IF(ADRYr1!$AI20=CE$4,ADRYr1!$AJ20,IF(ADRYr1!$AK20=CE$4,ADRYr1!$AL20,IF(ADRYr1!$AM20=CE$4,ADRYr1!$AN20,0))))*(INDEX(avoidedcosttbl,$H20,CN$2)+(($H20-ROUNDDOWN($H20,0))*(INDEX(avoidedcosttbl,ROUNDUP($H20,0),CN$2)-(INDEX(avoidedcosttbl,ROUNDDOWN($H20,0),CN$2)))))*ADRYr1!P20*ADRYr1!Q20*ADRYr1!U20)</f>
        <v/>
      </c>
      <c r="CO20" s="220" t="str">
        <f t="shared" si="40"/>
        <v/>
      </c>
      <c r="CP20" s="220" t="str">
        <f t="shared" si="41"/>
        <v/>
      </c>
      <c r="CQ20" s="157" t="str">
        <f>IF($G20="","",$G20*(IF(ADRYr1!$AI20=CQ$4,ADRYr1!$AJ20,IF(ADRYr1!$AK20=CQ$4,ADRYr1!$AL20,IF(ADRYr1!$AM20=CQ$4,ADRYr1!$AN20,0))))*(INDEX(avoidedcosttbl,$H20,CQ$2)+(($H20-ROUNDDOWN($H20,0))*(INDEX(avoidedcosttbl,ROUNDUP($H20,0),CQ$2)-(INDEX(avoidedcosttbl,ROUNDDOWN($H20,0),CQ$2)))))*ADRYr1!$P20*ADRYr1!$Q20*ADRYr1!$U20)</f>
        <v/>
      </c>
      <c r="CR20" s="28" t="str">
        <f>IF($G20="","",G20*(IF(ADRYr1!$AI20=CR$4,ADRYr1!$AJ20,IF(ADRYr1!$AK20=CR$4,ADRYr1!$AL20,IF(ADRYr1!$AM20=CR$4,ADRYr1!$AN20,0))))*(INDEX(avoidedcosttbl,$H20,CR$2)+(($H20-ROUNDDOWN($H20,0))*(INDEX(avoidedcosttbl,ROUNDUP($H20,0),CR$2)-(INDEX(avoidedcosttbl,ROUNDDOWN($H20,0),CR$2)))))*ADRYr1!$P20*ADRYr1!$Q20*ADRYr1!$U20)</f>
        <v/>
      </c>
      <c r="CS20" s="28" t="str">
        <f>IF($G20="","",G20*(IF(ADRYr1!$AI20=CS$4,ADRYr1!$AJ20,IF(ADRYr1!$AK20=CS$4,ADRYr1!$AL20,IF(ADRYr1!$AM20=CS$4,ADRYr1!$AN20,0))))*(INDEX(avoidedcosttbl,$H20,CS$2)+(($H20-ROUNDDOWN($H20,0))*(INDEX(avoidedcosttbl,ROUNDUP($H20,0),CS$2)-(INDEX(avoidedcosttbl,ROUNDDOWN($H20,0),CS$2)))))*ADRYr1!$P20*ADRYr1!$Q20*ADRYr1!$U20)</f>
        <v/>
      </c>
      <c r="CT20" s="28" t="str">
        <f t="shared" si="12"/>
        <v/>
      </c>
      <c r="CU20" s="28" t="str">
        <f>IF($G20="","",G20*(IF(ADRYr1!$AI20=CU$4,ADRYr1!$AJ20,IF(ADRYr1!$AK20=CU$4,ADRYr1!$AL20,IF(ADRYr1!$AM20=CU$4,ADRYr1!$AN20,0))))*(INDEX(avoidedcosttbl,$H20,CU$2)+(($H20-ROUNDDOWN($H20,0))*(INDEX(avoidedcosttbl,ROUNDUP($H20,0),CU$2)-(INDEX(avoidedcosttbl,ROUNDDOWN($H20,0),CU$2)))))*ADRYr1!$P20*ADRYr1!$Q20*ADRYr1!$U20)</f>
        <v/>
      </c>
      <c r="CV20" s="28" t="str">
        <f>IF($G20="","",G20*(IF(ADRYr1!$AI20=CV$4,ADRYr1!$AJ20,IF(ADRYr1!$AK20=CV$4,ADRYr1!$AL20,IF(ADRYr1!$AM20=CV$4,ADRYr1!$AN20,0))))*(INDEX(avoidedcosttbl,$H20,CV$2)+(($H20-ROUNDDOWN($H20,0))*(INDEX(avoidedcosttbl,ROUNDUP($H20,0),CV$2)-(INDEX(avoidedcosttbl,ROUNDDOWN($H20,0),CV$2)))))*ADRYr1!$P20*ADRYr1!$Q20*ADRYr1!$U20)</f>
        <v/>
      </c>
      <c r="CW20" s="28" t="str">
        <f>IF($G20="","",G20*(IF(ADRYr1!$AI20=CW$4,ADRYr1!$AJ20,IF(ADRYr1!$AK20=CW$4,ADRYr1!$AL20,IF(ADRYr1!$AM20=CW$4,ADRYr1!$AN20,0))))*(INDEX(avoidedcosttbl,$H20,CW$2)+(($H20-ROUNDDOWN($H20,0))*(INDEX(avoidedcosttbl,ROUNDUP($H20,0),CW$2)-(INDEX(avoidedcosttbl,ROUNDDOWN($H20,0),CW$2)))))*ADRYr1!$P20*ADRYr1!$Q20*ADRYr1!$U20)</f>
        <v/>
      </c>
      <c r="CX20" s="28" t="str">
        <f>IF($G20="","",G20*(IF(ADRYr1!$AI20=CX$4,ADRYr1!$AJ20,IF(ADRYr1!$AK20=CX$4,ADRYr1!$AL20,IF(ADRYr1!$AM20=CX$4,ADRYr1!$AN20,0))))*(INDEX(avoidedcosttbl,$H20,CX$2)+(($H20-ROUNDDOWN($H20,0))*(INDEX(avoidedcosttbl,ROUNDUP($H20,0),CX$2)-(INDEX(avoidedcosttbl,ROUNDDOWN($H20,0),CX$2)))))*ADRYr1!$P20*ADRYr1!$Q20*ADRYr1!$U20)</f>
        <v/>
      </c>
      <c r="CY20" s="28" t="str">
        <f t="shared" si="13"/>
        <v/>
      </c>
      <c r="CZ20" s="32" t="str">
        <f t="shared" si="14"/>
        <v/>
      </c>
      <c r="DA20" s="84" t="str">
        <f t="shared" si="42"/>
        <v/>
      </c>
      <c r="DB20" s="81" t="str">
        <f>IF(NEIadder="Yes",IF($G20="","",INDEX(Lookups!$G$70:$G$71,MATCH($A20,Lookups!$E$70:$E$71,0))*(SUM(CP20:CX20,BX20))),"")</f>
        <v/>
      </c>
      <c r="DC20" s="263" t="str">
        <f t="shared" si="15"/>
        <v/>
      </c>
      <c r="DD20" s="166" t="str">
        <f t="shared" si="16"/>
        <v/>
      </c>
      <c r="DE20" s="82">
        <f t="shared" si="43"/>
        <v>0</v>
      </c>
      <c r="DF20" s="615" t="str">
        <f>IF($G20="","",(1+WntPeakEnergyLL)*(INDEX(avoidedcosttbl,$H20,DF$2)+(($H20-ROUNDDOWN($H20,0))*(INDEX(avoidedcosttbl,ROUNDUP($H20,0),DF$2)-(INDEX(avoidedcosttbl,ROUNDDOWN($H20,0),DF$2)))))*$P20*1000*ADRYr1!Z20)</f>
        <v/>
      </c>
      <c r="DG20" s="615" t="str">
        <f>IF($G20="","",(1+WntOffPeakEnergyLL)*(INDEX(avoidedcosttbl,$H20,DG$2)+(($H20-ROUNDDOWN($H20,0))*(INDEX(avoidedcosttbl,ROUNDUP($H20,0),DG$2)-(INDEX(avoidedcosttbl,ROUNDDOWN($H20,0),DG$2)))))*$P20*1000*ADRYr1!AA20)</f>
        <v/>
      </c>
      <c r="DH20" s="615" t="str">
        <f>IF($G20="","",(1+SumPeakEnergyLL)*(INDEX(avoidedcosttbl,$H20,DH$2)+(($H20-ROUNDDOWN($H20,0))*(INDEX(avoidedcosttbl,ROUNDUP($H20,0),DH$2)-(INDEX(avoidedcosttbl,ROUNDDOWN($H20,0),DH$2)))))*$P20*1000*ADRYr1!AB20)</f>
        <v/>
      </c>
      <c r="DI20" s="615" t="str">
        <f>IF($G20="","",(1+SumOffPeakEnergyLL)*(INDEX(avoidedcosttbl,$H20,DI$2)+(($H20-ROUNDDOWN($H20,0))*(INDEX(avoidedcosttbl,ROUNDUP($H20,0),DI$2)-(INDEX(avoidedcosttbl,ROUNDDOWN($H20,0),DI$2)))))*$P20*1000*ADRYr1!AC20)</f>
        <v/>
      </c>
      <c r="DJ20" s="29" t="str">
        <f t="shared" si="44"/>
        <v/>
      </c>
      <c r="DK20" s="161" t="str">
        <f t="shared" si="45"/>
        <v/>
      </c>
      <c r="DL20" s="1189" t="str">
        <f t="shared" si="46"/>
        <v/>
      </c>
      <c r="DM20" s="1189" t="str">
        <f t="shared" si="47"/>
        <v/>
      </c>
      <c r="DN20" s="43" t="str">
        <f t="shared" si="48"/>
        <v/>
      </c>
      <c r="DO20" s="966" t="str">
        <f>IF($G20="","",ADRYr1!AQ20)</f>
        <v/>
      </c>
      <c r="DP20" s="968" t="str">
        <f>IF($G20="","",ADRYr1!AR20)</f>
        <v/>
      </c>
      <c r="DQ20" s="970" t="str">
        <f>IF($G20="","",IF($DP20="Yes",COLUMN(AESC!$L$10),IF($DP20="No","Using AvoidedDemand tab",IF($DP20="Mixed",COLUMN(AESC!$N$10)))))</f>
        <v/>
      </c>
      <c r="DR20" s="970" t="str">
        <f>IF($G20="","",IF($DP20="Yes",COLUMN(AESC!$P$10),IF($DP20="No","Using AvoidedDemand tab",IF($DP20="Mixed",COLUMN(AESC!$R$10)))))</f>
        <v/>
      </c>
      <c r="DS20" s="970" t="str">
        <f>IF($G20="","",IF($DP20="Yes",COLUMN(AESC!$S$10),IF($DP20="No",COLUMN(AESC!$T$10),IF($DP20="Mixed",COLUMN(AESC!$U$10)))))</f>
        <v/>
      </c>
      <c r="DT20" s="970" t="str">
        <f t="shared" si="17"/>
        <v/>
      </c>
      <c r="DU20" s="970" t="str">
        <f>IF($G20="","",ADRYr1!AS20)</f>
        <v/>
      </c>
      <c r="DV20" s="971" t="str">
        <f>IF($G20="","",ADRYr1!AT20)</f>
        <v/>
      </c>
      <c r="DW20" s="1162" t="str">
        <f>IF($G20="","",INDEX(AvoidedEnergy!$H$4:$H$10,MATCH($DO20,AvoidedEnergy!$A$4:$A$10,0)))</f>
        <v/>
      </c>
    </row>
    <row r="21" spans="1:127">
      <c r="A21" s="160" t="str">
        <f>IF(ADRYr1!$B21=0,"",ADRYr1!A21)</f>
        <v>B - Low-Income</v>
      </c>
      <c r="B21" s="9" t="str">
        <f>IF(ADRYr1!$B21=0,"",ADRYr1!B21)</f>
        <v>Home Energy Assistance</v>
      </c>
      <c r="C21" s="9" t="str">
        <f>IF(ADRYr1!$B21=0,"",ADRYr1!C21)</f>
        <v>Res Demand Response</v>
      </c>
      <c r="D21" s="9" t="str">
        <f>IF(ADRYr1!$B21=0,"",ADRYr1!D21)</f>
        <v>Storage Daily Dispatch Upfront Incentive (savings) Winter</v>
      </c>
      <c r="E21" s="9">
        <f>IF(ADRYr1!$B21=0,"",ADRYr1!E21)</f>
        <v>0</v>
      </c>
      <c r="F21" s="11" t="str">
        <f>IF(ADRYr1!$B21=0,"",ADRYr1!F21)</f>
        <v>Behavior</v>
      </c>
      <c r="G21" s="12" t="str">
        <f>IF(ADRYr1!$G21&lt;&gt;0,ADRYr1!G21,"")</f>
        <v/>
      </c>
      <c r="H21" s="960" t="str">
        <f>IF($G21="","",ROUND(ADRYr1!H21,0))</f>
        <v/>
      </c>
      <c r="I21" s="47" t="str">
        <f>IF($G21="","",ADRYr1!I21*ADRYr1!P21*G21)</f>
        <v/>
      </c>
      <c r="J21" s="47" t="str">
        <f>IF($G21="","",ADRYr1!J21*G21)</f>
        <v/>
      </c>
      <c r="K21" s="47" t="str">
        <f t="shared" si="18"/>
        <v/>
      </c>
      <c r="L21" s="27" t="str">
        <f>IF($G21="","",ADRYr1!V21*G21/1000)</f>
        <v/>
      </c>
      <c r="M21" s="27" t="str">
        <f>IF($G21="","",L21*ADRYr1!$Q21*ADRYr1!$R21)</f>
        <v/>
      </c>
      <c r="N21" s="27" t="str">
        <f t="shared" si="19"/>
        <v/>
      </c>
      <c r="O21" s="27" t="str">
        <f t="shared" si="20"/>
        <v/>
      </c>
      <c r="P21" s="27" t="str">
        <f>IF($G21="","",M21*ADRYr1!P21)</f>
        <v/>
      </c>
      <c r="Q21" s="27" t="str">
        <f t="shared" si="21"/>
        <v/>
      </c>
      <c r="R21" s="27" t="str">
        <f>IF($G21="","",$Q21*ADRYr1!Z21)</f>
        <v/>
      </c>
      <c r="S21" s="27" t="str">
        <f>IF($G21="","",$Q21*ADRYr1!AA21)</f>
        <v/>
      </c>
      <c r="T21" s="27" t="str">
        <f>IF($G21="","",$Q21*ADRYr1!AB21)</f>
        <v/>
      </c>
      <c r="U21" s="27" t="str">
        <f>IF($G21="","",$Q21*ADRYr1!AC21)</f>
        <v/>
      </c>
      <c r="V21" s="27" t="str">
        <f>IF($G21="","",G21*ADRYr1!$AD21*ADRYr1!$P21*ADRYr1!$Q21)</f>
        <v/>
      </c>
      <c r="W21" s="27" t="str">
        <f>IF($G21="","",$G21*ADRYr1!$AD21*ADRYr1!$AF21*ADRYr1!Q21*ADRYr1!$S21)</f>
        <v/>
      </c>
      <c r="X21" s="27" t="str">
        <f>IF($G21="","",$G21*ADRYr1!$AD21*ADRYr1!$AF21*ADRYr1!P21*ADRYr1!Q21*ADRYr1!$S21)</f>
        <v/>
      </c>
      <c r="Y21" s="27" t="str">
        <f>IF($G21="","",$G21*ADRYr1!$AD21*ADRYr1!$AE21*ADRYr1!Q21*ADRYr1!$T21)</f>
        <v/>
      </c>
      <c r="Z21" s="27" t="str">
        <f>IF($G21="","",$G21*ADRYr1!$AD21*ADRYr1!$AE21*ADRYr1!P21*ADRYr1!Q21*ADRYr1!$T21)</f>
        <v/>
      </c>
      <c r="AA21" s="45" t="str">
        <f>IF($G21="","",$G21*ADRYr1!$Q21*ADRYr1!$U21*(IF(IFERROR(SEARCH("NG", ADRYr1!$AI21),0),ADRYr1!$AJ21,0)+IF(IFERROR(SEARCH("NG", ADRYr1!$AK21),0),ADRYr1!$AL21,0)+IF(IFERROR(SEARCH("NG", ADRYr1!$AM21),0),ADRYr1!$AN21,0)))</f>
        <v/>
      </c>
      <c r="AB21" s="45" t="str">
        <f t="shared" si="22"/>
        <v/>
      </c>
      <c r="AC21" s="45">
        <f>IF($G21="",0,AA21*ADRYr1!$P21)</f>
        <v>0</v>
      </c>
      <c r="AD21" s="45" t="str">
        <f t="shared" si="23"/>
        <v/>
      </c>
      <c r="AE21" s="45" t="str">
        <f>IF($G21="","",$G21*ADRYr1!$Q21*ADRYr1!$U21*(IF(IFERROR(SEARCH("Oil", ADRYr1!$AI21), 0),ADRYr1!$AJ21,0)+IF(IFERROR(SEARCH("Oil", ADRYr1!$AK21), 0),ADRYr1!$AL21,0)+IF(IFERROR(SEARCH("Oil", ADRYr1!$AM21), 0),ADRYr1!$AN21,0)))</f>
        <v/>
      </c>
      <c r="AF21" s="45" t="str">
        <f t="shared" si="24"/>
        <v/>
      </c>
      <c r="AG21" s="45">
        <f>IF($G21="",0,AE21*ADRYr1!$P21)</f>
        <v>0</v>
      </c>
      <c r="AH21" s="45" t="str">
        <f t="shared" si="25"/>
        <v/>
      </c>
      <c r="AI21" s="45" t="str">
        <f>IF($G21="","",$G21*ADRYr1!$Q21*ADRYr1!$U21*(IF(ADRYr1!$AI21=Lookups!$E$116,ADRYr1!$AJ21,IF(ADRYr1!$AK21=Lookups!$E$116,ADRYr1!$AL21,IF(ADRYr1!$AM21=Lookups!$E$116,ADRYr1!$AN21,0)))))</f>
        <v/>
      </c>
      <c r="AJ21" s="45" t="str">
        <f t="shared" si="26"/>
        <v/>
      </c>
      <c r="AK21" s="45">
        <f>IF($G21="",0,AI21*ADRYr1!$P21)</f>
        <v>0</v>
      </c>
      <c r="AL21" s="45" t="str">
        <f t="shared" si="27"/>
        <v/>
      </c>
      <c r="AM21" s="45" t="str">
        <f>IF($G21="","",$G21*ADRYr1!$Q21*ADRYr1!$U21*(IF(ADRYr1!$AI21=Lookups!$E$115,ADRYr1!$AJ21,IF(ADRYr1!$AK21=Lookups!$E$115,ADRYr1!$AL21,IF(ADRYr1!$AM21=Lookups!$E$115,ADRYr1!$AN21,0)))))</f>
        <v/>
      </c>
      <c r="AN21" s="45" t="str">
        <f t="shared" si="28"/>
        <v/>
      </c>
      <c r="AO21" s="45">
        <f>IF($G21="",0,AM21*ADRYr1!$P21)</f>
        <v>0</v>
      </c>
      <c r="AP21" s="45" t="str">
        <f t="shared" si="29"/>
        <v/>
      </c>
      <c r="AQ21" s="45" t="str">
        <f>IF($G21="","",$G21*ADRYr1!$Q21*ADRYr1!$U21*(IF(ADRYr1!$AI21=Lookups!$E$117,ADRYr1!$AJ21,IF(ADRYr1!$AK21=Lookups!$E$117,ADRYr1!$AL21,IF(ADRYr1!$AM21=Lookups!$E$117,ADRYr1!$AN21,0)))))</f>
        <v/>
      </c>
      <c r="AR21" s="45" t="str">
        <f t="shared" si="30"/>
        <v/>
      </c>
      <c r="AS21" s="45" t="str">
        <f>IF($G21="","",AQ21*ADRYr1!$P21)</f>
        <v/>
      </c>
      <c r="AT21" s="45" t="str">
        <f t="shared" si="31"/>
        <v/>
      </c>
      <c r="AU21" s="45" t="str">
        <f>IF($G21="","",$G21*ADRYr1!$Q21*ADRYr1!$U21*(IF(ADRYr1!$AI21=Lookups!$E$118,ADRYr1!$AJ21,IF(ADRYr1!$AK21=Lookups!$E$118,ADRYr1!$AL21,IF(ADRYr1!$AM21=Lookups!$E$118,ADRYr1!$AN21,0)))))</f>
        <v/>
      </c>
      <c r="AV21" s="45" t="str">
        <f t="shared" si="32"/>
        <v/>
      </c>
      <c r="AW21" s="45" t="str">
        <f>IF($G21="","",AU21*ADRYr1!$P21)</f>
        <v/>
      </c>
      <c r="AX21" s="45" t="str">
        <f t="shared" si="33"/>
        <v/>
      </c>
      <c r="AY21" s="45">
        <f t="shared" si="34"/>
        <v>0</v>
      </c>
      <c r="AZ21" s="45">
        <f t="shared" si="34"/>
        <v>0</v>
      </c>
      <c r="BA21" s="101" t="str">
        <f>IF($G21="","",$G21*ADRYr1!$P21*ADRYr1!$Q21*ADRYr1!$U21*ADRYr1!AO21)</f>
        <v/>
      </c>
      <c r="BB21" s="102" t="str">
        <f>IF($G21="","",$G21*ADRYr1!$P21*ADRYr1!$Q21*ADRYr1!$U21*ADRYr1!AP21)</f>
        <v/>
      </c>
      <c r="BC21" s="100" t="str">
        <f t="shared" si="35"/>
        <v/>
      </c>
      <c r="BD21" s="961"/>
      <c r="BE21" s="961"/>
      <c r="BF21" s="961"/>
      <c r="BG21" s="961"/>
      <c r="BH21" s="962" t="str">
        <f t="shared" si="3"/>
        <v/>
      </c>
      <c r="BI21" s="961"/>
      <c r="BJ21" s="961"/>
      <c r="BK21" s="961"/>
      <c r="BL21" s="961"/>
      <c r="BM21" s="30" t="str">
        <f t="shared" si="4"/>
        <v/>
      </c>
      <c r="BN21" s="963" t="str">
        <f t="shared" si="5"/>
        <v/>
      </c>
      <c r="BO21" s="31" t="str">
        <f t="shared" si="36"/>
        <v/>
      </c>
      <c r="BP21" s="964" t="str">
        <f t="shared" si="6"/>
        <v/>
      </c>
      <c r="BQ21" s="28" t="str">
        <f t="shared" si="7"/>
        <v/>
      </c>
      <c r="BR21" s="964" t="str">
        <f t="shared" si="8"/>
        <v/>
      </c>
      <c r="BS21" s="964" t="str">
        <f t="shared" si="9"/>
        <v/>
      </c>
      <c r="BT21" s="28" t="str">
        <f t="shared" si="10"/>
        <v/>
      </c>
      <c r="BU21" s="28" t="str">
        <f t="shared" si="10"/>
        <v/>
      </c>
      <c r="BV21" s="28" t="str">
        <f t="shared" si="10"/>
        <v/>
      </c>
      <c r="BW21" s="29" t="str">
        <f t="shared" si="37"/>
        <v/>
      </c>
      <c r="BX21" s="29" t="str">
        <f t="shared" si="38"/>
        <v/>
      </c>
      <c r="BY21" s="28" t="str">
        <f>IF($G21="","",$G21*(IF(ADRYr1!$AI21=BY$4,ADRYr1!$AJ21,IF(ADRYr1!$AK21=BY$4,ADRYr1!$AL21,IF(ADRYr1!$AM21=BY$4,ADRYr1!$AN21,0))))*(INDEX(avoidedcosttbl,$H21,BY$2)+(($H21-ROUNDDOWN($H21,0))*(INDEX(avoidedcosttbl,ROUNDUP($H21,0),BY$2)-(INDEX(avoidedcosttbl,ROUNDDOWN($H21,0),BY$2)))))*ADRYr1!P21*ADRYr1!Q21*ADRYr1!U21)</f>
        <v/>
      </c>
      <c r="BZ21" s="28" t="str">
        <f>IF($G21="","",$G21*(IF(ADRYr1!$AI21=BZ$4,ADRYr1!$AJ21,IF(ADRYr1!$AK21=BZ$4,ADRYr1!$AL21,IF(ADRYr1!$AM21=BZ$4,ADRYr1!$AN21,0))))*(INDEX(avoidedcosttbl,$H21,BZ$2)+(($H21-ROUNDDOWN($H21,0))*(INDEX(avoidedcosttbl,ROUNDUP($H21,0),BZ$2)-(INDEX(avoidedcosttbl,ROUNDDOWN($H21,0),BZ$2)))))*ADRYr1!P21*ADRYr1!Q21*ADRYr1!U21)</f>
        <v/>
      </c>
      <c r="CA21" s="28" t="str">
        <f>IF($G21="","",$G21*(IF(ADRYr1!$AI21=CA$4,ADRYr1!$AJ21,IF(ADRYr1!$AK21=CA$4,ADRYr1!$AL21,IF(ADRYr1!$AM21=CA$4,ADRYr1!$AN21,0))))*(INDEX(avoidedcosttbl,$H21,CA$2)+(($H21-ROUNDDOWN($H21,0))*(INDEX(avoidedcosttbl,ROUNDUP($H21,0),CA$2)-(INDEX(avoidedcosttbl,ROUNDDOWN($H21,0),CA$2)))))*ADRYr1!P21*ADRYr1!Q21*ADRYr1!U21)</f>
        <v/>
      </c>
      <c r="CB21" s="28" t="str">
        <f>IF($G21="","",$G21*(IF(ADRYr1!$AI21=CB$4,ADRYr1!$AJ21,IF(ADRYr1!$AK21=CB$4,ADRYr1!$AL21,IF(ADRYr1!$AM21=CB$4,ADRYr1!$AN21,0))))*(INDEX(avoidedcosttbl,$H21,CB$2)+(($H21-ROUNDDOWN($H21,0))*(INDEX(avoidedcosttbl,ROUNDUP($H21,0),CB$2)-(INDEX(avoidedcosttbl,ROUNDDOWN($H21,0),CB$2)))))*ADRYr1!P21*ADRYr1!Q21*ADRYr1!U21)</f>
        <v/>
      </c>
      <c r="CC21" s="28" t="str">
        <f>IF($G21="","",$G21*(IF(ADRYr1!$AI21=CC$4,ADRYr1!$AJ21,IF(ADRYr1!$AK21=CC$4,ADRYr1!$AL21,IF(ADRYr1!$AM21=CC$4,ADRYr1!$AN21,0))))*(INDEX(avoidedcosttbl,$H21,CC$2)+(($H21-ROUNDDOWN($H21,0))*(INDEX(avoidedcosttbl,ROUNDUP($H21,0),CC$2)-(INDEX(avoidedcosttbl,ROUNDDOWN($H21,0),CC$2)))))*ADRYr1!P21*ADRYr1!Q21*ADRYr1!U21)</f>
        <v/>
      </c>
      <c r="CD21" s="28" t="str">
        <f>IF($G21="","",$G21*(IF(ADRYr1!$AI21=CD$4,ADRYr1!$AJ21,IF(ADRYr1!$AK21=CD$4,ADRYr1!$AL21,IF(ADRYr1!$AM21=CD$4,ADRYr1!$AN21,0))))*(INDEX(avoidedcosttbl,$H21,CD$2)+(($H21-ROUNDDOWN($H21,0))*(INDEX(avoidedcosttbl,ROUNDUP($H21,0),CD$2)-(INDEX(avoidedcosttbl,ROUNDDOWN($H21,0),CD$2)))))*ADRYr1!P21*ADRYr1!Q21*ADRYr1!U21)</f>
        <v/>
      </c>
      <c r="CE21" s="28" t="str">
        <f>IF($G21="","",$G21*(IF(ADRYr1!$AI21=CE$4,ADRYr1!$AJ21,IF(ADRYr1!$AK21=CE$4,ADRYr1!$AL21,IF(ADRYr1!$AM21=CE$4,ADRYr1!$AN21,0))))*(INDEX(avoidedcosttbl,$H21,CE$2)+(($H21-ROUNDDOWN($H21,0))*(INDEX(avoidedcosttbl,ROUNDUP($H21,0),CE$2)-(INDEX(avoidedcosttbl,ROUNDDOWN($H21,0),CE$2)))))*ADRYr1!P21*ADRYr1!Q21*ADRYr1!U21)</f>
        <v/>
      </c>
      <c r="CF21" s="41" t="str">
        <f t="shared" si="39"/>
        <v/>
      </c>
      <c r="CG21" s="30" t="str">
        <f t="shared" si="11"/>
        <v/>
      </c>
      <c r="CH21" s="30" t="str">
        <f>IF($G21="","",$G21*(IF(ADRYr1!$AI21=BY$4,ADRYr1!$AJ21,IF(ADRYr1!$AK21=BY$4,ADRYr1!$AL21,IF(ADRYr1!$AM21=BY$4,ADRYr1!$AN21,0))))*(INDEX(avoidedcosttbl,$H21,CH$2)+(($H21-ROUNDDOWN($H21,0))*(INDEX(avoidedcosttbl,ROUNDUP($H21,0),CH$2)-(INDEX(avoidedcosttbl,ROUNDDOWN($H21,0),CH$2)))))*ADRYr1!P21*ADRYr1!Q21*ADRYr1!U21)</f>
        <v/>
      </c>
      <c r="CI21" s="30" t="str">
        <f>IF($G21="","",$G21*(IF(ADRYr1!$AI21=BZ$4,ADRYr1!$AJ21,IF(ADRYr1!$AK21=BZ$4,ADRYr1!$AL21,IF(ADRYr1!$AM21=BZ$4,ADRYr1!$AN21,0))))*(INDEX(avoidedcosttbl,$H21,CI$2)+(($H21-ROUNDDOWN($H21,0))*(INDEX(avoidedcosttbl,ROUNDUP($H21,0),CI$2)-(INDEX(avoidedcosttbl,ROUNDDOWN($H21,0),CI$2)))))*ADRYr1!P21*ADRYr1!Q21*ADRYr1!U21)</f>
        <v/>
      </c>
      <c r="CJ21" s="30" t="str">
        <f>IF($G21="","",$G21*(IF(ADRYr1!$AI21=CA$4,ADRYr1!$AJ21,IF(ADRYr1!$AK21=CA$4,ADRYr1!$AL21,IF(ADRYr1!$AM21=CA$4,ADRYr1!$AN21,0))))*(INDEX(avoidedcosttbl,$H21,CJ$2)+(($H21-ROUNDDOWN($H21,0))*(INDEX(avoidedcosttbl,ROUNDUP($H21,0),CJ$2)-(INDEX(avoidedcosttbl,ROUNDDOWN($H21,0),CJ$2)))))*ADRYr1!P21*ADRYr1!Q21*ADRYr1!U21)</f>
        <v/>
      </c>
      <c r="CK21" s="30" t="str">
        <f>IF($G21="","",$G21*(IF(ADRYr1!$AI21=CB$4,ADRYr1!$AJ21,IF(ADRYr1!$AK21=CB$4,ADRYr1!$AL21,IF(ADRYr1!$AM21=CB$4,ADRYr1!$AN21,0))))*(INDEX(avoidedcosttbl,$H21,CK$2)+(($H21-ROUNDDOWN($H21,0))*(INDEX(avoidedcosttbl,ROUNDUP($H21,0),CK$2)-(INDEX(avoidedcosttbl,ROUNDDOWN($H21,0),CK$2)))))*ADRYr1!P21*ADRYr1!Q21*ADRYr1!U21)</f>
        <v/>
      </c>
      <c r="CL21" s="30" t="str">
        <f>IF($G21="","",$G21*(IF(ADRYr1!$AI21=CC$4,ADRYr1!$AJ21,IF(ADRYr1!$AK21=CC$4,ADRYr1!$AL21,IF(ADRYr1!$AM21=CC$4,ADRYr1!$AN21,0))))*(INDEX(avoidedcosttbl,$H21,CL$2)+(($H21-ROUNDDOWN($H21,0))*(INDEX(avoidedcosttbl,ROUNDUP($H21,0),CL$2)-(INDEX(avoidedcosttbl,ROUNDDOWN($H21,0),CL$2)))))*ADRYr1!P21*ADRYr1!Q21*ADRYr1!U21)</f>
        <v/>
      </c>
      <c r="CM21" s="30" t="str">
        <f>IF($G21="","",$G21*(IF(ADRYr1!$AI21=CD$4,ADRYr1!$AJ21,IF(ADRYr1!$AK21=CD$4,ADRYr1!$AL21,IF(ADRYr1!$AM21=CD$4,ADRYr1!$AN21,0))))*(INDEX(avoidedcosttbl,$H21,CM$2)+(($H21-ROUNDDOWN($H21,0))*(INDEX(avoidedcosttbl,ROUNDUP($H21,0),CM$2)-(INDEX(avoidedcosttbl,ROUNDDOWN($H21,0),CM$2)))))*ADRYr1!P21*ADRYr1!Q21*ADRYr1!U21)</f>
        <v/>
      </c>
      <c r="CN21" s="30" t="str">
        <f>IF($G21="","",$G21*(IF(ADRYr1!$AI21=CE$4,ADRYr1!$AJ21,IF(ADRYr1!$AK21=CE$4,ADRYr1!$AL21,IF(ADRYr1!$AM21=CE$4,ADRYr1!$AN21,0))))*(INDEX(avoidedcosttbl,$H21,CN$2)+(($H21-ROUNDDOWN($H21,0))*(INDEX(avoidedcosttbl,ROUNDUP($H21,0),CN$2)-(INDEX(avoidedcosttbl,ROUNDDOWN($H21,0),CN$2)))))*ADRYr1!P21*ADRYr1!Q21*ADRYr1!U21)</f>
        <v/>
      </c>
      <c r="CO21" s="220" t="str">
        <f t="shared" si="40"/>
        <v/>
      </c>
      <c r="CP21" s="220" t="str">
        <f t="shared" si="41"/>
        <v/>
      </c>
      <c r="CQ21" s="157" t="str">
        <f>IF($G21="","",$G21*(IF(ADRYr1!$AI21=CQ$4,ADRYr1!$AJ21,IF(ADRYr1!$AK21=CQ$4,ADRYr1!$AL21,IF(ADRYr1!$AM21=CQ$4,ADRYr1!$AN21,0))))*(INDEX(avoidedcosttbl,$H21,CQ$2)+(($H21-ROUNDDOWN($H21,0))*(INDEX(avoidedcosttbl,ROUNDUP($H21,0),CQ$2)-(INDEX(avoidedcosttbl,ROUNDDOWN($H21,0),CQ$2)))))*ADRYr1!$P21*ADRYr1!$Q21*ADRYr1!$U21)</f>
        <v/>
      </c>
      <c r="CR21" s="28" t="str">
        <f>IF($G21="","",G21*(IF(ADRYr1!$AI21=CR$4,ADRYr1!$AJ21,IF(ADRYr1!$AK21=CR$4,ADRYr1!$AL21,IF(ADRYr1!$AM21=CR$4,ADRYr1!$AN21,0))))*(INDEX(avoidedcosttbl,$H21,CR$2)+(($H21-ROUNDDOWN($H21,0))*(INDEX(avoidedcosttbl,ROUNDUP($H21,0),CR$2)-(INDEX(avoidedcosttbl,ROUNDDOWN($H21,0),CR$2)))))*ADRYr1!$P21*ADRYr1!$Q21*ADRYr1!$U21)</f>
        <v/>
      </c>
      <c r="CS21" s="28" t="str">
        <f>IF($G21="","",G21*(IF(ADRYr1!$AI21=CS$4,ADRYr1!$AJ21,IF(ADRYr1!$AK21=CS$4,ADRYr1!$AL21,IF(ADRYr1!$AM21=CS$4,ADRYr1!$AN21,0))))*(INDEX(avoidedcosttbl,$H21,CS$2)+(($H21-ROUNDDOWN($H21,0))*(INDEX(avoidedcosttbl,ROUNDUP($H21,0),CS$2)-(INDEX(avoidedcosttbl,ROUNDDOWN($H21,0),CS$2)))))*ADRYr1!$P21*ADRYr1!$Q21*ADRYr1!$U21)</f>
        <v/>
      </c>
      <c r="CT21" s="28" t="str">
        <f t="shared" si="12"/>
        <v/>
      </c>
      <c r="CU21" s="28" t="str">
        <f>IF($G21="","",G21*(IF(ADRYr1!$AI21=CU$4,ADRYr1!$AJ21,IF(ADRYr1!$AK21=CU$4,ADRYr1!$AL21,IF(ADRYr1!$AM21=CU$4,ADRYr1!$AN21,0))))*(INDEX(avoidedcosttbl,$H21,CU$2)+(($H21-ROUNDDOWN($H21,0))*(INDEX(avoidedcosttbl,ROUNDUP($H21,0),CU$2)-(INDEX(avoidedcosttbl,ROUNDDOWN($H21,0),CU$2)))))*ADRYr1!$P21*ADRYr1!$Q21*ADRYr1!$U21)</f>
        <v/>
      </c>
      <c r="CV21" s="28" t="str">
        <f>IF($G21="","",G21*(IF(ADRYr1!$AI21=CV$4,ADRYr1!$AJ21,IF(ADRYr1!$AK21=CV$4,ADRYr1!$AL21,IF(ADRYr1!$AM21=CV$4,ADRYr1!$AN21,0))))*(INDEX(avoidedcosttbl,$H21,CV$2)+(($H21-ROUNDDOWN($H21,0))*(INDEX(avoidedcosttbl,ROUNDUP($H21,0),CV$2)-(INDEX(avoidedcosttbl,ROUNDDOWN($H21,0),CV$2)))))*ADRYr1!$P21*ADRYr1!$Q21*ADRYr1!$U21)</f>
        <v/>
      </c>
      <c r="CW21" s="28" t="str">
        <f>IF($G21="","",G21*(IF(ADRYr1!$AI21=CW$4,ADRYr1!$AJ21,IF(ADRYr1!$AK21=CW$4,ADRYr1!$AL21,IF(ADRYr1!$AM21=CW$4,ADRYr1!$AN21,0))))*(INDEX(avoidedcosttbl,$H21,CW$2)+(($H21-ROUNDDOWN($H21,0))*(INDEX(avoidedcosttbl,ROUNDUP($H21,0),CW$2)-(INDEX(avoidedcosttbl,ROUNDDOWN($H21,0),CW$2)))))*ADRYr1!$P21*ADRYr1!$Q21*ADRYr1!$U21)</f>
        <v/>
      </c>
      <c r="CX21" s="28" t="str">
        <f>IF($G21="","",G21*(IF(ADRYr1!$AI21=CX$4,ADRYr1!$AJ21,IF(ADRYr1!$AK21=CX$4,ADRYr1!$AL21,IF(ADRYr1!$AM21=CX$4,ADRYr1!$AN21,0))))*(INDEX(avoidedcosttbl,$H21,CX$2)+(($H21-ROUNDDOWN($H21,0))*(INDEX(avoidedcosttbl,ROUNDUP($H21,0),CX$2)-(INDEX(avoidedcosttbl,ROUNDDOWN($H21,0),CX$2)))))*ADRYr1!$P21*ADRYr1!$Q21*ADRYr1!$U21)</f>
        <v/>
      </c>
      <c r="CY21" s="28" t="str">
        <f t="shared" si="13"/>
        <v/>
      </c>
      <c r="CZ21" s="32" t="str">
        <f t="shared" si="14"/>
        <v/>
      </c>
      <c r="DA21" s="84" t="str">
        <f t="shared" si="42"/>
        <v/>
      </c>
      <c r="DB21" s="81" t="str">
        <f>IF(NEIadder="Yes",IF($G21="","",INDEX(Lookups!$G$70:$G$71,MATCH($A21,Lookups!$E$70:$E$71,0))*(SUM(CP21:CX21,BX21))),"")</f>
        <v/>
      </c>
      <c r="DC21" s="263" t="str">
        <f t="shared" si="15"/>
        <v/>
      </c>
      <c r="DD21" s="166" t="str">
        <f t="shared" si="16"/>
        <v/>
      </c>
      <c r="DE21" s="82">
        <f t="shared" si="43"/>
        <v>0</v>
      </c>
      <c r="DF21" s="615" t="str">
        <f>IF($G21="","",(1+WntPeakEnergyLL)*(INDEX(avoidedcosttbl,$H21,DF$2)+(($H21-ROUNDDOWN($H21,0))*(INDEX(avoidedcosttbl,ROUNDUP($H21,0),DF$2)-(INDEX(avoidedcosttbl,ROUNDDOWN($H21,0),DF$2)))))*$P21*1000*ADRYr1!Z21)</f>
        <v/>
      </c>
      <c r="DG21" s="615" t="str">
        <f>IF($G21="","",(1+WntOffPeakEnergyLL)*(INDEX(avoidedcosttbl,$H21,DG$2)+(($H21-ROUNDDOWN($H21,0))*(INDEX(avoidedcosttbl,ROUNDUP($H21,0),DG$2)-(INDEX(avoidedcosttbl,ROUNDDOWN($H21,0),DG$2)))))*$P21*1000*ADRYr1!AA21)</f>
        <v/>
      </c>
      <c r="DH21" s="615" t="str">
        <f>IF($G21="","",(1+SumPeakEnergyLL)*(INDEX(avoidedcosttbl,$H21,DH$2)+(($H21-ROUNDDOWN($H21,0))*(INDEX(avoidedcosttbl,ROUNDUP($H21,0),DH$2)-(INDEX(avoidedcosttbl,ROUNDDOWN($H21,0),DH$2)))))*$P21*1000*ADRYr1!AB21)</f>
        <v/>
      </c>
      <c r="DI21" s="615" t="str">
        <f>IF($G21="","",(1+SumOffPeakEnergyLL)*(INDEX(avoidedcosttbl,$H21,DI$2)+(($H21-ROUNDDOWN($H21,0))*(INDEX(avoidedcosttbl,ROUNDUP($H21,0),DI$2)-(INDEX(avoidedcosttbl,ROUNDDOWN($H21,0),DI$2)))))*$P21*1000*ADRYr1!AC21)</f>
        <v/>
      </c>
      <c r="DJ21" s="29" t="str">
        <f t="shared" si="44"/>
        <v/>
      </c>
      <c r="DK21" s="161" t="str">
        <f t="shared" si="45"/>
        <v/>
      </c>
      <c r="DL21" s="1189" t="str">
        <f t="shared" si="46"/>
        <v/>
      </c>
      <c r="DM21" s="1189" t="str">
        <f t="shared" si="47"/>
        <v/>
      </c>
      <c r="DN21" s="43" t="str">
        <f t="shared" si="48"/>
        <v/>
      </c>
      <c r="DO21" s="966" t="str">
        <f>IF($G21="","",ADRYr1!AQ21)</f>
        <v/>
      </c>
      <c r="DP21" s="968" t="str">
        <f>IF($G21="","",ADRYr1!AR21)</f>
        <v/>
      </c>
      <c r="DQ21" s="970" t="str">
        <f>IF($G21="","",IF($DP21="Yes",COLUMN(AESC!$L$10),IF($DP21="No","Using AvoidedDemand tab",IF($DP21="Mixed",COLUMN(AESC!$N$10)))))</f>
        <v/>
      </c>
      <c r="DR21" s="970" t="str">
        <f>IF($G21="","",IF($DP21="Yes",COLUMN(AESC!$P$10),IF($DP21="No","Using AvoidedDemand tab",IF($DP21="Mixed",COLUMN(AESC!$R$10)))))</f>
        <v/>
      </c>
      <c r="DS21" s="970" t="str">
        <f>IF($G21="","",IF($DP21="Yes",COLUMN(AESC!$S$10),IF($DP21="No",COLUMN(AESC!$T$10),IF($DP21="Mixed",COLUMN(AESC!$U$10)))))</f>
        <v/>
      </c>
      <c r="DT21" s="970" t="str">
        <f t="shared" si="17"/>
        <v/>
      </c>
      <c r="DU21" s="970" t="str">
        <f>IF($G21="","",ADRYr1!AS21)</f>
        <v/>
      </c>
      <c r="DV21" s="971" t="str">
        <f>IF($G21="","",ADRYr1!AT21)</f>
        <v/>
      </c>
      <c r="DW21" s="1162" t="str">
        <f>IF($G21="","",INDEX(AvoidedEnergy!$H$4:$H$10,MATCH($DO21,AvoidedEnergy!$A$4:$A$10,0)))</f>
        <v/>
      </c>
    </row>
    <row r="22" spans="1:127">
      <c r="A22" s="160" t="str">
        <f>IF(ADRYr1!$B22=0,"",ADRYr1!A22)</f>
        <v>B - Low-Income</v>
      </c>
      <c r="B22" s="9" t="str">
        <f>IF(ADRYr1!$B22=0,"",ADRYr1!B22)</f>
        <v>Home Energy Assistance</v>
      </c>
      <c r="C22" s="9" t="str">
        <f>IF(ADRYr1!$B22=0,"",ADRYr1!C22)</f>
        <v>Res Demand Response</v>
      </c>
      <c r="D22" s="9" t="str">
        <f>IF(ADRYr1!$B22=0,"",ADRYr1!D22)</f>
        <v>Storage Daily Dispatch Upfront Incentive (consumption) Winter</v>
      </c>
      <c r="E22" s="9">
        <f>IF(ADRYr1!$B22=0,"",ADRYr1!E22)</f>
        <v>0</v>
      </c>
      <c r="F22" s="11" t="str">
        <f>IF(ADRYr1!$B22=0,"",ADRYr1!F22)</f>
        <v>Behavior</v>
      </c>
      <c r="G22" s="12" t="str">
        <f>IF(ADRYr1!$G22&lt;&gt;0,ADRYr1!G22,"")</f>
        <v/>
      </c>
      <c r="H22" s="960" t="str">
        <f>IF($G22="","",ROUND(ADRYr1!H22,0))</f>
        <v/>
      </c>
      <c r="I22" s="47" t="str">
        <f>IF($G22="","",ADRYr1!I22*ADRYr1!P22*G22)</f>
        <v/>
      </c>
      <c r="J22" s="47" t="str">
        <f>IF($G22="","",ADRYr1!J22*G22)</f>
        <v/>
      </c>
      <c r="K22" s="47" t="str">
        <f t="shared" si="18"/>
        <v/>
      </c>
      <c r="L22" s="27" t="str">
        <f>IF($G22="","",ADRYr1!V22*G22/1000)</f>
        <v/>
      </c>
      <c r="M22" s="27" t="str">
        <f>IF($G22="","",L22*ADRYr1!$Q22*ADRYr1!$R22)</f>
        <v/>
      </c>
      <c r="N22" s="27" t="str">
        <f t="shared" si="19"/>
        <v/>
      </c>
      <c r="O22" s="27" t="str">
        <f t="shared" si="20"/>
        <v/>
      </c>
      <c r="P22" s="27" t="str">
        <f>IF($G22="","",M22*ADRYr1!P22)</f>
        <v/>
      </c>
      <c r="Q22" s="27" t="str">
        <f t="shared" si="21"/>
        <v/>
      </c>
      <c r="R22" s="27" t="str">
        <f>IF($G22="","",$Q22*ADRYr1!Z22)</f>
        <v/>
      </c>
      <c r="S22" s="27" t="str">
        <f>IF($G22="","",$Q22*ADRYr1!AA22)</f>
        <v/>
      </c>
      <c r="T22" s="27" t="str">
        <f>IF($G22="","",$Q22*ADRYr1!AB22)</f>
        <v/>
      </c>
      <c r="U22" s="27" t="str">
        <f>IF($G22="","",$Q22*ADRYr1!AC22)</f>
        <v/>
      </c>
      <c r="V22" s="27" t="str">
        <f>IF($G22="","",G22*ADRYr1!$AD22*ADRYr1!$P22*ADRYr1!$Q22)</f>
        <v/>
      </c>
      <c r="W22" s="27" t="str">
        <f>IF($G22="","",$G22*ADRYr1!$AD22*ADRYr1!$AF22*ADRYr1!Q22*ADRYr1!$S22)</f>
        <v/>
      </c>
      <c r="X22" s="27" t="str">
        <f>IF($G22="","",$G22*ADRYr1!$AD22*ADRYr1!$AF22*ADRYr1!P22*ADRYr1!Q22*ADRYr1!$S22)</f>
        <v/>
      </c>
      <c r="Y22" s="27" t="str">
        <f>IF($G22="","",$G22*ADRYr1!$AD22*ADRYr1!$AE22*ADRYr1!Q22*ADRYr1!$T22)</f>
        <v/>
      </c>
      <c r="Z22" s="27" t="str">
        <f>IF($G22="","",$G22*ADRYr1!$AD22*ADRYr1!$AE22*ADRYr1!P22*ADRYr1!Q22*ADRYr1!$T22)</f>
        <v/>
      </c>
      <c r="AA22" s="45" t="str">
        <f>IF($G22="","",$G22*ADRYr1!$Q22*ADRYr1!$U22*(IF(IFERROR(SEARCH("NG", ADRYr1!$AI22),0),ADRYr1!$AJ22,0)+IF(IFERROR(SEARCH("NG", ADRYr1!$AK22),0),ADRYr1!$AL22,0)+IF(IFERROR(SEARCH("NG", ADRYr1!$AM22),0),ADRYr1!$AN22,0)))</f>
        <v/>
      </c>
      <c r="AB22" s="45" t="str">
        <f t="shared" si="22"/>
        <v/>
      </c>
      <c r="AC22" s="45">
        <f>IF($G22="",0,AA22*ADRYr1!$P22)</f>
        <v>0</v>
      </c>
      <c r="AD22" s="45" t="str">
        <f t="shared" si="23"/>
        <v/>
      </c>
      <c r="AE22" s="45" t="str">
        <f>IF($G22="","",$G22*ADRYr1!$Q22*ADRYr1!$U22*(IF(IFERROR(SEARCH("Oil", ADRYr1!$AI22), 0),ADRYr1!$AJ22,0)+IF(IFERROR(SEARCH("Oil", ADRYr1!$AK22), 0),ADRYr1!$AL22,0)+IF(IFERROR(SEARCH("Oil", ADRYr1!$AM22), 0),ADRYr1!$AN22,0)))</f>
        <v/>
      </c>
      <c r="AF22" s="45" t="str">
        <f t="shared" si="24"/>
        <v/>
      </c>
      <c r="AG22" s="45">
        <f>IF($G22="",0,AE22*ADRYr1!$P22)</f>
        <v>0</v>
      </c>
      <c r="AH22" s="45" t="str">
        <f t="shared" si="25"/>
        <v/>
      </c>
      <c r="AI22" s="45" t="str">
        <f>IF($G22="","",$G22*ADRYr1!$Q22*ADRYr1!$U22*(IF(ADRYr1!$AI22=Lookups!$E$116,ADRYr1!$AJ22,IF(ADRYr1!$AK22=Lookups!$E$116,ADRYr1!$AL22,IF(ADRYr1!$AM22=Lookups!$E$116,ADRYr1!$AN22,0)))))</f>
        <v/>
      </c>
      <c r="AJ22" s="45" t="str">
        <f t="shared" si="26"/>
        <v/>
      </c>
      <c r="AK22" s="45">
        <f>IF($G22="",0,AI22*ADRYr1!$P22)</f>
        <v>0</v>
      </c>
      <c r="AL22" s="45" t="str">
        <f t="shared" si="27"/>
        <v/>
      </c>
      <c r="AM22" s="45" t="str">
        <f>IF($G22="","",$G22*ADRYr1!$Q22*ADRYr1!$U22*(IF(ADRYr1!$AI22=Lookups!$E$115,ADRYr1!$AJ22,IF(ADRYr1!$AK22=Lookups!$E$115,ADRYr1!$AL22,IF(ADRYr1!$AM22=Lookups!$E$115,ADRYr1!$AN22,0)))))</f>
        <v/>
      </c>
      <c r="AN22" s="45" t="str">
        <f t="shared" si="28"/>
        <v/>
      </c>
      <c r="AO22" s="45">
        <f>IF($G22="",0,AM22*ADRYr1!$P22)</f>
        <v>0</v>
      </c>
      <c r="AP22" s="45" t="str">
        <f t="shared" si="29"/>
        <v/>
      </c>
      <c r="AQ22" s="45" t="str">
        <f>IF($G22="","",$G22*ADRYr1!$Q22*ADRYr1!$U22*(IF(ADRYr1!$AI22=Lookups!$E$117,ADRYr1!$AJ22,IF(ADRYr1!$AK22=Lookups!$E$117,ADRYr1!$AL22,IF(ADRYr1!$AM22=Lookups!$E$117,ADRYr1!$AN22,0)))))</f>
        <v/>
      </c>
      <c r="AR22" s="45" t="str">
        <f t="shared" si="30"/>
        <v/>
      </c>
      <c r="AS22" s="45" t="str">
        <f>IF($G22="","",AQ22*ADRYr1!$P22)</f>
        <v/>
      </c>
      <c r="AT22" s="45" t="str">
        <f t="shared" si="31"/>
        <v/>
      </c>
      <c r="AU22" s="45" t="str">
        <f>IF($G22="","",$G22*ADRYr1!$Q22*ADRYr1!$U22*(IF(ADRYr1!$AI22=Lookups!$E$118,ADRYr1!$AJ22,IF(ADRYr1!$AK22=Lookups!$E$118,ADRYr1!$AL22,IF(ADRYr1!$AM22=Lookups!$E$118,ADRYr1!$AN22,0)))))</f>
        <v/>
      </c>
      <c r="AV22" s="45" t="str">
        <f t="shared" si="32"/>
        <v/>
      </c>
      <c r="AW22" s="45" t="str">
        <f>IF($G22="","",AU22*ADRYr1!$P22)</f>
        <v/>
      </c>
      <c r="AX22" s="45" t="str">
        <f t="shared" si="33"/>
        <v/>
      </c>
      <c r="AY22" s="45">
        <f t="shared" ref="AY22:AZ50" si="49">SUM(AC22,AG22,AK22,AO22,AS22,AW22)</f>
        <v>0</v>
      </c>
      <c r="AZ22" s="45">
        <f t="shared" si="49"/>
        <v>0</v>
      </c>
      <c r="BA22" s="101" t="str">
        <f>IF($G22="","",$G22*ADRYr1!$P22*ADRYr1!$Q22*ADRYr1!$U22*ADRYr1!AO22)</f>
        <v/>
      </c>
      <c r="BB22" s="102" t="str">
        <f>IF($G22="","",$G22*ADRYr1!$P22*ADRYr1!$Q22*ADRYr1!$U22*ADRYr1!AP22)</f>
        <v/>
      </c>
      <c r="BC22" s="100" t="str">
        <f t="shared" si="35"/>
        <v/>
      </c>
      <c r="BD22" s="961"/>
      <c r="BE22" s="961"/>
      <c r="BF22" s="961"/>
      <c r="BG22" s="961"/>
      <c r="BH22" s="962" t="str">
        <f t="shared" si="3"/>
        <v/>
      </c>
      <c r="BI22" s="961"/>
      <c r="BJ22" s="961"/>
      <c r="BK22" s="961"/>
      <c r="BL22" s="961"/>
      <c r="BM22" s="30" t="str">
        <f t="shared" si="4"/>
        <v/>
      </c>
      <c r="BN22" s="963" t="str">
        <f t="shared" si="5"/>
        <v/>
      </c>
      <c r="BO22" s="31" t="str">
        <f t="shared" si="36"/>
        <v/>
      </c>
      <c r="BP22" s="964" t="str">
        <f t="shared" si="6"/>
        <v/>
      </c>
      <c r="BQ22" s="28" t="str">
        <f t="shared" si="7"/>
        <v/>
      </c>
      <c r="BR22" s="964" t="str">
        <f t="shared" si="8"/>
        <v/>
      </c>
      <c r="BS22" s="964" t="str">
        <f t="shared" si="9"/>
        <v/>
      </c>
      <c r="BT22" s="28" t="str">
        <f t="shared" si="10"/>
        <v/>
      </c>
      <c r="BU22" s="28" t="str">
        <f t="shared" si="10"/>
        <v/>
      </c>
      <c r="BV22" s="28" t="str">
        <f t="shared" si="10"/>
        <v/>
      </c>
      <c r="BW22" s="29" t="str">
        <f t="shared" si="37"/>
        <v/>
      </c>
      <c r="BX22" s="29" t="str">
        <f t="shared" si="38"/>
        <v/>
      </c>
      <c r="BY22" s="28" t="str">
        <f>IF($G22="","",$G22*(IF(ADRYr1!$AI22=BY$4,ADRYr1!$AJ22,IF(ADRYr1!$AK22=BY$4,ADRYr1!$AL22,IF(ADRYr1!$AM22=BY$4,ADRYr1!$AN22,0))))*(INDEX(avoidedcosttbl,$H22,BY$2)+(($H22-ROUNDDOWN($H22,0))*(INDEX(avoidedcosttbl,ROUNDUP($H22,0),BY$2)-(INDEX(avoidedcosttbl,ROUNDDOWN($H22,0),BY$2)))))*ADRYr1!P22*ADRYr1!Q22*ADRYr1!U22)</f>
        <v/>
      </c>
      <c r="BZ22" s="28" t="str">
        <f>IF($G22="","",$G22*(IF(ADRYr1!$AI22=BZ$4,ADRYr1!$AJ22,IF(ADRYr1!$AK22=BZ$4,ADRYr1!$AL22,IF(ADRYr1!$AM22=BZ$4,ADRYr1!$AN22,0))))*(INDEX(avoidedcosttbl,$H22,BZ$2)+(($H22-ROUNDDOWN($H22,0))*(INDEX(avoidedcosttbl,ROUNDUP($H22,0),BZ$2)-(INDEX(avoidedcosttbl,ROUNDDOWN($H22,0),BZ$2)))))*ADRYr1!P22*ADRYr1!Q22*ADRYr1!U22)</f>
        <v/>
      </c>
      <c r="CA22" s="28" t="str">
        <f>IF($G22="","",$G22*(IF(ADRYr1!$AI22=CA$4,ADRYr1!$AJ22,IF(ADRYr1!$AK22=CA$4,ADRYr1!$AL22,IF(ADRYr1!$AM22=CA$4,ADRYr1!$AN22,0))))*(INDEX(avoidedcosttbl,$H22,CA$2)+(($H22-ROUNDDOWN($H22,0))*(INDEX(avoidedcosttbl,ROUNDUP($H22,0),CA$2)-(INDEX(avoidedcosttbl,ROUNDDOWN($H22,0),CA$2)))))*ADRYr1!P22*ADRYr1!Q22*ADRYr1!U22)</f>
        <v/>
      </c>
      <c r="CB22" s="28" t="str">
        <f>IF($G22="","",$G22*(IF(ADRYr1!$AI22=CB$4,ADRYr1!$AJ22,IF(ADRYr1!$AK22=CB$4,ADRYr1!$AL22,IF(ADRYr1!$AM22=CB$4,ADRYr1!$AN22,0))))*(INDEX(avoidedcosttbl,$H22,CB$2)+(($H22-ROUNDDOWN($H22,0))*(INDEX(avoidedcosttbl,ROUNDUP($H22,0),CB$2)-(INDEX(avoidedcosttbl,ROUNDDOWN($H22,0),CB$2)))))*ADRYr1!P22*ADRYr1!Q22*ADRYr1!U22)</f>
        <v/>
      </c>
      <c r="CC22" s="28" t="str">
        <f>IF($G22="","",$G22*(IF(ADRYr1!$AI22=CC$4,ADRYr1!$AJ22,IF(ADRYr1!$AK22=CC$4,ADRYr1!$AL22,IF(ADRYr1!$AM22=CC$4,ADRYr1!$AN22,0))))*(INDEX(avoidedcosttbl,$H22,CC$2)+(($H22-ROUNDDOWN($H22,0))*(INDEX(avoidedcosttbl,ROUNDUP($H22,0),CC$2)-(INDEX(avoidedcosttbl,ROUNDDOWN($H22,0),CC$2)))))*ADRYr1!P22*ADRYr1!Q22*ADRYr1!U22)</f>
        <v/>
      </c>
      <c r="CD22" s="28" t="str">
        <f>IF($G22="","",$G22*(IF(ADRYr1!$AI22=CD$4,ADRYr1!$AJ22,IF(ADRYr1!$AK22=CD$4,ADRYr1!$AL22,IF(ADRYr1!$AM22=CD$4,ADRYr1!$AN22,0))))*(INDEX(avoidedcosttbl,$H22,CD$2)+(($H22-ROUNDDOWN($H22,0))*(INDEX(avoidedcosttbl,ROUNDUP($H22,0),CD$2)-(INDEX(avoidedcosttbl,ROUNDDOWN($H22,0),CD$2)))))*ADRYr1!P22*ADRYr1!Q22*ADRYr1!U22)</f>
        <v/>
      </c>
      <c r="CE22" s="28" t="str">
        <f>IF($G22="","",$G22*(IF(ADRYr1!$AI22=CE$4,ADRYr1!$AJ22,IF(ADRYr1!$AK22=CE$4,ADRYr1!$AL22,IF(ADRYr1!$AM22=CE$4,ADRYr1!$AN22,0))))*(INDEX(avoidedcosttbl,$H22,CE$2)+(($H22-ROUNDDOWN($H22,0))*(INDEX(avoidedcosttbl,ROUNDUP($H22,0),CE$2)-(INDEX(avoidedcosttbl,ROUNDDOWN($H22,0),CE$2)))))*ADRYr1!P22*ADRYr1!Q22*ADRYr1!U22)</f>
        <v/>
      </c>
      <c r="CF22" s="41" t="str">
        <f t="shared" si="39"/>
        <v/>
      </c>
      <c r="CG22" s="30" t="str">
        <f t="shared" si="11"/>
        <v/>
      </c>
      <c r="CH22" s="30" t="str">
        <f>IF($G22="","",$G22*(IF(ADRYr1!$AI22=BY$4,ADRYr1!$AJ22,IF(ADRYr1!$AK22=BY$4,ADRYr1!$AL22,IF(ADRYr1!$AM22=BY$4,ADRYr1!$AN22,0))))*(INDEX(avoidedcosttbl,$H22,CH$2)+(($H22-ROUNDDOWN($H22,0))*(INDEX(avoidedcosttbl,ROUNDUP($H22,0),CH$2)-(INDEX(avoidedcosttbl,ROUNDDOWN($H22,0),CH$2)))))*ADRYr1!P22*ADRYr1!Q22*ADRYr1!U22)</f>
        <v/>
      </c>
      <c r="CI22" s="30" t="str">
        <f>IF($G22="","",$G22*(IF(ADRYr1!$AI22=BZ$4,ADRYr1!$AJ22,IF(ADRYr1!$AK22=BZ$4,ADRYr1!$AL22,IF(ADRYr1!$AM22=BZ$4,ADRYr1!$AN22,0))))*(INDEX(avoidedcosttbl,$H22,CI$2)+(($H22-ROUNDDOWN($H22,0))*(INDEX(avoidedcosttbl,ROUNDUP($H22,0),CI$2)-(INDEX(avoidedcosttbl,ROUNDDOWN($H22,0),CI$2)))))*ADRYr1!P22*ADRYr1!Q22*ADRYr1!U22)</f>
        <v/>
      </c>
      <c r="CJ22" s="30" t="str">
        <f>IF($G22="","",$G22*(IF(ADRYr1!$AI22=CA$4,ADRYr1!$AJ22,IF(ADRYr1!$AK22=CA$4,ADRYr1!$AL22,IF(ADRYr1!$AM22=CA$4,ADRYr1!$AN22,0))))*(INDEX(avoidedcosttbl,$H22,CJ$2)+(($H22-ROUNDDOWN($H22,0))*(INDEX(avoidedcosttbl,ROUNDUP($H22,0),CJ$2)-(INDEX(avoidedcosttbl,ROUNDDOWN($H22,0),CJ$2)))))*ADRYr1!P22*ADRYr1!Q22*ADRYr1!U22)</f>
        <v/>
      </c>
      <c r="CK22" s="30" t="str">
        <f>IF($G22="","",$G22*(IF(ADRYr1!$AI22=CB$4,ADRYr1!$AJ22,IF(ADRYr1!$AK22=CB$4,ADRYr1!$AL22,IF(ADRYr1!$AM22=CB$4,ADRYr1!$AN22,0))))*(INDEX(avoidedcosttbl,$H22,CK$2)+(($H22-ROUNDDOWN($H22,0))*(INDEX(avoidedcosttbl,ROUNDUP($H22,0),CK$2)-(INDEX(avoidedcosttbl,ROUNDDOWN($H22,0),CK$2)))))*ADRYr1!P22*ADRYr1!Q22*ADRYr1!U22)</f>
        <v/>
      </c>
      <c r="CL22" s="30" t="str">
        <f>IF($G22="","",$G22*(IF(ADRYr1!$AI22=CC$4,ADRYr1!$AJ22,IF(ADRYr1!$AK22=CC$4,ADRYr1!$AL22,IF(ADRYr1!$AM22=CC$4,ADRYr1!$AN22,0))))*(INDEX(avoidedcosttbl,$H22,CL$2)+(($H22-ROUNDDOWN($H22,0))*(INDEX(avoidedcosttbl,ROUNDUP($H22,0),CL$2)-(INDEX(avoidedcosttbl,ROUNDDOWN($H22,0),CL$2)))))*ADRYr1!P22*ADRYr1!Q22*ADRYr1!U22)</f>
        <v/>
      </c>
      <c r="CM22" s="30" t="str">
        <f>IF($G22="","",$G22*(IF(ADRYr1!$AI22=CD$4,ADRYr1!$AJ22,IF(ADRYr1!$AK22=CD$4,ADRYr1!$AL22,IF(ADRYr1!$AM22=CD$4,ADRYr1!$AN22,0))))*(INDEX(avoidedcosttbl,$H22,CM$2)+(($H22-ROUNDDOWN($H22,0))*(INDEX(avoidedcosttbl,ROUNDUP($H22,0),CM$2)-(INDEX(avoidedcosttbl,ROUNDDOWN($H22,0),CM$2)))))*ADRYr1!P22*ADRYr1!Q22*ADRYr1!U22)</f>
        <v/>
      </c>
      <c r="CN22" s="30" t="str">
        <f>IF($G22="","",$G22*(IF(ADRYr1!$AI22=CE$4,ADRYr1!$AJ22,IF(ADRYr1!$AK22=CE$4,ADRYr1!$AL22,IF(ADRYr1!$AM22=CE$4,ADRYr1!$AN22,0))))*(INDEX(avoidedcosttbl,$H22,CN$2)+(($H22-ROUNDDOWN($H22,0))*(INDEX(avoidedcosttbl,ROUNDUP($H22,0),CN$2)-(INDEX(avoidedcosttbl,ROUNDDOWN($H22,0),CN$2)))))*ADRYr1!P22*ADRYr1!Q22*ADRYr1!U22)</f>
        <v/>
      </c>
      <c r="CO22" s="220" t="str">
        <f t="shared" si="40"/>
        <v/>
      </c>
      <c r="CP22" s="220" t="str">
        <f t="shared" si="41"/>
        <v/>
      </c>
      <c r="CQ22" s="157" t="str">
        <f>IF($G22="","",$G22*(IF(ADRYr1!$AI22=CQ$4,ADRYr1!$AJ22,IF(ADRYr1!$AK22=CQ$4,ADRYr1!$AL22,IF(ADRYr1!$AM22=CQ$4,ADRYr1!$AN22,0))))*(INDEX(avoidedcosttbl,$H22,CQ$2)+(($H22-ROUNDDOWN($H22,0))*(INDEX(avoidedcosttbl,ROUNDUP($H22,0),CQ$2)-(INDEX(avoidedcosttbl,ROUNDDOWN($H22,0),CQ$2)))))*ADRYr1!$P22*ADRYr1!$Q22*ADRYr1!$U22)</f>
        <v/>
      </c>
      <c r="CR22" s="28" t="str">
        <f>IF($G22="","",G22*(IF(ADRYr1!$AI22=CR$4,ADRYr1!$AJ22,IF(ADRYr1!$AK22=CR$4,ADRYr1!$AL22,IF(ADRYr1!$AM22=CR$4,ADRYr1!$AN22,0))))*(INDEX(avoidedcosttbl,$H22,CR$2)+(($H22-ROUNDDOWN($H22,0))*(INDEX(avoidedcosttbl,ROUNDUP($H22,0),CR$2)-(INDEX(avoidedcosttbl,ROUNDDOWN($H22,0),CR$2)))))*ADRYr1!$P22*ADRYr1!$Q22*ADRYr1!$U22)</f>
        <v/>
      </c>
      <c r="CS22" s="28" t="str">
        <f>IF($G22="","",G22*(IF(ADRYr1!$AI22=CS$4,ADRYr1!$AJ22,IF(ADRYr1!$AK22=CS$4,ADRYr1!$AL22,IF(ADRYr1!$AM22=CS$4,ADRYr1!$AN22,0))))*(INDEX(avoidedcosttbl,$H22,CS$2)+(($H22-ROUNDDOWN($H22,0))*(INDEX(avoidedcosttbl,ROUNDUP($H22,0),CS$2)-(INDEX(avoidedcosttbl,ROUNDDOWN($H22,0),CS$2)))))*ADRYr1!$P22*ADRYr1!$Q22*ADRYr1!$U22)</f>
        <v/>
      </c>
      <c r="CT22" s="28" t="str">
        <f t="shared" si="12"/>
        <v/>
      </c>
      <c r="CU22" s="28" t="str">
        <f>IF($G22="","",G22*(IF(ADRYr1!$AI22=CU$4,ADRYr1!$AJ22,IF(ADRYr1!$AK22=CU$4,ADRYr1!$AL22,IF(ADRYr1!$AM22=CU$4,ADRYr1!$AN22,0))))*(INDEX(avoidedcosttbl,$H22,CU$2)+(($H22-ROUNDDOWN($H22,0))*(INDEX(avoidedcosttbl,ROUNDUP($H22,0),CU$2)-(INDEX(avoidedcosttbl,ROUNDDOWN($H22,0),CU$2)))))*ADRYr1!$P22*ADRYr1!$Q22*ADRYr1!$U22)</f>
        <v/>
      </c>
      <c r="CV22" s="28" t="str">
        <f>IF($G22="","",G22*(IF(ADRYr1!$AI22=CV$4,ADRYr1!$AJ22,IF(ADRYr1!$AK22=CV$4,ADRYr1!$AL22,IF(ADRYr1!$AM22=CV$4,ADRYr1!$AN22,0))))*(INDEX(avoidedcosttbl,$H22,CV$2)+(($H22-ROUNDDOWN($H22,0))*(INDEX(avoidedcosttbl,ROUNDUP($H22,0),CV$2)-(INDEX(avoidedcosttbl,ROUNDDOWN($H22,0),CV$2)))))*ADRYr1!$P22*ADRYr1!$Q22*ADRYr1!$U22)</f>
        <v/>
      </c>
      <c r="CW22" s="28" t="str">
        <f>IF($G22="","",G22*(IF(ADRYr1!$AI22=CW$4,ADRYr1!$AJ22,IF(ADRYr1!$AK22=CW$4,ADRYr1!$AL22,IF(ADRYr1!$AM22=CW$4,ADRYr1!$AN22,0))))*(INDEX(avoidedcosttbl,$H22,CW$2)+(($H22-ROUNDDOWN($H22,0))*(INDEX(avoidedcosttbl,ROUNDUP($H22,0),CW$2)-(INDEX(avoidedcosttbl,ROUNDDOWN($H22,0),CW$2)))))*ADRYr1!$P22*ADRYr1!$Q22*ADRYr1!$U22)</f>
        <v/>
      </c>
      <c r="CX22" s="28" t="str">
        <f>IF($G22="","",G22*(IF(ADRYr1!$AI22=CX$4,ADRYr1!$AJ22,IF(ADRYr1!$AK22=CX$4,ADRYr1!$AL22,IF(ADRYr1!$AM22=CX$4,ADRYr1!$AN22,0))))*(INDEX(avoidedcosttbl,$H22,CX$2)+(($H22-ROUNDDOWN($H22,0))*(INDEX(avoidedcosttbl,ROUNDUP($H22,0),CX$2)-(INDEX(avoidedcosttbl,ROUNDDOWN($H22,0),CX$2)))))*ADRYr1!$P22*ADRYr1!$Q22*ADRYr1!$U22)</f>
        <v/>
      </c>
      <c r="CY22" s="28" t="str">
        <f t="shared" si="13"/>
        <v/>
      </c>
      <c r="CZ22" s="32" t="str">
        <f t="shared" si="14"/>
        <v/>
      </c>
      <c r="DA22" s="84" t="str">
        <f t="shared" si="42"/>
        <v/>
      </c>
      <c r="DB22" s="81" t="str">
        <f>IF(NEIadder="Yes",IF($G22="","",INDEX(Lookups!$G$70:$G$71,MATCH($A22,Lookups!$E$70:$E$71,0))*(SUM(CP22:CX22,BX22))),"")</f>
        <v/>
      </c>
      <c r="DC22" s="263" t="str">
        <f t="shared" si="15"/>
        <v/>
      </c>
      <c r="DD22" s="166" t="str">
        <f t="shared" si="16"/>
        <v/>
      </c>
      <c r="DE22" s="82">
        <f t="shared" si="43"/>
        <v>0</v>
      </c>
      <c r="DF22" s="615" t="str">
        <f>IF($G22="","",(1+WntPeakEnergyLL)*(INDEX(avoidedcosttbl,$H22,DF$2)+(($H22-ROUNDDOWN($H22,0))*(INDEX(avoidedcosttbl,ROUNDUP($H22,0),DF$2)-(INDEX(avoidedcosttbl,ROUNDDOWN($H22,0),DF$2)))))*$P22*1000*ADRYr1!Z22)</f>
        <v/>
      </c>
      <c r="DG22" s="615" t="str">
        <f>IF($G22="","",(1+WntOffPeakEnergyLL)*(INDEX(avoidedcosttbl,$H22,DG$2)+(($H22-ROUNDDOWN($H22,0))*(INDEX(avoidedcosttbl,ROUNDUP($H22,0),DG$2)-(INDEX(avoidedcosttbl,ROUNDDOWN($H22,0),DG$2)))))*$P22*1000*ADRYr1!AA22)</f>
        <v/>
      </c>
      <c r="DH22" s="615" t="str">
        <f>IF($G22="","",(1+SumPeakEnergyLL)*(INDEX(avoidedcosttbl,$H22,DH$2)+(($H22-ROUNDDOWN($H22,0))*(INDEX(avoidedcosttbl,ROUNDUP($H22,0),DH$2)-(INDEX(avoidedcosttbl,ROUNDDOWN($H22,0),DH$2)))))*$P22*1000*ADRYr1!AB22)</f>
        <v/>
      </c>
      <c r="DI22" s="615" t="str">
        <f>IF($G22="","",(1+SumOffPeakEnergyLL)*(INDEX(avoidedcosttbl,$H22,DI$2)+(($H22-ROUNDDOWN($H22,0))*(INDEX(avoidedcosttbl,ROUNDUP($H22,0),DI$2)-(INDEX(avoidedcosttbl,ROUNDDOWN($H22,0),DI$2)))))*$P22*1000*ADRYr1!AC22)</f>
        <v/>
      </c>
      <c r="DJ22" s="29" t="str">
        <f t="shared" si="44"/>
        <v/>
      </c>
      <c r="DK22" s="161" t="str">
        <f t="shared" si="45"/>
        <v/>
      </c>
      <c r="DL22" s="1189" t="str">
        <f t="shared" si="46"/>
        <v/>
      </c>
      <c r="DM22" s="1189" t="str">
        <f t="shared" si="47"/>
        <v/>
      </c>
      <c r="DN22" s="43" t="str">
        <f t="shared" si="48"/>
        <v/>
      </c>
      <c r="DO22" s="966" t="str">
        <f>IF($G22="","",ADRYr1!AQ22)</f>
        <v/>
      </c>
      <c r="DP22" s="968" t="str">
        <f>IF($G22="","",ADRYr1!AR22)</f>
        <v/>
      </c>
      <c r="DQ22" s="970" t="str">
        <f>IF($G22="","",IF($DP22="Yes",COLUMN(AESC!$L$10),IF($DP22="No","Using AvoidedDemand tab",IF($DP22="Mixed",COLUMN(AESC!$N$10)))))</f>
        <v/>
      </c>
      <c r="DR22" s="970" t="str">
        <f>IF($G22="","",IF($DP22="Yes",COLUMN(AESC!$P$10),IF($DP22="No","Using AvoidedDemand tab",IF($DP22="Mixed",COLUMN(AESC!$R$10)))))</f>
        <v/>
      </c>
      <c r="DS22" s="970" t="str">
        <f>IF($G22="","",IF($DP22="Yes",COLUMN(AESC!$S$10),IF($DP22="No",COLUMN(AESC!$T$10),IF($DP22="Mixed",COLUMN(AESC!$U$10)))))</f>
        <v/>
      </c>
      <c r="DT22" s="970" t="str">
        <f t="shared" si="17"/>
        <v/>
      </c>
      <c r="DU22" s="970" t="str">
        <f>IF($G22="","",ADRYr1!AS22)</f>
        <v/>
      </c>
      <c r="DV22" s="971" t="str">
        <f>IF($G22="","",ADRYr1!AT22)</f>
        <v/>
      </c>
      <c r="DW22" s="1162" t="str">
        <f>IF($G22="","",INDEX(AvoidedEnergy!$H$4:$H$10,MATCH($DO22,AvoidedEnergy!$A$4:$A$10,0)))</f>
        <v/>
      </c>
    </row>
    <row r="23" spans="1:127">
      <c r="A23" s="160" t="str">
        <f>IF(ADRYr1!$B23=0,"",ADRYr1!A23)</f>
        <v>B - Low-Income</v>
      </c>
      <c r="B23" s="9" t="str">
        <f>IF(ADRYr1!$B23=0,"",ADRYr1!B23)</f>
        <v>Home Energy Assistance</v>
      </c>
      <c r="C23" s="9" t="str">
        <f>IF(ADRYr1!$B23=0,"",ADRYr1!C23)</f>
        <v>Res Demand Response</v>
      </c>
      <c r="D23" s="9" t="str">
        <f>IF(ADRYr1!$B23=0,"",ADRYr1!D23)</f>
        <v>Storage Daily Dispatch P4P (savings) Summer</v>
      </c>
      <c r="E23" s="9">
        <f>IF(ADRYr1!$B23=0,"",ADRYr1!E23)</f>
        <v>0</v>
      </c>
      <c r="F23" s="11" t="str">
        <f>IF(ADRYr1!$B23=0,"",ADRYr1!F23)</f>
        <v>Behavior</v>
      </c>
      <c r="G23" s="12" t="str">
        <f>IF(ADRYr1!$G23&lt;&gt;0,ADRYr1!G23,"")</f>
        <v/>
      </c>
      <c r="H23" s="960" t="str">
        <f>IF($G23="","",ROUND(ADRYr1!H23,0))</f>
        <v/>
      </c>
      <c r="I23" s="47" t="str">
        <f>IF($G23="","",ADRYr1!I23*ADRYr1!P23*G23)</f>
        <v/>
      </c>
      <c r="J23" s="47" t="str">
        <f>IF($G23="","",ADRYr1!J23*G23)</f>
        <v/>
      </c>
      <c r="K23" s="47" t="str">
        <f t="shared" si="18"/>
        <v/>
      </c>
      <c r="L23" s="27" t="str">
        <f>IF($G23="","",ADRYr1!V23*G23/1000)</f>
        <v/>
      </c>
      <c r="M23" s="27" t="str">
        <f>IF($G23="","",L23*ADRYr1!$Q23*ADRYr1!$R23)</f>
        <v/>
      </c>
      <c r="N23" s="27" t="str">
        <f t="shared" si="19"/>
        <v/>
      </c>
      <c r="O23" s="27" t="str">
        <f t="shared" si="20"/>
        <v/>
      </c>
      <c r="P23" s="27" t="str">
        <f>IF($G23="","",M23*ADRYr1!P23)</f>
        <v/>
      </c>
      <c r="Q23" s="27" t="str">
        <f t="shared" si="21"/>
        <v/>
      </c>
      <c r="R23" s="27" t="str">
        <f>IF($G23="","",$Q23*ADRYr1!Z23)</f>
        <v/>
      </c>
      <c r="S23" s="27" t="str">
        <f>IF($G23="","",$Q23*ADRYr1!AA23)</f>
        <v/>
      </c>
      <c r="T23" s="27" t="str">
        <f>IF($G23="","",$Q23*ADRYr1!AB23)</f>
        <v/>
      </c>
      <c r="U23" s="27" t="str">
        <f>IF($G23="","",$Q23*ADRYr1!AC23)</f>
        <v/>
      </c>
      <c r="V23" s="27" t="str">
        <f>IF($G23="","",G23*ADRYr1!$AD23*ADRYr1!$P23*ADRYr1!$Q23)</f>
        <v/>
      </c>
      <c r="W23" s="27" t="str">
        <f>IF($G23="","",$G23*ADRYr1!$AD23*ADRYr1!$AF23*ADRYr1!Q23*ADRYr1!$S23)</f>
        <v/>
      </c>
      <c r="X23" s="27" t="str">
        <f>IF($G23="","",$G23*ADRYr1!$AD23*ADRYr1!$AF23*ADRYr1!P23*ADRYr1!Q23*ADRYr1!$S23)</f>
        <v/>
      </c>
      <c r="Y23" s="27" t="str">
        <f>IF($G23="","",$G23*ADRYr1!$AD23*ADRYr1!$AE23*ADRYr1!Q23*ADRYr1!$T23)</f>
        <v/>
      </c>
      <c r="Z23" s="27" t="str">
        <f>IF($G23="","",$G23*ADRYr1!$AD23*ADRYr1!$AE23*ADRYr1!P23*ADRYr1!Q23*ADRYr1!$T23)</f>
        <v/>
      </c>
      <c r="AA23" s="45" t="str">
        <f>IF($G23="","",$G23*ADRYr1!$Q23*ADRYr1!$U23*(IF(IFERROR(SEARCH("NG", ADRYr1!$AI23),0),ADRYr1!$AJ23,0)+IF(IFERROR(SEARCH("NG", ADRYr1!$AK23),0),ADRYr1!$AL23,0)+IF(IFERROR(SEARCH("NG", ADRYr1!$AM23),0),ADRYr1!$AN23,0)))</f>
        <v/>
      </c>
      <c r="AB23" s="45" t="str">
        <f t="shared" si="22"/>
        <v/>
      </c>
      <c r="AC23" s="45">
        <f>IF($G23="",0,AA23*ADRYr1!$P23)</f>
        <v>0</v>
      </c>
      <c r="AD23" s="45" t="str">
        <f t="shared" si="23"/>
        <v/>
      </c>
      <c r="AE23" s="45" t="str">
        <f>IF($G23="","",$G23*ADRYr1!$Q23*ADRYr1!$U23*(IF(IFERROR(SEARCH("Oil", ADRYr1!$AI23), 0),ADRYr1!$AJ23,0)+IF(IFERROR(SEARCH("Oil", ADRYr1!$AK23), 0),ADRYr1!$AL23,0)+IF(IFERROR(SEARCH("Oil", ADRYr1!$AM23), 0),ADRYr1!$AN23,0)))</f>
        <v/>
      </c>
      <c r="AF23" s="45" t="str">
        <f t="shared" si="24"/>
        <v/>
      </c>
      <c r="AG23" s="45">
        <f>IF($G23="",0,AE23*ADRYr1!$P23)</f>
        <v>0</v>
      </c>
      <c r="AH23" s="45" t="str">
        <f t="shared" si="25"/>
        <v/>
      </c>
      <c r="AI23" s="45" t="str">
        <f>IF($G23="","",$G23*ADRYr1!$Q23*ADRYr1!$U23*(IF(ADRYr1!$AI23=Lookups!$E$116,ADRYr1!$AJ23,IF(ADRYr1!$AK23=Lookups!$E$116,ADRYr1!$AL23,IF(ADRYr1!$AM23=Lookups!$E$116,ADRYr1!$AN23,0)))))</f>
        <v/>
      </c>
      <c r="AJ23" s="45" t="str">
        <f t="shared" si="26"/>
        <v/>
      </c>
      <c r="AK23" s="45">
        <f>IF($G23="",0,AI23*ADRYr1!$P23)</f>
        <v>0</v>
      </c>
      <c r="AL23" s="45" t="str">
        <f t="shared" si="27"/>
        <v/>
      </c>
      <c r="AM23" s="45" t="str">
        <f>IF($G23="","",$G23*ADRYr1!$Q23*ADRYr1!$U23*(IF(ADRYr1!$AI23=Lookups!$E$115,ADRYr1!$AJ23,IF(ADRYr1!$AK23=Lookups!$E$115,ADRYr1!$AL23,IF(ADRYr1!$AM23=Lookups!$E$115,ADRYr1!$AN23,0)))))</f>
        <v/>
      </c>
      <c r="AN23" s="45" t="str">
        <f t="shared" si="28"/>
        <v/>
      </c>
      <c r="AO23" s="45">
        <f>IF($G23="",0,AM23*ADRYr1!$P23)</f>
        <v>0</v>
      </c>
      <c r="AP23" s="45" t="str">
        <f t="shared" si="29"/>
        <v/>
      </c>
      <c r="AQ23" s="45" t="str">
        <f>IF($G23="","",$G23*ADRYr1!$Q23*ADRYr1!$U23*(IF(ADRYr1!$AI23=Lookups!$E$117,ADRYr1!$AJ23,IF(ADRYr1!$AK23=Lookups!$E$117,ADRYr1!$AL23,IF(ADRYr1!$AM23=Lookups!$E$117,ADRYr1!$AN23,0)))))</f>
        <v/>
      </c>
      <c r="AR23" s="45" t="str">
        <f t="shared" si="30"/>
        <v/>
      </c>
      <c r="AS23" s="45" t="str">
        <f>IF($G23="","",AQ23*ADRYr1!$P23)</f>
        <v/>
      </c>
      <c r="AT23" s="45" t="str">
        <f t="shared" si="31"/>
        <v/>
      </c>
      <c r="AU23" s="45" t="str">
        <f>IF($G23="","",$G23*ADRYr1!$Q23*ADRYr1!$U23*(IF(ADRYr1!$AI23=Lookups!$E$118,ADRYr1!$AJ23,IF(ADRYr1!$AK23=Lookups!$E$118,ADRYr1!$AL23,IF(ADRYr1!$AM23=Lookups!$E$118,ADRYr1!$AN23,0)))))</f>
        <v/>
      </c>
      <c r="AV23" s="45" t="str">
        <f t="shared" si="32"/>
        <v/>
      </c>
      <c r="AW23" s="45" t="str">
        <f>IF($G23="","",AU23*ADRYr1!$P23)</f>
        <v/>
      </c>
      <c r="AX23" s="45" t="str">
        <f t="shared" si="33"/>
        <v/>
      </c>
      <c r="AY23" s="45">
        <f t="shared" si="49"/>
        <v>0</v>
      </c>
      <c r="AZ23" s="45">
        <f t="shared" si="49"/>
        <v>0</v>
      </c>
      <c r="BA23" s="101" t="str">
        <f>IF($G23="","",$G23*ADRYr1!$P23*ADRYr1!$Q23*ADRYr1!$U23*ADRYr1!AO23)</f>
        <v/>
      </c>
      <c r="BB23" s="102" t="str">
        <f>IF($G23="","",$G23*ADRYr1!$P23*ADRYr1!$Q23*ADRYr1!$U23*ADRYr1!AP23)</f>
        <v/>
      </c>
      <c r="BC23" s="100" t="str">
        <f t="shared" si="35"/>
        <v/>
      </c>
      <c r="BD23" s="961"/>
      <c r="BE23" s="961"/>
      <c r="BF23" s="961"/>
      <c r="BG23" s="961"/>
      <c r="BH23" s="962" t="str">
        <f t="shared" si="3"/>
        <v/>
      </c>
      <c r="BI23" s="961"/>
      <c r="BJ23" s="961"/>
      <c r="BK23" s="961"/>
      <c r="BL23" s="961"/>
      <c r="BM23" s="30" t="str">
        <f t="shared" si="4"/>
        <v/>
      </c>
      <c r="BN23" s="963" t="str">
        <f t="shared" si="5"/>
        <v/>
      </c>
      <c r="BO23" s="31" t="str">
        <f t="shared" si="36"/>
        <v/>
      </c>
      <c r="BP23" s="964" t="str">
        <f t="shared" si="6"/>
        <v/>
      </c>
      <c r="BQ23" s="28" t="str">
        <f t="shared" si="7"/>
        <v/>
      </c>
      <c r="BR23" s="964" t="str">
        <f t="shared" si="8"/>
        <v/>
      </c>
      <c r="BS23" s="964" t="str">
        <f t="shared" si="9"/>
        <v/>
      </c>
      <c r="BT23" s="28" t="str">
        <f t="shared" si="10"/>
        <v/>
      </c>
      <c r="BU23" s="28" t="str">
        <f t="shared" si="10"/>
        <v/>
      </c>
      <c r="BV23" s="28" t="str">
        <f t="shared" si="10"/>
        <v/>
      </c>
      <c r="BW23" s="29" t="str">
        <f t="shared" si="37"/>
        <v/>
      </c>
      <c r="BX23" s="29" t="str">
        <f t="shared" si="38"/>
        <v/>
      </c>
      <c r="BY23" s="28" t="str">
        <f>IF($G23="","",$G23*(IF(ADRYr1!$AI23=BY$4,ADRYr1!$AJ23,IF(ADRYr1!$AK23=BY$4,ADRYr1!$AL23,IF(ADRYr1!$AM23=BY$4,ADRYr1!$AN23,0))))*(INDEX(avoidedcosttbl,$H23,BY$2)+(($H23-ROUNDDOWN($H23,0))*(INDEX(avoidedcosttbl,ROUNDUP($H23,0),BY$2)-(INDEX(avoidedcosttbl,ROUNDDOWN($H23,0),BY$2)))))*ADRYr1!P23*ADRYr1!Q23*ADRYr1!U23)</f>
        <v/>
      </c>
      <c r="BZ23" s="28" t="str">
        <f>IF($G23="","",$G23*(IF(ADRYr1!$AI23=BZ$4,ADRYr1!$AJ23,IF(ADRYr1!$AK23=BZ$4,ADRYr1!$AL23,IF(ADRYr1!$AM23=BZ$4,ADRYr1!$AN23,0))))*(INDEX(avoidedcosttbl,$H23,BZ$2)+(($H23-ROUNDDOWN($H23,0))*(INDEX(avoidedcosttbl,ROUNDUP($H23,0),BZ$2)-(INDEX(avoidedcosttbl,ROUNDDOWN($H23,0),BZ$2)))))*ADRYr1!P23*ADRYr1!Q23*ADRYr1!U23)</f>
        <v/>
      </c>
      <c r="CA23" s="28" t="str">
        <f>IF($G23="","",$G23*(IF(ADRYr1!$AI23=CA$4,ADRYr1!$AJ23,IF(ADRYr1!$AK23=CA$4,ADRYr1!$AL23,IF(ADRYr1!$AM23=CA$4,ADRYr1!$AN23,0))))*(INDEX(avoidedcosttbl,$H23,CA$2)+(($H23-ROUNDDOWN($H23,0))*(INDEX(avoidedcosttbl,ROUNDUP($H23,0),CA$2)-(INDEX(avoidedcosttbl,ROUNDDOWN($H23,0),CA$2)))))*ADRYr1!P23*ADRYr1!Q23*ADRYr1!U23)</f>
        <v/>
      </c>
      <c r="CB23" s="28" t="str">
        <f>IF($G23="","",$G23*(IF(ADRYr1!$AI23=CB$4,ADRYr1!$AJ23,IF(ADRYr1!$AK23=CB$4,ADRYr1!$AL23,IF(ADRYr1!$AM23=CB$4,ADRYr1!$AN23,0))))*(INDEX(avoidedcosttbl,$H23,CB$2)+(($H23-ROUNDDOWN($H23,0))*(INDEX(avoidedcosttbl,ROUNDUP($H23,0),CB$2)-(INDEX(avoidedcosttbl,ROUNDDOWN($H23,0),CB$2)))))*ADRYr1!P23*ADRYr1!Q23*ADRYr1!U23)</f>
        <v/>
      </c>
      <c r="CC23" s="28" t="str">
        <f>IF($G23="","",$G23*(IF(ADRYr1!$AI23=CC$4,ADRYr1!$AJ23,IF(ADRYr1!$AK23=CC$4,ADRYr1!$AL23,IF(ADRYr1!$AM23=CC$4,ADRYr1!$AN23,0))))*(INDEX(avoidedcosttbl,$H23,CC$2)+(($H23-ROUNDDOWN($H23,0))*(INDEX(avoidedcosttbl,ROUNDUP($H23,0),CC$2)-(INDEX(avoidedcosttbl,ROUNDDOWN($H23,0),CC$2)))))*ADRYr1!P23*ADRYr1!Q23*ADRYr1!U23)</f>
        <v/>
      </c>
      <c r="CD23" s="28" t="str">
        <f>IF($G23="","",$G23*(IF(ADRYr1!$AI23=CD$4,ADRYr1!$AJ23,IF(ADRYr1!$AK23=CD$4,ADRYr1!$AL23,IF(ADRYr1!$AM23=CD$4,ADRYr1!$AN23,0))))*(INDEX(avoidedcosttbl,$H23,CD$2)+(($H23-ROUNDDOWN($H23,0))*(INDEX(avoidedcosttbl,ROUNDUP($H23,0),CD$2)-(INDEX(avoidedcosttbl,ROUNDDOWN($H23,0),CD$2)))))*ADRYr1!P23*ADRYr1!Q23*ADRYr1!U23)</f>
        <v/>
      </c>
      <c r="CE23" s="28" t="str">
        <f>IF($G23="","",$G23*(IF(ADRYr1!$AI23=CE$4,ADRYr1!$AJ23,IF(ADRYr1!$AK23=CE$4,ADRYr1!$AL23,IF(ADRYr1!$AM23=CE$4,ADRYr1!$AN23,0))))*(INDEX(avoidedcosttbl,$H23,CE$2)+(($H23-ROUNDDOWN($H23,0))*(INDEX(avoidedcosttbl,ROUNDUP($H23,0),CE$2)-(INDEX(avoidedcosttbl,ROUNDDOWN($H23,0),CE$2)))))*ADRYr1!P23*ADRYr1!Q23*ADRYr1!U23)</f>
        <v/>
      </c>
      <c r="CF23" s="41" t="str">
        <f t="shared" si="39"/>
        <v/>
      </c>
      <c r="CG23" s="30" t="str">
        <f t="shared" si="11"/>
        <v/>
      </c>
      <c r="CH23" s="30" t="str">
        <f>IF($G23="","",$G23*(IF(ADRYr1!$AI23=BY$4,ADRYr1!$AJ23,IF(ADRYr1!$AK23=BY$4,ADRYr1!$AL23,IF(ADRYr1!$AM23=BY$4,ADRYr1!$AN23,0))))*(INDEX(avoidedcosttbl,$H23,CH$2)+(($H23-ROUNDDOWN($H23,0))*(INDEX(avoidedcosttbl,ROUNDUP($H23,0),CH$2)-(INDEX(avoidedcosttbl,ROUNDDOWN($H23,0),CH$2)))))*ADRYr1!P23*ADRYr1!Q23*ADRYr1!U23)</f>
        <v/>
      </c>
      <c r="CI23" s="30" t="str">
        <f>IF($G23="","",$G23*(IF(ADRYr1!$AI23=BZ$4,ADRYr1!$AJ23,IF(ADRYr1!$AK23=BZ$4,ADRYr1!$AL23,IF(ADRYr1!$AM23=BZ$4,ADRYr1!$AN23,0))))*(INDEX(avoidedcosttbl,$H23,CI$2)+(($H23-ROUNDDOWN($H23,0))*(INDEX(avoidedcosttbl,ROUNDUP($H23,0),CI$2)-(INDEX(avoidedcosttbl,ROUNDDOWN($H23,0),CI$2)))))*ADRYr1!P23*ADRYr1!Q23*ADRYr1!U23)</f>
        <v/>
      </c>
      <c r="CJ23" s="30" t="str">
        <f>IF($G23="","",$G23*(IF(ADRYr1!$AI23=CA$4,ADRYr1!$AJ23,IF(ADRYr1!$AK23=CA$4,ADRYr1!$AL23,IF(ADRYr1!$AM23=CA$4,ADRYr1!$AN23,0))))*(INDEX(avoidedcosttbl,$H23,CJ$2)+(($H23-ROUNDDOWN($H23,0))*(INDEX(avoidedcosttbl,ROUNDUP($H23,0),CJ$2)-(INDEX(avoidedcosttbl,ROUNDDOWN($H23,0),CJ$2)))))*ADRYr1!P23*ADRYr1!Q23*ADRYr1!U23)</f>
        <v/>
      </c>
      <c r="CK23" s="30" t="str">
        <f>IF($G23="","",$G23*(IF(ADRYr1!$AI23=CB$4,ADRYr1!$AJ23,IF(ADRYr1!$AK23=CB$4,ADRYr1!$AL23,IF(ADRYr1!$AM23=CB$4,ADRYr1!$AN23,0))))*(INDEX(avoidedcosttbl,$H23,CK$2)+(($H23-ROUNDDOWN($H23,0))*(INDEX(avoidedcosttbl,ROUNDUP($H23,0),CK$2)-(INDEX(avoidedcosttbl,ROUNDDOWN($H23,0),CK$2)))))*ADRYr1!P23*ADRYr1!Q23*ADRYr1!U23)</f>
        <v/>
      </c>
      <c r="CL23" s="30" t="str">
        <f>IF($G23="","",$G23*(IF(ADRYr1!$AI23=CC$4,ADRYr1!$AJ23,IF(ADRYr1!$AK23=CC$4,ADRYr1!$AL23,IF(ADRYr1!$AM23=CC$4,ADRYr1!$AN23,0))))*(INDEX(avoidedcosttbl,$H23,CL$2)+(($H23-ROUNDDOWN($H23,0))*(INDEX(avoidedcosttbl,ROUNDUP($H23,0),CL$2)-(INDEX(avoidedcosttbl,ROUNDDOWN($H23,0),CL$2)))))*ADRYr1!P23*ADRYr1!Q23*ADRYr1!U23)</f>
        <v/>
      </c>
      <c r="CM23" s="30" t="str">
        <f>IF($G23="","",$G23*(IF(ADRYr1!$AI23=CD$4,ADRYr1!$AJ23,IF(ADRYr1!$AK23=CD$4,ADRYr1!$AL23,IF(ADRYr1!$AM23=CD$4,ADRYr1!$AN23,0))))*(INDEX(avoidedcosttbl,$H23,CM$2)+(($H23-ROUNDDOWN($H23,0))*(INDEX(avoidedcosttbl,ROUNDUP($H23,0),CM$2)-(INDEX(avoidedcosttbl,ROUNDDOWN($H23,0),CM$2)))))*ADRYr1!P23*ADRYr1!Q23*ADRYr1!U23)</f>
        <v/>
      </c>
      <c r="CN23" s="30" t="str">
        <f>IF($G23="","",$G23*(IF(ADRYr1!$AI23=CE$4,ADRYr1!$AJ23,IF(ADRYr1!$AK23=CE$4,ADRYr1!$AL23,IF(ADRYr1!$AM23=CE$4,ADRYr1!$AN23,0))))*(INDEX(avoidedcosttbl,$H23,CN$2)+(($H23-ROUNDDOWN($H23,0))*(INDEX(avoidedcosttbl,ROUNDUP($H23,0),CN$2)-(INDEX(avoidedcosttbl,ROUNDDOWN($H23,0),CN$2)))))*ADRYr1!P23*ADRYr1!Q23*ADRYr1!U23)</f>
        <v/>
      </c>
      <c r="CO23" s="220" t="str">
        <f t="shared" si="40"/>
        <v/>
      </c>
      <c r="CP23" s="220" t="str">
        <f t="shared" si="41"/>
        <v/>
      </c>
      <c r="CQ23" s="157" t="str">
        <f>IF($G23="","",$G23*(IF(ADRYr1!$AI23=CQ$4,ADRYr1!$AJ23,IF(ADRYr1!$AK23=CQ$4,ADRYr1!$AL23,IF(ADRYr1!$AM23=CQ$4,ADRYr1!$AN23,0))))*(INDEX(avoidedcosttbl,$H23,CQ$2)+(($H23-ROUNDDOWN($H23,0))*(INDEX(avoidedcosttbl,ROUNDUP($H23,0),CQ$2)-(INDEX(avoidedcosttbl,ROUNDDOWN($H23,0),CQ$2)))))*ADRYr1!$P23*ADRYr1!$Q23*ADRYr1!$U23)</f>
        <v/>
      </c>
      <c r="CR23" s="28" t="str">
        <f>IF($G23="","",G23*(IF(ADRYr1!$AI23=CR$4,ADRYr1!$AJ23,IF(ADRYr1!$AK23=CR$4,ADRYr1!$AL23,IF(ADRYr1!$AM23=CR$4,ADRYr1!$AN23,0))))*(INDEX(avoidedcosttbl,$H23,CR$2)+(($H23-ROUNDDOWN($H23,0))*(INDEX(avoidedcosttbl,ROUNDUP($H23,0),CR$2)-(INDEX(avoidedcosttbl,ROUNDDOWN($H23,0),CR$2)))))*ADRYr1!$P23*ADRYr1!$Q23*ADRYr1!$U23)</f>
        <v/>
      </c>
      <c r="CS23" s="28" t="str">
        <f>IF($G23="","",G23*(IF(ADRYr1!$AI23=CS$4,ADRYr1!$AJ23,IF(ADRYr1!$AK23=CS$4,ADRYr1!$AL23,IF(ADRYr1!$AM23=CS$4,ADRYr1!$AN23,0))))*(INDEX(avoidedcosttbl,$H23,CS$2)+(($H23-ROUNDDOWN($H23,0))*(INDEX(avoidedcosttbl,ROUNDUP($H23,0),CS$2)-(INDEX(avoidedcosttbl,ROUNDDOWN($H23,0),CS$2)))))*ADRYr1!$P23*ADRYr1!$Q23*ADRYr1!$U23)</f>
        <v/>
      </c>
      <c r="CT23" s="28" t="str">
        <f t="shared" si="12"/>
        <v/>
      </c>
      <c r="CU23" s="28" t="str">
        <f>IF($G23="","",G23*(IF(ADRYr1!$AI23=CU$4,ADRYr1!$AJ23,IF(ADRYr1!$AK23=CU$4,ADRYr1!$AL23,IF(ADRYr1!$AM23=CU$4,ADRYr1!$AN23,0))))*(INDEX(avoidedcosttbl,$H23,CU$2)+(($H23-ROUNDDOWN($H23,0))*(INDEX(avoidedcosttbl,ROUNDUP($H23,0),CU$2)-(INDEX(avoidedcosttbl,ROUNDDOWN($H23,0),CU$2)))))*ADRYr1!$P23*ADRYr1!$Q23*ADRYr1!$U23)</f>
        <v/>
      </c>
      <c r="CV23" s="28" t="str">
        <f>IF($G23="","",G23*(IF(ADRYr1!$AI23=CV$4,ADRYr1!$AJ23,IF(ADRYr1!$AK23=CV$4,ADRYr1!$AL23,IF(ADRYr1!$AM23=CV$4,ADRYr1!$AN23,0))))*(INDEX(avoidedcosttbl,$H23,CV$2)+(($H23-ROUNDDOWN($H23,0))*(INDEX(avoidedcosttbl,ROUNDUP($H23,0),CV$2)-(INDEX(avoidedcosttbl,ROUNDDOWN($H23,0),CV$2)))))*ADRYr1!$P23*ADRYr1!$Q23*ADRYr1!$U23)</f>
        <v/>
      </c>
      <c r="CW23" s="28" t="str">
        <f>IF($G23="","",G23*(IF(ADRYr1!$AI23=CW$4,ADRYr1!$AJ23,IF(ADRYr1!$AK23=CW$4,ADRYr1!$AL23,IF(ADRYr1!$AM23=CW$4,ADRYr1!$AN23,0))))*(INDEX(avoidedcosttbl,$H23,CW$2)+(($H23-ROUNDDOWN($H23,0))*(INDEX(avoidedcosttbl,ROUNDUP($H23,0),CW$2)-(INDEX(avoidedcosttbl,ROUNDDOWN($H23,0),CW$2)))))*ADRYr1!$P23*ADRYr1!$Q23*ADRYr1!$U23)</f>
        <v/>
      </c>
      <c r="CX23" s="28" t="str">
        <f>IF($G23="","",G23*(IF(ADRYr1!$AI23=CX$4,ADRYr1!$AJ23,IF(ADRYr1!$AK23=CX$4,ADRYr1!$AL23,IF(ADRYr1!$AM23=CX$4,ADRYr1!$AN23,0))))*(INDEX(avoidedcosttbl,$H23,CX$2)+(($H23-ROUNDDOWN($H23,0))*(INDEX(avoidedcosttbl,ROUNDUP($H23,0),CX$2)-(INDEX(avoidedcosttbl,ROUNDDOWN($H23,0),CX$2)))))*ADRYr1!$P23*ADRYr1!$Q23*ADRYr1!$U23)</f>
        <v/>
      </c>
      <c r="CY23" s="28" t="str">
        <f t="shared" si="13"/>
        <v/>
      </c>
      <c r="CZ23" s="32" t="str">
        <f t="shared" si="14"/>
        <v/>
      </c>
      <c r="DA23" s="84" t="str">
        <f t="shared" si="42"/>
        <v/>
      </c>
      <c r="DB23" s="81" t="str">
        <f>IF(NEIadder="Yes",IF($G23="","",INDEX(Lookups!$G$70:$G$71,MATCH($A23,Lookups!$E$70:$E$71,0))*(SUM(CP23:CX23,BX23))),"")</f>
        <v/>
      </c>
      <c r="DC23" s="263" t="str">
        <f t="shared" si="15"/>
        <v/>
      </c>
      <c r="DD23" s="166" t="str">
        <f t="shared" si="16"/>
        <v/>
      </c>
      <c r="DE23" s="82">
        <f t="shared" si="43"/>
        <v>0</v>
      </c>
      <c r="DF23" s="615" t="str">
        <f>IF($G23="","",(1+WntPeakEnergyLL)*(INDEX(avoidedcosttbl,$H23,DF$2)+(($H23-ROUNDDOWN($H23,0))*(INDEX(avoidedcosttbl,ROUNDUP($H23,0),DF$2)-(INDEX(avoidedcosttbl,ROUNDDOWN($H23,0),DF$2)))))*$P23*1000*ADRYr1!Z23)</f>
        <v/>
      </c>
      <c r="DG23" s="615" t="str">
        <f>IF($G23="","",(1+WntOffPeakEnergyLL)*(INDEX(avoidedcosttbl,$H23,DG$2)+(($H23-ROUNDDOWN($H23,0))*(INDEX(avoidedcosttbl,ROUNDUP($H23,0),DG$2)-(INDEX(avoidedcosttbl,ROUNDDOWN($H23,0),DG$2)))))*$P23*1000*ADRYr1!AA23)</f>
        <v/>
      </c>
      <c r="DH23" s="615" t="str">
        <f>IF($G23="","",(1+SumPeakEnergyLL)*(INDEX(avoidedcosttbl,$H23,DH$2)+(($H23-ROUNDDOWN($H23,0))*(INDEX(avoidedcosttbl,ROUNDUP($H23,0),DH$2)-(INDEX(avoidedcosttbl,ROUNDDOWN($H23,0),DH$2)))))*$P23*1000*ADRYr1!AB23)</f>
        <v/>
      </c>
      <c r="DI23" s="615" t="str">
        <f>IF($G23="","",(1+SumOffPeakEnergyLL)*(INDEX(avoidedcosttbl,$H23,DI$2)+(($H23-ROUNDDOWN($H23,0))*(INDEX(avoidedcosttbl,ROUNDUP($H23,0),DI$2)-(INDEX(avoidedcosttbl,ROUNDDOWN($H23,0),DI$2)))))*$P23*1000*ADRYr1!AC23)</f>
        <v/>
      </c>
      <c r="DJ23" s="29" t="str">
        <f t="shared" si="44"/>
        <v/>
      </c>
      <c r="DK23" s="161" t="str">
        <f t="shared" si="45"/>
        <v/>
      </c>
      <c r="DL23" s="1189" t="str">
        <f t="shared" si="46"/>
        <v/>
      </c>
      <c r="DM23" s="1189" t="str">
        <f t="shared" si="47"/>
        <v/>
      </c>
      <c r="DN23" s="43" t="str">
        <f t="shared" si="48"/>
        <v/>
      </c>
      <c r="DO23" s="966" t="str">
        <f>IF($G23="","",ADRYr1!AQ23)</f>
        <v/>
      </c>
      <c r="DP23" s="968" t="str">
        <f>IF($G23="","",ADRYr1!AR23)</f>
        <v/>
      </c>
      <c r="DQ23" s="970" t="str">
        <f>IF($G23="","",IF($DP23="Yes",COLUMN(AESC!$L$10),IF($DP23="No","Using AvoidedDemand tab",IF($DP23="Mixed",COLUMN(AESC!$N$10)))))</f>
        <v/>
      </c>
      <c r="DR23" s="970" t="str">
        <f>IF($G23="","",IF($DP23="Yes",COLUMN(AESC!$P$10),IF($DP23="No","Using AvoidedDemand tab",IF($DP23="Mixed",COLUMN(AESC!$R$10)))))</f>
        <v/>
      </c>
      <c r="DS23" s="970" t="str">
        <f>IF($G23="","",IF($DP23="Yes",COLUMN(AESC!$S$10),IF($DP23="No",COLUMN(AESC!$T$10),IF($DP23="Mixed",COLUMN(AESC!$U$10)))))</f>
        <v/>
      </c>
      <c r="DT23" s="970" t="str">
        <f t="shared" si="17"/>
        <v/>
      </c>
      <c r="DU23" s="970" t="str">
        <f>IF($G23="","",ADRYr1!AS23)</f>
        <v/>
      </c>
      <c r="DV23" s="971" t="str">
        <f>IF($G23="","",ADRYr1!AT23)</f>
        <v/>
      </c>
      <c r="DW23" s="1162" t="str">
        <f>IF($G23="","",INDEX(AvoidedEnergy!$H$4:$H$10,MATCH($DO23,AvoidedEnergy!$A$4:$A$10,0)))</f>
        <v/>
      </c>
    </row>
    <row r="24" spans="1:127">
      <c r="A24" s="160" t="str">
        <f>IF(ADRYr1!$B24=0,"",ADRYr1!A24)</f>
        <v>B - Low-Income</v>
      </c>
      <c r="B24" s="9" t="str">
        <f>IF(ADRYr1!$B24=0,"",ADRYr1!B24)</f>
        <v>Home Energy Assistance</v>
      </c>
      <c r="C24" s="9" t="str">
        <f>IF(ADRYr1!$B24=0,"",ADRYr1!C24)</f>
        <v>Res Demand Response</v>
      </c>
      <c r="D24" s="9" t="str">
        <f>IF(ADRYr1!$B24=0,"",ADRYr1!D24)</f>
        <v>Storage Daily Dispatch P4P (consumption) Summer</v>
      </c>
      <c r="E24" s="9">
        <f>IF(ADRYr1!$B24=0,"",ADRYr1!E24)</f>
        <v>0</v>
      </c>
      <c r="F24" s="11" t="str">
        <f>IF(ADRYr1!$B24=0,"",ADRYr1!F24)</f>
        <v>Behavior</v>
      </c>
      <c r="G24" s="12" t="str">
        <f>IF(ADRYr1!$G24&lt;&gt;0,ADRYr1!G24,"")</f>
        <v/>
      </c>
      <c r="H24" s="960" t="str">
        <f>IF($G24="","",ROUND(ADRYr1!H24,0))</f>
        <v/>
      </c>
      <c r="I24" s="47" t="str">
        <f>IF($G24="","",ADRYr1!I24*ADRYr1!P24*G24)</f>
        <v/>
      </c>
      <c r="J24" s="47" t="str">
        <f>IF($G24="","",ADRYr1!J24*G24)</f>
        <v/>
      </c>
      <c r="K24" s="47" t="str">
        <f t="shared" si="18"/>
        <v/>
      </c>
      <c r="L24" s="27" t="str">
        <f>IF($G24="","",ADRYr1!V24*G24/1000)</f>
        <v/>
      </c>
      <c r="M24" s="27" t="str">
        <f>IF($G24="","",L24*ADRYr1!$Q24*ADRYr1!$R24)</f>
        <v/>
      </c>
      <c r="N24" s="27" t="str">
        <f t="shared" si="19"/>
        <v/>
      </c>
      <c r="O24" s="27" t="str">
        <f t="shared" si="20"/>
        <v/>
      </c>
      <c r="P24" s="27" t="str">
        <f>IF($G24="","",M24*ADRYr1!P24)</f>
        <v/>
      </c>
      <c r="Q24" s="27" t="str">
        <f t="shared" si="21"/>
        <v/>
      </c>
      <c r="R24" s="27" t="str">
        <f>IF($G24="","",$Q24*ADRYr1!Z24)</f>
        <v/>
      </c>
      <c r="S24" s="27" t="str">
        <f>IF($G24="","",$Q24*ADRYr1!AA24)</f>
        <v/>
      </c>
      <c r="T24" s="27" t="str">
        <f>IF($G24="","",$Q24*ADRYr1!AB24)</f>
        <v/>
      </c>
      <c r="U24" s="27" t="str">
        <f>IF($G24="","",$Q24*ADRYr1!AC24)</f>
        <v/>
      </c>
      <c r="V24" s="27" t="str">
        <f>IF($G24="","",G24*ADRYr1!$AD24*ADRYr1!$P24*ADRYr1!$Q24)</f>
        <v/>
      </c>
      <c r="W24" s="27" t="str">
        <f>IF($G24="","",$G24*ADRYr1!$AD24*ADRYr1!$AF24*ADRYr1!Q24*ADRYr1!$S24)</f>
        <v/>
      </c>
      <c r="X24" s="27" t="str">
        <f>IF($G24="","",$G24*ADRYr1!$AD24*ADRYr1!$AF24*ADRYr1!P24*ADRYr1!Q24*ADRYr1!$S24)</f>
        <v/>
      </c>
      <c r="Y24" s="27" t="str">
        <f>IF($G24="","",$G24*ADRYr1!$AD24*ADRYr1!$AE24*ADRYr1!Q24*ADRYr1!$T24)</f>
        <v/>
      </c>
      <c r="Z24" s="27" t="str">
        <f>IF($G24="","",$G24*ADRYr1!$AD24*ADRYr1!$AE24*ADRYr1!P24*ADRYr1!Q24*ADRYr1!$T24)</f>
        <v/>
      </c>
      <c r="AA24" s="45" t="str">
        <f>IF($G24="","",$G24*ADRYr1!$Q24*ADRYr1!$U24*(IF(IFERROR(SEARCH("NG", ADRYr1!$AI24),0),ADRYr1!$AJ24,0)+IF(IFERROR(SEARCH("NG", ADRYr1!$AK24),0),ADRYr1!$AL24,0)+IF(IFERROR(SEARCH("NG", ADRYr1!$AM24),0),ADRYr1!$AN24,0)))</f>
        <v/>
      </c>
      <c r="AB24" s="45" t="str">
        <f t="shared" si="22"/>
        <v/>
      </c>
      <c r="AC24" s="45">
        <f>IF($G24="",0,AA24*ADRYr1!$P24)</f>
        <v>0</v>
      </c>
      <c r="AD24" s="45" t="str">
        <f t="shared" si="23"/>
        <v/>
      </c>
      <c r="AE24" s="45" t="str">
        <f>IF($G24="","",$G24*ADRYr1!$Q24*ADRYr1!$U24*(IF(IFERROR(SEARCH("Oil", ADRYr1!$AI24), 0),ADRYr1!$AJ24,0)+IF(IFERROR(SEARCH("Oil", ADRYr1!$AK24), 0),ADRYr1!$AL24,0)+IF(IFERROR(SEARCH("Oil", ADRYr1!$AM24), 0),ADRYr1!$AN24,0)))</f>
        <v/>
      </c>
      <c r="AF24" s="45" t="str">
        <f t="shared" si="24"/>
        <v/>
      </c>
      <c r="AG24" s="45">
        <f>IF($G24="",0,AE24*ADRYr1!$P24)</f>
        <v>0</v>
      </c>
      <c r="AH24" s="45" t="str">
        <f t="shared" si="25"/>
        <v/>
      </c>
      <c r="AI24" s="45" t="str">
        <f>IF($G24="","",$G24*ADRYr1!$Q24*ADRYr1!$U24*(IF(ADRYr1!$AI24=Lookups!$E$116,ADRYr1!$AJ24,IF(ADRYr1!$AK24=Lookups!$E$116,ADRYr1!$AL24,IF(ADRYr1!$AM24=Lookups!$E$116,ADRYr1!$AN24,0)))))</f>
        <v/>
      </c>
      <c r="AJ24" s="45" t="str">
        <f t="shared" si="26"/>
        <v/>
      </c>
      <c r="AK24" s="45">
        <f>IF($G24="",0,AI24*ADRYr1!$P24)</f>
        <v>0</v>
      </c>
      <c r="AL24" s="45" t="str">
        <f t="shared" si="27"/>
        <v/>
      </c>
      <c r="AM24" s="45" t="str">
        <f>IF($G24="","",$G24*ADRYr1!$Q24*ADRYr1!$U24*(IF(ADRYr1!$AI24=Lookups!$E$115,ADRYr1!$AJ24,IF(ADRYr1!$AK24=Lookups!$E$115,ADRYr1!$AL24,IF(ADRYr1!$AM24=Lookups!$E$115,ADRYr1!$AN24,0)))))</f>
        <v/>
      </c>
      <c r="AN24" s="45" t="str">
        <f t="shared" si="28"/>
        <v/>
      </c>
      <c r="AO24" s="45">
        <f>IF($G24="",0,AM24*ADRYr1!$P24)</f>
        <v>0</v>
      </c>
      <c r="AP24" s="45" t="str">
        <f t="shared" si="29"/>
        <v/>
      </c>
      <c r="AQ24" s="45" t="str">
        <f>IF($G24="","",$G24*ADRYr1!$Q24*ADRYr1!$U24*(IF(ADRYr1!$AI24=Lookups!$E$117,ADRYr1!$AJ24,IF(ADRYr1!$AK24=Lookups!$E$117,ADRYr1!$AL24,IF(ADRYr1!$AM24=Lookups!$E$117,ADRYr1!$AN24,0)))))</f>
        <v/>
      </c>
      <c r="AR24" s="45" t="str">
        <f t="shared" si="30"/>
        <v/>
      </c>
      <c r="AS24" s="45" t="str">
        <f>IF($G24="","",AQ24*ADRYr1!$P24)</f>
        <v/>
      </c>
      <c r="AT24" s="45" t="str">
        <f t="shared" si="31"/>
        <v/>
      </c>
      <c r="AU24" s="45" t="str">
        <f>IF($G24="","",$G24*ADRYr1!$Q24*ADRYr1!$U24*(IF(ADRYr1!$AI24=Lookups!$E$118,ADRYr1!$AJ24,IF(ADRYr1!$AK24=Lookups!$E$118,ADRYr1!$AL24,IF(ADRYr1!$AM24=Lookups!$E$118,ADRYr1!$AN24,0)))))</f>
        <v/>
      </c>
      <c r="AV24" s="45" t="str">
        <f t="shared" si="32"/>
        <v/>
      </c>
      <c r="AW24" s="45" t="str">
        <f>IF($G24="","",AU24*ADRYr1!$P24)</f>
        <v/>
      </c>
      <c r="AX24" s="45" t="str">
        <f t="shared" si="33"/>
        <v/>
      </c>
      <c r="AY24" s="45">
        <f t="shared" si="49"/>
        <v>0</v>
      </c>
      <c r="AZ24" s="45">
        <f t="shared" si="49"/>
        <v>0</v>
      </c>
      <c r="BA24" s="101" t="str">
        <f>IF($G24="","",$G24*ADRYr1!$P24*ADRYr1!$Q24*ADRYr1!$U24*ADRYr1!AO24)</f>
        <v/>
      </c>
      <c r="BB24" s="102" t="str">
        <f>IF($G24="","",$G24*ADRYr1!$P24*ADRYr1!$Q24*ADRYr1!$U24*ADRYr1!AP24)</f>
        <v/>
      </c>
      <c r="BC24" s="100" t="str">
        <f t="shared" si="35"/>
        <v/>
      </c>
      <c r="BD24" s="961"/>
      <c r="BE24" s="961"/>
      <c r="BF24" s="961"/>
      <c r="BG24" s="961"/>
      <c r="BH24" s="962" t="str">
        <f t="shared" si="3"/>
        <v/>
      </c>
      <c r="BI24" s="961"/>
      <c r="BJ24" s="961"/>
      <c r="BK24" s="961"/>
      <c r="BL24" s="961"/>
      <c r="BM24" s="30" t="str">
        <f t="shared" si="4"/>
        <v/>
      </c>
      <c r="BN24" s="963" t="str">
        <f t="shared" si="5"/>
        <v/>
      </c>
      <c r="BO24" s="31" t="str">
        <f t="shared" si="36"/>
        <v/>
      </c>
      <c r="BP24" s="964" t="str">
        <f t="shared" si="6"/>
        <v/>
      </c>
      <c r="BQ24" s="28" t="str">
        <f t="shared" si="7"/>
        <v/>
      </c>
      <c r="BR24" s="964" t="str">
        <f t="shared" si="8"/>
        <v/>
      </c>
      <c r="BS24" s="964" t="str">
        <f t="shared" si="9"/>
        <v/>
      </c>
      <c r="BT24" s="28" t="str">
        <f t="shared" si="10"/>
        <v/>
      </c>
      <c r="BU24" s="28" t="str">
        <f t="shared" si="10"/>
        <v/>
      </c>
      <c r="BV24" s="28" t="str">
        <f t="shared" si="10"/>
        <v/>
      </c>
      <c r="BW24" s="29" t="str">
        <f t="shared" si="37"/>
        <v/>
      </c>
      <c r="BX24" s="29" t="str">
        <f t="shared" si="38"/>
        <v/>
      </c>
      <c r="BY24" s="28" t="str">
        <f>IF($G24="","",$G24*(IF(ADRYr1!$AI24=BY$4,ADRYr1!$AJ24,IF(ADRYr1!$AK24=BY$4,ADRYr1!$AL24,IF(ADRYr1!$AM24=BY$4,ADRYr1!$AN24,0))))*(INDEX(avoidedcosttbl,$H24,BY$2)+(($H24-ROUNDDOWN($H24,0))*(INDEX(avoidedcosttbl,ROUNDUP($H24,0),BY$2)-(INDEX(avoidedcosttbl,ROUNDDOWN($H24,0),BY$2)))))*ADRYr1!P24*ADRYr1!Q24*ADRYr1!U24)</f>
        <v/>
      </c>
      <c r="BZ24" s="28" t="str">
        <f>IF($G24="","",$G24*(IF(ADRYr1!$AI24=BZ$4,ADRYr1!$AJ24,IF(ADRYr1!$AK24=BZ$4,ADRYr1!$AL24,IF(ADRYr1!$AM24=BZ$4,ADRYr1!$AN24,0))))*(INDEX(avoidedcosttbl,$H24,BZ$2)+(($H24-ROUNDDOWN($H24,0))*(INDEX(avoidedcosttbl,ROUNDUP($H24,0),BZ$2)-(INDEX(avoidedcosttbl,ROUNDDOWN($H24,0),BZ$2)))))*ADRYr1!P24*ADRYr1!Q24*ADRYr1!U24)</f>
        <v/>
      </c>
      <c r="CA24" s="28" t="str">
        <f>IF($G24="","",$G24*(IF(ADRYr1!$AI24=CA$4,ADRYr1!$AJ24,IF(ADRYr1!$AK24=CA$4,ADRYr1!$AL24,IF(ADRYr1!$AM24=CA$4,ADRYr1!$AN24,0))))*(INDEX(avoidedcosttbl,$H24,CA$2)+(($H24-ROUNDDOWN($H24,0))*(INDEX(avoidedcosttbl,ROUNDUP($H24,0),CA$2)-(INDEX(avoidedcosttbl,ROUNDDOWN($H24,0),CA$2)))))*ADRYr1!P24*ADRYr1!Q24*ADRYr1!U24)</f>
        <v/>
      </c>
      <c r="CB24" s="28" t="str">
        <f>IF($G24="","",$G24*(IF(ADRYr1!$AI24=CB$4,ADRYr1!$AJ24,IF(ADRYr1!$AK24=CB$4,ADRYr1!$AL24,IF(ADRYr1!$AM24=CB$4,ADRYr1!$AN24,0))))*(INDEX(avoidedcosttbl,$H24,CB$2)+(($H24-ROUNDDOWN($H24,0))*(INDEX(avoidedcosttbl,ROUNDUP($H24,0),CB$2)-(INDEX(avoidedcosttbl,ROUNDDOWN($H24,0),CB$2)))))*ADRYr1!P24*ADRYr1!Q24*ADRYr1!U24)</f>
        <v/>
      </c>
      <c r="CC24" s="28" t="str">
        <f>IF($G24="","",$G24*(IF(ADRYr1!$AI24=CC$4,ADRYr1!$AJ24,IF(ADRYr1!$AK24=CC$4,ADRYr1!$AL24,IF(ADRYr1!$AM24=CC$4,ADRYr1!$AN24,0))))*(INDEX(avoidedcosttbl,$H24,CC$2)+(($H24-ROUNDDOWN($H24,0))*(INDEX(avoidedcosttbl,ROUNDUP($H24,0),CC$2)-(INDEX(avoidedcosttbl,ROUNDDOWN($H24,0),CC$2)))))*ADRYr1!P24*ADRYr1!Q24*ADRYr1!U24)</f>
        <v/>
      </c>
      <c r="CD24" s="28" t="str">
        <f>IF($G24="","",$G24*(IF(ADRYr1!$AI24=CD$4,ADRYr1!$AJ24,IF(ADRYr1!$AK24=CD$4,ADRYr1!$AL24,IF(ADRYr1!$AM24=CD$4,ADRYr1!$AN24,0))))*(INDEX(avoidedcosttbl,$H24,CD$2)+(($H24-ROUNDDOWN($H24,0))*(INDEX(avoidedcosttbl,ROUNDUP($H24,0),CD$2)-(INDEX(avoidedcosttbl,ROUNDDOWN($H24,0),CD$2)))))*ADRYr1!P24*ADRYr1!Q24*ADRYr1!U24)</f>
        <v/>
      </c>
      <c r="CE24" s="28" t="str">
        <f>IF($G24="","",$G24*(IF(ADRYr1!$AI24=CE$4,ADRYr1!$AJ24,IF(ADRYr1!$AK24=CE$4,ADRYr1!$AL24,IF(ADRYr1!$AM24=CE$4,ADRYr1!$AN24,0))))*(INDEX(avoidedcosttbl,$H24,CE$2)+(($H24-ROUNDDOWN($H24,0))*(INDEX(avoidedcosttbl,ROUNDUP($H24,0),CE$2)-(INDEX(avoidedcosttbl,ROUNDDOWN($H24,0),CE$2)))))*ADRYr1!P24*ADRYr1!Q24*ADRYr1!U24)</f>
        <v/>
      </c>
      <c r="CF24" s="41" t="str">
        <f t="shared" si="39"/>
        <v/>
      </c>
      <c r="CG24" s="30" t="str">
        <f t="shared" si="11"/>
        <v/>
      </c>
      <c r="CH24" s="30" t="str">
        <f>IF($G24="","",$G24*(IF(ADRYr1!$AI24=BY$4,ADRYr1!$AJ24,IF(ADRYr1!$AK24=BY$4,ADRYr1!$AL24,IF(ADRYr1!$AM24=BY$4,ADRYr1!$AN24,0))))*(INDEX(avoidedcosttbl,$H24,CH$2)+(($H24-ROUNDDOWN($H24,0))*(INDEX(avoidedcosttbl,ROUNDUP($H24,0),CH$2)-(INDEX(avoidedcosttbl,ROUNDDOWN($H24,0),CH$2)))))*ADRYr1!P24*ADRYr1!Q24*ADRYr1!U24)</f>
        <v/>
      </c>
      <c r="CI24" s="30" t="str">
        <f>IF($G24="","",$G24*(IF(ADRYr1!$AI24=BZ$4,ADRYr1!$AJ24,IF(ADRYr1!$AK24=BZ$4,ADRYr1!$AL24,IF(ADRYr1!$AM24=BZ$4,ADRYr1!$AN24,0))))*(INDEX(avoidedcosttbl,$H24,CI$2)+(($H24-ROUNDDOWN($H24,0))*(INDEX(avoidedcosttbl,ROUNDUP($H24,0),CI$2)-(INDEX(avoidedcosttbl,ROUNDDOWN($H24,0),CI$2)))))*ADRYr1!P24*ADRYr1!Q24*ADRYr1!U24)</f>
        <v/>
      </c>
      <c r="CJ24" s="30" t="str">
        <f>IF($G24="","",$G24*(IF(ADRYr1!$AI24=CA$4,ADRYr1!$AJ24,IF(ADRYr1!$AK24=CA$4,ADRYr1!$AL24,IF(ADRYr1!$AM24=CA$4,ADRYr1!$AN24,0))))*(INDEX(avoidedcosttbl,$H24,CJ$2)+(($H24-ROUNDDOWN($H24,0))*(INDEX(avoidedcosttbl,ROUNDUP($H24,0),CJ$2)-(INDEX(avoidedcosttbl,ROUNDDOWN($H24,0),CJ$2)))))*ADRYr1!P24*ADRYr1!Q24*ADRYr1!U24)</f>
        <v/>
      </c>
      <c r="CK24" s="30" t="str">
        <f>IF($G24="","",$G24*(IF(ADRYr1!$AI24=CB$4,ADRYr1!$AJ24,IF(ADRYr1!$AK24=CB$4,ADRYr1!$AL24,IF(ADRYr1!$AM24=CB$4,ADRYr1!$AN24,0))))*(INDEX(avoidedcosttbl,$H24,CK$2)+(($H24-ROUNDDOWN($H24,0))*(INDEX(avoidedcosttbl,ROUNDUP($H24,0),CK$2)-(INDEX(avoidedcosttbl,ROUNDDOWN($H24,0),CK$2)))))*ADRYr1!P24*ADRYr1!Q24*ADRYr1!U24)</f>
        <v/>
      </c>
      <c r="CL24" s="30" t="str">
        <f>IF($G24="","",$G24*(IF(ADRYr1!$AI24=CC$4,ADRYr1!$AJ24,IF(ADRYr1!$AK24=CC$4,ADRYr1!$AL24,IF(ADRYr1!$AM24=CC$4,ADRYr1!$AN24,0))))*(INDEX(avoidedcosttbl,$H24,CL$2)+(($H24-ROUNDDOWN($H24,0))*(INDEX(avoidedcosttbl,ROUNDUP($H24,0),CL$2)-(INDEX(avoidedcosttbl,ROUNDDOWN($H24,0),CL$2)))))*ADRYr1!P24*ADRYr1!Q24*ADRYr1!U24)</f>
        <v/>
      </c>
      <c r="CM24" s="30" t="str">
        <f>IF($G24="","",$G24*(IF(ADRYr1!$AI24=CD$4,ADRYr1!$AJ24,IF(ADRYr1!$AK24=CD$4,ADRYr1!$AL24,IF(ADRYr1!$AM24=CD$4,ADRYr1!$AN24,0))))*(INDEX(avoidedcosttbl,$H24,CM$2)+(($H24-ROUNDDOWN($H24,0))*(INDEX(avoidedcosttbl,ROUNDUP($H24,0),CM$2)-(INDEX(avoidedcosttbl,ROUNDDOWN($H24,0),CM$2)))))*ADRYr1!P24*ADRYr1!Q24*ADRYr1!U24)</f>
        <v/>
      </c>
      <c r="CN24" s="30" t="str">
        <f>IF($G24="","",$G24*(IF(ADRYr1!$AI24=CE$4,ADRYr1!$AJ24,IF(ADRYr1!$AK24=CE$4,ADRYr1!$AL24,IF(ADRYr1!$AM24=CE$4,ADRYr1!$AN24,0))))*(INDEX(avoidedcosttbl,$H24,CN$2)+(($H24-ROUNDDOWN($H24,0))*(INDEX(avoidedcosttbl,ROUNDUP($H24,0),CN$2)-(INDEX(avoidedcosttbl,ROUNDDOWN($H24,0),CN$2)))))*ADRYr1!P24*ADRYr1!Q24*ADRYr1!U24)</f>
        <v/>
      </c>
      <c r="CO24" s="220" t="str">
        <f t="shared" si="40"/>
        <v/>
      </c>
      <c r="CP24" s="220" t="str">
        <f t="shared" si="41"/>
        <v/>
      </c>
      <c r="CQ24" s="157" t="str">
        <f>IF($G24="","",$G24*(IF(ADRYr1!$AI24=CQ$4,ADRYr1!$AJ24,IF(ADRYr1!$AK24=CQ$4,ADRYr1!$AL24,IF(ADRYr1!$AM24=CQ$4,ADRYr1!$AN24,0))))*(INDEX(avoidedcosttbl,$H24,CQ$2)+(($H24-ROUNDDOWN($H24,0))*(INDEX(avoidedcosttbl,ROUNDUP($H24,0),CQ$2)-(INDEX(avoidedcosttbl,ROUNDDOWN($H24,0),CQ$2)))))*ADRYr1!$P24*ADRYr1!$Q24*ADRYr1!$U24)</f>
        <v/>
      </c>
      <c r="CR24" s="28" t="str">
        <f>IF($G24="","",G24*(IF(ADRYr1!$AI24=CR$4,ADRYr1!$AJ24,IF(ADRYr1!$AK24=CR$4,ADRYr1!$AL24,IF(ADRYr1!$AM24=CR$4,ADRYr1!$AN24,0))))*(INDEX(avoidedcosttbl,$H24,CR$2)+(($H24-ROUNDDOWN($H24,0))*(INDEX(avoidedcosttbl,ROUNDUP($H24,0),CR$2)-(INDEX(avoidedcosttbl,ROUNDDOWN($H24,0),CR$2)))))*ADRYr1!$P24*ADRYr1!$Q24*ADRYr1!$U24)</f>
        <v/>
      </c>
      <c r="CS24" s="28" t="str">
        <f>IF($G24="","",G24*(IF(ADRYr1!$AI24=CS$4,ADRYr1!$AJ24,IF(ADRYr1!$AK24=CS$4,ADRYr1!$AL24,IF(ADRYr1!$AM24=CS$4,ADRYr1!$AN24,0))))*(INDEX(avoidedcosttbl,$H24,CS$2)+(($H24-ROUNDDOWN($H24,0))*(INDEX(avoidedcosttbl,ROUNDUP($H24,0),CS$2)-(INDEX(avoidedcosttbl,ROUNDDOWN($H24,0),CS$2)))))*ADRYr1!$P24*ADRYr1!$Q24*ADRYr1!$U24)</f>
        <v/>
      </c>
      <c r="CT24" s="28" t="str">
        <f t="shared" si="12"/>
        <v/>
      </c>
      <c r="CU24" s="28" t="str">
        <f>IF($G24="","",G24*(IF(ADRYr1!$AI24=CU$4,ADRYr1!$AJ24,IF(ADRYr1!$AK24=CU$4,ADRYr1!$AL24,IF(ADRYr1!$AM24=CU$4,ADRYr1!$AN24,0))))*(INDEX(avoidedcosttbl,$H24,CU$2)+(($H24-ROUNDDOWN($H24,0))*(INDEX(avoidedcosttbl,ROUNDUP($H24,0),CU$2)-(INDEX(avoidedcosttbl,ROUNDDOWN($H24,0),CU$2)))))*ADRYr1!$P24*ADRYr1!$Q24*ADRYr1!$U24)</f>
        <v/>
      </c>
      <c r="CV24" s="28" t="str">
        <f>IF($G24="","",G24*(IF(ADRYr1!$AI24=CV$4,ADRYr1!$AJ24,IF(ADRYr1!$AK24=CV$4,ADRYr1!$AL24,IF(ADRYr1!$AM24=CV$4,ADRYr1!$AN24,0))))*(INDEX(avoidedcosttbl,$H24,CV$2)+(($H24-ROUNDDOWN($H24,0))*(INDEX(avoidedcosttbl,ROUNDUP($H24,0),CV$2)-(INDEX(avoidedcosttbl,ROUNDDOWN($H24,0),CV$2)))))*ADRYr1!$P24*ADRYr1!$Q24*ADRYr1!$U24)</f>
        <v/>
      </c>
      <c r="CW24" s="28" t="str">
        <f>IF($G24="","",G24*(IF(ADRYr1!$AI24=CW$4,ADRYr1!$AJ24,IF(ADRYr1!$AK24=CW$4,ADRYr1!$AL24,IF(ADRYr1!$AM24=CW$4,ADRYr1!$AN24,0))))*(INDEX(avoidedcosttbl,$H24,CW$2)+(($H24-ROUNDDOWN($H24,0))*(INDEX(avoidedcosttbl,ROUNDUP($H24,0),CW$2)-(INDEX(avoidedcosttbl,ROUNDDOWN($H24,0),CW$2)))))*ADRYr1!$P24*ADRYr1!$Q24*ADRYr1!$U24)</f>
        <v/>
      </c>
      <c r="CX24" s="28" t="str">
        <f>IF($G24="","",G24*(IF(ADRYr1!$AI24=CX$4,ADRYr1!$AJ24,IF(ADRYr1!$AK24=CX$4,ADRYr1!$AL24,IF(ADRYr1!$AM24=CX$4,ADRYr1!$AN24,0))))*(INDEX(avoidedcosttbl,$H24,CX$2)+(($H24-ROUNDDOWN($H24,0))*(INDEX(avoidedcosttbl,ROUNDUP($H24,0),CX$2)-(INDEX(avoidedcosttbl,ROUNDDOWN($H24,0),CX$2)))))*ADRYr1!$P24*ADRYr1!$Q24*ADRYr1!$U24)</f>
        <v/>
      </c>
      <c r="CY24" s="28" t="str">
        <f t="shared" si="13"/>
        <v/>
      </c>
      <c r="CZ24" s="32" t="str">
        <f t="shared" si="14"/>
        <v/>
      </c>
      <c r="DA24" s="84" t="str">
        <f t="shared" si="42"/>
        <v/>
      </c>
      <c r="DB24" s="81" t="str">
        <f>IF(NEIadder="Yes",IF($G24="","",INDEX(Lookups!$G$70:$G$71,MATCH($A24,Lookups!$E$70:$E$71,0))*(SUM(CP24:CX24,BX24))),"")</f>
        <v/>
      </c>
      <c r="DC24" s="263" t="str">
        <f t="shared" si="15"/>
        <v/>
      </c>
      <c r="DD24" s="166" t="str">
        <f t="shared" si="16"/>
        <v/>
      </c>
      <c r="DE24" s="82">
        <f t="shared" si="43"/>
        <v>0</v>
      </c>
      <c r="DF24" s="615" t="str">
        <f>IF($G24="","",(1+WntPeakEnergyLL)*(INDEX(avoidedcosttbl,$H24,DF$2)+(($H24-ROUNDDOWN($H24,0))*(INDEX(avoidedcosttbl,ROUNDUP($H24,0),DF$2)-(INDEX(avoidedcosttbl,ROUNDDOWN($H24,0),DF$2)))))*$P24*1000*ADRYr1!Z24)</f>
        <v/>
      </c>
      <c r="DG24" s="615" t="str">
        <f>IF($G24="","",(1+WntOffPeakEnergyLL)*(INDEX(avoidedcosttbl,$H24,DG$2)+(($H24-ROUNDDOWN($H24,0))*(INDEX(avoidedcosttbl,ROUNDUP($H24,0),DG$2)-(INDEX(avoidedcosttbl,ROUNDDOWN($H24,0),DG$2)))))*$P24*1000*ADRYr1!AA24)</f>
        <v/>
      </c>
      <c r="DH24" s="615" t="str">
        <f>IF($G24="","",(1+SumPeakEnergyLL)*(INDEX(avoidedcosttbl,$H24,DH$2)+(($H24-ROUNDDOWN($H24,0))*(INDEX(avoidedcosttbl,ROUNDUP($H24,0),DH$2)-(INDEX(avoidedcosttbl,ROUNDDOWN($H24,0),DH$2)))))*$P24*1000*ADRYr1!AB24)</f>
        <v/>
      </c>
      <c r="DI24" s="615" t="str">
        <f>IF($G24="","",(1+SumOffPeakEnergyLL)*(INDEX(avoidedcosttbl,$H24,DI$2)+(($H24-ROUNDDOWN($H24,0))*(INDEX(avoidedcosttbl,ROUNDUP($H24,0),DI$2)-(INDEX(avoidedcosttbl,ROUNDDOWN($H24,0),DI$2)))))*$P24*1000*ADRYr1!AC24)</f>
        <v/>
      </c>
      <c r="DJ24" s="29" t="str">
        <f t="shared" si="44"/>
        <v/>
      </c>
      <c r="DK24" s="161" t="str">
        <f t="shared" si="45"/>
        <v/>
      </c>
      <c r="DL24" s="1189" t="str">
        <f t="shared" si="46"/>
        <v/>
      </c>
      <c r="DM24" s="1189" t="str">
        <f t="shared" si="47"/>
        <v/>
      </c>
      <c r="DN24" s="43" t="str">
        <f t="shared" si="48"/>
        <v/>
      </c>
      <c r="DO24" s="966" t="str">
        <f>IF($G24="","",ADRYr1!AQ24)</f>
        <v/>
      </c>
      <c r="DP24" s="968" t="str">
        <f>IF($G24="","",ADRYr1!AR24)</f>
        <v/>
      </c>
      <c r="DQ24" s="970" t="str">
        <f>IF($G24="","",IF($DP24="Yes",COLUMN(AESC!$L$10),IF($DP24="No","Using AvoidedDemand tab",IF($DP24="Mixed",COLUMN(AESC!$N$10)))))</f>
        <v/>
      </c>
      <c r="DR24" s="970" t="str">
        <f>IF($G24="","",IF($DP24="Yes",COLUMN(AESC!$P$10),IF($DP24="No","Using AvoidedDemand tab",IF($DP24="Mixed",COLUMN(AESC!$R$10)))))</f>
        <v/>
      </c>
      <c r="DS24" s="970" t="str">
        <f>IF($G24="","",IF($DP24="Yes",COLUMN(AESC!$S$10),IF($DP24="No",COLUMN(AESC!$T$10),IF($DP24="Mixed",COLUMN(AESC!$U$10)))))</f>
        <v/>
      </c>
      <c r="DT24" s="970" t="str">
        <f t="shared" si="17"/>
        <v/>
      </c>
      <c r="DU24" s="970" t="str">
        <f>IF($G24="","",ADRYr1!AS24)</f>
        <v/>
      </c>
      <c r="DV24" s="971" t="str">
        <f>IF($G24="","",ADRYr1!AT24)</f>
        <v/>
      </c>
      <c r="DW24" s="1162" t="str">
        <f>IF($G24="","",INDEX(AvoidedEnergy!$H$4:$H$10,MATCH($DO24,AvoidedEnergy!$A$4:$A$10,0)))</f>
        <v/>
      </c>
    </row>
    <row r="25" spans="1:127">
      <c r="A25" s="160" t="str">
        <f>IF(ADRYr1!$B25=0,"",ADRYr1!A25)</f>
        <v>B - Low-Income</v>
      </c>
      <c r="B25" s="9" t="str">
        <f>IF(ADRYr1!$B25=0,"",ADRYr1!B25)</f>
        <v>Home Energy Assistance</v>
      </c>
      <c r="C25" s="9" t="str">
        <f>IF(ADRYr1!$B25=0,"",ADRYr1!C25)</f>
        <v>Res Demand Response</v>
      </c>
      <c r="D25" s="9" t="str">
        <f>IF(ADRYr1!$B25=0,"",ADRYr1!D25)</f>
        <v>Storage Targeted Dispatch P4P (savings) Winter</v>
      </c>
      <c r="E25" s="9">
        <f>IF(ADRYr1!$B25=0,"",ADRYr1!E25)</f>
        <v>0</v>
      </c>
      <c r="F25" s="11" t="str">
        <f>IF(ADRYr1!$B25=0,"",ADRYr1!F25)</f>
        <v>Behavior</v>
      </c>
      <c r="G25" s="12" t="str">
        <f>IF(ADRYr1!$G25&lt;&gt;0,ADRYr1!G25,"")</f>
        <v/>
      </c>
      <c r="H25" s="960" t="str">
        <f>IF($G25="","",ROUND(ADRYr1!H25,0))</f>
        <v/>
      </c>
      <c r="I25" s="47" t="str">
        <f>IF($G25="","",ADRYr1!I25*ADRYr1!P25*G25)</f>
        <v/>
      </c>
      <c r="J25" s="47" t="str">
        <f>IF($G25="","",ADRYr1!J25*G25)</f>
        <v/>
      </c>
      <c r="K25" s="47" t="str">
        <f t="shared" si="18"/>
        <v/>
      </c>
      <c r="L25" s="27" t="str">
        <f>IF($G25="","",ADRYr1!V25*G25/1000)</f>
        <v/>
      </c>
      <c r="M25" s="27" t="str">
        <f>IF($G25="","",L25*ADRYr1!$Q25*ADRYr1!$R25)</f>
        <v/>
      </c>
      <c r="N25" s="27" t="str">
        <f t="shared" si="19"/>
        <v/>
      </c>
      <c r="O25" s="27" t="str">
        <f t="shared" si="20"/>
        <v/>
      </c>
      <c r="P25" s="27" t="str">
        <f>IF($G25="","",M25*ADRYr1!P25)</f>
        <v/>
      </c>
      <c r="Q25" s="27" t="str">
        <f t="shared" si="21"/>
        <v/>
      </c>
      <c r="R25" s="27" t="str">
        <f>IF($G25="","",$Q25*ADRYr1!Z25)</f>
        <v/>
      </c>
      <c r="S25" s="27" t="str">
        <f>IF($G25="","",$Q25*ADRYr1!AA25)</f>
        <v/>
      </c>
      <c r="T25" s="27" t="str">
        <f>IF($G25="","",$Q25*ADRYr1!AB25)</f>
        <v/>
      </c>
      <c r="U25" s="27" t="str">
        <f>IF($G25="","",$Q25*ADRYr1!AC25)</f>
        <v/>
      </c>
      <c r="V25" s="27" t="str">
        <f>IF($G25="","",G25*ADRYr1!$AD25*ADRYr1!$P25*ADRYr1!$Q25)</f>
        <v/>
      </c>
      <c r="W25" s="27" t="str">
        <f>IF($G25="","",$G25*ADRYr1!$AD25*ADRYr1!$AF25*ADRYr1!Q25*ADRYr1!$S25)</f>
        <v/>
      </c>
      <c r="X25" s="27" t="str">
        <f>IF($G25="","",$G25*ADRYr1!$AD25*ADRYr1!$AF25*ADRYr1!P25*ADRYr1!Q25*ADRYr1!$S25)</f>
        <v/>
      </c>
      <c r="Y25" s="27" t="str">
        <f>IF($G25="","",$G25*ADRYr1!$AD25*ADRYr1!$AE25*ADRYr1!Q25*ADRYr1!$T25)</f>
        <v/>
      </c>
      <c r="Z25" s="27" t="str">
        <f>IF($G25="","",$G25*ADRYr1!$AD25*ADRYr1!$AE25*ADRYr1!P25*ADRYr1!Q25*ADRYr1!$T25)</f>
        <v/>
      </c>
      <c r="AA25" s="45" t="str">
        <f>IF($G25="","",$G25*ADRYr1!$Q25*ADRYr1!$U25*(IF(IFERROR(SEARCH("NG", ADRYr1!$AI25),0),ADRYr1!$AJ25,0)+IF(IFERROR(SEARCH("NG", ADRYr1!$AK25),0),ADRYr1!$AL25,0)+IF(IFERROR(SEARCH("NG", ADRYr1!$AM25),0),ADRYr1!$AN25,0)))</f>
        <v/>
      </c>
      <c r="AB25" s="45" t="str">
        <f t="shared" si="22"/>
        <v/>
      </c>
      <c r="AC25" s="45">
        <f>IF($G25="",0,AA25*ADRYr1!$P25)</f>
        <v>0</v>
      </c>
      <c r="AD25" s="45" t="str">
        <f t="shared" si="23"/>
        <v/>
      </c>
      <c r="AE25" s="45" t="str">
        <f>IF($G25="","",$G25*ADRYr1!$Q25*ADRYr1!$U25*(IF(IFERROR(SEARCH("Oil", ADRYr1!$AI25), 0),ADRYr1!$AJ25,0)+IF(IFERROR(SEARCH("Oil", ADRYr1!$AK25), 0),ADRYr1!$AL25,0)+IF(IFERROR(SEARCH("Oil", ADRYr1!$AM25), 0),ADRYr1!$AN25,0)))</f>
        <v/>
      </c>
      <c r="AF25" s="45" t="str">
        <f t="shared" si="24"/>
        <v/>
      </c>
      <c r="AG25" s="45">
        <f>IF($G25="",0,AE25*ADRYr1!$P25)</f>
        <v>0</v>
      </c>
      <c r="AH25" s="45" t="str">
        <f t="shared" si="25"/>
        <v/>
      </c>
      <c r="AI25" s="45" t="str">
        <f>IF($G25="","",$G25*ADRYr1!$Q25*ADRYr1!$U25*(IF(ADRYr1!$AI25=Lookups!$E$116,ADRYr1!$AJ25,IF(ADRYr1!$AK25=Lookups!$E$116,ADRYr1!$AL25,IF(ADRYr1!$AM25=Lookups!$E$116,ADRYr1!$AN25,0)))))</f>
        <v/>
      </c>
      <c r="AJ25" s="45" t="str">
        <f t="shared" si="26"/>
        <v/>
      </c>
      <c r="AK25" s="45">
        <f>IF($G25="",0,AI25*ADRYr1!$P25)</f>
        <v>0</v>
      </c>
      <c r="AL25" s="45" t="str">
        <f t="shared" si="27"/>
        <v/>
      </c>
      <c r="AM25" s="45" t="str">
        <f>IF($G25="","",$G25*ADRYr1!$Q25*ADRYr1!$U25*(IF(ADRYr1!$AI25=Lookups!$E$115,ADRYr1!$AJ25,IF(ADRYr1!$AK25=Lookups!$E$115,ADRYr1!$AL25,IF(ADRYr1!$AM25=Lookups!$E$115,ADRYr1!$AN25,0)))))</f>
        <v/>
      </c>
      <c r="AN25" s="45" t="str">
        <f t="shared" si="28"/>
        <v/>
      </c>
      <c r="AO25" s="45">
        <f>IF($G25="",0,AM25*ADRYr1!$P25)</f>
        <v>0</v>
      </c>
      <c r="AP25" s="45" t="str">
        <f t="shared" si="29"/>
        <v/>
      </c>
      <c r="AQ25" s="45" t="str">
        <f>IF($G25="","",$G25*ADRYr1!$Q25*ADRYr1!$U25*(IF(ADRYr1!$AI25=Lookups!$E$117,ADRYr1!$AJ25,IF(ADRYr1!$AK25=Lookups!$E$117,ADRYr1!$AL25,IF(ADRYr1!$AM25=Lookups!$E$117,ADRYr1!$AN25,0)))))</f>
        <v/>
      </c>
      <c r="AR25" s="45" t="str">
        <f t="shared" si="30"/>
        <v/>
      </c>
      <c r="AS25" s="45" t="str">
        <f>IF($G25="","",AQ25*ADRYr1!$P25)</f>
        <v/>
      </c>
      <c r="AT25" s="45" t="str">
        <f t="shared" si="31"/>
        <v/>
      </c>
      <c r="AU25" s="45" t="str">
        <f>IF($G25="","",$G25*ADRYr1!$Q25*ADRYr1!$U25*(IF(ADRYr1!$AI25=Lookups!$E$118,ADRYr1!$AJ25,IF(ADRYr1!$AK25=Lookups!$E$118,ADRYr1!$AL25,IF(ADRYr1!$AM25=Lookups!$E$118,ADRYr1!$AN25,0)))))</f>
        <v/>
      </c>
      <c r="AV25" s="45" t="str">
        <f t="shared" si="32"/>
        <v/>
      </c>
      <c r="AW25" s="45" t="str">
        <f>IF($G25="","",AU25*ADRYr1!$P25)</f>
        <v/>
      </c>
      <c r="AX25" s="45" t="str">
        <f t="shared" si="33"/>
        <v/>
      </c>
      <c r="AY25" s="45">
        <f t="shared" si="49"/>
        <v>0</v>
      </c>
      <c r="AZ25" s="45">
        <f t="shared" si="49"/>
        <v>0</v>
      </c>
      <c r="BA25" s="101" t="str">
        <f>IF($G25="","",$G25*ADRYr1!$P25*ADRYr1!$Q25*ADRYr1!$U25*ADRYr1!AO25)</f>
        <v/>
      </c>
      <c r="BB25" s="102" t="str">
        <f>IF($G25="","",$G25*ADRYr1!$P25*ADRYr1!$Q25*ADRYr1!$U25*ADRYr1!AP25)</f>
        <v/>
      </c>
      <c r="BC25" s="100" t="str">
        <f t="shared" si="35"/>
        <v/>
      </c>
      <c r="BD25" s="961"/>
      <c r="BE25" s="961"/>
      <c r="BF25" s="961"/>
      <c r="BG25" s="961"/>
      <c r="BH25" s="962" t="str">
        <f t="shared" si="3"/>
        <v/>
      </c>
      <c r="BI25" s="961"/>
      <c r="BJ25" s="961"/>
      <c r="BK25" s="961"/>
      <c r="BL25" s="961"/>
      <c r="BM25" s="30" t="str">
        <f t="shared" si="4"/>
        <v/>
      </c>
      <c r="BN25" s="963" t="str">
        <f t="shared" si="5"/>
        <v/>
      </c>
      <c r="BO25" s="31" t="str">
        <f t="shared" si="36"/>
        <v/>
      </c>
      <c r="BP25" s="964" t="str">
        <f t="shared" si="6"/>
        <v/>
      </c>
      <c r="BQ25" s="28" t="str">
        <f t="shared" si="7"/>
        <v/>
      </c>
      <c r="BR25" s="964" t="str">
        <f t="shared" si="8"/>
        <v/>
      </c>
      <c r="BS25" s="964" t="str">
        <f t="shared" si="9"/>
        <v/>
      </c>
      <c r="BT25" s="28" t="str">
        <f t="shared" ref="BT25:BV44" si="50">IF($G25="","",(INDEX(avoidedcosttbl,$H25,BT$2)+(($H25-ROUNDDOWN($H25,0))*(INDEX(avoidedcosttbl,ROUNDUP($H25,0),BT$2)-(INDEX(avoidedcosttbl,ROUNDDOWN($H25,0),BT$2)))))*$Z25)</f>
        <v/>
      </c>
      <c r="BU25" s="28" t="str">
        <f t="shared" si="50"/>
        <v/>
      </c>
      <c r="BV25" s="28" t="str">
        <f t="shared" si="50"/>
        <v/>
      </c>
      <c r="BW25" s="29" t="str">
        <f t="shared" si="37"/>
        <v/>
      </c>
      <c r="BX25" s="29" t="str">
        <f t="shared" si="38"/>
        <v/>
      </c>
      <c r="BY25" s="28" t="str">
        <f>IF($G25="","",$G25*(IF(ADRYr1!$AI25=BY$4,ADRYr1!$AJ25,IF(ADRYr1!$AK25=BY$4,ADRYr1!$AL25,IF(ADRYr1!$AM25=BY$4,ADRYr1!$AN25,0))))*(INDEX(avoidedcosttbl,$H25,BY$2)+(($H25-ROUNDDOWN($H25,0))*(INDEX(avoidedcosttbl,ROUNDUP($H25,0),BY$2)-(INDEX(avoidedcosttbl,ROUNDDOWN($H25,0),BY$2)))))*ADRYr1!P25*ADRYr1!Q25*ADRYr1!U25)</f>
        <v/>
      </c>
      <c r="BZ25" s="28" t="str">
        <f>IF($G25="","",$G25*(IF(ADRYr1!$AI25=BZ$4,ADRYr1!$AJ25,IF(ADRYr1!$AK25=BZ$4,ADRYr1!$AL25,IF(ADRYr1!$AM25=BZ$4,ADRYr1!$AN25,0))))*(INDEX(avoidedcosttbl,$H25,BZ$2)+(($H25-ROUNDDOWN($H25,0))*(INDEX(avoidedcosttbl,ROUNDUP($H25,0),BZ$2)-(INDEX(avoidedcosttbl,ROUNDDOWN($H25,0),BZ$2)))))*ADRYr1!P25*ADRYr1!Q25*ADRYr1!U25)</f>
        <v/>
      </c>
      <c r="CA25" s="28" t="str">
        <f>IF($G25="","",$G25*(IF(ADRYr1!$AI25=CA$4,ADRYr1!$AJ25,IF(ADRYr1!$AK25=CA$4,ADRYr1!$AL25,IF(ADRYr1!$AM25=CA$4,ADRYr1!$AN25,0))))*(INDEX(avoidedcosttbl,$H25,CA$2)+(($H25-ROUNDDOWN($H25,0))*(INDEX(avoidedcosttbl,ROUNDUP($H25,0),CA$2)-(INDEX(avoidedcosttbl,ROUNDDOWN($H25,0),CA$2)))))*ADRYr1!P25*ADRYr1!Q25*ADRYr1!U25)</f>
        <v/>
      </c>
      <c r="CB25" s="28" t="str">
        <f>IF($G25="","",$G25*(IF(ADRYr1!$AI25=CB$4,ADRYr1!$AJ25,IF(ADRYr1!$AK25=CB$4,ADRYr1!$AL25,IF(ADRYr1!$AM25=CB$4,ADRYr1!$AN25,0))))*(INDEX(avoidedcosttbl,$H25,CB$2)+(($H25-ROUNDDOWN($H25,0))*(INDEX(avoidedcosttbl,ROUNDUP($H25,0),CB$2)-(INDEX(avoidedcosttbl,ROUNDDOWN($H25,0),CB$2)))))*ADRYr1!P25*ADRYr1!Q25*ADRYr1!U25)</f>
        <v/>
      </c>
      <c r="CC25" s="28" t="str">
        <f>IF($G25="","",$G25*(IF(ADRYr1!$AI25=CC$4,ADRYr1!$AJ25,IF(ADRYr1!$AK25=CC$4,ADRYr1!$AL25,IF(ADRYr1!$AM25=CC$4,ADRYr1!$AN25,0))))*(INDEX(avoidedcosttbl,$H25,CC$2)+(($H25-ROUNDDOWN($H25,0))*(INDEX(avoidedcosttbl,ROUNDUP($H25,0),CC$2)-(INDEX(avoidedcosttbl,ROUNDDOWN($H25,0),CC$2)))))*ADRYr1!P25*ADRYr1!Q25*ADRYr1!U25)</f>
        <v/>
      </c>
      <c r="CD25" s="28" t="str">
        <f>IF($G25="","",$G25*(IF(ADRYr1!$AI25=CD$4,ADRYr1!$AJ25,IF(ADRYr1!$AK25=CD$4,ADRYr1!$AL25,IF(ADRYr1!$AM25=CD$4,ADRYr1!$AN25,0))))*(INDEX(avoidedcosttbl,$H25,CD$2)+(($H25-ROUNDDOWN($H25,0))*(INDEX(avoidedcosttbl,ROUNDUP($H25,0),CD$2)-(INDEX(avoidedcosttbl,ROUNDDOWN($H25,0),CD$2)))))*ADRYr1!P25*ADRYr1!Q25*ADRYr1!U25)</f>
        <v/>
      </c>
      <c r="CE25" s="28" t="str">
        <f>IF($G25="","",$G25*(IF(ADRYr1!$AI25=CE$4,ADRYr1!$AJ25,IF(ADRYr1!$AK25=CE$4,ADRYr1!$AL25,IF(ADRYr1!$AM25=CE$4,ADRYr1!$AN25,0))))*(INDEX(avoidedcosttbl,$H25,CE$2)+(($H25-ROUNDDOWN($H25,0))*(INDEX(avoidedcosttbl,ROUNDUP($H25,0),CE$2)-(INDEX(avoidedcosttbl,ROUNDDOWN($H25,0),CE$2)))))*ADRYr1!P25*ADRYr1!Q25*ADRYr1!U25)</f>
        <v/>
      </c>
      <c r="CF25" s="41" t="str">
        <f t="shared" si="39"/>
        <v/>
      </c>
      <c r="CG25" s="30" t="str">
        <f t="shared" si="11"/>
        <v/>
      </c>
      <c r="CH25" s="30" t="str">
        <f>IF($G25="","",$G25*(IF(ADRYr1!$AI25=BY$4,ADRYr1!$AJ25,IF(ADRYr1!$AK25=BY$4,ADRYr1!$AL25,IF(ADRYr1!$AM25=BY$4,ADRYr1!$AN25,0))))*(INDEX(avoidedcosttbl,$H25,CH$2)+(($H25-ROUNDDOWN($H25,0))*(INDEX(avoidedcosttbl,ROUNDUP($H25,0),CH$2)-(INDEX(avoidedcosttbl,ROUNDDOWN($H25,0),CH$2)))))*ADRYr1!P25*ADRYr1!Q25*ADRYr1!U25)</f>
        <v/>
      </c>
      <c r="CI25" s="30" t="str">
        <f>IF($G25="","",$G25*(IF(ADRYr1!$AI25=BZ$4,ADRYr1!$AJ25,IF(ADRYr1!$AK25=BZ$4,ADRYr1!$AL25,IF(ADRYr1!$AM25=BZ$4,ADRYr1!$AN25,0))))*(INDEX(avoidedcosttbl,$H25,CI$2)+(($H25-ROUNDDOWN($H25,0))*(INDEX(avoidedcosttbl,ROUNDUP($H25,0),CI$2)-(INDEX(avoidedcosttbl,ROUNDDOWN($H25,0),CI$2)))))*ADRYr1!P25*ADRYr1!Q25*ADRYr1!U25)</f>
        <v/>
      </c>
      <c r="CJ25" s="30" t="str">
        <f>IF($G25="","",$G25*(IF(ADRYr1!$AI25=CA$4,ADRYr1!$AJ25,IF(ADRYr1!$AK25=CA$4,ADRYr1!$AL25,IF(ADRYr1!$AM25=CA$4,ADRYr1!$AN25,0))))*(INDEX(avoidedcosttbl,$H25,CJ$2)+(($H25-ROUNDDOWN($H25,0))*(INDEX(avoidedcosttbl,ROUNDUP($H25,0),CJ$2)-(INDEX(avoidedcosttbl,ROUNDDOWN($H25,0),CJ$2)))))*ADRYr1!P25*ADRYr1!Q25*ADRYr1!U25)</f>
        <v/>
      </c>
      <c r="CK25" s="30" t="str">
        <f>IF($G25="","",$G25*(IF(ADRYr1!$AI25=CB$4,ADRYr1!$AJ25,IF(ADRYr1!$AK25=CB$4,ADRYr1!$AL25,IF(ADRYr1!$AM25=CB$4,ADRYr1!$AN25,0))))*(INDEX(avoidedcosttbl,$H25,CK$2)+(($H25-ROUNDDOWN($H25,0))*(INDEX(avoidedcosttbl,ROUNDUP($H25,0),CK$2)-(INDEX(avoidedcosttbl,ROUNDDOWN($H25,0),CK$2)))))*ADRYr1!P25*ADRYr1!Q25*ADRYr1!U25)</f>
        <v/>
      </c>
      <c r="CL25" s="30" t="str">
        <f>IF($G25="","",$G25*(IF(ADRYr1!$AI25=CC$4,ADRYr1!$AJ25,IF(ADRYr1!$AK25=CC$4,ADRYr1!$AL25,IF(ADRYr1!$AM25=CC$4,ADRYr1!$AN25,0))))*(INDEX(avoidedcosttbl,$H25,CL$2)+(($H25-ROUNDDOWN($H25,0))*(INDEX(avoidedcosttbl,ROUNDUP($H25,0),CL$2)-(INDEX(avoidedcosttbl,ROUNDDOWN($H25,0),CL$2)))))*ADRYr1!P25*ADRYr1!Q25*ADRYr1!U25)</f>
        <v/>
      </c>
      <c r="CM25" s="30" t="str">
        <f>IF($G25="","",$G25*(IF(ADRYr1!$AI25=CD$4,ADRYr1!$AJ25,IF(ADRYr1!$AK25=CD$4,ADRYr1!$AL25,IF(ADRYr1!$AM25=CD$4,ADRYr1!$AN25,0))))*(INDEX(avoidedcosttbl,$H25,CM$2)+(($H25-ROUNDDOWN($H25,0))*(INDEX(avoidedcosttbl,ROUNDUP($H25,0),CM$2)-(INDEX(avoidedcosttbl,ROUNDDOWN($H25,0),CM$2)))))*ADRYr1!P25*ADRYr1!Q25*ADRYr1!U25)</f>
        <v/>
      </c>
      <c r="CN25" s="30" t="str">
        <f>IF($G25="","",$G25*(IF(ADRYr1!$AI25=CE$4,ADRYr1!$AJ25,IF(ADRYr1!$AK25=CE$4,ADRYr1!$AL25,IF(ADRYr1!$AM25=CE$4,ADRYr1!$AN25,0))))*(INDEX(avoidedcosttbl,$H25,CN$2)+(($H25-ROUNDDOWN($H25,0))*(INDEX(avoidedcosttbl,ROUNDUP($H25,0),CN$2)-(INDEX(avoidedcosttbl,ROUNDDOWN($H25,0),CN$2)))))*ADRYr1!P25*ADRYr1!Q25*ADRYr1!U25)</f>
        <v/>
      </c>
      <c r="CO25" s="220" t="str">
        <f t="shared" si="40"/>
        <v/>
      </c>
      <c r="CP25" s="220" t="str">
        <f t="shared" si="41"/>
        <v/>
      </c>
      <c r="CQ25" s="157" t="str">
        <f>IF($G25="","",$G25*(IF(ADRYr1!$AI25=CQ$4,ADRYr1!$AJ25,IF(ADRYr1!$AK25=CQ$4,ADRYr1!$AL25,IF(ADRYr1!$AM25=CQ$4,ADRYr1!$AN25,0))))*(INDEX(avoidedcosttbl,$H25,CQ$2)+(($H25-ROUNDDOWN($H25,0))*(INDEX(avoidedcosttbl,ROUNDUP($H25,0),CQ$2)-(INDEX(avoidedcosttbl,ROUNDDOWN($H25,0),CQ$2)))))*ADRYr1!$P25*ADRYr1!$Q25*ADRYr1!$U25)</f>
        <v/>
      </c>
      <c r="CR25" s="28" t="str">
        <f>IF($G25="","",G25*(IF(ADRYr1!$AI25=CR$4,ADRYr1!$AJ25,IF(ADRYr1!$AK25=CR$4,ADRYr1!$AL25,IF(ADRYr1!$AM25=CR$4,ADRYr1!$AN25,0))))*(INDEX(avoidedcosttbl,$H25,CR$2)+(($H25-ROUNDDOWN($H25,0))*(INDEX(avoidedcosttbl,ROUNDUP($H25,0),CR$2)-(INDEX(avoidedcosttbl,ROUNDDOWN($H25,0),CR$2)))))*ADRYr1!$P25*ADRYr1!$Q25*ADRYr1!$U25)</f>
        <v/>
      </c>
      <c r="CS25" s="28" t="str">
        <f>IF($G25="","",G25*(IF(ADRYr1!$AI25=CS$4,ADRYr1!$AJ25,IF(ADRYr1!$AK25=CS$4,ADRYr1!$AL25,IF(ADRYr1!$AM25=CS$4,ADRYr1!$AN25,0))))*(INDEX(avoidedcosttbl,$H25,CS$2)+(($H25-ROUNDDOWN($H25,0))*(INDEX(avoidedcosttbl,ROUNDUP($H25,0),CS$2)-(INDEX(avoidedcosttbl,ROUNDDOWN($H25,0),CS$2)))))*ADRYr1!$P25*ADRYr1!$Q25*ADRYr1!$U25)</f>
        <v/>
      </c>
      <c r="CT25" s="28" t="str">
        <f t="shared" si="12"/>
        <v/>
      </c>
      <c r="CU25" s="28" t="str">
        <f>IF($G25="","",G25*(IF(ADRYr1!$AI25=CU$4,ADRYr1!$AJ25,IF(ADRYr1!$AK25=CU$4,ADRYr1!$AL25,IF(ADRYr1!$AM25=CU$4,ADRYr1!$AN25,0))))*(INDEX(avoidedcosttbl,$H25,CU$2)+(($H25-ROUNDDOWN($H25,0))*(INDEX(avoidedcosttbl,ROUNDUP($H25,0),CU$2)-(INDEX(avoidedcosttbl,ROUNDDOWN($H25,0),CU$2)))))*ADRYr1!$P25*ADRYr1!$Q25*ADRYr1!$U25)</f>
        <v/>
      </c>
      <c r="CV25" s="28" t="str">
        <f>IF($G25="","",G25*(IF(ADRYr1!$AI25=CV$4,ADRYr1!$AJ25,IF(ADRYr1!$AK25=CV$4,ADRYr1!$AL25,IF(ADRYr1!$AM25=CV$4,ADRYr1!$AN25,0))))*(INDEX(avoidedcosttbl,$H25,CV$2)+(($H25-ROUNDDOWN($H25,0))*(INDEX(avoidedcosttbl,ROUNDUP($H25,0),CV$2)-(INDEX(avoidedcosttbl,ROUNDDOWN($H25,0),CV$2)))))*ADRYr1!$P25*ADRYr1!$Q25*ADRYr1!$U25)</f>
        <v/>
      </c>
      <c r="CW25" s="28" t="str">
        <f>IF($G25="","",G25*(IF(ADRYr1!$AI25=CW$4,ADRYr1!$AJ25,IF(ADRYr1!$AK25=CW$4,ADRYr1!$AL25,IF(ADRYr1!$AM25=CW$4,ADRYr1!$AN25,0))))*(INDEX(avoidedcosttbl,$H25,CW$2)+(($H25-ROUNDDOWN($H25,0))*(INDEX(avoidedcosttbl,ROUNDUP($H25,0),CW$2)-(INDEX(avoidedcosttbl,ROUNDDOWN($H25,0),CW$2)))))*ADRYr1!$P25*ADRYr1!$Q25*ADRYr1!$U25)</f>
        <v/>
      </c>
      <c r="CX25" s="28" t="str">
        <f>IF($G25="","",G25*(IF(ADRYr1!$AI25=CX$4,ADRYr1!$AJ25,IF(ADRYr1!$AK25=CX$4,ADRYr1!$AL25,IF(ADRYr1!$AM25=CX$4,ADRYr1!$AN25,0))))*(INDEX(avoidedcosttbl,$H25,CX$2)+(($H25-ROUNDDOWN($H25,0))*(INDEX(avoidedcosttbl,ROUNDUP($H25,0),CX$2)-(INDEX(avoidedcosttbl,ROUNDDOWN($H25,0),CX$2)))))*ADRYr1!$P25*ADRYr1!$Q25*ADRYr1!$U25)</f>
        <v/>
      </c>
      <c r="CY25" s="28" t="str">
        <f t="shared" si="13"/>
        <v/>
      </c>
      <c r="CZ25" s="32" t="str">
        <f t="shared" si="14"/>
        <v/>
      </c>
      <c r="DA25" s="84" t="str">
        <f t="shared" si="42"/>
        <v/>
      </c>
      <c r="DB25" s="81" t="str">
        <f>IF(NEIadder="Yes",IF($G25="","",INDEX(Lookups!$G$70:$G$71,MATCH($A25,Lookups!$E$70:$E$71,0))*(SUM(CP25:CX25,BX25))),"")</f>
        <v/>
      </c>
      <c r="DC25" s="263" t="str">
        <f t="shared" si="15"/>
        <v/>
      </c>
      <c r="DD25" s="166" t="str">
        <f t="shared" si="16"/>
        <v/>
      </c>
      <c r="DE25" s="82">
        <f t="shared" si="43"/>
        <v>0</v>
      </c>
      <c r="DF25" s="615" t="str">
        <f>IF($G25="","",(1+WntPeakEnergyLL)*(INDEX(avoidedcosttbl,$H25,DF$2)+(($H25-ROUNDDOWN($H25,0))*(INDEX(avoidedcosttbl,ROUNDUP($H25,0),DF$2)-(INDEX(avoidedcosttbl,ROUNDDOWN($H25,0),DF$2)))))*$P25*1000*ADRYr1!Z25)</f>
        <v/>
      </c>
      <c r="DG25" s="615" t="str">
        <f>IF($G25="","",(1+WntOffPeakEnergyLL)*(INDEX(avoidedcosttbl,$H25,DG$2)+(($H25-ROUNDDOWN($H25,0))*(INDEX(avoidedcosttbl,ROUNDUP($H25,0),DG$2)-(INDEX(avoidedcosttbl,ROUNDDOWN($H25,0),DG$2)))))*$P25*1000*ADRYr1!AA25)</f>
        <v/>
      </c>
      <c r="DH25" s="615" t="str">
        <f>IF($G25="","",(1+SumPeakEnergyLL)*(INDEX(avoidedcosttbl,$H25,DH$2)+(($H25-ROUNDDOWN($H25,0))*(INDEX(avoidedcosttbl,ROUNDUP($H25,0),DH$2)-(INDEX(avoidedcosttbl,ROUNDDOWN($H25,0),DH$2)))))*$P25*1000*ADRYr1!AB25)</f>
        <v/>
      </c>
      <c r="DI25" s="615" t="str">
        <f>IF($G25="","",(1+SumOffPeakEnergyLL)*(INDEX(avoidedcosttbl,$H25,DI$2)+(($H25-ROUNDDOWN($H25,0))*(INDEX(avoidedcosttbl,ROUNDUP($H25,0),DI$2)-(INDEX(avoidedcosttbl,ROUNDDOWN($H25,0),DI$2)))))*$P25*1000*ADRYr1!AC25)</f>
        <v/>
      </c>
      <c r="DJ25" s="29" t="str">
        <f t="shared" si="44"/>
        <v/>
      </c>
      <c r="DK25" s="161" t="str">
        <f t="shared" si="45"/>
        <v/>
      </c>
      <c r="DL25" s="1189" t="str">
        <f t="shared" si="46"/>
        <v/>
      </c>
      <c r="DM25" s="1189" t="str">
        <f t="shared" si="47"/>
        <v/>
      </c>
      <c r="DN25" s="43" t="str">
        <f t="shared" si="48"/>
        <v/>
      </c>
      <c r="DO25" s="966" t="str">
        <f>IF($G25="","",ADRYr1!AQ25)</f>
        <v/>
      </c>
      <c r="DP25" s="968" t="str">
        <f>IF($G25="","",ADRYr1!AR25)</f>
        <v/>
      </c>
      <c r="DQ25" s="970" t="str">
        <f>IF($G25="","",IF($DP25="Yes",COLUMN(AESC!$L$10),IF($DP25="No","Using AvoidedDemand tab",IF($DP25="Mixed",COLUMN(AESC!$N$10)))))</f>
        <v/>
      </c>
      <c r="DR25" s="970" t="str">
        <f>IF($G25="","",IF($DP25="Yes",COLUMN(AESC!$P$10),IF($DP25="No","Using AvoidedDemand tab",IF($DP25="Mixed",COLUMN(AESC!$R$10)))))</f>
        <v/>
      </c>
      <c r="DS25" s="970" t="str">
        <f>IF($G25="","",IF($DP25="Yes",COLUMN(AESC!$S$10),IF($DP25="No",COLUMN(AESC!$T$10),IF($DP25="Mixed",COLUMN(AESC!$U$10)))))</f>
        <v/>
      </c>
      <c r="DT25" s="970" t="str">
        <f t="shared" si="17"/>
        <v/>
      </c>
      <c r="DU25" s="970" t="str">
        <f>IF($G25="","",ADRYr1!AS25)</f>
        <v/>
      </c>
      <c r="DV25" s="971" t="str">
        <f>IF($G25="","",ADRYr1!AT25)</f>
        <v/>
      </c>
      <c r="DW25" s="1162" t="str">
        <f>IF($G25="","",INDEX(AvoidedEnergy!$H$4:$H$10,MATCH($DO25,AvoidedEnergy!$A$4:$A$10,0)))</f>
        <v/>
      </c>
    </row>
    <row r="26" spans="1:127">
      <c r="A26" s="160" t="str">
        <f>IF(ADRYr1!$B26=0,"",ADRYr1!A26)</f>
        <v>B - Low-Income</v>
      </c>
      <c r="B26" s="9" t="str">
        <f>IF(ADRYr1!$B26=0,"",ADRYr1!B26)</f>
        <v>Home Energy Assistance</v>
      </c>
      <c r="C26" s="9" t="str">
        <f>IF(ADRYr1!$B26=0,"",ADRYr1!C26)</f>
        <v>Res Demand Response</v>
      </c>
      <c r="D26" s="9" t="str">
        <f>IF(ADRYr1!$B26=0,"",ADRYr1!D26)</f>
        <v>Storage Targeted Dispatch P4P (consumption) Winter</v>
      </c>
      <c r="E26" s="9">
        <f>IF(ADRYr1!$B26=0,"",ADRYr1!E26)</f>
        <v>0</v>
      </c>
      <c r="F26" s="11" t="str">
        <f>IF(ADRYr1!$B26=0,"",ADRYr1!F26)</f>
        <v>Behavior</v>
      </c>
      <c r="G26" s="12" t="str">
        <f>IF(ADRYr1!$G26&lt;&gt;0,ADRYr1!G26,"")</f>
        <v/>
      </c>
      <c r="H26" s="960" t="str">
        <f>IF($G26="","",ROUND(ADRYr1!H26,0))</f>
        <v/>
      </c>
      <c r="I26" s="47" t="str">
        <f>IF($G26="","",ADRYr1!I26*ADRYr1!P26*G26)</f>
        <v/>
      </c>
      <c r="J26" s="47" t="str">
        <f>IF($G26="","",ADRYr1!J26*G26)</f>
        <v/>
      </c>
      <c r="K26" s="47" t="str">
        <f t="shared" si="18"/>
        <v/>
      </c>
      <c r="L26" s="27" t="str">
        <f>IF($G26="","",ADRYr1!V26*G26/1000)</f>
        <v/>
      </c>
      <c r="M26" s="27" t="str">
        <f>IF($G26="","",L26*ADRYr1!$Q26*ADRYr1!$R26)</f>
        <v/>
      </c>
      <c r="N26" s="27" t="str">
        <f t="shared" si="19"/>
        <v/>
      </c>
      <c r="O26" s="27" t="str">
        <f t="shared" si="20"/>
        <v/>
      </c>
      <c r="P26" s="27" t="str">
        <f>IF($G26="","",M26*ADRYr1!P26)</f>
        <v/>
      </c>
      <c r="Q26" s="27" t="str">
        <f t="shared" si="21"/>
        <v/>
      </c>
      <c r="R26" s="27" t="str">
        <f>IF($G26="","",$Q26*ADRYr1!Z26)</f>
        <v/>
      </c>
      <c r="S26" s="27" t="str">
        <f>IF($G26="","",$Q26*ADRYr1!AA26)</f>
        <v/>
      </c>
      <c r="T26" s="27" t="str">
        <f>IF($G26="","",$Q26*ADRYr1!AB26)</f>
        <v/>
      </c>
      <c r="U26" s="27" t="str">
        <f>IF($G26="","",$Q26*ADRYr1!AC26)</f>
        <v/>
      </c>
      <c r="V26" s="27" t="str">
        <f>IF($G26="","",G26*ADRYr1!$AD26*ADRYr1!$P26*ADRYr1!$Q26)</f>
        <v/>
      </c>
      <c r="W26" s="27" t="str">
        <f>IF($G26="","",$G26*ADRYr1!$AD26*ADRYr1!$AF26*ADRYr1!Q26*ADRYr1!$S26)</f>
        <v/>
      </c>
      <c r="X26" s="27" t="str">
        <f>IF($G26="","",$G26*ADRYr1!$AD26*ADRYr1!$AF26*ADRYr1!P26*ADRYr1!Q26*ADRYr1!$S26)</f>
        <v/>
      </c>
      <c r="Y26" s="27" t="str">
        <f>IF($G26="","",$G26*ADRYr1!$AD26*ADRYr1!$AE26*ADRYr1!Q26*ADRYr1!$T26)</f>
        <v/>
      </c>
      <c r="Z26" s="27" t="str">
        <f>IF($G26="","",$G26*ADRYr1!$AD26*ADRYr1!$AE26*ADRYr1!P26*ADRYr1!Q26*ADRYr1!$T26)</f>
        <v/>
      </c>
      <c r="AA26" s="45" t="str">
        <f>IF($G26="","",$G26*ADRYr1!$Q26*ADRYr1!$U26*(IF(IFERROR(SEARCH("NG", ADRYr1!$AI26),0),ADRYr1!$AJ26,0)+IF(IFERROR(SEARCH("NG", ADRYr1!$AK26),0),ADRYr1!$AL26,0)+IF(IFERROR(SEARCH("NG", ADRYr1!$AM26),0),ADRYr1!$AN26,0)))</f>
        <v/>
      </c>
      <c r="AB26" s="45" t="str">
        <f t="shared" si="22"/>
        <v/>
      </c>
      <c r="AC26" s="45">
        <f>IF($G26="",0,AA26*ADRYr1!$P26)</f>
        <v>0</v>
      </c>
      <c r="AD26" s="45" t="str">
        <f t="shared" si="23"/>
        <v/>
      </c>
      <c r="AE26" s="45" t="str">
        <f>IF($G26="","",$G26*ADRYr1!$Q26*ADRYr1!$U26*(IF(IFERROR(SEARCH("Oil", ADRYr1!$AI26), 0),ADRYr1!$AJ26,0)+IF(IFERROR(SEARCH("Oil", ADRYr1!$AK26), 0),ADRYr1!$AL26,0)+IF(IFERROR(SEARCH("Oil", ADRYr1!$AM26), 0),ADRYr1!$AN26,0)))</f>
        <v/>
      </c>
      <c r="AF26" s="45" t="str">
        <f t="shared" si="24"/>
        <v/>
      </c>
      <c r="AG26" s="45">
        <f>IF($G26="",0,AE26*ADRYr1!$P26)</f>
        <v>0</v>
      </c>
      <c r="AH26" s="45" t="str">
        <f t="shared" si="25"/>
        <v/>
      </c>
      <c r="AI26" s="45" t="str">
        <f>IF($G26="","",$G26*ADRYr1!$Q26*ADRYr1!$U26*(IF(ADRYr1!$AI26=Lookups!$E$116,ADRYr1!$AJ26,IF(ADRYr1!$AK26=Lookups!$E$116,ADRYr1!$AL26,IF(ADRYr1!$AM26=Lookups!$E$116,ADRYr1!$AN26,0)))))</f>
        <v/>
      </c>
      <c r="AJ26" s="45" t="str">
        <f t="shared" si="26"/>
        <v/>
      </c>
      <c r="AK26" s="45">
        <f>IF($G26="",0,AI26*ADRYr1!$P26)</f>
        <v>0</v>
      </c>
      <c r="AL26" s="45" t="str">
        <f t="shared" si="27"/>
        <v/>
      </c>
      <c r="AM26" s="45" t="str">
        <f>IF($G26="","",$G26*ADRYr1!$Q26*ADRYr1!$U26*(IF(ADRYr1!$AI26=Lookups!$E$115,ADRYr1!$AJ26,IF(ADRYr1!$AK26=Lookups!$E$115,ADRYr1!$AL26,IF(ADRYr1!$AM26=Lookups!$E$115,ADRYr1!$AN26,0)))))</f>
        <v/>
      </c>
      <c r="AN26" s="45" t="str">
        <f t="shared" si="28"/>
        <v/>
      </c>
      <c r="AO26" s="45">
        <f>IF($G26="",0,AM26*ADRYr1!$P26)</f>
        <v>0</v>
      </c>
      <c r="AP26" s="45" t="str">
        <f t="shared" si="29"/>
        <v/>
      </c>
      <c r="AQ26" s="45" t="str">
        <f>IF($G26="","",$G26*ADRYr1!$Q26*ADRYr1!$U26*(IF(ADRYr1!$AI26=Lookups!$E$117,ADRYr1!$AJ26,IF(ADRYr1!$AK26=Lookups!$E$117,ADRYr1!$AL26,IF(ADRYr1!$AM26=Lookups!$E$117,ADRYr1!$AN26,0)))))</f>
        <v/>
      </c>
      <c r="AR26" s="45" t="str">
        <f t="shared" si="30"/>
        <v/>
      </c>
      <c r="AS26" s="45" t="str">
        <f>IF($G26="","",AQ26*ADRYr1!$P26)</f>
        <v/>
      </c>
      <c r="AT26" s="45" t="str">
        <f t="shared" si="31"/>
        <v/>
      </c>
      <c r="AU26" s="45" t="str">
        <f>IF($G26="","",$G26*ADRYr1!$Q26*ADRYr1!$U26*(IF(ADRYr1!$AI26=Lookups!$E$118,ADRYr1!$AJ26,IF(ADRYr1!$AK26=Lookups!$E$118,ADRYr1!$AL26,IF(ADRYr1!$AM26=Lookups!$E$118,ADRYr1!$AN26,0)))))</f>
        <v/>
      </c>
      <c r="AV26" s="45" t="str">
        <f t="shared" si="32"/>
        <v/>
      </c>
      <c r="AW26" s="45" t="str">
        <f>IF($G26="","",AU26*ADRYr1!$P26)</f>
        <v/>
      </c>
      <c r="AX26" s="45" t="str">
        <f t="shared" si="33"/>
        <v/>
      </c>
      <c r="AY26" s="45">
        <f t="shared" si="49"/>
        <v>0</v>
      </c>
      <c r="AZ26" s="45">
        <f t="shared" si="49"/>
        <v>0</v>
      </c>
      <c r="BA26" s="101" t="str">
        <f>IF($G26="","",$G26*ADRYr1!$P26*ADRYr1!$Q26*ADRYr1!$U26*ADRYr1!AO26)</f>
        <v/>
      </c>
      <c r="BB26" s="102" t="str">
        <f>IF($G26="","",$G26*ADRYr1!$P26*ADRYr1!$Q26*ADRYr1!$U26*ADRYr1!AP26)</f>
        <v/>
      </c>
      <c r="BC26" s="100" t="str">
        <f t="shared" si="35"/>
        <v/>
      </c>
      <c r="BD26" s="961"/>
      <c r="BE26" s="961"/>
      <c r="BF26" s="961"/>
      <c r="BG26" s="961"/>
      <c r="BH26" s="962" t="str">
        <f t="shared" si="3"/>
        <v/>
      </c>
      <c r="BI26" s="961"/>
      <c r="BJ26" s="961"/>
      <c r="BK26" s="961"/>
      <c r="BL26" s="961"/>
      <c r="BM26" s="30" t="str">
        <f t="shared" si="4"/>
        <v/>
      </c>
      <c r="BN26" s="963" t="str">
        <f t="shared" si="5"/>
        <v/>
      </c>
      <c r="BO26" s="31" t="str">
        <f t="shared" si="36"/>
        <v/>
      </c>
      <c r="BP26" s="964" t="str">
        <f t="shared" si="6"/>
        <v/>
      </c>
      <c r="BQ26" s="28" t="str">
        <f t="shared" si="7"/>
        <v/>
      </c>
      <c r="BR26" s="964" t="str">
        <f t="shared" si="8"/>
        <v/>
      </c>
      <c r="BS26" s="964" t="str">
        <f t="shared" si="9"/>
        <v/>
      </c>
      <c r="BT26" s="28" t="str">
        <f t="shared" si="50"/>
        <v/>
      </c>
      <c r="BU26" s="28" t="str">
        <f t="shared" si="50"/>
        <v/>
      </c>
      <c r="BV26" s="28" t="str">
        <f t="shared" si="50"/>
        <v/>
      </c>
      <c r="BW26" s="29" t="str">
        <f t="shared" si="37"/>
        <v/>
      </c>
      <c r="BX26" s="29" t="str">
        <f t="shared" si="38"/>
        <v/>
      </c>
      <c r="BY26" s="28" t="str">
        <f>IF($G26="","",$G26*(IF(ADRYr1!$AI26=BY$4,ADRYr1!$AJ26,IF(ADRYr1!$AK26=BY$4,ADRYr1!$AL26,IF(ADRYr1!$AM26=BY$4,ADRYr1!$AN26,0))))*(INDEX(avoidedcosttbl,$H26,BY$2)+(($H26-ROUNDDOWN($H26,0))*(INDEX(avoidedcosttbl,ROUNDUP($H26,0),BY$2)-(INDEX(avoidedcosttbl,ROUNDDOWN($H26,0),BY$2)))))*ADRYr1!P26*ADRYr1!Q26*ADRYr1!U26)</f>
        <v/>
      </c>
      <c r="BZ26" s="28" t="str">
        <f>IF($G26="","",$G26*(IF(ADRYr1!$AI26=BZ$4,ADRYr1!$AJ26,IF(ADRYr1!$AK26=BZ$4,ADRYr1!$AL26,IF(ADRYr1!$AM26=BZ$4,ADRYr1!$AN26,0))))*(INDEX(avoidedcosttbl,$H26,BZ$2)+(($H26-ROUNDDOWN($H26,0))*(INDEX(avoidedcosttbl,ROUNDUP($H26,0),BZ$2)-(INDEX(avoidedcosttbl,ROUNDDOWN($H26,0),BZ$2)))))*ADRYr1!P26*ADRYr1!Q26*ADRYr1!U26)</f>
        <v/>
      </c>
      <c r="CA26" s="28" t="str">
        <f>IF($G26="","",$G26*(IF(ADRYr1!$AI26=CA$4,ADRYr1!$AJ26,IF(ADRYr1!$AK26=CA$4,ADRYr1!$AL26,IF(ADRYr1!$AM26=CA$4,ADRYr1!$AN26,0))))*(INDEX(avoidedcosttbl,$H26,CA$2)+(($H26-ROUNDDOWN($H26,0))*(INDEX(avoidedcosttbl,ROUNDUP($H26,0),CA$2)-(INDEX(avoidedcosttbl,ROUNDDOWN($H26,0),CA$2)))))*ADRYr1!P26*ADRYr1!Q26*ADRYr1!U26)</f>
        <v/>
      </c>
      <c r="CB26" s="28" t="str">
        <f>IF($G26="","",$G26*(IF(ADRYr1!$AI26=CB$4,ADRYr1!$AJ26,IF(ADRYr1!$AK26=CB$4,ADRYr1!$AL26,IF(ADRYr1!$AM26=CB$4,ADRYr1!$AN26,0))))*(INDEX(avoidedcosttbl,$H26,CB$2)+(($H26-ROUNDDOWN($H26,0))*(INDEX(avoidedcosttbl,ROUNDUP($H26,0),CB$2)-(INDEX(avoidedcosttbl,ROUNDDOWN($H26,0),CB$2)))))*ADRYr1!P26*ADRYr1!Q26*ADRYr1!U26)</f>
        <v/>
      </c>
      <c r="CC26" s="28" t="str">
        <f>IF($G26="","",$G26*(IF(ADRYr1!$AI26=CC$4,ADRYr1!$AJ26,IF(ADRYr1!$AK26=CC$4,ADRYr1!$AL26,IF(ADRYr1!$AM26=CC$4,ADRYr1!$AN26,0))))*(INDEX(avoidedcosttbl,$H26,CC$2)+(($H26-ROUNDDOWN($H26,0))*(INDEX(avoidedcosttbl,ROUNDUP($H26,0),CC$2)-(INDEX(avoidedcosttbl,ROUNDDOWN($H26,0),CC$2)))))*ADRYr1!P26*ADRYr1!Q26*ADRYr1!U26)</f>
        <v/>
      </c>
      <c r="CD26" s="28" t="str">
        <f>IF($G26="","",$G26*(IF(ADRYr1!$AI26=CD$4,ADRYr1!$AJ26,IF(ADRYr1!$AK26=CD$4,ADRYr1!$AL26,IF(ADRYr1!$AM26=CD$4,ADRYr1!$AN26,0))))*(INDEX(avoidedcosttbl,$H26,CD$2)+(($H26-ROUNDDOWN($H26,0))*(INDEX(avoidedcosttbl,ROUNDUP($H26,0),CD$2)-(INDEX(avoidedcosttbl,ROUNDDOWN($H26,0),CD$2)))))*ADRYr1!P26*ADRYr1!Q26*ADRYr1!U26)</f>
        <v/>
      </c>
      <c r="CE26" s="28" t="str">
        <f>IF($G26="","",$G26*(IF(ADRYr1!$AI26=CE$4,ADRYr1!$AJ26,IF(ADRYr1!$AK26=CE$4,ADRYr1!$AL26,IF(ADRYr1!$AM26=CE$4,ADRYr1!$AN26,0))))*(INDEX(avoidedcosttbl,$H26,CE$2)+(($H26-ROUNDDOWN($H26,0))*(INDEX(avoidedcosttbl,ROUNDUP($H26,0),CE$2)-(INDEX(avoidedcosttbl,ROUNDDOWN($H26,0),CE$2)))))*ADRYr1!P26*ADRYr1!Q26*ADRYr1!U26)</f>
        <v/>
      </c>
      <c r="CF26" s="41" t="str">
        <f t="shared" si="39"/>
        <v/>
      </c>
      <c r="CG26" s="30" t="str">
        <f t="shared" si="11"/>
        <v/>
      </c>
      <c r="CH26" s="30" t="str">
        <f>IF($G26="","",$G26*(IF(ADRYr1!$AI26=BY$4,ADRYr1!$AJ26,IF(ADRYr1!$AK26=BY$4,ADRYr1!$AL26,IF(ADRYr1!$AM26=BY$4,ADRYr1!$AN26,0))))*(INDEX(avoidedcosttbl,$H26,CH$2)+(($H26-ROUNDDOWN($H26,0))*(INDEX(avoidedcosttbl,ROUNDUP($H26,0),CH$2)-(INDEX(avoidedcosttbl,ROUNDDOWN($H26,0),CH$2)))))*ADRYr1!P26*ADRYr1!Q26*ADRYr1!U26)</f>
        <v/>
      </c>
      <c r="CI26" s="30" t="str">
        <f>IF($G26="","",$G26*(IF(ADRYr1!$AI26=BZ$4,ADRYr1!$AJ26,IF(ADRYr1!$AK26=BZ$4,ADRYr1!$AL26,IF(ADRYr1!$AM26=BZ$4,ADRYr1!$AN26,0))))*(INDEX(avoidedcosttbl,$H26,CI$2)+(($H26-ROUNDDOWN($H26,0))*(INDEX(avoidedcosttbl,ROUNDUP($H26,0),CI$2)-(INDEX(avoidedcosttbl,ROUNDDOWN($H26,0),CI$2)))))*ADRYr1!P26*ADRYr1!Q26*ADRYr1!U26)</f>
        <v/>
      </c>
      <c r="CJ26" s="30" t="str">
        <f>IF($G26="","",$G26*(IF(ADRYr1!$AI26=CA$4,ADRYr1!$AJ26,IF(ADRYr1!$AK26=CA$4,ADRYr1!$AL26,IF(ADRYr1!$AM26=CA$4,ADRYr1!$AN26,0))))*(INDEX(avoidedcosttbl,$H26,CJ$2)+(($H26-ROUNDDOWN($H26,0))*(INDEX(avoidedcosttbl,ROUNDUP($H26,0),CJ$2)-(INDEX(avoidedcosttbl,ROUNDDOWN($H26,0),CJ$2)))))*ADRYr1!P26*ADRYr1!Q26*ADRYr1!U26)</f>
        <v/>
      </c>
      <c r="CK26" s="30" t="str">
        <f>IF($G26="","",$G26*(IF(ADRYr1!$AI26=CB$4,ADRYr1!$AJ26,IF(ADRYr1!$AK26=CB$4,ADRYr1!$AL26,IF(ADRYr1!$AM26=CB$4,ADRYr1!$AN26,0))))*(INDEX(avoidedcosttbl,$H26,CK$2)+(($H26-ROUNDDOWN($H26,0))*(INDEX(avoidedcosttbl,ROUNDUP($H26,0),CK$2)-(INDEX(avoidedcosttbl,ROUNDDOWN($H26,0),CK$2)))))*ADRYr1!P26*ADRYr1!Q26*ADRYr1!U26)</f>
        <v/>
      </c>
      <c r="CL26" s="30" t="str">
        <f>IF($G26="","",$G26*(IF(ADRYr1!$AI26=CC$4,ADRYr1!$AJ26,IF(ADRYr1!$AK26=CC$4,ADRYr1!$AL26,IF(ADRYr1!$AM26=CC$4,ADRYr1!$AN26,0))))*(INDEX(avoidedcosttbl,$H26,CL$2)+(($H26-ROUNDDOWN($H26,0))*(INDEX(avoidedcosttbl,ROUNDUP($H26,0),CL$2)-(INDEX(avoidedcosttbl,ROUNDDOWN($H26,0),CL$2)))))*ADRYr1!P26*ADRYr1!Q26*ADRYr1!U26)</f>
        <v/>
      </c>
      <c r="CM26" s="30" t="str">
        <f>IF($G26="","",$G26*(IF(ADRYr1!$AI26=CD$4,ADRYr1!$AJ26,IF(ADRYr1!$AK26=CD$4,ADRYr1!$AL26,IF(ADRYr1!$AM26=CD$4,ADRYr1!$AN26,0))))*(INDEX(avoidedcosttbl,$H26,CM$2)+(($H26-ROUNDDOWN($H26,0))*(INDEX(avoidedcosttbl,ROUNDUP($H26,0),CM$2)-(INDEX(avoidedcosttbl,ROUNDDOWN($H26,0),CM$2)))))*ADRYr1!P26*ADRYr1!Q26*ADRYr1!U26)</f>
        <v/>
      </c>
      <c r="CN26" s="30" t="str">
        <f>IF($G26="","",$G26*(IF(ADRYr1!$AI26=CE$4,ADRYr1!$AJ26,IF(ADRYr1!$AK26=CE$4,ADRYr1!$AL26,IF(ADRYr1!$AM26=CE$4,ADRYr1!$AN26,0))))*(INDEX(avoidedcosttbl,$H26,CN$2)+(($H26-ROUNDDOWN($H26,0))*(INDEX(avoidedcosttbl,ROUNDUP($H26,0),CN$2)-(INDEX(avoidedcosttbl,ROUNDDOWN($H26,0),CN$2)))))*ADRYr1!P26*ADRYr1!Q26*ADRYr1!U26)</f>
        <v/>
      </c>
      <c r="CO26" s="220" t="str">
        <f t="shared" si="40"/>
        <v/>
      </c>
      <c r="CP26" s="220" t="str">
        <f t="shared" si="41"/>
        <v/>
      </c>
      <c r="CQ26" s="157" t="str">
        <f>IF($G26="","",$G26*(IF(ADRYr1!$AI26=CQ$4,ADRYr1!$AJ26,IF(ADRYr1!$AK26=CQ$4,ADRYr1!$AL26,IF(ADRYr1!$AM26=CQ$4,ADRYr1!$AN26,0))))*(INDEX(avoidedcosttbl,$H26,CQ$2)+(($H26-ROUNDDOWN($H26,0))*(INDEX(avoidedcosttbl,ROUNDUP($H26,0),CQ$2)-(INDEX(avoidedcosttbl,ROUNDDOWN($H26,0),CQ$2)))))*ADRYr1!$P26*ADRYr1!$Q26*ADRYr1!$U26)</f>
        <v/>
      </c>
      <c r="CR26" s="28" t="str">
        <f>IF($G26="","",G26*(IF(ADRYr1!$AI26=CR$4,ADRYr1!$AJ26,IF(ADRYr1!$AK26=CR$4,ADRYr1!$AL26,IF(ADRYr1!$AM26=CR$4,ADRYr1!$AN26,0))))*(INDEX(avoidedcosttbl,$H26,CR$2)+(($H26-ROUNDDOWN($H26,0))*(INDEX(avoidedcosttbl,ROUNDUP($H26,0),CR$2)-(INDEX(avoidedcosttbl,ROUNDDOWN($H26,0),CR$2)))))*ADRYr1!$P26*ADRYr1!$Q26*ADRYr1!$U26)</f>
        <v/>
      </c>
      <c r="CS26" s="28" t="str">
        <f>IF($G26="","",G26*(IF(ADRYr1!$AI26=CS$4,ADRYr1!$AJ26,IF(ADRYr1!$AK26=CS$4,ADRYr1!$AL26,IF(ADRYr1!$AM26=CS$4,ADRYr1!$AN26,0))))*(INDEX(avoidedcosttbl,$H26,CS$2)+(($H26-ROUNDDOWN($H26,0))*(INDEX(avoidedcosttbl,ROUNDUP($H26,0),CS$2)-(INDEX(avoidedcosttbl,ROUNDDOWN($H26,0),CS$2)))))*ADRYr1!$P26*ADRYr1!$Q26*ADRYr1!$U26)</f>
        <v/>
      </c>
      <c r="CT26" s="28" t="str">
        <f t="shared" si="12"/>
        <v/>
      </c>
      <c r="CU26" s="28" t="str">
        <f>IF($G26="","",G26*(IF(ADRYr1!$AI26=CU$4,ADRYr1!$AJ26,IF(ADRYr1!$AK26=CU$4,ADRYr1!$AL26,IF(ADRYr1!$AM26=CU$4,ADRYr1!$AN26,0))))*(INDEX(avoidedcosttbl,$H26,CU$2)+(($H26-ROUNDDOWN($H26,0))*(INDEX(avoidedcosttbl,ROUNDUP($H26,0),CU$2)-(INDEX(avoidedcosttbl,ROUNDDOWN($H26,0),CU$2)))))*ADRYr1!$P26*ADRYr1!$Q26*ADRYr1!$U26)</f>
        <v/>
      </c>
      <c r="CV26" s="28" t="str">
        <f>IF($G26="","",G26*(IF(ADRYr1!$AI26=CV$4,ADRYr1!$AJ26,IF(ADRYr1!$AK26=CV$4,ADRYr1!$AL26,IF(ADRYr1!$AM26=CV$4,ADRYr1!$AN26,0))))*(INDEX(avoidedcosttbl,$H26,CV$2)+(($H26-ROUNDDOWN($H26,0))*(INDEX(avoidedcosttbl,ROUNDUP($H26,0),CV$2)-(INDEX(avoidedcosttbl,ROUNDDOWN($H26,0),CV$2)))))*ADRYr1!$P26*ADRYr1!$Q26*ADRYr1!$U26)</f>
        <v/>
      </c>
      <c r="CW26" s="28" t="str">
        <f>IF($G26="","",G26*(IF(ADRYr1!$AI26=CW$4,ADRYr1!$AJ26,IF(ADRYr1!$AK26=CW$4,ADRYr1!$AL26,IF(ADRYr1!$AM26=CW$4,ADRYr1!$AN26,0))))*(INDEX(avoidedcosttbl,$H26,CW$2)+(($H26-ROUNDDOWN($H26,0))*(INDEX(avoidedcosttbl,ROUNDUP($H26,0),CW$2)-(INDEX(avoidedcosttbl,ROUNDDOWN($H26,0),CW$2)))))*ADRYr1!$P26*ADRYr1!$Q26*ADRYr1!$U26)</f>
        <v/>
      </c>
      <c r="CX26" s="28" t="str">
        <f>IF($G26="","",G26*(IF(ADRYr1!$AI26=CX$4,ADRYr1!$AJ26,IF(ADRYr1!$AK26=CX$4,ADRYr1!$AL26,IF(ADRYr1!$AM26=CX$4,ADRYr1!$AN26,0))))*(INDEX(avoidedcosttbl,$H26,CX$2)+(($H26-ROUNDDOWN($H26,0))*(INDEX(avoidedcosttbl,ROUNDUP($H26,0),CX$2)-(INDEX(avoidedcosttbl,ROUNDDOWN($H26,0),CX$2)))))*ADRYr1!$P26*ADRYr1!$Q26*ADRYr1!$U26)</f>
        <v/>
      </c>
      <c r="CY26" s="28" t="str">
        <f t="shared" si="13"/>
        <v/>
      </c>
      <c r="CZ26" s="32" t="str">
        <f t="shared" si="14"/>
        <v/>
      </c>
      <c r="DA26" s="84" t="str">
        <f t="shared" si="42"/>
        <v/>
      </c>
      <c r="DB26" s="81" t="str">
        <f>IF(NEIadder="Yes",IF($G26="","",INDEX(Lookups!$G$70:$G$71,MATCH($A26,Lookups!$E$70:$E$71,0))*(SUM(CP26:CX26,BX26))),"")</f>
        <v/>
      </c>
      <c r="DC26" s="263" t="str">
        <f t="shared" si="15"/>
        <v/>
      </c>
      <c r="DD26" s="166" t="str">
        <f t="shared" si="16"/>
        <v/>
      </c>
      <c r="DE26" s="82">
        <f t="shared" si="43"/>
        <v>0</v>
      </c>
      <c r="DF26" s="615" t="str">
        <f>IF($G26="","",(1+WntPeakEnergyLL)*(INDEX(avoidedcosttbl,$H26,DF$2)+(($H26-ROUNDDOWN($H26,0))*(INDEX(avoidedcosttbl,ROUNDUP($H26,0),DF$2)-(INDEX(avoidedcosttbl,ROUNDDOWN($H26,0),DF$2)))))*$P26*1000*ADRYr1!Z26)</f>
        <v/>
      </c>
      <c r="DG26" s="615" t="str">
        <f>IF($G26="","",(1+WntOffPeakEnergyLL)*(INDEX(avoidedcosttbl,$H26,DG$2)+(($H26-ROUNDDOWN($H26,0))*(INDEX(avoidedcosttbl,ROUNDUP($H26,0),DG$2)-(INDEX(avoidedcosttbl,ROUNDDOWN($H26,0),DG$2)))))*$P26*1000*ADRYr1!AA26)</f>
        <v/>
      </c>
      <c r="DH26" s="615" t="str">
        <f>IF($G26="","",(1+SumPeakEnergyLL)*(INDEX(avoidedcosttbl,$H26,DH$2)+(($H26-ROUNDDOWN($H26,0))*(INDEX(avoidedcosttbl,ROUNDUP($H26,0),DH$2)-(INDEX(avoidedcosttbl,ROUNDDOWN($H26,0),DH$2)))))*$P26*1000*ADRYr1!AB26)</f>
        <v/>
      </c>
      <c r="DI26" s="615" t="str">
        <f>IF($G26="","",(1+SumOffPeakEnergyLL)*(INDEX(avoidedcosttbl,$H26,DI$2)+(($H26-ROUNDDOWN($H26,0))*(INDEX(avoidedcosttbl,ROUNDUP($H26,0),DI$2)-(INDEX(avoidedcosttbl,ROUNDDOWN($H26,0),DI$2)))))*$P26*1000*ADRYr1!AC26)</f>
        <v/>
      </c>
      <c r="DJ26" s="29" t="str">
        <f t="shared" si="44"/>
        <v/>
      </c>
      <c r="DK26" s="161" t="str">
        <f t="shared" si="45"/>
        <v/>
      </c>
      <c r="DL26" s="1189" t="str">
        <f t="shared" si="46"/>
        <v/>
      </c>
      <c r="DM26" s="1189" t="str">
        <f t="shared" si="47"/>
        <v/>
      </c>
      <c r="DN26" s="43" t="str">
        <f t="shared" si="48"/>
        <v/>
      </c>
      <c r="DO26" s="966" t="str">
        <f>IF($G26="","",ADRYr1!AQ26)</f>
        <v/>
      </c>
      <c r="DP26" s="968" t="str">
        <f>IF($G26="","",ADRYr1!AR26)</f>
        <v/>
      </c>
      <c r="DQ26" s="970" t="str">
        <f>IF($G26="","",IF($DP26="Yes",COLUMN(AESC!$L$10),IF($DP26="No","Using AvoidedDemand tab",IF($DP26="Mixed",COLUMN(AESC!$N$10)))))</f>
        <v/>
      </c>
      <c r="DR26" s="970" t="str">
        <f>IF($G26="","",IF($DP26="Yes",COLUMN(AESC!$P$10),IF($DP26="No","Using AvoidedDemand tab",IF($DP26="Mixed",COLUMN(AESC!$R$10)))))</f>
        <v/>
      </c>
      <c r="DS26" s="970" t="str">
        <f>IF($G26="","",IF($DP26="Yes",COLUMN(AESC!$S$10),IF($DP26="No",COLUMN(AESC!$T$10),IF($DP26="Mixed",COLUMN(AESC!$U$10)))))</f>
        <v/>
      </c>
      <c r="DT26" s="970" t="str">
        <f t="shared" si="17"/>
        <v/>
      </c>
      <c r="DU26" s="970" t="str">
        <f>IF($G26="","",ADRYr1!AS26)</f>
        <v/>
      </c>
      <c r="DV26" s="971" t="str">
        <f>IF($G26="","",ADRYr1!AT26)</f>
        <v/>
      </c>
      <c r="DW26" s="1162" t="str">
        <f>IF($G26="","",INDEX(AvoidedEnergy!$H$4:$H$10,MATCH($DO26,AvoidedEnergy!$A$4:$A$10,0)))</f>
        <v/>
      </c>
    </row>
    <row r="27" spans="1:127">
      <c r="A27" s="160" t="str">
        <f>IF(ADRYr1!$B27=0,"",ADRYr1!A27)</f>
        <v>B - Low-Income</v>
      </c>
      <c r="B27" s="9" t="str">
        <f>IF(ADRYr1!$B27=0,"",ADRYr1!B27)</f>
        <v>Home Energy Assistance</v>
      </c>
      <c r="C27" s="9" t="str">
        <f>IF(ADRYr1!$B27=0,"",ADRYr1!C27)</f>
        <v>Res Demand Response</v>
      </c>
      <c r="D27" s="9" t="str">
        <f>IF(ADRYr1!$B27=0,"",ADRYr1!D27)</f>
        <v>EV Load Management Summer</v>
      </c>
      <c r="E27" s="9">
        <f>IF(ADRYr1!$B27=0,"",ADRYr1!E27)</f>
        <v>0</v>
      </c>
      <c r="F27" s="11" t="str">
        <f>IF(ADRYr1!$B27=0,"",ADRYr1!F27)</f>
        <v>Behavior</v>
      </c>
      <c r="G27" s="12" t="str">
        <f>IF(ADRYr1!$G27&lt;&gt;0,ADRYr1!G27,"")</f>
        <v/>
      </c>
      <c r="H27" s="960" t="str">
        <f>IF($G27="","",ROUND(ADRYr1!H27,0))</f>
        <v/>
      </c>
      <c r="I27" s="47" t="str">
        <f>IF($G27="","",ADRYr1!I27*ADRYr1!P27*G27)</f>
        <v/>
      </c>
      <c r="J27" s="47" t="str">
        <f>IF($G27="","",ADRYr1!J27*G27)</f>
        <v/>
      </c>
      <c r="K27" s="47" t="str">
        <f t="shared" si="18"/>
        <v/>
      </c>
      <c r="L27" s="27" t="str">
        <f>IF($G27="","",ADRYr1!V27*G27/1000)</f>
        <v/>
      </c>
      <c r="M27" s="27" t="str">
        <f>IF($G27="","",L27*ADRYr1!$Q27*ADRYr1!$R27)</f>
        <v/>
      </c>
      <c r="N27" s="27" t="str">
        <f t="shared" si="19"/>
        <v/>
      </c>
      <c r="O27" s="27" t="str">
        <f t="shared" si="20"/>
        <v/>
      </c>
      <c r="P27" s="27" t="str">
        <f>IF($G27="","",M27*ADRYr1!P27)</f>
        <v/>
      </c>
      <c r="Q27" s="27" t="str">
        <f t="shared" si="21"/>
        <v/>
      </c>
      <c r="R27" s="27" t="str">
        <f>IF($G27="","",$Q27*ADRYr1!Z27)</f>
        <v/>
      </c>
      <c r="S27" s="27" t="str">
        <f>IF($G27="","",$Q27*ADRYr1!AA27)</f>
        <v/>
      </c>
      <c r="T27" s="27" t="str">
        <f>IF($G27="","",$Q27*ADRYr1!AB27)</f>
        <v/>
      </c>
      <c r="U27" s="27" t="str">
        <f>IF($G27="","",$Q27*ADRYr1!AC27)</f>
        <v/>
      </c>
      <c r="V27" s="27" t="str">
        <f>IF($G27="","",G27*ADRYr1!$AD27*ADRYr1!$P27*ADRYr1!$Q27)</f>
        <v/>
      </c>
      <c r="W27" s="27" t="str">
        <f>IF($G27="","",$G27*ADRYr1!$AD27*ADRYr1!$AF27*ADRYr1!Q27*ADRYr1!$S27)</f>
        <v/>
      </c>
      <c r="X27" s="27" t="str">
        <f>IF($G27="","",$G27*ADRYr1!$AD27*ADRYr1!$AF27*ADRYr1!P27*ADRYr1!Q27*ADRYr1!$S27)</f>
        <v/>
      </c>
      <c r="Y27" s="27" t="str">
        <f>IF($G27="","",$G27*ADRYr1!$AD27*ADRYr1!$AE27*ADRYr1!Q27*ADRYr1!$T27)</f>
        <v/>
      </c>
      <c r="Z27" s="27" t="str">
        <f>IF($G27="","",$G27*ADRYr1!$AD27*ADRYr1!$AE27*ADRYr1!P27*ADRYr1!Q27*ADRYr1!$T27)</f>
        <v/>
      </c>
      <c r="AA27" s="45" t="str">
        <f>IF($G27="","",$G27*ADRYr1!$Q27*ADRYr1!$U27*(IF(IFERROR(SEARCH("NG", ADRYr1!$AI27),0),ADRYr1!$AJ27,0)+IF(IFERROR(SEARCH("NG", ADRYr1!$AK27),0),ADRYr1!$AL27,0)+IF(IFERROR(SEARCH("NG", ADRYr1!$AM27),0),ADRYr1!$AN27,0)))</f>
        <v/>
      </c>
      <c r="AB27" s="45" t="str">
        <f t="shared" si="22"/>
        <v/>
      </c>
      <c r="AC27" s="45">
        <f>IF($G27="",0,AA27*ADRYr1!$P27)</f>
        <v>0</v>
      </c>
      <c r="AD27" s="45" t="str">
        <f t="shared" si="23"/>
        <v/>
      </c>
      <c r="AE27" s="45" t="str">
        <f>IF($G27="","",$G27*ADRYr1!$Q27*ADRYr1!$U27*(IF(IFERROR(SEARCH("Oil", ADRYr1!$AI27), 0),ADRYr1!$AJ27,0)+IF(IFERROR(SEARCH("Oil", ADRYr1!$AK27), 0),ADRYr1!$AL27,0)+IF(IFERROR(SEARCH("Oil", ADRYr1!$AM27), 0),ADRYr1!$AN27,0)))</f>
        <v/>
      </c>
      <c r="AF27" s="45" t="str">
        <f t="shared" si="24"/>
        <v/>
      </c>
      <c r="AG27" s="45">
        <f>IF($G27="",0,AE27*ADRYr1!$P27)</f>
        <v>0</v>
      </c>
      <c r="AH27" s="45" t="str">
        <f t="shared" si="25"/>
        <v/>
      </c>
      <c r="AI27" s="45" t="str">
        <f>IF($G27="","",$G27*ADRYr1!$Q27*ADRYr1!$U27*(IF(ADRYr1!$AI27=Lookups!$E$116,ADRYr1!$AJ27,IF(ADRYr1!$AK27=Lookups!$E$116,ADRYr1!$AL27,IF(ADRYr1!$AM27=Lookups!$E$116,ADRYr1!$AN27,0)))))</f>
        <v/>
      </c>
      <c r="AJ27" s="45" t="str">
        <f t="shared" si="26"/>
        <v/>
      </c>
      <c r="AK27" s="45">
        <f>IF($G27="",0,AI27*ADRYr1!$P27)</f>
        <v>0</v>
      </c>
      <c r="AL27" s="45" t="str">
        <f t="shared" si="27"/>
        <v/>
      </c>
      <c r="AM27" s="45" t="str">
        <f>IF($G27="","",$G27*ADRYr1!$Q27*ADRYr1!$U27*(IF(ADRYr1!$AI27=Lookups!$E$115,ADRYr1!$AJ27,IF(ADRYr1!$AK27=Lookups!$E$115,ADRYr1!$AL27,IF(ADRYr1!$AM27=Lookups!$E$115,ADRYr1!$AN27,0)))))</f>
        <v/>
      </c>
      <c r="AN27" s="45" t="str">
        <f t="shared" si="28"/>
        <v/>
      </c>
      <c r="AO27" s="45">
        <f>IF($G27="",0,AM27*ADRYr1!$P27)</f>
        <v>0</v>
      </c>
      <c r="AP27" s="45" t="str">
        <f t="shared" si="29"/>
        <v/>
      </c>
      <c r="AQ27" s="45" t="str">
        <f>IF($G27="","",$G27*ADRYr1!$Q27*ADRYr1!$U27*(IF(ADRYr1!$AI27=Lookups!$E$117,ADRYr1!$AJ27,IF(ADRYr1!$AK27=Lookups!$E$117,ADRYr1!$AL27,IF(ADRYr1!$AM27=Lookups!$E$117,ADRYr1!$AN27,0)))))</f>
        <v/>
      </c>
      <c r="AR27" s="45" t="str">
        <f t="shared" si="30"/>
        <v/>
      </c>
      <c r="AS27" s="45" t="str">
        <f>IF($G27="","",AQ27*ADRYr1!$P27)</f>
        <v/>
      </c>
      <c r="AT27" s="45" t="str">
        <f t="shared" si="31"/>
        <v/>
      </c>
      <c r="AU27" s="45" t="str">
        <f>IF($G27="","",$G27*ADRYr1!$Q27*ADRYr1!$U27*(IF(ADRYr1!$AI27=Lookups!$E$118,ADRYr1!$AJ27,IF(ADRYr1!$AK27=Lookups!$E$118,ADRYr1!$AL27,IF(ADRYr1!$AM27=Lookups!$E$118,ADRYr1!$AN27,0)))))</f>
        <v/>
      </c>
      <c r="AV27" s="45" t="str">
        <f t="shared" si="32"/>
        <v/>
      </c>
      <c r="AW27" s="45" t="str">
        <f>IF($G27="","",AU27*ADRYr1!$P27)</f>
        <v/>
      </c>
      <c r="AX27" s="45" t="str">
        <f t="shared" si="33"/>
        <v/>
      </c>
      <c r="AY27" s="45">
        <f t="shared" si="49"/>
        <v>0</v>
      </c>
      <c r="AZ27" s="45">
        <f t="shared" si="49"/>
        <v>0</v>
      </c>
      <c r="BA27" s="101" t="str">
        <f>IF($G27="","",$G27*ADRYr1!$P27*ADRYr1!$Q27*ADRYr1!$U27*ADRYr1!AO27)</f>
        <v/>
      </c>
      <c r="BB27" s="102" t="str">
        <f>IF($G27="","",$G27*ADRYr1!$P27*ADRYr1!$Q27*ADRYr1!$U27*ADRYr1!AP27)</f>
        <v/>
      </c>
      <c r="BC27" s="100" t="str">
        <f t="shared" si="35"/>
        <v/>
      </c>
      <c r="BD27" s="961"/>
      <c r="BE27" s="961"/>
      <c r="BF27" s="961"/>
      <c r="BG27" s="961"/>
      <c r="BH27" s="962" t="str">
        <f t="shared" si="3"/>
        <v/>
      </c>
      <c r="BI27" s="961"/>
      <c r="BJ27" s="961"/>
      <c r="BK27" s="961"/>
      <c r="BL27" s="961"/>
      <c r="BM27" s="30" t="str">
        <f t="shared" si="4"/>
        <v/>
      </c>
      <c r="BN27" s="963" t="str">
        <f t="shared" si="5"/>
        <v/>
      </c>
      <c r="BO27" s="31" t="str">
        <f t="shared" si="36"/>
        <v/>
      </c>
      <c r="BP27" s="964" t="str">
        <f t="shared" si="6"/>
        <v/>
      </c>
      <c r="BQ27" s="28" t="str">
        <f t="shared" si="7"/>
        <v/>
      </c>
      <c r="BR27" s="964" t="str">
        <f t="shared" si="8"/>
        <v/>
      </c>
      <c r="BS27" s="964" t="str">
        <f t="shared" si="9"/>
        <v/>
      </c>
      <c r="BT27" s="28" t="str">
        <f t="shared" si="50"/>
        <v/>
      </c>
      <c r="BU27" s="28" t="str">
        <f t="shared" si="50"/>
        <v/>
      </c>
      <c r="BV27" s="28" t="str">
        <f t="shared" si="50"/>
        <v/>
      </c>
      <c r="BW27" s="29" t="str">
        <f t="shared" si="37"/>
        <v/>
      </c>
      <c r="BX27" s="29" t="str">
        <f t="shared" si="38"/>
        <v/>
      </c>
      <c r="BY27" s="28" t="str">
        <f>IF($G27="","",$G27*(IF(ADRYr1!$AI27=BY$4,ADRYr1!$AJ27,IF(ADRYr1!$AK27=BY$4,ADRYr1!$AL27,IF(ADRYr1!$AM27=BY$4,ADRYr1!$AN27,0))))*(INDEX(avoidedcosttbl,$H27,BY$2)+(($H27-ROUNDDOWN($H27,0))*(INDEX(avoidedcosttbl,ROUNDUP($H27,0),BY$2)-(INDEX(avoidedcosttbl,ROUNDDOWN($H27,0),BY$2)))))*ADRYr1!P27*ADRYr1!Q27*ADRYr1!U27)</f>
        <v/>
      </c>
      <c r="BZ27" s="28" t="str">
        <f>IF($G27="","",$G27*(IF(ADRYr1!$AI27=BZ$4,ADRYr1!$AJ27,IF(ADRYr1!$AK27=BZ$4,ADRYr1!$AL27,IF(ADRYr1!$AM27=BZ$4,ADRYr1!$AN27,0))))*(INDEX(avoidedcosttbl,$H27,BZ$2)+(($H27-ROUNDDOWN($H27,0))*(INDEX(avoidedcosttbl,ROUNDUP($H27,0),BZ$2)-(INDEX(avoidedcosttbl,ROUNDDOWN($H27,0),BZ$2)))))*ADRYr1!P27*ADRYr1!Q27*ADRYr1!U27)</f>
        <v/>
      </c>
      <c r="CA27" s="28" t="str">
        <f>IF($G27="","",$G27*(IF(ADRYr1!$AI27=CA$4,ADRYr1!$AJ27,IF(ADRYr1!$AK27=CA$4,ADRYr1!$AL27,IF(ADRYr1!$AM27=CA$4,ADRYr1!$AN27,0))))*(INDEX(avoidedcosttbl,$H27,CA$2)+(($H27-ROUNDDOWN($H27,0))*(INDEX(avoidedcosttbl,ROUNDUP($H27,0),CA$2)-(INDEX(avoidedcosttbl,ROUNDDOWN($H27,0),CA$2)))))*ADRYr1!P27*ADRYr1!Q27*ADRYr1!U27)</f>
        <v/>
      </c>
      <c r="CB27" s="28" t="str">
        <f>IF($G27="","",$G27*(IF(ADRYr1!$AI27=CB$4,ADRYr1!$AJ27,IF(ADRYr1!$AK27=CB$4,ADRYr1!$AL27,IF(ADRYr1!$AM27=CB$4,ADRYr1!$AN27,0))))*(INDEX(avoidedcosttbl,$H27,CB$2)+(($H27-ROUNDDOWN($H27,0))*(INDEX(avoidedcosttbl,ROUNDUP($H27,0),CB$2)-(INDEX(avoidedcosttbl,ROUNDDOWN($H27,0),CB$2)))))*ADRYr1!P27*ADRYr1!Q27*ADRYr1!U27)</f>
        <v/>
      </c>
      <c r="CC27" s="28" t="str">
        <f>IF($G27="","",$G27*(IF(ADRYr1!$AI27=CC$4,ADRYr1!$AJ27,IF(ADRYr1!$AK27=CC$4,ADRYr1!$AL27,IF(ADRYr1!$AM27=CC$4,ADRYr1!$AN27,0))))*(INDEX(avoidedcosttbl,$H27,CC$2)+(($H27-ROUNDDOWN($H27,0))*(INDEX(avoidedcosttbl,ROUNDUP($H27,0),CC$2)-(INDEX(avoidedcosttbl,ROUNDDOWN($H27,0),CC$2)))))*ADRYr1!P27*ADRYr1!Q27*ADRYr1!U27)</f>
        <v/>
      </c>
      <c r="CD27" s="28" t="str">
        <f>IF($G27="","",$G27*(IF(ADRYr1!$AI27=CD$4,ADRYr1!$AJ27,IF(ADRYr1!$AK27=CD$4,ADRYr1!$AL27,IF(ADRYr1!$AM27=CD$4,ADRYr1!$AN27,0))))*(INDEX(avoidedcosttbl,$H27,CD$2)+(($H27-ROUNDDOWN($H27,0))*(INDEX(avoidedcosttbl,ROUNDUP($H27,0),CD$2)-(INDEX(avoidedcosttbl,ROUNDDOWN($H27,0),CD$2)))))*ADRYr1!P27*ADRYr1!Q27*ADRYr1!U27)</f>
        <v/>
      </c>
      <c r="CE27" s="28" t="str">
        <f>IF($G27="","",$G27*(IF(ADRYr1!$AI27=CE$4,ADRYr1!$AJ27,IF(ADRYr1!$AK27=CE$4,ADRYr1!$AL27,IF(ADRYr1!$AM27=CE$4,ADRYr1!$AN27,0))))*(INDEX(avoidedcosttbl,$H27,CE$2)+(($H27-ROUNDDOWN($H27,0))*(INDEX(avoidedcosttbl,ROUNDUP($H27,0),CE$2)-(INDEX(avoidedcosttbl,ROUNDDOWN($H27,0),CE$2)))))*ADRYr1!P27*ADRYr1!Q27*ADRYr1!U27)</f>
        <v/>
      </c>
      <c r="CF27" s="41" t="str">
        <f t="shared" si="39"/>
        <v/>
      </c>
      <c r="CG27" s="30" t="str">
        <f t="shared" si="11"/>
        <v/>
      </c>
      <c r="CH27" s="30" t="str">
        <f>IF($G27="","",$G27*(IF(ADRYr1!$AI27=BY$4,ADRYr1!$AJ27,IF(ADRYr1!$AK27=BY$4,ADRYr1!$AL27,IF(ADRYr1!$AM27=BY$4,ADRYr1!$AN27,0))))*(INDEX(avoidedcosttbl,$H27,CH$2)+(($H27-ROUNDDOWN($H27,0))*(INDEX(avoidedcosttbl,ROUNDUP($H27,0),CH$2)-(INDEX(avoidedcosttbl,ROUNDDOWN($H27,0),CH$2)))))*ADRYr1!P27*ADRYr1!Q27*ADRYr1!U27)</f>
        <v/>
      </c>
      <c r="CI27" s="30" t="str">
        <f>IF($G27="","",$G27*(IF(ADRYr1!$AI27=BZ$4,ADRYr1!$AJ27,IF(ADRYr1!$AK27=BZ$4,ADRYr1!$AL27,IF(ADRYr1!$AM27=BZ$4,ADRYr1!$AN27,0))))*(INDEX(avoidedcosttbl,$H27,CI$2)+(($H27-ROUNDDOWN($H27,0))*(INDEX(avoidedcosttbl,ROUNDUP($H27,0),CI$2)-(INDEX(avoidedcosttbl,ROUNDDOWN($H27,0),CI$2)))))*ADRYr1!P27*ADRYr1!Q27*ADRYr1!U27)</f>
        <v/>
      </c>
      <c r="CJ27" s="30" t="str">
        <f>IF($G27="","",$G27*(IF(ADRYr1!$AI27=CA$4,ADRYr1!$AJ27,IF(ADRYr1!$AK27=CA$4,ADRYr1!$AL27,IF(ADRYr1!$AM27=CA$4,ADRYr1!$AN27,0))))*(INDEX(avoidedcosttbl,$H27,CJ$2)+(($H27-ROUNDDOWN($H27,0))*(INDEX(avoidedcosttbl,ROUNDUP($H27,0),CJ$2)-(INDEX(avoidedcosttbl,ROUNDDOWN($H27,0),CJ$2)))))*ADRYr1!P27*ADRYr1!Q27*ADRYr1!U27)</f>
        <v/>
      </c>
      <c r="CK27" s="30" t="str">
        <f>IF($G27="","",$G27*(IF(ADRYr1!$AI27=CB$4,ADRYr1!$AJ27,IF(ADRYr1!$AK27=CB$4,ADRYr1!$AL27,IF(ADRYr1!$AM27=CB$4,ADRYr1!$AN27,0))))*(INDEX(avoidedcosttbl,$H27,CK$2)+(($H27-ROUNDDOWN($H27,0))*(INDEX(avoidedcosttbl,ROUNDUP($H27,0),CK$2)-(INDEX(avoidedcosttbl,ROUNDDOWN($H27,0),CK$2)))))*ADRYr1!P27*ADRYr1!Q27*ADRYr1!U27)</f>
        <v/>
      </c>
      <c r="CL27" s="30" t="str">
        <f>IF($G27="","",$G27*(IF(ADRYr1!$AI27=CC$4,ADRYr1!$AJ27,IF(ADRYr1!$AK27=CC$4,ADRYr1!$AL27,IF(ADRYr1!$AM27=CC$4,ADRYr1!$AN27,0))))*(INDEX(avoidedcosttbl,$H27,CL$2)+(($H27-ROUNDDOWN($H27,0))*(INDEX(avoidedcosttbl,ROUNDUP($H27,0),CL$2)-(INDEX(avoidedcosttbl,ROUNDDOWN($H27,0),CL$2)))))*ADRYr1!P27*ADRYr1!Q27*ADRYr1!U27)</f>
        <v/>
      </c>
      <c r="CM27" s="30" t="str">
        <f>IF($G27="","",$G27*(IF(ADRYr1!$AI27=CD$4,ADRYr1!$AJ27,IF(ADRYr1!$AK27=CD$4,ADRYr1!$AL27,IF(ADRYr1!$AM27=CD$4,ADRYr1!$AN27,0))))*(INDEX(avoidedcosttbl,$H27,CM$2)+(($H27-ROUNDDOWN($H27,0))*(INDEX(avoidedcosttbl,ROUNDUP($H27,0),CM$2)-(INDEX(avoidedcosttbl,ROUNDDOWN($H27,0),CM$2)))))*ADRYr1!P27*ADRYr1!Q27*ADRYr1!U27)</f>
        <v/>
      </c>
      <c r="CN27" s="30" t="str">
        <f>IF($G27="","",$G27*(IF(ADRYr1!$AI27=CE$4,ADRYr1!$AJ27,IF(ADRYr1!$AK27=CE$4,ADRYr1!$AL27,IF(ADRYr1!$AM27=CE$4,ADRYr1!$AN27,0))))*(INDEX(avoidedcosttbl,$H27,CN$2)+(($H27-ROUNDDOWN($H27,0))*(INDEX(avoidedcosttbl,ROUNDUP($H27,0),CN$2)-(INDEX(avoidedcosttbl,ROUNDDOWN($H27,0),CN$2)))))*ADRYr1!P27*ADRYr1!Q27*ADRYr1!U27)</f>
        <v/>
      </c>
      <c r="CO27" s="220" t="str">
        <f t="shared" si="40"/>
        <v/>
      </c>
      <c r="CP27" s="220" t="str">
        <f t="shared" si="41"/>
        <v/>
      </c>
      <c r="CQ27" s="157" t="str">
        <f>IF($G27="","",$G27*(IF(ADRYr1!$AI27=CQ$4,ADRYr1!$AJ27,IF(ADRYr1!$AK27=CQ$4,ADRYr1!$AL27,IF(ADRYr1!$AM27=CQ$4,ADRYr1!$AN27,0))))*(INDEX(avoidedcosttbl,$H27,CQ$2)+(($H27-ROUNDDOWN($H27,0))*(INDEX(avoidedcosttbl,ROUNDUP($H27,0),CQ$2)-(INDEX(avoidedcosttbl,ROUNDDOWN($H27,0),CQ$2)))))*ADRYr1!$P27*ADRYr1!$Q27*ADRYr1!$U27)</f>
        <v/>
      </c>
      <c r="CR27" s="28" t="str">
        <f>IF($G27="","",G27*(IF(ADRYr1!$AI27=CR$4,ADRYr1!$AJ27,IF(ADRYr1!$AK27=CR$4,ADRYr1!$AL27,IF(ADRYr1!$AM27=CR$4,ADRYr1!$AN27,0))))*(INDEX(avoidedcosttbl,$H27,CR$2)+(($H27-ROUNDDOWN($H27,0))*(INDEX(avoidedcosttbl,ROUNDUP($H27,0),CR$2)-(INDEX(avoidedcosttbl,ROUNDDOWN($H27,0),CR$2)))))*ADRYr1!$P27*ADRYr1!$Q27*ADRYr1!$U27)</f>
        <v/>
      </c>
      <c r="CS27" s="28" t="str">
        <f>IF($G27="","",G27*(IF(ADRYr1!$AI27=CS$4,ADRYr1!$AJ27,IF(ADRYr1!$AK27=CS$4,ADRYr1!$AL27,IF(ADRYr1!$AM27=CS$4,ADRYr1!$AN27,0))))*(INDEX(avoidedcosttbl,$H27,CS$2)+(($H27-ROUNDDOWN($H27,0))*(INDEX(avoidedcosttbl,ROUNDUP($H27,0),CS$2)-(INDEX(avoidedcosttbl,ROUNDDOWN($H27,0),CS$2)))))*ADRYr1!$P27*ADRYr1!$Q27*ADRYr1!$U27)</f>
        <v/>
      </c>
      <c r="CT27" s="28" t="str">
        <f t="shared" si="12"/>
        <v/>
      </c>
      <c r="CU27" s="28" t="str">
        <f>IF($G27="","",G27*(IF(ADRYr1!$AI27=CU$4,ADRYr1!$AJ27,IF(ADRYr1!$AK27=CU$4,ADRYr1!$AL27,IF(ADRYr1!$AM27=CU$4,ADRYr1!$AN27,0))))*(INDEX(avoidedcosttbl,$H27,CU$2)+(($H27-ROUNDDOWN($H27,0))*(INDEX(avoidedcosttbl,ROUNDUP($H27,0),CU$2)-(INDEX(avoidedcosttbl,ROUNDDOWN($H27,0),CU$2)))))*ADRYr1!$P27*ADRYr1!$Q27*ADRYr1!$U27)</f>
        <v/>
      </c>
      <c r="CV27" s="28" t="str">
        <f>IF($G27="","",G27*(IF(ADRYr1!$AI27=CV$4,ADRYr1!$AJ27,IF(ADRYr1!$AK27=CV$4,ADRYr1!$AL27,IF(ADRYr1!$AM27=CV$4,ADRYr1!$AN27,0))))*(INDEX(avoidedcosttbl,$H27,CV$2)+(($H27-ROUNDDOWN($H27,0))*(INDEX(avoidedcosttbl,ROUNDUP($H27,0),CV$2)-(INDEX(avoidedcosttbl,ROUNDDOWN($H27,0),CV$2)))))*ADRYr1!$P27*ADRYr1!$Q27*ADRYr1!$U27)</f>
        <v/>
      </c>
      <c r="CW27" s="28" t="str">
        <f>IF($G27="","",G27*(IF(ADRYr1!$AI27=CW$4,ADRYr1!$AJ27,IF(ADRYr1!$AK27=CW$4,ADRYr1!$AL27,IF(ADRYr1!$AM27=CW$4,ADRYr1!$AN27,0))))*(INDEX(avoidedcosttbl,$H27,CW$2)+(($H27-ROUNDDOWN($H27,0))*(INDEX(avoidedcosttbl,ROUNDUP($H27,0),CW$2)-(INDEX(avoidedcosttbl,ROUNDDOWN($H27,0),CW$2)))))*ADRYr1!$P27*ADRYr1!$Q27*ADRYr1!$U27)</f>
        <v/>
      </c>
      <c r="CX27" s="28" t="str">
        <f>IF($G27="","",G27*(IF(ADRYr1!$AI27=CX$4,ADRYr1!$AJ27,IF(ADRYr1!$AK27=CX$4,ADRYr1!$AL27,IF(ADRYr1!$AM27=CX$4,ADRYr1!$AN27,0))))*(INDEX(avoidedcosttbl,$H27,CX$2)+(($H27-ROUNDDOWN($H27,0))*(INDEX(avoidedcosttbl,ROUNDUP($H27,0),CX$2)-(INDEX(avoidedcosttbl,ROUNDDOWN($H27,0),CX$2)))))*ADRYr1!$P27*ADRYr1!$Q27*ADRYr1!$U27)</f>
        <v/>
      </c>
      <c r="CY27" s="28" t="str">
        <f t="shared" si="13"/>
        <v/>
      </c>
      <c r="CZ27" s="32" t="str">
        <f t="shared" si="14"/>
        <v/>
      </c>
      <c r="DA27" s="84" t="str">
        <f t="shared" si="42"/>
        <v/>
      </c>
      <c r="DB27" s="81" t="str">
        <f>IF(NEIadder="Yes",IF($G27="","",INDEX(Lookups!$G$70:$G$71,MATCH($A27,Lookups!$E$70:$E$71,0))*(SUM(CP27:CX27,BX27))),"")</f>
        <v/>
      </c>
      <c r="DC27" s="263" t="str">
        <f t="shared" si="15"/>
        <v/>
      </c>
      <c r="DD27" s="166" t="str">
        <f t="shared" si="16"/>
        <v/>
      </c>
      <c r="DE27" s="82">
        <f t="shared" si="43"/>
        <v>0</v>
      </c>
      <c r="DF27" s="615" t="str">
        <f>IF($G27="","",(1+WntPeakEnergyLL)*(INDEX(avoidedcosttbl,$H27,DF$2)+(($H27-ROUNDDOWN($H27,0))*(INDEX(avoidedcosttbl,ROUNDUP($H27,0),DF$2)-(INDEX(avoidedcosttbl,ROUNDDOWN($H27,0),DF$2)))))*$P27*1000*ADRYr1!Z27)</f>
        <v/>
      </c>
      <c r="DG27" s="615" t="str">
        <f>IF($G27="","",(1+WntOffPeakEnergyLL)*(INDEX(avoidedcosttbl,$H27,DG$2)+(($H27-ROUNDDOWN($H27,0))*(INDEX(avoidedcosttbl,ROUNDUP($H27,0),DG$2)-(INDEX(avoidedcosttbl,ROUNDDOWN($H27,0),DG$2)))))*$P27*1000*ADRYr1!AA27)</f>
        <v/>
      </c>
      <c r="DH27" s="615" t="str">
        <f>IF($G27="","",(1+SumPeakEnergyLL)*(INDEX(avoidedcosttbl,$H27,DH$2)+(($H27-ROUNDDOWN($H27,0))*(INDEX(avoidedcosttbl,ROUNDUP($H27,0),DH$2)-(INDEX(avoidedcosttbl,ROUNDDOWN($H27,0),DH$2)))))*$P27*1000*ADRYr1!AB27)</f>
        <v/>
      </c>
      <c r="DI27" s="615" t="str">
        <f>IF($G27="","",(1+SumOffPeakEnergyLL)*(INDEX(avoidedcosttbl,$H27,DI$2)+(($H27-ROUNDDOWN($H27,0))*(INDEX(avoidedcosttbl,ROUNDUP($H27,0),DI$2)-(INDEX(avoidedcosttbl,ROUNDDOWN($H27,0),DI$2)))))*$P27*1000*ADRYr1!AC27)</f>
        <v/>
      </c>
      <c r="DJ27" s="29" t="str">
        <f t="shared" si="44"/>
        <v/>
      </c>
      <c r="DK27" s="161" t="str">
        <f t="shared" si="45"/>
        <v/>
      </c>
      <c r="DL27" s="1189" t="str">
        <f t="shared" si="46"/>
        <v/>
      </c>
      <c r="DM27" s="1189" t="str">
        <f t="shared" si="47"/>
        <v/>
      </c>
      <c r="DN27" s="43" t="str">
        <f t="shared" si="48"/>
        <v/>
      </c>
      <c r="DO27" s="966" t="str">
        <f>IF($G27="","",ADRYr1!AQ27)</f>
        <v/>
      </c>
      <c r="DP27" s="968" t="str">
        <f>IF($G27="","",ADRYr1!AR27)</f>
        <v/>
      </c>
      <c r="DQ27" s="970" t="str">
        <f>IF($G27="","",IF($DP27="Yes",COLUMN(AESC!$L$10),IF($DP27="No","Using AvoidedDemand tab",IF($DP27="Mixed",COLUMN(AESC!$N$10)))))</f>
        <v/>
      </c>
      <c r="DR27" s="970" t="str">
        <f>IF($G27="","",IF($DP27="Yes",COLUMN(AESC!$P$10),IF($DP27="No","Using AvoidedDemand tab",IF($DP27="Mixed",COLUMN(AESC!$R$10)))))</f>
        <v/>
      </c>
      <c r="DS27" s="970" t="str">
        <f>IF($G27="","",IF($DP27="Yes",COLUMN(AESC!$S$10),IF($DP27="No",COLUMN(AESC!$T$10),IF($DP27="Mixed",COLUMN(AESC!$U$10)))))</f>
        <v/>
      </c>
      <c r="DT27" s="970" t="str">
        <f t="shared" si="17"/>
        <v/>
      </c>
      <c r="DU27" s="970" t="str">
        <f>IF($G27="","",ADRYr1!AS27)</f>
        <v/>
      </c>
      <c r="DV27" s="971" t="str">
        <f>IF($G27="","",ADRYr1!AT27)</f>
        <v/>
      </c>
      <c r="DW27" s="1162" t="str">
        <f>IF($G27="","",INDEX(AvoidedEnergy!$H$4:$H$10,MATCH($DO27,AvoidedEnergy!$A$4:$A$10,0)))</f>
        <v/>
      </c>
    </row>
    <row r="28" spans="1:127">
      <c r="A28" s="160" t="str">
        <f>IF(ADRYr1!$B28=0,"",ADRYr1!A28)</f>
        <v>B - Low-Income</v>
      </c>
      <c r="B28" s="9" t="str">
        <f>IF(ADRYr1!$B28=0,"",ADRYr1!B28)</f>
        <v>Home Energy Assistance</v>
      </c>
      <c r="C28" s="9" t="str">
        <f>IF(ADRYr1!$B28=0,"",ADRYr1!C28)</f>
        <v>Res Demand Response</v>
      </c>
      <c r="D28" s="9" t="str">
        <f>IF(ADRYr1!$B28=0,"",ADRYr1!D28)</f>
        <v>EV Load Management Winter</v>
      </c>
      <c r="E28" s="9">
        <f>IF(ADRYr1!$B28=0,"",ADRYr1!E28)</f>
        <v>0</v>
      </c>
      <c r="F28" s="11" t="str">
        <f>IF(ADRYr1!$B28=0,"",ADRYr1!F28)</f>
        <v>Behavior</v>
      </c>
      <c r="G28" s="12" t="str">
        <f>IF(ADRYr1!$G28&lt;&gt;0,ADRYr1!G28,"")</f>
        <v/>
      </c>
      <c r="H28" s="960" t="str">
        <f>IF($G28="","",ROUND(ADRYr1!H28,0))</f>
        <v/>
      </c>
      <c r="I28" s="47" t="str">
        <f>IF($G28="","",ADRYr1!I28*ADRYr1!P28*G28)</f>
        <v/>
      </c>
      <c r="J28" s="47" t="str">
        <f>IF($G28="","",ADRYr1!J28*G28)</f>
        <v/>
      </c>
      <c r="K28" s="47" t="str">
        <f t="shared" si="18"/>
        <v/>
      </c>
      <c r="L28" s="27" t="str">
        <f>IF($G28="","",ADRYr1!V28*G28/1000)</f>
        <v/>
      </c>
      <c r="M28" s="27" t="str">
        <f>IF($G28="","",L28*ADRYr1!$Q28*ADRYr1!$R28)</f>
        <v/>
      </c>
      <c r="N28" s="27" t="str">
        <f t="shared" si="19"/>
        <v/>
      </c>
      <c r="O28" s="27" t="str">
        <f t="shared" si="20"/>
        <v/>
      </c>
      <c r="P28" s="27" t="str">
        <f>IF($G28="","",M28*ADRYr1!P28)</f>
        <v/>
      </c>
      <c r="Q28" s="27" t="str">
        <f t="shared" si="21"/>
        <v/>
      </c>
      <c r="R28" s="27" t="str">
        <f>IF($G28="","",$Q28*ADRYr1!Z28)</f>
        <v/>
      </c>
      <c r="S28" s="27" t="str">
        <f>IF($G28="","",$Q28*ADRYr1!AA28)</f>
        <v/>
      </c>
      <c r="T28" s="27" t="str">
        <f>IF($G28="","",$Q28*ADRYr1!AB28)</f>
        <v/>
      </c>
      <c r="U28" s="27" t="str">
        <f>IF($G28="","",$Q28*ADRYr1!AC28)</f>
        <v/>
      </c>
      <c r="V28" s="27" t="str">
        <f>IF($G28="","",G28*ADRYr1!$AD28*ADRYr1!$P28*ADRYr1!$Q28)</f>
        <v/>
      </c>
      <c r="W28" s="27" t="str">
        <f>IF($G28="","",$G28*ADRYr1!$AD28*ADRYr1!$AF28*ADRYr1!Q28*ADRYr1!$S28)</f>
        <v/>
      </c>
      <c r="X28" s="27" t="str">
        <f>IF($G28="","",$G28*ADRYr1!$AD28*ADRYr1!$AF28*ADRYr1!P28*ADRYr1!Q28*ADRYr1!$S28)</f>
        <v/>
      </c>
      <c r="Y28" s="27" t="str">
        <f>IF($G28="","",$G28*ADRYr1!$AD28*ADRYr1!$AE28*ADRYr1!Q28*ADRYr1!$T28)</f>
        <v/>
      </c>
      <c r="Z28" s="27" t="str">
        <f>IF($G28="","",$G28*ADRYr1!$AD28*ADRYr1!$AE28*ADRYr1!P28*ADRYr1!Q28*ADRYr1!$T28)</f>
        <v/>
      </c>
      <c r="AA28" s="45" t="str">
        <f>IF($G28="","",$G28*ADRYr1!$Q28*ADRYr1!$U28*(IF(IFERROR(SEARCH("NG", ADRYr1!$AI28),0),ADRYr1!$AJ28,0)+IF(IFERROR(SEARCH("NG", ADRYr1!$AK28),0),ADRYr1!$AL28,0)+IF(IFERROR(SEARCH("NG", ADRYr1!$AM28),0),ADRYr1!$AN28,0)))</f>
        <v/>
      </c>
      <c r="AB28" s="45" t="str">
        <f t="shared" si="22"/>
        <v/>
      </c>
      <c r="AC28" s="45">
        <f>IF($G28="",0,AA28*ADRYr1!$P28)</f>
        <v>0</v>
      </c>
      <c r="AD28" s="45" t="str">
        <f t="shared" si="23"/>
        <v/>
      </c>
      <c r="AE28" s="45" t="str">
        <f>IF($G28="","",$G28*ADRYr1!$Q28*ADRYr1!$U28*(IF(IFERROR(SEARCH("Oil", ADRYr1!$AI28), 0),ADRYr1!$AJ28,0)+IF(IFERROR(SEARCH("Oil", ADRYr1!$AK28), 0),ADRYr1!$AL28,0)+IF(IFERROR(SEARCH("Oil", ADRYr1!$AM28), 0),ADRYr1!$AN28,0)))</f>
        <v/>
      </c>
      <c r="AF28" s="45" t="str">
        <f t="shared" si="24"/>
        <v/>
      </c>
      <c r="AG28" s="45">
        <f>IF($G28="",0,AE28*ADRYr1!$P28)</f>
        <v>0</v>
      </c>
      <c r="AH28" s="45" t="str">
        <f t="shared" si="25"/>
        <v/>
      </c>
      <c r="AI28" s="45" t="str">
        <f>IF($G28="","",$G28*ADRYr1!$Q28*ADRYr1!$U28*(IF(ADRYr1!$AI28=Lookups!$E$116,ADRYr1!$AJ28,IF(ADRYr1!$AK28=Lookups!$E$116,ADRYr1!$AL28,IF(ADRYr1!$AM28=Lookups!$E$116,ADRYr1!$AN28,0)))))</f>
        <v/>
      </c>
      <c r="AJ28" s="45" t="str">
        <f t="shared" si="26"/>
        <v/>
      </c>
      <c r="AK28" s="45">
        <f>IF($G28="",0,AI28*ADRYr1!$P28)</f>
        <v>0</v>
      </c>
      <c r="AL28" s="45" t="str">
        <f t="shared" si="27"/>
        <v/>
      </c>
      <c r="AM28" s="45" t="str">
        <f>IF($G28="","",$G28*ADRYr1!$Q28*ADRYr1!$U28*(IF(ADRYr1!$AI28=Lookups!$E$115,ADRYr1!$AJ28,IF(ADRYr1!$AK28=Lookups!$E$115,ADRYr1!$AL28,IF(ADRYr1!$AM28=Lookups!$E$115,ADRYr1!$AN28,0)))))</f>
        <v/>
      </c>
      <c r="AN28" s="45" t="str">
        <f t="shared" si="28"/>
        <v/>
      </c>
      <c r="AO28" s="45">
        <f>IF($G28="",0,AM28*ADRYr1!$P28)</f>
        <v>0</v>
      </c>
      <c r="AP28" s="45" t="str">
        <f t="shared" si="29"/>
        <v/>
      </c>
      <c r="AQ28" s="45" t="str">
        <f>IF($G28="","",$G28*ADRYr1!$Q28*ADRYr1!$U28*(IF(ADRYr1!$AI28=Lookups!$E$117,ADRYr1!$AJ28,IF(ADRYr1!$AK28=Lookups!$E$117,ADRYr1!$AL28,IF(ADRYr1!$AM28=Lookups!$E$117,ADRYr1!$AN28,0)))))</f>
        <v/>
      </c>
      <c r="AR28" s="45" t="str">
        <f t="shared" si="30"/>
        <v/>
      </c>
      <c r="AS28" s="45" t="str">
        <f>IF($G28="","",AQ28*ADRYr1!$P28)</f>
        <v/>
      </c>
      <c r="AT28" s="45" t="str">
        <f t="shared" si="31"/>
        <v/>
      </c>
      <c r="AU28" s="45" t="str">
        <f>IF($G28="","",$G28*ADRYr1!$Q28*ADRYr1!$U28*(IF(ADRYr1!$AI28=Lookups!$E$118,ADRYr1!$AJ28,IF(ADRYr1!$AK28=Lookups!$E$118,ADRYr1!$AL28,IF(ADRYr1!$AM28=Lookups!$E$118,ADRYr1!$AN28,0)))))</f>
        <v/>
      </c>
      <c r="AV28" s="45" t="str">
        <f t="shared" si="32"/>
        <v/>
      </c>
      <c r="AW28" s="45" t="str">
        <f>IF($G28="","",AU28*ADRYr1!$P28)</f>
        <v/>
      </c>
      <c r="AX28" s="45" t="str">
        <f t="shared" si="33"/>
        <v/>
      </c>
      <c r="AY28" s="45">
        <f t="shared" si="49"/>
        <v>0</v>
      </c>
      <c r="AZ28" s="45">
        <f t="shared" si="49"/>
        <v>0</v>
      </c>
      <c r="BA28" s="101" t="str">
        <f>IF($G28="","",$G28*ADRYr1!$P28*ADRYr1!$Q28*ADRYr1!$U28*ADRYr1!AO28)</f>
        <v/>
      </c>
      <c r="BB28" s="102" t="str">
        <f>IF($G28="","",$G28*ADRYr1!$P28*ADRYr1!$Q28*ADRYr1!$U28*ADRYr1!AP28)</f>
        <v/>
      </c>
      <c r="BC28" s="100" t="str">
        <f t="shared" si="35"/>
        <v/>
      </c>
      <c r="BD28" s="961"/>
      <c r="BE28" s="961"/>
      <c r="BF28" s="961"/>
      <c r="BG28" s="961"/>
      <c r="BH28" s="962" t="str">
        <f t="shared" si="3"/>
        <v/>
      </c>
      <c r="BI28" s="961"/>
      <c r="BJ28" s="961"/>
      <c r="BK28" s="961"/>
      <c r="BL28" s="961"/>
      <c r="BM28" s="30" t="str">
        <f t="shared" si="4"/>
        <v/>
      </c>
      <c r="BN28" s="963" t="str">
        <f t="shared" si="5"/>
        <v/>
      </c>
      <c r="BO28" s="31" t="str">
        <f t="shared" si="36"/>
        <v/>
      </c>
      <c r="BP28" s="964" t="str">
        <f t="shared" si="6"/>
        <v/>
      </c>
      <c r="BQ28" s="28" t="str">
        <f t="shared" si="7"/>
        <v/>
      </c>
      <c r="BR28" s="964" t="str">
        <f t="shared" si="8"/>
        <v/>
      </c>
      <c r="BS28" s="964" t="str">
        <f t="shared" si="9"/>
        <v/>
      </c>
      <c r="BT28" s="28" t="str">
        <f t="shared" si="50"/>
        <v/>
      </c>
      <c r="BU28" s="28" t="str">
        <f t="shared" si="50"/>
        <v/>
      </c>
      <c r="BV28" s="28" t="str">
        <f t="shared" si="50"/>
        <v/>
      </c>
      <c r="BW28" s="29" t="str">
        <f t="shared" si="37"/>
        <v/>
      </c>
      <c r="BX28" s="29" t="str">
        <f t="shared" si="38"/>
        <v/>
      </c>
      <c r="BY28" s="28" t="str">
        <f>IF($G28="","",$G28*(IF(ADRYr1!$AI28=BY$4,ADRYr1!$AJ28,IF(ADRYr1!$AK28=BY$4,ADRYr1!$AL28,IF(ADRYr1!$AM28=BY$4,ADRYr1!$AN28,0))))*(INDEX(avoidedcosttbl,$H28,BY$2)+(($H28-ROUNDDOWN($H28,0))*(INDEX(avoidedcosttbl,ROUNDUP($H28,0),BY$2)-(INDEX(avoidedcosttbl,ROUNDDOWN($H28,0),BY$2)))))*ADRYr1!P28*ADRYr1!Q28*ADRYr1!U28)</f>
        <v/>
      </c>
      <c r="BZ28" s="28" t="str">
        <f>IF($G28="","",$G28*(IF(ADRYr1!$AI28=BZ$4,ADRYr1!$AJ28,IF(ADRYr1!$AK28=BZ$4,ADRYr1!$AL28,IF(ADRYr1!$AM28=BZ$4,ADRYr1!$AN28,0))))*(INDEX(avoidedcosttbl,$H28,BZ$2)+(($H28-ROUNDDOWN($H28,0))*(INDEX(avoidedcosttbl,ROUNDUP($H28,0),BZ$2)-(INDEX(avoidedcosttbl,ROUNDDOWN($H28,0),BZ$2)))))*ADRYr1!P28*ADRYr1!Q28*ADRYr1!U28)</f>
        <v/>
      </c>
      <c r="CA28" s="28" t="str">
        <f>IF($G28="","",$G28*(IF(ADRYr1!$AI28=CA$4,ADRYr1!$AJ28,IF(ADRYr1!$AK28=CA$4,ADRYr1!$AL28,IF(ADRYr1!$AM28=CA$4,ADRYr1!$AN28,0))))*(INDEX(avoidedcosttbl,$H28,CA$2)+(($H28-ROUNDDOWN($H28,0))*(INDEX(avoidedcosttbl,ROUNDUP($H28,0),CA$2)-(INDEX(avoidedcosttbl,ROUNDDOWN($H28,0),CA$2)))))*ADRYr1!P28*ADRYr1!Q28*ADRYr1!U28)</f>
        <v/>
      </c>
      <c r="CB28" s="28" t="str">
        <f>IF($G28="","",$G28*(IF(ADRYr1!$AI28=CB$4,ADRYr1!$AJ28,IF(ADRYr1!$AK28=CB$4,ADRYr1!$AL28,IF(ADRYr1!$AM28=CB$4,ADRYr1!$AN28,0))))*(INDEX(avoidedcosttbl,$H28,CB$2)+(($H28-ROUNDDOWN($H28,0))*(INDEX(avoidedcosttbl,ROUNDUP($H28,0),CB$2)-(INDEX(avoidedcosttbl,ROUNDDOWN($H28,0),CB$2)))))*ADRYr1!P28*ADRYr1!Q28*ADRYr1!U28)</f>
        <v/>
      </c>
      <c r="CC28" s="28" t="str">
        <f>IF($G28="","",$G28*(IF(ADRYr1!$AI28=CC$4,ADRYr1!$AJ28,IF(ADRYr1!$AK28=CC$4,ADRYr1!$AL28,IF(ADRYr1!$AM28=CC$4,ADRYr1!$AN28,0))))*(INDEX(avoidedcosttbl,$H28,CC$2)+(($H28-ROUNDDOWN($H28,0))*(INDEX(avoidedcosttbl,ROUNDUP($H28,0),CC$2)-(INDEX(avoidedcosttbl,ROUNDDOWN($H28,0),CC$2)))))*ADRYr1!P28*ADRYr1!Q28*ADRYr1!U28)</f>
        <v/>
      </c>
      <c r="CD28" s="28" t="str">
        <f>IF($G28="","",$G28*(IF(ADRYr1!$AI28=CD$4,ADRYr1!$AJ28,IF(ADRYr1!$AK28=CD$4,ADRYr1!$AL28,IF(ADRYr1!$AM28=CD$4,ADRYr1!$AN28,0))))*(INDEX(avoidedcosttbl,$H28,CD$2)+(($H28-ROUNDDOWN($H28,0))*(INDEX(avoidedcosttbl,ROUNDUP($H28,0),CD$2)-(INDEX(avoidedcosttbl,ROUNDDOWN($H28,0),CD$2)))))*ADRYr1!P28*ADRYr1!Q28*ADRYr1!U28)</f>
        <v/>
      </c>
      <c r="CE28" s="28" t="str">
        <f>IF($G28="","",$G28*(IF(ADRYr1!$AI28=CE$4,ADRYr1!$AJ28,IF(ADRYr1!$AK28=CE$4,ADRYr1!$AL28,IF(ADRYr1!$AM28=CE$4,ADRYr1!$AN28,0))))*(INDEX(avoidedcosttbl,$H28,CE$2)+(($H28-ROUNDDOWN($H28,0))*(INDEX(avoidedcosttbl,ROUNDUP($H28,0),CE$2)-(INDEX(avoidedcosttbl,ROUNDDOWN($H28,0),CE$2)))))*ADRYr1!P28*ADRYr1!Q28*ADRYr1!U28)</f>
        <v/>
      </c>
      <c r="CF28" s="41" t="str">
        <f t="shared" si="39"/>
        <v/>
      </c>
      <c r="CG28" s="30" t="str">
        <f t="shared" si="11"/>
        <v/>
      </c>
      <c r="CH28" s="30" t="str">
        <f>IF($G28="","",$G28*(IF(ADRYr1!$AI28=BY$4,ADRYr1!$AJ28,IF(ADRYr1!$AK28=BY$4,ADRYr1!$AL28,IF(ADRYr1!$AM28=BY$4,ADRYr1!$AN28,0))))*(INDEX(avoidedcosttbl,$H28,CH$2)+(($H28-ROUNDDOWN($H28,0))*(INDEX(avoidedcosttbl,ROUNDUP($H28,0),CH$2)-(INDEX(avoidedcosttbl,ROUNDDOWN($H28,0),CH$2)))))*ADRYr1!P28*ADRYr1!Q28*ADRYr1!U28)</f>
        <v/>
      </c>
      <c r="CI28" s="30" t="str">
        <f>IF($G28="","",$G28*(IF(ADRYr1!$AI28=BZ$4,ADRYr1!$AJ28,IF(ADRYr1!$AK28=BZ$4,ADRYr1!$AL28,IF(ADRYr1!$AM28=BZ$4,ADRYr1!$AN28,0))))*(INDEX(avoidedcosttbl,$H28,CI$2)+(($H28-ROUNDDOWN($H28,0))*(INDEX(avoidedcosttbl,ROUNDUP($H28,0),CI$2)-(INDEX(avoidedcosttbl,ROUNDDOWN($H28,0),CI$2)))))*ADRYr1!P28*ADRYr1!Q28*ADRYr1!U28)</f>
        <v/>
      </c>
      <c r="CJ28" s="30" t="str">
        <f>IF($G28="","",$G28*(IF(ADRYr1!$AI28=CA$4,ADRYr1!$AJ28,IF(ADRYr1!$AK28=CA$4,ADRYr1!$AL28,IF(ADRYr1!$AM28=CA$4,ADRYr1!$AN28,0))))*(INDEX(avoidedcosttbl,$H28,CJ$2)+(($H28-ROUNDDOWN($H28,0))*(INDEX(avoidedcosttbl,ROUNDUP($H28,0),CJ$2)-(INDEX(avoidedcosttbl,ROUNDDOWN($H28,0),CJ$2)))))*ADRYr1!P28*ADRYr1!Q28*ADRYr1!U28)</f>
        <v/>
      </c>
      <c r="CK28" s="30" t="str">
        <f>IF($G28="","",$G28*(IF(ADRYr1!$AI28=CB$4,ADRYr1!$AJ28,IF(ADRYr1!$AK28=CB$4,ADRYr1!$AL28,IF(ADRYr1!$AM28=CB$4,ADRYr1!$AN28,0))))*(INDEX(avoidedcosttbl,$H28,CK$2)+(($H28-ROUNDDOWN($H28,0))*(INDEX(avoidedcosttbl,ROUNDUP($H28,0),CK$2)-(INDEX(avoidedcosttbl,ROUNDDOWN($H28,0),CK$2)))))*ADRYr1!P28*ADRYr1!Q28*ADRYr1!U28)</f>
        <v/>
      </c>
      <c r="CL28" s="30" t="str">
        <f>IF($G28="","",$G28*(IF(ADRYr1!$AI28=CC$4,ADRYr1!$AJ28,IF(ADRYr1!$AK28=CC$4,ADRYr1!$AL28,IF(ADRYr1!$AM28=CC$4,ADRYr1!$AN28,0))))*(INDEX(avoidedcosttbl,$H28,CL$2)+(($H28-ROUNDDOWN($H28,0))*(INDEX(avoidedcosttbl,ROUNDUP($H28,0),CL$2)-(INDEX(avoidedcosttbl,ROUNDDOWN($H28,0),CL$2)))))*ADRYr1!P28*ADRYr1!Q28*ADRYr1!U28)</f>
        <v/>
      </c>
      <c r="CM28" s="30" t="str">
        <f>IF($G28="","",$G28*(IF(ADRYr1!$AI28=CD$4,ADRYr1!$AJ28,IF(ADRYr1!$AK28=CD$4,ADRYr1!$AL28,IF(ADRYr1!$AM28=CD$4,ADRYr1!$AN28,0))))*(INDEX(avoidedcosttbl,$H28,CM$2)+(($H28-ROUNDDOWN($H28,0))*(INDEX(avoidedcosttbl,ROUNDUP($H28,0),CM$2)-(INDEX(avoidedcosttbl,ROUNDDOWN($H28,0),CM$2)))))*ADRYr1!P28*ADRYr1!Q28*ADRYr1!U28)</f>
        <v/>
      </c>
      <c r="CN28" s="30" t="str">
        <f>IF($G28="","",$G28*(IF(ADRYr1!$AI28=CE$4,ADRYr1!$AJ28,IF(ADRYr1!$AK28=CE$4,ADRYr1!$AL28,IF(ADRYr1!$AM28=CE$4,ADRYr1!$AN28,0))))*(INDEX(avoidedcosttbl,$H28,CN$2)+(($H28-ROUNDDOWN($H28,0))*(INDEX(avoidedcosttbl,ROUNDUP($H28,0),CN$2)-(INDEX(avoidedcosttbl,ROUNDDOWN($H28,0),CN$2)))))*ADRYr1!P28*ADRYr1!Q28*ADRYr1!U28)</f>
        <v/>
      </c>
      <c r="CO28" s="220" t="str">
        <f t="shared" si="40"/>
        <v/>
      </c>
      <c r="CP28" s="220" t="str">
        <f t="shared" si="41"/>
        <v/>
      </c>
      <c r="CQ28" s="157" t="str">
        <f>IF($G28="","",$G28*(IF(ADRYr1!$AI28=CQ$4,ADRYr1!$AJ28,IF(ADRYr1!$AK28=CQ$4,ADRYr1!$AL28,IF(ADRYr1!$AM28=CQ$4,ADRYr1!$AN28,0))))*(INDEX(avoidedcosttbl,$H28,CQ$2)+(($H28-ROUNDDOWN($H28,0))*(INDEX(avoidedcosttbl,ROUNDUP($H28,0),CQ$2)-(INDEX(avoidedcosttbl,ROUNDDOWN($H28,0),CQ$2)))))*ADRYr1!$P28*ADRYr1!$Q28*ADRYr1!$U28)</f>
        <v/>
      </c>
      <c r="CR28" s="28" t="str">
        <f>IF($G28="","",G28*(IF(ADRYr1!$AI28=CR$4,ADRYr1!$AJ28,IF(ADRYr1!$AK28=CR$4,ADRYr1!$AL28,IF(ADRYr1!$AM28=CR$4,ADRYr1!$AN28,0))))*(INDEX(avoidedcosttbl,$H28,CR$2)+(($H28-ROUNDDOWN($H28,0))*(INDEX(avoidedcosttbl,ROUNDUP($H28,0),CR$2)-(INDEX(avoidedcosttbl,ROUNDDOWN($H28,0),CR$2)))))*ADRYr1!$P28*ADRYr1!$Q28*ADRYr1!$U28)</f>
        <v/>
      </c>
      <c r="CS28" s="28" t="str">
        <f>IF($G28="","",G28*(IF(ADRYr1!$AI28=CS$4,ADRYr1!$AJ28,IF(ADRYr1!$AK28=CS$4,ADRYr1!$AL28,IF(ADRYr1!$AM28=CS$4,ADRYr1!$AN28,0))))*(INDEX(avoidedcosttbl,$H28,CS$2)+(($H28-ROUNDDOWN($H28,0))*(INDEX(avoidedcosttbl,ROUNDUP($H28,0),CS$2)-(INDEX(avoidedcosttbl,ROUNDDOWN($H28,0),CS$2)))))*ADRYr1!$P28*ADRYr1!$Q28*ADRYr1!$U28)</f>
        <v/>
      </c>
      <c r="CT28" s="28" t="str">
        <f t="shared" si="12"/>
        <v/>
      </c>
      <c r="CU28" s="28" t="str">
        <f>IF($G28="","",G28*(IF(ADRYr1!$AI28=CU$4,ADRYr1!$AJ28,IF(ADRYr1!$AK28=CU$4,ADRYr1!$AL28,IF(ADRYr1!$AM28=CU$4,ADRYr1!$AN28,0))))*(INDEX(avoidedcosttbl,$H28,CU$2)+(($H28-ROUNDDOWN($H28,0))*(INDEX(avoidedcosttbl,ROUNDUP($H28,0),CU$2)-(INDEX(avoidedcosttbl,ROUNDDOWN($H28,0),CU$2)))))*ADRYr1!$P28*ADRYr1!$Q28*ADRYr1!$U28)</f>
        <v/>
      </c>
      <c r="CV28" s="28" t="str">
        <f>IF($G28="","",G28*(IF(ADRYr1!$AI28=CV$4,ADRYr1!$AJ28,IF(ADRYr1!$AK28=CV$4,ADRYr1!$AL28,IF(ADRYr1!$AM28=CV$4,ADRYr1!$AN28,0))))*(INDEX(avoidedcosttbl,$H28,CV$2)+(($H28-ROUNDDOWN($H28,0))*(INDEX(avoidedcosttbl,ROUNDUP($H28,0),CV$2)-(INDEX(avoidedcosttbl,ROUNDDOWN($H28,0),CV$2)))))*ADRYr1!$P28*ADRYr1!$Q28*ADRYr1!$U28)</f>
        <v/>
      </c>
      <c r="CW28" s="28" t="str">
        <f>IF($G28="","",G28*(IF(ADRYr1!$AI28=CW$4,ADRYr1!$AJ28,IF(ADRYr1!$AK28=CW$4,ADRYr1!$AL28,IF(ADRYr1!$AM28=CW$4,ADRYr1!$AN28,0))))*(INDEX(avoidedcosttbl,$H28,CW$2)+(($H28-ROUNDDOWN($H28,0))*(INDEX(avoidedcosttbl,ROUNDUP($H28,0),CW$2)-(INDEX(avoidedcosttbl,ROUNDDOWN($H28,0),CW$2)))))*ADRYr1!$P28*ADRYr1!$Q28*ADRYr1!$U28)</f>
        <v/>
      </c>
      <c r="CX28" s="28" t="str">
        <f>IF($G28="","",G28*(IF(ADRYr1!$AI28=CX$4,ADRYr1!$AJ28,IF(ADRYr1!$AK28=CX$4,ADRYr1!$AL28,IF(ADRYr1!$AM28=CX$4,ADRYr1!$AN28,0))))*(INDEX(avoidedcosttbl,$H28,CX$2)+(($H28-ROUNDDOWN($H28,0))*(INDEX(avoidedcosttbl,ROUNDUP($H28,0),CX$2)-(INDEX(avoidedcosttbl,ROUNDDOWN($H28,0),CX$2)))))*ADRYr1!$P28*ADRYr1!$Q28*ADRYr1!$U28)</f>
        <v/>
      </c>
      <c r="CY28" s="28" t="str">
        <f t="shared" si="13"/>
        <v/>
      </c>
      <c r="CZ28" s="32" t="str">
        <f t="shared" si="14"/>
        <v/>
      </c>
      <c r="DA28" s="84" t="str">
        <f t="shared" si="42"/>
        <v/>
      </c>
      <c r="DB28" s="81" t="str">
        <f>IF(NEIadder="Yes",IF($G28="","",INDEX(Lookups!$G$70:$G$71,MATCH($A28,Lookups!$E$70:$E$71,0))*(SUM(CP28:CX28,BX28))),"")</f>
        <v/>
      </c>
      <c r="DC28" s="263" t="str">
        <f t="shared" si="15"/>
        <v/>
      </c>
      <c r="DD28" s="166" t="str">
        <f t="shared" si="16"/>
        <v/>
      </c>
      <c r="DE28" s="82">
        <f t="shared" si="43"/>
        <v>0</v>
      </c>
      <c r="DF28" s="615" t="str">
        <f>IF($G28="","",(1+WntPeakEnergyLL)*(INDEX(avoidedcosttbl,$H28,DF$2)+(($H28-ROUNDDOWN($H28,0))*(INDEX(avoidedcosttbl,ROUNDUP($H28,0),DF$2)-(INDEX(avoidedcosttbl,ROUNDDOWN($H28,0),DF$2)))))*$P28*1000*ADRYr1!Z28)</f>
        <v/>
      </c>
      <c r="DG28" s="615" t="str">
        <f>IF($G28="","",(1+WntOffPeakEnergyLL)*(INDEX(avoidedcosttbl,$H28,DG$2)+(($H28-ROUNDDOWN($H28,0))*(INDEX(avoidedcosttbl,ROUNDUP($H28,0),DG$2)-(INDEX(avoidedcosttbl,ROUNDDOWN($H28,0),DG$2)))))*$P28*1000*ADRYr1!AA28)</f>
        <v/>
      </c>
      <c r="DH28" s="615" t="str">
        <f>IF($G28="","",(1+SumPeakEnergyLL)*(INDEX(avoidedcosttbl,$H28,DH$2)+(($H28-ROUNDDOWN($H28,0))*(INDEX(avoidedcosttbl,ROUNDUP($H28,0),DH$2)-(INDEX(avoidedcosttbl,ROUNDDOWN($H28,0),DH$2)))))*$P28*1000*ADRYr1!AB28)</f>
        <v/>
      </c>
      <c r="DI28" s="615" t="str">
        <f>IF($G28="","",(1+SumOffPeakEnergyLL)*(INDEX(avoidedcosttbl,$H28,DI$2)+(($H28-ROUNDDOWN($H28,0))*(INDEX(avoidedcosttbl,ROUNDUP($H28,0),DI$2)-(INDEX(avoidedcosttbl,ROUNDDOWN($H28,0),DI$2)))))*$P28*1000*ADRYr1!AC28)</f>
        <v/>
      </c>
      <c r="DJ28" s="29" t="str">
        <f t="shared" si="44"/>
        <v/>
      </c>
      <c r="DK28" s="161" t="str">
        <f t="shared" si="45"/>
        <v/>
      </c>
      <c r="DL28" s="1189" t="str">
        <f t="shared" si="46"/>
        <v/>
      </c>
      <c r="DM28" s="1189" t="str">
        <f t="shared" si="47"/>
        <v/>
      </c>
      <c r="DN28" s="43" t="str">
        <f t="shared" si="48"/>
        <v/>
      </c>
      <c r="DO28" s="966" t="str">
        <f>IF($G28="","",ADRYr1!AQ28)</f>
        <v/>
      </c>
      <c r="DP28" s="968" t="str">
        <f>IF($G28="","",ADRYr1!AR28)</f>
        <v/>
      </c>
      <c r="DQ28" s="970" t="str">
        <f>IF($G28="","",IF($DP28="Yes",COLUMN(AESC!$L$10),IF($DP28="No","Using AvoidedDemand tab",IF($DP28="Mixed",COLUMN(AESC!$N$10)))))</f>
        <v/>
      </c>
      <c r="DR28" s="970" t="str">
        <f>IF($G28="","",IF($DP28="Yes",COLUMN(AESC!$P$10),IF($DP28="No","Using AvoidedDemand tab",IF($DP28="Mixed",COLUMN(AESC!$R$10)))))</f>
        <v/>
      </c>
      <c r="DS28" s="970" t="str">
        <f>IF($G28="","",IF($DP28="Yes",COLUMN(AESC!$S$10),IF($DP28="No",COLUMN(AESC!$T$10),IF($DP28="Mixed",COLUMN(AESC!$U$10)))))</f>
        <v/>
      </c>
      <c r="DT28" s="970" t="str">
        <f t="shared" si="17"/>
        <v/>
      </c>
      <c r="DU28" s="970" t="str">
        <f>IF($G28="","",ADRYr1!AS28)</f>
        <v/>
      </c>
      <c r="DV28" s="971" t="str">
        <f>IF($G28="","",ADRYr1!AT28)</f>
        <v/>
      </c>
      <c r="DW28" s="1162" t="str">
        <f>IF($G28="","",INDEX(AvoidedEnergy!$H$4:$H$10,MATCH($DO28,AvoidedEnergy!$A$4:$A$10,0)))</f>
        <v/>
      </c>
    </row>
    <row r="29" spans="1:127">
      <c r="A29" s="160" t="str">
        <f>IF(ADRYr1!$B29=0,"",ADRYr1!A29)</f>
        <v>C - Commercial &amp; Industrial</v>
      </c>
      <c r="B29" s="9" t="str">
        <f>IF(ADRYr1!$B29=0,"",ADRYr1!B29)</f>
        <v>C5 - C&amp;I Active Demand Response</v>
      </c>
      <c r="C29" s="9" t="str">
        <f>IF(ADRYr1!$B29=0,"",ADRYr1!C29)</f>
        <v>C5a - C&amp;I Active Demand Response</v>
      </c>
      <c r="D29" s="9" t="str">
        <f>IF(ADRYr1!$B29=0,"",ADRYr1!D29)</f>
        <v>Load Curtailment Targeted Dispatch P4P Summer</v>
      </c>
      <c r="E29" s="9" t="str">
        <f>IF(ADRYr1!$B29=0,"",ADRYr1!E29)</f>
        <v>E21C5a001</v>
      </c>
      <c r="F29" s="11" t="str">
        <f>IF(ADRYr1!$B29=0,"",ADRYr1!F29)</f>
        <v>Behavior</v>
      </c>
      <c r="G29" s="12">
        <f>IF(ADRYr1!$G29&lt;&gt;0,ADRYr1!G29,"")</f>
        <v>20</v>
      </c>
      <c r="H29" s="960">
        <f>IF($G29="","",ROUND(ADRYr1!H29,0))</f>
        <v>1</v>
      </c>
      <c r="I29" s="47">
        <f>IF($G29="","",ADRYr1!I29*ADRYr1!P29*G29)</f>
        <v>50000</v>
      </c>
      <c r="J29" s="47">
        <f>IF($G29="","",ADRYr1!J29*G29)</f>
        <v>50000</v>
      </c>
      <c r="K29" s="47">
        <f t="shared" si="18"/>
        <v>0</v>
      </c>
      <c r="L29" s="27">
        <f>IF($G29="","",ADRYr1!V29*G29/1000)</f>
        <v>0</v>
      </c>
      <c r="M29" s="27">
        <f>IF($G29="","",L29*ADRYr1!$Q29*ADRYr1!$R29)</f>
        <v>0</v>
      </c>
      <c r="N29" s="27">
        <f t="shared" si="19"/>
        <v>0</v>
      </c>
      <c r="O29" s="27">
        <f t="shared" si="20"/>
        <v>0</v>
      </c>
      <c r="P29" s="27">
        <f>IF($G29="","",M29*ADRYr1!P29)</f>
        <v>0</v>
      </c>
      <c r="Q29" s="27">
        <f t="shared" si="21"/>
        <v>0</v>
      </c>
      <c r="R29" s="27">
        <f>IF($G29="","",$Q29*ADRYr1!Z29)</f>
        <v>0</v>
      </c>
      <c r="S29" s="27">
        <f>IF($G29="","",$Q29*ADRYr1!AA29)</f>
        <v>0</v>
      </c>
      <c r="T29" s="27">
        <f>IF($G29="","",$Q29*ADRYr1!AB29)</f>
        <v>0</v>
      </c>
      <c r="U29" s="27">
        <f>IF($G29="","",$Q29*ADRYr1!AC29)</f>
        <v>0</v>
      </c>
      <c r="V29" s="27">
        <f>IF($G29="","",G29*ADRYr1!$AD29*ADRYr1!$P29*ADRYr1!$Q29)</f>
        <v>3190</v>
      </c>
      <c r="W29" s="27">
        <f>IF($G29="","",$G29*ADRYr1!$AD29*ADRYr1!$AF29*ADRYr1!Q29*ADRYr1!$S29)</f>
        <v>0</v>
      </c>
      <c r="X29" s="27">
        <f>IF($G29="","",$G29*ADRYr1!$AD29*ADRYr1!$AF29*ADRYr1!P29*ADRYr1!Q29*ADRYr1!$S29)</f>
        <v>0</v>
      </c>
      <c r="Y29" s="27">
        <f>IF($G29="","",$G29*ADRYr1!$AD29*ADRYr1!$AE29*ADRYr1!Q29*ADRYr1!$T29)</f>
        <v>3190</v>
      </c>
      <c r="Z29" s="27">
        <f>IF($G29="","",$G29*ADRYr1!$AD29*ADRYr1!$AE29*ADRYr1!P29*ADRYr1!Q29*ADRYr1!$T29)</f>
        <v>3190</v>
      </c>
      <c r="AA29" s="45">
        <f>IF($G29="","",$G29*ADRYr1!$Q29*ADRYr1!$U29*(IF(IFERROR(SEARCH("NG", ADRYr1!$AI29),0),ADRYr1!$AJ29,0)+IF(IFERROR(SEARCH("NG", ADRYr1!$AK29),0),ADRYr1!$AL29,0)+IF(IFERROR(SEARCH("NG", ADRYr1!$AM29),0),ADRYr1!$AN29,0)))</f>
        <v>0</v>
      </c>
      <c r="AB29" s="45">
        <f t="shared" si="22"/>
        <v>0</v>
      </c>
      <c r="AC29" s="45">
        <f>IF($G29="",0,AA29*ADRYr1!$P29)</f>
        <v>0</v>
      </c>
      <c r="AD29" s="45">
        <f t="shared" si="23"/>
        <v>0</v>
      </c>
      <c r="AE29" s="45">
        <f>IF($G29="","",$G29*ADRYr1!$Q29*ADRYr1!$U29*(IF(IFERROR(SEARCH("Oil", ADRYr1!$AI29), 0),ADRYr1!$AJ29,0)+IF(IFERROR(SEARCH("Oil", ADRYr1!$AK29), 0),ADRYr1!$AL29,0)+IF(IFERROR(SEARCH("Oil", ADRYr1!$AM29), 0),ADRYr1!$AN29,0)))</f>
        <v>0</v>
      </c>
      <c r="AF29" s="45">
        <f t="shared" si="24"/>
        <v>0</v>
      </c>
      <c r="AG29" s="45">
        <f>IF($G29="",0,AE29*ADRYr1!$P29)</f>
        <v>0</v>
      </c>
      <c r="AH29" s="45">
        <f t="shared" si="25"/>
        <v>0</v>
      </c>
      <c r="AI29" s="45">
        <f>IF($G29="","",$G29*ADRYr1!$Q29*ADRYr1!$U29*(IF(ADRYr1!$AI29=Lookups!$E$116,ADRYr1!$AJ29,IF(ADRYr1!$AK29=Lookups!$E$116,ADRYr1!$AL29,IF(ADRYr1!$AM29=Lookups!$E$116,ADRYr1!$AN29,0)))))</f>
        <v>0</v>
      </c>
      <c r="AJ29" s="45">
        <f t="shared" si="26"/>
        <v>0</v>
      </c>
      <c r="AK29" s="45">
        <f>IF($G29="",0,AI29*ADRYr1!$P29)</f>
        <v>0</v>
      </c>
      <c r="AL29" s="45">
        <f t="shared" si="27"/>
        <v>0</v>
      </c>
      <c r="AM29" s="45">
        <f>IF($G29="","",$G29*ADRYr1!$Q29*ADRYr1!$U29*(IF(ADRYr1!$AI29=Lookups!$E$115,ADRYr1!$AJ29,IF(ADRYr1!$AK29=Lookups!$E$115,ADRYr1!$AL29,IF(ADRYr1!$AM29=Lookups!$E$115,ADRYr1!$AN29,0)))))</f>
        <v>0</v>
      </c>
      <c r="AN29" s="45">
        <f t="shared" si="28"/>
        <v>0</v>
      </c>
      <c r="AO29" s="45">
        <f>IF($G29="",0,AM29*ADRYr1!$P29)</f>
        <v>0</v>
      </c>
      <c r="AP29" s="45">
        <f t="shared" si="29"/>
        <v>0</v>
      </c>
      <c r="AQ29" s="45">
        <f>IF($G29="","",$G29*ADRYr1!$Q29*ADRYr1!$U29*(IF(ADRYr1!$AI29=Lookups!$E$117,ADRYr1!$AJ29,IF(ADRYr1!$AK29=Lookups!$E$117,ADRYr1!$AL29,IF(ADRYr1!$AM29=Lookups!$E$117,ADRYr1!$AN29,0)))))</f>
        <v>0</v>
      </c>
      <c r="AR29" s="45">
        <f t="shared" si="30"/>
        <v>0</v>
      </c>
      <c r="AS29" s="45">
        <f>IF($G29="","",AQ29*ADRYr1!$P29)</f>
        <v>0</v>
      </c>
      <c r="AT29" s="45">
        <f t="shared" si="31"/>
        <v>0</v>
      </c>
      <c r="AU29" s="45">
        <f>IF($G29="","",$G29*ADRYr1!$Q29*ADRYr1!$U29*(IF(ADRYr1!$AI29=Lookups!$E$118,ADRYr1!$AJ29,IF(ADRYr1!$AK29=Lookups!$E$118,ADRYr1!$AL29,IF(ADRYr1!$AM29=Lookups!$E$118,ADRYr1!$AN29,0)))))</f>
        <v>0</v>
      </c>
      <c r="AV29" s="45">
        <f t="shared" si="32"/>
        <v>0</v>
      </c>
      <c r="AW29" s="45">
        <f>IF($G29="","",AU29*ADRYr1!$P29)</f>
        <v>0</v>
      </c>
      <c r="AX29" s="45">
        <f t="shared" si="33"/>
        <v>0</v>
      </c>
      <c r="AY29" s="45">
        <f t="shared" si="49"/>
        <v>0</v>
      </c>
      <c r="AZ29" s="45">
        <f t="shared" si="49"/>
        <v>0</v>
      </c>
      <c r="BA29" s="101">
        <f>IF($G29="","",$G29*ADRYr1!$P29*ADRYr1!$Q29*ADRYr1!$U29*ADRYr1!AO29)</f>
        <v>0</v>
      </c>
      <c r="BB29" s="102">
        <f>IF($G29="","",$G29*ADRYr1!$P29*ADRYr1!$Q29*ADRYr1!$U29*ADRYr1!AP29)</f>
        <v>0</v>
      </c>
      <c r="BC29" s="100">
        <f t="shared" si="35"/>
        <v>0</v>
      </c>
      <c r="BD29" s="961"/>
      <c r="BE29" s="961"/>
      <c r="BF29" s="961"/>
      <c r="BG29" s="961"/>
      <c r="BH29" s="962">
        <f t="shared" si="3"/>
        <v>0</v>
      </c>
      <c r="BI29" s="961"/>
      <c r="BJ29" s="961"/>
      <c r="BK29" s="961"/>
      <c r="BL29" s="961"/>
      <c r="BM29" s="30">
        <f t="shared" si="4"/>
        <v>0</v>
      </c>
      <c r="BN29" s="963">
        <f t="shared" si="5"/>
        <v>0</v>
      </c>
      <c r="BO29" s="31">
        <f t="shared" si="36"/>
        <v>0</v>
      </c>
      <c r="BP29" s="964">
        <f t="shared" si="6"/>
        <v>23800.882569444839</v>
      </c>
      <c r="BQ29" s="28">
        <f t="shared" si="7"/>
        <v>0</v>
      </c>
      <c r="BR29" s="964">
        <f t="shared" si="8"/>
        <v>10242.145311380984</v>
      </c>
      <c r="BS29" s="964">
        <f t="shared" si="9"/>
        <v>0</v>
      </c>
      <c r="BT29" s="28">
        <f t="shared" si="50"/>
        <v>319689.04593434854</v>
      </c>
      <c r="BU29" s="28">
        <f t="shared" si="50"/>
        <v>0</v>
      </c>
      <c r="BV29" s="28">
        <f t="shared" si="50"/>
        <v>388670.52213553735</v>
      </c>
      <c r="BW29" s="29">
        <f t="shared" si="37"/>
        <v>742402.59595071175</v>
      </c>
      <c r="BX29" s="29">
        <f t="shared" si="38"/>
        <v>742402.59595071175</v>
      </c>
      <c r="BY29" s="28">
        <f>IF($G29="","",$G29*(IF(ADRYr1!$AI29=BY$4,ADRYr1!$AJ29,IF(ADRYr1!$AK29=BY$4,ADRYr1!$AL29,IF(ADRYr1!$AM29=BY$4,ADRYr1!$AN29,0))))*(INDEX(avoidedcosttbl,$H29,BY$2)+(($H29-ROUNDDOWN($H29,0))*(INDEX(avoidedcosttbl,ROUNDUP($H29,0),BY$2)-(INDEX(avoidedcosttbl,ROUNDDOWN($H29,0),BY$2)))))*ADRYr1!P29*ADRYr1!Q29*ADRYr1!U29)</f>
        <v>0</v>
      </c>
      <c r="BZ29" s="28">
        <f>IF($G29="","",$G29*(IF(ADRYr1!$AI29=BZ$4,ADRYr1!$AJ29,IF(ADRYr1!$AK29=BZ$4,ADRYr1!$AL29,IF(ADRYr1!$AM29=BZ$4,ADRYr1!$AN29,0))))*(INDEX(avoidedcosttbl,$H29,BZ$2)+(($H29-ROUNDDOWN($H29,0))*(INDEX(avoidedcosttbl,ROUNDUP($H29,0),BZ$2)-(INDEX(avoidedcosttbl,ROUNDDOWN($H29,0),BZ$2)))))*ADRYr1!P29*ADRYr1!Q29*ADRYr1!U29)</f>
        <v>0</v>
      </c>
      <c r="CA29" s="28">
        <f>IF($G29="","",$G29*(IF(ADRYr1!$AI29=CA$4,ADRYr1!$AJ29,IF(ADRYr1!$AK29=CA$4,ADRYr1!$AL29,IF(ADRYr1!$AM29=CA$4,ADRYr1!$AN29,0))))*(INDEX(avoidedcosttbl,$H29,CA$2)+(($H29-ROUNDDOWN($H29,0))*(INDEX(avoidedcosttbl,ROUNDUP($H29,0),CA$2)-(INDEX(avoidedcosttbl,ROUNDDOWN($H29,0),CA$2)))))*ADRYr1!P29*ADRYr1!Q29*ADRYr1!U29)</f>
        <v>0</v>
      </c>
      <c r="CB29" s="28">
        <f>IF($G29="","",$G29*(IF(ADRYr1!$AI29=CB$4,ADRYr1!$AJ29,IF(ADRYr1!$AK29=CB$4,ADRYr1!$AL29,IF(ADRYr1!$AM29=CB$4,ADRYr1!$AN29,0))))*(INDEX(avoidedcosttbl,$H29,CB$2)+(($H29-ROUNDDOWN($H29,0))*(INDEX(avoidedcosttbl,ROUNDUP($H29,0),CB$2)-(INDEX(avoidedcosttbl,ROUNDDOWN($H29,0),CB$2)))))*ADRYr1!P29*ADRYr1!Q29*ADRYr1!U29)</f>
        <v>0</v>
      </c>
      <c r="CC29" s="28">
        <f>IF($G29="","",$G29*(IF(ADRYr1!$AI29=CC$4,ADRYr1!$AJ29,IF(ADRYr1!$AK29=CC$4,ADRYr1!$AL29,IF(ADRYr1!$AM29=CC$4,ADRYr1!$AN29,0))))*(INDEX(avoidedcosttbl,$H29,CC$2)+(($H29-ROUNDDOWN($H29,0))*(INDEX(avoidedcosttbl,ROUNDUP($H29,0),CC$2)-(INDEX(avoidedcosttbl,ROUNDDOWN($H29,0),CC$2)))))*ADRYr1!P29*ADRYr1!Q29*ADRYr1!U29)</f>
        <v>0</v>
      </c>
      <c r="CD29" s="28">
        <f>IF($G29="","",$G29*(IF(ADRYr1!$AI29=CD$4,ADRYr1!$AJ29,IF(ADRYr1!$AK29=CD$4,ADRYr1!$AL29,IF(ADRYr1!$AM29=CD$4,ADRYr1!$AN29,0))))*(INDEX(avoidedcosttbl,$H29,CD$2)+(($H29-ROUNDDOWN($H29,0))*(INDEX(avoidedcosttbl,ROUNDUP($H29,0),CD$2)-(INDEX(avoidedcosttbl,ROUNDDOWN($H29,0),CD$2)))))*ADRYr1!P29*ADRYr1!Q29*ADRYr1!U29)</f>
        <v>0</v>
      </c>
      <c r="CE29" s="28">
        <f>IF($G29="","",$G29*(IF(ADRYr1!$AI29=CE$4,ADRYr1!$AJ29,IF(ADRYr1!$AK29=CE$4,ADRYr1!$AL29,IF(ADRYr1!$AM29=CE$4,ADRYr1!$AN29,0))))*(INDEX(avoidedcosttbl,$H29,CE$2)+(($H29-ROUNDDOWN($H29,0))*(INDEX(avoidedcosttbl,ROUNDUP($H29,0),CE$2)-(INDEX(avoidedcosttbl,ROUNDDOWN($H29,0),CE$2)))))*ADRYr1!P29*ADRYr1!Q29*ADRYr1!U29)</f>
        <v>0</v>
      </c>
      <c r="CF29" s="41">
        <f t="shared" si="39"/>
        <v>0</v>
      </c>
      <c r="CG29" s="30">
        <f t="shared" si="11"/>
        <v>0</v>
      </c>
      <c r="CH29" s="30">
        <f>IF($G29="","",$G29*(IF(ADRYr1!$AI29=BY$4,ADRYr1!$AJ29,IF(ADRYr1!$AK29=BY$4,ADRYr1!$AL29,IF(ADRYr1!$AM29=BY$4,ADRYr1!$AN29,0))))*(INDEX(avoidedcosttbl,$H29,CH$2)+(($H29-ROUNDDOWN($H29,0))*(INDEX(avoidedcosttbl,ROUNDUP($H29,0),CH$2)-(INDEX(avoidedcosttbl,ROUNDDOWN($H29,0),CH$2)))))*ADRYr1!P29*ADRYr1!Q29*ADRYr1!U29)</f>
        <v>0</v>
      </c>
      <c r="CI29" s="30">
        <f>IF($G29="","",$G29*(IF(ADRYr1!$AI29=BZ$4,ADRYr1!$AJ29,IF(ADRYr1!$AK29=BZ$4,ADRYr1!$AL29,IF(ADRYr1!$AM29=BZ$4,ADRYr1!$AN29,0))))*(INDEX(avoidedcosttbl,$H29,CI$2)+(($H29-ROUNDDOWN($H29,0))*(INDEX(avoidedcosttbl,ROUNDUP($H29,0),CI$2)-(INDEX(avoidedcosttbl,ROUNDDOWN($H29,0),CI$2)))))*ADRYr1!P29*ADRYr1!Q29*ADRYr1!U29)</f>
        <v>0</v>
      </c>
      <c r="CJ29" s="30">
        <f>IF($G29="","",$G29*(IF(ADRYr1!$AI29=CA$4,ADRYr1!$AJ29,IF(ADRYr1!$AK29=CA$4,ADRYr1!$AL29,IF(ADRYr1!$AM29=CA$4,ADRYr1!$AN29,0))))*(INDEX(avoidedcosttbl,$H29,CJ$2)+(($H29-ROUNDDOWN($H29,0))*(INDEX(avoidedcosttbl,ROUNDUP($H29,0),CJ$2)-(INDEX(avoidedcosttbl,ROUNDDOWN($H29,0),CJ$2)))))*ADRYr1!P29*ADRYr1!Q29*ADRYr1!U29)</f>
        <v>0</v>
      </c>
      <c r="CK29" s="30">
        <f>IF($G29="","",$G29*(IF(ADRYr1!$AI29=CB$4,ADRYr1!$AJ29,IF(ADRYr1!$AK29=CB$4,ADRYr1!$AL29,IF(ADRYr1!$AM29=CB$4,ADRYr1!$AN29,0))))*(INDEX(avoidedcosttbl,$H29,CK$2)+(($H29-ROUNDDOWN($H29,0))*(INDEX(avoidedcosttbl,ROUNDUP($H29,0),CK$2)-(INDEX(avoidedcosttbl,ROUNDDOWN($H29,0),CK$2)))))*ADRYr1!P29*ADRYr1!Q29*ADRYr1!U29)</f>
        <v>0</v>
      </c>
      <c r="CL29" s="30">
        <f>IF($G29="","",$G29*(IF(ADRYr1!$AI29=CC$4,ADRYr1!$AJ29,IF(ADRYr1!$AK29=CC$4,ADRYr1!$AL29,IF(ADRYr1!$AM29=CC$4,ADRYr1!$AN29,0))))*(INDEX(avoidedcosttbl,$H29,CL$2)+(($H29-ROUNDDOWN($H29,0))*(INDEX(avoidedcosttbl,ROUNDUP($H29,0),CL$2)-(INDEX(avoidedcosttbl,ROUNDDOWN($H29,0),CL$2)))))*ADRYr1!P29*ADRYr1!Q29*ADRYr1!U29)</f>
        <v>0</v>
      </c>
      <c r="CM29" s="30">
        <f>IF($G29="","",$G29*(IF(ADRYr1!$AI29=CD$4,ADRYr1!$AJ29,IF(ADRYr1!$AK29=CD$4,ADRYr1!$AL29,IF(ADRYr1!$AM29=CD$4,ADRYr1!$AN29,0))))*(INDEX(avoidedcosttbl,$H29,CM$2)+(($H29-ROUNDDOWN($H29,0))*(INDEX(avoidedcosttbl,ROUNDUP($H29,0),CM$2)-(INDEX(avoidedcosttbl,ROUNDDOWN($H29,0),CM$2)))))*ADRYr1!P29*ADRYr1!Q29*ADRYr1!U29)</f>
        <v>0</v>
      </c>
      <c r="CN29" s="30">
        <f>IF($G29="","",$G29*(IF(ADRYr1!$AI29=CE$4,ADRYr1!$AJ29,IF(ADRYr1!$AK29=CE$4,ADRYr1!$AL29,IF(ADRYr1!$AM29=CE$4,ADRYr1!$AN29,0))))*(INDEX(avoidedcosttbl,$H29,CN$2)+(($H29-ROUNDDOWN($H29,0))*(INDEX(avoidedcosttbl,ROUNDUP($H29,0),CN$2)-(INDEX(avoidedcosttbl,ROUNDDOWN($H29,0),CN$2)))))*ADRYr1!P29*ADRYr1!Q29*ADRYr1!U29)</f>
        <v>0</v>
      </c>
      <c r="CO29" s="220">
        <f t="shared" si="40"/>
        <v>0</v>
      </c>
      <c r="CP29" s="220">
        <f t="shared" si="41"/>
        <v>0</v>
      </c>
      <c r="CQ29" s="157">
        <f>IF($G29="","",$G29*(IF(ADRYr1!$AI29=CQ$4,ADRYr1!$AJ29,IF(ADRYr1!$AK29=CQ$4,ADRYr1!$AL29,IF(ADRYr1!$AM29=CQ$4,ADRYr1!$AN29,0))))*(INDEX(avoidedcosttbl,$H29,CQ$2)+(($H29-ROUNDDOWN($H29,0))*(INDEX(avoidedcosttbl,ROUNDUP($H29,0),CQ$2)-(INDEX(avoidedcosttbl,ROUNDDOWN($H29,0),CQ$2)))))*ADRYr1!$P29*ADRYr1!$Q29*ADRYr1!$U29)</f>
        <v>0</v>
      </c>
      <c r="CR29" s="28">
        <f>IF($G29="","",G29*(IF(ADRYr1!$AI29=CR$4,ADRYr1!$AJ29,IF(ADRYr1!$AK29=CR$4,ADRYr1!$AL29,IF(ADRYr1!$AM29=CR$4,ADRYr1!$AN29,0))))*(INDEX(avoidedcosttbl,$H29,CR$2)+(($H29-ROUNDDOWN($H29,0))*(INDEX(avoidedcosttbl,ROUNDUP($H29,0),CR$2)-(INDEX(avoidedcosttbl,ROUNDDOWN($H29,0),CR$2)))))*ADRYr1!$P29*ADRYr1!$Q29*ADRYr1!$U29)</f>
        <v>0</v>
      </c>
      <c r="CS29" s="28">
        <f>IF($G29="","",G29*(IF(ADRYr1!$AI29=CS$4,ADRYr1!$AJ29,IF(ADRYr1!$AK29=CS$4,ADRYr1!$AL29,IF(ADRYr1!$AM29=CS$4,ADRYr1!$AN29,0))))*(INDEX(avoidedcosttbl,$H29,CS$2)+(($H29-ROUNDDOWN($H29,0))*(INDEX(avoidedcosttbl,ROUNDUP($H29,0),CS$2)-(INDEX(avoidedcosttbl,ROUNDDOWN($H29,0),CS$2)))))*ADRYr1!$P29*ADRYr1!$Q29*ADRYr1!$U29)</f>
        <v>0</v>
      </c>
      <c r="CT29" s="28">
        <f t="shared" si="12"/>
        <v>0</v>
      </c>
      <c r="CU29" s="28">
        <f>IF($G29="","",G29*(IF(ADRYr1!$AI29=CU$4,ADRYr1!$AJ29,IF(ADRYr1!$AK29=CU$4,ADRYr1!$AL29,IF(ADRYr1!$AM29=CU$4,ADRYr1!$AN29,0))))*(INDEX(avoidedcosttbl,$H29,CU$2)+(($H29-ROUNDDOWN($H29,0))*(INDEX(avoidedcosttbl,ROUNDUP($H29,0),CU$2)-(INDEX(avoidedcosttbl,ROUNDDOWN($H29,0),CU$2)))))*ADRYr1!$P29*ADRYr1!$Q29*ADRYr1!$U29)</f>
        <v>0</v>
      </c>
      <c r="CV29" s="28">
        <f>IF($G29="","",G29*(IF(ADRYr1!$AI29=CV$4,ADRYr1!$AJ29,IF(ADRYr1!$AK29=CV$4,ADRYr1!$AL29,IF(ADRYr1!$AM29=CV$4,ADRYr1!$AN29,0))))*(INDEX(avoidedcosttbl,$H29,CV$2)+(($H29-ROUNDDOWN($H29,0))*(INDEX(avoidedcosttbl,ROUNDUP($H29,0),CV$2)-(INDEX(avoidedcosttbl,ROUNDDOWN($H29,0),CV$2)))))*ADRYr1!$P29*ADRYr1!$Q29*ADRYr1!$U29)</f>
        <v>0</v>
      </c>
      <c r="CW29" s="28">
        <f>IF($G29="","",G29*(IF(ADRYr1!$AI29=CW$4,ADRYr1!$AJ29,IF(ADRYr1!$AK29=CW$4,ADRYr1!$AL29,IF(ADRYr1!$AM29=CW$4,ADRYr1!$AN29,0))))*(INDEX(avoidedcosttbl,$H29,CW$2)+(($H29-ROUNDDOWN($H29,0))*(INDEX(avoidedcosttbl,ROUNDUP($H29,0),CW$2)-(INDEX(avoidedcosttbl,ROUNDDOWN($H29,0),CW$2)))))*ADRYr1!$P29*ADRYr1!$Q29*ADRYr1!$U29)</f>
        <v>0</v>
      </c>
      <c r="CX29" s="28">
        <f>IF($G29="","",G29*(IF(ADRYr1!$AI29=CX$4,ADRYr1!$AJ29,IF(ADRYr1!$AK29=CX$4,ADRYr1!$AL29,IF(ADRYr1!$AM29=CX$4,ADRYr1!$AN29,0))))*(INDEX(avoidedcosttbl,$H29,CX$2)+(($H29-ROUNDDOWN($H29,0))*(INDEX(avoidedcosttbl,ROUNDUP($H29,0),CX$2)-(INDEX(avoidedcosttbl,ROUNDDOWN($H29,0),CX$2)))))*ADRYr1!$P29*ADRYr1!$Q29*ADRYr1!$U29)</f>
        <v>0</v>
      </c>
      <c r="CY29" s="28">
        <f t="shared" si="13"/>
        <v>0</v>
      </c>
      <c r="CZ29" s="32">
        <f t="shared" si="14"/>
        <v>0</v>
      </c>
      <c r="DA29" s="84">
        <f t="shared" si="42"/>
        <v>0</v>
      </c>
      <c r="DB29" s="81" t="str">
        <f>IF(NEIadder="Yes",IF($G29="","",INDEX(Lookups!$G$70:$G$71,MATCH($A29,Lookups!$E$70:$E$71,0))*(SUM(CP29:CX29,BX29))),"")</f>
        <v/>
      </c>
      <c r="DC29" s="263" t="str">
        <f t="shared" si="15"/>
        <v/>
      </c>
      <c r="DD29" s="166">
        <f t="shared" si="16"/>
        <v>0</v>
      </c>
      <c r="DE29" s="82">
        <f t="shared" si="43"/>
        <v>0</v>
      </c>
      <c r="DF29" s="615">
        <f>IF($G29="","",(1+WntPeakEnergyLL)*(INDEX(avoidedcosttbl,$H29,DF$2)+(($H29-ROUNDDOWN($H29,0))*(INDEX(avoidedcosttbl,ROUNDUP($H29,0),DF$2)-(INDEX(avoidedcosttbl,ROUNDDOWN($H29,0),DF$2)))))*$P29*1000*ADRYr1!Z29)</f>
        <v>0</v>
      </c>
      <c r="DG29" s="615">
        <f>IF($G29="","",(1+WntOffPeakEnergyLL)*(INDEX(avoidedcosttbl,$H29,DG$2)+(($H29-ROUNDDOWN($H29,0))*(INDEX(avoidedcosttbl,ROUNDUP($H29,0),DG$2)-(INDEX(avoidedcosttbl,ROUNDDOWN($H29,0),DG$2)))))*$P29*1000*ADRYr1!AA29)</f>
        <v>0</v>
      </c>
      <c r="DH29" s="615">
        <f>IF($G29="","",(1+SumPeakEnergyLL)*(INDEX(avoidedcosttbl,$H29,DH$2)+(($H29-ROUNDDOWN($H29,0))*(INDEX(avoidedcosttbl,ROUNDUP($H29,0),DH$2)-(INDEX(avoidedcosttbl,ROUNDDOWN($H29,0),DH$2)))))*$P29*1000*ADRYr1!AB29)</f>
        <v>0</v>
      </c>
      <c r="DI29" s="615">
        <f>IF($G29="","",(1+SumOffPeakEnergyLL)*(INDEX(avoidedcosttbl,$H29,DI$2)+(($H29-ROUNDDOWN($H29,0))*(INDEX(avoidedcosttbl,ROUNDUP($H29,0),DI$2)-(INDEX(avoidedcosttbl,ROUNDDOWN($H29,0),DI$2)))))*$P29*1000*ADRYr1!AC29)</f>
        <v>0</v>
      </c>
      <c r="DJ29" s="29">
        <f t="shared" si="44"/>
        <v>0</v>
      </c>
      <c r="DK29" s="161">
        <f t="shared" si="45"/>
        <v>742402.59595071175</v>
      </c>
      <c r="DL29" s="1189">
        <f t="shared" si="46"/>
        <v>742402.59595071175</v>
      </c>
      <c r="DM29" s="1189">
        <f t="shared" si="47"/>
        <v>742402.59595071175</v>
      </c>
      <c r="DN29" s="43">
        <f t="shared" si="48"/>
        <v>742402.59595071175</v>
      </c>
      <c r="DO29" s="966" t="str">
        <f>IF($G29="","",ADRYr1!AQ29)</f>
        <v>Top 20 All Hours</v>
      </c>
      <c r="DP29" s="968" t="str">
        <f>IF($G29="","",ADRYr1!AR29)</f>
        <v>No</v>
      </c>
      <c r="DQ29" s="970" t="str">
        <f>IF($G29="","",IF($DP29="Yes",COLUMN(AESC!$L$10),IF($DP29="No","Using AvoidedDemand tab",IF($DP29="Mixed",COLUMN(AESC!$N$10)))))</f>
        <v>Using AvoidedDemand tab</v>
      </c>
      <c r="DR29" s="970" t="str">
        <f>IF($G29="","",IF($DP29="Yes",COLUMN(AESC!$P$10),IF($DP29="No","Using AvoidedDemand tab",IF($DP29="Mixed",COLUMN(AESC!$R$10)))))</f>
        <v>Using AvoidedDemand tab</v>
      </c>
      <c r="DS29" s="970">
        <f>IF($G29="","",IF($DP29="Yes",COLUMN(AESC!$S$10),IF($DP29="No",COLUMN(AESC!$T$10),IF($DP29="Mixed",COLUMN(AESC!$U$10)))))</f>
        <v>20</v>
      </c>
      <c r="DT29" s="970" t="str">
        <f t="shared" si="17"/>
        <v>2024-Top 20 All Hours-1</v>
      </c>
      <c r="DU29" s="970" t="str">
        <f>IF($G29="","",ADRYr1!AS29)</f>
        <v>No</v>
      </c>
      <c r="DV29" s="971">
        <f>IF($G29="","",ADRYr1!AT29)</f>
        <v>0.1</v>
      </c>
      <c r="DW29" s="1162">
        <f>IF($G29="","",INDEX(AvoidedEnergy!$H$4:$H$10,MATCH($DO29,AvoidedEnergy!$A$4:$A$10,0)))</f>
        <v>0.09</v>
      </c>
    </row>
    <row r="30" spans="1:127">
      <c r="A30" s="160" t="str">
        <f>IF(ADRYr1!$B30=0,"",ADRYr1!A30)</f>
        <v>C - Commercial &amp; Industrial</v>
      </c>
      <c r="B30" s="9" t="str">
        <f>IF(ADRYr1!$B30=0,"",ADRYr1!B30)</f>
        <v>C5 - C&amp;I Active Demand Response</v>
      </c>
      <c r="C30" s="9" t="str">
        <f>IF(ADRYr1!$B30=0,"",ADRYr1!C30)</f>
        <v>C5a - C&amp;I Active Demand Response</v>
      </c>
      <c r="D30" s="9" t="str">
        <f>IF(ADRYr1!$B30=0,"",ADRYr1!D30)</f>
        <v>Load Curtailment Targeted Dispatch P4P Winter</v>
      </c>
      <c r="E30" s="9">
        <f>IF(ADRYr1!$B30=0,"",ADRYr1!E30)</f>
        <v>0</v>
      </c>
      <c r="F30" s="11" t="str">
        <f>IF(ADRYr1!$B30=0,"",ADRYr1!F30)</f>
        <v>Behavior</v>
      </c>
      <c r="G30" s="12" t="str">
        <f>IF(ADRYr1!$G30&lt;&gt;0,ADRYr1!G30,"")</f>
        <v/>
      </c>
      <c r="H30" s="960" t="str">
        <f>IF($G30="","",ROUND(ADRYr1!H30,0))</f>
        <v/>
      </c>
      <c r="I30" s="47" t="str">
        <f>IF($G30="","",ADRYr1!I30*ADRYr1!P30*G30)</f>
        <v/>
      </c>
      <c r="J30" s="47" t="str">
        <f>IF($G30="","",ADRYr1!J30*G30)</f>
        <v/>
      </c>
      <c r="K30" s="47" t="str">
        <f t="shared" si="18"/>
        <v/>
      </c>
      <c r="L30" s="27" t="str">
        <f>IF($G30="","",ADRYr1!V30*G30/1000)</f>
        <v/>
      </c>
      <c r="M30" s="27" t="str">
        <f>IF($G30="","",L30*ADRYr1!$Q30*ADRYr1!$R30)</f>
        <v/>
      </c>
      <c r="N30" s="27" t="str">
        <f t="shared" si="19"/>
        <v/>
      </c>
      <c r="O30" s="27" t="str">
        <f t="shared" si="20"/>
        <v/>
      </c>
      <c r="P30" s="27" t="str">
        <f>IF($G30="","",M30*ADRYr1!P30)</f>
        <v/>
      </c>
      <c r="Q30" s="27" t="str">
        <f t="shared" si="21"/>
        <v/>
      </c>
      <c r="R30" s="27" t="str">
        <f>IF($G30="","",$Q30*ADRYr1!Z30)</f>
        <v/>
      </c>
      <c r="S30" s="27" t="str">
        <f>IF($G30="","",$Q30*ADRYr1!AA30)</f>
        <v/>
      </c>
      <c r="T30" s="27" t="str">
        <f>IF($G30="","",$Q30*ADRYr1!AB30)</f>
        <v/>
      </c>
      <c r="U30" s="27" t="str">
        <f>IF($G30="","",$Q30*ADRYr1!AC30)</f>
        <v/>
      </c>
      <c r="V30" s="27" t="str">
        <f>IF($G30="","",G30*ADRYr1!$AD30*ADRYr1!$P30*ADRYr1!$Q30)</f>
        <v/>
      </c>
      <c r="W30" s="27" t="str">
        <f>IF($G30="","",$G30*ADRYr1!$AD30*ADRYr1!$AF30*ADRYr1!Q30*ADRYr1!$S30)</f>
        <v/>
      </c>
      <c r="X30" s="27" t="str">
        <f>IF($G30="","",$G30*ADRYr1!$AD30*ADRYr1!$AF30*ADRYr1!P30*ADRYr1!Q30*ADRYr1!$S30)</f>
        <v/>
      </c>
      <c r="Y30" s="27" t="str">
        <f>IF($G30="","",$G30*ADRYr1!$AD30*ADRYr1!$AE30*ADRYr1!Q30*ADRYr1!$T30)</f>
        <v/>
      </c>
      <c r="Z30" s="27" t="str">
        <f>IF($G30="","",$G30*ADRYr1!$AD30*ADRYr1!$AE30*ADRYr1!P30*ADRYr1!Q30*ADRYr1!$T30)</f>
        <v/>
      </c>
      <c r="AA30" s="45" t="str">
        <f>IF($G30="","",$G30*ADRYr1!$Q30*ADRYr1!$U30*(IF(IFERROR(SEARCH("NG", ADRYr1!$AI30),0),ADRYr1!$AJ30,0)+IF(IFERROR(SEARCH("NG", ADRYr1!$AK30),0),ADRYr1!$AL30,0)+IF(IFERROR(SEARCH("NG", ADRYr1!$AM30),0),ADRYr1!$AN30,0)))</f>
        <v/>
      </c>
      <c r="AB30" s="45" t="str">
        <f t="shared" si="22"/>
        <v/>
      </c>
      <c r="AC30" s="45">
        <f>IF($G30="",0,AA30*ADRYr1!$P30)</f>
        <v>0</v>
      </c>
      <c r="AD30" s="45" t="str">
        <f t="shared" si="23"/>
        <v/>
      </c>
      <c r="AE30" s="45" t="str">
        <f>IF($G30="","",$G30*ADRYr1!$Q30*ADRYr1!$U30*(IF(IFERROR(SEARCH("Oil", ADRYr1!$AI30), 0),ADRYr1!$AJ30,0)+IF(IFERROR(SEARCH("Oil", ADRYr1!$AK30), 0),ADRYr1!$AL30,0)+IF(IFERROR(SEARCH("Oil", ADRYr1!$AM30), 0),ADRYr1!$AN30,0)))</f>
        <v/>
      </c>
      <c r="AF30" s="45" t="str">
        <f t="shared" si="24"/>
        <v/>
      </c>
      <c r="AG30" s="45">
        <f>IF($G30="",0,AE30*ADRYr1!$P30)</f>
        <v>0</v>
      </c>
      <c r="AH30" s="45" t="str">
        <f t="shared" si="25"/>
        <v/>
      </c>
      <c r="AI30" s="45" t="str">
        <f>IF($G30="","",$G30*ADRYr1!$Q30*ADRYr1!$U30*(IF(ADRYr1!$AI30=Lookups!$E$116,ADRYr1!$AJ30,IF(ADRYr1!$AK30=Lookups!$E$116,ADRYr1!$AL30,IF(ADRYr1!$AM30=Lookups!$E$116,ADRYr1!$AN30,0)))))</f>
        <v/>
      </c>
      <c r="AJ30" s="45" t="str">
        <f t="shared" si="26"/>
        <v/>
      </c>
      <c r="AK30" s="45">
        <f>IF($G30="",0,AI30*ADRYr1!$P30)</f>
        <v>0</v>
      </c>
      <c r="AL30" s="45" t="str">
        <f t="shared" si="27"/>
        <v/>
      </c>
      <c r="AM30" s="45" t="str">
        <f>IF($G30="","",$G30*ADRYr1!$Q30*ADRYr1!$U30*(IF(ADRYr1!$AI30=Lookups!$E$115,ADRYr1!$AJ30,IF(ADRYr1!$AK30=Lookups!$E$115,ADRYr1!$AL30,IF(ADRYr1!$AM30=Lookups!$E$115,ADRYr1!$AN30,0)))))</f>
        <v/>
      </c>
      <c r="AN30" s="45" t="str">
        <f t="shared" si="28"/>
        <v/>
      </c>
      <c r="AO30" s="45">
        <f>IF($G30="",0,AM30*ADRYr1!$P30)</f>
        <v>0</v>
      </c>
      <c r="AP30" s="45" t="str">
        <f t="shared" si="29"/>
        <v/>
      </c>
      <c r="AQ30" s="45" t="str">
        <f>IF($G30="","",$G30*ADRYr1!$Q30*ADRYr1!$U30*(IF(ADRYr1!$AI30=Lookups!$E$117,ADRYr1!$AJ30,IF(ADRYr1!$AK30=Lookups!$E$117,ADRYr1!$AL30,IF(ADRYr1!$AM30=Lookups!$E$117,ADRYr1!$AN30,0)))))</f>
        <v/>
      </c>
      <c r="AR30" s="45" t="str">
        <f t="shared" si="30"/>
        <v/>
      </c>
      <c r="AS30" s="45" t="str">
        <f>IF($G30="","",AQ30*ADRYr1!$P30)</f>
        <v/>
      </c>
      <c r="AT30" s="45" t="str">
        <f t="shared" si="31"/>
        <v/>
      </c>
      <c r="AU30" s="45" t="str">
        <f>IF($G30="","",$G30*ADRYr1!$Q30*ADRYr1!$U30*(IF(ADRYr1!$AI30=Lookups!$E$118,ADRYr1!$AJ30,IF(ADRYr1!$AK30=Lookups!$E$118,ADRYr1!$AL30,IF(ADRYr1!$AM30=Lookups!$E$118,ADRYr1!$AN30,0)))))</f>
        <v/>
      </c>
      <c r="AV30" s="45" t="str">
        <f t="shared" si="32"/>
        <v/>
      </c>
      <c r="AW30" s="45" t="str">
        <f>IF($G30="","",AU30*ADRYr1!$P30)</f>
        <v/>
      </c>
      <c r="AX30" s="45" t="str">
        <f t="shared" si="33"/>
        <v/>
      </c>
      <c r="AY30" s="45">
        <f t="shared" si="49"/>
        <v>0</v>
      </c>
      <c r="AZ30" s="45">
        <f t="shared" si="49"/>
        <v>0</v>
      </c>
      <c r="BA30" s="101" t="str">
        <f>IF($G30="","",$G30*ADRYr1!$P30*ADRYr1!$Q30*ADRYr1!$U30*ADRYr1!AO30)</f>
        <v/>
      </c>
      <c r="BB30" s="102" t="str">
        <f>IF($G30="","",$G30*ADRYr1!$P30*ADRYr1!$Q30*ADRYr1!$U30*ADRYr1!AP30)</f>
        <v/>
      </c>
      <c r="BC30" s="100" t="str">
        <f t="shared" si="35"/>
        <v/>
      </c>
      <c r="BD30" s="961"/>
      <c r="BE30" s="961"/>
      <c r="BF30" s="961"/>
      <c r="BG30" s="961"/>
      <c r="BH30" s="962" t="str">
        <f t="shared" si="3"/>
        <v/>
      </c>
      <c r="BI30" s="961"/>
      <c r="BJ30" s="961"/>
      <c r="BK30" s="961"/>
      <c r="BL30" s="961"/>
      <c r="BM30" s="30" t="str">
        <f t="shared" si="4"/>
        <v/>
      </c>
      <c r="BN30" s="963" t="str">
        <f t="shared" si="5"/>
        <v/>
      </c>
      <c r="BO30" s="31" t="str">
        <f t="shared" si="36"/>
        <v/>
      </c>
      <c r="BP30" s="964" t="str">
        <f t="shared" si="6"/>
        <v/>
      </c>
      <c r="BQ30" s="28" t="str">
        <f t="shared" si="7"/>
        <v/>
      </c>
      <c r="BR30" s="964" t="str">
        <f t="shared" si="8"/>
        <v/>
      </c>
      <c r="BS30" s="964" t="str">
        <f t="shared" si="9"/>
        <v/>
      </c>
      <c r="BT30" s="28" t="str">
        <f t="shared" si="50"/>
        <v/>
      </c>
      <c r="BU30" s="28" t="str">
        <f t="shared" si="50"/>
        <v/>
      </c>
      <c r="BV30" s="28" t="str">
        <f t="shared" si="50"/>
        <v/>
      </c>
      <c r="BW30" s="29" t="str">
        <f t="shared" si="37"/>
        <v/>
      </c>
      <c r="BX30" s="29" t="str">
        <f t="shared" si="38"/>
        <v/>
      </c>
      <c r="BY30" s="28" t="str">
        <f>IF($G30="","",$G30*(IF(ADRYr1!$AI30=BY$4,ADRYr1!$AJ30,IF(ADRYr1!$AK30=BY$4,ADRYr1!$AL30,IF(ADRYr1!$AM30=BY$4,ADRYr1!$AN30,0))))*(INDEX(avoidedcosttbl,$H30,BY$2)+(($H30-ROUNDDOWN($H30,0))*(INDEX(avoidedcosttbl,ROUNDUP($H30,0),BY$2)-(INDEX(avoidedcosttbl,ROUNDDOWN($H30,0),BY$2)))))*ADRYr1!P30*ADRYr1!Q30*ADRYr1!U30)</f>
        <v/>
      </c>
      <c r="BZ30" s="28" t="str">
        <f>IF($G30="","",$G30*(IF(ADRYr1!$AI30=BZ$4,ADRYr1!$AJ30,IF(ADRYr1!$AK30=BZ$4,ADRYr1!$AL30,IF(ADRYr1!$AM30=BZ$4,ADRYr1!$AN30,0))))*(INDEX(avoidedcosttbl,$H30,BZ$2)+(($H30-ROUNDDOWN($H30,0))*(INDEX(avoidedcosttbl,ROUNDUP($H30,0),BZ$2)-(INDEX(avoidedcosttbl,ROUNDDOWN($H30,0),BZ$2)))))*ADRYr1!P30*ADRYr1!Q30*ADRYr1!U30)</f>
        <v/>
      </c>
      <c r="CA30" s="28" t="str">
        <f>IF($G30="","",$G30*(IF(ADRYr1!$AI30=CA$4,ADRYr1!$AJ30,IF(ADRYr1!$AK30=CA$4,ADRYr1!$AL30,IF(ADRYr1!$AM30=CA$4,ADRYr1!$AN30,0))))*(INDEX(avoidedcosttbl,$H30,CA$2)+(($H30-ROUNDDOWN($H30,0))*(INDEX(avoidedcosttbl,ROUNDUP($H30,0),CA$2)-(INDEX(avoidedcosttbl,ROUNDDOWN($H30,0),CA$2)))))*ADRYr1!P30*ADRYr1!Q30*ADRYr1!U30)</f>
        <v/>
      </c>
      <c r="CB30" s="28" t="str">
        <f>IF($G30="","",$G30*(IF(ADRYr1!$AI30=CB$4,ADRYr1!$AJ30,IF(ADRYr1!$AK30=CB$4,ADRYr1!$AL30,IF(ADRYr1!$AM30=CB$4,ADRYr1!$AN30,0))))*(INDEX(avoidedcosttbl,$H30,CB$2)+(($H30-ROUNDDOWN($H30,0))*(INDEX(avoidedcosttbl,ROUNDUP($H30,0),CB$2)-(INDEX(avoidedcosttbl,ROUNDDOWN($H30,0),CB$2)))))*ADRYr1!P30*ADRYr1!Q30*ADRYr1!U30)</f>
        <v/>
      </c>
      <c r="CC30" s="28" t="str">
        <f>IF($G30="","",$G30*(IF(ADRYr1!$AI30=CC$4,ADRYr1!$AJ30,IF(ADRYr1!$AK30=CC$4,ADRYr1!$AL30,IF(ADRYr1!$AM30=CC$4,ADRYr1!$AN30,0))))*(INDEX(avoidedcosttbl,$H30,CC$2)+(($H30-ROUNDDOWN($H30,0))*(INDEX(avoidedcosttbl,ROUNDUP($H30,0),CC$2)-(INDEX(avoidedcosttbl,ROUNDDOWN($H30,0),CC$2)))))*ADRYr1!P30*ADRYr1!Q30*ADRYr1!U30)</f>
        <v/>
      </c>
      <c r="CD30" s="28" t="str">
        <f>IF($G30="","",$G30*(IF(ADRYr1!$AI30=CD$4,ADRYr1!$AJ30,IF(ADRYr1!$AK30=CD$4,ADRYr1!$AL30,IF(ADRYr1!$AM30=CD$4,ADRYr1!$AN30,0))))*(INDEX(avoidedcosttbl,$H30,CD$2)+(($H30-ROUNDDOWN($H30,0))*(INDEX(avoidedcosttbl,ROUNDUP($H30,0),CD$2)-(INDEX(avoidedcosttbl,ROUNDDOWN($H30,0),CD$2)))))*ADRYr1!P30*ADRYr1!Q30*ADRYr1!U30)</f>
        <v/>
      </c>
      <c r="CE30" s="28" t="str">
        <f>IF($G30="","",$G30*(IF(ADRYr1!$AI30=CE$4,ADRYr1!$AJ30,IF(ADRYr1!$AK30=CE$4,ADRYr1!$AL30,IF(ADRYr1!$AM30=CE$4,ADRYr1!$AN30,0))))*(INDEX(avoidedcosttbl,$H30,CE$2)+(($H30-ROUNDDOWN($H30,0))*(INDEX(avoidedcosttbl,ROUNDUP($H30,0),CE$2)-(INDEX(avoidedcosttbl,ROUNDDOWN($H30,0),CE$2)))))*ADRYr1!P30*ADRYr1!Q30*ADRYr1!U30)</f>
        <v/>
      </c>
      <c r="CF30" s="41" t="str">
        <f t="shared" si="39"/>
        <v/>
      </c>
      <c r="CG30" s="30" t="str">
        <f t="shared" si="11"/>
        <v/>
      </c>
      <c r="CH30" s="30" t="str">
        <f>IF($G30="","",$G30*(IF(ADRYr1!$AI30=BY$4,ADRYr1!$AJ30,IF(ADRYr1!$AK30=BY$4,ADRYr1!$AL30,IF(ADRYr1!$AM30=BY$4,ADRYr1!$AN30,0))))*(INDEX(avoidedcosttbl,$H30,CH$2)+(($H30-ROUNDDOWN($H30,0))*(INDEX(avoidedcosttbl,ROUNDUP($H30,0),CH$2)-(INDEX(avoidedcosttbl,ROUNDDOWN($H30,0),CH$2)))))*ADRYr1!P30*ADRYr1!Q30*ADRYr1!U30)</f>
        <v/>
      </c>
      <c r="CI30" s="30" t="str">
        <f>IF($G30="","",$G30*(IF(ADRYr1!$AI30=BZ$4,ADRYr1!$AJ30,IF(ADRYr1!$AK30=BZ$4,ADRYr1!$AL30,IF(ADRYr1!$AM30=BZ$4,ADRYr1!$AN30,0))))*(INDEX(avoidedcosttbl,$H30,CI$2)+(($H30-ROUNDDOWN($H30,0))*(INDEX(avoidedcosttbl,ROUNDUP($H30,0),CI$2)-(INDEX(avoidedcosttbl,ROUNDDOWN($H30,0),CI$2)))))*ADRYr1!P30*ADRYr1!Q30*ADRYr1!U30)</f>
        <v/>
      </c>
      <c r="CJ30" s="30" t="str">
        <f>IF($G30="","",$G30*(IF(ADRYr1!$AI30=CA$4,ADRYr1!$AJ30,IF(ADRYr1!$AK30=CA$4,ADRYr1!$AL30,IF(ADRYr1!$AM30=CA$4,ADRYr1!$AN30,0))))*(INDEX(avoidedcosttbl,$H30,CJ$2)+(($H30-ROUNDDOWN($H30,0))*(INDEX(avoidedcosttbl,ROUNDUP($H30,0),CJ$2)-(INDEX(avoidedcosttbl,ROUNDDOWN($H30,0),CJ$2)))))*ADRYr1!P30*ADRYr1!Q30*ADRYr1!U30)</f>
        <v/>
      </c>
      <c r="CK30" s="30" t="str">
        <f>IF($G30="","",$G30*(IF(ADRYr1!$AI30=CB$4,ADRYr1!$AJ30,IF(ADRYr1!$AK30=CB$4,ADRYr1!$AL30,IF(ADRYr1!$AM30=CB$4,ADRYr1!$AN30,0))))*(INDEX(avoidedcosttbl,$H30,CK$2)+(($H30-ROUNDDOWN($H30,0))*(INDEX(avoidedcosttbl,ROUNDUP($H30,0),CK$2)-(INDEX(avoidedcosttbl,ROUNDDOWN($H30,0),CK$2)))))*ADRYr1!P30*ADRYr1!Q30*ADRYr1!U30)</f>
        <v/>
      </c>
      <c r="CL30" s="30" t="str">
        <f>IF($G30="","",$G30*(IF(ADRYr1!$AI30=CC$4,ADRYr1!$AJ30,IF(ADRYr1!$AK30=CC$4,ADRYr1!$AL30,IF(ADRYr1!$AM30=CC$4,ADRYr1!$AN30,0))))*(INDEX(avoidedcosttbl,$H30,CL$2)+(($H30-ROUNDDOWN($H30,0))*(INDEX(avoidedcosttbl,ROUNDUP($H30,0),CL$2)-(INDEX(avoidedcosttbl,ROUNDDOWN($H30,0),CL$2)))))*ADRYr1!P30*ADRYr1!Q30*ADRYr1!U30)</f>
        <v/>
      </c>
      <c r="CM30" s="30" t="str">
        <f>IF($G30="","",$G30*(IF(ADRYr1!$AI30=CD$4,ADRYr1!$AJ30,IF(ADRYr1!$AK30=CD$4,ADRYr1!$AL30,IF(ADRYr1!$AM30=CD$4,ADRYr1!$AN30,0))))*(INDEX(avoidedcosttbl,$H30,CM$2)+(($H30-ROUNDDOWN($H30,0))*(INDEX(avoidedcosttbl,ROUNDUP($H30,0),CM$2)-(INDEX(avoidedcosttbl,ROUNDDOWN($H30,0),CM$2)))))*ADRYr1!P30*ADRYr1!Q30*ADRYr1!U30)</f>
        <v/>
      </c>
      <c r="CN30" s="30" t="str">
        <f>IF($G30="","",$G30*(IF(ADRYr1!$AI30=CE$4,ADRYr1!$AJ30,IF(ADRYr1!$AK30=CE$4,ADRYr1!$AL30,IF(ADRYr1!$AM30=CE$4,ADRYr1!$AN30,0))))*(INDEX(avoidedcosttbl,$H30,CN$2)+(($H30-ROUNDDOWN($H30,0))*(INDEX(avoidedcosttbl,ROUNDUP($H30,0),CN$2)-(INDEX(avoidedcosttbl,ROUNDDOWN($H30,0),CN$2)))))*ADRYr1!P30*ADRYr1!Q30*ADRYr1!U30)</f>
        <v/>
      </c>
      <c r="CO30" s="220" t="str">
        <f t="shared" si="40"/>
        <v/>
      </c>
      <c r="CP30" s="220" t="str">
        <f t="shared" si="41"/>
        <v/>
      </c>
      <c r="CQ30" s="157" t="str">
        <f>IF($G30="","",$G30*(IF(ADRYr1!$AI30=CQ$4,ADRYr1!$AJ30,IF(ADRYr1!$AK30=CQ$4,ADRYr1!$AL30,IF(ADRYr1!$AM30=CQ$4,ADRYr1!$AN30,0))))*(INDEX(avoidedcosttbl,$H30,CQ$2)+(($H30-ROUNDDOWN($H30,0))*(INDEX(avoidedcosttbl,ROUNDUP($H30,0),CQ$2)-(INDEX(avoidedcosttbl,ROUNDDOWN($H30,0),CQ$2)))))*ADRYr1!$P30*ADRYr1!$Q30*ADRYr1!$U30)</f>
        <v/>
      </c>
      <c r="CR30" s="28" t="str">
        <f>IF($G30="","",G30*(IF(ADRYr1!$AI30=CR$4,ADRYr1!$AJ30,IF(ADRYr1!$AK30=CR$4,ADRYr1!$AL30,IF(ADRYr1!$AM30=CR$4,ADRYr1!$AN30,0))))*(INDEX(avoidedcosttbl,$H30,CR$2)+(($H30-ROUNDDOWN($H30,0))*(INDEX(avoidedcosttbl,ROUNDUP($H30,0),CR$2)-(INDEX(avoidedcosttbl,ROUNDDOWN($H30,0),CR$2)))))*ADRYr1!$P30*ADRYr1!$Q30*ADRYr1!$U30)</f>
        <v/>
      </c>
      <c r="CS30" s="28" t="str">
        <f>IF($G30="","",G30*(IF(ADRYr1!$AI30=CS$4,ADRYr1!$AJ30,IF(ADRYr1!$AK30=CS$4,ADRYr1!$AL30,IF(ADRYr1!$AM30=CS$4,ADRYr1!$AN30,0))))*(INDEX(avoidedcosttbl,$H30,CS$2)+(($H30-ROUNDDOWN($H30,0))*(INDEX(avoidedcosttbl,ROUNDUP($H30,0),CS$2)-(INDEX(avoidedcosttbl,ROUNDDOWN($H30,0),CS$2)))))*ADRYr1!$P30*ADRYr1!$Q30*ADRYr1!$U30)</f>
        <v/>
      </c>
      <c r="CT30" s="28" t="str">
        <f t="shared" si="12"/>
        <v/>
      </c>
      <c r="CU30" s="28" t="str">
        <f>IF($G30="","",G30*(IF(ADRYr1!$AI30=CU$4,ADRYr1!$AJ30,IF(ADRYr1!$AK30=CU$4,ADRYr1!$AL30,IF(ADRYr1!$AM30=CU$4,ADRYr1!$AN30,0))))*(INDEX(avoidedcosttbl,$H30,CU$2)+(($H30-ROUNDDOWN($H30,0))*(INDEX(avoidedcosttbl,ROUNDUP($H30,0),CU$2)-(INDEX(avoidedcosttbl,ROUNDDOWN($H30,0),CU$2)))))*ADRYr1!$P30*ADRYr1!$Q30*ADRYr1!$U30)</f>
        <v/>
      </c>
      <c r="CV30" s="28" t="str">
        <f>IF($G30="","",G30*(IF(ADRYr1!$AI30=CV$4,ADRYr1!$AJ30,IF(ADRYr1!$AK30=CV$4,ADRYr1!$AL30,IF(ADRYr1!$AM30=CV$4,ADRYr1!$AN30,0))))*(INDEX(avoidedcosttbl,$H30,CV$2)+(($H30-ROUNDDOWN($H30,0))*(INDEX(avoidedcosttbl,ROUNDUP($H30,0),CV$2)-(INDEX(avoidedcosttbl,ROUNDDOWN($H30,0),CV$2)))))*ADRYr1!$P30*ADRYr1!$Q30*ADRYr1!$U30)</f>
        <v/>
      </c>
      <c r="CW30" s="28" t="str">
        <f>IF($G30="","",G30*(IF(ADRYr1!$AI30=CW$4,ADRYr1!$AJ30,IF(ADRYr1!$AK30=CW$4,ADRYr1!$AL30,IF(ADRYr1!$AM30=CW$4,ADRYr1!$AN30,0))))*(INDEX(avoidedcosttbl,$H30,CW$2)+(($H30-ROUNDDOWN($H30,0))*(INDEX(avoidedcosttbl,ROUNDUP($H30,0),CW$2)-(INDEX(avoidedcosttbl,ROUNDDOWN($H30,0),CW$2)))))*ADRYr1!$P30*ADRYr1!$Q30*ADRYr1!$U30)</f>
        <v/>
      </c>
      <c r="CX30" s="28" t="str">
        <f>IF($G30="","",G30*(IF(ADRYr1!$AI30=CX$4,ADRYr1!$AJ30,IF(ADRYr1!$AK30=CX$4,ADRYr1!$AL30,IF(ADRYr1!$AM30=CX$4,ADRYr1!$AN30,0))))*(INDEX(avoidedcosttbl,$H30,CX$2)+(($H30-ROUNDDOWN($H30,0))*(INDEX(avoidedcosttbl,ROUNDUP($H30,0),CX$2)-(INDEX(avoidedcosttbl,ROUNDDOWN($H30,0),CX$2)))))*ADRYr1!$P30*ADRYr1!$Q30*ADRYr1!$U30)</f>
        <v/>
      </c>
      <c r="CY30" s="28" t="str">
        <f t="shared" si="13"/>
        <v/>
      </c>
      <c r="CZ30" s="32" t="str">
        <f t="shared" si="14"/>
        <v/>
      </c>
      <c r="DA30" s="84" t="str">
        <f t="shared" si="42"/>
        <v/>
      </c>
      <c r="DB30" s="81" t="str">
        <f>IF(NEIadder="Yes",IF($G30="","",INDEX(Lookups!$G$70:$G$71,MATCH($A30,Lookups!$E$70:$E$71,0))*(SUM(CP30:CX30,BX30))),"")</f>
        <v/>
      </c>
      <c r="DC30" s="263" t="str">
        <f t="shared" si="15"/>
        <v/>
      </c>
      <c r="DD30" s="166" t="str">
        <f t="shared" si="16"/>
        <v/>
      </c>
      <c r="DE30" s="82">
        <f t="shared" si="43"/>
        <v>0</v>
      </c>
      <c r="DF30" s="615" t="str">
        <f>IF($G30="","",(1+WntPeakEnergyLL)*(INDEX(avoidedcosttbl,$H30,DF$2)+(($H30-ROUNDDOWN($H30,0))*(INDEX(avoidedcosttbl,ROUNDUP($H30,0),DF$2)-(INDEX(avoidedcosttbl,ROUNDDOWN($H30,0),DF$2)))))*$P30*1000*ADRYr1!Z30)</f>
        <v/>
      </c>
      <c r="DG30" s="615" t="str">
        <f>IF($G30="","",(1+WntOffPeakEnergyLL)*(INDEX(avoidedcosttbl,$H30,DG$2)+(($H30-ROUNDDOWN($H30,0))*(INDEX(avoidedcosttbl,ROUNDUP($H30,0),DG$2)-(INDEX(avoidedcosttbl,ROUNDDOWN($H30,0),DG$2)))))*$P30*1000*ADRYr1!AA30)</f>
        <v/>
      </c>
      <c r="DH30" s="615" t="str">
        <f>IF($G30="","",(1+SumPeakEnergyLL)*(INDEX(avoidedcosttbl,$H30,DH$2)+(($H30-ROUNDDOWN($H30,0))*(INDEX(avoidedcosttbl,ROUNDUP($H30,0),DH$2)-(INDEX(avoidedcosttbl,ROUNDDOWN($H30,0),DH$2)))))*$P30*1000*ADRYr1!AB30)</f>
        <v/>
      </c>
      <c r="DI30" s="615" t="str">
        <f>IF($G30="","",(1+SumOffPeakEnergyLL)*(INDEX(avoidedcosttbl,$H30,DI$2)+(($H30-ROUNDDOWN($H30,0))*(INDEX(avoidedcosttbl,ROUNDUP($H30,0),DI$2)-(INDEX(avoidedcosttbl,ROUNDDOWN($H30,0),DI$2)))))*$P30*1000*ADRYr1!AC30)</f>
        <v/>
      </c>
      <c r="DJ30" s="29" t="str">
        <f t="shared" si="44"/>
        <v/>
      </c>
      <c r="DK30" s="161" t="str">
        <f t="shared" si="45"/>
        <v/>
      </c>
      <c r="DL30" s="1189" t="str">
        <f t="shared" si="46"/>
        <v/>
      </c>
      <c r="DM30" s="1189" t="str">
        <f t="shared" si="47"/>
        <v/>
      </c>
      <c r="DN30" s="43" t="str">
        <f t="shared" si="48"/>
        <v/>
      </c>
      <c r="DO30" s="966" t="str">
        <f>IF($G30="","",ADRYr1!AQ30)</f>
        <v/>
      </c>
      <c r="DP30" s="968" t="str">
        <f>IF($G30="","",ADRYr1!AR30)</f>
        <v/>
      </c>
      <c r="DQ30" s="970" t="str">
        <f>IF($G30="","",IF($DP30="Yes",COLUMN(AESC!$L$10),IF($DP30="No","Using AvoidedDemand tab",IF($DP30="Mixed",COLUMN(AESC!$N$10)))))</f>
        <v/>
      </c>
      <c r="DR30" s="970" t="str">
        <f>IF($G30="","",IF($DP30="Yes",COLUMN(AESC!$P$10),IF($DP30="No","Using AvoidedDemand tab",IF($DP30="Mixed",COLUMN(AESC!$R$10)))))</f>
        <v/>
      </c>
      <c r="DS30" s="970" t="str">
        <f>IF($G30="","",IF($DP30="Yes",COLUMN(AESC!$S$10),IF($DP30="No",COLUMN(AESC!$T$10),IF($DP30="Mixed",COLUMN(AESC!$U$10)))))</f>
        <v/>
      </c>
      <c r="DT30" s="970" t="str">
        <f t="shared" si="17"/>
        <v/>
      </c>
      <c r="DU30" s="970" t="str">
        <f>IF($G30="","",ADRYr1!AS30)</f>
        <v/>
      </c>
      <c r="DV30" s="971" t="str">
        <f>IF($G30="","",ADRYr1!AT30)</f>
        <v/>
      </c>
      <c r="DW30" s="1162" t="str">
        <f>IF($G30="","",INDEX(AvoidedEnergy!$H$4:$H$10,MATCH($DO30,AvoidedEnergy!$A$4:$A$10,0)))</f>
        <v/>
      </c>
    </row>
    <row r="31" spans="1:127">
      <c r="A31" s="160" t="str">
        <f>IF(ADRYr1!$B31=0,"",ADRYr1!A31)</f>
        <v>C - Commercial &amp; Industrial</v>
      </c>
      <c r="B31" s="9" t="str">
        <f>IF(ADRYr1!$B31=0,"",ADRYr1!B31)</f>
        <v>C5 - C&amp;I Active Demand Response</v>
      </c>
      <c r="C31" s="9" t="str">
        <f>IF(ADRYr1!$B31=0,"",ADRYr1!C31)</f>
        <v>C5a - C&amp;I Active Demand Response</v>
      </c>
      <c r="D31" s="9" t="str">
        <f>IF(ADRYr1!$B31=0,"",ADRYr1!D31)</f>
        <v>Storage Daily Dispatch Upfront Incentive (savings) Summer</v>
      </c>
      <c r="E31" s="9">
        <f>IF(ADRYr1!$B31=0,"",ADRYr1!E31)</f>
        <v>0</v>
      </c>
      <c r="F31" s="11" t="str">
        <f>IF(ADRYr1!$B31=0,"",ADRYr1!F31)</f>
        <v>Behavior</v>
      </c>
      <c r="G31" s="12" t="str">
        <f>IF(ADRYr1!$G31&lt;&gt;0,ADRYr1!G31,"")</f>
        <v/>
      </c>
      <c r="H31" s="960" t="str">
        <f>IF($G31="","",ROUND(ADRYr1!H31,0))</f>
        <v/>
      </c>
      <c r="I31" s="47" t="str">
        <f>IF($G31="","",ADRYr1!I31*ADRYr1!P31*G31)</f>
        <v/>
      </c>
      <c r="J31" s="47" t="str">
        <f>IF($G31="","",ADRYr1!J31*G31)</f>
        <v/>
      </c>
      <c r="K31" s="47" t="str">
        <f t="shared" si="18"/>
        <v/>
      </c>
      <c r="L31" s="27" t="str">
        <f>IF($G31="","",ADRYr1!V31*G31/1000)</f>
        <v/>
      </c>
      <c r="M31" s="27" t="str">
        <f>IF($G31="","",L31*ADRYr1!$Q31*ADRYr1!$R31)</f>
        <v/>
      </c>
      <c r="N31" s="27" t="str">
        <f t="shared" si="19"/>
        <v/>
      </c>
      <c r="O31" s="27" t="str">
        <f t="shared" si="20"/>
        <v/>
      </c>
      <c r="P31" s="27" t="str">
        <f>IF($G31="","",M31*ADRYr1!P31)</f>
        <v/>
      </c>
      <c r="Q31" s="27" t="str">
        <f t="shared" si="21"/>
        <v/>
      </c>
      <c r="R31" s="27" t="str">
        <f>IF($G31="","",$Q31*ADRYr1!Z31)</f>
        <v/>
      </c>
      <c r="S31" s="27" t="str">
        <f>IF($G31="","",$Q31*ADRYr1!AA31)</f>
        <v/>
      </c>
      <c r="T31" s="27" t="str">
        <f>IF($G31="","",$Q31*ADRYr1!AB31)</f>
        <v/>
      </c>
      <c r="U31" s="27" t="str">
        <f>IF($G31="","",$Q31*ADRYr1!AC31)</f>
        <v/>
      </c>
      <c r="V31" s="27" t="str">
        <f>IF($G31="","",G31*ADRYr1!$AD31*ADRYr1!$P31*ADRYr1!$Q31)</f>
        <v/>
      </c>
      <c r="W31" s="27" t="str">
        <f>IF($G31="","",$G31*ADRYr1!$AD31*ADRYr1!$AF31*ADRYr1!Q31*ADRYr1!$S31)</f>
        <v/>
      </c>
      <c r="X31" s="27" t="str">
        <f>IF($G31="","",$G31*ADRYr1!$AD31*ADRYr1!$AF31*ADRYr1!P31*ADRYr1!Q31*ADRYr1!$S31)</f>
        <v/>
      </c>
      <c r="Y31" s="27" t="str">
        <f>IF($G31="","",$G31*ADRYr1!$AD31*ADRYr1!$AE31*ADRYr1!Q31*ADRYr1!$T31)</f>
        <v/>
      </c>
      <c r="Z31" s="27" t="str">
        <f>IF($G31="","",$G31*ADRYr1!$AD31*ADRYr1!$AE31*ADRYr1!P31*ADRYr1!Q31*ADRYr1!$T31)</f>
        <v/>
      </c>
      <c r="AA31" s="45" t="str">
        <f>IF($G31="","",$G31*ADRYr1!$Q31*ADRYr1!$U31*(IF(IFERROR(SEARCH("NG", ADRYr1!$AI31),0),ADRYr1!$AJ31,0)+IF(IFERROR(SEARCH("NG", ADRYr1!$AK31),0),ADRYr1!$AL31,0)+IF(IFERROR(SEARCH("NG", ADRYr1!$AM31),0),ADRYr1!$AN31,0)))</f>
        <v/>
      </c>
      <c r="AB31" s="45" t="str">
        <f t="shared" si="22"/>
        <v/>
      </c>
      <c r="AC31" s="45">
        <f>IF($G31="",0,AA31*ADRYr1!$P31)</f>
        <v>0</v>
      </c>
      <c r="AD31" s="45" t="str">
        <f t="shared" si="23"/>
        <v/>
      </c>
      <c r="AE31" s="45" t="str">
        <f>IF($G31="","",$G31*ADRYr1!$Q31*ADRYr1!$U31*(IF(IFERROR(SEARCH("Oil", ADRYr1!$AI31), 0),ADRYr1!$AJ31,0)+IF(IFERROR(SEARCH("Oil", ADRYr1!$AK31), 0),ADRYr1!$AL31,0)+IF(IFERROR(SEARCH("Oil", ADRYr1!$AM31), 0),ADRYr1!$AN31,0)))</f>
        <v/>
      </c>
      <c r="AF31" s="45" t="str">
        <f t="shared" si="24"/>
        <v/>
      </c>
      <c r="AG31" s="45">
        <f>IF($G31="",0,AE31*ADRYr1!$P31)</f>
        <v>0</v>
      </c>
      <c r="AH31" s="45" t="str">
        <f t="shared" si="25"/>
        <v/>
      </c>
      <c r="AI31" s="45" t="str">
        <f>IF($G31="","",$G31*ADRYr1!$Q31*ADRYr1!$U31*(IF(ADRYr1!$AI31=Lookups!$E$116,ADRYr1!$AJ31,IF(ADRYr1!$AK31=Lookups!$E$116,ADRYr1!$AL31,IF(ADRYr1!$AM31=Lookups!$E$116,ADRYr1!$AN31,0)))))</f>
        <v/>
      </c>
      <c r="AJ31" s="45" t="str">
        <f t="shared" si="26"/>
        <v/>
      </c>
      <c r="AK31" s="45">
        <f>IF($G31="",0,AI31*ADRYr1!$P31)</f>
        <v>0</v>
      </c>
      <c r="AL31" s="45" t="str">
        <f t="shared" si="27"/>
        <v/>
      </c>
      <c r="AM31" s="45" t="str">
        <f>IF($G31="","",$G31*ADRYr1!$Q31*ADRYr1!$U31*(IF(ADRYr1!$AI31=Lookups!$E$115,ADRYr1!$AJ31,IF(ADRYr1!$AK31=Lookups!$E$115,ADRYr1!$AL31,IF(ADRYr1!$AM31=Lookups!$E$115,ADRYr1!$AN31,0)))))</f>
        <v/>
      </c>
      <c r="AN31" s="45" t="str">
        <f t="shared" si="28"/>
        <v/>
      </c>
      <c r="AO31" s="45">
        <f>IF($G31="",0,AM31*ADRYr1!$P31)</f>
        <v>0</v>
      </c>
      <c r="AP31" s="45" t="str">
        <f t="shared" si="29"/>
        <v/>
      </c>
      <c r="AQ31" s="45" t="str">
        <f>IF($G31="","",$G31*ADRYr1!$Q31*ADRYr1!$U31*(IF(ADRYr1!$AI31=Lookups!$E$117,ADRYr1!$AJ31,IF(ADRYr1!$AK31=Lookups!$E$117,ADRYr1!$AL31,IF(ADRYr1!$AM31=Lookups!$E$117,ADRYr1!$AN31,0)))))</f>
        <v/>
      </c>
      <c r="AR31" s="45" t="str">
        <f t="shared" si="30"/>
        <v/>
      </c>
      <c r="AS31" s="45" t="str">
        <f>IF($G31="","",AQ31*ADRYr1!$P31)</f>
        <v/>
      </c>
      <c r="AT31" s="45" t="str">
        <f t="shared" si="31"/>
        <v/>
      </c>
      <c r="AU31" s="45" t="str">
        <f>IF($G31="","",$G31*ADRYr1!$Q31*ADRYr1!$U31*(IF(ADRYr1!$AI31=Lookups!$E$118,ADRYr1!$AJ31,IF(ADRYr1!$AK31=Lookups!$E$118,ADRYr1!$AL31,IF(ADRYr1!$AM31=Lookups!$E$118,ADRYr1!$AN31,0)))))</f>
        <v/>
      </c>
      <c r="AV31" s="45" t="str">
        <f t="shared" si="32"/>
        <v/>
      </c>
      <c r="AW31" s="45" t="str">
        <f>IF($G31="","",AU31*ADRYr1!$P31)</f>
        <v/>
      </c>
      <c r="AX31" s="45" t="str">
        <f t="shared" si="33"/>
        <v/>
      </c>
      <c r="AY31" s="45">
        <f t="shared" si="49"/>
        <v>0</v>
      </c>
      <c r="AZ31" s="45">
        <f t="shared" si="49"/>
        <v>0</v>
      </c>
      <c r="BA31" s="101" t="str">
        <f>IF($G31="","",$G31*ADRYr1!$P31*ADRYr1!$Q31*ADRYr1!$U31*ADRYr1!AO31)</f>
        <v/>
      </c>
      <c r="BB31" s="102" t="str">
        <f>IF($G31="","",$G31*ADRYr1!$P31*ADRYr1!$Q31*ADRYr1!$U31*ADRYr1!AP31)</f>
        <v/>
      </c>
      <c r="BC31" s="100" t="str">
        <f t="shared" si="35"/>
        <v/>
      </c>
      <c r="BD31" s="961"/>
      <c r="BE31" s="961"/>
      <c r="BF31" s="961"/>
      <c r="BG31" s="961"/>
      <c r="BH31" s="962" t="str">
        <f t="shared" si="3"/>
        <v/>
      </c>
      <c r="BI31" s="961"/>
      <c r="BJ31" s="961"/>
      <c r="BK31" s="961"/>
      <c r="BL31" s="961"/>
      <c r="BM31" s="30" t="str">
        <f t="shared" si="4"/>
        <v/>
      </c>
      <c r="BN31" s="963" t="str">
        <f t="shared" si="5"/>
        <v/>
      </c>
      <c r="BO31" s="31" t="str">
        <f t="shared" si="36"/>
        <v/>
      </c>
      <c r="BP31" s="964" t="str">
        <f t="shared" si="6"/>
        <v/>
      </c>
      <c r="BQ31" s="28" t="str">
        <f t="shared" si="7"/>
        <v/>
      </c>
      <c r="BR31" s="964" t="str">
        <f t="shared" si="8"/>
        <v/>
      </c>
      <c r="BS31" s="964" t="str">
        <f t="shared" si="9"/>
        <v/>
      </c>
      <c r="BT31" s="28" t="str">
        <f t="shared" si="50"/>
        <v/>
      </c>
      <c r="BU31" s="28" t="str">
        <f t="shared" si="50"/>
        <v/>
      </c>
      <c r="BV31" s="28" t="str">
        <f t="shared" si="50"/>
        <v/>
      </c>
      <c r="BW31" s="29" t="str">
        <f t="shared" si="37"/>
        <v/>
      </c>
      <c r="BX31" s="29" t="str">
        <f t="shared" si="38"/>
        <v/>
      </c>
      <c r="BY31" s="28" t="str">
        <f>IF($G31="","",$G31*(IF(ADRYr1!$AI31=BY$4,ADRYr1!$AJ31,IF(ADRYr1!$AK31=BY$4,ADRYr1!$AL31,IF(ADRYr1!$AM31=BY$4,ADRYr1!$AN31,0))))*(INDEX(avoidedcosttbl,$H31,BY$2)+(($H31-ROUNDDOWN($H31,0))*(INDEX(avoidedcosttbl,ROUNDUP($H31,0),BY$2)-(INDEX(avoidedcosttbl,ROUNDDOWN($H31,0),BY$2)))))*ADRYr1!P31*ADRYr1!Q31*ADRYr1!U31)</f>
        <v/>
      </c>
      <c r="BZ31" s="28" t="str">
        <f>IF($G31="","",$G31*(IF(ADRYr1!$AI31=BZ$4,ADRYr1!$AJ31,IF(ADRYr1!$AK31=BZ$4,ADRYr1!$AL31,IF(ADRYr1!$AM31=BZ$4,ADRYr1!$AN31,0))))*(INDEX(avoidedcosttbl,$H31,BZ$2)+(($H31-ROUNDDOWN($H31,0))*(INDEX(avoidedcosttbl,ROUNDUP($H31,0),BZ$2)-(INDEX(avoidedcosttbl,ROUNDDOWN($H31,0),BZ$2)))))*ADRYr1!P31*ADRYr1!Q31*ADRYr1!U31)</f>
        <v/>
      </c>
      <c r="CA31" s="28" t="str">
        <f>IF($G31="","",$G31*(IF(ADRYr1!$AI31=CA$4,ADRYr1!$AJ31,IF(ADRYr1!$AK31=CA$4,ADRYr1!$AL31,IF(ADRYr1!$AM31=CA$4,ADRYr1!$AN31,0))))*(INDEX(avoidedcosttbl,$H31,CA$2)+(($H31-ROUNDDOWN($H31,0))*(INDEX(avoidedcosttbl,ROUNDUP($H31,0),CA$2)-(INDEX(avoidedcosttbl,ROUNDDOWN($H31,0),CA$2)))))*ADRYr1!P31*ADRYr1!Q31*ADRYr1!U31)</f>
        <v/>
      </c>
      <c r="CB31" s="28" t="str">
        <f>IF($G31="","",$G31*(IF(ADRYr1!$AI31=CB$4,ADRYr1!$AJ31,IF(ADRYr1!$AK31=CB$4,ADRYr1!$AL31,IF(ADRYr1!$AM31=CB$4,ADRYr1!$AN31,0))))*(INDEX(avoidedcosttbl,$H31,CB$2)+(($H31-ROUNDDOWN($H31,0))*(INDEX(avoidedcosttbl,ROUNDUP($H31,0),CB$2)-(INDEX(avoidedcosttbl,ROUNDDOWN($H31,0),CB$2)))))*ADRYr1!P31*ADRYr1!Q31*ADRYr1!U31)</f>
        <v/>
      </c>
      <c r="CC31" s="28" t="str">
        <f>IF($G31="","",$G31*(IF(ADRYr1!$AI31=CC$4,ADRYr1!$AJ31,IF(ADRYr1!$AK31=CC$4,ADRYr1!$AL31,IF(ADRYr1!$AM31=CC$4,ADRYr1!$AN31,0))))*(INDEX(avoidedcosttbl,$H31,CC$2)+(($H31-ROUNDDOWN($H31,0))*(INDEX(avoidedcosttbl,ROUNDUP($H31,0),CC$2)-(INDEX(avoidedcosttbl,ROUNDDOWN($H31,0),CC$2)))))*ADRYr1!P31*ADRYr1!Q31*ADRYr1!U31)</f>
        <v/>
      </c>
      <c r="CD31" s="28" t="str">
        <f>IF($G31="","",$G31*(IF(ADRYr1!$AI31=CD$4,ADRYr1!$AJ31,IF(ADRYr1!$AK31=CD$4,ADRYr1!$AL31,IF(ADRYr1!$AM31=CD$4,ADRYr1!$AN31,0))))*(INDEX(avoidedcosttbl,$H31,CD$2)+(($H31-ROUNDDOWN($H31,0))*(INDEX(avoidedcosttbl,ROUNDUP($H31,0),CD$2)-(INDEX(avoidedcosttbl,ROUNDDOWN($H31,0),CD$2)))))*ADRYr1!P31*ADRYr1!Q31*ADRYr1!U31)</f>
        <v/>
      </c>
      <c r="CE31" s="28" t="str">
        <f>IF($G31="","",$G31*(IF(ADRYr1!$AI31=CE$4,ADRYr1!$AJ31,IF(ADRYr1!$AK31=CE$4,ADRYr1!$AL31,IF(ADRYr1!$AM31=CE$4,ADRYr1!$AN31,0))))*(INDEX(avoidedcosttbl,$H31,CE$2)+(($H31-ROUNDDOWN($H31,0))*(INDEX(avoidedcosttbl,ROUNDUP($H31,0),CE$2)-(INDEX(avoidedcosttbl,ROUNDDOWN($H31,0),CE$2)))))*ADRYr1!P31*ADRYr1!Q31*ADRYr1!U31)</f>
        <v/>
      </c>
      <c r="CF31" s="41" t="str">
        <f t="shared" si="39"/>
        <v/>
      </c>
      <c r="CG31" s="30" t="str">
        <f t="shared" si="11"/>
        <v/>
      </c>
      <c r="CH31" s="30" t="str">
        <f>IF($G31="","",$G31*(IF(ADRYr1!$AI31=BY$4,ADRYr1!$AJ31,IF(ADRYr1!$AK31=BY$4,ADRYr1!$AL31,IF(ADRYr1!$AM31=BY$4,ADRYr1!$AN31,0))))*(INDEX(avoidedcosttbl,$H31,CH$2)+(($H31-ROUNDDOWN($H31,0))*(INDEX(avoidedcosttbl,ROUNDUP($H31,0),CH$2)-(INDEX(avoidedcosttbl,ROUNDDOWN($H31,0),CH$2)))))*ADRYr1!P31*ADRYr1!Q31*ADRYr1!U31)</f>
        <v/>
      </c>
      <c r="CI31" s="30" t="str">
        <f>IF($G31="","",$G31*(IF(ADRYr1!$AI31=BZ$4,ADRYr1!$AJ31,IF(ADRYr1!$AK31=BZ$4,ADRYr1!$AL31,IF(ADRYr1!$AM31=BZ$4,ADRYr1!$AN31,0))))*(INDEX(avoidedcosttbl,$H31,CI$2)+(($H31-ROUNDDOWN($H31,0))*(INDEX(avoidedcosttbl,ROUNDUP($H31,0),CI$2)-(INDEX(avoidedcosttbl,ROUNDDOWN($H31,0),CI$2)))))*ADRYr1!P31*ADRYr1!Q31*ADRYr1!U31)</f>
        <v/>
      </c>
      <c r="CJ31" s="30" t="str">
        <f>IF($G31="","",$G31*(IF(ADRYr1!$AI31=CA$4,ADRYr1!$AJ31,IF(ADRYr1!$AK31=CA$4,ADRYr1!$AL31,IF(ADRYr1!$AM31=CA$4,ADRYr1!$AN31,0))))*(INDEX(avoidedcosttbl,$H31,CJ$2)+(($H31-ROUNDDOWN($H31,0))*(INDEX(avoidedcosttbl,ROUNDUP($H31,0),CJ$2)-(INDEX(avoidedcosttbl,ROUNDDOWN($H31,0),CJ$2)))))*ADRYr1!P31*ADRYr1!Q31*ADRYr1!U31)</f>
        <v/>
      </c>
      <c r="CK31" s="30" t="str">
        <f>IF($G31="","",$G31*(IF(ADRYr1!$AI31=CB$4,ADRYr1!$AJ31,IF(ADRYr1!$AK31=CB$4,ADRYr1!$AL31,IF(ADRYr1!$AM31=CB$4,ADRYr1!$AN31,0))))*(INDEX(avoidedcosttbl,$H31,CK$2)+(($H31-ROUNDDOWN($H31,0))*(INDEX(avoidedcosttbl,ROUNDUP($H31,0),CK$2)-(INDEX(avoidedcosttbl,ROUNDDOWN($H31,0),CK$2)))))*ADRYr1!P31*ADRYr1!Q31*ADRYr1!U31)</f>
        <v/>
      </c>
      <c r="CL31" s="30" t="str">
        <f>IF($G31="","",$G31*(IF(ADRYr1!$AI31=CC$4,ADRYr1!$AJ31,IF(ADRYr1!$AK31=CC$4,ADRYr1!$AL31,IF(ADRYr1!$AM31=CC$4,ADRYr1!$AN31,0))))*(INDEX(avoidedcosttbl,$H31,CL$2)+(($H31-ROUNDDOWN($H31,0))*(INDEX(avoidedcosttbl,ROUNDUP($H31,0),CL$2)-(INDEX(avoidedcosttbl,ROUNDDOWN($H31,0),CL$2)))))*ADRYr1!P31*ADRYr1!Q31*ADRYr1!U31)</f>
        <v/>
      </c>
      <c r="CM31" s="30" t="str">
        <f>IF($G31="","",$G31*(IF(ADRYr1!$AI31=CD$4,ADRYr1!$AJ31,IF(ADRYr1!$AK31=CD$4,ADRYr1!$AL31,IF(ADRYr1!$AM31=CD$4,ADRYr1!$AN31,0))))*(INDEX(avoidedcosttbl,$H31,CM$2)+(($H31-ROUNDDOWN($H31,0))*(INDEX(avoidedcosttbl,ROUNDUP($H31,0),CM$2)-(INDEX(avoidedcosttbl,ROUNDDOWN($H31,0),CM$2)))))*ADRYr1!P31*ADRYr1!Q31*ADRYr1!U31)</f>
        <v/>
      </c>
      <c r="CN31" s="30" t="str">
        <f>IF($G31="","",$G31*(IF(ADRYr1!$AI31=CE$4,ADRYr1!$AJ31,IF(ADRYr1!$AK31=CE$4,ADRYr1!$AL31,IF(ADRYr1!$AM31=CE$4,ADRYr1!$AN31,0))))*(INDEX(avoidedcosttbl,$H31,CN$2)+(($H31-ROUNDDOWN($H31,0))*(INDEX(avoidedcosttbl,ROUNDUP($H31,0),CN$2)-(INDEX(avoidedcosttbl,ROUNDDOWN($H31,0),CN$2)))))*ADRYr1!P31*ADRYr1!Q31*ADRYr1!U31)</f>
        <v/>
      </c>
      <c r="CO31" s="220" t="str">
        <f t="shared" si="40"/>
        <v/>
      </c>
      <c r="CP31" s="220" t="str">
        <f t="shared" si="41"/>
        <v/>
      </c>
      <c r="CQ31" s="157" t="str">
        <f>IF($G31="","",$G31*(IF(ADRYr1!$AI31=CQ$4,ADRYr1!$AJ31,IF(ADRYr1!$AK31=CQ$4,ADRYr1!$AL31,IF(ADRYr1!$AM31=CQ$4,ADRYr1!$AN31,0))))*(INDEX(avoidedcosttbl,$H31,CQ$2)+(($H31-ROUNDDOWN($H31,0))*(INDEX(avoidedcosttbl,ROUNDUP($H31,0),CQ$2)-(INDEX(avoidedcosttbl,ROUNDDOWN($H31,0),CQ$2)))))*ADRYr1!$P31*ADRYr1!$Q31*ADRYr1!$U31)</f>
        <v/>
      </c>
      <c r="CR31" s="28" t="str">
        <f>IF($G31="","",G31*(IF(ADRYr1!$AI31=CR$4,ADRYr1!$AJ31,IF(ADRYr1!$AK31=CR$4,ADRYr1!$AL31,IF(ADRYr1!$AM31=CR$4,ADRYr1!$AN31,0))))*(INDEX(avoidedcosttbl,$H31,CR$2)+(($H31-ROUNDDOWN($H31,0))*(INDEX(avoidedcosttbl,ROUNDUP($H31,0),CR$2)-(INDEX(avoidedcosttbl,ROUNDDOWN($H31,0),CR$2)))))*ADRYr1!$P31*ADRYr1!$Q31*ADRYr1!$U31)</f>
        <v/>
      </c>
      <c r="CS31" s="28" t="str">
        <f>IF($G31="","",G31*(IF(ADRYr1!$AI31=CS$4,ADRYr1!$AJ31,IF(ADRYr1!$AK31=CS$4,ADRYr1!$AL31,IF(ADRYr1!$AM31=CS$4,ADRYr1!$AN31,0))))*(INDEX(avoidedcosttbl,$H31,CS$2)+(($H31-ROUNDDOWN($H31,0))*(INDEX(avoidedcosttbl,ROUNDUP($H31,0),CS$2)-(INDEX(avoidedcosttbl,ROUNDDOWN($H31,0),CS$2)))))*ADRYr1!$P31*ADRYr1!$Q31*ADRYr1!$U31)</f>
        <v/>
      </c>
      <c r="CT31" s="28" t="str">
        <f t="shared" si="12"/>
        <v/>
      </c>
      <c r="CU31" s="28" t="str">
        <f>IF($G31="","",G31*(IF(ADRYr1!$AI31=CU$4,ADRYr1!$AJ31,IF(ADRYr1!$AK31=CU$4,ADRYr1!$AL31,IF(ADRYr1!$AM31=CU$4,ADRYr1!$AN31,0))))*(INDEX(avoidedcosttbl,$H31,CU$2)+(($H31-ROUNDDOWN($H31,0))*(INDEX(avoidedcosttbl,ROUNDUP($H31,0),CU$2)-(INDEX(avoidedcosttbl,ROUNDDOWN($H31,0),CU$2)))))*ADRYr1!$P31*ADRYr1!$Q31*ADRYr1!$U31)</f>
        <v/>
      </c>
      <c r="CV31" s="28" t="str">
        <f>IF($G31="","",G31*(IF(ADRYr1!$AI31=CV$4,ADRYr1!$AJ31,IF(ADRYr1!$AK31=CV$4,ADRYr1!$AL31,IF(ADRYr1!$AM31=CV$4,ADRYr1!$AN31,0))))*(INDEX(avoidedcosttbl,$H31,CV$2)+(($H31-ROUNDDOWN($H31,0))*(INDEX(avoidedcosttbl,ROUNDUP($H31,0),CV$2)-(INDEX(avoidedcosttbl,ROUNDDOWN($H31,0),CV$2)))))*ADRYr1!$P31*ADRYr1!$Q31*ADRYr1!$U31)</f>
        <v/>
      </c>
      <c r="CW31" s="28" t="str">
        <f>IF($G31="","",G31*(IF(ADRYr1!$AI31=CW$4,ADRYr1!$AJ31,IF(ADRYr1!$AK31=CW$4,ADRYr1!$AL31,IF(ADRYr1!$AM31=CW$4,ADRYr1!$AN31,0))))*(INDEX(avoidedcosttbl,$H31,CW$2)+(($H31-ROUNDDOWN($H31,0))*(INDEX(avoidedcosttbl,ROUNDUP($H31,0),CW$2)-(INDEX(avoidedcosttbl,ROUNDDOWN($H31,0),CW$2)))))*ADRYr1!$P31*ADRYr1!$Q31*ADRYr1!$U31)</f>
        <v/>
      </c>
      <c r="CX31" s="28" t="str">
        <f>IF($G31="","",G31*(IF(ADRYr1!$AI31=CX$4,ADRYr1!$AJ31,IF(ADRYr1!$AK31=CX$4,ADRYr1!$AL31,IF(ADRYr1!$AM31=CX$4,ADRYr1!$AN31,0))))*(INDEX(avoidedcosttbl,$H31,CX$2)+(($H31-ROUNDDOWN($H31,0))*(INDEX(avoidedcosttbl,ROUNDUP($H31,0),CX$2)-(INDEX(avoidedcosttbl,ROUNDDOWN($H31,0),CX$2)))))*ADRYr1!$P31*ADRYr1!$Q31*ADRYr1!$U31)</f>
        <v/>
      </c>
      <c r="CY31" s="28" t="str">
        <f t="shared" si="13"/>
        <v/>
      </c>
      <c r="CZ31" s="32" t="str">
        <f t="shared" si="14"/>
        <v/>
      </c>
      <c r="DA31" s="84" t="str">
        <f t="shared" si="42"/>
        <v/>
      </c>
      <c r="DB31" s="81" t="str">
        <f>IF(NEIadder="Yes",IF($G31="","",INDEX(Lookups!$G$70:$G$71,MATCH($A31,Lookups!$E$70:$E$71,0))*(SUM(CP31:CX31,BX31))),"")</f>
        <v/>
      </c>
      <c r="DC31" s="263" t="str">
        <f t="shared" si="15"/>
        <v/>
      </c>
      <c r="DD31" s="166" t="str">
        <f t="shared" si="16"/>
        <v/>
      </c>
      <c r="DE31" s="82">
        <f t="shared" si="43"/>
        <v>0</v>
      </c>
      <c r="DF31" s="615" t="str">
        <f>IF($G31="","",(1+WntPeakEnergyLL)*(INDEX(avoidedcosttbl,$H31,DF$2)+(($H31-ROUNDDOWN($H31,0))*(INDEX(avoidedcosttbl,ROUNDUP($H31,0),DF$2)-(INDEX(avoidedcosttbl,ROUNDDOWN($H31,0),DF$2)))))*$P31*1000*ADRYr1!Z31)</f>
        <v/>
      </c>
      <c r="DG31" s="615" t="str">
        <f>IF($G31="","",(1+WntOffPeakEnergyLL)*(INDEX(avoidedcosttbl,$H31,DG$2)+(($H31-ROUNDDOWN($H31,0))*(INDEX(avoidedcosttbl,ROUNDUP($H31,0),DG$2)-(INDEX(avoidedcosttbl,ROUNDDOWN($H31,0),DG$2)))))*$P31*1000*ADRYr1!AA31)</f>
        <v/>
      </c>
      <c r="DH31" s="615" t="str">
        <f>IF($G31="","",(1+SumPeakEnergyLL)*(INDEX(avoidedcosttbl,$H31,DH$2)+(($H31-ROUNDDOWN($H31,0))*(INDEX(avoidedcosttbl,ROUNDUP($H31,0),DH$2)-(INDEX(avoidedcosttbl,ROUNDDOWN($H31,0),DH$2)))))*$P31*1000*ADRYr1!AB31)</f>
        <v/>
      </c>
      <c r="DI31" s="615" t="str">
        <f>IF($G31="","",(1+SumOffPeakEnergyLL)*(INDEX(avoidedcosttbl,$H31,DI$2)+(($H31-ROUNDDOWN($H31,0))*(INDEX(avoidedcosttbl,ROUNDUP($H31,0),DI$2)-(INDEX(avoidedcosttbl,ROUNDDOWN($H31,0),DI$2)))))*$P31*1000*ADRYr1!AC31)</f>
        <v/>
      </c>
      <c r="DJ31" s="29" t="str">
        <f t="shared" si="44"/>
        <v/>
      </c>
      <c r="DK31" s="161" t="str">
        <f t="shared" si="45"/>
        <v/>
      </c>
      <c r="DL31" s="1189" t="str">
        <f t="shared" si="46"/>
        <v/>
      </c>
      <c r="DM31" s="1189" t="str">
        <f t="shared" si="47"/>
        <v/>
      </c>
      <c r="DN31" s="43" t="str">
        <f t="shared" si="48"/>
        <v/>
      </c>
      <c r="DO31" s="966" t="str">
        <f>IF($G31="","",ADRYr1!AQ31)</f>
        <v/>
      </c>
      <c r="DP31" s="968" t="str">
        <f>IF($G31="","",ADRYr1!AR31)</f>
        <v/>
      </c>
      <c r="DQ31" s="970" t="str">
        <f>IF($G31="","",IF($DP31="Yes",COLUMN(AESC!$L$10),IF($DP31="No","Using AvoidedDemand tab",IF($DP31="Mixed",COLUMN(AESC!$N$10)))))</f>
        <v/>
      </c>
      <c r="DR31" s="970" t="str">
        <f>IF($G31="","",IF($DP31="Yes",COLUMN(AESC!$P$10),IF($DP31="No","Using AvoidedDemand tab",IF($DP31="Mixed",COLUMN(AESC!$R$10)))))</f>
        <v/>
      </c>
      <c r="DS31" s="970" t="str">
        <f>IF($G31="","",IF($DP31="Yes",COLUMN(AESC!$S$10),IF($DP31="No",COLUMN(AESC!$T$10),IF($DP31="Mixed",COLUMN(AESC!$U$10)))))</f>
        <v/>
      </c>
      <c r="DT31" s="970" t="str">
        <f t="shared" si="17"/>
        <v/>
      </c>
      <c r="DU31" s="970" t="str">
        <f>IF($G31="","",ADRYr1!AS31)</f>
        <v/>
      </c>
      <c r="DV31" s="971" t="str">
        <f>IF($G31="","",ADRYr1!AT31)</f>
        <v/>
      </c>
      <c r="DW31" s="1162" t="str">
        <f>IF($G31="","",INDEX(AvoidedEnergy!$H$4:$H$10,MATCH($DO31,AvoidedEnergy!$A$4:$A$10,0)))</f>
        <v/>
      </c>
    </row>
    <row r="32" spans="1:127">
      <c r="A32" s="160" t="str">
        <f>IF(ADRYr1!$B32=0,"",ADRYr1!A32)</f>
        <v>C - Commercial &amp; Industrial</v>
      </c>
      <c r="B32" s="9" t="str">
        <f>IF(ADRYr1!$B32=0,"",ADRYr1!B32)</f>
        <v>C5 - C&amp;I Active Demand Response</v>
      </c>
      <c r="C32" s="9" t="str">
        <f>IF(ADRYr1!$B32=0,"",ADRYr1!C32)</f>
        <v>C5a - C&amp;I Active Demand Response</v>
      </c>
      <c r="D32" s="9" t="str">
        <f>IF(ADRYr1!$B32=0,"",ADRYr1!D32)</f>
        <v>Storage Daily Dispatch Upfront Incentive (consumption) Summer</v>
      </c>
      <c r="E32" s="9">
        <f>IF(ADRYr1!$B32=0,"",ADRYr1!E32)</f>
        <v>0</v>
      </c>
      <c r="F32" s="11" t="str">
        <f>IF(ADRYr1!$B32=0,"",ADRYr1!F32)</f>
        <v>Behavior</v>
      </c>
      <c r="G32" s="12" t="str">
        <f>IF(ADRYr1!$G32&lt;&gt;0,ADRYr1!G32,"")</f>
        <v/>
      </c>
      <c r="H32" s="960" t="str">
        <f>IF($G32="","",ROUND(ADRYr1!H32,0))</f>
        <v/>
      </c>
      <c r="I32" s="47" t="str">
        <f>IF($G32="","",ADRYr1!I32*ADRYr1!P32*G32)</f>
        <v/>
      </c>
      <c r="J32" s="47" t="str">
        <f>IF($G32="","",ADRYr1!J32*G32)</f>
        <v/>
      </c>
      <c r="K32" s="47" t="str">
        <f t="shared" si="18"/>
        <v/>
      </c>
      <c r="L32" s="27" t="str">
        <f>IF($G32="","",ADRYr1!V32*G32/1000)</f>
        <v/>
      </c>
      <c r="M32" s="27" t="str">
        <f>IF($G32="","",L32*ADRYr1!$Q32*ADRYr1!$R32)</f>
        <v/>
      </c>
      <c r="N32" s="27" t="str">
        <f t="shared" si="19"/>
        <v/>
      </c>
      <c r="O32" s="27" t="str">
        <f t="shared" si="20"/>
        <v/>
      </c>
      <c r="P32" s="27" t="str">
        <f>IF($G32="","",M32*ADRYr1!P32)</f>
        <v/>
      </c>
      <c r="Q32" s="27" t="str">
        <f t="shared" si="21"/>
        <v/>
      </c>
      <c r="R32" s="27" t="str">
        <f>IF($G32="","",$Q32*ADRYr1!Z32)</f>
        <v/>
      </c>
      <c r="S32" s="27" t="str">
        <f>IF($G32="","",$Q32*ADRYr1!AA32)</f>
        <v/>
      </c>
      <c r="T32" s="27" t="str">
        <f>IF($G32="","",$Q32*ADRYr1!AB32)</f>
        <v/>
      </c>
      <c r="U32" s="27" t="str">
        <f>IF($G32="","",$Q32*ADRYr1!AC32)</f>
        <v/>
      </c>
      <c r="V32" s="27" t="str">
        <f>IF($G32="","",G32*ADRYr1!$AD32*ADRYr1!$P32*ADRYr1!$Q32)</f>
        <v/>
      </c>
      <c r="W32" s="27" t="str">
        <f>IF($G32="","",$G32*ADRYr1!$AD32*ADRYr1!$AF32*ADRYr1!Q32*ADRYr1!$S32)</f>
        <v/>
      </c>
      <c r="X32" s="27" t="str">
        <f>IF($G32="","",$G32*ADRYr1!$AD32*ADRYr1!$AF32*ADRYr1!P32*ADRYr1!Q32*ADRYr1!$S32)</f>
        <v/>
      </c>
      <c r="Y32" s="27" t="str">
        <f>IF($G32="","",$G32*ADRYr1!$AD32*ADRYr1!$AE32*ADRYr1!Q32*ADRYr1!$T32)</f>
        <v/>
      </c>
      <c r="Z32" s="27" t="str">
        <f>IF($G32="","",$G32*ADRYr1!$AD32*ADRYr1!$AE32*ADRYr1!P32*ADRYr1!Q32*ADRYr1!$T32)</f>
        <v/>
      </c>
      <c r="AA32" s="45" t="str">
        <f>IF($G32="","",$G32*ADRYr1!$Q32*ADRYr1!$U32*(IF(IFERROR(SEARCH("NG", ADRYr1!$AI32),0),ADRYr1!$AJ32,0)+IF(IFERROR(SEARCH("NG", ADRYr1!$AK32),0),ADRYr1!$AL32,0)+IF(IFERROR(SEARCH("NG", ADRYr1!$AM32),0),ADRYr1!$AN32,0)))</f>
        <v/>
      </c>
      <c r="AB32" s="45" t="str">
        <f t="shared" si="22"/>
        <v/>
      </c>
      <c r="AC32" s="45">
        <f>IF($G32="",0,AA32*ADRYr1!$P32)</f>
        <v>0</v>
      </c>
      <c r="AD32" s="45" t="str">
        <f t="shared" si="23"/>
        <v/>
      </c>
      <c r="AE32" s="45" t="str">
        <f>IF($G32="","",$G32*ADRYr1!$Q32*ADRYr1!$U32*(IF(IFERROR(SEARCH("Oil", ADRYr1!$AI32), 0),ADRYr1!$AJ32,0)+IF(IFERROR(SEARCH("Oil", ADRYr1!$AK32), 0),ADRYr1!$AL32,0)+IF(IFERROR(SEARCH("Oil", ADRYr1!$AM32), 0),ADRYr1!$AN32,0)))</f>
        <v/>
      </c>
      <c r="AF32" s="45" t="str">
        <f t="shared" si="24"/>
        <v/>
      </c>
      <c r="AG32" s="45">
        <f>IF($G32="",0,AE32*ADRYr1!$P32)</f>
        <v>0</v>
      </c>
      <c r="AH32" s="45" t="str">
        <f t="shared" si="25"/>
        <v/>
      </c>
      <c r="AI32" s="45" t="str">
        <f>IF($G32="","",$G32*ADRYr1!$Q32*ADRYr1!$U32*(IF(ADRYr1!$AI32=Lookups!$E$116,ADRYr1!$AJ32,IF(ADRYr1!$AK32=Lookups!$E$116,ADRYr1!$AL32,IF(ADRYr1!$AM32=Lookups!$E$116,ADRYr1!$AN32,0)))))</f>
        <v/>
      </c>
      <c r="AJ32" s="45" t="str">
        <f t="shared" si="26"/>
        <v/>
      </c>
      <c r="AK32" s="45">
        <f>IF($G32="",0,AI32*ADRYr1!$P32)</f>
        <v>0</v>
      </c>
      <c r="AL32" s="45" t="str">
        <f t="shared" si="27"/>
        <v/>
      </c>
      <c r="AM32" s="45" t="str">
        <f>IF($G32="","",$G32*ADRYr1!$Q32*ADRYr1!$U32*(IF(ADRYr1!$AI32=Lookups!$E$115,ADRYr1!$AJ32,IF(ADRYr1!$AK32=Lookups!$E$115,ADRYr1!$AL32,IF(ADRYr1!$AM32=Lookups!$E$115,ADRYr1!$AN32,0)))))</f>
        <v/>
      </c>
      <c r="AN32" s="45" t="str">
        <f t="shared" si="28"/>
        <v/>
      </c>
      <c r="AO32" s="45">
        <f>IF($G32="",0,AM32*ADRYr1!$P32)</f>
        <v>0</v>
      </c>
      <c r="AP32" s="45" t="str">
        <f t="shared" si="29"/>
        <v/>
      </c>
      <c r="AQ32" s="45" t="str">
        <f>IF($G32="","",$G32*ADRYr1!$Q32*ADRYr1!$U32*(IF(ADRYr1!$AI32=Lookups!$E$117,ADRYr1!$AJ32,IF(ADRYr1!$AK32=Lookups!$E$117,ADRYr1!$AL32,IF(ADRYr1!$AM32=Lookups!$E$117,ADRYr1!$AN32,0)))))</f>
        <v/>
      </c>
      <c r="AR32" s="45" t="str">
        <f t="shared" si="30"/>
        <v/>
      </c>
      <c r="AS32" s="45" t="str">
        <f>IF($G32="","",AQ32*ADRYr1!$P32)</f>
        <v/>
      </c>
      <c r="AT32" s="45" t="str">
        <f t="shared" si="31"/>
        <v/>
      </c>
      <c r="AU32" s="45" t="str">
        <f>IF($G32="","",$G32*ADRYr1!$Q32*ADRYr1!$U32*(IF(ADRYr1!$AI32=Lookups!$E$118,ADRYr1!$AJ32,IF(ADRYr1!$AK32=Lookups!$E$118,ADRYr1!$AL32,IF(ADRYr1!$AM32=Lookups!$E$118,ADRYr1!$AN32,0)))))</f>
        <v/>
      </c>
      <c r="AV32" s="45" t="str">
        <f t="shared" si="32"/>
        <v/>
      </c>
      <c r="AW32" s="45" t="str">
        <f>IF($G32="","",AU32*ADRYr1!$P32)</f>
        <v/>
      </c>
      <c r="AX32" s="45" t="str">
        <f t="shared" si="33"/>
        <v/>
      </c>
      <c r="AY32" s="45">
        <f t="shared" si="49"/>
        <v>0</v>
      </c>
      <c r="AZ32" s="45">
        <f t="shared" si="49"/>
        <v>0</v>
      </c>
      <c r="BA32" s="101" t="str">
        <f>IF($G32="","",$G32*ADRYr1!$P32*ADRYr1!$Q32*ADRYr1!$U32*ADRYr1!AO32)</f>
        <v/>
      </c>
      <c r="BB32" s="102" t="str">
        <f>IF($G32="","",$G32*ADRYr1!$P32*ADRYr1!$Q32*ADRYr1!$U32*ADRYr1!AP32)</f>
        <v/>
      </c>
      <c r="BC32" s="100" t="str">
        <f t="shared" si="35"/>
        <v/>
      </c>
      <c r="BD32" s="961"/>
      <c r="BE32" s="961"/>
      <c r="BF32" s="961"/>
      <c r="BG32" s="961"/>
      <c r="BH32" s="962" t="str">
        <f t="shared" si="3"/>
        <v/>
      </c>
      <c r="BI32" s="961"/>
      <c r="BJ32" s="961"/>
      <c r="BK32" s="961"/>
      <c r="BL32" s="961"/>
      <c r="BM32" s="30" t="str">
        <f t="shared" si="4"/>
        <v/>
      </c>
      <c r="BN32" s="963" t="str">
        <f t="shared" si="5"/>
        <v/>
      </c>
      <c r="BO32" s="31" t="str">
        <f t="shared" si="36"/>
        <v/>
      </c>
      <c r="BP32" s="964" t="str">
        <f t="shared" si="6"/>
        <v/>
      </c>
      <c r="BQ32" s="28" t="str">
        <f t="shared" si="7"/>
        <v/>
      </c>
      <c r="BR32" s="964" t="str">
        <f t="shared" si="8"/>
        <v/>
      </c>
      <c r="BS32" s="964" t="str">
        <f t="shared" si="9"/>
        <v/>
      </c>
      <c r="BT32" s="28" t="str">
        <f t="shared" si="50"/>
        <v/>
      </c>
      <c r="BU32" s="28" t="str">
        <f t="shared" si="50"/>
        <v/>
      </c>
      <c r="BV32" s="28" t="str">
        <f t="shared" si="50"/>
        <v/>
      </c>
      <c r="BW32" s="29" t="str">
        <f t="shared" si="37"/>
        <v/>
      </c>
      <c r="BX32" s="29" t="str">
        <f t="shared" si="38"/>
        <v/>
      </c>
      <c r="BY32" s="28" t="str">
        <f>IF($G32="","",$G32*(IF(ADRYr1!$AI32=BY$4,ADRYr1!$AJ32,IF(ADRYr1!$AK32=BY$4,ADRYr1!$AL32,IF(ADRYr1!$AM32=BY$4,ADRYr1!$AN32,0))))*(INDEX(avoidedcosttbl,$H32,BY$2)+(($H32-ROUNDDOWN($H32,0))*(INDEX(avoidedcosttbl,ROUNDUP($H32,0),BY$2)-(INDEX(avoidedcosttbl,ROUNDDOWN($H32,0),BY$2)))))*ADRYr1!P32*ADRYr1!Q32*ADRYr1!U32)</f>
        <v/>
      </c>
      <c r="BZ32" s="28" t="str">
        <f>IF($G32="","",$G32*(IF(ADRYr1!$AI32=BZ$4,ADRYr1!$AJ32,IF(ADRYr1!$AK32=BZ$4,ADRYr1!$AL32,IF(ADRYr1!$AM32=BZ$4,ADRYr1!$AN32,0))))*(INDEX(avoidedcosttbl,$H32,BZ$2)+(($H32-ROUNDDOWN($H32,0))*(INDEX(avoidedcosttbl,ROUNDUP($H32,0),BZ$2)-(INDEX(avoidedcosttbl,ROUNDDOWN($H32,0),BZ$2)))))*ADRYr1!P32*ADRYr1!Q32*ADRYr1!U32)</f>
        <v/>
      </c>
      <c r="CA32" s="28" t="str">
        <f>IF($G32="","",$G32*(IF(ADRYr1!$AI32=CA$4,ADRYr1!$AJ32,IF(ADRYr1!$AK32=CA$4,ADRYr1!$AL32,IF(ADRYr1!$AM32=CA$4,ADRYr1!$AN32,0))))*(INDEX(avoidedcosttbl,$H32,CA$2)+(($H32-ROUNDDOWN($H32,0))*(INDEX(avoidedcosttbl,ROUNDUP($H32,0),CA$2)-(INDEX(avoidedcosttbl,ROUNDDOWN($H32,0),CA$2)))))*ADRYr1!P32*ADRYr1!Q32*ADRYr1!U32)</f>
        <v/>
      </c>
      <c r="CB32" s="28" t="str">
        <f>IF($G32="","",$G32*(IF(ADRYr1!$AI32=CB$4,ADRYr1!$AJ32,IF(ADRYr1!$AK32=CB$4,ADRYr1!$AL32,IF(ADRYr1!$AM32=CB$4,ADRYr1!$AN32,0))))*(INDEX(avoidedcosttbl,$H32,CB$2)+(($H32-ROUNDDOWN($H32,0))*(INDEX(avoidedcosttbl,ROUNDUP($H32,0),CB$2)-(INDEX(avoidedcosttbl,ROUNDDOWN($H32,0),CB$2)))))*ADRYr1!P32*ADRYr1!Q32*ADRYr1!U32)</f>
        <v/>
      </c>
      <c r="CC32" s="28" t="str">
        <f>IF($G32="","",$G32*(IF(ADRYr1!$AI32=CC$4,ADRYr1!$AJ32,IF(ADRYr1!$AK32=CC$4,ADRYr1!$AL32,IF(ADRYr1!$AM32=CC$4,ADRYr1!$AN32,0))))*(INDEX(avoidedcosttbl,$H32,CC$2)+(($H32-ROUNDDOWN($H32,0))*(INDEX(avoidedcosttbl,ROUNDUP($H32,0),CC$2)-(INDEX(avoidedcosttbl,ROUNDDOWN($H32,0),CC$2)))))*ADRYr1!P32*ADRYr1!Q32*ADRYr1!U32)</f>
        <v/>
      </c>
      <c r="CD32" s="28" t="str">
        <f>IF($G32="","",$G32*(IF(ADRYr1!$AI32=CD$4,ADRYr1!$AJ32,IF(ADRYr1!$AK32=CD$4,ADRYr1!$AL32,IF(ADRYr1!$AM32=CD$4,ADRYr1!$AN32,0))))*(INDEX(avoidedcosttbl,$H32,CD$2)+(($H32-ROUNDDOWN($H32,0))*(INDEX(avoidedcosttbl,ROUNDUP($H32,0),CD$2)-(INDEX(avoidedcosttbl,ROUNDDOWN($H32,0),CD$2)))))*ADRYr1!P32*ADRYr1!Q32*ADRYr1!U32)</f>
        <v/>
      </c>
      <c r="CE32" s="28" t="str">
        <f>IF($G32="","",$G32*(IF(ADRYr1!$AI32=CE$4,ADRYr1!$AJ32,IF(ADRYr1!$AK32=CE$4,ADRYr1!$AL32,IF(ADRYr1!$AM32=CE$4,ADRYr1!$AN32,0))))*(INDEX(avoidedcosttbl,$H32,CE$2)+(($H32-ROUNDDOWN($H32,0))*(INDEX(avoidedcosttbl,ROUNDUP($H32,0),CE$2)-(INDEX(avoidedcosttbl,ROUNDDOWN($H32,0),CE$2)))))*ADRYr1!P32*ADRYr1!Q32*ADRYr1!U32)</f>
        <v/>
      </c>
      <c r="CF32" s="41" t="str">
        <f t="shared" si="39"/>
        <v/>
      </c>
      <c r="CG32" s="30" t="str">
        <f t="shared" si="11"/>
        <v/>
      </c>
      <c r="CH32" s="30" t="str">
        <f>IF($G32="","",$G32*(IF(ADRYr1!$AI32=BY$4,ADRYr1!$AJ32,IF(ADRYr1!$AK32=BY$4,ADRYr1!$AL32,IF(ADRYr1!$AM32=BY$4,ADRYr1!$AN32,0))))*(INDEX(avoidedcosttbl,$H32,CH$2)+(($H32-ROUNDDOWN($H32,0))*(INDEX(avoidedcosttbl,ROUNDUP($H32,0),CH$2)-(INDEX(avoidedcosttbl,ROUNDDOWN($H32,0),CH$2)))))*ADRYr1!P32*ADRYr1!Q32*ADRYr1!U32)</f>
        <v/>
      </c>
      <c r="CI32" s="30" t="str">
        <f>IF($G32="","",$G32*(IF(ADRYr1!$AI32=BZ$4,ADRYr1!$AJ32,IF(ADRYr1!$AK32=BZ$4,ADRYr1!$AL32,IF(ADRYr1!$AM32=BZ$4,ADRYr1!$AN32,0))))*(INDEX(avoidedcosttbl,$H32,CI$2)+(($H32-ROUNDDOWN($H32,0))*(INDEX(avoidedcosttbl,ROUNDUP($H32,0),CI$2)-(INDEX(avoidedcosttbl,ROUNDDOWN($H32,0),CI$2)))))*ADRYr1!P32*ADRYr1!Q32*ADRYr1!U32)</f>
        <v/>
      </c>
      <c r="CJ32" s="30" t="str">
        <f>IF($G32="","",$G32*(IF(ADRYr1!$AI32=CA$4,ADRYr1!$AJ32,IF(ADRYr1!$AK32=CA$4,ADRYr1!$AL32,IF(ADRYr1!$AM32=CA$4,ADRYr1!$AN32,0))))*(INDEX(avoidedcosttbl,$H32,CJ$2)+(($H32-ROUNDDOWN($H32,0))*(INDEX(avoidedcosttbl,ROUNDUP($H32,0),CJ$2)-(INDEX(avoidedcosttbl,ROUNDDOWN($H32,0),CJ$2)))))*ADRYr1!P32*ADRYr1!Q32*ADRYr1!U32)</f>
        <v/>
      </c>
      <c r="CK32" s="30" t="str">
        <f>IF($G32="","",$G32*(IF(ADRYr1!$AI32=CB$4,ADRYr1!$AJ32,IF(ADRYr1!$AK32=CB$4,ADRYr1!$AL32,IF(ADRYr1!$AM32=CB$4,ADRYr1!$AN32,0))))*(INDEX(avoidedcosttbl,$H32,CK$2)+(($H32-ROUNDDOWN($H32,0))*(INDEX(avoidedcosttbl,ROUNDUP($H32,0),CK$2)-(INDEX(avoidedcosttbl,ROUNDDOWN($H32,0),CK$2)))))*ADRYr1!P32*ADRYr1!Q32*ADRYr1!U32)</f>
        <v/>
      </c>
      <c r="CL32" s="30" t="str">
        <f>IF($G32="","",$G32*(IF(ADRYr1!$AI32=CC$4,ADRYr1!$AJ32,IF(ADRYr1!$AK32=CC$4,ADRYr1!$AL32,IF(ADRYr1!$AM32=CC$4,ADRYr1!$AN32,0))))*(INDEX(avoidedcosttbl,$H32,CL$2)+(($H32-ROUNDDOWN($H32,0))*(INDEX(avoidedcosttbl,ROUNDUP($H32,0),CL$2)-(INDEX(avoidedcosttbl,ROUNDDOWN($H32,0),CL$2)))))*ADRYr1!P32*ADRYr1!Q32*ADRYr1!U32)</f>
        <v/>
      </c>
      <c r="CM32" s="30" t="str">
        <f>IF($G32="","",$G32*(IF(ADRYr1!$AI32=CD$4,ADRYr1!$AJ32,IF(ADRYr1!$AK32=CD$4,ADRYr1!$AL32,IF(ADRYr1!$AM32=CD$4,ADRYr1!$AN32,0))))*(INDEX(avoidedcosttbl,$H32,CM$2)+(($H32-ROUNDDOWN($H32,0))*(INDEX(avoidedcosttbl,ROUNDUP($H32,0),CM$2)-(INDEX(avoidedcosttbl,ROUNDDOWN($H32,0),CM$2)))))*ADRYr1!P32*ADRYr1!Q32*ADRYr1!U32)</f>
        <v/>
      </c>
      <c r="CN32" s="30" t="str">
        <f>IF($G32="","",$G32*(IF(ADRYr1!$AI32=CE$4,ADRYr1!$AJ32,IF(ADRYr1!$AK32=CE$4,ADRYr1!$AL32,IF(ADRYr1!$AM32=CE$4,ADRYr1!$AN32,0))))*(INDEX(avoidedcosttbl,$H32,CN$2)+(($H32-ROUNDDOWN($H32,0))*(INDEX(avoidedcosttbl,ROUNDUP($H32,0),CN$2)-(INDEX(avoidedcosttbl,ROUNDDOWN($H32,0),CN$2)))))*ADRYr1!P32*ADRYr1!Q32*ADRYr1!U32)</f>
        <v/>
      </c>
      <c r="CO32" s="220" t="str">
        <f t="shared" si="40"/>
        <v/>
      </c>
      <c r="CP32" s="220" t="str">
        <f t="shared" si="41"/>
        <v/>
      </c>
      <c r="CQ32" s="157" t="str">
        <f>IF($G32="","",$G32*(IF(ADRYr1!$AI32=CQ$4,ADRYr1!$AJ32,IF(ADRYr1!$AK32=CQ$4,ADRYr1!$AL32,IF(ADRYr1!$AM32=CQ$4,ADRYr1!$AN32,0))))*(INDEX(avoidedcosttbl,$H32,CQ$2)+(($H32-ROUNDDOWN($H32,0))*(INDEX(avoidedcosttbl,ROUNDUP($H32,0),CQ$2)-(INDEX(avoidedcosttbl,ROUNDDOWN($H32,0),CQ$2)))))*ADRYr1!$P32*ADRYr1!$Q32*ADRYr1!$U32)</f>
        <v/>
      </c>
      <c r="CR32" s="28" t="str">
        <f>IF($G32="","",G32*(IF(ADRYr1!$AI32=CR$4,ADRYr1!$AJ32,IF(ADRYr1!$AK32=CR$4,ADRYr1!$AL32,IF(ADRYr1!$AM32=CR$4,ADRYr1!$AN32,0))))*(INDEX(avoidedcosttbl,$H32,CR$2)+(($H32-ROUNDDOWN($H32,0))*(INDEX(avoidedcosttbl,ROUNDUP($H32,0),CR$2)-(INDEX(avoidedcosttbl,ROUNDDOWN($H32,0),CR$2)))))*ADRYr1!$P32*ADRYr1!$Q32*ADRYr1!$U32)</f>
        <v/>
      </c>
      <c r="CS32" s="28" t="str">
        <f>IF($G32="","",G32*(IF(ADRYr1!$AI32=CS$4,ADRYr1!$AJ32,IF(ADRYr1!$AK32=CS$4,ADRYr1!$AL32,IF(ADRYr1!$AM32=CS$4,ADRYr1!$AN32,0))))*(INDEX(avoidedcosttbl,$H32,CS$2)+(($H32-ROUNDDOWN($H32,0))*(INDEX(avoidedcosttbl,ROUNDUP($H32,0),CS$2)-(INDEX(avoidedcosttbl,ROUNDDOWN($H32,0),CS$2)))))*ADRYr1!$P32*ADRYr1!$Q32*ADRYr1!$U32)</f>
        <v/>
      </c>
      <c r="CT32" s="28" t="str">
        <f t="shared" si="12"/>
        <v/>
      </c>
      <c r="CU32" s="28" t="str">
        <f>IF($G32="","",G32*(IF(ADRYr1!$AI32=CU$4,ADRYr1!$AJ32,IF(ADRYr1!$AK32=CU$4,ADRYr1!$AL32,IF(ADRYr1!$AM32=CU$4,ADRYr1!$AN32,0))))*(INDEX(avoidedcosttbl,$H32,CU$2)+(($H32-ROUNDDOWN($H32,0))*(INDEX(avoidedcosttbl,ROUNDUP($H32,0),CU$2)-(INDEX(avoidedcosttbl,ROUNDDOWN($H32,0),CU$2)))))*ADRYr1!$P32*ADRYr1!$Q32*ADRYr1!$U32)</f>
        <v/>
      </c>
      <c r="CV32" s="28" t="str">
        <f>IF($G32="","",G32*(IF(ADRYr1!$AI32=CV$4,ADRYr1!$AJ32,IF(ADRYr1!$AK32=CV$4,ADRYr1!$AL32,IF(ADRYr1!$AM32=CV$4,ADRYr1!$AN32,0))))*(INDEX(avoidedcosttbl,$H32,CV$2)+(($H32-ROUNDDOWN($H32,0))*(INDEX(avoidedcosttbl,ROUNDUP($H32,0),CV$2)-(INDEX(avoidedcosttbl,ROUNDDOWN($H32,0),CV$2)))))*ADRYr1!$P32*ADRYr1!$Q32*ADRYr1!$U32)</f>
        <v/>
      </c>
      <c r="CW32" s="28" t="str">
        <f>IF($G32="","",G32*(IF(ADRYr1!$AI32=CW$4,ADRYr1!$AJ32,IF(ADRYr1!$AK32=CW$4,ADRYr1!$AL32,IF(ADRYr1!$AM32=CW$4,ADRYr1!$AN32,0))))*(INDEX(avoidedcosttbl,$H32,CW$2)+(($H32-ROUNDDOWN($H32,0))*(INDEX(avoidedcosttbl,ROUNDUP($H32,0),CW$2)-(INDEX(avoidedcosttbl,ROUNDDOWN($H32,0),CW$2)))))*ADRYr1!$P32*ADRYr1!$Q32*ADRYr1!$U32)</f>
        <v/>
      </c>
      <c r="CX32" s="28" t="str">
        <f>IF($G32="","",G32*(IF(ADRYr1!$AI32=CX$4,ADRYr1!$AJ32,IF(ADRYr1!$AK32=CX$4,ADRYr1!$AL32,IF(ADRYr1!$AM32=CX$4,ADRYr1!$AN32,0))))*(INDEX(avoidedcosttbl,$H32,CX$2)+(($H32-ROUNDDOWN($H32,0))*(INDEX(avoidedcosttbl,ROUNDUP($H32,0),CX$2)-(INDEX(avoidedcosttbl,ROUNDDOWN($H32,0),CX$2)))))*ADRYr1!$P32*ADRYr1!$Q32*ADRYr1!$U32)</f>
        <v/>
      </c>
      <c r="CY32" s="28" t="str">
        <f t="shared" si="13"/>
        <v/>
      </c>
      <c r="CZ32" s="32" t="str">
        <f t="shared" si="14"/>
        <v/>
      </c>
      <c r="DA32" s="84" t="str">
        <f t="shared" si="42"/>
        <v/>
      </c>
      <c r="DB32" s="81" t="str">
        <f>IF(NEIadder="Yes",IF($G32="","",INDEX(Lookups!$G$70:$G$71,MATCH($A32,Lookups!$E$70:$E$71,0))*(SUM(CP32:CX32,BX32))),"")</f>
        <v/>
      </c>
      <c r="DC32" s="263" t="str">
        <f t="shared" si="15"/>
        <v/>
      </c>
      <c r="DD32" s="166" t="str">
        <f t="shared" si="16"/>
        <v/>
      </c>
      <c r="DE32" s="82">
        <f t="shared" si="43"/>
        <v>0</v>
      </c>
      <c r="DF32" s="615" t="str">
        <f>IF($G32="","",(1+WntPeakEnergyLL)*(INDEX(avoidedcosttbl,$H32,DF$2)+(($H32-ROUNDDOWN($H32,0))*(INDEX(avoidedcosttbl,ROUNDUP($H32,0),DF$2)-(INDEX(avoidedcosttbl,ROUNDDOWN($H32,0),DF$2)))))*$P32*1000*ADRYr1!Z32)</f>
        <v/>
      </c>
      <c r="DG32" s="615" t="str">
        <f>IF($G32="","",(1+WntOffPeakEnergyLL)*(INDEX(avoidedcosttbl,$H32,DG$2)+(($H32-ROUNDDOWN($H32,0))*(INDEX(avoidedcosttbl,ROUNDUP($H32,0),DG$2)-(INDEX(avoidedcosttbl,ROUNDDOWN($H32,0),DG$2)))))*$P32*1000*ADRYr1!AA32)</f>
        <v/>
      </c>
      <c r="DH32" s="615" t="str">
        <f>IF($G32="","",(1+SumPeakEnergyLL)*(INDEX(avoidedcosttbl,$H32,DH$2)+(($H32-ROUNDDOWN($H32,0))*(INDEX(avoidedcosttbl,ROUNDUP($H32,0),DH$2)-(INDEX(avoidedcosttbl,ROUNDDOWN($H32,0),DH$2)))))*$P32*1000*ADRYr1!AB32)</f>
        <v/>
      </c>
      <c r="DI32" s="615" t="str">
        <f>IF($G32="","",(1+SumOffPeakEnergyLL)*(INDEX(avoidedcosttbl,$H32,DI$2)+(($H32-ROUNDDOWN($H32,0))*(INDEX(avoidedcosttbl,ROUNDUP($H32,0),DI$2)-(INDEX(avoidedcosttbl,ROUNDDOWN($H32,0),DI$2)))))*$P32*1000*ADRYr1!AC32)</f>
        <v/>
      </c>
      <c r="DJ32" s="29" t="str">
        <f t="shared" si="44"/>
        <v/>
      </c>
      <c r="DK32" s="161" t="str">
        <f t="shared" si="45"/>
        <v/>
      </c>
      <c r="DL32" s="1189" t="str">
        <f t="shared" si="46"/>
        <v/>
      </c>
      <c r="DM32" s="1189" t="str">
        <f t="shared" si="47"/>
        <v/>
      </c>
      <c r="DN32" s="43" t="str">
        <f t="shared" si="48"/>
        <v/>
      </c>
      <c r="DO32" s="966" t="str">
        <f>IF($G32="","",ADRYr1!AQ32)</f>
        <v/>
      </c>
      <c r="DP32" s="968" t="str">
        <f>IF($G32="","",ADRYr1!AR32)</f>
        <v/>
      </c>
      <c r="DQ32" s="970" t="str">
        <f>IF($G32="","",IF($DP32="Yes",COLUMN(AESC!$L$10),IF($DP32="No","Using AvoidedDemand tab",IF($DP32="Mixed",COLUMN(AESC!$N$10)))))</f>
        <v/>
      </c>
      <c r="DR32" s="970" t="str">
        <f>IF($G32="","",IF($DP32="Yes",COLUMN(AESC!$P$10),IF($DP32="No","Using AvoidedDemand tab",IF($DP32="Mixed",COLUMN(AESC!$R$10)))))</f>
        <v/>
      </c>
      <c r="DS32" s="970" t="str">
        <f>IF($G32="","",IF($DP32="Yes",COLUMN(AESC!$S$10),IF($DP32="No",COLUMN(AESC!$T$10),IF($DP32="Mixed",COLUMN(AESC!$U$10)))))</f>
        <v/>
      </c>
      <c r="DT32" s="970" t="str">
        <f t="shared" si="17"/>
        <v/>
      </c>
      <c r="DU32" s="970" t="str">
        <f>IF($G32="","",ADRYr1!AS32)</f>
        <v/>
      </c>
      <c r="DV32" s="971" t="str">
        <f>IF($G32="","",ADRYr1!AT32)</f>
        <v/>
      </c>
      <c r="DW32" s="1162" t="str">
        <f>IF($G32="","",INDEX(AvoidedEnergy!$H$4:$H$10,MATCH($DO32,AvoidedEnergy!$A$4:$A$10,0)))</f>
        <v/>
      </c>
    </row>
    <row r="33" spans="1:127">
      <c r="A33" s="160" t="str">
        <f>IF(ADRYr1!$B33=0,"",ADRYr1!A33)</f>
        <v>C - Commercial &amp; Industrial</v>
      </c>
      <c r="B33" s="9" t="str">
        <f>IF(ADRYr1!$B33=0,"",ADRYr1!B33)</f>
        <v>C5 - C&amp;I Active Demand Response</v>
      </c>
      <c r="C33" s="9" t="str">
        <f>IF(ADRYr1!$B33=0,"",ADRYr1!C33)</f>
        <v>C5a - C&amp;I Active Demand Response</v>
      </c>
      <c r="D33" s="9" t="str">
        <f>IF(ADRYr1!$B33=0,"",ADRYr1!D33)</f>
        <v>Storage Daily Dispatch Upfront Incentive (savings) Winter</v>
      </c>
      <c r="E33" s="9">
        <f>IF(ADRYr1!$B33=0,"",ADRYr1!E33)</f>
        <v>0</v>
      </c>
      <c r="F33" s="11" t="str">
        <f>IF(ADRYr1!$B33=0,"",ADRYr1!F33)</f>
        <v>Behavior</v>
      </c>
      <c r="G33" s="12" t="str">
        <f>IF(ADRYr1!$G33&lt;&gt;0,ADRYr1!G33,"")</f>
        <v/>
      </c>
      <c r="H33" s="960" t="str">
        <f>IF($G33="","",ROUND(ADRYr1!H33,0))</f>
        <v/>
      </c>
      <c r="I33" s="47" t="str">
        <f>IF($G33="","",ADRYr1!I33*ADRYr1!P33*G33)</f>
        <v/>
      </c>
      <c r="J33" s="47" t="str">
        <f>IF($G33="","",ADRYr1!J33*G33)</f>
        <v/>
      </c>
      <c r="K33" s="47" t="str">
        <f t="shared" si="18"/>
        <v/>
      </c>
      <c r="L33" s="27" t="str">
        <f>IF($G33="","",ADRYr1!V33*G33/1000)</f>
        <v/>
      </c>
      <c r="M33" s="27" t="str">
        <f>IF($G33="","",L33*ADRYr1!$Q33*ADRYr1!$R33)</f>
        <v/>
      </c>
      <c r="N33" s="27" t="str">
        <f t="shared" si="19"/>
        <v/>
      </c>
      <c r="O33" s="27" t="str">
        <f t="shared" si="20"/>
        <v/>
      </c>
      <c r="P33" s="27" t="str">
        <f>IF($G33="","",M33*ADRYr1!P33)</f>
        <v/>
      </c>
      <c r="Q33" s="27" t="str">
        <f t="shared" si="21"/>
        <v/>
      </c>
      <c r="R33" s="27" t="str">
        <f>IF($G33="","",$Q33*ADRYr1!Z33)</f>
        <v/>
      </c>
      <c r="S33" s="27" t="str">
        <f>IF($G33="","",$Q33*ADRYr1!AA33)</f>
        <v/>
      </c>
      <c r="T33" s="27" t="str">
        <f>IF($G33="","",$Q33*ADRYr1!AB33)</f>
        <v/>
      </c>
      <c r="U33" s="27" t="str">
        <f>IF($G33="","",$Q33*ADRYr1!AC33)</f>
        <v/>
      </c>
      <c r="V33" s="27" t="str">
        <f>IF($G33="","",G33*ADRYr1!$AD33*ADRYr1!$P33*ADRYr1!$Q33)</f>
        <v/>
      </c>
      <c r="W33" s="27" t="str">
        <f>IF($G33="","",$G33*ADRYr1!$AD33*ADRYr1!$AF33*ADRYr1!Q33*ADRYr1!$S33)</f>
        <v/>
      </c>
      <c r="X33" s="27" t="str">
        <f>IF($G33="","",$G33*ADRYr1!$AD33*ADRYr1!$AF33*ADRYr1!P33*ADRYr1!Q33*ADRYr1!$S33)</f>
        <v/>
      </c>
      <c r="Y33" s="27" t="str">
        <f>IF($G33="","",$G33*ADRYr1!$AD33*ADRYr1!$AE33*ADRYr1!Q33*ADRYr1!$T33)</f>
        <v/>
      </c>
      <c r="Z33" s="27" t="str">
        <f>IF($G33="","",$G33*ADRYr1!$AD33*ADRYr1!$AE33*ADRYr1!P33*ADRYr1!Q33*ADRYr1!$T33)</f>
        <v/>
      </c>
      <c r="AA33" s="45" t="str">
        <f>IF($G33="","",$G33*ADRYr1!$Q33*ADRYr1!$U33*(IF(IFERROR(SEARCH("NG", ADRYr1!$AI33),0),ADRYr1!$AJ33,0)+IF(IFERROR(SEARCH("NG", ADRYr1!$AK33),0),ADRYr1!$AL33,0)+IF(IFERROR(SEARCH("NG", ADRYr1!$AM33),0),ADRYr1!$AN33,0)))</f>
        <v/>
      </c>
      <c r="AB33" s="45" t="str">
        <f t="shared" si="22"/>
        <v/>
      </c>
      <c r="AC33" s="45">
        <f>IF($G33="",0,AA33*ADRYr1!$P33)</f>
        <v>0</v>
      </c>
      <c r="AD33" s="45" t="str">
        <f t="shared" si="23"/>
        <v/>
      </c>
      <c r="AE33" s="45" t="str">
        <f>IF($G33="","",$G33*ADRYr1!$Q33*ADRYr1!$U33*(IF(IFERROR(SEARCH("Oil", ADRYr1!$AI33), 0),ADRYr1!$AJ33,0)+IF(IFERROR(SEARCH("Oil", ADRYr1!$AK33), 0),ADRYr1!$AL33,0)+IF(IFERROR(SEARCH("Oil", ADRYr1!$AM33), 0),ADRYr1!$AN33,0)))</f>
        <v/>
      </c>
      <c r="AF33" s="45" t="str">
        <f t="shared" si="24"/>
        <v/>
      </c>
      <c r="AG33" s="45">
        <f>IF($G33="",0,AE33*ADRYr1!$P33)</f>
        <v>0</v>
      </c>
      <c r="AH33" s="45" t="str">
        <f t="shared" si="25"/>
        <v/>
      </c>
      <c r="AI33" s="45" t="str">
        <f>IF($G33="","",$G33*ADRYr1!$Q33*ADRYr1!$U33*(IF(ADRYr1!$AI33=Lookups!$E$116,ADRYr1!$AJ33,IF(ADRYr1!$AK33=Lookups!$E$116,ADRYr1!$AL33,IF(ADRYr1!$AM33=Lookups!$E$116,ADRYr1!$AN33,0)))))</f>
        <v/>
      </c>
      <c r="AJ33" s="45" t="str">
        <f t="shared" si="26"/>
        <v/>
      </c>
      <c r="AK33" s="45">
        <f>IF($G33="",0,AI33*ADRYr1!$P33)</f>
        <v>0</v>
      </c>
      <c r="AL33" s="45" t="str">
        <f t="shared" si="27"/>
        <v/>
      </c>
      <c r="AM33" s="45" t="str">
        <f>IF($G33="","",$G33*ADRYr1!$Q33*ADRYr1!$U33*(IF(ADRYr1!$AI33=Lookups!$E$115,ADRYr1!$AJ33,IF(ADRYr1!$AK33=Lookups!$E$115,ADRYr1!$AL33,IF(ADRYr1!$AM33=Lookups!$E$115,ADRYr1!$AN33,0)))))</f>
        <v/>
      </c>
      <c r="AN33" s="45" t="str">
        <f t="shared" si="28"/>
        <v/>
      </c>
      <c r="AO33" s="45">
        <f>IF($G33="",0,AM33*ADRYr1!$P33)</f>
        <v>0</v>
      </c>
      <c r="AP33" s="45" t="str">
        <f t="shared" si="29"/>
        <v/>
      </c>
      <c r="AQ33" s="45" t="str">
        <f>IF($G33="","",$G33*ADRYr1!$Q33*ADRYr1!$U33*(IF(ADRYr1!$AI33=Lookups!$E$117,ADRYr1!$AJ33,IF(ADRYr1!$AK33=Lookups!$E$117,ADRYr1!$AL33,IF(ADRYr1!$AM33=Lookups!$E$117,ADRYr1!$AN33,0)))))</f>
        <v/>
      </c>
      <c r="AR33" s="45" t="str">
        <f t="shared" si="30"/>
        <v/>
      </c>
      <c r="AS33" s="45" t="str">
        <f>IF($G33="","",AQ33*ADRYr1!$P33)</f>
        <v/>
      </c>
      <c r="AT33" s="45" t="str">
        <f t="shared" si="31"/>
        <v/>
      </c>
      <c r="AU33" s="45" t="str">
        <f>IF($G33="","",$G33*ADRYr1!$Q33*ADRYr1!$U33*(IF(ADRYr1!$AI33=Lookups!$E$118,ADRYr1!$AJ33,IF(ADRYr1!$AK33=Lookups!$E$118,ADRYr1!$AL33,IF(ADRYr1!$AM33=Lookups!$E$118,ADRYr1!$AN33,0)))))</f>
        <v/>
      </c>
      <c r="AV33" s="45" t="str">
        <f t="shared" si="32"/>
        <v/>
      </c>
      <c r="AW33" s="45" t="str">
        <f>IF($G33="","",AU33*ADRYr1!$P33)</f>
        <v/>
      </c>
      <c r="AX33" s="45" t="str">
        <f t="shared" si="33"/>
        <v/>
      </c>
      <c r="AY33" s="45">
        <f t="shared" si="49"/>
        <v>0</v>
      </c>
      <c r="AZ33" s="45">
        <f t="shared" si="49"/>
        <v>0</v>
      </c>
      <c r="BA33" s="101" t="str">
        <f>IF($G33="","",$G33*ADRYr1!$P33*ADRYr1!$Q33*ADRYr1!$U33*ADRYr1!AO33)</f>
        <v/>
      </c>
      <c r="BB33" s="102" t="str">
        <f>IF($G33="","",$G33*ADRYr1!$P33*ADRYr1!$Q33*ADRYr1!$U33*ADRYr1!AP33)</f>
        <v/>
      </c>
      <c r="BC33" s="100" t="str">
        <f t="shared" si="35"/>
        <v/>
      </c>
      <c r="BD33" s="961"/>
      <c r="BE33" s="961"/>
      <c r="BF33" s="961"/>
      <c r="BG33" s="961"/>
      <c r="BH33" s="962" t="str">
        <f t="shared" si="3"/>
        <v/>
      </c>
      <c r="BI33" s="961"/>
      <c r="BJ33" s="961"/>
      <c r="BK33" s="961"/>
      <c r="BL33" s="961"/>
      <c r="BM33" s="30" t="str">
        <f t="shared" si="4"/>
        <v/>
      </c>
      <c r="BN33" s="963" t="str">
        <f t="shared" si="5"/>
        <v/>
      </c>
      <c r="BO33" s="31" t="str">
        <f t="shared" si="36"/>
        <v/>
      </c>
      <c r="BP33" s="964" t="str">
        <f t="shared" si="6"/>
        <v/>
      </c>
      <c r="BQ33" s="28" t="str">
        <f t="shared" si="7"/>
        <v/>
      </c>
      <c r="BR33" s="964" t="str">
        <f t="shared" si="8"/>
        <v/>
      </c>
      <c r="BS33" s="964" t="str">
        <f t="shared" si="9"/>
        <v/>
      </c>
      <c r="BT33" s="28" t="str">
        <f t="shared" si="50"/>
        <v/>
      </c>
      <c r="BU33" s="28" t="str">
        <f t="shared" si="50"/>
        <v/>
      </c>
      <c r="BV33" s="28" t="str">
        <f t="shared" si="50"/>
        <v/>
      </c>
      <c r="BW33" s="29" t="str">
        <f t="shared" si="37"/>
        <v/>
      </c>
      <c r="BX33" s="29" t="str">
        <f t="shared" si="38"/>
        <v/>
      </c>
      <c r="BY33" s="28" t="str">
        <f>IF($G33="","",$G33*(IF(ADRYr1!$AI33=BY$4,ADRYr1!$AJ33,IF(ADRYr1!$AK33=BY$4,ADRYr1!$AL33,IF(ADRYr1!$AM33=BY$4,ADRYr1!$AN33,0))))*(INDEX(avoidedcosttbl,$H33,BY$2)+(($H33-ROUNDDOWN($H33,0))*(INDEX(avoidedcosttbl,ROUNDUP($H33,0),BY$2)-(INDEX(avoidedcosttbl,ROUNDDOWN($H33,0),BY$2)))))*ADRYr1!P33*ADRYr1!Q33*ADRYr1!U33)</f>
        <v/>
      </c>
      <c r="BZ33" s="28" t="str">
        <f>IF($G33="","",$G33*(IF(ADRYr1!$AI33=BZ$4,ADRYr1!$AJ33,IF(ADRYr1!$AK33=BZ$4,ADRYr1!$AL33,IF(ADRYr1!$AM33=BZ$4,ADRYr1!$AN33,0))))*(INDEX(avoidedcosttbl,$H33,BZ$2)+(($H33-ROUNDDOWN($H33,0))*(INDEX(avoidedcosttbl,ROUNDUP($H33,0),BZ$2)-(INDEX(avoidedcosttbl,ROUNDDOWN($H33,0),BZ$2)))))*ADRYr1!P33*ADRYr1!Q33*ADRYr1!U33)</f>
        <v/>
      </c>
      <c r="CA33" s="28" t="str">
        <f>IF($G33="","",$G33*(IF(ADRYr1!$AI33=CA$4,ADRYr1!$AJ33,IF(ADRYr1!$AK33=CA$4,ADRYr1!$AL33,IF(ADRYr1!$AM33=CA$4,ADRYr1!$AN33,0))))*(INDEX(avoidedcosttbl,$H33,CA$2)+(($H33-ROUNDDOWN($H33,0))*(INDEX(avoidedcosttbl,ROUNDUP($H33,0),CA$2)-(INDEX(avoidedcosttbl,ROUNDDOWN($H33,0),CA$2)))))*ADRYr1!P33*ADRYr1!Q33*ADRYr1!U33)</f>
        <v/>
      </c>
      <c r="CB33" s="28" t="str">
        <f>IF($G33="","",$G33*(IF(ADRYr1!$AI33=CB$4,ADRYr1!$AJ33,IF(ADRYr1!$AK33=CB$4,ADRYr1!$AL33,IF(ADRYr1!$AM33=CB$4,ADRYr1!$AN33,0))))*(INDEX(avoidedcosttbl,$H33,CB$2)+(($H33-ROUNDDOWN($H33,0))*(INDEX(avoidedcosttbl,ROUNDUP($H33,0),CB$2)-(INDEX(avoidedcosttbl,ROUNDDOWN($H33,0),CB$2)))))*ADRYr1!P33*ADRYr1!Q33*ADRYr1!U33)</f>
        <v/>
      </c>
      <c r="CC33" s="28" t="str">
        <f>IF($G33="","",$G33*(IF(ADRYr1!$AI33=CC$4,ADRYr1!$AJ33,IF(ADRYr1!$AK33=CC$4,ADRYr1!$AL33,IF(ADRYr1!$AM33=CC$4,ADRYr1!$AN33,0))))*(INDEX(avoidedcosttbl,$H33,CC$2)+(($H33-ROUNDDOWN($H33,0))*(INDEX(avoidedcosttbl,ROUNDUP($H33,0),CC$2)-(INDEX(avoidedcosttbl,ROUNDDOWN($H33,0),CC$2)))))*ADRYr1!P33*ADRYr1!Q33*ADRYr1!U33)</f>
        <v/>
      </c>
      <c r="CD33" s="28" t="str">
        <f>IF($G33="","",$G33*(IF(ADRYr1!$AI33=CD$4,ADRYr1!$AJ33,IF(ADRYr1!$AK33=CD$4,ADRYr1!$AL33,IF(ADRYr1!$AM33=CD$4,ADRYr1!$AN33,0))))*(INDEX(avoidedcosttbl,$H33,CD$2)+(($H33-ROUNDDOWN($H33,0))*(INDEX(avoidedcosttbl,ROUNDUP($H33,0),CD$2)-(INDEX(avoidedcosttbl,ROUNDDOWN($H33,0),CD$2)))))*ADRYr1!P33*ADRYr1!Q33*ADRYr1!U33)</f>
        <v/>
      </c>
      <c r="CE33" s="28" t="str">
        <f>IF($G33="","",$G33*(IF(ADRYr1!$AI33=CE$4,ADRYr1!$AJ33,IF(ADRYr1!$AK33=CE$4,ADRYr1!$AL33,IF(ADRYr1!$AM33=CE$4,ADRYr1!$AN33,0))))*(INDEX(avoidedcosttbl,$H33,CE$2)+(($H33-ROUNDDOWN($H33,0))*(INDEX(avoidedcosttbl,ROUNDUP($H33,0),CE$2)-(INDEX(avoidedcosttbl,ROUNDDOWN($H33,0),CE$2)))))*ADRYr1!P33*ADRYr1!Q33*ADRYr1!U33)</f>
        <v/>
      </c>
      <c r="CF33" s="41" t="str">
        <f t="shared" si="39"/>
        <v/>
      </c>
      <c r="CG33" s="30" t="str">
        <f t="shared" si="11"/>
        <v/>
      </c>
      <c r="CH33" s="30" t="str">
        <f>IF($G33="","",$G33*(IF(ADRYr1!$AI33=BY$4,ADRYr1!$AJ33,IF(ADRYr1!$AK33=BY$4,ADRYr1!$AL33,IF(ADRYr1!$AM33=BY$4,ADRYr1!$AN33,0))))*(INDEX(avoidedcosttbl,$H33,CH$2)+(($H33-ROUNDDOWN($H33,0))*(INDEX(avoidedcosttbl,ROUNDUP($H33,0),CH$2)-(INDEX(avoidedcosttbl,ROUNDDOWN($H33,0),CH$2)))))*ADRYr1!P33*ADRYr1!Q33*ADRYr1!U33)</f>
        <v/>
      </c>
      <c r="CI33" s="30" t="str">
        <f>IF($G33="","",$G33*(IF(ADRYr1!$AI33=BZ$4,ADRYr1!$AJ33,IF(ADRYr1!$AK33=BZ$4,ADRYr1!$AL33,IF(ADRYr1!$AM33=BZ$4,ADRYr1!$AN33,0))))*(INDEX(avoidedcosttbl,$H33,CI$2)+(($H33-ROUNDDOWN($H33,0))*(INDEX(avoidedcosttbl,ROUNDUP($H33,0),CI$2)-(INDEX(avoidedcosttbl,ROUNDDOWN($H33,0),CI$2)))))*ADRYr1!P33*ADRYr1!Q33*ADRYr1!U33)</f>
        <v/>
      </c>
      <c r="CJ33" s="30" t="str">
        <f>IF($G33="","",$G33*(IF(ADRYr1!$AI33=CA$4,ADRYr1!$AJ33,IF(ADRYr1!$AK33=CA$4,ADRYr1!$AL33,IF(ADRYr1!$AM33=CA$4,ADRYr1!$AN33,0))))*(INDEX(avoidedcosttbl,$H33,CJ$2)+(($H33-ROUNDDOWN($H33,0))*(INDEX(avoidedcosttbl,ROUNDUP($H33,0),CJ$2)-(INDEX(avoidedcosttbl,ROUNDDOWN($H33,0),CJ$2)))))*ADRYr1!P33*ADRYr1!Q33*ADRYr1!U33)</f>
        <v/>
      </c>
      <c r="CK33" s="30" t="str">
        <f>IF($G33="","",$G33*(IF(ADRYr1!$AI33=CB$4,ADRYr1!$AJ33,IF(ADRYr1!$AK33=CB$4,ADRYr1!$AL33,IF(ADRYr1!$AM33=CB$4,ADRYr1!$AN33,0))))*(INDEX(avoidedcosttbl,$H33,CK$2)+(($H33-ROUNDDOWN($H33,0))*(INDEX(avoidedcosttbl,ROUNDUP($H33,0),CK$2)-(INDEX(avoidedcosttbl,ROUNDDOWN($H33,0),CK$2)))))*ADRYr1!P33*ADRYr1!Q33*ADRYr1!U33)</f>
        <v/>
      </c>
      <c r="CL33" s="30" t="str">
        <f>IF($G33="","",$G33*(IF(ADRYr1!$AI33=CC$4,ADRYr1!$AJ33,IF(ADRYr1!$AK33=CC$4,ADRYr1!$AL33,IF(ADRYr1!$AM33=CC$4,ADRYr1!$AN33,0))))*(INDEX(avoidedcosttbl,$H33,CL$2)+(($H33-ROUNDDOWN($H33,0))*(INDEX(avoidedcosttbl,ROUNDUP($H33,0),CL$2)-(INDEX(avoidedcosttbl,ROUNDDOWN($H33,0),CL$2)))))*ADRYr1!P33*ADRYr1!Q33*ADRYr1!U33)</f>
        <v/>
      </c>
      <c r="CM33" s="30" t="str">
        <f>IF($G33="","",$G33*(IF(ADRYr1!$AI33=CD$4,ADRYr1!$AJ33,IF(ADRYr1!$AK33=CD$4,ADRYr1!$AL33,IF(ADRYr1!$AM33=CD$4,ADRYr1!$AN33,0))))*(INDEX(avoidedcosttbl,$H33,CM$2)+(($H33-ROUNDDOWN($H33,0))*(INDEX(avoidedcosttbl,ROUNDUP($H33,0),CM$2)-(INDEX(avoidedcosttbl,ROUNDDOWN($H33,0),CM$2)))))*ADRYr1!P33*ADRYr1!Q33*ADRYr1!U33)</f>
        <v/>
      </c>
      <c r="CN33" s="30" t="str">
        <f>IF($G33="","",$G33*(IF(ADRYr1!$AI33=CE$4,ADRYr1!$AJ33,IF(ADRYr1!$AK33=CE$4,ADRYr1!$AL33,IF(ADRYr1!$AM33=CE$4,ADRYr1!$AN33,0))))*(INDEX(avoidedcosttbl,$H33,CN$2)+(($H33-ROUNDDOWN($H33,0))*(INDEX(avoidedcosttbl,ROUNDUP($H33,0),CN$2)-(INDEX(avoidedcosttbl,ROUNDDOWN($H33,0),CN$2)))))*ADRYr1!P33*ADRYr1!Q33*ADRYr1!U33)</f>
        <v/>
      </c>
      <c r="CO33" s="220" t="str">
        <f t="shared" si="40"/>
        <v/>
      </c>
      <c r="CP33" s="220" t="str">
        <f t="shared" si="41"/>
        <v/>
      </c>
      <c r="CQ33" s="157" t="str">
        <f>IF($G33="","",$G33*(IF(ADRYr1!$AI33=CQ$4,ADRYr1!$AJ33,IF(ADRYr1!$AK33=CQ$4,ADRYr1!$AL33,IF(ADRYr1!$AM33=CQ$4,ADRYr1!$AN33,0))))*(INDEX(avoidedcosttbl,$H33,CQ$2)+(($H33-ROUNDDOWN($H33,0))*(INDEX(avoidedcosttbl,ROUNDUP($H33,0),CQ$2)-(INDEX(avoidedcosttbl,ROUNDDOWN($H33,0),CQ$2)))))*ADRYr1!$P33*ADRYr1!$Q33*ADRYr1!$U33)</f>
        <v/>
      </c>
      <c r="CR33" s="28" t="str">
        <f>IF($G33="","",G33*(IF(ADRYr1!$AI33=CR$4,ADRYr1!$AJ33,IF(ADRYr1!$AK33=CR$4,ADRYr1!$AL33,IF(ADRYr1!$AM33=CR$4,ADRYr1!$AN33,0))))*(INDEX(avoidedcosttbl,$H33,CR$2)+(($H33-ROUNDDOWN($H33,0))*(INDEX(avoidedcosttbl,ROUNDUP($H33,0),CR$2)-(INDEX(avoidedcosttbl,ROUNDDOWN($H33,0),CR$2)))))*ADRYr1!$P33*ADRYr1!$Q33*ADRYr1!$U33)</f>
        <v/>
      </c>
      <c r="CS33" s="28" t="str">
        <f>IF($G33="","",G33*(IF(ADRYr1!$AI33=CS$4,ADRYr1!$AJ33,IF(ADRYr1!$AK33=CS$4,ADRYr1!$AL33,IF(ADRYr1!$AM33=CS$4,ADRYr1!$AN33,0))))*(INDEX(avoidedcosttbl,$H33,CS$2)+(($H33-ROUNDDOWN($H33,0))*(INDEX(avoidedcosttbl,ROUNDUP($H33,0),CS$2)-(INDEX(avoidedcosttbl,ROUNDDOWN($H33,0),CS$2)))))*ADRYr1!$P33*ADRYr1!$Q33*ADRYr1!$U33)</f>
        <v/>
      </c>
      <c r="CT33" s="28" t="str">
        <f t="shared" si="12"/>
        <v/>
      </c>
      <c r="CU33" s="28" t="str">
        <f>IF($G33="","",G33*(IF(ADRYr1!$AI33=CU$4,ADRYr1!$AJ33,IF(ADRYr1!$AK33=CU$4,ADRYr1!$AL33,IF(ADRYr1!$AM33=CU$4,ADRYr1!$AN33,0))))*(INDEX(avoidedcosttbl,$H33,CU$2)+(($H33-ROUNDDOWN($H33,0))*(INDEX(avoidedcosttbl,ROUNDUP($H33,0),CU$2)-(INDEX(avoidedcosttbl,ROUNDDOWN($H33,0),CU$2)))))*ADRYr1!$P33*ADRYr1!$Q33*ADRYr1!$U33)</f>
        <v/>
      </c>
      <c r="CV33" s="28" t="str">
        <f>IF($G33="","",G33*(IF(ADRYr1!$AI33=CV$4,ADRYr1!$AJ33,IF(ADRYr1!$AK33=CV$4,ADRYr1!$AL33,IF(ADRYr1!$AM33=CV$4,ADRYr1!$AN33,0))))*(INDEX(avoidedcosttbl,$H33,CV$2)+(($H33-ROUNDDOWN($H33,0))*(INDEX(avoidedcosttbl,ROUNDUP($H33,0),CV$2)-(INDEX(avoidedcosttbl,ROUNDDOWN($H33,0),CV$2)))))*ADRYr1!$P33*ADRYr1!$Q33*ADRYr1!$U33)</f>
        <v/>
      </c>
      <c r="CW33" s="28" t="str">
        <f>IF($G33="","",G33*(IF(ADRYr1!$AI33=CW$4,ADRYr1!$AJ33,IF(ADRYr1!$AK33=CW$4,ADRYr1!$AL33,IF(ADRYr1!$AM33=CW$4,ADRYr1!$AN33,0))))*(INDEX(avoidedcosttbl,$H33,CW$2)+(($H33-ROUNDDOWN($H33,0))*(INDEX(avoidedcosttbl,ROUNDUP($H33,0),CW$2)-(INDEX(avoidedcosttbl,ROUNDDOWN($H33,0),CW$2)))))*ADRYr1!$P33*ADRYr1!$Q33*ADRYr1!$U33)</f>
        <v/>
      </c>
      <c r="CX33" s="28" t="str">
        <f>IF($G33="","",G33*(IF(ADRYr1!$AI33=CX$4,ADRYr1!$AJ33,IF(ADRYr1!$AK33=CX$4,ADRYr1!$AL33,IF(ADRYr1!$AM33=CX$4,ADRYr1!$AN33,0))))*(INDEX(avoidedcosttbl,$H33,CX$2)+(($H33-ROUNDDOWN($H33,0))*(INDEX(avoidedcosttbl,ROUNDUP($H33,0),CX$2)-(INDEX(avoidedcosttbl,ROUNDDOWN($H33,0),CX$2)))))*ADRYr1!$P33*ADRYr1!$Q33*ADRYr1!$U33)</f>
        <v/>
      </c>
      <c r="CY33" s="28" t="str">
        <f t="shared" si="13"/>
        <v/>
      </c>
      <c r="CZ33" s="32" t="str">
        <f t="shared" si="14"/>
        <v/>
      </c>
      <c r="DA33" s="84" t="str">
        <f t="shared" si="42"/>
        <v/>
      </c>
      <c r="DB33" s="81" t="str">
        <f>IF(NEIadder="Yes",IF($G33="","",INDEX(Lookups!$G$70:$G$71,MATCH($A33,Lookups!$E$70:$E$71,0))*(SUM(CP33:CX33,BX33))),"")</f>
        <v/>
      </c>
      <c r="DC33" s="263" t="str">
        <f t="shared" si="15"/>
        <v/>
      </c>
      <c r="DD33" s="166" t="str">
        <f t="shared" si="16"/>
        <v/>
      </c>
      <c r="DE33" s="82">
        <f t="shared" si="43"/>
        <v>0</v>
      </c>
      <c r="DF33" s="615" t="str">
        <f>IF($G33="","",(1+WntPeakEnergyLL)*(INDEX(avoidedcosttbl,$H33,DF$2)+(($H33-ROUNDDOWN($H33,0))*(INDEX(avoidedcosttbl,ROUNDUP($H33,0),DF$2)-(INDEX(avoidedcosttbl,ROUNDDOWN($H33,0),DF$2)))))*$P33*1000*ADRYr1!Z33)</f>
        <v/>
      </c>
      <c r="DG33" s="615" t="str">
        <f>IF($G33="","",(1+WntOffPeakEnergyLL)*(INDEX(avoidedcosttbl,$H33,DG$2)+(($H33-ROUNDDOWN($H33,0))*(INDEX(avoidedcosttbl,ROUNDUP($H33,0),DG$2)-(INDEX(avoidedcosttbl,ROUNDDOWN($H33,0),DG$2)))))*$P33*1000*ADRYr1!AA33)</f>
        <v/>
      </c>
      <c r="DH33" s="615" t="str">
        <f>IF($G33="","",(1+SumPeakEnergyLL)*(INDEX(avoidedcosttbl,$H33,DH$2)+(($H33-ROUNDDOWN($H33,0))*(INDEX(avoidedcosttbl,ROUNDUP($H33,0),DH$2)-(INDEX(avoidedcosttbl,ROUNDDOWN($H33,0),DH$2)))))*$P33*1000*ADRYr1!AB33)</f>
        <v/>
      </c>
      <c r="DI33" s="615" t="str">
        <f>IF($G33="","",(1+SumOffPeakEnergyLL)*(INDEX(avoidedcosttbl,$H33,DI$2)+(($H33-ROUNDDOWN($H33,0))*(INDEX(avoidedcosttbl,ROUNDUP($H33,0),DI$2)-(INDEX(avoidedcosttbl,ROUNDDOWN($H33,0),DI$2)))))*$P33*1000*ADRYr1!AC33)</f>
        <v/>
      </c>
      <c r="DJ33" s="29" t="str">
        <f t="shared" si="44"/>
        <v/>
      </c>
      <c r="DK33" s="161" t="str">
        <f t="shared" si="45"/>
        <v/>
      </c>
      <c r="DL33" s="1189" t="str">
        <f t="shared" si="46"/>
        <v/>
      </c>
      <c r="DM33" s="1189" t="str">
        <f t="shared" si="47"/>
        <v/>
      </c>
      <c r="DN33" s="43" t="str">
        <f t="shared" si="48"/>
        <v/>
      </c>
      <c r="DO33" s="966" t="str">
        <f>IF($G33="","",ADRYr1!AQ33)</f>
        <v/>
      </c>
      <c r="DP33" s="968" t="str">
        <f>IF($G33="","",ADRYr1!AR33)</f>
        <v/>
      </c>
      <c r="DQ33" s="970" t="str">
        <f>IF($G33="","",IF($DP33="Yes",COLUMN(AESC!$L$10),IF($DP33="No","Using AvoidedDemand tab",IF($DP33="Mixed",COLUMN(AESC!$N$10)))))</f>
        <v/>
      </c>
      <c r="DR33" s="970" t="str">
        <f>IF($G33="","",IF($DP33="Yes",COLUMN(AESC!$P$10),IF($DP33="No","Using AvoidedDemand tab",IF($DP33="Mixed",COLUMN(AESC!$R$10)))))</f>
        <v/>
      </c>
      <c r="DS33" s="970" t="str">
        <f>IF($G33="","",IF($DP33="Yes",COLUMN(AESC!$S$10),IF($DP33="No",COLUMN(AESC!$T$10),IF($DP33="Mixed",COLUMN(AESC!$U$10)))))</f>
        <v/>
      </c>
      <c r="DT33" s="970" t="str">
        <f t="shared" si="17"/>
        <v/>
      </c>
      <c r="DU33" s="970" t="str">
        <f>IF($G33="","",ADRYr1!AS33)</f>
        <v/>
      </c>
      <c r="DV33" s="971" t="str">
        <f>IF($G33="","",ADRYr1!AT33)</f>
        <v/>
      </c>
      <c r="DW33" s="1162" t="str">
        <f>IF($G33="","",INDEX(AvoidedEnergy!$H$4:$H$10,MATCH($DO33,AvoidedEnergy!$A$4:$A$10,0)))</f>
        <v/>
      </c>
    </row>
    <row r="34" spans="1:127">
      <c r="A34" s="160" t="str">
        <f>IF(ADRYr1!$B34=0,"",ADRYr1!A34)</f>
        <v>C - Commercial &amp; Industrial</v>
      </c>
      <c r="B34" s="9" t="str">
        <f>IF(ADRYr1!$B34=0,"",ADRYr1!B34)</f>
        <v>C5 - C&amp;I Active Demand Response</v>
      </c>
      <c r="C34" s="9" t="str">
        <f>IF(ADRYr1!$B34=0,"",ADRYr1!C34)</f>
        <v>C5a - C&amp;I Active Demand Response</v>
      </c>
      <c r="D34" s="9" t="str">
        <f>IF(ADRYr1!$B34=0,"",ADRYr1!D34)</f>
        <v>Storage Daily Dispatch Upfront Incentive (consumption) Winter</v>
      </c>
      <c r="E34" s="9">
        <f>IF(ADRYr1!$B34=0,"",ADRYr1!E34)</f>
        <v>0</v>
      </c>
      <c r="F34" s="11" t="str">
        <f>IF(ADRYr1!$B34=0,"",ADRYr1!F34)</f>
        <v>Behavior</v>
      </c>
      <c r="G34" s="12" t="str">
        <f>IF(ADRYr1!$G34&lt;&gt;0,ADRYr1!G34,"")</f>
        <v/>
      </c>
      <c r="H34" s="960" t="str">
        <f>IF($G34="","",ROUND(ADRYr1!H34,0))</f>
        <v/>
      </c>
      <c r="I34" s="47" t="str">
        <f>IF($G34="","",ADRYr1!I34*ADRYr1!P34*G34)</f>
        <v/>
      </c>
      <c r="J34" s="47" t="str">
        <f>IF($G34="","",ADRYr1!J34*G34)</f>
        <v/>
      </c>
      <c r="K34" s="47" t="str">
        <f t="shared" si="18"/>
        <v/>
      </c>
      <c r="L34" s="27" t="str">
        <f>IF($G34="","",ADRYr1!V34*G34/1000)</f>
        <v/>
      </c>
      <c r="M34" s="27" t="str">
        <f>IF($G34="","",L34*ADRYr1!$Q34*ADRYr1!$R34)</f>
        <v/>
      </c>
      <c r="N34" s="27" t="str">
        <f t="shared" si="19"/>
        <v/>
      </c>
      <c r="O34" s="27" t="str">
        <f t="shared" si="20"/>
        <v/>
      </c>
      <c r="P34" s="27" t="str">
        <f>IF($G34="","",M34*ADRYr1!P34)</f>
        <v/>
      </c>
      <c r="Q34" s="27" t="str">
        <f t="shared" si="21"/>
        <v/>
      </c>
      <c r="R34" s="27" t="str">
        <f>IF($G34="","",$Q34*ADRYr1!Z34)</f>
        <v/>
      </c>
      <c r="S34" s="27" t="str">
        <f>IF($G34="","",$Q34*ADRYr1!AA34)</f>
        <v/>
      </c>
      <c r="T34" s="27" t="str">
        <f>IF($G34="","",$Q34*ADRYr1!AB34)</f>
        <v/>
      </c>
      <c r="U34" s="27" t="str">
        <f>IF($G34="","",$Q34*ADRYr1!AC34)</f>
        <v/>
      </c>
      <c r="V34" s="27" t="str">
        <f>IF($G34="","",G34*ADRYr1!$AD34*ADRYr1!$P34*ADRYr1!$Q34)</f>
        <v/>
      </c>
      <c r="W34" s="27" t="str">
        <f>IF($G34="","",$G34*ADRYr1!$AD34*ADRYr1!$AF34*ADRYr1!Q34*ADRYr1!$S34)</f>
        <v/>
      </c>
      <c r="X34" s="27" t="str">
        <f>IF($G34="","",$G34*ADRYr1!$AD34*ADRYr1!$AF34*ADRYr1!P34*ADRYr1!Q34*ADRYr1!$S34)</f>
        <v/>
      </c>
      <c r="Y34" s="27" t="str">
        <f>IF($G34="","",$G34*ADRYr1!$AD34*ADRYr1!$AE34*ADRYr1!Q34*ADRYr1!$T34)</f>
        <v/>
      </c>
      <c r="Z34" s="27" t="str">
        <f>IF($G34="","",$G34*ADRYr1!$AD34*ADRYr1!$AE34*ADRYr1!P34*ADRYr1!Q34*ADRYr1!$T34)</f>
        <v/>
      </c>
      <c r="AA34" s="45" t="str">
        <f>IF($G34="","",$G34*ADRYr1!$Q34*ADRYr1!$U34*(IF(IFERROR(SEARCH("NG", ADRYr1!$AI34),0),ADRYr1!$AJ34,0)+IF(IFERROR(SEARCH("NG", ADRYr1!$AK34),0),ADRYr1!$AL34,0)+IF(IFERROR(SEARCH("NG", ADRYr1!$AM34),0),ADRYr1!$AN34,0)))</f>
        <v/>
      </c>
      <c r="AB34" s="45" t="str">
        <f t="shared" si="22"/>
        <v/>
      </c>
      <c r="AC34" s="45">
        <f>IF($G34="",0,AA34*ADRYr1!$P34)</f>
        <v>0</v>
      </c>
      <c r="AD34" s="45" t="str">
        <f t="shared" si="23"/>
        <v/>
      </c>
      <c r="AE34" s="45" t="str">
        <f>IF($G34="","",$G34*ADRYr1!$Q34*ADRYr1!$U34*(IF(IFERROR(SEARCH("Oil", ADRYr1!$AI34), 0),ADRYr1!$AJ34,0)+IF(IFERROR(SEARCH("Oil", ADRYr1!$AK34), 0),ADRYr1!$AL34,0)+IF(IFERROR(SEARCH("Oil", ADRYr1!$AM34), 0),ADRYr1!$AN34,0)))</f>
        <v/>
      </c>
      <c r="AF34" s="45" t="str">
        <f t="shared" si="24"/>
        <v/>
      </c>
      <c r="AG34" s="45">
        <f>IF($G34="",0,AE34*ADRYr1!$P34)</f>
        <v>0</v>
      </c>
      <c r="AH34" s="45" t="str">
        <f t="shared" si="25"/>
        <v/>
      </c>
      <c r="AI34" s="45" t="str">
        <f>IF($G34="","",$G34*ADRYr1!$Q34*ADRYr1!$U34*(IF(ADRYr1!$AI34=Lookups!$E$116,ADRYr1!$AJ34,IF(ADRYr1!$AK34=Lookups!$E$116,ADRYr1!$AL34,IF(ADRYr1!$AM34=Lookups!$E$116,ADRYr1!$AN34,0)))))</f>
        <v/>
      </c>
      <c r="AJ34" s="45" t="str">
        <f t="shared" si="26"/>
        <v/>
      </c>
      <c r="AK34" s="45">
        <f>IF($G34="",0,AI34*ADRYr1!$P34)</f>
        <v>0</v>
      </c>
      <c r="AL34" s="45" t="str">
        <f t="shared" si="27"/>
        <v/>
      </c>
      <c r="AM34" s="45" t="str">
        <f>IF($G34="","",$G34*ADRYr1!$Q34*ADRYr1!$U34*(IF(ADRYr1!$AI34=Lookups!$E$115,ADRYr1!$AJ34,IF(ADRYr1!$AK34=Lookups!$E$115,ADRYr1!$AL34,IF(ADRYr1!$AM34=Lookups!$E$115,ADRYr1!$AN34,0)))))</f>
        <v/>
      </c>
      <c r="AN34" s="45" t="str">
        <f t="shared" si="28"/>
        <v/>
      </c>
      <c r="AO34" s="45">
        <f>IF($G34="",0,AM34*ADRYr1!$P34)</f>
        <v>0</v>
      </c>
      <c r="AP34" s="45" t="str">
        <f t="shared" si="29"/>
        <v/>
      </c>
      <c r="AQ34" s="45" t="str">
        <f>IF($G34="","",$G34*ADRYr1!$Q34*ADRYr1!$U34*(IF(ADRYr1!$AI34=Lookups!$E$117,ADRYr1!$AJ34,IF(ADRYr1!$AK34=Lookups!$E$117,ADRYr1!$AL34,IF(ADRYr1!$AM34=Lookups!$E$117,ADRYr1!$AN34,0)))))</f>
        <v/>
      </c>
      <c r="AR34" s="45" t="str">
        <f t="shared" si="30"/>
        <v/>
      </c>
      <c r="AS34" s="45" t="str">
        <f>IF($G34="","",AQ34*ADRYr1!$P34)</f>
        <v/>
      </c>
      <c r="AT34" s="45" t="str">
        <f t="shared" si="31"/>
        <v/>
      </c>
      <c r="AU34" s="45" t="str">
        <f>IF($G34="","",$G34*ADRYr1!$Q34*ADRYr1!$U34*(IF(ADRYr1!$AI34=Lookups!$E$118,ADRYr1!$AJ34,IF(ADRYr1!$AK34=Lookups!$E$118,ADRYr1!$AL34,IF(ADRYr1!$AM34=Lookups!$E$118,ADRYr1!$AN34,0)))))</f>
        <v/>
      </c>
      <c r="AV34" s="45" t="str">
        <f t="shared" si="32"/>
        <v/>
      </c>
      <c r="AW34" s="45" t="str">
        <f>IF($G34="","",AU34*ADRYr1!$P34)</f>
        <v/>
      </c>
      <c r="AX34" s="45" t="str">
        <f t="shared" si="33"/>
        <v/>
      </c>
      <c r="AY34" s="45">
        <f t="shared" si="49"/>
        <v>0</v>
      </c>
      <c r="AZ34" s="45">
        <f t="shared" si="49"/>
        <v>0</v>
      </c>
      <c r="BA34" s="101" t="str">
        <f>IF($G34="","",$G34*ADRYr1!$P34*ADRYr1!$Q34*ADRYr1!$U34*ADRYr1!AO34)</f>
        <v/>
      </c>
      <c r="BB34" s="102" t="str">
        <f>IF($G34="","",$G34*ADRYr1!$P34*ADRYr1!$Q34*ADRYr1!$U34*ADRYr1!AP34)</f>
        <v/>
      </c>
      <c r="BC34" s="100" t="str">
        <f t="shared" si="35"/>
        <v/>
      </c>
      <c r="BD34" s="961"/>
      <c r="BE34" s="961"/>
      <c r="BF34" s="961"/>
      <c r="BG34" s="961"/>
      <c r="BH34" s="962" t="str">
        <f t="shared" si="3"/>
        <v/>
      </c>
      <c r="BI34" s="961"/>
      <c r="BJ34" s="961"/>
      <c r="BK34" s="961"/>
      <c r="BL34" s="961"/>
      <c r="BM34" s="30" t="str">
        <f t="shared" si="4"/>
        <v/>
      </c>
      <c r="BN34" s="963" t="str">
        <f t="shared" si="5"/>
        <v/>
      </c>
      <c r="BO34" s="31" t="str">
        <f t="shared" si="36"/>
        <v/>
      </c>
      <c r="BP34" s="964" t="str">
        <f t="shared" si="6"/>
        <v/>
      </c>
      <c r="BQ34" s="28" t="str">
        <f t="shared" si="7"/>
        <v/>
      </c>
      <c r="BR34" s="964" t="str">
        <f t="shared" si="8"/>
        <v/>
      </c>
      <c r="BS34" s="964" t="str">
        <f t="shared" si="9"/>
        <v/>
      </c>
      <c r="BT34" s="28" t="str">
        <f t="shared" si="50"/>
        <v/>
      </c>
      <c r="BU34" s="28" t="str">
        <f t="shared" si="50"/>
        <v/>
      </c>
      <c r="BV34" s="28" t="str">
        <f t="shared" si="50"/>
        <v/>
      </c>
      <c r="BW34" s="29" t="str">
        <f t="shared" si="37"/>
        <v/>
      </c>
      <c r="BX34" s="29" t="str">
        <f t="shared" si="38"/>
        <v/>
      </c>
      <c r="BY34" s="28" t="str">
        <f>IF($G34="","",$G34*(IF(ADRYr1!$AI34=BY$4,ADRYr1!$AJ34,IF(ADRYr1!$AK34=BY$4,ADRYr1!$AL34,IF(ADRYr1!$AM34=BY$4,ADRYr1!$AN34,0))))*(INDEX(avoidedcosttbl,$H34,BY$2)+(($H34-ROUNDDOWN($H34,0))*(INDEX(avoidedcosttbl,ROUNDUP($H34,0),BY$2)-(INDEX(avoidedcosttbl,ROUNDDOWN($H34,0),BY$2)))))*ADRYr1!P34*ADRYr1!Q34*ADRYr1!U34)</f>
        <v/>
      </c>
      <c r="BZ34" s="28" t="str">
        <f>IF($G34="","",$G34*(IF(ADRYr1!$AI34=BZ$4,ADRYr1!$AJ34,IF(ADRYr1!$AK34=BZ$4,ADRYr1!$AL34,IF(ADRYr1!$AM34=BZ$4,ADRYr1!$AN34,0))))*(INDEX(avoidedcosttbl,$H34,BZ$2)+(($H34-ROUNDDOWN($H34,0))*(INDEX(avoidedcosttbl,ROUNDUP($H34,0),BZ$2)-(INDEX(avoidedcosttbl,ROUNDDOWN($H34,0),BZ$2)))))*ADRYr1!P34*ADRYr1!Q34*ADRYr1!U34)</f>
        <v/>
      </c>
      <c r="CA34" s="28" t="str">
        <f>IF($G34="","",$G34*(IF(ADRYr1!$AI34=CA$4,ADRYr1!$AJ34,IF(ADRYr1!$AK34=CA$4,ADRYr1!$AL34,IF(ADRYr1!$AM34=CA$4,ADRYr1!$AN34,0))))*(INDEX(avoidedcosttbl,$H34,CA$2)+(($H34-ROUNDDOWN($H34,0))*(INDEX(avoidedcosttbl,ROUNDUP($H34,0),CA$2)-(INDEX(avoidedcosttbl,ROUNDDOWN($H34,0),CA$2)))))*ADRYr1!P34*ADRYr1!Q34*ADRYr1!U34)</f>
        <v/>
      </c>
      <c r="CB34" s="28" t="str">
        <f>IF($G34="","",$G34*(IF(ADRYr1!$AI34=CB$4,ADRYr1!$AJ34,IF(ADRYr1!$AK34=CB$4,ADRYr1!$AL34,IF(ADRYr1!$AM34=CB$4,ADRYr1!$AN34,0))))*(INDEX(avoidedcosttbl,$H34,CB$2)+(($H34-ROUNDDOWN($H34,0))*(INDEX(avoidedcosttbl,ROUNDUP($H34,0),CB$2)-(INDEX(avoidedcosttbl,ROUNDDOWN($H34,0),CB$2)))))*ADRYr1!P34*ADRYr1!Q34*ADRYr1!U34)</f>
        <v/>
      </c>
      <c r="CC34" s="28" t="str">
        <f>IF($G34="","",$G34*(IF(ADRYr1!$AI34=CC$4,ADRYr1!$AJ34,IF(ADRYr1!$AK34=CC$4,ADRYr1!$AL34,IF(ADRYr1!$AM34=CC$4,ADRYr1!$AN34,0))))*(INDEX(avoidedcosttbl,$H34,CC$2)+(($H34-ROUNDDOWN($H34,0))*(INDEX(avoidedcosttbl,ROUNDUP($H34,0),CC$2)-(INDEX(avoidedcosttbl,ROUNDDOWN($H34,0),CC$2)))))*ADRYr1!P34*ADRYr1!Q34*ADRYr1!U34)</f>
        <v/>
      </c>
      <c r="CD34" s="28" t="str">
        <f>IF($G34="","",$G34*(IF(ADRYr1!$AI34=CD$4,ADRYr1!$AJ34,IF(ADRYr1!$AK34=CD$4,ADRYr1!$AL34,IF(ADRYr1!$AM34=CD$4,ADRYr1!$AN34,0))))*(INDEX(avoidedcosttbl,$H34,CD$2)+(($H34-ROUNDDOWN($H34,0))*(INDEX(avoidedcosttbl,ROUNDUP($H34,0),CD$2)-(INDEX(avoidedcosttbl,ROUNDDOWN($H34,0),CD$2)))))*ADRYr1!P34*ADRYr1!Q34*ADRYr1!U34)</f>
        <v/>
      </c>
      <c r="CE34" s="28" t="str">
        <f>IF($G34="","",$G34*(IF(ADRYr1!$AI34=CE$4,ADRYr1!$AJ34,IF(ADRYr1!$AK34=CE$4,ADRYr1!$AL34,IF(ADRYr1!$AM34=CE$4,ADRYr1!$AN34,0))))*(INDEX(avoidedcosttbl,$H34,CE$2)+(($H34-ROUNDDOWN($H34,0))*(INDEX(avoidedcosttbl,ROUNDUP($H34,0),CE$2)-(INDEX(avoidedcosttbl,ROUNDDOWN($H34,0),CE$2)))))*ADRYr1!P34*ADRYr1!Q34*ADRYr1!U34)</f>
        <v/>
      </c>
      <c r="CF34" s="41" t="str">
        <f t="shared" si="39"/>
        <v/>
      </c>
      <c r="CG34" s="30" t="str">
        <f t="shared" si="11"/>
        <v/>
      </c>
      <c r="CH34" s="30" t="str">
        <f>IF($G34="","",$G34*(IF(ADRYr1!$AI34=BY$4,ADRYr1!$AJ34,IF(ADRYr1!$AK34=BY$4,ADRYr1!$AL34,IF(ADRYr1!$AM34=BY$4,ADRYr1!$AN34,0))))*(INDEX(avoidedcosttbl,$H34,CH$2)+(($H34-ROUNDDOWN($H34,0))*(INDEX(avoidedcosttbl,ROUNDUP($H34,0),CH$2)-(INDEX(avoidedcosttbl,ROUNDDOWN($H34,0),CH$2)))))*ADRYr1!P34*ADRYr1!Q34*ADRYr1!U34)</f>
        <v/>
      </c>
      <c r="CI34" s="30" t="str">
        <f>IF($G34="","",$G34*(IF(ADRYr1!$AI34=BZ$4,ADRYr1!$AJ34,IF(ADRYr1!$AK34=BZ$4,ADRYr1!$AL34,IF(ADRYr1!$AM34=BZ$4,ADRYr1!$AN34,0))))*(INDEX(avoidedcosttbl,$H34,CI$2)+(($H34-ROUNDDOWN($H34,0))*(INDEX(avoidedcosttbl,ROUNDUP($H34,0),CI$2)-(INDEX(avoidedcosttbl,ROUNDDOWN($H34,0),CI$2)))))*ADRYr1!P34*ADRYr1!Q34*ADRYr1!U34)</f>
        <v/>
      </c>
      <c r="CJ34" s="30" t="str">
        <f>IF($G34="","",$G34*(IF(ADRYr1!$AI34=CA$4,ADRYr1!$AJ34,IF(ADRYr1!$AK34=CA$4,ADRYr1!$AL34,IF(ADRYr1!$AM34=CA$4,ADRYr1!$AN34,0))))*(INDEX(avoidedcosttbl,$H34,CJ$2)+(($H34-ROUNDDOWN($H34,0))*(INDEX(avoidedcosttbl,ROUNDUP($H34,0),CJ$2)-(INDEX(avoidedcosttbl,ROUNDDOWN($H34,0),CJ$2)))))*ADRYr1!P34*ADRYr1!Q34*ADRYr1!U34)</f>
        <v/>
      </c>
      <c r="CK34" s="30" t="str">
        <f>IF($G34="","",$G34*(IF(ADRYr1!$AI34=CB$4,ADRYr1!$AJ34,IF(ADRYr1!$AK34=CB$4,ADRYr1!$AL34,IF(ADRYr1!$AM34=CB$4,ADRYr1!$AN34,0))))*(INDEX(avoidedcosttbl,$H34,CK$2)+(($H34-ROUNDDOWN($H34,0))*(INDEX(avoidedcosttbl,ROUNDUP($H34,0),CK$2)-(INDEX(avoidedcosttbl,ROUNDDOWN($H34,0),CK$2)))))*ADRYr1!P34*ADRYr1!Q34*ADRYr1!U34)</f>
        <v/>
      </c>
      <c r="CL34" s="30" t="str">
        <f>IF($G34="","",$G34*(IF(ADRYr1!$AI34=CC$4,ADRYr1!$AJ34,IF(ADRYr1!$AK34=CC$4,ADRYr1!$AL34,IF(ADRYr1!$AM34=CC$4,ADRYr1!$AN34,0))))*(INDEX(avoidedcosttbl,$H34,CL$2)+(($H34-ROUNDDOWN($H34,0))*(INDEX(avoidedcosttbl,ROUNDUP($H34,0),CL$2)-(INDEX(avoidedcosttbl,ROUNDDOWN($H34,0),CL$2)))))*ADRYr1!P34*ADRYr1!Q34*ADRYr1!U34)</f>
        <v/>
      </c>
      <c r="CM34" s="30" t="str">
        <f>IF($G34="","",$G34*(IF(ADRYr1!$AI34=CD$4,ADRYr1!$AJ34,IF(ADRYr1!$AK34=CD$4,ADRYr1!$AL34,IF(ADRYr1!$AM34=CD$4,ADRYr1!$AN34,0))))*(INDEX(avoidedcosttbl,$H34,CM$2)+(($H34-ROUNDDOWN($H34,0))*(INDEX(avoidedcosttbl,ROUNDUP($H34,0),CM$2)-(INDEX(avoidedcosttbl,ROUNDDOWN($H34,0),CM$2)))))*ADRYr1!P34*ADRYr1!Q34*ADRYr1!U34)</f>
        <v/>
      </c>
      <c r="CN34" s="30" t="str">
        <f>IF($G34="","",$G34*(IF(ADRYr1!$AI34=CE$4,ADRYr1!$AJ34,IF(ADRYr1!$AK34=CE$4,ADRYr1!$AL34,IF(ADRYr1!$AM34=CE$4,ADRYr1!$AN34,0))))*(INDEX(avoidedcosttbl,$H34,CN$2)+(($H34-ROUNDDOWN($H34,0))*(INDEX(avoidedcosttbl,ROUNDUP($H34,0),CN$2)-(INDEX(avoidedcosttbl,ROUNDDOWN($H34,0),CN$2)))))*ADRYr1!P34*ADRYr1!Q34*ADRYr1!U34)</f>
        <v/>
      </c>
      <c r="CO34" s="220" t="str">
        <f t="shared" si="40"/>
        <v/>
      </c>
      <c r="CP34" s="220" t="str">
        <f t="shared" si="41"/>
        <v/>
      </c>
      <c r="CQ34" s="157" t="str">
        <f>IF($G34="","",$G34*(IF(ADRYr1!$AI34=CQ$4,ADRYr1!$AJ34,IF(ADRYr1!$AK34=CQ$4,ADRYr1!$AL34,IF(ADRYr1!$AM34=CQ$4,ADRYr1!$AN34,0))))*(INDEX(avoidedcosttbl,$H34,CQ$2)+(($H34-ROUNDDOWN($H34,0))*(INDEX(avoidedcosttbl,ROUNDUP($H34,0),CQ$2)-(INDEX(avoidedcosttbl,ROUNDDOWN($H34,0),CQ$2)))))*ADRYr1!$P34*ADRYr1!$Q34*ADRYr1!$U34)</f>
        <v/>
      </c>
      <c r="CR34" s="28" t="str">
        <f>IF($G34="","",G34*(IF(ADRYr1!$AI34=CR$4,ADRYr1!$AJ34,IF(ADRYr1!$AK34=CR$4,ADRYr1!$AL34,IF(ADRYr1!$AM34=CR$4,ADRYr1!$AN34,0))))*(INDEX(avoidedcosttbl,$H34,CR$2)+(($H34-ROUNDDOWN($H34,0))*(INDEX(avoidedcosttbl,ROUNDUP($H34,0),CR$2)-(INDEX(avoidedcosttbl,ROUNDDOWN($H34,0),CR$2)))))*ADRYr1!$P34*ADRYr1!$Q34*ADRYr1!$U34)</f>
        <v/>
      </c>
      <c r="CS34" s="28" t="str">
        <f>IF($G34="","",G34*(IF(ADRYr1!$AI34=CS$4,ADRYr1!$AJ34,IF(ADRYr1!$AK34=CS$4,ADRYr1!$AL34,IF(ADRYr1!$AM34=CS$4,ADRYr1!$AN34,0))))*(INDEX(avoidedcosttbl,$H34,CS$2)+(($H34-ROUNDDOWN($H34,0))*(INDEX(avoidedcosttbl,ROUNDUP($H34,0),CS$2)-(INDEX(avoidedcosttbl,ROUNDDOWN($H34,0),CS$2)))))*ADRYr1!$P34*ADRYr1!$Q34*ADRYr1!$U34)</f>
        <v/>
      </c>
      <c r="CT34" s="28" t="str">
        <f t="shared" si="12"/>
        <v/>
      </c>
      <c r="CU34" s="28" t="str">
        <f>IF($G34="","",G34*(IF(ADRYr1!$AI34=CU$4,ADRYr1!$AJ34,IF(ADRYr1!$AK34=CU$4,ADRYr1!$AL34,IF(ADRYr1!$AM34=CU$4,ADRYr1!$AN34,0))))*(INDEX(avoidedcosttbl,$H34,CU$2)+(($H34-ROUNDDOWN($H34,0))*(INDEX(avoidedcosttbl,ROUNDUP($H34,0),CU$2)-(INDEX(avoidedcosttbl,ROUNDDOWN($H34,0),CU$2)))))*ADRYr1!$P34*ADRYr1!$Q34*ADRYr1!$U34)</f>
        <v/>
      </c>
      <c r="CV34" s="28" t="str">
        <f>IF($G34="","",G34*(IF(ADRYr1!$AI34=CV$4,ADRYr1!$AJ34,IF(ADRYr1!$AK34=CV$4,ADRYr1!$AL34,IF(ADRYr1!$AM34=CV$4,ADRYr1!$AN34,0))))*(INDEX(avoidedcosttbl,$H34,CV$2)+(($H34-ROUNDDOWN($H34,0))*(INDEX(avoidedcosttbl,ROUNDUP($H34,0),CV$2)-(INDEX(avoidedcosttbl,ROUNDDOWN($H34,0),CV$2)))))*ADRYr1!$P34*ADRYr1!$Q34*ADRYr1!$U34)</f>
        <v/>
      </c>
      <c r="CW34" s="28" t="str">
        <f>IF($G34="","",G34*(IF(ADRYr1!$AI34=CW$4,ADRYr1!$AJ34,IF(ADRYr1!$AK34=CW$4,ADRYr1!$AL34,IF(ADRYr1!$AM34=CW$4,ADRYr1!$AN34,0))))*(INDEX(avoidedcosttbl,$H34,CW$2)+(($H34-ROUNDDOWN($H34,0))*(INDEX(avoidedcosttbl,ROUNDUP($H34,0),CW$2)-(INDEX(avoidedcosttbl,ROUNDDOWN($H34,0),CW$2)))))*ADRYr1!$P34*ADRYr1!$Q34*ADRYr1!$U34)</f>
        <v/>
      </c>
      <c r="CX34" s="28" t="str">
        <f>IF($G34="","",G34*(IF(ADRYr1!$AI34=CX$4,ADRYr1!$AJ34,IF(ADRYr1!$AK34=CX$4,ADRYr1!$AL34,IF(ADRYr1!$AM34=CX$4,ADRYr1!$AN34,0))))*(INDEX(avoidedcosttbl,$H34,CX$2)+(($H34-ROUNDDOWN($H34,0))*(INDEX(avoidedcosttbl,ROUNDUP($H34,0),CX$2)-(INDEX(avoidedcosttbl,ROUNDDOWN($H34,0),CX$2)))))*ADRYr1!$P34*ADRYr1!$Q34*ADRYr1!$U34)</f>
        <v/>
      </c>
      <c r="CY34" s="28" t="str">
        <f t="shared" si="13"/>
        <v/>
      </c>
      <c r="CZ34" s="32" t="str">
        <f t="shared" si="14"/>
        <v/>
      </c>
      <c r="DA34" s="84" t="str">
        <f t="shared" si="42"/>
        <v/>
      </c>
      <c r="DB34" s="81" t="str">
        <f>IF(NEIadder="Yes",IF($G34="","",INDEX(Lookups!$G$70:$G$71,MATCH($A34,Lookups!$E$70:$E$71,0))*(SUM(CP34:CX34,BX34))),"")</f>
        <v/>
      </c>
      <c r="DC34" s="263" t="str">
        <f t="shared" si="15"/>
        <v/>
      </c>
      <c r="DD34" s="166" t="str">
        <f t="shared" si="16"/>
        <v/>
      </c>
      <c r="DE34" s="82">
        <f t="shared" si="43"/>
        <v>0</v>
      </c>
      <c r="DF34" s="615" t="str">
        <f>IF($G34="","",(1+WntPeakEnergyLL)*(INDEX(avoidedcosttbl,$H34,DF$2)+(($H34-ROUNDDOWN($H34,0))*(INDEX(avoidedcosttbl,ROUNDUP($H34,0),DF$2)-(INDEX(avoidedcosttbl,ROUNDDOWN($H34,0),DF$2)))))*$P34*1000*ADRYr1!Z34)</f>
        <v/>
      </c>
      <c r="DG34" s="615" t="str">
        <f>IF($G34="","",(1+WntOffPeakEnergyLL)*(INDEX(avoidedcosttbl,$H34,DG$2)+(($H34-ROUNDDOWN($H34,0))*(INDEX(avoidedcosttbl,ROUNDUP($H34,0),DG$2)-(INDEX(avoidedcosttbl,ROUNDDOWN($H34,0),DG$2)))))*$P34*1000*ADRYr1!AA34)</f>
        <v/>
      </c>
      <c r="DH34" s="615" t="str">
        <f>IF($G34="","",(1+SumPeakEnergyLL)*(INDEX(avoidedcosttbl,$H34,DH$2)+(($H34-ROUNDDOWN($H34,0))*(INDEX(avoidedcosttbl,ROUNDUP($H34,0),DH$2)-(INDEX(avoidedcosttbl,ROUNDDOWN($H34,0),DH$2)))))*$P34*1000*ADRYr1!AB34)</f>
        <v/>
      </c>
      <c r="DI34" s="615" t="str">
        <f>IF($G34="","",(1+SumOffPeakEnergyLL)*(INDEX(avoidedcosttbl,$H34,DI$2)+(($H34-ROUNDDOWN($H34,0))*(INDEX(avoidedcosttbl,ROUNDUP($H34,0),DI$2)-(INDEX(avoidedcosttbl,ROUNDDOWN($H34,0),DI$2)))))*$P34*1000*ADRYr1!AC34)</f>
        <v/>
      </c>
      <c r="DJ34" s="29" t="str">
        <f t="shared" si="44"/>
        <v/>
      </c>
      <c r="DK34" s="161" t="str">
        <f t="shared" si="45"/>
        <v/>
      </c>
      <c r="DL34" s="1189" t="str">
        <f t="shared" si="46"/>
        <v/>
      </c>
      <c r="DM34" s="1189" t="str">
        <f t="shared" si="47"/>
        <v/>
      </c>
      <c r="DN34" s="43" t="str">
        <f t="shared" si="48"/>
        <v/>
      </c>
      <c r="DO34" s="966" t="str">
        <f>IF($G34="","",ADRYr1!AQ34)</f>
        <v/>
      </c>
      <c r="DP34" s="968" t="str">
        <f>IF($G34="","",ADRYr1!AR34)</f>
        <v/>
      </c>
      <c r="DQ34" s="970" t="str">
        <f>IF($G34="","",IF($DP34="Yes",COLUMN(AESC!$L$10),IF($DP34="No","Using AvoidedDemand tab",IF($DP34="Mixed",COLUMN(AESC!$N$10)))))</f>
        <v/>
      </c>
      <c r="DR34" s="970" t="str">
        <f>IF($G34="","",IF($DP34="Yes",COLUMN(AESC!$P$10),IF($DP34="No","Using AvoidedDemand tab",IF($DP34="Mixed",COLUMN(AESC!$R$10)))))</f>
        <v/>
      </c>
      <c r="DS34" s="970" t="str">
        <f>IF($G34="","",IF($DP34="Yes",COLUMN(AESC!$S$10),IF($DP34="No",COLUMN(AESC!$T$10),IF($DP34="Mixed",COLUMN(AESC!$U$10)))))</f>
        <v/>
      </c>
      <c r="DT34" s="970" t="str">
        <f t="shared" si="17"/>
        <v/>
      </c>
      <c r="DU34" s="970" t="str">
        <f>IF($G34="","",ADRYr1!AS34)</f>
        <v/>
      </c>
      <c r="DV34" s="971" t="str">
        <f>IF($G34="","",ADRYr1!AT34)</f>
        <v/>
      </c>
      <c r="DW34" s="1162" t="str">
        <f>IF($G34="","",INDEX(AvoidedEnergy!$H$4:$H$10,MATCH($DO34,AvoidedEnergy!$A$4:$A$10,0)))</f>
        <v/>
      </c>
    </row>
    <row r="35" spans="1:127">
      <c r="A35" s="160" t="str">
        <f>IF(ADRYr1!$B35=0,"",ADRYr1!A35)</f>
        <v>C - Commercial &amp; Industrial</v>
      </c>
      <c r="B35" s="9" t="str">
        <f>IF(ADRYr1!$B35=0,"",ADRYr1!B35)</f>
        <v>C5 - C&amp;I Active Demand Response</v>
      </c>
      <c r="C35" s="9" t="str">
        <f>IF(ADRYr1!$B35=0,"",ADRYr1!C35)</f>
        <v>C5a - C&amp;I Active Demand Response</v>
      </c>
      <c r="D35" s="9" t="str">
        <f>IF(ADRYr1!$B35=0,"",ADRYr1!D35)</f>
        <v>Storage Daily Dispatch P4P (savings) Summer</v>
      </c>
      <c r="E35" s="9" t="str">
        <f>IF(ADRYr1!$B35=0,"",ADRYr1!E35)</f>
        <v>E21C5a002</v>
      </c>
      <c r="F35" s="11" t="str">
        <f>IF(ADRYr1!$B35=0,"",ADRYr1!F35)</f>
        <v>Behavior</v>
      </c>
      <c r="G35" s="12" t="str">
        <f>IF(ADRYr1!$G35&lt;&gt;0,ADRYr1!G35,"")</f>
        <v/>
      </c>
      <c r="H35" s="960" t="str">
        <f>IF($G35="","",ROUND(ADRYr1!H35,0))</f>
        <v/>
      </c>
      <c r="I35" s="47" t="str">
        <f>IF($G35="","",ADRYr1!I35*ADRYr1!P35*G35)</f>
        <v/>
      </c>
      <c r="J35" s="47" t="str">
        <f>IF($G35="","",ADRYr1!J35*G35)</f>
        <v/>
      </c>
      <c r="K35" s="47" t="str">
        <f t="shared" si="18"/>
        <v/>
      </c>
      <c r="L35" s="27" t="str">
        <f>IF($G35="","",ADRYr1!V35*G35/1000)</f>
        <v/>
      </c>
      <c r="M35" s="27" t="str">
        <f>IF($G35="","",L35*ADRYr1!$Q35*ADRYr1!$R35)</f>
        <v/>
      </c>
      <c r="N35" s="27" t="str">
        <f t="shared" si="19"/>
        <v/>
      </c>
      <c r="O35" s="27" t="str">
        <f t="shared" si="20"/>
        <v/>
      </c>
      <c r="P35" s="27" t="str">
        <f>IF($G35="","",M35*ADRYr1!P35)</f>
        <v/>
      </c>
      <c r="Q35" s="27" t="str">
        <f t="shared" si="21"/>
        <v/>
      </c>
      <c r="R35" s="27" t="str">
        <f>IF($G35="","",$Q35*ADRYr1!Z35)</f>
        <v/>
      </c>
      <c r="S35" s="27" t="str">
        <f>IF($G35="","",$Q35*ADRYr1!AA35)</f>
        <v/>
      </c>
      <c r="T35" s="27" t="str">
        <f>IF($G35="","",$Q35*ADRYr1!AB35)</f>
        <v/>
      </c>
      <c r="U35" s="27" t="str">
        <f>IF($G35="","",$Q35*ADRYr1!AC35)</f>
        <v/>
      </c>
      <c r="V35" s="27" t="str">
        <f>IF($G35="","",G35*ADRYr1!$AD35*ADRYr1!$P35*ADRYr1!$Q35)</f>
        <v/>
      </c>
      <c r="W35" s="27" t="str">
        <f>IF($G35="","",$G35*ADRYr1!$AD35*ADRYr1!$AF35*ADRYr1!Q35*ADRYr1!$S35)</f>
        <v/>
      </c>
      <c r="X35" s="27" t="str">
        <f>IF($G35="","",$G35*ADRYr1!$AD35*ADRYr1!$AF35*ADRYr1!P35*ADRYr1!Q35*ADRYr1!$S35)</f>
        <v/>
      </c>
      <c r="Y35" s="27" t="str">
        <f>IF($G35="","",$G35*ADRYr1!$AD35*ADRYr1!$AE35*ADRYr1!Q35*ADRYr1!$T35)</f>
        <v/>
      </c>
      <c r="Z35" s="27" t="str">
        <f>IF($G35="","",$G35*ADRYr1!$AD35*ADRYr1!$AE35*ADRYr1!P35*ADRYr1!Q35*ADRYr1!$T35)</f>
        <v/>
      </c>
      <c r="AA35" s="45" t="str">
        <f>IF($G35="","",$G35*ADRYr1!$Q35*ADRYr1!$U35*(IF(IFERROR(SEARCH("NG", ADRYr1!$AI35),0),ADRYr1!$AJ35,0)+IF(IFERROR(SEARCH("NG", ADRYr1!$AK35),0),ADRYr1!$AL35,0)+IF(IFERROR(SEARCH("NG", ADRYr1!$AM35),0),ADRYr1!$AN35,0)))</f>
        <v/>
      </c>
      <c r="AB35" s="45" t="str">
        <f t="shared" si="22"/>
        <v/>
      </c>
      <c r="AC35" s="45">
        <f>IF($G35="",0,AA35*ADRYr1!$P35)</f>
        <v>0</v>
      </c>
      <c r="AD35" s="45" t="str">
        <f t="shared" si="23"/>
        <v/>
      </c>
      <c r="AE35" s="45" t="str">
        <f>IF($G35="","",$G35*ADRYr1!$Q35*ADRYr1!$U35*(IF(IFERROR(SEARCH("Oil", ADRYr1!$AI35), 0),ADRYr1!$AJ35,0)+IF(IFERROR(SEARCH("Oil", ADRYr1!$AK35), 0),ADRYr1!$AL35,0)+IF(IFERROR(SEARCH("Oil", ADRYr1!$AM35), 0),ADRYr1!$AN35,0)))</f>
        <v/>
      </c>
      <c r="AF35" s="45" t="str">
        <f t="shared" si="24"/>
        <v/>
      </c>
      <c r="AG35" s="45">
        <f>IF($G35="",0,AE35*ADRYr1!$P35)</f>
        <v>0</v>
      </c>
      <c r="AH35" s="45" t="str">
        <f t="shared" si="25"/>
        <v/>
      </c>
      <c r="AI35" s="45" t="str">
        <f>IF($G35="","",$G35*ADRYr1!$Q35*ADRYr1!$U35*(IF(ADRYr1!$AI35=Lookups!$E$116,ADRYr1!$AJ35,IF(ADRYr1!$AK35=Lookups!$E$116,ADRYr1!$AL35,IF(ADRYr1!$AM35=Lookups!$E$116,ADRYr1!$AN35,0)))))</f>
        <v/>
      </c>
      <c r="AJ35" s="45" t="str">
        <f t="shared" si="26"/>
        <v/>
      </c>
      <c r="AK35" s="45">
        <f>IF($G35="",0,AI35*ADRYr1!$P35)</f>
        <v>0</v>
      </c>
      <c r="AL35" s="45" t="str">
        <f t="shared" si="27"/>
        <v/>
      </c>
      <c r="AM35" s="45" t="str">
        <f>IF($G35="","",$G35*ADRYr1!$Q35*ADRYr1!$U35*(IF(ADRYr1!$AI35=Lookups!$E$115,ADRYr1!$AJ35,IF(ADRYr1!$AK35=Lookups!$E$115,ADRYr1!$AL35,IF(ADRYr1!$AM35=Lookups!$E$115,ADRYr1!$AN35,0)))))</f>
        <v/>
      </c>
      <c r="AN35" s="45" t="str">
        <f t="shared" si="28"/>
        <v/>
      </c>
      <c r="AO35" s="45">
        <f>IF($G35="",0,AM35*ADRYr1!$P35)</f>
        <v>0</v>
      </c>
      <c r="AP35" s="45" t="str">
        <f t="shared" si="29"/>
        <v/>
      </c>
      <c r="AQ35" s="45" t="str">
        <f>IF($G35="","",$G35*ADRYr1!$Q35*ADRYr1!$U35*(IF(ADRYr1!$AI35=Lookups!$E$117,ADRYr1!$AJ35,IF(ADRYr1!$AK35=Lookups!$E$117,ADRYr1!$AL35,IF(ADRYr1!$AM35=Lookups!$E$117,ADRYr1!$AN35,0)))))</f>
        <v/>
      </c>
      <c r="AR35" s="45" t="str">
        <f t="shared" si="30"/>
        <v/>
      </c>
      <c r="AS35" s="45" t="str">
        <f>IF($G35="","",AQ35*ADRYr1!$P35)</f>
        <v/>
      </c>
      <c r="AT35" s="45" t="str">
        <f t="shared" si="31"/>
        <v/>
      </c>
      <c r="AU35" s="45" t="str">
        <f>IF($G35="","",$G35*ADRYr1!$Q35*ADRYr1!$U35*(IF(ADRYr1!$AI35=Lookups!$E$118,ADRYr1!$AJ35,IF(ADRYr1!$AK35=Lookups!$E$118,ADRYr1!$AL35,IF(ADRYr1!$AM35=Lookups!$E$118,ADRYr1!$AN35,0)))))</f>
        <v/>
      </c>
      <c r="AV35" s="45" t="str">
        <f t="shared" si="32"/>
        <v/>
      </c>
      <c r="AW35" s="45" t="str">
        <f>IF($G35="","",AU35*ADRYr1!$P35)</f>
        <v/>
      </c>
      <c r="AX35" s="45" t="str">
        <f t="shared" si="33"/>
        <v/>
      </c>
      <c r="AY35" s="45">
        <f t="shared" si="49"/>
        <v>0</v>
      </c>
      <c r="AZ35" s="45">
        <f t="shared" si="49"/>
        <v>0</v>
      </c>
      <c r="BA35" s="101" t="str">
        <f>IF($G35="","",$G35*ADRYr1!$P35*ADRYr1!$Q35*ADRYr1!$U35*ADRYr1!AO35)</f>
        <v/>
      </c>
      <c r="BB35" s="102" t="str">
        <f>IF($G35="","",$G35*ADRYr1!$P35*ADRYr1!$Q35*ADRYr1!$U35*ADRYr1!AP35)</f>
        <v/>
      </c>
      <c r="BC35" s="100" t="str">
        <f t="shared" si="35"/>
        <v/>
      </c>
      <c r="BD35" s="961"/>
      <c r="BE35" s="961"/>
      <c r="BF35" s="961"/>
      <c r="BG35" s="961"/>
      <c r="BH35" s="962" t="str">
        <f t="shared" si="3"/>
        <v/>
      </c>
      <c r="BI35" s="961"/>
      <c r="BJ35" s="961"/>
      <c r="BK35" s="961"/>
      <c r="BL35" s="961"/>
      <c r="BM35" s="30" t="str">
        <f t="shared" si="4"/>
        <v/>
      </c>
      <c r="BN35" s="963" t="str">
        <f t="shared" si="5"/>
        <v/>
      </c>
      <c r="BO35" s="31" t="str">
        <f t="shared" si="36"/>
        <v/>
      </c>
      <c r="BP35" s="964" t="str">
        <f t="shared" si="6"/>
        <v/>
      </c>
      <c r="BQ35" s="28" t="str">
        <f t="shared" si="7"/>
        <v/>
      </c>
      <c r="BR35" s="964" t="str">
        <f t="shared" si="8"/>
        <v/>
      </c>
      <c r="BS35" s="964" t="str">
        <f t="shared" si="9"/>
        <v/>
      </c>
      <c r="BT35" s="28" t="str">
        <f t="shared" si="50"/>
        <v/>
      </c>
      <c r="BU35" s="28" t="str">
        <f t="shared" si="50"/>
        <v/>
      </c>
      <c r="BV35" s="28" t="str">
        <f t="shared" si="50"/>
        <v/>
      </c>
      <c r="BW35" s="29" t="str">
        <f t="shared" si="37"/>
        <v/>
      </c>
      <c r="BX35" s="29" t="str">
        <f t="shared" si="38"/>
        <v/>
      </c>
      <c r="BY35" s="28" t="str">
        <f>IF($G35="","",$G35*(IF(ADRYr1!$AI35=BY$4,ADRYr1!$AJ35,IF(ADRYr1!$AK35=BY$4,ADRYr1!$AL35,IF(ADRYr1!$AM35=BY$4,ADRYr1!$AN35,0))))*(INDEX(avoidedcosttbl,$H35,BY$2)+(($H35-ROUNDDOWN($H35,0))*(INDEX(avoidedcosttbl,ROUNDUP($H35,0),BY$2)-(INDEX(avoidedcosttbl,ROUNDDOWN($H35,0),BY$2)))))*ADRYr1!P35*ADRYr1!Q35*ADRYr1!U35)</f>
        <v/>
      </c>
      <c r="BZ35" s="28" t="str">
        <f>IF($G35="","",$G35*(IF(ADRYr1!$AI35=BZ$4,ADRYr1!$AJ35,IF(ADRYr1!$AK35=BZ$4,ADRYr1!$AL35,IF(ADRYr1!$AM35=BZ$4,ADRYr1!$AN35,0))))*(INDEX(avoidedcosttbl,$H35,BZ$2)+(($H35-ROUNDDOWN($H35,0))*(INDEX(avoidedcosttbl,ROUNDUP($H35,0),BZ$2)-(INDEX(avoidedcosttbl,ROUNDDOWN($H35,0),BZ$2)))))*ADRYr1!P35*ADRYr1!Q35*ADRYr1!U35)</f>
        <v/>
      </c>
      <c r="CA35" s="28" t="str">
        <f>IF($G35="","",$G35*(IF(ADRYr1!$AI35=CA$4,ADRYr1!$AJ35,IF(ADRYr1!$AK35=CA$4,ADRYr1!$AL35,IF(ADRYr1!$AM35=CA$4,ADRYr1!$AN35,0))))*(INDEX(avoidedcosttbl,$H35,CA$2)+(($H35-ROUNDDOWN($H35,0))*(INDEX(avoidedcosttbl,ROUNDUP($H35,0),CA$2)-(INDEX(avoidedcosttbl,ROUNDDOWN($H35,0),CA$2)))))*ADRYr1!P35*ADRYr1!Q35*ADRYr1!U35)</f>
        <v/>
      </c>
      <c r="CB35" s="28" t="str">
        <f>IF($G35="","",$G35*(IF(ADRYr1!$AI35=CB$4,ADRYr1!$AJ35,IF(ADRYr1!$AK35=CB$4,ADRYr1!$AL35,IF(ADRYr1!$AM35=CB$4,ADRYr1!$AN35,0))))*(INDEX(avoidedcosttbl,$H35,CB$2)+(($H35-ROUNDDOWN($H35,0))*(INDEX(avoidedcosttbl,ROUNDUP($H35,0),CB$2)-(INDEX(avoidedcosttbl,ROUNDDOWN($H35,0),CB$2)))))*ADRYr1!P35*ADRYr1!Q35*ADRYr1!U35)</f>
        <v/>
      </c>
      <c r="CC35" s="28" t="str">
        <f>IF($G35="","",$G35*(IF(ADRYr1!$AI35=CC$4,ADRYr1!$AJ35,IF(ADRYr1!$AK35=CC$4,ADRYr1!$AL35,IF(ADRYr1!$AM35=CC$4,ADRYr1!$AN35,0))))*(INDEX(avoidedcosttbl,$H35,CC$2)+(($H35-ROUNDDOWN($H35,0))*(INDEX(avoidedcosttbl,ROUNDUP($H35,0),CC$2)-(INDEX(avoidedcosttbl,ROUNDDOWN($H35,0),CC$2)))))*ADRYr1!P35*ADRYr1!Q35*ADRYr1!U35)</f>
        <v/>
      </c>
      <c r="CD35" s="28" t="str">
        <f>IF($G35="","",$G35*(IF(ADRYr1!$AI35=CD$4,ADRYr1!$AJ35,IF(ADRYr1!$AK35=CD$4,ADRYr1!$AL35,IF(ADRYr1!$AM35=CD$4,ADRYr1!$AN35,0))))*(INDEX(avoidedcosttbl,$H35,CD$2)+(($H35-ROUNDDOWN($H35,0))*(INDEX(avoidedcosttbl,ROUNDUP($H35,0),CD$2)-(INDEX(avoidedcosttbl,ROUNDDOWN($H35,0),CD$2)))))*ADRYr1!P35*ADRYr1!Q35*ADRYr1!U35)</f>
        <v/>
      </c>
      <c r="CE35" s="28" t="str">
        <f>IF($G35="","",$G35*(IF(ADRYr1!$AI35=CE$4,ADRYr1!$AJ35,IF(ADRYr1!$AK35=CE$4,ADRYr1!$AL35,IF(ADRYr1!$AM35=CE$4,ADRYr1!$AN35,0))))*(INDEX(avoidedcosttbl,$H35,CE$2)+(($H35-ROUNDDOWN($H35,0))*(INDEX(avoidedcosttbl,ROUNDUP($H35,0),CE$2)-(INDEX(avoidedcosttbl,ROUNDDOWN($H35,0),CE$2)))))*ADRYr1!P35*ADRYr1!Q35*ADRYr1!U35)</f>
        <v/>
      </c>
      <c r="CF35" s="41" t="str">
        <f t="shared" si="39"/>
        <v/>
      </c>
      <c r="CG35" s="30" t="str">
        <f t="shared" si="11"/>
        <v/>
      </c>
      <c r="CH35" s="30" t="str">
        <f>IF($G35="","",$G35*(IF(ADRYr1!$AI35=BY$4,ADRYr1!$AJ35,IF(ADRYr1!$AK35=BY$4,ADRYr1!$AL35,IF(ADRYr1!$AM35=BY$4,ADRYr1!$AN35,0))))*(INDEX(avoidedcosttbl,$H35,CH$2)+(($H35-ROUNDDOWN($H35,0))*(INDEX(avoidedcosttbl,ROUNDUP($H35,0),CH$2)-(INDEX(avoidedcosttbl,ROUNDDOWN($H35,0),CH$2)))))*ADRYr1!P35*ADRYr1!Q35*ADRYr1!U35)</f>
        <v/>
      </c>
      <c r="CI35" s="30" t="str">
        <f>IF($G35="","",$G35*(IF(ADRYr1!$AI35=BZ$4,ADRYr1!$AJ35,IF(ADRYr1!$AK35=BZ$4,ADRYr1!$AL35,IF(ADRYr1!$AM35=BZ$4,ADRYr1!$AN35,0))))*(INDEX(avoidedcosttbl,$H35,CI$2)+(($H35-ROUNDDOWN($H35,0))*(INDEX(avoidedcosttbl,ROUNDUP($H35,0),CI$2)-(INDEX(avoidedcosttbl,ROUNDDOWN($H35,0),CI$2)))))*ADRYr1!P35*ADRYr1!Q35*ADRYr1!U35)</f>
        <v/>
      </c>
      <c r="CJ35" s="30" t="str">
        <f>IF($G35="","",$G35*(IF(ADRYr1!$AI35=CA$4,ADRYr1!$AJ35,IF(ADRYr1!$AK35=CA$4,ADRYr1!$AL35,IF(ADRYr1!$AM35=CA$4,ADRYr1!$AN35,0))))*(INDEX(avoidedcosttbl,$H35,CJ$2)+(($H35-ROUNDDOWN($H35,0))*(INDEX(avoidedcosttbl,ROUNDUP($H35,0),CJ$2)-(INDEX(avoidedcosttbl,ROUNDDOWN($H35,0),CJ$2)))))*ADRYr1!P35*ADRYr1!Q35*ADRYr1!U35)</f>
        <v/>
      </c>
      <c r="CK35" s="30" t="str">
        <f>IF($G35="","",$G35*(IF(ADRYr1!$AI35=CB$4,ADRYr1!$AJ35,IF(ADRYr1!$AK35=CB$4,ADRYr1!$AL35,IF(ADRYr1!$AM35=CB$4,ADRYr1!$AN35,0))))*(INDEX(avoidedcosttbl,$H35,CK$2)+(($H35-ROUNDDOWN($H35,0))*(INDEX(avoidedcosttbl,ROUNDUP($H35,0),CK$2)-(INDEX(avoidedcosttbl,ROUNDDOWN($H35,0),CK$2)))))*ADRYr1!P35*ADRYr1!Q35*ADRYr1!U35)</f>
        <v/>
      </c>
      <c r="CL35" s="30" t="str">
        <f>IF($G35="","",$G35*(IF(ADRYr1!$AI35=CC$4,ADRYr1!$AJ35,IF(ADRYr1!$AK35=CC$4,ADRYr1!$AL35,IF(ADRYr1!$AM35=CC$4,ADRYr1!$AN35,0))))*(INDEX(avoidedcosttbl,$H35,CL$2)+(($H35-ROUNDDOWN($H35,0))*(INDEX(avoidedcosttbl,ROUNDUP($H35,0),CL$2)-(INDEX(avoidedcosttbl,ROUNDDOWN($H35,0),CL$2)))))*ADRYr1!P35*ADRYr1!Q35*ADRYr1!U35)</f>
        <v/>
      </c>
      <c r="CM35" s="30" t="str">
        <f>IF($G35="","",$G35*(IF(ADRYr1!$AI35=CD$4,ADRYr1!$AJ35,IF(ADRYr1!$AK35=CD$4,ADRYr1!$AL35,IF(ADRYr1!$AM35=CD$4,ADRYr1!$AN35,0))))*(INDEX(avoidedcosttbl,$H35,CM$2)+(($H35-ROUNDDOWN($H35,0))*(INDEX(avoidedcosttbl,ROUNDUP($H35,0),CM$2)-(INDEX(avoidedcosttbl,ROUNDDOWN($H35,0),CM$2)))))*ADRYr1!P35*ADRYr1!Q35*ADRYr1!U35)</f>
        <v/>
      </c>
      <c r="CN35" s="30" t="str">
        <f>IF($G35="","",$G35*(IF(ADRYr1!$AI35=CE$4,ADRYr1!$AJ35,IF(ADRYr1!$AK35=CE$4,ADRYr1!$AL35,IF(ADRYr1!$AM35=CE$4,ADRYr1!$AN35,0))))*(INDEX(avoidedcosttbl,$H35,CN$2)+(($H35-ROUNDDOWN($H35,0))*(INDEX(avoidedcosttbl,ROUNDUP($H35,0),CN$2)-(INDEX(avoidedcosttbl,ROUNDDOWN($H35,0),CN$2)))))*ADRYr1!P35*ADRYr1!Q35*ADRYr1!U35)</f>
        <v/>
      </c>
      <c r="CO35" s="220" t="str">
        <f t="shared" si="40"/>
        <v/>
      </c>
      <c r="CP35" s="220" t="str">
        <f t="shared" si="41"/>
        <v/>
      </c>
      <c r="CQ35" s="157" t="str">
        <f>IF($G35="","",$G35*(IF(ADRYr1!$AI35=CQ$4,ADRYr1!$AJ35,IF(ADRYr1!$AK35=CQ$4,ADRYr1!$AL35,IF(ADRYr1!$AM35=CQ$4,ADRYr1!$AN35,0))))*(INDEX(avoidedcosttbl,$H35,CQ$2)+(($H35-ROUNDDOWN($H35,0))*(INDEX(avoidedcosttbl,ROUNDUP($H35,0),CQ$2)-(INDEX(avoidedcosttbl,ROUNDDOWN($H35,0),CQ$2)))))*ADRYr1!$P35*ADRYr1!$Q35*ADRYr1!$U35)</f>
        <v/>
      </c>
      <c r="CR35" s="28" t="str">
        <f>IF($G35="","",G35*(IF(ADRYr1!$AI35=CR$4,ADRYr1!$AJ35,IF(ADRYr1!$AK35=CR$4,ADRYr1!$AL35,IF(ADRYr1!$AM35=CR$4,ADRYr1!$AN35,0))))*(INDEX(avoidedcosttbl,$H35,CR$2)+(($H35-ROUNDDOWN($H35,0))*(INDEX(avoidedcosttbl,ROUNDUP($H35,0),CR$2)-(INDEX(avoidedcosttbl,ROUNDDOWN($H35,0),CR$2)))))*ADRYr1!$P35*ADRYr1!$Q35*ADRYr1!$U35)</f>
        <v/>
      </c>
      <c r="CS35" s="28" t="str">
        <f>IF($G35="","",G35*(IF(ADRYr1!$AI35=CS$4,ADRYr1!$AJ35,IF(ADRYr1!$AK35=CS$4,ADRYr1!$AL35,IF(ADRYr1!$AM35=CS$4,ADRYr1!$AN35,0))))*(INDEX(avoidedcosttbl,$H35,CS$2)+(($H35-ROUNDDOWN($H35,0))*(INDEX(avoidedcosttbl,ROUNDUP($H35,0),CS$2)-(INDEX(avoidedcosttbl,ROUNDDOWN($H35,0),CS$2)))))*ADRYr1!$P35*ADRYr1!$Q35*ADRYr1!$U35)</f>
        <v/>
      </c>
      <c r="CT35" s="28" t="str">
        <f t="shared" si="12"/>
        <v/>
      </c>
      <c r="CU35" s="28" t="str">
        <f>IF($G35="","",G35*(IF(ADRYr1!$AI35=CU$4,ADRYr1!$AJ35,IF(ADRYr1!$AK35=CU$4,ADRYr1!$AL35,IF(ADRYr1!$AM35=CU$4,ADRYr1!$AN35,0))))*(INDEX(avoidedcosttbl,$H35,CU$2)+(($H35-ROUNDDOWN($H35,0))*(INDEX(avoidedcosttbl,ROUNDUP($H35,0),CU$2)-(INDEX(avoidedcosttbl,ROUNDDOWN($H35,0),CU$2)))))*ADRYr1!$P35*ADRYr1!$Q35*ADRYr1!$U35)</f>
        <v/>
      </c>
      <c r="CV35" s="28" t="str">
        <f>IF($G35="","",G35*(IF(ADRYr1!$AI35=CV$4,ADRYr1!$AJ35,IF(ADRYr1!$AK35=CV$4,ADRYr1!$AL35,IF(ADRYr1!$AM35=CV$4,ADRYr1!$AN35,0))))*(INDEX(avoidedcosttbl,$H35,CV$2)+(($H35-ROUNDDOWN($H35,0))*(INDEX(avoidedcosttbl,ROUNDUP($H35,0),CV$2)-(INDEX(avoidedcosttbl,ROUNDDOWN($H35,0),CV$2)))))*ADRYr1!$P35*ADRYr1!$Q35*ADRYr1!$U35)</f>
        <v/>
      </c>
      <c r="CW35" s="28" t="str">
        <f>IF($G35="","",G35*(IF(ADRYr1!$AI35=CW$4,ADRYr1!$AJ35,IF(ADRYr1!$AK35=CW$4,ADRYr1!$AL35,IF(ADRYr1!$AM35=CW$4,ADRYr1!$AN35,0))))*(INDEX(avoidedcosttbl,$H35,CW$2)+(($H35-ROUNDDOWN($H35,0))*(INDEX(avoidedcosttbl,ROUNDUP($H35,0),CW$2)-(INDEX(avoidedcosttbl,ROUNDDOWN($H35,0),CW$2)))))*ADRYr1!$P35*ADRYr1!$Q35*ADRYr1!$U35)</f>
        <v/>
      </c>
      <c r="CX35" s="28" t="str">
        <f>IF($G35="","",G35*(IF(ADRYr1!$AI35=CX$4,ADRYr1!$AJ35,IF(ADRYr1!$AK35=CX$4,ADRYr1!$AL35,IF(ADRYr1!$AM35=CX$4,ADRYr1!$AN35,0))))*(INDEX(avoidedcosttbl,$H35,CX$2)+(($H35-ROUNDDOWN($H35,0))*(INDEX(avoidedcosttbl,ROUNDUP($H35,0),CX$2)-(INDEX(avoidedcosttbl,ROUNDDOWN($H35,0),CX$2)))))*ADRYr1!$P35*ADRYr1!$Q35*ADRYr1!$U35)</f>
        <v/>
      </c>
      <c r="CY35" s="28" t="str">
        <f t="shared" si="13"/>
        <v/>
      </c>
      <c r="CZ35" s="32" t="str">
        <f t="shared" si="14"/>
        <v/>
      </c>
      <c r="DA35" s="84" t="str">
        <f t="shared" si="42"/>
        <v/>
      </c>
      <c r="DB35" s="81" t="str">
        <f>IF(NEIadder="Yes",IF($G35="","",INDEX(Lookups!$G$70:$G$71,MATCH($A35,Lookups!$E$70:$E$71,0))*(SUM(CP35:CX35,BX35))),"")</f>
        <v/>
      </c>
      <c r="DC35" s="263" t="str">
        <f t="shared" si="15"/>
        <v/>
      </c>
      <c r="DD35" s="166" t="str">
        <f t="shared" si="16"/>
        <v/>
      </c>
      <c r="DE35" s="82">
        <f t="shared" si="43"/>
        <v>0</v>
      </c>
      <c r="DF35" s="615" t="str">
        <f>IF($G35="","",(1+WntPeakEnergyLL)*(INDEX(avoidedcosttbl,$H35,DF$2)+(($H35-ROUNDDOWN($H35,0))*(INDEX(avoidedcosttbl,ROUNDUP($H35,0),DF$2)-(INDEX(avoidedcosttbl,ROUNDDOWN($H35,0),DF$2)))))*$P35*1000*ADRYr1!Z35)</f>
        <v/>
      </c>
      <c r="DG35" s="615" t="str">
        <f>IF($G35="","",(1+WntOffPeakEnergyLL)*(INDEX(avoidedcosttbl,$H35,DG$2)+(($H35-ROUNDDOWN($H35,0))*(INDEX(avoidedcosttbl,ROUNDUP($H35,0),DG$2)-(INDEX(avoidedcosttbl,ROUNDDOWN($H35,0),DG$2)))))*$P35*1000*ADRYr1!AA35)</f>
        <v/>
      </c>
      <c r="DH35" s="615" t="str">
        <f>IF($G35="","",(1+SumPeakEnergyLL)*(INDEX(avoidedcosttbl,$H35,DH$2)+(($H35-ROUNDDOWN($H35,0))*(INDEX(avoidedcosttbl,ROUNDUP($H35,0),DH$2)-(INDEX(avoidedcosttbl,ROUNDDOWN($H35,0),DH$2)))))*$P35*1000*ADRYr1!AB35)</f>
        <v/>
      </c>
      <c r="DI35" s="615" t="str">
        <f>IF($G35="","",(1+SumOffPeakEnergyLL)*(INDEX(avoidedcosttbl,$H35,DI$2)+(($H35-ROUNDDOWN($H35,0))*(INDEX(avoidedcosttbl,ROUNDUP($H35,0),DI$2)-(INDEX(avoidedcosttbl,ROUNDDOWN($H35,0),DI$2)))))*$P35*1000*ADRYr1!AC35)</f>
        <v/>
      </c>
      <c r="DJ35" s="29" t="str">
        <f t="shared" si="44"/>
        <v/>
      </c>
      <c r="DK35" s="161" t="str">
        <f t="shared" si="45"/>
        <v/>
      </c>
      <c r="DL35" s="1189" t="str">
        <f t="shared" si="46"/>
        <v/>
      </c>
      <c r="DM35" s="1189" t="str">
        <f t="shared" si="47"/>
        <v/>
      </c>
      <c r="DN35" s="43" t="str">
        <f t="shared" si="48"/>
        <v/>
      </c>
      <c r="DO35" s="966" t="str">
        <f>IF($G35="","",ADRYr1!AQ35)</f>
        <v/>
      </c>
      <c r="DP35" s="968" t="str">
        <f>IF($G35="","",ADRYr1!AR35)</f>
        <v/>
      </c>
      <c r="DQ35" s="970" t="str">
        <f>IF($G35="","",IF($DP35="Yes",COLUMN(AESC!$L$10),IF($DP35="No","Using AvoidedDemand tab",IF($DP35="Mixed",COLUMN(AESC!$N$10)))))</f>
        <v/>
      </c>
      <c r="DR35" s="970" t="str">
        <f>IF($G35="","",IF($DP35="Yes",COLUMN(AESC!$P$10),IF($DP35="No","Using AvoidedDemand tab",IF($DP35="Mixed",COLUMN(AESC!$R$10)))))</f>
        <v/>
      </c>
      <c r="DS35" s="970" t="str">
        <f>IF($G35="","",IF($DP35="Yes",COLUMN(AESC!$S$10),IF($DP35="No",COLUMN(AESC!$T$10),IF($DP35="Mixed",COLUMN(AESC!$U$10)))))</f>
        <v/>
      </c>
      <c r="DT35" s="970" t="str">
        <f t="shared" si="17"/>
        <v/>
      </c>
      <c r="DU35" s="970" t="str">
        <f>IF($G35="","",ADRYr1!AS35)</f>
        <v/>
      </c>
      <c r="DV35" s="971" t="str">
        <f>IF($G35="","",ADRYr1!AT35)</f>
        <v/>
      </c>
      <c r="DW35" s="1162" t="str">
        <f>IF($G35="","",INDEX(AvoidedEnergy!$H$4:$H$10,MATCH($DO35,AvoidedEnergy!$A$4:$A$10,0)))</f>
        <v/>
      </c>
    </row>
    <row r="36" spans="1:127">
      <c r="A36" s="160" t="str">
        <f>IF(ADRYr1!$B36=0,"",ADRYr1!A36)</f>
        <v>C - Commercial &amp; Industrial</v>
      </c>
      <c r="B36" s="9" t="str">
        <f>IF(ADRYr1!$B36=0,"",ADRYr1!B36)</f>
        <v>C5 - C&amp;I Active Demand Response</v>
      </c>
      <c r="C36" s="9" t="str">
        <f>IF(ADRYr1!$B36=0,"",ADRYr1!C36)</f>
        <v>C5a - C&amp;I Active Demand Response</v>
      </c>
      <c r="D36" s="9" t="str">
        <f>IF(ADRYr1!$B36=0,"",ADRYr1!D36)</f>
        <v>Storage Daily Dispatch P4P (consumption) Summer</v>
      </c>
      <c r="E36" s="9" t="str">
        <f>IF(ADRYr1!$B36=0,"",ADRYr1!E36)</f>
        <v>E21C5a003</v>
      </c>
      <c r="F36" s="11" t="str">
        <f>IF(ADRYr1!$B36=0,"",ADRYr1!F36)</f>
        <v>Behavior</v>
      </c>
      <c r="G36" s="12" t="str">
        <f>IF(ADRYr1!$G36&lt;&gt;0,ADRYr1!G36,"")</f>
        <v/>
      </c>
      <c r="H36" s="960" t="str">
        <f>IF($G36="","",ROUND(ADRYr1!H36,0))</f>
        <v/>
      </c>
      <c r="I36" s="47" t="str">
        <f>IF($G36="","",ADRYr1!I36*ADRYr1!P36*G36)</f>
        <v/>
      </c>
      <c r="J36" s="47" t="str">
        <f>IF($G36="","",ADRYr1!J36*G36)</f>
        <v/>
      </c>
      <c r="K36" s="47" t="str">
        <f t="shared" si="18"/>
        <v/>
      </c>
      <c r="L36" s="27" t="str">
        <f>IF($G36="","",ADRYr1!V36*G36/1000)</f>
        <v/>
      </c>
      <c r="M36" s="27" t="str">
        <f>IF($G36="","",L36*ADRYr1!$Q36*ADRYr1!$R36)</f>
        <v/>
      </c>
      <c r="N36" s="27" t="str">
        <f t="shared" si="19"/>
        <v/>
      </c>
      <c r="O36" s="27" t="str">
        <f t="shared" si="20"/>
        <v/>
      </c>
      <c r="P36" s="27" t="str">
        <f>IF($G36="","",M36*ADRYr1!P36)</f>
        <v/>
      </c>
      <c r="Q36" s="27" t="str">
        <f t="shared" si="21"/>
        <v/>
      </c>
      <c r="R36" s="27" t="str">
        <f>IF($G36="","",$Q36*ADRYr1!Z36)</f>
        <v/>
      </c>
      <c r="S36" s="27" t="str">
        <f>IF($G36="","",$Q36*ADRYr1!AA36)</f>
        <v/>
      </c>
      <c r="T36" s="27" t="str">
        <f>IF($G36="","",$Q36*ADRYr1!AB36)</f>
        <v/>
      </c>
      <c r="U36" s="27" t="str">
        <f>IF($G36="","",$Q36*ADRYr1!AC36)</f>
        <v/>
      </c>
      <c r="V36" s="27" t="str">
        <f>IF($G36="","",G36*ADRYr1!$AD36*ADRYr1!$P36*ADRYr1!$Q36)</f>
        <v/>
      </c>
      <c r="W36" s="27" t="str">
        <f>IF($G36="","",$G36*ADRYr1!$AD36*ADRYr1!$AF36*ADRYr1!Q36*ADRYr1!$S36)</f>
        <v/>
      </c>
      <c r="X36" s="27" t="str">
        <f>IF($G36="","",$G36*ADRYr1!$AD36*ADRYr1!$AF36*ADRYr1!P36*ADRYr1!Q36*ADRYr1!$S36)</f>
        <v/>
      </c>
      <c r="Y36" s="27" t="str">
        <f>IF($G36="","",$G36*ADRYr1!$AD36*ADRYr1!$AE36*ADRYr1!Q36*ADRYr1!$T36)</f>
        <v/>
      </c>
      <c r="Z36" s="27" t="str">
        <f>IF($G36="","",$G36*ADRYr1!$AD36*ADRYr1!$AE36*ADRYr1!P36*ADRYr1!Q36*ADRYr1!$T36)</f>
        <v/>
      </c>
      <c r="AA36" s="45" t="str">
        <f>IF($G36="","",$G36*ADRYr1!$Q36*ADRYr1!$U36*(IF(IFERROR(SEARCH("NG", ADRYr1!$AI36),0),ADRYr1!$AJ36,0)+IF(IFERROR(SEARCH("NG", ADRYr1!$AK36),0),ADRYr1!$AL36,0)+IF(IFERROR(SEARCH("NG", ADRYr1!$AM36),0),ADRYr1!$AN36,0)))</f>
        <v/>
      </c>
      <c r="AB36" s="45" t="str">
        <f t="shared" si="22"/>
        <v/>
      </c>
      <c r="AC36" s="45">
        <f>IF($G36="",0,AA36*ADRYr1!$P36)</f>
        <v>0</v>
      </c>
      <c r="AD36" s="45" t="str">
        <f t="shared" si="23"/>
        <v/>
      </c>
      <c r="AE36" s="45" t="str">
        <f>IF($G36="","",$G36*ADRYr1!$Q36*ADRYr1!$U36*(IF(IFERROR(SEARCH("Oil", ADRYr1!$AI36), 0),ADRYr1!$AJ36,0)+IF(IFERROR(SEARCH("Oil", ADRYr1!$AK36), 0),ADRYr1!$AL36,0)+IF(IFERROR(SEARCH("Oil", ADRYr1!$AM36), 0),ADRYr1!$AN36,0)))</f>
        <v/>
      </c>
      <c r="AF36" s="45" t="str">
        <f t="shared" si="24"/>
        <v/>
      </c>
      <c r="AG36" s="45">
        <f>IF($G36="",0,AE36*ADRYr1!$P36)</f>
        <v>0</v>
      </c>
      <c r="AH36" s="45" t="str">
        <f t="shared" si="25"/>
        <v/>
      </c>
      <c r="AI36" s="45" t="str">
        <f>IF($G36="","",$G36*ADRYr1!$Q36*ADRYr1!$U36*(IF(ADRYr1!$AI36=Lookups!$E$116,ADRYr1!$AJ36,IF(ADRYr1!$AK36=Lookups!$E$116,ADRYr1!$AL36,IF(ADRYr1!$AM36=Lookups!$E$116,ADRYr1!$AN36,0)))))</f>
        <v/>
      </c>
      <c r="AJ36" s="45" t="str">
        <f t="shared" si="26"/>
        <v/>
      </c>
      <c r="AK36" s="45">
        <f>IF($G36="",0,AI36*ADRYr1!$P36)</f>
        <v>0</v>
      </c>
      <c r="AL36" s="45" t="str">
        <f t="shared" si="27"/>
        <v/>
      </c>
      <c r="AM36" s="45" t="str">
        <f>IF($G36="","",$G36*ADRYr1!$Q36*ADRYr1!$U36*(IF(ADRYr1!$AI36=Lookups!$E$115,ADRYr1!$AJ36,IF(ADRYr1!$AK36=Lookups!$E$115,ADRYr1!$AL36,IF(ADRYr1!$AM36=Lookups!$E$115,ADRYr1!$AN36,0)))))</f>
        <v/>
      </c>
      <c r="AN36" s="45" t="str">
        <f t="shared" si="28"/>
        <v/>
      </c>
      <c r="AO36" s="45">
        <f>IF($G36="",0,AM36*ADRYr1!$P36)</f>
        <v>0</v>
      </c>
      <c r="AP36" s="45" t="str">
        <f t="shared" si="29"/>
        <v/>
      </c>
      <c r="AQ36" s="45" t="str">
        <f>IF($G36="","",$G36*ADRYr1!$Q36*ADRYr1!$U36*(IF(ADRYr1!$AI36=Lookups!$E$117,ADRYr1!$AJ36,IF(ADRYr1!$AK36=Lookups!$E$117,ADRYr1!$AL36,IF(ADRYr1!$AM36=Lookups!$E$117,ADRYr1!$AN36,0)))))</f>
        <v/>
      </c>
      <c r="AR36" s="45" t="str">
        <f t="shared" si="30"/>
        <v/>
      </c>
      <c r="AS36" s="45" t="str">
        <f>IF($G36="","",AQ36*ADRYr1!$P36)</f>
        <v/>
      </c>
      <c r="AT36" s="45" t="str">
        <f t="shared" si="31"/>
        <v/>
      </c>
      <c r="AU36" s="45" t="str">
        <f>IF($G36="","",$G36*ADRYr1!$Q36*ADRYr1!$U36*(IF(ADRYr1!$AI36=Lookups!$E$118,ADRYr1!$AJ36,IF(ADRYr1!$AK36=Lookups!$E$118,ADRYr1!$AL36,IF(ADRYr1!$AM36=Lookups!$E$118,ADRYr1!$AN36,0)))))</f>
        <v/>
      </c>
      <c r="AV36" s="45" t="str">
        <f t="shared" si="32"/>
        <v/>
      </c>
      <c r="AW36" s="45" t="str">
        <f>IF($G36="","",AU36*ADRYr1!$P36)</f>
        <v/>
      </c>
      <c r="AX36" s="45" t="str">
        <f t="shared" si="33"/>
        <v/>
      </c>
      <c r="AY36" s="45">
        <f t="shared" si="49"/>
        <v>0</v>
      </c>
      <c r="AZ36" s="45">
        <f t="shared" si="49"/>
        <v>0</v>
      </c>
      <c r="BA36" s="101" t="str">
        <f>IF($G36="","",$G36*ADRYr1!$P36*ADRYr1!$Q36*ADRYr1!$U36*ADRYr1!AO36)</f>
        <v/>
      </c>
      <c r="BB36" s="102" t="str">
        <f>IF($G36="","",$G36*ADRYr1!$P36*ADRYr1!$Q36*ADRYr1!$U36*ADRYr1!AP36)</f>
        <v/>
      </c>
      <c r="BC36" s="100" t="str">
        <f t="shared" si="35"/>
        <v/>
      </c>
      <c r="BD36" s="961"/>
      <c r="BE36" s="961"/>
      <c r="BF36" s="961"/>
      <c r="BG36" s="961"/>
      <c r="BH36" s="962" t="str">
        <f t="shared" si="3"/>
        <v/>
      </c>
      <c r="BI36" s="961"/>
      <c r="BJ36" s="961"/>
      <c r="BK36" s="961"/>
      <c r="BL36" s="961"/>
      <c r="BM36" s="30" t="str">
        <f t="shared" si="4"/>
        <v/>
      </c>
      <c r="BN36" s="963" t="str">
        <f t="shared" si="5"/>
        <v/>
      </c>
      <c r="BO36" s="31" t="str">
        <f t="shared" si="36"/>
        <v/>
      </c>
      <c r="BP36" s="964" t="str">
        <f t="shared" si="6"/>
        <v/>
      </c>
      <c r="BQ36" s="28" t="str">
        <f t="shared" si="7"/>
        <v/>
      </c>
      <c r="BR36" s="964" t="str">
        <f t="shared" si="8"/>
        <v/>
      </c>
      <c r="BS36" s="964" t="str">
        <f t="shared" si="9"/>
        <v/>
      </c>
      <c r="BT36" s="28" t="str">
        <f t="shared" si="50"/>
        <v/>
      </c>
      <c r="BU36" s="28" t="str">
        <f t="shared" si="50"/>
        <v/>
      </c>
      <c r="BV36" s="28" t="str">
        <f t="shared" si="50"/>
        <v/>
      </c>
      <c r="BW36" s="29" t="str">
        <f t="shared" si="37"/>
        <v/>
      </c>
      <c r="BX36" s="29" t="str">
        <f t="shared" si="38"/>
        <v/>
      </c>
      <c r="BY36" s="28" t="str">
        <f>IF($G36="","",$G36*(IF(ADRYr1!$AI36=BY$4,ADRYr1!$AJ36,IF(ADRYr1!$AK36=BY$4,ADRYr1!$AL36,IF(ADRYr1!$AM36=BY$4,ADRYr1!$AN36,0))))*(INDEX(avoidedcosttbl,$H36,BY$2)+(($H36-ROUNDDOWN($H36,0))*(INDEX(avoidedcosttbl,ROUNDUP($H36,0),BY$2)-(INDEX(avoidedcosttbl,ROUNDDOWN($H36,0),BY$2)))))*ADRYr1!P36*ADRYr1!Q36*ADRYr1!U36)</f>
        <v/>
      </c>
      <c r="BZ36" s="28" t="str">
        <f>IF($G36="","",$G36*(IF(ADRYr1!$AI36=BZ$4,ADRYr1!$AJ36,IF(ADRYr1!$AK36=BZ$4,ADRYr1!$AL36,IF(ADRYr1!$AM36=BZ$4,ADRYr1!$AN36,0))))*(INDEX(avoidedcosttbl,$H36,BZ$2)+(($H36-ROUNDDOWN($H36,0))*(INDEX(avoidedcosttbl,ROUNDUP($H36,0),BZ$2)-(INDEX(avoidedcosttbl,ROUNDDOWN($H36,0),BZ$2)))))*ADRYr1!P36*ADRYr1!Q36*ADRYr1!U36)</f>
        <v/>
      </c>
      <c r="CA36" s="28" t="str">
        <f>IF($G36="","",$G36*(IF(ADRYr1!$AI36=CA$4,ADRYr1!$AJ36,IF(ADRYr1!$AK36=CA$4,ADRYr1!$AL36,IF(ADRYr1!$AM36=CA$4,ADRYr1!$AN36,0))))*(INDEX(avoidedcosttbl,$H36,CA$2)+(($H36-ROUNDDOWN($H36,0))*(INDEX(avoidedcosttbl,ROUNDUP($H36,0),CA$2)-(INDEX(avoidedcosttbl,ROUNDDOWN($H36,0),CA$2)))))*ADRYr1!P36*ADRYr1!Q36*ADRYr1!U36)</f>
        <v/>
      </c>
      <c r="CB36" s="28" t="str">
        <f>IF($G36="","",$G36*(IF(ADRYr1!$AI36=CB$4,ADRYr1!$AJ36,IF(ADRYr1!$AK36=CB$4,ADRYr1!$AL36,IF(ADRYr1!$AM36=CB$4,ADRYr1!$AN36,0))))*(INDEX(avoidedcosttbl,$H36,CB$2)+(($H36-ROUNDDOWN($H36,0))*(INDEX(avoidedcosttbl,ROUNDUP($H36,0),CB$2)-(INDEX(avoidedcosttbl,ROUNDDOWN($H36,0),CB$2)))))*ADRYr1!P36*ADRYr1!Q36*ADRYr1!U36)</f>
        <v/>
      </c>
      <c r="CC36" s="28" t="str">
        <f>IF($G36="","",$G36*(IF(ADRYr1!$AI36=CC$4,ADRYr1!$AJ36,IF(ADRYr1!$AK36=CC$4,ADRYr1!$AL36,IF(ADRYr1!$AM36=CC$4,ADRYr1!$AN36,0))))*(INDEX(avoidedcosttbl,$H36,CC$2)+(($H36-ROUNDDOWN($H36,0))*(INDEX(avoidedcosttbl,ROUNDUP($H36,0),CC$2)-(INDEX(avoidedcosttbl,ROUNDDOWN($H36,0),CC$2)))))*ADRYr1!P36*ADRYr1!Q36*ADRYr1!U36)</f>
        <v/>
      </c>
      <c r="CD36" s="28" t="str">
        <f>IF($G36="","",$G36*(IF(ADRYr1!$AI36=CD$4,ADRYr1!$AJ36,IF(ADRYr1!$AK36=CD$4,ADRYr1!$AL36,IF(ADRYr1!$AM36=CD$4,ADRYr1!$AN36,0))))*(INDEX(avoidedcosttbl,$H36,CD$2)+(($H36-ROUNDDOWN($H36,0))*(INDEX(avoidedcosttbl,ROUNDUP($H36,0),CD$2)-(INDEX(avoidedcosttbl,ROUNDDOWN($H36,0),CD$2)))))*ADRYr1!P36*ADRYr1!Q36*ADRYr1!U36)</f>
        <v/>
      </c>
      <c r="CE36" s="28" t="str">
        <f>IF($G36="","",$G36*(IF(ADRYr1!$AI36=CE$4,ADRYr1!$AJ36,IF(ADRYr1!$AK36=CE$4,ADRYr1!$AL36,IF(ADRYr1!$AM36=CE$4,ADRYr1!$AN36,0))))*(INDEX(avoidedcosttbl,$H36,CE$2)+(($H36-ROUNDDOWN($H36,0))*(INDEX(avoidedcosttbl,ROUNDUP($H36,0),CE$2)-(INDEX(avoidedcosttbl,ROUNDDOWN($H36,0),CE$2)))))*ADRYr1!P36*ADRYr1!Q36*ADRYr1!U36)</f>
        <v/>
      </c>
      <c r="CF36" s="41" t="str">
        <f t="shared" si="39"/>
        <v/>
      </c>
      <c r="CG36" s="30" t="str">
        <f t="shared" si="11"/>
        <v/>
      </c>
      <c r="CH36" s="30" t="str">
        <f>IF($G36="","",$G36*(IF(ADRYr1!$AI36=BY$4,ADRYr1!$AJ36,IF(ADRYr1!$AK36=BY$4,ADRYr1!$AL36,IF(ADRYr1!$AM36=BY$4,ADRYr1!$AN36,0))))*(INDEX(avoidedcosttbl,$H36,CH$2)+(($H36-ROUNDDOWN($H36,0))*(INDEX(avoidedcosttbl,ROUNDUP($H36,0),CH$2)-(INDEX(avoidedcosttbl,ROUNDDOWN($H36,0),CH$2)))))*ADRYr1!P36*ADRYr1!Q36*ADRYr1!U36)</f>
        <v/>
      </c>
      <c r="CI36" s="30" t="str">
        <f>IF($G36="","",$G36*(IF(ADRYr1!$AI36=BZ$4,ADRYr1!$AJ36,IF(ADRYr1!$AK36=BZ$4,ADRYr1!$AL36,IF(ADRYr1!$AM36=BZ$4,ADRYr1!$AN36,0))))*(INDEX(avoidedcosttbl,$H36,CI$2)+(($H36-ROUNDDOWN($H36,0))*(INDEX(avoidedcosttbl,ROUNDUP($H36,0),CI$2)-(INDEX(avoidedcosttbl,ROUNDDOWN($H36,0),CI$2)))))*ADRYr1!P36*ADRYr1!Q36*ADRYr1!U36)</f>
        <v/>
      </c>
      <c r="CJ36" s="30" t="str">
        <f>IF($G36="","",$G36*(IF(ADRYr1!$AI36=CA$4,ADRYr1!$AJ36,IF(ADRYr1!$AK36=CA$4,ADRYr1!$AL36,IF(ADRYr1!$AM36=CA$4,ADRYr1!$AN36,0))))*(INDEX(avoidedcosttbl,$H36,CJ$2)+(($H36-ROUNDDOWN($H36,0))*(INDEX(avoidedcosttbl,ROUNDUP($H36,0),CJ$2)-(INDEX(avoidedcosttbl,ROUNDDOWN($H36,0),CJ$2)))))*ADRYr1!P36*ADRYr1!Q36*ADRYr1!U36)</f>
        <v/>
      </c>
      <c r="CK36" s="30" t="str">
        <f>IF($G36="","",$G36*(IF(ADRYr1!$AI36=CB$4,ADRYr1!$AJ36,IF(ADRYr1!$AK36=CB$4,ADRYr1!$AL36,IF(ADRYr1!$AM36=CB$4,ADRYr1!$AN36,0))))*(INDEX(avoidedcosttbl,$H36,CK$2)+(($H36-ROUNDDOWN($H36,0))*(INDEX(avoidedcosttbl,ROUNDUP($H36,0),CK$2)-(INDEX(avoidedcosttbl,ROUNDDOWN($H36,0),CK$2)))))*ADRYr1!P36*ADRYr1!Q36*ADRYr1!U36)</f>
        <v/>
      </c>
      <c r="CL36" s="30" t="str">
        <f>IF($G36="","",$G36*(IF(ADRYr1!$AI36=CC$4,ADRYr1!$AJ36,IF(ADRYr1!$AK36=CC$4,ADRYr1!$AL36,IF(ADRYr1!$AM36=CC$4,ADRYr1!$AN36,0))))*(INDEX(avoidedcosttbl,$H36,CL$2)+(($H36-ROUNDDOWN($H36,0))*(INDEX(avoidedcosttbl,ROUNDUP($H36,0),CL$2)-(INDEX(avoidedcosttbl,ROUNDDOWN($H36,0),CL$2)))))*ADRYr1!P36*ADRYr1!Q36*ADRYr1!U36)</f>
        <v/>
      </c>
      <c r="CM36" s="30" t="str">
        <f>IF($G36="","",$G36*(IF(ADRYr1!$AI36=CD$4,ADRYr1!$AJ36,IF(ADRYr1!$AK36=CD$4,ADRYr1!$AL36,IF(ADRYr1!$AM36=CD$4,ADRYr1!$AN36,0))))*(INDEX(avoidedcosttbl,$H36,CM$2)+(($H36-ROUNDDOWN($H36,0))*(INDEX(avoidedcosttbl,ROUNDUP($H36,0),CM$2)-(INDEX(avoidedcosttbl,ROUNDDOWN($H36,0),CM$2)))))*ADRYr1!P36*ADRYr1!Q36*ADRYr1!U36)</f>
        <v/>
      </c>
      <c r="CN36" s="30" t="str">
        <f>IF($G36="","",$G36*(IF(ADRYr1!$AI36=CE$4,ADRYr1!$AJ36,IF(ADRYr1!$AK36=CE$4,ADRYr1!$AL36,IF(ADRYr1!$AM36=CE$4,ADRYr1!$AN36,0))))*(INDEX(avoidedcosttbl,$H36,CN$2)+(($H36-ROUNDDOWN($H36,0))*(INDEX(avoidedcosttbl,ROUNDUP($H36,0),CN$2)-(INDEX(avoidedcosttbl,ROUNDDOWN($H36,0),CN$2)))))*ADRYr1!P36*ADRYr1!Q36*ADRYr1!U36)</f>
        <v/>
      </c>
      <c r="CO36" s="220" t="str">
        <f t="shared" si="40"/>
        <v/>
      </c>
      <c r="CP36" s="220" t="str">
        <f t="shared" si="41"/>
        <v/>
      </c>
      <c r="CQ36" s="157" t="str">
        <f>IF($G36="","",$G36*(IF(ADRYr1!$AI36=CQ$4,ADRYr1!$AJ36,IF(ADRYr1!$AK36=CQ$4,ADRYr1!$AL36,IF(ADRYr1!$AM36=CQ$4,ADRYr1!$AN36,0))))*(INDEX(avoidedcosttbl,$H36,CQ$2)+(($H36-ROUNDDOWN($H36,0))*(INDEX(avoidedcosttbl,ROUNDUP($H36,0),CQ$2)-(INDEX(avoidedcosttbl,ROUNDDOWN($H36,0),CQ$2)))))*ADRYr1!$P36*ADRYr1!$Q36*ADRYr1!$U36)</f>
        <v/>
      </c>
      <c r="CR36" s="28" t="str">
        <f>IF($G36="","",G36*(IF(ADRYr1!$AI36=CR$4,ADRYr1!$AJ36,IF(ADRYr1!$AK36=CR$4,ADRYr1!$AL36,IF(ADRYr1!$AM36=CR$4,ADRYr1!$AN36,0))))*(INDEX(avoidedcosttbl,$H36,CR$2)+(($H36-ROUNDDOWN($H36,0))*(INDEX(avoidedcosttbl,ROUNDUP($H36,0),CR$2)-(INDEX(avoidedcosttbl,ROUNDDOWN($H36,0),CR$2)))))*ADRYr1!$P36*ADRYr1!$Q36*ADRYr1!$U36)</f>
        <v/>
      </c>
      <c r="CS36" s="28" t="str">
        <f>IF($G36="","",G36*(IF(ADRYr1!$AI36=CS$4,ADRYr1!$AJ36,IF(ADRYr1!$AK36=CS$4,ADRYr1!$AL36,IF(ADRYr1!$AM36=CS$4,ADRYr1!$AN36,0))))*(INDEX(avoidedcosttbl,$H36,CS$2)+(($H36-ROUNDDOWN($H36,0))*(INDEX(avoidedcosttbl,ROUNDUP($H36,0),CS$2)-(INDEX(avoidedcosttbl,ROUNDDOWN($H36,0),CS$2)))))*ADRYr1!$P36*ADRYr1!$Q36*ADRYr1!$U36)</f>
        <v/>
      </c>
      <c r="CT36" s="28" t="str">
        <f t="shared" si="12"/>
        <v/>
      </c>
      <c r="CU36" s="28" t="str">
        <f>IF($G36="","",G36*(IF(ADRYr1!$AI36=CU$4,ADRYr1!$AJ36,IF(ADRYr1!$AK36=CU$4,ADRYr1!$AL36,IF(ADRYr1!$AM36=CU$4,ADRYr1!$AN36,0))))*(INDEX(avoidedcosttbl,$H36,CU$2)+(($H36-ROUNDDOWN($H36,0))*(INDEX(avoidedcosttbl,ROUNDUP($H36,0),CU$2)-(INDEX(avoidedcosttbl,ROUNDDOWN($H36,0),CU$2)))))*ADRYr1!$P36*ADRYr1!$Q36*ADRYr1!$U36)</f>
        <v/>
      </c>
      <c r="CV36" s="28" t="str">
        <f>IF($G36="","",G36*(IF(ADRYr1!$AI36=CV$4,ADRYr1!$AJ36,IF(ADRYr1!$AK36=CV$4,ADRYr1!$AL36,IF(ADRYr1!$AM36=CV$4,ADRYr1!$AN36,0))))*(INDEX(avoidedcosttbl,$H36,CV$2)+(($H36-ROUNDDOWN($H36,0))*(INDEX(avoidedcosttbl,ROUNDUP($H36,0),CV$2)-(INDEX(avoidedcosttbl,ROUNDDOWN($H36,0),CV$2)))))*ADRYr1!$P36*ADRYr1!$Q36*ADRYr1!$U36)</f>
        <v/>
      </c>
      <c r="CW36" s="28" t="str">
        <f>IF($G36="","",G36*(IF(ADRYr1!$AI36=CW$4,ADRYr1!$AJ36,IF(ADRYr1!$AK36=CW$4,ADRYr1!$AL36,IF(ADRYr1!$AM36=CW$4,ADRYr1!$AN36,0))))*(INDEX(avoidedcosttbl,$H36,CW$2)+(($H36-ROUNDDOWN($H36,0))*(INDEX(avoidedcosttbl,ROUNDUP($H36,0),CW$2)-(INDEX(avoidedcosttbl,ROUNDDOWN($H36,0),CW$2)))))*ADRYr1!$P36*ADRYr1!$Q36*ADRYr1!$U36)</f>
        <v/>
      </c>
      <c r="CX36" s="28" t="str">
        <f>IF($G36="","",G36*(IF(ADRYr1!$AI36=CX$4,ADRYr1!$AJ36,IF(ADRYr1!$AK36=CX$4,ADRYr1!$AL36,IF(ADRYr1!$AM36=CX$4,ADRYr1!$AN36,0))))*(INDEX(avoidedcosttbl,$H36,CX$2)+(($H36-ROUNDDOWN($H36,0))*(INDEX(avoidedcosttbl,ROUNDUP($H36,0),CX$2)-(INDEX(avoidedcosttbl,ROUNDDOWN($H36,0),CX$2)))))*ADRYr1!$P36*ADRYr1!$Q36*ADRYr1!$U36)</f>
        <v/>
      </c>
      <c r="CY36" s="28" t="str">
        <f t="shared" si="13"/>
        <v/>
      </c>
      <c r="CZ36" s="32" t="str">
        <f t="shared" si="14"/>
        <v/>
      </c>
      <c r="DA36" s="84" t="str">
        <f t="shared" si="42"/>
        <v/>
      </c>
      <c r="DB36" s="81" t="str">
        <f>IF(NEIadder="Yes",IF($G36="","",INDEX(Lookups!$G$70:$G$71,MATCH($A36,Lookups!$E$70:$E$71,0))*(SUM(CP36:CX36,BX36))),"")</f>
        <v/>
      </c>
      <c r="DC36" s="263" t="str">
        <f t="shared" si="15"/>
        <v/>
      </c>
      <c r="DD36" s="166" t="str">
        <f t="shared" si="16"/>
        <v/>
      </c>
      <c r="DE36" s="82">
        <f t="shared" si="43"/>
        <v>0</v>
      </c>
      <c r="DF36" s="615" t="str">
        <f>IF($G36="","",(1+WntPeakEnergyLL)*(INDEX(avoidedcosttbl,$H36,DF$2)+(($H36-ROUNDDOWN($H36,0))*(INDEX(avoidedcosttbl,ROUNDUP($H36,0),DF$2)-(INDEX(avoidedcosttbl,ROUNDDOWN($H36,0),DF$2)))))*$P36*1000*ADRYr1!Z36)</f>
        <v/>
      </c>
      <c r="DG36" s="615" t="str">
        <f>IF($G36="","",(1+WntOffPeakEnergyLL)*(INDEX(avoidedcosttbl,$H36,DG$2)+(($H36-ROUNDDOWN($H36,0))*(INDEX(avoidedcosttbl,ROUNDUP($H36,0),DG$2)-(INDEX(avoidedcosttbl,ROUNDDOWN($H36,0),DG$2)))))*$P36*1000*ADRYr1!AA36)</f>
        <v/>
      </c>
      <c r="DH36" s="615" t="str">
        <f>IF($G36="","",(1+SumPeakEnergyLL)*(INDEX(avoidedcosttbl,$H36,DH$2)+(($H36-ROUNDDOWN($H36,0))*(INDEX(avoidedcosttbl,ROUNDUP($H36,0),DH$2)-(INDEX(avoidedcosttbl,ROUNDDOWN($H36,0),DH$2)))))*$P36*1000*ADRYr1!AB36)</f>
        <v/>
      </c>
      <c r="DI36" s="615" t="str">
        <f>IF($G36="","",(1+SumOffPeakEnergyLL)*(INDEX(avoidedcosttbl,$H36,DI$2)+(($H36-ROUNDDOWN($H36,0))*(INDEX(avoidedcosttbl,ROUNDUP($H36,0),DI$2)-(INDEX(avoidedcosttbl,ROUNDDOWN($H36,0),DI$2)))))*$P36*1000*ADRYr1!AC36)</f>
        <v/>
      </c>
      <c r="DJ36" s="29" t="str">
        <f t="shared" si="44"/>
        <v/>
      </c>
      <c r="DK36" s="161" t="str">
        <f t="shared" si="45"/>
        <v/>
      </c>
      <c r="DL36" s="1189" t="str">
        <f t="shared" si="46"/>
        <v/>
      </c>
      <c r="DM36" s="1189" t="str">
        <f t="shared" si="47"/>
        <v/>
      </c>
      <c r="DN36" s="43" t="str">
        <f t="shared" si="48"/>
        <v/>
      </c>
      <c r="DO36" s="966" t="str">
        <f>IF($G36="","",ADRYr1!AQ36)</f>
        <v/>
      </c>
      <c r="DP36" s="968" t="str">
        <f>IF($G36="","",ADRYr1!AR36)</f>
        <v/>
      </c>
      <c r="DQ36" s="970" t="str">
        <f>IF($G36="","",IF($DP36="Yes",COLUMN(AESC!$L$10),IF($DP36="No","Using AvoidedDemand tab",IF($DP36="Mixed",COLUMN(AESC!$N$10)))))</f>
        <v/>
      </c>
      <c r="DR36" s="970" t="str">
        <f>IF($G36="","",IF($DP36="Yes",COLUMN(AESC!$P$10),IF($DP36="No","Using AvoidedDemand tab",IF($DP36="Mixed",COLUMN(AESC!$R$10)))))</f>
        <v/>
      </c>
      <c r="DS36" s="970" t="str">
        <f>IF($G36="","",IF($DP36="Yes",COLUMN(AESC!$S$10),IF($DP36="No",COLUMN(AESC!$T$10),IF($DP36="Mixed",COLUMN(AESC!$U$10)))))</f>
        <v/>
      </c>
      <c r="DT36" s="970" t="str">
        <f t="shared" si="17"/>
        <v/>
      </c>
      <c r="DU36" s="970" t="str">
        <f>IF($G36="","",ADRYr1!AS36)</f>
        <v/>
      </c>
      <c r="DV36" s="971" t="str">
        <f>IF($G36="","",ADRYr1!AT36)</f>
        <v/>
      </c>
      <c r="DW36" s="1162" t="str">
        <f>IF($G36="","",INDEX(AvoidedEnergy!$H$4:$H$10,MATCH($DO36,AvoidedEnergy!$A$4:$A$10,0)))</f>
        <v/>
      </c>
    </row>
    <row r="37" spans="1:127">
      <c r="A37" s="160" t="str">
        <f>IF(ADRYr1!$B37=0,"",ADRYr1!A37)</f>
        <v>C - Commercial &amp; Industrial</v>
      </c>
      <c r="B37" s="9" t="str">
        <f>IF(ADRYr1!$B37=0,"",ADRYr1!B37)</f>
        <v>C5 - C&amp;I Active Demand Response</v>
      </c>
      <c r="C37" s="9" t="str">
        <f>IF(ADRYr1!$B37=0,"",ADRYr1!C37)</f>
        <v>C5a - C&amp;I Active Demand Response</v>
      </c>
      <c r="D37" s="9" t="str">
        <f>IF(ADRYr1!$B37=0,"",ADRYr1!D37)</f>
        <v>Storage Targeted Dispatch P4P (savings) Summer</v>
      </c>
      <c r="E37" s="9" t="str">
        <f>IF(ADRYr1!$B37=0,"",ADRYr1!E37)</f>
        <v>E21C5a004</v>
      </c>
      <c r="F37" s="11" t="str">
        <f>IF(ADRYr1!$B37=0,"",ADRYr1!F37)</f>
        <v>Behavior</v>
      </c>
      <c r="G37" s="12" t="str">
        <f>IF(ADRYr1!$G37&lt;&gt;0,ADRYr1!G37,"")</f>
        <v/>
      </c>
      <c r="H37" s="960" t="str">
        <f>IF($G37="","",ROUND(ADRYr1!H37,0))</f>
        <v/>
      </c>
      <c r="I37" s="47" t="str">
        <f>IF($G37="","",ADRYr1!I37*ADRYr1!P37*G37)</f>
        <v/>
      </c>
      <c r="J37" s="47" t="str">
        <f>IF($G37="","",ADRYr1!J37*G37)</f>
        <v/>
      </c>
      <c r="K37" s="47" t="str">
        <f t="shared" si="18"/>
        <v/>
      </c>
      <c r="L37" s="27" t="str">
        <f>IF($G37="","",ADRYr1!V37*G37/1000)</f>
        <v/>
      </c>
      <c r="M37" s="27" t="str">
        <f>IF($G37="","",L37*ADRYr1!$Q37*ADRYr1!$R37)</f>
        <v/>
      </c>
      <c r="N37" s="27" t="str">
        <f t="shared" si="19"/>
        <v/>
      </c>
      <c r="O37" s="27" t="str">
        <f t="shared" si="20"/>
        <v/>
      </c>
      <c r="P37" s="27" t="str">
        <f>IF($G37="","",M37*ADRYr1!P37)</f>
        <v/>
      </c>
      <c r="Q37" s="27" t="str">
        <f t="shared" si="21"/>
        <v/>
      </c>
      <c r="R37" s="27" t="str">
        <f>IF($G37="","",$Q37*ADRYr1!Z37)</f>
        <v/>
      </c>
      <c r="S37" s="27" t="str">
        <f>IF($G37="","",$Q37*ADRYr1!AA37)</f>
        <v/>
      </c>
      <c r="T37" s="27" t="str">
        <f>IF($G37="","",$Q37*ADRYr1!AB37)</f>
        <v/>
      </c>
      <c r="U37" s="27" t="str">
        <f>IF($G37="","",$Q37*ADRYr1!AC37)</f>
        <v/>
      </c>
      <c r="V37" s="27" t="str">
        <f>IF($G37="","",G37*ADRYr1!$AD37*ADRYr1!$P37*ADRYr1!$Q37)</f>
        <v/>
      </c>
      <c r="W37" s="27" t="str">
        <f>IF($G37="","",$G37*ADRYr1!$AD37*ADRYr1!$AF37*ADRYr1!Q37*ADRYr1!$S37)</f>
        <v/>
      </c>
      <c r="X37" s="27" t="str">
        <f>IF($G37="","",$G37*ADRYr1!$AD37*ADRYr1!$AF37*ADRYr1!P37*ADRYr1!Q37*ADRYr1!$S37)</f>
        <v/>
      </c>
      <c r="Y37" s="27" t="str">
        <f>IF($G37="","",$G37*ADRYr1!$AD37*ADRYr1!$AE37*ADRYr1!Q37*ADRYr1!$T37)</f>
        <v/>
      </c>
      <c r="Z37" s="27" t="str">
        <f>IF($G37="","",$G37*ADRYr1!$AD37*ADRYr1!$AE37*ADRYr1!P37*ADRYr1!Q37*ADRYr1!$T37)</f>
        <v/>
      </c>
      <c r="AA37" s="45" t="str">
        <f>IF($G37="","",$G37*ADRYr1!$Q37*ADRYr1!$U37*(IF(IFERROR(SEARCH("NG", ADRYr1!$AI37),0),ADRYr1!$AJ37,0)+IF(IFERROR(SEARCH("NG", ADRYr1!$AK37),0),ADRYr1!$AL37,0)+IF(IFERROR(SEARCH("NG", ADRYr1!$AM37),0),ADRYr1!$AN37,0)))</f>
        <v/>
      </c>
      <c r="AB37" s="45" t="str">
        <f t="shared" si="22"/>
        <v/>
      </c>
      <c r="AC37" s="45">
        <f>IF($G37="",0,AA37*ADRYr1!$P37)</f>
        <v>0</v>
      </c>
      <c r="AD37" s="45" t="str">
        <f t="shared" si="23"/>
        <v/>
      </c>
      <c r="AE37" s="45" t="str">
        <f>IF($G37="","",$G37*ADRYr1!$Q37*ADRYr1!$U37*(IF(IFERROR(SEARCH("Oil", ADRYr1!$AI37), 0),ADRYr1!$AJ37,0)+IF(IFERROR(SEARCH("Oil", ADRYr1!$AK37), 0),ADRYr1!$AL37,0)+IF(IFERROR(SEARCH("Oil", ADRYr1!$AM37), 0),ADRYr1!$AN37,0)))</f>
        <v/>
      </c>
      <c r="AF37" s="45" t="str">
        <f t="shared" si="24"/>
        <v/>
      </c>
      <c r="AG37" s="45">
        <f>IF($G37="",0,AE37*ADRYr1!$P37)</f>
        <v>0</v>
      </c>
      <c r="AH37" s="45" t="str">
        <f t="shared" si="25"/>
        <v/>
      </c>
      <c r="AI37" s="45" t="str">
        <f>IF($G37="","",$G37*ADRYr1!$Q37*ADRYr1!$U37*(IF(ADRYr1!$AI37=Lookups!$E$116,ADRYr1!$AJ37,IF(ADRYr1!$AK37=Lookups!$E$116,ADRYr1!$AL37,IF(ADRYr1!$AM37=Lookups!$E$116,ADRYr1!$AN37,0)))))</f>
        <v/>
      </c>
      <c r="AJ37" s="45" t="str">
        <f t="shared" si="26"/>
        <v/>
      </c>
      <c r="AK37" s="45">
        <f>IF($G37="",0,AI37*ADRYr1!$P37)</f>
        <v>0</v>
      </c>
      <c r="AL37" s="45" t="str">
        <f t="shared" si="27"/>
        <v/>
      </c>
      <c r="AM37" s="45" t="str">
        <f>IF($G37="","",$G37*ADRYr1!$Q37*ADRYr1!$U37*(IF(ADRYr1!$AI37=Lookups!$E$115,ADRYr1!$AJ37,IF(ADRYr1!$AK37=Lookups!$E$115,ADRYr1!$AL37,IF(ADRYr1!$AM37=Lookups!$E$115,ADRYr1!$AN37,0)))))</f>
        <v/>
      </c>
      <c r="AN37" s="45" t="str">
        <f t="shared" si="28"/>
        <v/>
      </c>
      <c r="AO37" s="45">
        <f>IF($G37="",0,AM37*ADRYr1!$P37)</f>
        <v>0</v>
      </c>
      <c r="AP37" s="45" t="str">
        <f t="shared" si="29"/>
        <v/>
      </c>
      <c r="AQ37" s="45" t="str">
        <f>IF($G37="","",$G37*ADRYr1!$Q37*ADRYr1!$U37*(IF(ADRYr1!$AI37=Lookups!$E$117,ADRYr1!$AJ37,IF(ADRYr1!$AK37=Lookups!$E$117,ADRYr1!$AL37,IF(ADRYr1!$AM37=Lookups!$E$117,ADRYr1!$AN37,0)))))</f>
        <v/>
      </c>
      <c r="AR37" s="45" t="str">
        <f t="shared" si="30"/>
        <v/>
      </c>
      <c r="AS37" s="45" t="str">
        <f>IF($G37="","",AQ37*ADRYr1!$P37)</f>
        <v/>
      </c>
      <c r="AT37" s="45" t="str">
        <f t="shared" si="31"/>
        <v/>
      </c>
      <c r="AU37" s="45" t="str">
        <f>IF($G37="","",$G37*ADRYr1!$Q37*ADRYr1!$U37*(IF(ADRYr1!$AI37=Lookups!$E$118,ADRYr1!$AJ37,IF(ADRYr1!$AK37=Lookups!$E$118,ADRYr1!$AL37,IF(ADRYr1!$AM37=Lookups!$E$118,ADRYr1!$AN37,0)))))</f>
        <v/>
      </c>
      <c r="AV37" s="45" t="str">
        <f t="shared" si="32"/>
        <v/>
      </c>
      <c r="AW37" s="45" t="str">
        <f>IF($G37="","",AU37*ADRYr1!$P37)</f>
        <v/>
      </c>
      <c r="AX37" s="45" t="str">
        <f t="shared" si="33"/>
        <v/>
      </c>
      <c r="AY37" s="45">
        <f t="shared" si="49"/>
        <v>0</v>
      </c>
      <c r="AZ37" s="45">
        <f t="shared" si="49"/>
        <v>0</v>
      </c>
      <c r="BA37" s="101" t="str">
        <f>IF($G37="","",$G37*ADRYr1!$P37*ADRYr1!$Q37*ADRYr1!$U37*ADRYr1!AO37)</f>
        <v/>
      </c>
      <c r="BB37" s="102" t="str">
        <f>IF($G37="","",$G37*ADRYr1!$P37*ADRYr1!$Q37*ADRYr1!$U37*ADRYr1!AP37)</f>
        <v/>
      </c>
      <c r="BC37" s="100" t="str">
        <f t="shared" si="35"/>
        <v/>
      </c>
      <c r="BD37" s="961"/>
      <c r="BE37" s="961"/>
      <c r="BF37" s="961"/>
      <c r="BG37" s="961"/>
      <c r="BH37" s="962" t="str">
        <f t="shared" si="3"/>
        <v/>
      </c>
      <c r="BI37" s="961"/>
      <c r="BJ37" s="961"/>
      <c r="BK37" s="961"/>
      <c r="BL37" s="961"/>
      <c r="BM37" s="30" t="str">
        <f t="shared" si="4"/>
        <v/>
      </c>
      <c r="BN37" s="963" t="str">
        <f t="shared" si="5"/>
        <v/>
      </c>
      <c r="BO37" s="31" t="str">
        <f t="shared" si="36"/>
        <v/>
      </c>
      <c r="BP37" s="964" t="str">
        <f t="shared" si="6"/>
        <v/>
      </c>
      <c r="BQ37" s="28" t="str">
        <f t="shared" si="7"/>
        <v/>
      </c>
      <c r="BR37" s="964" t="str">
        <f t="shared" si="8"/>
        <v/>
      </c>
      <c r="BS37" s="964" t="str">
        <f t="shared" si="9"/>
        <v/>
      </c>
      <c r="BT37" s="28" t="str">
        <f t="shared" si="50"/>
        <v/>
      </c>
      <c r="BU37" s="28" t="str">
        <f t="shared" si="50"/>
        <v/>
      </c>
      <c r="BV37" s="28" t="str">
        <f t="shared" si="50"/>
        <v/>
      </c>
      <c r="BW37" s="29" t="str">
        <f t="shared" si="37"/>
        <v/>
      </c>
      <c r="BX37" s="29" t="str">
        <f t="shared" si="38"/>
        <v/>
      </c>
      <c r="BY37" s="28" t="str">
        <f>IF($G37="","",$G37*(IF(ADRYr1!$AI37=BY$4,ADRYr1!$AJ37,IF(ADRYr1!$AK37=BY$4,ADRYr1!$AL37,IF(ADRYr1!$AM37=BY$4,ADRYr1!$AN37,0))))*(INDEX(avoidedcosttbl,$H37,BY$2)+(($H37-ROUNDDOWN($H37,0))*(INDEX(avoidedcosttbl,ROUNDUP($H37,0),BY$2)-(INDEX(avoidedcosttbl,ROUNDDOWN($H37,0),BY$2)))))*ADRYr1!P37*ADRYr1!Q37*ADRYr1!U37)</f>
        <v/>
      </c>
      <c r="BZ37" s="28" t="str">
        <f>IF($G37="","",$G37*(IF(ADRYr1!$AI37=BZ$4,ADRYr1!$AJ37,IF(ADRYr1!$AK37=BZ$4,ADRYr1!$AL37,IF(ADRYr1!$AM37=BZ$4,ADRYr1!$AN37,0))))*(INDEX(avoidedcosttbl,$H37,BZ$2)+(($H37-ROUNDDOWN($H37,0))*(INDEX(avoidedcosttbl,ROUNDUP($H37,0),BZ$2)-(INDEX(avoidedcosttbl,ROUNDDOWN($H37,0),BZ$2)))))*ADRYr1!P37*ADRYr1!Q37*ADRYr1!U37)</f>
        <v/>
      </c>
      <c r="CA37" s="28" t="str">
        <f>IF($G37="","",$G37*(IF(ADRYr1!$AI37=CA$4,ADRYr1!$AJ37,IF(ADRYr1!$AK37=CA$4,ADRYr1!$AL37,IF(ADRYr1!$AM37=CA$4,ADRYr1!$AN37,0))))*(INDEX(avoidedcosttbl,$H37,CA$2)+(($H37-ROUNDDOWN($H37,0))*(INDEX(avoidedcosttbl,ROUNDUP($H37,0),CA$2)-(INDEX(avoidedcosttbl,ROUNDDOWN($H37,0),CA$2)))))*ADRYr1!P37*ADRYr1!Q37*ADRYr1!U37)</f>
        <v/>
      </c>
      <c r="CB37" s="28" t="str">
        <f>IF($G37="","",$G37*(IF(ADRYr1!$AI37=CB$4,ADRYr1!$AJ37,IF(ADRYr1!$AK37=CB$4,ADRYr1!$AL37,IF(ADRYr1!$AM37=CB$4,ADRYr1!$AN37,0))))*(INDEX(avoidedcosttbl,$H37,CB$2)+(($H37-ROUNDDOWN($H37,0))*(INDEX(avoidedcosttbl,ROUNDUP($H37,0),CB$2)-(INDEX(avoidedcosttbl,ROUNDDOWN($H37,0),CB$2)))))*ADRYr1!P37*ADRYr1!Q37*ADRYr1!U37)</f>
        <v/>
      </c>
      <c r="CC37" s="28" t="str">
        <f>IF($G37="","",$G37*(IF(ADRYr1!$AI37=CC$4,ADRYr1!$AJ37,IF(ADRYr1!$AK37=CC$4,ADRYr1!$AL37,IF(ADRYr1!$AM37=CC$4,ADRYr1!$AN37,0))))*(INDEX(avoidedcosttbl,$H37,CC$2)+(($H37-ROUNDDOWN($H37,0))*(INDEX(avoidedcosttbl,ROUNDUP($H37,0),CC$2)-(INDEX(avoidedcosttbl,ROUNDDOWN($H37,0),CC$2)))))*ADRYr1!P37*ADRYr1!Q37*ADRYr1!U37)</f>
        <v/>
      </c>
      <c r="CD37" s="28" t="str">
        <f>IF($G37="","",$G37*(IF(ADRYr1!$AI37=CD$4,ADRYr1!$AJ37,IF(ADRYr1!$AK37=CD$4,ADRYr1!$AL37,IF(ADRYr1!$AM37=CD$4,ADRYr1!$AN37,0))))*(INDEX(avoidedcosttbl,$H37,CD$2)+(($H37-ROUNDDOWN($H37,0))*(INDEX(avoidedcosttbl,ROUNDUP($H37,0),CD$2)-(INDEX(avoidedcosttbl,ROUNDDOWN($H37,0),CD$2)))))*ADRYr1!P37*ADRYr1!Q37*ADRYr1!U37)</f>
        <v/>
      </c>
      <c r="CE37" s="28" t="str">
        <f>IF($G37="","",$G37*(IF(ADRYr1!$AI37=CE$4,ADRYr1!$AJ37,IF(ADRYr1!$AK37=CE$4,ADRYr1!$AL37,IF(ADRYr1!$AM37=CE$4,ADRYr1!$AN37,0))))*(INDEX(avoidedcosttbl,$H37,CE$2)+(($H37-ROUNDDOWN($H37,0))*(INDEX(avoidedcosttbl,ROUNDUP($H37,0),CE$2)-(INDEX(avoidedcosttbl,ROUNDDOWN($H37,0),CE$2)))))*ADRYr1!P37*ADRYr1!Q37*ADRYr1!U37)</f>
        <v/>
      </c>
      <c r="CF37" s="41" t="str">
        <f t="shared" si="39"/>
        <v/>
      </c>
      <c r="CG37" s="30" t="str">
        <f t="shared" si="11"/>
        <v/>
      </c>
      <c r="CH37" s="30" t="str">
        <f>IF($G37="","",$G37*(IF(ADRYr1!$AI37=BY$4,ADRYr1!$AJ37,IF(ADRYr1!$AK37=BY$4,ADRYr1!$AL37,IF(ADRYr1!$AM37=BY$4,ADRYr1!$AN37,0))))*(INDEX(avoidedcosttbl,$H37,CH$2)+(($H37-ROUNDDOWN($H37,0))*(INDEX(avoidedcosttbl,ROUNDUP($H37,0),CH$2)-(INDEX(avoidedcosttbl,ROUNDDOWN($H37,0),CH$2)))))*ADRYr1!P37*ADRYr1!Q37*ADRYr1!U37)</f>
        <v/>
      </c>
      <c r="CI37" s="30" t="str">
        <f>IF($G37="","",$G37*(IF(ADRYr1!$AI37=BZ$4,ADRYr1!$AJ37,IF(ADRYr1!$AK37=BZ$4,ADRYr1!$AL37,IF(ADRYr1!$AM37=BZ$4,ADRYr1!$AN37,0))))*(INDEX(avoidedcosttbl,$H37,CI$2)+(($H37-ROUNDDOWN($H37,0))*(INDEX(avoidedcosttbl,ROUNDUP($H37,0),CI$2)-(INDEX(avoidedcosttbl,ROUNDDOWN($H37,0),CI$2)))))*ADRYr1!P37*ADRYr1!Q37*ADRYr1!U37)</f>
        <v/>
      </c>
      <c r="CJ37" s="30" t="str">
        <f>IF($G37="","",$G37*(IF(ADRYr1!$AI37=CA$4,ADRYr1!$AJ37,IF(ADRYr1!$AK37=CA$4,ADRYr1!$AL37,IF(ADRYr1!$AM37=CA$4,ADRYr1!$AN37,0))))*(INDEX(avoidedcosttbl,$H37,CJ$2)+(($H37-ROUNDDOWN($H37,0))*(INDEX(avoidedcosttbl,ROUNDUP($H37,0),CJ$2)-(INDEX(avoidedcosttbl,ROUNDDOWN($H37,0),CJ$2)))))*ADRYr1!P37*ADRYr1!Q37*ADRYr1!U37)</f>
        <v/>
      </c>
      <c r="CK37" s="30" t="str">
        <f>IF($G37="","",$G37*(IF(ADRYr1!$AI37=CB$4,ADRYr1!$AJ37,IF(ADRYr1!$AK37=CB$4,ADRYr1!$AL37,IF(ADRYr1!$AM37=CB$4,ADRYr1!$AN37,0))))*(INDEX(avoidedcosttbl,$H37,CK$2)+(($H37-ROUNDDOWN($H37,0))*(INDEX(avoidedcosttbl,ROUNDUP($H37,0),CK$2)-(INDEX(avoidedcosttbl,ROUNDDOWN($H37,0),CK$2)))))*ADRYr1!P37*ADRYr1!Q37*ADRYr1!U37)</f>
        <v/>
      </c>
      <c r="CL37" s="30" t="str">
        <f>IF($G37="","",$G37*(IF(ADRYr1!$AI37=CC$4,ADRYr1!$AJ37,IF(ADRYr1!$AK37=CC$4,ADRYr1!$AL37,IF(ADRYr1!$AM37=CC$4,ADRYr1!$AN37,0))))*(INDEX(avoidedcosttbl,$H37,CL$2)+(($H37-ROUNDDOWN($H37,0))*(INDEX(avoidedcosttbl,ROUNDUP($H37,0),CL$2)-(INDEX(avoidedcosttbl,ROUNDDOWN($H37,0),CL$2)))))*ADRYr1!P37*ADRYr1!Q37*ADRYr1!U37)</f>
        <v/>
      </c>
      <c r="CM37" s="30" t="str">
        <f>IF($G37="","",$G37*(IF(ADRYr1!$AI37=CD$4,ADRYr1!$AJ37,IF(ADRYr1!$AK37=CD$4,ADRYr1!$AL37,IF(ADRYr1!$AM37=CD$4,ADRYr1!$AN37,0))))*(INDEX(avoidedcosttbl,$H37,CM$2)+(($H37-ROUNDDOWN($H37,0))*(INDEX(avoidedcosttbl,ROUNDUP($H37,0),CM$2)-(INDEX(avoidedcosttbl,ROUNDDOWN($H37,0),CM$2)))))*ADRYr1!P37*ADRYr1!Q37*ADRYr1!U37)</f>
        <v/>
      </c>
      <c r="CN37" s="30" t="str">
        <f>IF($G37="","",$G37*(IF(ADRYr1!$AI37=CE$4,ADRYr1!$AJ37,IF(ADRYr1!$AK37=CE$4,ADRYr1!$AL37,IF(ADRYr1!$AM37=CE$4,ADRYr1!$AN37,0))))*(INDEX(avoidedcosttbl,$H37,CN$2)+(($H37-ROUNDDOWN($H37,0))*(INDEX(avoidedcosttbl,ROUNDUP($H37,0),CN$2)-(INDEX(avoidedcosttbl,ROUNDDOWN($H37,0),CN$2)))))*ADRYr1!P37*ADRYr1!Q37*ADRYr1!U37)</f>
        <v/>
      </c>
      <c r="CO37" s="220" t="str">
        <f t="shared" si="40"/>
        <v/>
      </c>
      <c r="CP37" s="220" t="str">
        <f t="shared" si="41"/>
        <v/>
      </c>
      <c r="CQ37" s="157" t="str">
        <f>IF($G37="","",$G37*(IF(ADRYr1!$AI37=CQ$4,ADRYr1!$AJ37,IF(ADRYr1!$AK37=CQ$4,ADRYr1!$AL37,IF(ADRYr1!$AM37=CQ$4,ADRYr1!$AN37,0))))*(INDEX(avoidedcosttbl,$H37,CQ$2)+(($H37-ROUNDDOWN($H37,0))*(INDEX(avoidedcosttbl,ROUNDUP($H37,0),CQ$2)-(INDEX(avoidedcosttbl,ROUNDDOWN($H37,0),CQ$2)))))*ADRYr1!$P37*ADRYr1!$Q37*ADRYr1!$U37)</f>
        <v/>
      </c>
      <c r="CR37" s="28" t="str">
        <f>IF($G37="","",G37*(IF(ADRYr1!$AI37=CR$4,ADRYr1!$AJ37,IF(ADRYr1!$AK37=CR$4,ADRYr1!$AL37,IF(ADRYr1!$AM37=CR$4,ADRYr1!$AN37,0))))*(INDEX(avoidedcosttbl,$H37,CR$2)+(($H37-ROUNDDOWN($H37,0))*(INDEX(avoidedcosttbl,ROUNDUP($H37,0),CR$2)-(INDEX(avoidedcosttbl,ROUNDDOWN($H37,0),CR$2)))))*ADRYr1!$P37*ADRYr1!$Q37*ADRYr1!$U37)</f>
        <v/>
      </c>
      <c r="CS37" s="28" t="str">
        <f>IF($G37="","",G37*(IF(ADRYr1!$AI37=CS$4,ADRYr1!$AJ37,IF(ADRYr1!$AK37=CS$4,ADRYr1!$AL37,IF(ADRYr1!$AM37=CS$4,ADRYr1!$AN37,0))))*(INDEX(avoidedcosttbl,$H37,CS$2)+(($H37-ROUNDDOWN($H37,0))*(INDEX(avoidedcosttbl,ROUNDUP($H37,0),CS$2)-(INDEX(avoidedcosttbl,ROUNDDOWN($H37,0),CS$2)))))*ADRYr1!$P37*ADRYr1!$Q37*ADRYr1!$U37)</f>
        <v/>
      </c>
      <c r="CT37" s="28" t="str">
        <f t="shared" si="12"/>
        <v/>
      </c>
      <c r="CU37" s="28" t="str">
        <f>IF($G37="","",G37*(IF(ADRYr1!$AI37=CU$4,ADRYr1!$AJ37,IF(ADRYr1!$AK37=CU$4,ADRYr1!$AL37,IF(ADRYr1!$AM37=CU$4,ADRYr1!$AN37,0))))*(INDEX(avoidedcosttbl,$H37,CU$2)+(($H37-ROUNDDOWN($H37,0))*(INDEX(avoidedcosttbl,ROUNDUP($H37,0),CU$2)-(INDEX(avoidedcosttbl,ROUNDDOWN($H37,0),CU$2)))))*ADRYr1!$P37*ADRYr1!$Q37*ADRYr1!$U37)</f>
        <v/>
      </c>
      <c r="CV37" s="28" t="str">
        <f>IF($G37="","",G37*(IF(ADRYr1!$AI37=CV$4,ADRYr1!$AJ37,IF(ADRYr1!$AK37=CV$4,ADRYr1!$AL37,IF(ADRYr1!$AM37=CV$4,ADRYr1!$AN37,0))))*(INDEX(avoidedcosttbl,$H37,CV$2)+(($H37-ROUNDDOWN($H37,0))*(INDEX(avoidedcosttbl,ROUNDUP($H37,0),CV$2)-(INDEX(avoidedcosttbl,ROUNDDOWN($H37,0),CV$2)))))*ADRYr1!$P37*ADRYr1!$Q37*ADRYr1!$U37)</f>
        <v/>
      </c>
      <c r="CW37" s="28" t="str">
        <f>IF($G37="","",G37*(IF(ADRYr1!$AI37=CW$4,ADRYr1!$AJ37,IF(ADRYr1!$AK37=CW$4,ADRYr1!$AL37,IF(ADRYr1!$AM37=CW$4,ADRYr1!$AN37,0))))*(INDEX(avoidedcosttbl,$H37,CW$2)+(($H37-ROUNDDOWN($H37,0))*(INDEX(avoidedcosttbl,ROUNDUP($H37,0),CW$2)-(INDEX(avoidedcosttbl,ROUNDDOWN($H37,0),CW$2)))))*ADRYr1!$P37*ADRYr1!$Q37*ADRYr1!$U37)</f>
        <v/>
      </c>
      <c r="CX37" s="28" t="str">
        <f>IF($G37="","",G37*(IF(ADRYr1!$AI37=CX$4,ADRYr1!$AJ37,IF(ADRYr1!$AK37=CX$4,ADRYr1!$AL37,IF(ADRYr1!$AM37=CX$4,ADRYr1!$AN37,0))))*(INDEX(avoidedcosttbl,$H37,CX$2)+(($H37-ROUNDDOWN($H37,0))*(INDEX(avoidedcosttbl,ROUNDUP($H37,0),CX$2)-(INDEX(avoidedcosttbl,ROUNDDOWN($H37,0),CX$2)))))*ADRYr1!$P37*ADRYr1!$Q37*ADRYr1!$U37)</f>
        <v/>
      </c>
      <c r="CY37" s="28" t="str">
        <f t="shared" si="13"/>
        <v/>
      </c>
      <c r="CZ37" s="32" t="str">
        <f t="shared" si="14"/>
        <v/>
      </c>
      <c r="DA37" s="84" t="str">
        <f t="shared" si="42"/>
        <v/>
      </c>
      <c r="DB37" s="81" t="str">
        <f>IF(NEIadder="Yes",IF($G37="","",INDEX(Lookups!$G$70:$G$71,MATCH($A37,Lookups!$E$70:$E$71,0))*(SUM(CP37:CX37,BX37))),"")</f>
        <v/>
      </c>
      <c r="DC37" s="263" t="str">
        <f t="shared" si="15"/>
        <v/>
      </c>
      <c r="DD37" s="166" t="str">
        <f t="shared" si="16"/>
        <v/>
      </c>
      <c r="DE37" s="82">
        <f t="shared" si="43"/>
        <v>0</v>
      </c>
      <c r="DF37" s="615" t="str">
        <f>IF($G37="","",(1+WntPeakEnergyLL)*(INDEX(avoidedcosttbl,$H37,DF$2)+(($H37-ROUNDDOWN($H37,0))*(INDEX(avoidedcosttbl,ROUNDUP($H37,0),DF$2)-(INDEX(avoidedcosttbl,ROUNDDOWN($H37,0),DF$2)))))*$P37*1000*ADRYr1!Z37)</f>
        <v/>
      </c>
      <c r="DG37" s="615" t="str">
        <f>IF($G37="","",(1+WntOffPeakEnergyLL)*(INDEX(avoidedcosttbl,$H37,DG$2)+(($H37-ROUNDDOWN($H37,0))*(INDEX(avoidedcosttbl,ROUNDUP($H37,0),DG$2)-(INDEX(avoidedcosttbl,ROUNDDOWN($H37,0),DG$2)))))*$P37*1000*ADRYr1!AA37)</f>
        <v/>
      </c>
      <c r="DH37" s="615" t="str">
        <f>IF($G37="","",(1+SumPeakEnergyLL)*(INDEX(avoidedcosttbl,$H37,DH$2)+(($H37-ROUNDDOWN($H37,0))*(INDEX(avoidedcosttbl,ROUNDUP($H37,0),DH$2)-(INDEX(avoidedcosttbl,ROUNDDOWN($H37,0),DH$2)))))*$P37*1000*ADRYr1!AB37)</f>
        <v/>
      </c>
      <c r="DI37" s="615" t="str">
        <f>IF($G37="","",(1+SumOffPeakEnergyLL)*(INDEX(avoidedcosttbl,$H37,DI$2)+(($H37-ROUNDDOWN($H37,0))*(INDEX(avoidedcosttbl,ROUNDUP($H37,0),DI$2)-(INDEX(avoidedcosttbl,ROUNDDOWN($H37,0),DI$2)))))*$P37*1000*ADRYr1!AC37)</f>
        <v/>
      </c>
      <c r="DJ37" s="29" t="str">
        <f t="shared" si="44"/>
        <v/>
      </c>
      <c r="DK37" s="161" t="str">
        <f t="shared" si="45"/>
        <v/>
      </c>
      <c r="DL37" s="1189" t="str">
        <f t="shared" si="46"/>
        <v/>
      </c>
      <c r="DM37" s="1189" t="str">
        <f t="shared" si="47"/>
        <v/>
      </c>
      <c r="DN37" s="43" t="str">
        <f t="shared" si="48"/>
        <v/>
      </c>
      <c r="DO37" s="966" t="str">
        <f>IF($G37="","",ADRYr1!AQ37)</f>
        <v/>
      </c>
      <c r="DP37" s="968" t="str">
        <f>IF($G37="","",ADRYr1!AR37)</f>
        <v/>
      </c>
      <c r="DQ37" s="970" t="str">
        <f>IF($G37="","",IF($DP37="Yes",COLUMN(AESC!$L$10),IF($DP37="No","Using AvoidedDemand tab",IF($DP37="Mixed",COLUMN(AESC!$N$10)))))</f>
        <v/>
      </c>
      <c r="DR37" s="970" t="str">
        <f>IF($G37="","",IF($DP37="Yes",COLUMN(AESC!$P$10),IF($DP37="No","Using AvoidedDemand tab",IF($DP37="Mixed",COLUMN(AESC!$R$10)))))</f>
        <v/>
      </c>
      <c r="DS37" s="970" t="str">
        <f>IF($G37="","",IF($DP37="Yes",COLUMN(AESC!$S$10),IF($DP37="No",COLUMN(AESC!$T$10),IF($DP37="Mixed",COLUMN(AESC!$U$10)))))</f>
        <v/>
      </c>
      <c r="DT37" s="970" t="str">
        <f t="shared" si="17"/>
        <v/>
      </c>
      <c r="DU37" s="970" t="str">
        <f>IF($G37="","",ADRYr1!AS37)</f>
        <v/>
      </c>
      <c r="DV37" s="971" t="str">
        <f>IF($G37="","",ADRYr1!AT37)</f>
        <v/>
      </c>
      <c r="DW37" s="1162" t="str">
        <f>IF($G37="","",INDEX(AvoidedEnergy!$H$4:$H$10,MATCH($DO37,AvoidedEnergy!$A$4:$A$10,0)))</f>
        <v/>
      </c>
    </row>
    <row r="38" spans="1:127">
      <c r="A38" s="160" t="str">
        <f>IF(ADRYr1!$B38=0,"",ADRYr1!A38)</f>
        <v>C - Commercial &amp; Industrial</v>
      </c>
      <c r="B38" s="9" t="str">
        <f>IF(ADRYr1!$B38=0,"",ADRYr1!B38)</f>
        <v>C5 - C&amp;I Active Demand Response</v>
      </c>
      <c r="C38" s="9" t="str">
        <f>IF(ADRYr1!$B38=0,"",ADRYr1!C38)</f>
        <v>C5a - C&amp;I Active Demand Response</v>
      </c>
      <c r="D38" s="9" t="str">
        <f>IF(ADRYr1!$B38=0,"",ADRYr1!D38)</f>
        <v>Storage Targeted Dispatch P4P (consumption) Summer</v>
      </c>
      <c r="E38" s="9" t="str">
        <f>IF(ADRYr1!$B38=0,"",ADRYr1!E38)</f>
        <v>E21C5a005</v>
      </c>
      <c r="F38" s="11" t="str">
        <f>IF(ADRYr1!$B38=0,"",ADRYr1!F38)</f>
        <v>Behavior</v>
      </c>
      <c r="G38" s="12" t="str">
        <f>IF(ADRYr1!$G38&lt;&gt;0,ADRYr1!G38,"")</f>
        <v/>
      </c>
      <c r="H38" s="960" t="str">
        <f>IF($G38="","",ROUND(ADRYr1!H38,0))</f>
        <v/>
      </c>
      <c r="I38" s="47" t="str">
        <f>IF($G38="","",ADRYr1!I38*ADRYr1!P38*G38)</f>
        <v/>
      </c>
      <c r="J38" s="47" t="str">
        <f>IF($G38="","",ADRYr1!J38*G38)</f>
        <v/>
      </c>
      <c r="K38" s="47" t="str">
        <f t="shared" si="18"/>
        <v/>
      </c>
      <c r="L38" s="27" t="str">
        <f>IF($G38="","",ADRYr1!V38*G38/1000)</f>
        <v/>
      </c>
      <c r="M38" s="27" t="str">
        <f>IF($G38="","",L38*ADRYr1!$Q38*ADRYr1!$R38)</f>
        <v/>
      </c>
      <c r="N38" s="27" t="str">
        <f t="shared" si="19"/>
        <v/>
      </c>
      <c r="O38" s="27" t="str">
        <f t="shared" si="20"/>
        <v/>
      </c>
      <c r="P38" s="27" t="str">
        <f>IF($G38="","",M38*ADRYr1!P38)</f>
        <v/>
      </c>
      <c r="Q38" s="27" t="str">
        <f t="shared" si="21"/>
        <v/>
      </c>
      <c r="R38" s="27" t="str">
        <f>IF($G38="","",$Q38*ADRYr1!Z38)</f>
        <v/>
      </c>
      <c r="S38" s="27" t="str">
        <f>IF($G38="","",$Q38*ADRYr1!AA38)</f>
        <v/>
      </c>
      <c r="T38" s="27" t="str">
        <f>IF($G38="","",$Q38*ADRYr1!AB38)</f>
        <v/>
      </c>
      <c r="U38" s="27" t="str">
        <f>IF($G38="","",$Q38*ADRYr1!AC38)</f>
        <v/>
      </c>
      <c r="V38" s="27" t="str">
        <f>IF($G38="","",G38*ADRYr1!$AD38*ADRYr1!$P38*ADRYr1!$Q38)</f>
        <v/>
      </c>
      <c r="W38" s="27" t="str">
        <f>IF($G38="","",$G38*ADRYr1!$AD38*ADRYr1!$AF38*ADRYr1!Q38*ADRYr1!$S38)</f>
        <v/>
      </c>
      <c r="X38" s="27" t="str">
        <f>IF($G38="","",$G38*ADRYr1!$AD38*ADRYr1!$AF38*ADRYr1!P38*ADRYr1!Q38*ADRYr1!$S38)</f>
        <v/>
      </c>
      <c r="Y38" s="27" t="str">
        <f>IF($G38="","",$G38*ADRYr1!$AD38*ADRYr1!$AE38*ADRYr1!Q38*ADRYr1!$T38)</f>
        <v/>
      </c>
      <c r="Z38" s="27" t="str">
        <f>IF($G38="","",$G38*ADRYr1!$AD38*ADRYr1!$AE38*ADRYr1!P38*ADRYr1!Q38*ADRYr1!$T38)</f>
        <v/>
      </c>
      <c r="AA38" s="45" t="str">
        <f>IF($G38="","",$G38*ADRYr1!$Q38*ADRYr1!$U38*(IF(IFERROR(SEARCH("NG", ADRYr1!$AI38),0),ADRYr1!$AJ38,0)+IF(IFERROR(SEARCH("NG", ADRYr1!$AK38),0),ADRYr1!$AL38,0)+IF(IFERROR(SEARCH("NG", ADRYr1!$AM38),0),ADRYr1!$AN38,0)))</f>
        <v/>
      </c>
      <c r="AB38" s="45" t="str">
        <f t="shared" si="22"/>
        <v/>
      </c>
      <c r="AC38" s="45">
        <f>IF($G38="",0,AA38*ADRYr1!$P38)</f>
        <v>0</v>
      </c>
      <c r="AD38" s="45" t="str">
        <f t="shared" si="23"/>
        <v/>
      </c>
      <c r="AE38" s="45" t="str">
        <f>IF($G38="","",$G38*ADRYr1!$Q38*ADRYr1!$U38*(IF(IFERROR(SEARCH("Oil", ADRYr1!$AI38), 0),ADRYr1!$AJ38,0)+IF(IFERROR(SEARCH("Oil", ADRYr1!$AK38), 0),ADRYr1!$AL38,0)+IF(IFERROR(SEARCH("Oil", ADRYr1!$AM38), 0),ADRYr1!$AN38,0)))</f>
        <v/>
      </c>
      <c r="AF38" s="45" t="str">
        <f t="shared" si="24"/>
        <v/>
      </c>
      <c r="AG38" s="45">
        <f>IF($G38="",0,AE38*ADRYr1!$P38)</f>
        <v>0</v>
      </c>
      <c r="AH38" s="45" t="str">
        <f t="shared" si="25"/>
        <v/>
      </c>
      <c r="AI38" s="45" t="str">
        <f>IF($G38="","",$G38*ADRYr1!$Q38*ADRYr1!$U38*(IF(ADRYr1!$AI38=Lookups!$E$116,ADRYr1!$AJ38,IF(ADRYr1!$AK38=Lookups!$E$116,ADRYr1!$AL38,IF(ADRYr1!$AM38=Lookups!$E$116,ADRYr1!$AN38,0)))))</f>
        <v/>
      </c>
      <c r="AJ38" s="45" t="str">
        <f t="shared" si="26"/>
        <v/>
      </c>
      <c r="AK38" s="45">
        <f>IF($G38="",0,AI38*ADRYr1!$P38)</f>
        <v>0</v>
      </c>
      <c r="AL38" s="45" t="str">
        <f t="shared" si="27"/>
        <v/>
      </c>
      <c r="AM38" s="45" t="str">
        <f>IF($G38="","",$G38*ADRYr1!$Q38*ADRYr1!$U38*(IF(ADRYr1!$AI38=Lookups!$E$115,ADRYr1!$AJ38,IF(ADRYr1!$AK38=Lookups!$E$115,ADRYr1!$AL38,IF(ADRYr1!$AM38=Lookups!$E$115,ADRYr1!$AN38,0)))))</f>
        <v/>
      </c>
      <c r="AN38" s="45" t="str">
        <f t="shared" si="28"/>
        <v/>
      </c>
      <c r="AO38" s="45">
        <f>IF($G38="",0,AM38*ADRYr1!$P38)</f>
        <v>0</v>
      </c>
      <c r="AP38" s="45" t="str">
        <f t="shared" si="29"/>
        <v/>
      </c>
      <c r="AQ38" s="45" t="str">
        <f>IF($G38="","",$G38*ADRYr1!$Q38*ADRYr1!$U38*(IF(ADRYr1!$AI38=Lookups!$E$117,ADRYr1!$AJ38,IF(ADRYr1!$AK38=Lookups!$E$117,ADRYr1!$AL38,IF(ADRYr1!$AM38=Lookups!$E$117,ADRYr1!$AN38,0)))))</f>
        <v/>
      </c>
      <c r="AR38" s="45" t="str">
        <f t="shared" si="30"/>
        <v/>
      </c>
      <c r="AS38" s="45" t="str">
        <f>IF($G38="","",AQ38*ADRYr1!$P38)</f>
        <v/>
      </c>
      <c r="AT38" s="45" t="str">
        <f t="shared" si="31"/>
        <v/>
      </c>
      <c r="AU38" s="45" t="str">
        <f>IF($G38="","",$G38*ADRYr1!$Q38*ADRYr1!$U38*(IF(ADRYr1!$AI38=Lookups!$E$118,ADRYr1!$AJ38,IF(ADRYr1!$AK38=Lookups!$E$118,ADRYr1!$AL38,IF(ADRYr1!$AM38=Lookups!$E$118,ADRYr1!$AN38,0)))))</f>
        <v/>
      </c>
      <c r="AV38" s="45" t="str">
        <f t="shared" si="32"/>
        <v/>
      </c>
      <c r="AW38" s="45" t="str">
        <f>IF($G38="","",AU38*ADRYr1!$P38)</f>
        <v/>
      </c>
      <c r="AX38" s="45" t="str">
        <f t="shared" si="33"/>
        <v/>
      </c>
      <c r="AY38" s="45">
        <f t="shared" si="49"/>
        <v>0</v>
      </c>
      <c r="AZ38" s="45">
        <f t="shared" si="49"/>
        <v>0</v>
      </c>
      <c r="BA38" s="101" t="str">
        <f>IF($G38="","",$G38*ADRYr1!$P38*ADRYr1!$Q38*ADRYr1!$U38*ADRYr1!AO38)</f>
        <v/>
      </c>
      <c r="BB38" s="102" t="str">
        <f>IF($G38="","",$G38*ADRYr1!$P38*ADRYr1!$Q38*ADRYr1!$U38*ADRYr1!AP38)</f>
        <v/>
      </c>
      <c r="BC38" s="100" t="str">
        <f t="shared" si="35"/>
        <v/>
      </c>
      <c r="BD38" s="961"/>
      <c r="BE38" s="961"/>
      <c r="BF38" s="961"/>
      <c r="BG38" s="961"/>
      <c r="BH38" s="962" t="str">
        <f t="shared" si="3"/>
        <v/>
      </c>
      <c r="BI38" s="961"/>
      <c r="BJ38" s="961"/>
      <c r="BK38" s="961"/>
      <c r="BL38" s="961"/>
      <c r="BM38" s="30" t="str">
        <f t="shared" si="4"/>
        <v/>
      </c>
      <c r="BN38" s="963" t="str">
        <f t="shared" si="5"/>
        <v/>
      </c>
      <c r="BO38" s="31" t="str">
        <f t="shared" si="36"/>
        <v/>
      </c>
      <c r="BP38" s="964" t="str">
        <f t="shared" si="6"/>
        <v/>
      </c>
      <c r="BQ38" s="28" t="str">
        <f t="shared" si="7"/>
        <v/>
      </c>
      <c r="BR38" s="964" t="str">
        <f t="shared" si="8"/>
        <v/>
      </c>
      <c r="BS38" s="964" t="str">
        <f t="shared" si="9"/>
        <v/>
      </c>
      <c r="BT38" s="28" t="str">
        <f t="shared" si="50"/>
        <v/>
      </c>
      <c r="BU38" s="28" t="str">
        <f t="shared" si="50"/>
        <v/>
      </c>
      <c r="BV38" s="28" t="str">
        <f t="shared" si="50"/>
        <v/>
      </c>
      <c r="BW38" s="29" t="str">
        <f t="shared" si="37"/>
        <v/>
      </c>
      <c r="BX38" s="29" t="str">
        <f t="shared" si="38"/>
        <v/>
      </c>
      <c r="BY38" s="28" t="str">
        <f>IF($G38="","",$G38*(IF(ADRYr1!$AI38=BY$4,ADRYr1!$AJ38,IF(ADRYr1!$AK38=BY$4,ADRYr1!$AL38,IF(ADRYr1!$AM38=BY$4,ADRYr1!$AN38,0))))*(INDEX(avoidedcosttbl,$H38,BY$2)+(($H38-ROUNDDOWN($H38,0))*(INDEX(avoidedcosttbl,ROUNDUP($H38,0),BY$2)-(INDEX(avoidedcosttbl,ROUNDDOWN($H38,0),BY$2)))))*ADRYr1!P38*ADRYr1!Q38*ADRYr1!U38)</f>
        <v/>
      </c>
      <c r="BZ38" s="28" t="str">
        <f>IF($G38="","",$G38*(IF(ADRYr1!$AI38=BZ$4,ADRYr1!$AJ38,IF(ADRYr1!$AK38=BZ$4,ADRYr1!$AL38,IF(ADRYr1!$AM38=BZ$4,ADRYr1!$AN38,0))))*(INDEX(avoidedcosttbl,$H38,BZ$2)+(($H38-ROUNDDOWN($H38,0))*(INDEX(avoidedcosttbl,ROUNDUP($H38,0),BZ$2)-(INDEX(avoidedcosttbl,ROUNDDOWN($H38,0),BZ$2)))))*ADRYr1!P38*ADRYr1!Q38*ADRYr1!U38)</f>
        <v/>
      </c>
      <c r="CA38" s="28" t="str">
        <f>IF($G38="","",$G38*(IF(ADRYr1!$AI38=CA$4,ADRYr1!$AJ38,IF(ADRYr1!$AK38=CA$4,ADRYr1!$AL38,IF(ADRYr1!$AM38=CA$4,ADRYr1!$AN38,0))))*(INDEX(avoidedcosttbl,$H38,CA$2)+(($H38-ROUNDDOWN($H38,0))*(INDEX(avoidedcosttbl,ROUNDUP($H38,0),CA$2)-(INDEX(avoidedcosttbl,ROUNDDOWN($H38,0),CA$2)))))*ADRYr1!P38*ADRYr1!Q38*ADRYr1!U38)</f>
        <v/>
      </c>
      <c r="CB38" s="28" t="str">
        <f>IF($G38="","",$G38*(IF(ADRYr1!$AI38=CB$4,ADRYr1!$AJ38,IF(ADRYr1!$AK38=CB$4,ADRYr1!$AL38,IF(ADRYr1!$AM38=CB$4,ADRYr1!$AN38,0))))*(INDEX(avoidedcosttbl,$H38,CB$2)+(($H38-ROUNDDOWN($H38,0))*(INDEX(avoidedcosttbl,ROUNDUP($H38,0),CB$2)-(INDEX(avoidedcosttbl,ROUNDDOWN($H38,0),CB$2)))))*ADRYr1!P38*ADRYr1!Q38*ADRYr1!U38)</f>
        <v/>
      </c>
      <c r="CC38" s="28" t="str">
        <f>IF($G38="","",$G38*(IF(ADRYr1!$AI38=CC$4,ADRYr1!$AJ38,IF(ADRYr1!$AK38=CC$4,ADRYr1!$AL38,IF(ADRYr1!$AM38=CC$4,ADRYr1!$AN38,0))))*(INDEX(avoidedcosttbl,$H38,CC$2)+(($H38-ROUNDDOWN($H38,0))*(INDEX(avoidedcosttbl,ROUNDUP($H38,0),CC$2)-(INDEX(avoidedcosttbl,ROUNDDOWN($H38,0),CC$2)))))*ADRYr1!P38*ADRYr1!Q38*ADRYr1!U38)</f>
        <v/>
      </c>
      <c r="CD38" s="28" t="str">
        <f>IF($G38="","",$G38*(IF(ADRYr1!$AI38=CD$4,ADRYr1!$AJ38,IF(ADRYr1!$AK38=CD$4,ADRYr1!$AL38,IF(ADRYr1!$AM38=CD$4,ADRYr1!$AN38,0))))*(INDEX(avoidedcosttbl,$H38,CD$2)+(($H38-ROUNDDOWN($H38,0))*(INDEX(avoidedcosttbl,ROUNDUP($H38,0),CD$2)-(INDEX(avoidedcosttbl,ROUNDDOWN($H38,0),CD$2)))))*ADRYr1!P38*ADRYr1!Q38*ADRYr1!U38)</f>
        <v/>
      </c>
      <c r="CE38" s="28" t="str">
        <f>IF($G38="","",$G38*(IF(ADRYr1!$AI38=CE$4,ADRYr1!$AJ38,IF(ADRYr1!$AK38=CE$4,ADRYr1!$AL38,IF(ADRYr1!$AM38=CE$4,ADRYr1!$AN38,0))))*(INDEX(avoidedcosttbl,$H38,CE$2)+(($H38-ROUNDDOWN($H38,0))*(INDEX(avoidedcosttbl,ROUNDUP($H38,0),CE$2)-(INDEX(avoidedcosttbl,ROUNDDOWN($H38,0),CE$2)))))*ADRYr1!P38*ADRYr1!Q38*ADRYr1!U38)</f>
        <v/>
      </c>
      <c r="CF38" s="41" t="str">
        <f t="shared" si="39"/>
        <v/>
      </c>
      <c r="CG38" s="30" t="str">
        <f t="shared" si="11"/>
        <v/>
      </c>
      <c r="CH38" s="30" t="str">
        <f>IF($G38="","",$G38*(IF(ADRYr1!$AI38=BY$4,ADRYr1!$AJ38,IF(ADRYr1!$AK38=BY$4,ADRYr1!$AL38,IF(ADRYr1!$AM38=BY$4,ADRYr1!$AN38,0))))*(INDEX(avoidedcosttbl,$H38,CH$2)+(($H38-ROUNDDOWN($H38,0))*(INDEX(avoidedcosttbl,ROUNDUP($H38,0),CH$2)-(INDEX(avoidedcosttbl,ROUNDDOWN($H38,0),CH$2)))))*ADRYr1!P38*ADRYr1!Q38*ADRYr1!U38)</f>
        <v/>
      </c>
      <c r="CI38" s="30" t="str">
        <f>IF($G38="","",$G38*(IF(ADRYr1!$AI38=BZ$4,ADRYr1!$AJ38,IF(ADRYr1!$AK38=BZ$4,ADRYr1!$AL38,IF(ADRYr1!$AM38=BZ$4,ADRYr1!$AN38,0))))*(INDEX(avoidedcosttbl,$H38,CI$2)+(($H38-ROUNDDOWN($H38,0))*(INDEX(avoidedcosttbl,ROUNDUP($H38,0),CI$2)-(INDEX(avoidedcosttbl,ROUNDDOWN($H38,0),CI$2)))))*ADRYr1!P38*ADRYr1!Q38*ADRYr1!U38)</f>
        <v/>
      </c>
      <c r="CJ38" s="30" t="str">
        <f>IF($G38="","",$G38*(IF(ADRYr1!$AI38=CA$4,ADRYr1!$AJ38,IF(ADRYr1!$AK38=CA$4,ADRYr1!$AL38,IF(ADRYr1!$AM38=CA$4,ADRYr1!$AN38,0))))*(INDEX(avoidedcosttbl,$H38,CJ$2)+(($H38-ROUNDDOWN($H38,0))*(INDEX(avoidedcosttbl,ROUNDUP($H38,0),CJ$2)-(INDEX(avoidedcosttbl,ROUNDDOWN($H38,0),CJ$2)))))*ADRYr1!P38*ADRYr1!Q38*ADRYr1!U38)</f>
        <v/>
      </c>
      <c r="CK38" s="30" t="str">
        <f>IF($G38="","",$G38*(IF(ADRYr1!$AI38=CB$4,ADRYr1!$AJ38,IF(ADRYr1!$AK38=CB$4,ADRYr1!$AL38,IF(ADRYr1!$AM38=CB$4,ADRYr1!$AN38,0))))*(INDEX(avoidedcosttbl,$H38,CK$2)+(($H38-ROUNDDOWN($H38,0))*(INDEX(avoidedcosttbl,ROUNDUP($H38,0),CK$2)-(INDEX(avoidedcosttbl,ROUNDDOWN($H38,0),CK$2)))))*ADRYr1!P38*ADRYr1!Q38*ADRYr1!U38)</f>
        <v/>
      </c>
      <c r="CL38" s="30" t="str">
        <f>IF($G38="","",$G38*(IF(ADRYr1!$AI38=CC$4,ADRYr1!$AJ38,IF(ADRYr1!$AK38=CC$4,ADRYr1!$AL38,IF(ADRYr1!$AM38=CC$4,ADRYr1!$AN38,0))))*(INDEX(avoidedcosttbl,$H38,CL$2)+(($H38-ROUNDDOWN($H38,0))*(INDEX(avoidedcosttbl,ROUNDUP($H38,0),CL$2)-(INDEX(avoidedcosttbl,ROUNDDOWN($H38,0),CL$2)))))*ADRYr1!P38*ADRYr1!Q38*ADRYr1!U38)</f>
        <v/>
      </c>
      <c r="CM38" s="30" t="str">
        <f>IF($G38="","",$G38*(IF(ADRYr1!$AI38=CD$4,ADRYr1!$AJ38,IF(ADRYr1!$AK38=CD$4,ADRYr1!$AL38,IF(ADRYr1!$AM38=CD$4,ADRYr1!$AN38,0))))*(INDEX(avoidedcosttbl,$H38,CM$2)+(($H38-ROUNDDOWN($H38,0))*(INDEX(avoidedcosttbl,ROUNDUP($H38,0),CM$2)-(INDEX(avoidedcosttbl,ROUNDDOWN($H38,0),CM$2)))))*ADRYr1!P38*ADRYr1!Q38*ADRYr1!U38)</f>
        <v/>
      </c>
      <c r="CN38" s="30" t="str">
        <f>IF($G38="","",$G38*(IF(ADRYr1!$AI38=CE$4,ADRYr1!$AJ38,IF(ADRYr1!$AK38=CE$4,ADRYr1!$AL38,IF(ADRYr1!$AM38=CE$4,ADRYr1!$AN38,0))))*(INDEX(avoidedcosttbl,$H38,CN$2)+(($H38-ROUNDDOWN($H38,0))*(INDEX(avoidedcosttbl,ROUNDUP($H38,0),CN$2)-(INDEX(avoidedcosttbl,ROUNDDOWN($H38,0),CN$2)))))*ADRYr1!P38*ADRYr1!Q38*ADRYr1!U38)</f>
        <v/>
      </c>
      <c r="CO38" s="220" t="str">
        <f t="shared" si="40"/>
        <v/>
      </c>
      <c r="CP38" s="220" t="str">
        <f t="shared" si="41"/>
        <v/>
      </c>
      <c r="CQ38" s="157" t="str">
        <f>IF($G38="","",$G38*(IF(ADRYr1!$AI38=CQ$4,ADRYr1!$AJ38,IF(ADRYr1!$AK38=CQ$4,ADRYr1!$AL38,IF(ADRYr1!$AM38=CQ$4,ADRYr1!$AN38,0))))*(INDEX(avoidedcosttbl,$H38,CQ$2)+(($H38-ROUNDDOWN($H38,0))*(INDEX(avoidedcosttbl,ROUNDUP($H38,0),CQ$2)-(INDEX(avoidedcosttbl,ROUNDDOWN($H38,0),CQ$2)))))*ADRYr1!$P38*ADRYr1!$Q38*ADRYr1!$U38)</f>
        <v/>
      </c>
      <c r="CR38" s="28" t="str">
        <f>IF($G38="","",G38*(IF(ADRYr1!$AI38=CR$4,ADRYr1!$AJ38,IF(ADRYr1!$AK38=CR$4,ADRYr1!$AL38,IF(ADRYr1!$AM38=CR$4,ADRYr1!$AN38,0))))*(INDEX(avoidedcosttbl,$H38,CR$2)+(($H38-ROUNDDOWN($H38,0))*(INDEX(avoidedcosttbl,ROUNDUP($H38,0),CR$2)-(INDEX(avoidedcosttbl,ROUNDDOWN($H38,0),CR$2)))))*ADRYr1!$P38*ADRYr1!$Q38*ADRYr1!$U38)</f>
        <v/>
      </c>
      <c r="CS38" s="28" t="str">
        <f>IF($G38="","",G38*(IF(ADRYr1!$AI38=CS$4,ADRYr1!$AJ38,IF(ADRYr1!$AK38=CS$4,ADRYr1!$AL38,IF(ADRYr1!$AM38=CS$4,ADRYr1!$AN38,0))))*(INDEX(avoidedcosttbl,$H38,CS$2)+(($H38-ROUNDDOWN($H38,0))*(INDEX(avoidedcosttbl,ROUNDUP($H38,0),CS$2)-(INDEX(avoidedcosttbl,ROUNDDOWN($H38,0),CS$2)))))*ADRYr1!$P38*ADRYr1!$Q38*ADRYr1!$U38)</f>
        <v/>
      </c>
      <c r="CT38" s="28" t="str">
        <f t="shared" si="12"/>
        <v/>
      </c>
      <c r="CU38" s="28" t="str">
        <f>IF($G38="","",G38*(IF(ADRYr1!$AI38=CU$4,ADRYr1!$AJ38,IF(ADRYr1!$AK38=CU$4,ADRYr1!$AL38,IF(ADRYr1!$AM38=CU$4,ADRYr1!$AN38,0))))*(INDEX(avoidedcosttbl,$H38,CU$2)+(($H38-ROUNDDOWN($H38,0))*(INDEX(avoidedcosttbl,ROUNDUP($H38,0),CU$2)-(INDEX(avoidedcosttbl,ROUNDDOWN($H38,0),CU$2)))))*ADRYr1!$P38*ADRYr1!$Q38*ADRYr1!$U38)</f>
        <v/>
      </c>
      <c r="CV38" s="28" t="str">
        <f>IF($G38="","",G38*(IF(ADRYr1!$AI38=CV$4,ADRYr1!$AJ38,IF(ADRYr1!$AK38=CV$4,ADRYr1!$AL38,IF(ADRYr1!$AM38=CV$4,ADRYr1!$AN38,0))))*(INDEX(avoidedcosttbl,$H38,CV$2)+(($H38-ROUNDDOWN($H38,0))*(INDEX(avoidedcosttbl,ROUNDUP($H38,0),CV$2)-(INDEX(avoidedcosttbl,ROUNDDOWN($H38,0),CV$2)))))*ADRYr1!$P38*ADRYr1!$Q38*ADRYr1!$U38)</f>
        <v/>
      </c>
      <c r="CW38" s="28" t="str">
        <f>IF($G38="","",G38*(IF(ADRYr1!$AI38=CW$4,ADRYr1!$AJ38,IF(ADRYr1!$AK38=CW$4,ADRYr1!$AL38,IF(ADRYr1!$AM38=CW$4,ADRYr1!$AN38,0))))*(INDEX(avoidedcosttbl,$H38,CW$2)+(($H38-ROUNDDOWN($H38,0))*(INDEX(avoidedcosttbl,ROUNDUP($H38,0),CW$2)-(INDEX(avoidedcosttbl,ROUNDDOWN($H38,0),CW$2)))))*ADRYr1!$P38*ADRYr1!$Q38*ADRYr1!$U38)</f>
        <v/>
      </c>
      <c r="CX38" s="28" t="str">
        <f>IF($G38="","",G38*(IF(ADRYr1!$AI38=CX$4,ADRYr1!$AJ38,IF(ADRYr1!$AK38=CX$4,ADRYr1!$AL38,IF(ADRYr1!$AM38=CX$4,ADRYr1!$AN38,0))))*(INDEX(avoidedcosttbl,$H38,CX$2)+(($H38-ROUNDDOWN($H38,0))*(INDEX(avoidedcosttbl,ROUNDUP($H38,0),CX$2)-(INDEX(avoidedcosttbl,ROUNDDOWN($H38,0),CX$2)))))*ADRYr1!$P38*ADRYr1!$Q38*ADRYr1!$U38)</f>
        <v/>
      </c>
      <c r="CY38" s="28" t="str">
        <f t="shared" si="13"/>
        <v/>
      </c>
      <c r="CZ38" s="32" t="str">
        <f t="shared" si="14"/>
        <v/>
      </c>
      <c r="DA38" s="84" t="str">
        <f t="shared" si="42"/>
        <v/>
      </c>
      <c r="DB38" s="81" t="str">
        <f>IF(NEIadder="Yes",IF($G38="","",INDEX(Lookups!$G$70:$G$71,MATCH($A38,Lookups!$E$70:$E$71,0))*(SUM(CP38:CX38,BX38))),"")</f>
        <v/>
      </c>
      <c r="DC38" s="263" t="str">
        <f t="shared" si="15"/>
        <v/>
      </c>
      <c r="DD38" s="166" t="str">
        <f t="shared" si="16"/>
        <v/>
      </c>
      <c r="DE38" s="82">
        <f t="shared" si="43"/>
        <v>0</v>
      </c>
      <c r="DF38" s="615" t="str">
        <f>IF($G38="","",(1+WntPeakEnergyLL)*(INDEX(avoidedcosttbl,$H38,DF$2)+(($H38-ROUNDDOWN($H38,0))*(INDEX(avoidedcosttbl,ROUNDUP($H38,0),DF$2)-(INDEX(avoidedcosttbl,ROUNDDOWN($H38,0),DF$2)))))*$P38*1000*ADRYr1!Z38)</f>
        <v/>
      </c>
      <c r="DG38" s="615" t="str">
        <f>IF($G38="","",(1+WntOffPeakEnergyLL)*(INDEX(avoidedcosttbl,$H38,DG$2)+(($H38-ROUNDDOWN($H38,0))*(INDEX(avoidedcosttbl,ROUNDUP($H38,0),DG$2)-(INDEX(avoidedcosttbl,ROUNDDOWN($H38,0),DG$2)))))*$P38*1000*ADRYr1!AA38)</f>
        <v/>
      </c>
      <c r="DH38" s="615" t="str">
        <f>IF($G38="","",(1+SumPeakEnergyLL)*(INDEX(avoidedcosttbl,$H38,DH$2)+(($H38-ROUNDDOWN($H38,0))*(INDEX(avoidedcosttbl,ROUNDUP($H38,0),DH$2)-(INDEX(avoidedcosttbl,ROUNDDOWN($H38,0),DH$2)))))*$P38*1000*ADRYr1!AB38)</f>
        <v/>
      </c>
      <c r="DI38" s="615" t="str">
        <f>IF($G38="","",(1+SumOffPeakEnergyLL)*(INDEX(avoidedcosttbl,$H38,DI$2)+(($H38-ROUNDDOWN($H38,0))*(INDEX(avoidedcosttbl,ROUNDUP($H38,0),DI$2)-(INDEX(avoidedcosttbl,ROUNDDOWN($H38,0),DI$2)))))*$P38*1000*ADRYr1!AC38)</f>
        <v/>
      </c>
      <c r="DJ38" s="29" t="str">
        <f t="shared" si="44"/>
        <v/>
      </c>
      <c r="DK38" s="161" t="str">
        <f t="shared" si="45"/>
        <v/>
      </c>
      <c r="DL38" s="1189" t="str">
        <f t="shared" si="46"/>
        <v/>
      </c>
      <c r="DM38" s="1189" t="str">
        <f t="shared" si="47"/>
        <v/>
      </c>
      <c r="DN38" s="43" t="str">
        <f t="shared" si="48"/>
        <v/>
      </c>
      <c r="DO38" s="966" t="str">
        <f>IF($G38="","",ADRYr1!AQ38)</f>
        <v/>
      </c>
      <c r="DP38" s="968" t="str">
        <f>IF($G38="","",ADRYr1!AR38)</f>
        <v/>
      </c>
      <c r="DQ38" s="970" t="str">
        <f>IF($G38="","",IF($DP38="Yes",COLUMN(AESC!$L$10),IF($DP38="No","Using AvoidedDemand tab",IF($DP38="Mixed",COLUMN(AESC!$N$10)))))</f>
        <v/>
      </c>
      <c r="DR38" s="970" t="str">
        <f>IF($G38="","",IF($DP38="Yes",COLUMN(AESC!$P$10),IF($DP38="No","Using AvoidedDemand tab",IF($DP38="Mixed",COLUMN(AESC!$R$10)))))</f>
        <v/>
      </c>
      <c r="DS38" s="970" t="str">
        <f>IF($G38="","",IF($DP38="Yes",COLUMN(AESC!$S$10),IF($DP38="No",COLUMN(AESC!$T$10),IF($DP38="Mixed",COLUMN(AESC!$U$10)))))</f>
        <v/>
      </c>
      <c r="DT38" s="970" t="str">
        <f t="shared" si="17"/>
        <v/>
      </c>
      <c r="DU38" s="970" t="str">
        <f>IF($G38="","",ADRYr1!AS38)</f>
        <v/>
      </c>
      <c r="DV38" s="971" t="str">
        <f>IF($G38="","",ADRYr1!AT38)</f>
        <v/>
      </c>
      <c r="DW38" s="1162" t="str">
        <f>IF($G38="","",INDEX(AvoidedEnergy!$H$4:$H$10,MATCH($DO38,AvoidedEnergy!$A$4:$A$10,0)))</f>
        <v/>
      </c>
    </row>
    <row r="39" spans="1:127">
      <c r="A39" s="160" t="str">
        <f>IF(ADRYr1!$B39=0,"",ADRYr1!A39)</f>
        <v>C - Commercial &amp; Industrial</v>
      </c>
      <c r="B39" s="9" t="str">
        <f>IF(ADRYr1!$B39=0,"",ADRYr1!B39)</f>
        <v>C5 - C&amp;I Active Demand Response</v>
      </c>
      <c r="C39" s="9" t="str">
        <f>IF(ADRYr1!$B39=0,"",ADRYr1!C39)</f>
        <v>C5a - C&amp;I Active Demand Response</v>
      </c>
      <c r="D39" s="9" t="str">
        <f>IF(ADRYr1!$B39=0,"",ADRYr1!D39)</f>
        <v>Storage Targeted Dispatch P4P (savings) Winter</v>
      </c>
      <c r="E39" s="9">
        <f>IF(ADRYr1!$B39=0,"",ADRYr1!E39)</f>
        <v>0</v>
      </c>
      <c r="F39" s="11" t="str">
        <f>IF(ADRYr1!$B39=0,"",ADRYr1!F39)</f>
        <v>Behavior</v>
      </c>
      <c r="G39" s="12" t="str">
        <f>IF(ADRYr1!$G39&lt;&gt;0,ADRYr1!G39,"")</f>
        <v/>
      </c>
      <c r="H39" s="960" t="str">
        <f>IF($G39="","",ROUND(ADRYr1!H39,0))</f>
        <v/>
      </c>
      <c r="I39" s="47" t="str">
        <f>IF($G39="","",ADRYr1!I39*ADRYr1!P39*G39)</f>
        <v/>
      </c>
      <c r="J39" s="47" t="str">
        <f>IF($G39="","",ADRYr1!J39*G39)</f>
        <v/>
      </c>
      <c r="K39" s="47" t="str">
        <f t="shared" si="18"/>
        <v/>
      </c>
      <c r="L39" s="27" t="str">
        <f>IF($G39="","",ADRYr1!V39*G39/1000)</f>
        <v/>
      </c>
      <c r="M39" s="27" t="str">
        <f>IF($G39="","",L39*ADRYr1!$Q39*ADRYr1!$R39)</f>
        <v/>
      </c>
      <c r="N39" s="27" t="str">
        <f t="shared" si="19"/>
        <v/>
      </c>
      <c r="O39" s="27" t="str">
        <f t="shared" si="20"/>
        <v/>
      </c>
      <c r="P39" s="27" t="str">
        <f>IF($G39="","",M39*ADRYr1!P39)</f>
        <v/>
      </c>
      <c r="Q39" s="27" t="str">
        <f t="shared" si="21"/>
        <v/>
      </c>
      <c r="R39" s="27" t="str">
        <f>IF($G39="","",$Q39*ADRYr1!Z39)</f>
        <v/>
      </c>
      <c r="S39" s="27" t="str">
        <f>IF($G39="","",$Q39*ADRYr1!AA39)</f>
        <v/>
      </c>
      <c r="T39" s="27" t="str">
        <f>IF($G39="","",$Q39*ADRYr1!AB39)</f>
        <v/>
      </c>
      <c r="U39" s="27" t="str">
        <f>IF($G39="","",$Q39*ADRYr1!AC39)</f>
        <v/>
      </c>
      <c r="V39" s="27" t="str">
        <f>IF($G39="","",G39*ADRYr1!$AD39*ADRYr1!$P39*ADRYr1!$Q39)</f>
        <v/>
      </c>
      <c r="W39" s="27" t="str">
        <f>IF($G39="","",$G39*ADRYr1!$AD39*ADRYr1!$AF39*ADRYr1!Q39*ADRYr1!$S39)</f>
        <v/>
      </c>
      <c r="X39" s="27" t="str">
        <f>IF($G39="","",$G39*ADRYr1!$AD39*ADRYr1!$AF39*ADRYr1!P39*ADRYr1!Q39*ADRYr1!$S39)</f>
        <v/>
      </c>
      <c r="Y39" s="27" t="str">
        <f>IF($G39="","",$G39*ADRYr1!$AD39*ADRYr1!$AE39*ADRYr1!Q39*ADRYr1!$T39)</f>
        <v/>
      </c>
      <c r="Z39" s="27" t="str">
        <f>IF($G39="","",$G39*ADRYr1!$AD39*ADRYr1!$AE39*ADRYr1!P39*ADRYr1!Q39*ADRYr1!$T39)</f>
        <v/>
      </c>
      <c r="AA39" s="45" t="str">
        <f>IF($G39="","",$G39*ADRYr1!$Q39*ADRYr1!$U39*(IF(IFERROR(SEARCH("NG", ADRYr1!$AI39),0),ADRYr1!$AJ39,0)+IF(IFERROR(SEARCH("NG", ADRYr1!$AK39),0),ADRYr1!$AL39,0)+IF(IFERROR(SEARCH("NG", ADRYr1!$AM39),0),ADRYr1!$AN39,0)))</f>
        <v/>
      </c>
      <c r="AB39" s="45" t="str">
        <f t="shared" si="22"/>
        <v/>
      </c>
      <c r="AC39" s="45">
        <f>IF($G39="",0,AA39*ADRYr1!$P39)</f>
        <v>0</v>
      </c>
      <c r="AD39" s="45" t="str">
        <f t="shared" si="23"/>
        <v/>
      </c>
      <c r="AE39" s="45" t="str">
        <f>IF($G39="","",$G39*ADRYr1!$Q39*ADRYr1!$U39*(IF(IFERROR(SEARCH("Oil", ADRYr1!$AI39), 0),ADRYr1!$AJ39,0)+IF(IFERROR(SEARCH("Oil", ADRYr1!$AK39), 0),ADRYr1!$AL39,0)+IF(IFERROR(SEARCH("Oil", ADRYr1!$AM39), 0),ADRYr1!$AN39,0)))</f>
        <v/>
      </c>
      <c r="AF39" s="45" t="str">
        <f t="shared" si="24"/>
        <v/>
      </c>
      <c r="AG39" s="45">
        <f>IF($G39="",0,AE39*ADRYr1!$P39)</f>
        <v>0</v>
      </c>
      <c r="AH39" s="45" t="str">
        <f t="shared" si="25"/>
        <v/>
      </c>
      <c r="AI39" s="45" t="str">
        <f>IF($G39="","",$G39*ADRYr1!$Q39*ADRYr1!$U39*(IF(ADRYr1!$AI39=Lookups!$E$116,ADRYr1!$AJ39,IF(ADRYr1!$AK39=Lookups!$E$116,ADRYr1!$AL39,IF(ADRYr1!$AM39=Lookups!$E$116,ADRYr1!$AN39,0)))))</f>
        <v/>
      </c>
      <c r="AJ39" s="45" t="str">
        <f t="shared" si="26"/>
        <v/>
      </c>
      <c r="AK39" s="45">
        <f>IF($G39="",0,AI39*ADRYr1!$P39)</f>
        <v>0</v>
      </c>
      <c r="AL39" s="45" t="str">
        <f t="shared" si="27"/>
        <v/>
      </c>
      <c r="AM39" s="45" t="str">
        <f>IF($G39="","",$G39*ADRYr1!$Q39*ADRYr1!$U39*(IF(ADRYr1!$AI39=Lookups!$E$115,ADRYr1!$AJ39,IF(ADRYr1!$AK39=Lookups!$E$115,ADRYr1!$AL39,IF(ADRYr1!$AM39=Lookups!$E$115,ADRYr1!$AN39,0)))))</f>
        <v/>
      </c>
      <c r="AN39" s="45" t="str">
        <f t="shared" si="28"/>
        <v/>
      </c>
      <c r="AO39" s="45">
        <f>IF($G39="",0,AM39*ADRYr1!$P39)</f>
        <v>0</v>
      </c>
      <c r="AP39" s="45" t="str">
        <f t="shared" si="29"/>
        <v/>
      </c>
      <c r="AQ39" s="45" t="str">
        <f>IF($G39="","",$G39*ADRYr1!$Q39*ADRYr1!$U39*(IF(ADRYr1!$AI39=Lookups!$E$117,ADRYr1!$AJ39,IF(ADRYr1!$AK39=Lookups!$E$117,ADRYr1!$AL39,IF(ADRYr1!$AM39=Lookups!$E$117,ADRYr1!$AN39,0)))))</f>
        <v/>
      </c>
      <c r="AR39" s="45" t="str">
        <f t="shared" si="30"/>
        <v/>
      </c>
      <c r="AS39" s="45" t="str">
        <f>IF($G39="","",AQ39*ADRYr1!$P39)</f>
        <v/>
      </c>
      <c r="AT39" s="45" t="str">
        <f t="shared" si="31"/>
        <v/>
      </c>
      <c r="AU39" s="45" t="str">
        <f>IF($G39="","",$G39*ADRYr1!$Q39*ADRYr1!$U39*(IF(ADRYr1!$AI39=Lookups!$E$118,ADRYr1!$AJ39,IF(ADRYr1!$AK39=Lookups!$E$118,ADRYr1!$AL39,IF(ADRYr1!$AM39=Lookups!$E$118,ADRYr1!$AN39,0)))))</f>
        <v/>
      </c>
      <c r="AV39" s="45" t="str">
        <f t="shared" si="32"/>
        <v/>
      </c>
      <c r="AW39" s="45" t="str">
        <f>IF($G39="","",AU39*ADRYr1!$P39)</f>
        <v/>
      </c>
      <c r="AX39" s="45" t="str">
        <f t="shared" si="33"/>
        <v/>
      </c>
      <c r="AY39" s="45">
        <f t="shared" si="49"/>
        <v>0</v>
      </c>
      <c r="AZ39" s="45">
        <f t="shared" si="49"/>
        <v>0</v>
      </c>
      <c r="BA39" s="101" t="str">
        <f>IF($G39="","",$G39*ADRYr1!$P39*ADRYr1!$Q39*ADRYr1!$U39*ADRYr1!AO39)</f>
        <v/>
      </c>
      <c r="BB39" s="102" t="str">
        <f>IF($G39="","",$G39*ADRYr1!$P39*ADRYr1!$Q39*ADRYr1!$U39*ADRYr1!AP39)</f>
        <v/>
      </c>
      <c r="BC39" s="100" t="str">
        <f t="shared" si="35"/>
        <v/>
      </c>
      <c r="BD39" s="961"/>
      <c r="BE39" s="961"/>
      <c r="BF39" s="961"/>
      <c r="BG39" s="961"/>
      <c r="BH39" s="962" t="str">
        <f t="shared" si="3"/>
        <v/>
      </c>
      <c r="BI39" s="961"/>
      <c r="BJ39" s="961"/>
      <c r="BK39" s="961"/>
      <c r="BL39" s="961"/>
      <c r="BM39" s="30" t="str">
        <f t="shared" si="4"/>
        <v/>
      </c>
      <c r="BN39" s="963" t="str">
        <f t="shared" si="5"/>
        <v/>
      </c>
      <c r="BO39" s="31" t="str">
        <f t="shared" si="36"/>
        <v/>
      </c>
      <c r="BP39" s="964" t="str">
        <f t="shared" si="6"/>
        <v/>
      </c>
      <c r="BQ39" s="28" t="str">
        <f t="shared" si="7"/>
        <v/>
      </c>
      <c r="BR39" s="964" t="str">
        <f t="shared" si="8"/>
        <v/>
      </c>
      <c r="BS39" s="964" t="str">
        <f t="shared" si="9"/>
        <v/>
      </c>
      <c r="BT39" s="28" t="str">
        <f t="shared" si="50"/>
        <v/>
      </c>
      <c r="BU39" s="28" t="str">
        <f t="shared" si="50"/>
        <v/>
      </c>
      <c r="BV39" s="28" t="str">
        <f t="shared" si="50"/>
        <v/>
      </c>
      <c r="BW39" s="29" t="str">
        <f t="shared" si="37"/>
        <v/>
      </c>
      <c r="BX39" s="29" t="str">
        <f t="shared" si="38"/>
        <v/>
      </c>
      <c r="BY39" s="28" t="str">
        <f>IF($G39="","",$G39*(IF(ADRYr1!$AI39=BY$4,ADRYr1!$AJ39,IF(ADRYr1!$AK39=BY$4,ADRYr1!$AL39,IF(ADRYr1!$AM39=BY$4,ADRYr1!$AN39,0))))*(INDEX(avoidedcosttbl,$H39,BY$2)+(($H39-ROUNDDOWN($H39,0))*(INDEX(avoidedcosttbl,ROUNDUP($H39,0),BY$2)-(INDEX(avoidedcosttbl,ROUNDDOWN($H39,0),BY$2)))))*ADRYr1!P39*ADRYr1!Q39*ADRYr1!U39)</f>
        <v/>
      </c>
      <c r="BZ39" s="28" t="str">
        <f>IF($G39="","",$G39*(IF(ADRYr1!$AI39=BZ$4,ADRYr1!$AJ39,IF(ADRYr1!$AK39=BZ$4,ADRYr1!$AL39,IF(ADRYr1!$AM39=BZ$4,ADRYr1!$AN39,0))))*(INDEX(avoidedcosttbl,$H39,BZ$2)+(($H39-ROUNDDOWN($H39,0))*(INDEX(avoidedcosttbl,ROUNDUP($H39,0),BZ$2)-(INDEX(avoidedcosttbl,ROUNDDOWN($H39,0),BZ$2)))))*ADRYr1!P39*ADRYr1!Q39*ADRYr1!U39)</f>
        <v/>
      </c>
      <c r="CA39" s="28" t="str">
        <f>IF($G39="","",$G39*(IF(ADRYr1!$AI39=CA$4,ADRYr1!$AJ39,IF(ADRYr1!$AK39=CA$4,ADRYr1!$AL39,IF(ADRYr1!$AM39=CA$4,ADRYr1!$AN39,0))))*(INDEX(avoidedcosttbl,$H39,CA$2)+(($H39-ROUNDDOWN($H39,0))*(INDEX(avoidedcosttbl,ROUNDUP($H39,0),CA$2)-(INDEX(avoidedcosttbl,ROUNDDOWN($H39,0),CA$2)))))*ADRYr1!P39*ADRYr1!Q39*ADRYr1!U39)</f>
        <v/>
      </c>
      <c r="CB39" s="28" t="str">
        <f>IF($G39="","",$G39*(IF(ADRYr1!$AI39=CB$4,ADRYr1!$AJ39,IF(ADRYr1!$AK39=CB$4,ADRYr1!$AL39,IF(ADRYr1!$AM39=CB$4,ADRYr1!$AN39,0))))*(INDEX(avoidedcosttbl,$H39,CB$2)+(($H39-ROUNDDOWN($H39,0))*(INDEX(avoidedcosttbl,ROUNDUP($H39,0),CB$2)-(INDEX(avoidedcosttbl,ROUNDDOWN($H39,0),CB$2)))))*ADRYr1!P39*ADRYr1!Q39*ADRYr1!U39)</f>
        <v/>
      </c>
      <c r="CC39" s="28" t="str">
        <f>IF($G39="","",$G39*(IF(ADRYr1!$AI39=CC$4,ADRYr1!$AJ39,IF(ADRYr1!$AK39=CC$4,ADRYr1!$AL39,IF(ADRYr1!$AM39=CC$4,ADRYr1!$AN39,0))))*(INDEX(avoidedcosttbl,$H39,CC$2)+(($H39-ROUNDDOWN($H39,0))*(INDEX(avoidedcosttbl,ROUNDUP($H39,0),CC$2)-(INDEX(avoidedcosttbl,ROUNDDOWN($H39,0),CC$2)))))*ADRYr1!P39*ADRYr1!Q39*ADRYr1!U39)</f>
        <v/>
      </c>
      <c r="CD39" s="28" t="str">
        <f>IF($G39="","",$G39*(IF(ADRYr1!$AI39=CD$4,ADRYr1!$AJ39,IF(ADRYr1!$AK39=CD$4,ADRYr1!$AL39,IF(ADRYr1!$AM39=CD$4,ADRYr1!$AN39,0))))*(INDEX(avoidedcosttbl,$H39,CD$2)+(($H39-ROUNDDOWN($H39,0))*(INDEX(avoidedcosttbl,ROUNDUP($H39,0),CD$2)-(INDEX(avoidedcosttbl,ROUNDDOWN($H39,0),CD$2)))))*ADRYr1!P39*ADRYr1!Q39*ADRYr1!U39)</f>
        <v/>
      </c>
      <c r="CE39" s="28" t="str">
        <f>IF($G39="","",$G39*(IF(ADRYr1!$AI39=CE$4,ADRYr1!$AJ39,IF(ADRYr1!$AK39=CE$4,ADRYr1!$AL39,IF(ADRYr1!$AM39=CE$4,ADRYr1!$AN39,0))))*(INDEX(avoidedcosttbl,$H39,CE$2)+(($H39-ROUNDDOWN($H39,0))*(INDEX(avoidedcosttbl,ROUNDUP($H39,0),CE$2)-(INDEX(avoidedcosttbl,ROUNDDOWN($H39,0),CE$2)))))*ADRYr1!P39*ADRYr1!Q39*ADRYr1!U39)</f>
        <v/>
      </c>
      <c r="CF39" s="41" t="str">
        <f t="shared" si="39"/>
        <v/>
      </c>
      <c r="CG39" s="30" t="str">
        <f t="shared" si="11"/>
        <v/>
      </c>
      <c r="CH39" s="30" t="str">
        <f>IF($G39="","",$G39*(IF(ADRYr1!$AI39=BY$4,ADRYr1!$AJ39,IF(ADRYr1!$AK39=BY$4,ADRYr1!$AL39,IF(ADRYr1!$AM39=BY$4,ADRYr1!$AN39,0))))*(INDEX(avoidedcosttbl,$H39,CH$2)+(($H39-ROUNDDOWN($H39,0))*(INDEX(avoidedcosttbl,ROUNDUP($H39,0),CH$2)-(INDEX(avoidedcosttbl,ROUNDDOWN($H39,0),CH$2)))))*ADRYr1!P39*ADRYr1!Q39*ADRYr1!U39)</f>
        <v/>
      </c>
      <c r="CI39" s="30" t="str">
        <f>IF($G39="","",$G39*(IF(ADRYr1!$AI39=BZ$4,ADRYr1!$AJ39,IF(ADRYr1!$AK39=BZ$4,ADRYr1!$AL39,IF(ADRYr1!$AM39=BZ$4,ADRYr1!$AN39,0))))*(INDEX(avoidedcosttbl,$H39,CI$2)+(($H39-ROUNDDOWN($H39,0))*(INDEX(avoidedcosttbl,ROUNDUP($H39,0),CI$2)-(INDEX(avoidedcosttbl,ROUNDDOWN($H39,0),CI$2)))))*ADRYr1!P39*ADRYr1!Q39*ADRYr1!U39)</f>
        <v/>
      </c>
      <c r="CJ39" s="30" t="str">
        <f>IF($G39="","",$G39*(IF(ADRYr1!$AI39=CA$4,ADRYr1!$AJ39,IF(ADRYr1!$AK39=CA$4,ADRYr1!$AL39,IF(ADRYr1!$AM39=CA$4,ADRYr1!$AN39,0))))*(INDEX(avoidedcosttbl,$H39,CJ$2)+(($H39-ROUNDDOWN($H39,0))*(INDEX(avoidedcosttbl,ROUNDUP($H39,0),CJ$2)-(INDEX(avoidedcosttbl,ROUNDDOWN($H39,0),CJ$2)))))*ADRYr1!P39*ADRYr1!Q39*ADRYr1!U39)</f>
        <v/>
      </c>
      <c r="CK39" s="30" t="str">
        <f>IF($G39="","",$G39*(IF(ADRYr1!$AI39=CB$4,ADRYr1!$AJ39,IF(ADRYr1!$AK39=CB$4,ADRYr1!$AL39,IF(ADRYr1!$AM39=CB$4,ADRYr1!$AN39,0))))*(INDEX(avoidedcosttbl,$H39,CK$2)+(($H39-ROUNDDOWN($H39,0))*(INDEX(avoidedcosttbl,ROUNDUP($H39,0),CK$2)-(INDEX(avoidedcosttbl,ROUNDDOWN($H39,0),CK$2)))))*ADRYr1!P39*ADRYr1!Q39*ADRYr1!U39)</f>
        <v/>
      </c>
      <c r="CL39" s="30" t="str">
        <f>IF($G39="","",$G39*(IF(ADRYr1!$AI39=CC$4,ADRYr1!$AJ39,IF(ADRYr1!$AK39=CC$4,ADRYr1!$AL39,IF(ADRYr1!$AM39=CC$4,ADRYr1!$AN39,0))))*(INDEX(avoidedcosttbl,$H39,CL$2)+(($H39-ROUNDDOWN($H39,0))*(INDEX(avoidedcosttbl,ROUNDUP($H39,0),CL$2)-(INDEX(avoidedcosttbl,ROUNDDOWN($H39,0),CL$2)))))*ADRYr1!P39*ADRYr1!Q39*ADRYr1!U39)</f>
        <v/>
      </c>
      <c r="CM39" s="30" t="str">
        <f>IF($G39="","",$G39*(IF(ADRYr1!$AI39=CD$4,ADRYr1!$AJ39,IF(ADRYr1!$AK39=CD$4,ADRYr1!$AL39,IF(ADRYr1!$AM39=CD$4,ADRYr1!$AN39,0))))*(INDEX(avoidedcosttbl,$H39,CM$2)+(($H39-ROUNDDOWN($H39,0))*(INDEX(avoidedcosttbl,ROUNDUP($H39,0),CM$2)-(INDEX(avoidedcosttbl,ROUNDDOWN($H39,0),CM$2)))))*ADRYr1!P39*ADRYr1!Q39*ADRYr1!U39)</f>
        <v/>
      </c>
      <c r="CN39" s="30" t="str">
        <f>IF($G39="","",$G39*(IF(ADRYr1!$AI39=CE$4,ADRYr1!$AJ39,IF(ADRYr1!$AK39=CE$4,ADRYr1!$AL39,IF(ADRYr1!$AM39=CE$4,ADRYr1!$AN39,0))))*(INDEX(avoidedcosttbl,$H39,CN$2)+(($H39-ROUNDDOWN($H39,0))*(INDEX(avoidedcosttbl,ROUNDUP($H39,0),CN$2)-(INDEX(avoidedcosttbl,ROUNDDOWN($H39,0),CN$2)))))*ADRYr1!P39*ADRYr1!Q39*ADRYr1!U39)</f>
        <v/>
      </c>
      <c r="CO39" s="220" t="str">
        <f t="shared" si="40"/>
        <v/>
      </c>
      <c r="CP39" s="220" t="str">
        <f t="shared" si="41"/>
        <v/>
      </c>
      <c r="CQ39" s="157" t="str">
        <f>IF($G39="","",$G39*(IF(ADRYr1!$AI39=CQ$4,ADRYr1!$AJ39,IF(ADRYr1!$AK39=CQ$4,ADRYr1!$AL39,IF(ADRYr1!$AM39=CQ$4,ADRYr1!$AN39,0))))*(INDEX(avoidedcosttbl,$H39,CQ$2)+(($H39-ROUNDDOWN($H39,0))*(INDEX(avoidedcosttbl,ROUNDUP($H39,0),CQ$2)-(INDEX(avoidedcosttbl,ROUNDDOWN($H39,0),CQ$2)))))*ADRYr1!$P39*ADRYr1!$Q39*ADRYr1!$U39)</f>
        <v/>
      </c>
      <c r="CR39" s="28" t="str">
        <f>IF($G39="","",G39*(IF(ADRYr1!$AI39=CR$4,ADRYr1!$AJ39,IF(ADRYr1!$AK39=CR$4,ADRYr1!$AL39,IF(ADRYr1!$AM39=CR$4,ADRYr1!$AN39,0))))*(INDEX(avoidedcosttbl,$H39,CR$2)+(($H39-ROUNDDOWN($H39,0))*(INDEX(avoidedcosttbl,ROUNDUP($H39,0),CR$2)-(INDEX(avoidedcosttbl,ROUNDDOWN($H39,0),CR$2)))))*ADRYr1!$P39*ADRYr1!$Q39*ADRYr1!$U39)</f>
        <v/>
      </c>
      <c r="CS39" s="28" t="str">
        <f>IF($G39="","",G39*(IF(ADRYr1!$AI39=CS$4,ADRYr1!$AJ39,IF(ADRYr1!$AK39=CS$4,ADRYr1!$AL39,IF(ADRYr1!$AM39=CS$4,ADRYr1!$AN39,0))))*(INDEX(avoidedcosttbl,$H39,CS$2)+(($H39-ROUNDDOWN($H39,0))*(INDEX(avoidedcosttbl,ROUNDUP($H39,0),CS$2)-(INDEX(avoidedcosttbl,ROUNDDOWN($H39,0),CS$2)))))*ADRYr1!$P39*ADRYr1!$Q39*ADRYr1!$U39)</f>
        <v/>
      </c>
      <c r="CT39" s="28" t="str">
        <f t="shared" si="12"/>
        <v/>
      </c>
      <c r="CU39" s="28" t="str">
        <f>IF($G39="","",G39*(IF(ADRYr1!$AI39=CU$4,ADRYr1!$AJ39,IF(ADRYr1!$AK39=CU$4,ADRYr1!$AL39,IF(ADRYr1!$AM39=CU$4,ADRYr1!$AN39,0))))*(INDEX(avoidedcosttbl,$H39,CU$2)+(($H39-ROUNDDOWN($H39,0))*(INDEX(avoidedcosttbl,ROUNDUP($H39,0),CU$2)-(INDEX(avoidedcosttbl,ROUNDDOWN($H39,0),CU$2)))))*ADRYr1!$P39*ADRYr1!$Q39*ADRYr1!$U39)</f>
        <v/>
      </c>
      <c r="CV39" s="28" t="str">
        <f>IF($G39="","",G39*(IF(ADRYr1!$AI39=CV$4,ADRYr1!$AJ39,IF(ADRYr1!$AK39=CV$4,ADRYr1!$AL39,IF(ADRYr1!$AM39=CV$4,ADRYr1!$AN39,0))))*(INDEX(avoidedcosttbl,$H39,CV$2)+(($H39-ROUNDDOWN($H39,0))*(INDEX(avoidedcosttbl,ROUNDUP($H39,0),CV$2)-(INDEX(avoidedcosttbl,ROUNDDOWN($H39,0),CV$2)))))*ADRYr1!$P39*ADRYr1!$Q39*ADRYr1!$U39)</f>
        <v/>
      </c>
      <c r="CW39" s="28" t="str">
        <f>IF($G39="","",G39*(IF(ADRYr1!$AI39=CW$4,ADRYr1!$AJ39,IF(ADRYr1!$AK39=CW$4,ADRYr1!$AL39,IF(ADRYr1!$AM39=CW$4,ADRYr1!$AN39,0))))*(INDEX(avoidedcosttbl,$H39,CW$2)+(($H39-ROUNDDOWN($H39,0))*(INDEX(avoidedcosttbl,ROUNDUP($H39,0),CW$2)-(INDEX(avoidedcosttbl,ROUNDDOWN($H39,0),CW$2)))))*ADRYr1!$P39*ADRYr1!$Q39*ADRYr1!$U39)</f>
        <v/>
      </c>
      <c r="CX39" s="28" t="str">
        <f>IF($G39="","",G39*(IF(ADRYr1!$AI39=CX$4,ADRYr1!$AJ39,IF(ADRYr1!$AK39=CX$4,ADRYr1!$AL39,IF(ADRYr1!$AM39=CX$4,ADRYr1!$AN39,0))))*(INDEX(avoidedcosttbl,$H39,CX$2)+(($H39-ROUNDDOWN($H39,0))*(INDEX(avoidedcosttbl,ROUNDUP($H39,0),CX$2)-(INDEX(avoidedcosttbl,ROUNDDOWN($H39,0),CX$2)))))*ADRYr1!$P39*ADRYr1!$Q39*ADRYr1!$U39)</f>
        <v/>
      </c>
      <c r="CY39" s="28" t="str">
        <f t="shared" si="13"/>
        <v/>
      </c>
      <c r="CZ39" s="32" t="str">
        <f t="shared" si="14"/>
        <v/>
      </c>
      <c r="DA39" s="84" t="str">
        <f t="shared" si="42"/>
        <v/>
      </c>
      <c r="DB39" s="81" t="str">
        <f>IF(NEIadder="Yes",IF($G39="","",INDEX(Lookups!$G$70:$G$71,MATCH($A39,Lookups!$E$70:$E$71,0))*(SUM(CP39:CX39,BX39))),"")</f>
        <v/>
      </c>
      <c r="DC39" s="263" t="str">
        <f t="shared" si="15"/>
        <v/>
      </c>
      <c r="DD39" s="166" t="str">
        <f t="shared" si="16"/>
        <v/>
      </c>
      <c r="DE39" s="82">
        <f t="shared" si="43"/>
        <v>0</v>
      </c>
      <c r="DF39" s="615" t="str">
        <f>IF($G39="","",(1+WntPeakEnergyLL)*(INDEX(avoidedcosttbl,$H39,DF$2)+(($H39-ROUNDDOWN($H39,0))*(INDEX(avoidedcosttbl,ROUNDUP($H39,0),DF$2)-(INDEX(avoidedcosttbl,ROUNDDOWN($H39,0),DF$2)))))*$P39*1000*ADRYr1!Z39)</f>
        <v/>
      </c>
      <c r="DG39" s="615" t="str">
        <f>IF($G39="","",(1+WntOffPeakEnergyLL)*(INDEX(avoidedcosttbl,$H39,DG$2)+(($H39-ROUNDDOWN($H39,0))*(INDEX(avoidedcosttbl,ROUNDUP($H39,0),DG$2)-(INDEX(avoidedcosttbl,ROUNDDOWN($H39,0),DG$2)))))*$P39*1000*ADRYr1!AA39)</f>
        <v/>
      </c>
      <c r="DH39" s="615" t="str">
        <f>IF($G39="","",(1+SumPeakEnergyLL)*(INDEX(avoidedcosttbl,$H39,DH$2)+(($H39-ROUNDDOWN($H39,0))*(INDEX(avoidedcosttbl,ROUNDUP($H39,0),DH$2)-(INDEX(avoidedcosttbl,ROUNDDOWN($H39,0),DH$2)))))*$P39*1000*ADRYr1!AB39)</f>
        <v/>
      </c>
      <c r="DI39" s="615" t="str">
        <f>IF($G39="","",(1+SumOffPeakEnergyLL)*(INDEX(avoidedcosttbl,$H39,DI$2)+(($H39-ROUNDDOWN($H39,0))*(INDEX(avoidedcosttbl,ROUNDUP($H39,0),DI$2)-(INDEX(avoidedcosttbl,ROUNDDOWN($H39,0),DI$2)))))*$P39*1000*ADRYr1!AC39)</f>
        <v/>
      </c>
      <c r="DJ39" s="29" t="str">
        <f t="shared" si="44"/>
        <v/>
      </c>
      <c r="DK39" s="161" t="str">
        <f t="shared" si="45"/>
        <v/>
      </c>
      <c r="DL39" s="1189" t="str">
        <f t="shared" si="46"/>
        <v/>
      </c>
      <c r="DM39" s="1189" t="str">
        <f t="shared" si="47"/>
        <v/>
      </c>
      <c r="DN39" s="43" t="str">
        <f t="shared" si="48"/>
        <v/>
      </c>
      <c r="DO39" s="966" t="str">
        <f>IF($G39="","",ADRYr1!AQ39)</f>
        <v/>
      </c>
      <c r="DP39" s="968" t="str">
        <f>IF($G39="","",ADRYr1!AR39)</f>
        <v/>
      </c>
      <c r="DQ39" s="970" t="str">
        <f>IF($G39="","",IF($DP39="Yes",COLUMN(AESC!$L$10),IF($DP39="No","Using AvoidedDemand tab",IF($DP39="Mixed",COLUMN(AESC!$N$10)))))</f>
        <v/>
      </c>
      <c r="DR39" s="970" t="str">
        <f>IF($G39="","",IF($DP39="Yes",COLUMN(AESC!$P$10),IF($DP39="No","Using AvoidedDemand tab",IF($DP39="Mixed",COLUMN(AESC!$R$10)))))</f>
        <v/>
      </c>
      <c r="DS39" s="970" t="str">
        <f>IF($G39="","",IF($DP39="Yes",COLUMN(AESC!$S$10),IF($DP39="No",COLUMN(AESC!$T$10),IF($DP39="Mixed",COLUMN(AESC!$U$10)))))</f>
        <v/>
      </c>
      <c r="DT39" s="970" t="str">
        <f t="shared" si="17"/>
        <v/>
      </c>
      <c r="DU39" s="970" t="str">
        <f>IF($G39="","",ADRYr1!AS39)</f>
        <v/>
      </c>
      <c r="DV39" s="971" t="str">
        <f>IF($G39="","",ADRYr1!AT39)</f>
        <v/>
      </c>
      <c r="DW39" s="1162" t="str">
        <f>IF($G39="","",INDEX(AvoidedEnergy!$H$4:$H$10,MATCH($DO39,AvoidedEnergy!$A$4:$A$10,0)))</f>
        <v/>
      </c>
    </row>
    <row r="40" spans="1:127">
      <c r="A40" s="160" t="str">
        <f>IF(ADRYr1!$B40=0,"",ADRYr1!A40)</f>
        <v>C - Commercial &amp; Industrial</v>
      </c>
      <c r="B40" s="9" t="str">
        <f>IF(ADRYr1!$B40=0,"",ADRYr1!B40)</f>
        <v>C5 - C&amp;I Active Demand Response</v>
      </c>
      <c r="C40" s="9" t="str">
        <f>IF(ADRYr1!$B40=0,"",ADRYr1!C40)</f>
        <v>C5a - C&amp;I Active Demand Response</v>
      </c>
      <c r="D40" s="9" t="str">
        <f>IF(ADRYr1!$B40=0,"",ADRYr1!D40)</f>
        <v>Storage Targeted Dispatch P4P (consumption) Winter</v>
      </c>
      <c r="E40" s="9">
        <f>IF(ADRYr1!$B40=0,"",ADRYr1!E40)</f>
        <v>0</v>
      </c>
      <c r="F40" s="11" t="str">
        <f>IF(ADRYr1!$B40=0,"",ADRYr1!F40)</f>
        <v>Behavior</v>
      </c>
      <c r="G40" s="12" t="str">
        <f>IF(ADRYr1!$G40&lt;&gt;0,ADRYr1!G40,"")</f>
        <v/>
      </c>
      <c r="H40" s="960" t="str">
        <f>IF($G40="","",ROUND(ADRYr1!H40,0))</f>
        <v/>
      </c>
      <c r="I40" s="47" t="str">
        <f>IF($G40="","",ADRYr1!I40*ADRYr1!P40*G40)</f>
        <v/>
      </c>
      <c r="J40" s="47" t="str">
        <f>IF($G40="","",ADRYr1!J40*G40)</f>
        <v/>
      </c>
      <c r="K40" s="47" t="str">
        <f t="shared" si="18"/>
        <v/>
      </c>
      <c r="L40" s="27" t="str">
        <f>IF($G40="","",ADRYr1!V40*G40/1000)</f>
        <v/>
      </c>
      <c r="M40" s="27" t="str">
        <f>IF($G40="","",L40*ADRYr1!$Q40*ADRYr1!$R40)</f>
        <v/>
      </c>
      <c r="N40" s="27" t="str">
        <f t="shared" si="19"/>
        <v/>
      </c>
      <c r="O40" s="27" t="str">
        <f t="shared" si="20"/>
        <v/>
      </c>
      <c r="P40" s="27" t="str">
        <f>IF($G40="","",M40*ADRYr1!P40)</f>
        <v/>
      </c>
      <c r="Q40" s="27" t="str">
        <f t="shared" si="21"/>
        <v/>
      </c>
      <c r="R40" s="27" t="str">
        <f>IF($G40="","",$Q40*ADRYr1!Z40)</f>
        <v/>
      </c>
      <c r="S40" s="27" t="str">
        <f>IF($G40="","",$Q40*ADRYr1!AA40)</f>
        <v/>
      </c>
      <c r="T40" s="27" t="str">
        <f>IF($G40="","",$Q40*ADRYr1!AB40)</f>
        <v/>
      </c>
      <c r="U40" s="27" t="str">
        <f>IF($G40="","",$Q40*ADRYr1!AC40)</f>
        <v/>
      </c>
      <c r="V40" s="27" t="str">
        <f>IF($G40="","",G40*ADRYr1!$AD40*ADRYr1!$P40*ADRYr1!$Q40)</f>
        <v/>
      </c>
      <c r="W40" s="27" t="str">
        <f>IF($G40="","",$G40*ADRYr1!$AD40*ADRYr1!$AF40*ADRYr1!Q40*ADRYr1!$S40)</f>
        <v/>
      </c>
      <c r="X40" s="27" t="str">
        <f>IF($G40="","",$G40*ADRYr1!$AD40*ADRYr1!$AF40*ADRYr1!P40*ADRYr1!Q40*ADRYr1!$S40)</f>
        <v/>
      </c>
      <c r="Y40" s="27" t="str">
        <f>IF($G40="","",$G40*ADRYr1!$AD40*ADRYr1!$AE40*ADRYr1!Q40*ADRYr1!$T40)</f>
        <v/>
      </c>
      <c r="Z40" s="27" t="str">
        <f>IF($G40="","",$G40*ADRYr1!$AD40*ADRYr1!$AE40*ADRYr1!P40*ADRYr1!Q40*ADRYr1!$T40)</f>
        <v/>
      </c>
      <c r="AA40" s="45" t="str">
        <f>IF($G40="","",$G40*ADRYr1!$Q40*ADRYr1!$U40*(IF(IFERROR(SEARCH("NG", ADRYr1!$AI40),0),ADRYr1!$AJ40,0)+IF(IFERROR(SEARCH("NG", ADRYr1!$AK40),0),ADRYr1!$AL40,0)+IF(IFERROR(SEARCH("NG", ADRYr1!$AM40),0),ADRYr1!$AN40,0)))</f>
        <v/>
      </c>
      <c r="AB40" s="45" t="str">
        <f t="shared" si="22"/>
        <v/>
      </c>
      <c r="AC40" s="45">
        <f>IF($G40="",0,AA40*ADRYr1!$P40)</f>
        <v>0</v>
      </c>
      <c r="AD40" s="45" t="str">
        <f t="shared" si="23"/>
        <v/>
      </c>
      <c r="AE40" s="45" t="str">
        <f>IF($G40="","",$G40*ADRYr1!$Q40*ADRYr1!$U40*(IF(IFERROR(SEARCH("Oil", ADRYr1!$AI40), 0),ADRYr1!$AJ40,0)+IF(IFERROR(SEARCH("Oil", ADRYr1!$AK40), 0),ADRYr1!$AL40,0)+IF(IFERROR(SEARCH("Oil", ADRYr1!$AM40), 0),ADRYr1!$AN40,0)))</f>
        <v/>
      </c>
      <c r="AF40" s="45" t="str">
        <f t="shared" si="24"/>
        <v/>
      </c>
      <c r="AG40" s="45">
        <f>IF($G40="",0,AE40*ADRYr1!$P40)</f>
        <v>0</v>
      </c>
      <c r="AH40" s="45" t="str">
        <f t="shared" si="25"/>
        <v/>
      </c>
      <c r="AI40" s="45" t="str">
        <f>IF($G40="","",$G40*ADRYr1!$Q40*ADRYr1!$U40*(IF(ADRYr1!$AI40=Lookups!$E$116,ADRYr1!$AJ40,IF(ADRYr1!$AK40=Lookups!$E$116,ADRYr1!$AL40,IF(ADRYr1!$AM40=Lookups!$E$116,ADRYr1!$AN40,0)))))</f>
        <v/>
      </c>
      <c r="AJ40" s="45" t="str">
        <f t="shared" si="26"/>
        <v/>
      </c>
      <c r="AK40" s="45">
        <f>IF($G40="",0,AI40*ADRYr1!$P40)</f>
        <v>0</v>
      </c>
      <c r="AL40" s="45" t="str">
        <f t="shared" si="27"/>
        <v/>
      </c>
      <c r="AM40" s="45" t="str">
        <f>IF($G40="","",$G40*ADRYr1!$Q40*ADRYr1!$U40*(IF(ADRYr1!$AI40=Lookups!$E$115,ADRYr1!$AJ40,IF(ADRYr1!$AK40=Lookups!$E$115,ADRYr1!$AL40,IF(ADRYr1!$AM40=Lookups!$E$115,ADRYr1!$AN40,0)))))</f>
        <v/>
      </c>
      <c r="AN40" s="45" t="str">
        <f t="shared" si="28"/>
        <v/>
      </c>
      <c r="AO40" s="45">
        <f>IF($G40="",0,AM40*ADRYr1!$P40)</f>
        <v>0</v>
      </c>
      <c r="AP40" s="45" t="str">
        <f t="shared" si="29"/>
        <v/>
      </c>
      <c r="AQ40" s="45" t="str">
        <f>IF($G40="","",$G40*ADRYr1!$Q40*ADRYr1!$U40*(IF(ADRYr1!$AI40=Lookups!$E$117,ADRYr1!$AJ40,IF(ADRYr1!$AK40=Lookups!$E$117,ADRYr1!$AL40,IF(ADRYr1!$AM40=Lookups!$E$117,ADRYr1!$AN40,0)))))</f>
        <v/>
      </c>
      <c r="AR40" s="45" t="str">
        <f t="shared" si="30"/>
        <v/>
      </c>
      <c r="AS40" s="45" t="str">
        <f>IF($G40="","",AQ40*ADRYr1!$P40)</f>
        <v/>
      </c>
      <c r="AT40" s="45" t="str">
        <f t="shared" si="31"/>
        <v/>
      </c>
      <c r="AU40" s="45" t="str">
        <f>IF($G40="","",$G40*ADRYr1!$Q40*ADRYr1!$U40*(IF(ADRYr1!$AI40=Lookups!$E$118,ADRYr1!$AJ40,IF(ADRYr1!$AK40=Lookups!$E$118,ADRYr1!$AL40,IF(ADRYr1!$AM40=Lookups!$E$118,ADRYr1!$AN40,0)))))</f>
        <v/>
      </c>
      <c r="AV40" s="45" t="str">
        <f t="shared" si="32"/>
        <v/>
      </c>
      <c r="AW40" s="45" t="str">
        <f>IF($G40="","",AU40*ADRYr1!$P40)</f>
        <v/>
      </c>
      <c r="AX40" s="45" t="str">
        <f t="shared" si="33"/>
        <v/>
      </c>
      <c r="AY40" s="45">
        <f t="shared" si="49"/>
        <v>0</v>
      </c>
      <c r="AZ40" s="45">
        <f t="shared" si="49"/>
        <v>0</v>
      </c>
      <c r="BA40" s="101" t="str">
        <f>IF($G40="","",$G40*ADRYr1!$P40*ADRYr1!$Q40*ADRYr1!$U40*ADRYr1!AO40)</f>
        <v/>
      </c>
      <c r="BB40" s="102" t="str">
        <f>IF($G40="","",$G40*ADRYr1!$P40*ADRYr1!$Q40*ADRYr1!$U40*ADRYr1!AP40)</f>
        <v/>
      </c>
      <c r="BC40" s="100" t="str">
        <f t="shared" si="35"/>
        <v/>
      </c>
      <c r="BD40" s="961"/>
      <c r="BE40" s="961"/>
      <c r="BF40" s="961"/>
      <c r="BG40" s="961"/>
      <c r="BH40" s="962" t="str">
        <f t="shared" si="3"/>
        <v/>
      </c>
      <c r="BI40" s="961"/>
      <c r="BJ40" s="961"/>
      <c r="BK40" s="961"/>
      <c r="BL40" s="961"/>
      <c r="BM40" s="30" t="str">
        <f t="shared" si="4"/>
        <v/>
      </c>
      <c r="BN40" s="963" t="str">
        <f t="shared" si="5"/>
        <v/>
      </c>
      <c r="BO40" s="31" t="str">
        <f t="shared" si="36"/>
        <v/>
      </c>
      <c r="BP40" s="964" t="str">
        <f t="shared" si="6"/>
        <v/>
      </c>
      <c r="BQ40" s="28" t="str">
        <f t="shared" si="7"/>
        <v/>
      </c>
      <c r="BR40" s="964" t="str">
        <f t="shared" si="8"/>
        <v/>
      </c>
      <c r="BS40" s="964" t="str">
        <f t="shared" si="9"/>
        <v/>
      </c>
      <c r="BT40" s="28" t="str">
        <f t="shared" si="50"/>
        <v/>
      </c>
      <c r="BU40" s="28" t="str">
        <f t="shared" si="50"/>
        <v/>
      </c>
      <c r="BV40" s="28" t="str">
        <f t="shared" si="50"/>
        <v/>
      </c>
      <c r="BW40" s="29" t="str">
        <f t="shared" si="37"/>
        <v/>
      </c>
      <c r="BX40" s="29" t="str">
        <f t="shared" si="38"/>
        <v/>
      </c>
      <c r="BY40" s="28" t="str">
        <f>IF($G40="","",$G40*(IF(ADRYr1!$AI40=BY$4,ADRYr1!$AJ40,IF(ADRYr1!$AK40=BY$4,ADRYr1!$AL40,IF(ADRYr1!$AM40=BY$4,ADRYr1!$AN40,0))))*(INDEX(avoidedcosttbl,$H40,BY$2)+(($H40-ROUNDDOWN($H40,0))*(INDEX(avoidedcosttbl,ROUNDUP($H40,0),BY$2)-(INDEX(avoidedcosttbl,ROUNDDOWN($H40,0),BY$2)))))*ADRYr1!P40*ADRYr1!Q40*ADRYr1!U40)</f>
        <v/>
      </c>
      <c r="BZ40" s="28" t="str">
        <f>IF($G40="","",$G40*(IF(ADRYr1!$AI40=BZ$4,ADRYr1!$AJ40,IF(ADRYr1!$AK40=BZ$4,ADRYr1!$AL40,IF(ADRYr1!$AM40=BZ$4,ADRYr1!$AN40,0))))*(INDEX(avoidedcosttbl,$H40,BZ$2)+(($H40-ROUNDDOWN($H40,0))*(INDEX(avoidedcosttbl,ROUNDUP($H40,0),BZ$2)-(INDEX(avoidedcosttbl,ROUNDDOWN($H40,0),BZ$2)))))*ADRYr1!P40*ADRYr1!Q40*ADRYr1!U40)</f>
        <v/>
      </c>
      <c r="CA40" s="28" t="str">
        <f>IF($G40="","",$G40*(IF(ADRYr1!$AI40=CA$4,ADRYr1!$AJ40,IF(ADRYr1!$AK40=CA$4,ADRYr1!$AL40,IF(ADRYr1!$AM40=CA$4,ADRYr1!$AN40,0))))*(INDEX(avoidedcosttbl,$H40,CA$2)+(($H40-ROUNDDOWN($H40,0))*(INDEX(avoidedcosttbl,ROUNDUP($H40,0),CA$2)-(INDEX(avoidedcosttbl,ROUNDDOWN($H40,0),CA$2)))))*ADRYr1!P40*ADRYr1!Q40*ADRYr1!U40)</f>
        <v/>
      </c>
      <c r="CB40" s="28" t="str">
        <f>IF($G40="","",$G40*(IF(ADRYr1!$AI40=CB$4,ADRYr1!$AJ40,IF(ADRYr1!$AK40=CB$4,ADRYr1!$AL40,IF(ADRYr1!$AM40=CB$4,ADRYr1!$AN40,0))))*(INDEX(avoidedcosttbl,$H40,CB$2)+(($H40-ROUNDDOWN($H40,0))*(INDEX(avoidedcosttbl,ROUNDUP($H40,0),CB$2)-(INDEX(avoidedcosttbl,ROUNDDOWN($H40,0),CB$2)))))*ADRYr1!P40*ADRYr1!Q40*ADRYr1!U40)</f>
        <v/>
      </c>
      <c r="CC40" s="28" t="str">
        <f>IF($G40="","",$G40*(IF(ADRYr1!$AI40=CC$4,ADRYr1!$AJ40,IF(ADRYr1!$AK40=CC$4,ADRYr1!$AL40,IF(ADRYr1!$AM40=CC$4,ADRYr1!$AN40,0))))*(INDEX(avoidedcosttbl,$H40,CC$2)+(($H40-ROUNDDOWN($H40,0))*(INDEX(avoidedcosttbl,ROUNDUP($H40,0),CC$2)-(INDEX(avoidedcosttbl,ROUNDDOWN($H40,0),CC$2)))))*ADRYr1!P40*ADRYr1!Q40*ADRYr1!U40)</f>
        <v/>
      </c>
      <c r="CD40" s="28" t="str">
        <f>IF($G40="","",$G40*(IF(ADRYr1!$AI40=CD$4,ADRYr1!$AJ40,IF(ADRYr1!$AK40=CD$4,ADRYr1!$AL40,IF(ADRYr1!$AM40=CD$4,ADRYr1!$AN40,0))))*(INDEX(avoidedcosttbl,$H40,CD$2)+(($H40-ROUNDDOWN($H40,0))*(INDEX(avoidedcosttbl,ROUNDUP($H40,0),CD$2)-(INDEX(avoidedcosttbl,ROUNDDOWN($H40,0),CD$2)))))*ADRYr1!P40*ADRYr1!Q40*ADRYr1!U40)</f>
        <v/>
      </c>
      <c r="CE40" s="28" t="str">
        <f>IF($G40="","",$G40*(IF(ADRYr1!$AI40=CE$4,ADRYr1!$AJ40,IF(ADRYr1!$AK40=CE$4,ADRYr1!$AL40,IF(ADRYr1!$AM40=CE$4,ADRYr1!$AN40,0))))*(INDEX(avoidedcosttbl,$H40,CE$2)+(($H40-ROUNDDOWN($H40,0))*(INDEX(avoidedcosttbl,ROUNDUP($H40,0),CE$2)-(INDEX(avoidedcosttbl,ROUNDDOWN($H40,0),CE$2)))))*ADRYr1!P40*ADRYr1!Q40*ADRYr1!U40)</f>
        <v/>
      </c>
      <c r="CF40" s="41" t="str">
        <f t="shared" si="39"/>
        <v/>
      </c>
      <c r="CG40" s="30" t="str">
        <f t="shared" si="11"/>
        <v/>
      </c>
      <c r="CH40" s="30" t="str">
        <f>IF($G40="","",$G40*(IF(ADRYr1!$AI40=BY$4,ADRYr1!$AJ40,IF(ADRYr1!$AK40=BY$4,ADRYr1!$AL40,IF(ADRYr1!$AM40=BY$4,ADRYr1!$AN40,0))))*(INDEX(avoidedcosttbl,$H40,CH$2)+(($H40-ROUNDDOWN($H40,0))*(INDEX(avoidedcosttbl,ROUNDUP($H40,0),CH$2)-(INDEX(avoidedcosttbl,ROUNDDOWN($H40,0),CH$2)))))*ADRYr1!P40*ADRYr1!Q40*ADRYr1!U40)</f>
        <v/>
      </c>
      <c r="CI40" s="30" t="str">
        <f>IF($G40="","",$G40*(IF(ADRYr1!$AI40=BZ$4,ADRYr1!$AJ40,IF(ADRYr1!$AK40=BZ$4,ADRYr1!$AL40,IF(ADRYr1!$AM40=BZ$4,ADRYr1!$AN40,0))))*(INDEX(avoidedcosttbl,$H40,CI$2)+(($H40-ROUNDDOWN($H40,0))*(INDEX(avoidedcosttbl,ROUNDUP($H40,0),CI$2)-(INDEX(avoidedcosttbl,ROUNDDOWN($H40,0),CI$2)))))*ADRYr1!P40*ADRYr1!Q40*ADRYr1!U40)</f>
        <v/>
      </c>
      <c r="CJ40" s="30" t="str">
        <f>IF($G40="","",$G40*(IF(ADRYr1!$AI40=CA$4,ADRYr1!$AJ40,IF(ADRYr1!$AK40=CA$4,ADRYr1!$AL40,IF(ADRYr1!$AM40=CA$4,ADRYr1!$AN40,0))))*(INDEX(avoidedcosttbl,$H40,CJ$2)+(($H40-ROUNDDOWN($H40,0))*(INDEX(avoidedcosttbl,ROUNDUP($H40,0),CJ$2)-(INDEX(avoidedcosttbl,ROUNDDOWN($H40,0),CJ$2)))))*ADRYr1!P40*ADRYr1!Q40*ADRYr1!U40)</f>
        <v/>
      </c>
      <c r="CK40" s="30" t="str">
        <f>IF($G40="","",$G40*(IF(ADRYr1!$AI40=CB$4,ADRYr1!$AJ40,IF(ADRYr1!$AK40=CB$4,ADRYr1!$AL40,IF(ADRYr1!$AM40=CB$4,ADRYr1!$AN40,0))))*(INDEX(avoidedcosttbl,$H40,CK$2)+(($H40-ROUNDDOWN($H40,0))*(INDEX(avoidedcosttbl,ROUNDUP($H40,0),CK$2)-(INDEX(avoidedcosttbl,ROUNDDOWN($H40,0),CK$2)))))*ADRYr1!P40*ADRYr1!Q40*ADRYr1!U40)</f>
        <v/>
      </c>
      <c r="CL40" s="30" t="str">
        <f>IF($G40="","",$G40*(IF(ADRYr1!$AI40=CC$4,ADRYr1!$AJ40,IF(ADRYr1!$AK40=CC$4,ADRYr1!$AL40,IF(ADRYr1!$AM40=CC$4,ADRYr1!$AN40,0))))*(INDEX(avoidedcosttbl,$H40,CL$2)+(($H40-ROUNDDOWN($H40,0))*(INDEX(avoidedcosttbl,ROUNDUP($H40,0),CL$2)-(INDEX(avoidedcosttbl,ROUNDDOWN($H40,0),CL$2)))))*ADRYr1!P40*ADRYr1!Q40*ADRYr1!U40)</f>
        <v/>
      </c>
      <c r="CM40" s="30" t="str">
        <f>IF($G40="","",$G40*(IF(ADRYr1!$AI40=CD$4,ADRYr1!$AJ40,IF(ADRYr1!$AK40=CD$4,ADRYr1!$AL40,IF(ADRYr1!$AM40=CD$4,ADRYr1!$AN40,0))))*(INDEX(avoidedcosttbl,$H40,CM$2)+(($H40-ROUNDDOWN($H40,0))*(INDEX(avoidedcosttbl,ROUNDUP($H40,0),CM$2)-(INDEX(avoidedcosttbl,ROUNDDOWN($H40,0),CM$2)))))*ADRYr1!P40*ADRYr1!Q40*ADRYr1!U40)</f>
        <v/>
      </c>
      <c r="CN40" s="30" t="str">
        <f>IF($G40="","",$G40*(IF(ADRYr1!$AI40=CE$4,ADRYr1!$AJ40,IF(ADRYr1!$AK40=CE$4,ADRYr1!$AL40,IF(ADRYr1!$AM40=CE$4,ADRYr1!$AN40,0))))*(INDEX(avoidedcosttbl,$H40,CN$2)+(($H40-ROUNDDOWN($H40,0))*(INDEX(avoidedcosttbl,ROUNDUP($H40,0),CN$2)-(INDEX(avoidedcosttbl,ROUNDDOWN($H40,0),CN$2)))))*ADRYr1!P40*ADRYr1!Q40*ADRYr1!U40)</f>
        <v/>
      </c>
      <c r="CO40" s="220" t="str">
        <f t="shared" si="40"/>
        <v/>
      </c>
      <c r="CP40" s="220" t="str">
        <f t="shared" si="41"/>
        <v/>
      </c>
      <c r="CQ40" s="157" t="str">
        <f>IF($G40="","",$G40*(IF(ADRYr1!$AI40=CQ$4,ADRYr1!$AJ40,IF(ADRYr1!$AK40=CQ$4,ADRYr1!$AL40,IF(ADRYr1!$AM40=CQ$4,ADRYr1!$AN40,0))))*(INDEX(avoidedcosttbl,$H40,CQ$2)+(($H40-ROUNDDOWN($H40,0))*(INDEX(avoidedcosttbl,ROUNDUP($H40,0),CQ$2)-(INDEX(avoidedcosttbl,ROUNDDOWN($H40,0),CQ$2)))))*ADRYr1!$P40*ADRYr1!$Q40*ADRYr1!$U40)</f>
        <v/>
      </c>
      <c r="CR40" s="28" t="str">
        <f>IF($G40="","",G40*(IF(ADRYr1!$AI40=CR$4,ADRYr1!$AJ40,IF(ADRYr1!$AK40=CR$4,ADRYr1!$AL40,IF(ADRYr1!$AM40=CR$4,ADRYr1!$AN40,0))))*(INDEX(avoidedcosttbl,$H40,CR$2)+(($H40-ROUNDDOWN($H40,0))*(INDEX(avoidedcosttbl,ROUNDUP($H40,0),CR$2)-(INDEX(avoidedcosttbl,ROUNDDOWN($H40,0),CR$2)))))*ADRYr1!$P40*ADRYr1!$Q40*ADRYr1!$U40)</f>
        <v/>
      </c>
      <c r="CS40" s="28" t="str">
        <f>IF($G40="","",G40*(IF(ADRYr1!$AI40=CS$4,ADRYr1!$AJ40,IF(ADRYr1!$AK40=CS$4,ADRYr1!$AL40,IF(ADRYr1!$AM40=CS$4,ADRYr1!$AN40,0))))*(INDEX(avoidedcosttbl,$H40,CS$2)+(($H40-ROUNDDOWN($H40,0))*(INDEX(avoidedcosttbl,ROUNDUP($H40,0),CS$2)-(INDEX(avoidedcosttbl,ROUNDDOWN($H40,0),CS$2)))))*ADRYr1!$P40*ADRYr1!$Q40*ADRYr1!$U40)</f>
        <v/>
      </c>
      <c r="CT40" s="28" t="str">
        <f t="shared" si="12"/>
        <v/>
      </c>
      <c r="CU40" s="28" t="str">
        <f>IF($G40="","",G40*(IF(ADRYr1!$AI40=CU$4,ADRYr1!$AJ40,IF(ADRYr1!$AK40=CU$4,ADRYr1!$AL40,IF(ADRYr1!$AM40=CU$4,ADRYr1!$AN40,0))))*(INDEX(avoidedcosttbl,$H40,CU$2)+(($H40-ROUNDDOWN($H40,0))*(INDEX(avoidedcosttbl,ROUNDUP($H40,0),CU$2)-(INDEX(avoidedcosttbl,ROUNDDOWN($H40,0),CU$2)))))*ADRYr1!$P40*ADRYr1!$Q40*ADRYr1!$U40)</f>
        <v/>
      </c>
      <c r="CV40" s="28" t="str">
        <f>IF($G40="","",G40*(IF(ADRYr1!$AI40=CV$4,ADRYr1!$AJ40,IF(ADRYr1!$AK40=CV$4,ADRYr1!$AL40,IF(ADRYr1!$AM40=CV$4,ADRYr1!$AN40,0))))*(INDEX(avoidedcosttbl,$H40,CV$2)+(($H40-ROUNDDOWN($H40,0))*(INDEX(avoidedcosttbl,ROUNDUP($H40,0),CV$2)-(INDEX(avoidedcosttbl,ROUNDDOWN($H40,0),CV$2)))))*ADRYr1!$P40*ADRYr1!$Q40*ADRYr1!$U40)</f>
        <v/>
      </c>
      <c r="CW40" s="28" t="str">
        <f>IF($G40="","",G40*(IF(ADRYr1!$AI40=CW$4,ADRYr1!$AJ40,IF(ADRYr1!$AK40=CW$4,ADRYr1!$AL40,IF(ADRYr1!$AM40=CW$4,ADRYr1!$AN40,0))))*(INDEX(avoidedcosttbl,$H40,CW$2)+(($H40-ROUNDDOWN($H40,0))*(INDEX(avoidedcosttbl,ROUNDUP($H40,0),CW$2)-(INDEX(avoidedcosttbl,ROUNDDOWN($H40,0),CW$2)))))*ADRYr1!$P40*ADRYr1!$Q40*ADRYr1!$U40)</f>
        <v/>
      </c>
      <c r="CX40" s="28" t="str">
        <f>IF($G40="","",G40*(IF(ADRYr1!$AI40=CX$4,ADRYr1!$AJ40,IF(ADRYr1!$AK40=CX$4,ADRYr1!$AL40,IF(ADRYr1!$AM40=CX$4,ADRYr1!$AN40,0))))*(INDEX(avoidedcosttbl,$H40,CX$2)+(($H40-ROUNDDOWN($H40,0))*(INDEX(avoidedcosttbl,ROUNDUP($H40,0),CX$2)-(INDEX(avoidedcosttbl,ROUNDDOWN($H40,0),CX$2)))))*ADRYr1!$P40*ADRYr1!$Q40*ADRYr1!$U40)</f>
        <v/>
      </c>
      <c r="CY40" s="28" t="str">
        <f t="shared" si="13"/>
        <v/>
      </c>
      <c r="CZ40" s="32" t="str">
        <f t="shared" si="14"/>
        <v/>
      </c>
      <c r="DA40" s="84" t="str">
        <f t="shared" si="42"/>
        <v/>
      </c>
      <c r="DB40" s="81" t="str">
        <f>IF(NEIadder="Yes",IF($G40="","",INDEX(Lookups!$G$70:$G$71,MATCH($A40,Lookups!$E$70:$E$71,0))*(SUM(CP40:CX40,BX40))),"")</f>
        <v/>
      </c>
      <c r="DC40" s="263" t="str">
        <f t="shared" si="15"/>
        <v/>
      </c>
      <c r="DD40" s="166" t="str">
        <f t="shared" si="16"/>
        <v/>
      </c>
      <c r="DE40" s="82">
        <f t="shared" si="43"/>
        <v>0</v>
      </c>
      <c r="DF40" s="615" t="str">
        <f>IF($G40="","",(1+WntPeakEnergyLL)*(INDEX(avoidedcosttbl,$H40,DF$2)+(($H40-ROUNDDOWN($H40,0))*(INDEX(avoidedcosttbl,ROUNDUP($H40,0),DF$2)-(INDEX(avoidedcosttbl,ROUNDDOWN($H40,0),DF$2)))))*$P40*1000*ADRYr1!Z40)</f>
        <v/>
      </c>
      <c r="DG40" s="615" t="str">
        <f>IF($G40="","",(1+WntOffPeakEnergyLL)*(INDEX(avoidedcosttbl,$H40,DG$2)+(($H40-ROUNDDOWN($H40,0))*(INDEX(avoidedcosttbl,ROUNDUP($H40,0),DG$2)-(INDEX(avoidedcosttbl,ROUNDDOWN($H40,0),DG$2)))))*$P40*1000*ADRYr1!AA40)</f>
        <v/>
      </c>
      <c r="DH40" s="615" t="str">
        <f>IF($G40="","",(1+SumPeakEnergyLL)*(INDEX(avoidedcosttbl,$H40,DH$2)+(($H40-ROUNDDOWN($H40,0))*(INDEX(avoidedcosttbl,ROUNDUP($H40,0),DH$2)-(INDEX(avoidedcosttbl,ROUNDDOWN($H40,0),DH$2)))))*$P40*1000*ADRYr1!AB40)</f>
        <v/>
      </c>
      <c r="DI40" s="615" t="str">
        <f>IF($G40="","",(1+SumOffPeakEnergyLL)*(INDEX(avoidedcosttbl,$H40,DI$2)+(($H40-ROUNDDOWN($H40,0))*(INDEX(avoidedcosttbl,ROUNDUP($H40,0),DI$2)-(INDEX(avoidedcosttbl,ROUNDDOWN($H40,0),DI$2)))))*$P40*1000*ADRYr1!AC40)</f>
        <v/>
      </c>
      <c r="DJ40" s="29" t="str">
        <f t="shared" si="44"/>
        <v/>
      </c>
      <c r="DK40" s="161" t="str">
        <f t="shared" si="45"/>
        <v/>
      </c>
      <c r="DL40" s="1189" t="str">
        <f t="shared" si="46"/>
        <v/>
      </c>
      <c r="DM40" s="1189" t="str">
        <f t="shared" si="47"/>
        <v/>
      </c>
      <c r="DN40" s="43" t="str">
        <f t="shared" si="48"/>
        <v/>
      </c>
      <c r="DO40" s="966" t="str">
        <f>IF($G40="","",ADRYr1!AQ40)</f>
        <v/>
      </c>
      <c r="DP40" s="968" t="str">
        <f>IF($G40="","",ADRYr1!AR40)</f>
        <v/>
      </c>
      <c r="DQ40" s="970" t="str">
        <f>IF($G40="","",IF($DP40="Yes",COLUMN(AESC!$L$10),IF($DP40="No","Using AvoidedDemand tab",IF($DP40="Mixed",COLUMN(AESC!$N$10)))))</f>
        <v/>
      </c>
      <c r="DR40" s="970" t="str">
        <f>IF($G40="","",IF($DP40="Yes",COLUMN(AESC!$P$10),IF($DP40="No","Using AvoidedDemand tab",IF($DP40="Mixed",COLUMN(AESC!$R$10)))))</f>
        <v/>
      </c>
      <c r="DS40" s="970" t="str">
        <f>IF($G40="","",IF($DP40="Yes",COLUMN(AESC!$S$10),IF($DP40="No",COLUMN(AESC!$T$10),IF($DP40="Mixed",COLUMN(AESC!$U$10)))))</f>
        <v/>
      </c>
      <c r="DT40" s="970" t="str">
        <f t="shared" si="17"/>
        <v/>
      </c>
      <c r="DU40" s="970" t="str">
        <f>IF($G40="","",ADRYr1!AS40)</f>
        <v/>
      </c>
      <c r="DV40" s="971" t="str">
        <f>IF($G40="","",ADRYr1!AT40)</f>
        <v/>
      </c>
      <c r="DW40" s="1162" t="str">
        <f>IF($G40="","",INDEX(AvoidedEnergy!$H$4:$H$10,MATCH($DO40,AvoidedEnergy!$A$4:$A$10,0)))</f>
        <v/>
      </c>
    </row>
    <row r="41" spans="1:127">
      <c r="A41" s="160" t="str">
        <f>IF(ADRYr1!$B41=0,"",ADRYr1!A41)</f>
        <v>C - Commercial &amp; Industrial</v>
      </c>
      <c r="B41" s="9" t="str">
        <f>IF(ADRYr1!$B41=0,"",ADRYr1!B41)</f>
        <v>C5 - C&amp;I Active Demand Response</v>
      </c>
      <c r="C41" s="9" t="str">
        <f>IF(ADRYr1!$B41=0,"",ADRYr1!C41)</f>
        <v>C5a - C&amp;I Active Demand Response</v>
      </c>
      <c r="D41" s="9" t="str">
        <f>IF(ADRYr1!$B41=0,"",ADRYr1!D41)</f>
        <v>Custom</v>
      </c>
      <c r="E41" s="9">
        <f>IF(ADRYr1!$B41=0,"",ADRYr1!E41)</f>
        <v>0</v>
      </c>
      <c r="F41" s="11" t="str">
        <f>IF(ADRYr1!$B41=0,"",ADRYr1!F41)</f>
        <v>Behavior</v>
      </c>
      <c r="G41" s="12" t="str">
        <f>IF(ADRYr1!$G41&lt;&gt;0,ADRYr1!G41,"")</f>
        <v/>
      </c>
      <c r="H41" s="960" t="str">
        <f>IF($G41="","",ROUND(ADRYr1!H41,0))</f>
        <v/>
      </c>
      <c r="I41" s="47" t="str">
        <f>IF($G41="","",ADRYr1!I41*ADRYr1!P41*G41)</f>
        <v/>
      </c>
      <c r="J41" s="47" t="str">
        <f>IF($G41="","",ADRYr1!J41*G41)</f>
        <v/>
      </c>
      <c r="K41" s="47" t="str">
        <f t="shared" si="18"/>
        <v/>
      </c>
      <c r="L41" s="27" t="str">
        <f>IF($G41="","",ADRYr1!V41*G41/1000)</f>
        <v/>
      </c>
      <c r="M41" s="27" t="str">
        <f>IF($G41="","",L41*ADRYr1!$Q41*ADRYr1!$R41)</f>
        <v/>
      </c>
      <c r="N41" s="27" t="str">
        <f t="shared" si="19"/>
        <v/>
      </c>
      <c r="O41" s="27" t="str">
        <f t="shared" si="20"/>
        <v/>
      </c>
      <c r="P41" s="27" t="str">
        <f>IF($G41="","",M41*ADRYr1!P41)</f>
        <v/>
      </c>
      <c r="Q41" s="27" t="str">
        <f t="shared" si="21"/>
        <v/>
      </c>
      <c r="R41" s="27" t="str">
        <f>IF($G41="","",$Q41*ADRYr1!Z41)</f>
        <v/>
      </c>
      <c r="S41" s="27" t="str">
        <f>IF($G41="","",$Q41*ADRYr1!AA41)</f>
        <v/>
      </c>
      <c r="T41" s="27" t="str">
        <f>IF($G41="","",$Q41*ADRYr1!AB41)</f>
        <v/>
      </c>
      <c r="U41" s="27" t="str">
        <f>IF($G41="","",$Q41*ADRYr1!AC41)</f>
        <v/>
      </c>
      <c r="V41" s="27" t="str">
        <f>IF($G41="","",G41*ADRYr1!$AD41*ADRYr1!$P41*ADRYr1!$Q41)</f>
        <v/>
      </c>
      <c r="W41" s="27" t="str">
        <f>IF($G41="","",$G41*ADRYr1!$AD41*ADRYr1!$AF41*ADRYr1!Q41*ADRYr1!$S41)</f>
        <v/>
      </c>
      <c r="X41" s="27" t="str">
        <f>IF($G41="","",$G41*ADRYr1!$AD41*ADRYr1!$AF41*ADRYr1!P41*ADRYr1!Q41*ADRYr1!$S41)</f>
        <v/>
      </c>
      <c r="Y41" s="27" t="str">
        <f>IF($G41="","",$G41*ADRYr1!$AD41*ADRYr1!$AE41*ADRYr1!Q41*ADRYr1!$T41)</f>
        <v/>
      </c>
      <c r="Z41" s="27" t="str">
        <f>IF($G41="","",$G41*ADRYr1!$AD41*ADRYr1!$AE41*ADRYr1!P41*ADRYr1!Q41*ADRYr1!$T41)</f>
        <v/>
      </c>
      <c r="AA41" s="45" t="str">
        <f>IF($G41="","",$G41*ADRYr1!$Q41*ADRYr1!$U41*(IF(IFERROR(SEARCH("NG", ADRYr1!$AI41),0),ADRYr1!$AJ41,0)+IF(IFERROR(SEARCH("NG", ADRYr1!$AK41),0),ADRYr1!$AL41,0)+IF(IFERROR(SEARCH("NG", ADRYr1!$AM41),0),ADRYr1!$AN41,0)))</f>
        <v/>
      </c>
      <c r="AB41" s="45" t="str">
        <f t="shared" si="22"/>
        <v/>
      </c>
      <c r="AC41" s="45">
        <f>IF($G41="",0,AA41*ADRYr1!$P41)</f>
        <v>0</v>
      </c>
      <c r="AD41" s="45" t="str">
        <f t="shared" si="23"/>
        <v/>
      </c>
      <c r="AE41" s="45" t="str">
        <f>IF($G41="","",$G41*ADRYr1!$Q41*ADRYr1!$U41*(IF(IFERROR(SEARCH("Oil", ADRYr1!$AI41), 0),ADRYr1!$AJ41,0)+IF(IFERROR(SEARCH("Oil", ADRYr1!$AK41), 0),ADRYr1!$AL41,0)+IF(IFERROR(SEARCH("Oil", ADRYr1!$AM41), 0),ADRYr1!$AN41,0)))</f>
        <v/>
      </c>
      <c r="AF41" s="45" t="str">
        <f t="shared" si="24"/>
        <v/>
      </c>
      <c r="AG41" s="45">
        <f>IF($G41="",0,AE41*ADRYr1!$P41)</f>
        <v>0</v>
      </c>
      <c r="AH41" s="45" t="str">
        <f t="shared" si="25"/>
        <v/>
      </c>
      <c r="AI41" s="45" t="str">
        <f>IF($G41="","",$G41*ADRYr1!$Q41*ADRYr1!$U41*(IF(ADRYr1!$AI41=Lookups!$E$116,ADRYr1!$AJ41,IF(ADRYr1!$AK41=Lookups!$E$116,ADRYr1!$AL41,IF(ADRYr1!$AM41=Lookups!$E$116,ADRYr1!$AN41,0)))))</f>
        <v/>
      </c>
      <c r="AJ41" s="45" t="str">
        <f t="shared" si="26"/>
        <v/>
      </c>
      <c r="AK41" s="45">
        <f>IF($G41="",0,AI41*ADRYr1!$P41)</f>
        <v>0</v>
      </c>
      <c r="AL41" s="45" t="str">
        <f t="shared" si="27"/>
        <v/>
      </c>
      <c r="AM41" s="45" t="str">
        <f>IF($G41="","",$G41*ADRYr1!$Q41*ADRYr1!$U41*(IF(ADRYr1!$AI41=Lookups!$E$115,ADRYr1!$AJ41,IF(ADRYr1!$AK41=Lookups!$E$115,ADRYr1!$AL41,IF(ADRYr1!$AM41=Lookups!$E$115,ADRYr1!$AN41,0)))))</f>
        <v/>
      </c>
      <c r="AN41" s="45" t="str">
        <f t="shared" si="28"/>
        <v/>
      </c>
      <c r="AO41" s="45">
        <f>IF($G41="",0,AM41*ADRYr1!$P41)</f>
        <v>0</v>
      </c>
      <c r="AP41" s="45" t="str">
        <f t="shared" si="29"/>
        <v/>
      </c>
      <c r="AQ41" s="45" t="str">
        <f>IF($G41="","",$G41*ADRYr1!$Q41*ADRYr1!$U41*(IF(ADRYr1!$AI41=Lookups!$E$117,ADRYr1!$AJ41,IF(ADRYr1!$AK41=Lookups!$E$117,ADRYr1!$AL41,IF(ADRYr1!$AM41=Lookups!$E$117,ADRYr1!$AN41,0)))))</f>
        <v/>
      </c>
      <c r="AR41" s="45" t="str">
        <f t="shared" si="30"/>
        <v/>
      </c>
      <c r="AS41" s="45" t="str">
        <f>IF($G41="","",AQ41*ADRYr1!$P41)</f>
        <v/>
      </c>
      <c r="AT41" s="45" t="str">
        <f t="shared" si="31"/>
        <v/>
      </c>
      <c r="AU41" s="45" t="str">
        <f>IF($G41="","",$G41*ADRYr1!$Q41*ADRYr1!$U41*(IF(ADRYr1!$AI41=Lookups!$E$118,ADRYr1!$AJ41,IF(ADRYr1!$AK41=Lookups!$E$118,ADRYr1!$AL41,IF(ADRYr1!$AM41=Lookups!$E$118,ADRYr1!$AN41,0)))))</f>
        <v/>
      </c>
      <c r="AV41" s="45" t="str">
        <f t="shared" si="32"/>
        <v/>
      </c>
      <c r="AW41" s="45" t="str">
        <f>IF($G41="","",AU41*ADRYr1!$P41)</f>
        <v/>
      </c>
      <c r="AX41" s="45" t="str">
        <f t="shared" si="33"/>
        <v/>
      </c>
      <c r="AY41" s="45">
        <f t="shared" si="49"/>
        <v>0</v>
      </c>
      <c r="AZ41" s="45">
        <f t="shared" si="49"/>
        <v>0</v>
      </c>
      <c r="BA41" s="101" t="str">
        <f>IF($G41="","",$G41*ADRYr1!$P41*ADRYr1!$Q41*ADRYr1!$U41*ADRYr1!AO41)</f>
        <v/>
      </c>
      <c r="BB41" s="102" t="str">
        <f>IF($G41="","",$G41*ADRYr1!$P41*ADRYr1!$Q41*ADRYr1!$U41*ADRYr1!AP41)</f>
        <v/>
      </c>
      <c r="BC41" s="100" t="str">
        <f t="shared" si="35"/>
        <v/>
      </c>
      <c r="BD41" s="961"/>
      <c r="BE41" s="961"/>
      <c r="BF41" s="961"/>
      <c r="BG41" s="961"/>
      <c r="BH41" s="962" t="str">
        <f t="shared" si="3"/>
        <v/>
      </c>
      <c r="BI41" s="961"/>
      <c r="BJ41" s="961"/>
      <c r="BK41" s="961"/>
      <c r="BL41" s="961"/>
      <c r="BM41" s="30" t="str">
        <f t="shared" si="4"/>
        <v/>
      </c>
      <c r="BN41" s="963" t="str">
        <f t="shared" si="5"/>
        <v/>
      </c>
      <c r="BO41" s="31" t="str">
        <f t="shared" si="36"/>
        <v/>
      </c>
      <c r="BP41" s="964" t="str">
        <f t="shared" si="6"/>
        <v/>
      </c>
      <c r="BQ41" s="28" t="str">
        <f t="shared" si="7"/>
        <v/>
      </c>
      <c r="BR41" s="964" t="str">
        <f t="shared" si="8"/>
        <v/>
      </c>
      <c r="BS41" s="964" t="str">
        <f t="shared" si="9"/>
        <v/>
      </c>
      <c r="BT41" s="28" t="str">
        <f t="shared" si="50"/>
        <v/>
      </c>
      <c r="BU41" s="28" t="str">
        <f t="shared" si="50"/>
        <v/>
      </c>
      <c r="BV41" s="28" t="str">
        <f t="shared" si="50"/>
        <v/>
      </c>
      <c r="BW41" s="29" t="str">
        <f t="shared" si="37"/>
        <v/>
      </c>
      <c r="BX41" s="29" t="str">
        <f t="shared" si="38"/>
        <v/>
      </c>
      <c r="BY41" s="28" t="str">
        <f>IF($G41="","",$G41*(IF(ADRYr1!$AI41=BY$4,ADRYr1!$AJ41,IF(ADRYr1!$AK41=BY$4,ADRYr1!$AL41,IF(ADRYr1!$AM41=BY$4,ADRYr1!$AN41,0))))*(INDEX(avoidedcosttbl,$H41,BY$2)+(($H41-ROUNDDOWN($H41,0))*(INDEX(avoidedcosttbl,ROUNDUP($H41,0),BY$2)-(INDEX(avoidedcosttbl,ROUNDDOWN($H41,0),BY$2)))))*ADRYr1!P41*ADRYr1!Q41*ADRYr1!U41)</f>
        <v/>
      </c>
      <c r="BZ41" s="28" t="str">
        <f>IF($G41="","",$G41*(IF(ADRYr1!$AI41=BZ$4,ADRYr1!$AJ41,IF(ADRYr1!$AK41=BZ$4,ADRYr1!$AL41,IF(ADRYr1!$AM41=BZ$4,ADRYr1!$AN41,0))))*(INDEX(avoidedcosttbl,$H41,BZ$2)+(($H41-ROUNDDOWN($H41,0))*(INDEX(avoidedcosttbl,ROUNDUP($H41,0),BZ$2)-(INDEX(avoidedcosttbl,ROUNDDOWN($H41,0),BZ$2)))))*ADRYr1!P41*ADRYr1!Q41*ADRYr1!U41)</f>
        <v/>
      </c>
      <c r="CA41" s="28" t="str">
        <f>IF($G41="","",$G41*(IF(ADRYr1!$AI41=CA$4,ADRYr1!$AJ41,IF(ADRYr1!$AK41=CA$4,ADRYr1!$AL41,IF(ADRYr1!$AM41=CA$4,ADRYr1!$AN41,0))))*(INDEX(avoidedcosttbl,$H41,CA$2)+(($H41-ROUNDDOWN($H41,0))*(INDEX(avoidedcosttbl,ROUNDUP($H41,0),CA$2)-(INDEX(avoidedcosttbl,ROUNDDOWN($H41,0),CA$2)))))*ADRYr1!P41*ADRYr1!Q41*ADRYr1!U41)</f>
        <v/>
      </c>
      <c r="CB41" s="28" t="str">
        <f>IF($G41="","",$G41*(IF(ADRYr1!$AI41=CB$4,ADRYr1!$AJ41,IF(ADRYr1!$AK41=CB$4,ADRYr1!$AL41,IF(ADRYr1!$AM41=CB$4,ADRYr1!$AN41,0))))*(INDEX(avoidedcosttbl,$H41,CB$2)+(($H41-ROUNDDOWN($H41,0))*(INDEX(avoidedcosttbl,ROUNDUP($H41,0),CB$2)-(INDEX(avoidedcosttbl,ROUNDDOWN($H41,0),CB$2)))))*ADRYr1!P41*ADRYr1!Q41*ADRYr1!U41)</f>
        <v/>
      </c>
      <c r="CC41" s="28" t="str">
        <f>IF($G41="","",$G41*(IF(ADRYr1!$AI41=CC$4,ADRYr1!$AJ41,IF(ADRYr1!$AK41=CC$4,ADRYr1!$AL41,IF(ADRYr1!$AM41=CC$4,ADRYr1!$AN41,0))))*(INDEX(avoidedcosttbl,$H41,CC$2)+(($H41-ROUNDDOWN($H41,0))*(INDEX(avoidedcosttbl,ROUNDUP($H41,0),CC$2)-(INDEX(avoidedcosttbl,ROUNDDOWN($H41,0),CC$2)))))*ADRYr1!P41*ADRYr1!Q41*ADRYr1!U41)</f>
        <v/>
      </c>
      <c r="CD41" s="28" t="str">
        <f>IF($G41="","",$G41*(IF(ADRYr1!$AI41=CD$4,ADRYr1!$AJ41,IF(ADRYr1!$AK41=CD$4,ADRYr1!$AL41,IF(ADRYr1!$AM41=CD$4,ADRYr1!$AN41,0))))*(INDEX(avoidedcosttbl,$H41,CD$2)+(($H41-ROUNDDOWN($H41,0))*(INDEX(avoidedcosttbl,ROUNDUP($H41,0),CD$2)-(INDEX(avoidedcosttbl,ROUNDDOWN($H41,0),CD$2)))))*ADRYr1!P41*ADRYr1!Q41*ADRYr1!U41)</f>
        <v/>
      </c>
      <c r="CE41" s="28" t="str">
        <f>IF($G41="","",$G41*(IF(ADRYr1!$AI41=CE$4,ADRYr1!$AJ41,IF(ADRYr1!$AK41=CE$4,ADRYr1!$AL41,IF(ADRYr1!$AM41=CE$4,ADRYr1!$AN41,0))))*(INDEX(avoidedcosttbl,$H41,CE$2)+(($H41-ROUNDDOWN($H41,0))*(INDEX(avoidedcosttbl,ROUNDUP($H41,0),CE$2)-(INDEX(avoidedcosttbl,ROUNDDOWN($H41,0),CE$2)))))*ADRYr1!P41*ADRYr1!Q41*ADRYr1!U41)</f>
        <v/>
      </c>
      <c r="CF41" s="41" t="str">
        <f t="shared" si="39"/>
        <v/>
      </c>
      <c r="CG41" s="30" t="str">
        <f t="shared" si="11"/>
        <v/>
      </c>
      <c r="CH41" s="30" t="str">
        <f>IF($G41="","",$G41*(IF(ADRYr1!$AI41=BY$4,ADRYr1!$AJ41,IF(ADRYr1!$AK41=BY$4,ADRYr1!$AL41,IF(ADRYr1!$AM41=BY$4,ADRYr1!$AN41,0))))*(INDEX(avoidedcosttbl,$H41,CH$2)+(($H41-ROUNDDOWN($H41,0))*(INDEX(avoidedcosttbl,ROUNDUP($H41,0),CH$2)-(INDEX(avoidedcosttbl,ROUNDDOWN($H41,0),CH$2)))))*ADRYr1!P41*ADRYr1!Q41*ADRYr1!U41)</f>
        <v/>
      </c>
      <c r="CI41" s="30" t="str">
        <f>IF($G41="","",$G41*(IF(ADRYr1!$AI41=BZ$4,ADRYr1!$AJ41,IF(ADRYr1!$AK41=BZ$4,ADRYr1!$AL41,IF(ADRYr1!$AM41=BZ$4,ADRYr1!$AN41,0))))*(INDEX(avoidedcosttbl,$H41,CI$2)+(($H41-ROUNDDOWN($H41,0))*(INDEX(avoidedcosttbl,ROUNDUP($H41,0),CI$2)-(INDEX(avoidedcosttbl,ROUNDDOWN($H41,0),CI$2)))))*ADRYr1!P41*ADRYr1!Q41*ADRYr1!U41)</f>
        <v/>
      </c>
      <c r="CJ41" s="30" t="str">
        <f>IF($G41="","",$G41*(IF(ADRYr1!$AI41=CA$4,ADRYr1!$AJ41,IF(ADRYr1!$AK41=CA$4,ADRYr1!$AL41,IF(ADRYr1!$AM41=CA$4,ADRYr1!$AN41,0))))*(INDEX(avoidedcosttbl,$H41,CJ$2)+(($H41-ROUNDDOWN($H41,0))*(INDEX(avoidedcosttbl,ROUNDUP($H41,0),CJ$2)-(INDEX(avoidedcosttbl,ROUNDDOWN($H41,0),CJ$2)))))*ADRYr1!P41*ADRYr1!Q41*ADRYr1!U41)</f>
        <v/>
      </c>
      <c r="CK41" s="30" t="str">
        <f>IF($G41="","",$G41*(IF(ADRYr1!$AI41=CB$4,ADRYr1!$AJ41,IF(ADRYr1!$AK41=CB$4,ADRYr1!$AL41,IF(ADRYr1!$AM41=CB$4,ADRYr1!$AN41,0))))*(INDEX(avoidedcosttbl,$H41,CK$2)+(($H41-ROUNDDOWN($H41,0))*(INDEX(avoidedcosttbl,ROUNDUP($H41,0),CK$2)-(INDEX(avoidedcosttbl,ROUNDDOWN($H41,0),CK$2)))))*ADRYr1!P41*ADRYr1!Q41*ADRYr1!U41)</f>
        <v/>
      </c>
      <c r="CL41" s="30" t="str">
        <f>IF($G41="","",$G41*(IF(ADRYr1!$AI41=CC$4,ADRYr1!$AJ41,IF(ADRYr1!$AK41=CC$4,ADRYr1!$AL41,IF(ADRYr1!$AM41=CC$4,ADRYr1!$AN41,0))))*(INDEX(avoidedcosttbl,$H41,CL$2)+(($H41-ROUNDDOWN($H41,0))*(INDEX(avoidedcosttbl,ROUNDUP($H41,0),CL$2)-(INDEX(avoidedcosttbl,ROUNDDOWN($H41,0),CL$2)))))*ADRYr1!P41*ADRYr1!Q41*ADRYr1!U41)</f>
        <v/>
      </c>
      <c r="CM41" s="30" t="str">
        <f>IF($G41="","",$G41*(IF(ADRYr1!$AI41=CD$4,ADRYr1!$AJ41,IF(ADRYr1!$AK41=CD$4,ADRYr1!$AL41,IF(ADRYr1!$AM41=CD$4,ADRYr1!$AN41,0))))*(INDEX(avoidedcosttbl,$H41,CM$2)+(($H41-ROUNDDOWN($H41,0))*(INDEX(avoidedcosttbl,ROUNDUP($H41,0),CM$2)-(INDEX(avoidedcosttbl,ROUNDDOWN($H41,0),CM$2)))))*ADRYr1!P41*ADRYr1!Q41*ADRYr1!U41)</f>
        <v/>
      </c>
      <c r="CN41" s="30" t="str">
        <f>IF($G41="","",$G41*(IF(ADRYr1!$AI41=CE$4,ADRYr1!$AJ41,IF(ADRYr1!$AK41=CE$4,ADRYr1!$AL41,IF(ADRYr1!$AM41=CE$4,ADRYr1!$AN41,0))))*(INDEX(avoidedcosttbl,$H41,CN$2)+(($H41-ROUNDDOWN($H41,0))*(INDEX(avoidedcosttbl,ROUNDUP($H41,0),CN$2)-(INDEX(avoidedcosttbl,ROUNDDOWN($H41,0),CN$2)))))*ADRYr1!P41*ADRYr1!Q41*ADRYr1!U41)</f>
        <v/>
      </c>
      <c r="CO41" s="220" t="str">
        <f t="shared" si="40"/>
        <v/>
      </c>
      <c r="CP41" s="220" t="str">
        <f t="shared" si="41"/>
        <v/>
      </c>
      <c r="CQ41" s="157" t="str">
        <f>IF($G41="","",$G41*(IF(ADRYr1!$AI41=CQ$4,ADRYr1!$AJ41,IF(ADRYr1!$AK41=CQ$4,ADRYr1!$AL41,IF(ADRYr1!$AM41=CQ$4,ADRYr1!$AN41,0))))*(INDEX(avoidedcosttbl,$H41,CQ$2)+(($H41-ROUNDDOWN($H41,0))*(INDEX(avoidedcosttbl,ROUNDUP($H41,0),CQ$2)-(INDEX(avoidedcosttbl,ROUNDDOWN($H41,0),CQ$2)))))*ADRYr1!$P41*ADRYr1!$Q41*ADRYr1!$U41)</f>
        <v/>
      </c>
      <c r="CR41" s="28" t="str">
        <f>IF($G41="","",G41*(IF(ADRYr1!$AI41=CR$4,ADRYr1!$AJ41,IF(ADRYr1!$AK41=CR$4,ADRYr1!$AL41,IF(ADRYr1!$AM41=CR$4,ADRYr1!$AN41,0))))*(INDEX(avoidedcosttbl,$H41,CR$2)+(($H41-ROUNDDOWN($H41,0))*(INDEX(avoidedcosttbl,ROUNDUP($H41,0),CR$2)-(INDEX(avoidedcosttbl,ROUNDDOWN($H41,0),CR$2)))))*ADRYr1!$P41*ADRYr1!$Q41*ADRYr1!$U41)</f>
        <v/>
      </c>
      <c r="CS41" s="28" t="str">
        <f>IF($G41="","",G41*(IF(ADRYr1!$AI41=CS$4,ADRYr1!$AJ41,IF(ADRYr1!$AK41=CS$4,ADRYr1!$AL41,IF(ADRYr1!$AM41=CS$4,ADRYr1!$AN41,0))))*(INDEX(avoidedcosttbl,$H41,CS$2)+(($H41-ROUNDDOWN($H41,0))*(INDEX(avoidedcosttbl,ROUNDUP($H41,0),CS$2)-(INDEX(avoidedcosttbl,ROUNDDOWN($H41,0),CS$2)))))*ADRYr1!$P41*ADRYr1!$Q41*ADRYr1!$U41)</f>
        <v/>
      </c>
      <c r="CT41" s="28" t="str">
        <f t="shared" si="12"/>
        <v/>
      </c>
      <c r="CU41" s="28" t="str">
        <f>IF($G41="","",G41*(IF(ADRYr1!$AI41=CU$4,ADRYr1!$AJ41,IF(ADRYr1!$AK41=CU$4,ADRYr1!$AL41,IF(ADRYr1!$AM41=CU$4,ADRYr1!$AN41,0))))*(INDEX(avoidedcosttbl,$H41,CU$2)+(($H41-ROUNDDOWN($H41,0))*(INDEX(avoidedcosttbl,ROUNDUP($H41,0),CU$2)-(INDEX(avoidedcosttbl,ROUNDDOWN($H41,0),CU$2)))))*ADRYr1!$P41*ADRYr1!$Q41*ADRYr1!$U41)</f>
        <v/>
      </c>
      <c r="CV41" s="28" t="str">
        <f>IF($G41="","",G41*(IF(ADRYr1!$AI41=CV$4,ADRYr1!$AJ41,IF(ADRYr1!$AK41=CV$4,ADRYr1!$AL41,IF(ADRYr1!$AM41=CV$4,ADRYr1!$AN41,0))))*(INDEX(avoidedcosttbl,$H41,CV$2)+(($H41-ROUNDDOWN($H41,0))*(INDEX(avoidedcosttbl,ROUNDUP($H41,0),CV$2)-(INDEX(avoidedcosttbl,ROUNDDOWN($H41,0),CV$2)))))*ADRYr1!$P41*ADRYr1!$Q41*ADRYr1!$U41)</f>
        <v/>
      </c>
      <c r="CW41" s="28" t="str">
        <f>IF($G41="","",G41*(IF(ADRYr1!$AI41=CW$4,ADRYr1!$AJ41,IF(ADRYr1!$AK41=CW$4,ADRYr1!$AL41,IF(ADRYr1!$AM41=CW$4,ADRYr1!$AN41,0))))*(INDEX(avoidedcosttbl,$H41,CW$2)+(($H41-ROUNDDOWN($H41,0))*(INDEX(avoidedcosttbl,ROUNDUP($H41,0),CW$2)-(INDEX(avoidedcosttbl,ROUNDDOWN($H41,0),CW$2)))))*ADRYr1!$P41*ADRYr1!$Q41*ADRYr1!$U41)</f>
        <v/>
      </c>
      <c r="CX41" s="28" t="str">
        <f>IF($G41="","",G41*(IF(ADRYr1!$AI41=CX$4,ADRYr1!$AJ41,IF(ADRYr1!$AK41=CX$4,ADRYr1!$AL41,IF(ADRYr1!$AM41=CX$4,ADRYr1!$AN41,0))))*(INDEX(avoidedcosttbl,$H41,CX$2)+(($H41-ROUNDDOWN($H41,0))*(INDEX(avoidedcosttbl,ROUNDUP($H41,0),CX$2)-(INDEX(avoidedcosttbl,ROUNDDOWN($H41,0),CX$2)))))*ADRYr1!$P41*ADRYr1!$Q41*ADRYr1!$U41)</f>
        <v/>
      </c>
      <c r="CY41" s="28" t="str">
        <f t="shared" si="13"/>
        <v/>
      </c>
      <c r="CZ41" s="32" t="str">
        <f t="shared" si="14"/>
        <v/>
      </c>
      <c r="DA41" s="84" t="str">
        <f t="shared" si="42"/>
        <v/>
      </c>
      <c r="DB41" s="81" t="str">
        <f>IF(NEIadder="Yes",IF($G41="","",INDEX(Lookups!$G$70:$G$71,MATCH($A41,Lookups!$E$70:$E$71,0))*(SUM(CP41:CX41,BX41))),"")</f>
        <v/>
      </c>
      <c r="DC41" s="263" t="str">
        <f t="shared" si="15"/>
        <v/>
      </c>
      <c r="DD41" s="166" t="str">
        <f t="shared" si="16"/>
        <v/>
      </c>
      <c r="DE41" s="82">
        <f t="shared" si="43"/>
        <v>0</v>
      </c>
      <c r="DF41" s="615" t="str">
        <f>IF($G41="","",(1+WntPeakEnergyLL)*(INDEX(avoidedcosttbl,$H41,DF$2)+(($H41-ROUNDDOWN($H41,0))*(INDEX(avoidedcosttbl,ROUNDUP($H41,0),DF$2)-(INDEX(avoidedcosttbl,ROUNDDOWN($H41,0),DF$2)))))*$P41*1000*ADRYr1!Z41)</f>
        <v/>
      </c>
      <c r="DG41" s="615" t="str">
        <f>IF($G41="","",(1+WntOffPeakEnergyLL)*(INDEX(avoidedcosttbl,$H41,DG$2)+(($H41-ROUNDDOWN($H41,0))*(INDEX(avoidedcosttbl,ROUNDUP($H41,0),DG$2)-(INDEX(avoidedcosttbl,ROUNDDOWN($H41,0),DG$2)))))*$P41*1000*ADRYr1!AA41)</f>
        <v/>
      </c>
      <c r="DH41" s="615" t="str">
        <f>IF($G41="","",(1+SumPeakEnergyLL)*(INDEX(avoidedcosttbl,$H41,DH$2)+(($H41-ROUNDDOWN($H41,0))*(INDEX(avoidedcosttbl,ROUNDUP($H41,0),DH$2)-(INDEX(avoidedcosttbl,ROUNDDOWN($H41,0),DH$2)))))*$P41*1000*ADRYr1!AB41)</f>
        <v/>
      </c>
      <c r="DI41" s="615" t="str">
        <f>IF($G41="","",(1+SumOffPeakEnergyLL)*(INDEX(avoidedcosttbl,$H41,DI$2)+(($H41-ROUNDDOWN($H41,0))*(INDEX(avoidedcosttbl,ROUNDUP($H41,0),DI$2)-(INDEX(avoidedcosttbl,ROUNDDOWN($H41,0),DI$2)))))*$P41*1000*ADRYr1!AC41)</f>
        <v/>
      </c>
      <c r="DJ41" s="29" t="str">
        <f t="shared" si="44"/>
        <v/>
      </c>
      <c r="DK41" s="161" t="str">
        <f t="shared" si="45"/>
        <v/>
      </c>
      <c r="DL41" s="1189" t="str">
        <f t="shared" si="46"/>
        <v/>
      </c>
      <c r="DM41" s="1189" t="str">
        <f t="shared" si="47"/>
        <v/>
      </c>
      <c r="DN41" s="43" t="str">
        <f t="shared" si="48"/>
        <v/>
      </c>
      <c r="DO41" s="966" t="str">
        <f>IF($G41="","",ADRYr1!AQ41)</f>
        <v/>
      </c>
      <c r="DP41" s="968" t="str">
        <f>IF($G41="","",ADRYr1!AR41)</f>
        <v/>
      </c>
      <c r="DQ41" s="970" t="str">
        <f>IF($G41="","",IF($DP41="Yes",COLUMN(AESC!$L$10),IF($DP41="No","Using AvoidedDemand tab",IF($DP41="Mixed",COLUMN(AESC!$N$10)))))</f>
        <v/>
      </c>
      <c r="DR41" s="970" t="str">
        <f>IF($G41="","",IF($DP41="Yes",COLUMN(AESC!$P$10),IF($DP41="No","Using AvoidedDemand tab",IF($DP41="Mixed",COLUMN(AESC!$R$10)))))</f>
        <v/>
      </c>
      <c r="DS41" s="970" t="str">
        <f>IF($G41="","",IF($DP41="Yes",COLUMN(AESC!$S$10),IF($DP41="No",COLUMN(AESC!$T$10),IF($DP41="Mixed",COLUMN(AESC!$U$10)))))</f>
        <v/>
      </c>
      <c r="DT41" s="970" t="str">
        <f t="shared" si="17"/>
        <v/>
      </c>
      <c r="DU41" s="970" t="str">
        <f>IF($G41="","",ADRYr1!AS41)</f>
        <v/>
      </c>
      <c r="DV41" s="971" t="str">
        <f>IF($G41="","",ADRYr1!AT41)</f>
        <v/>
      </c>
      <c r="DW41" s="1162" t="str">
        <f>IF($G41="","",INDEX(AvoidedEnergy!$H$4:$H$10,MATCH($DO41,AvoidedEnergy!$A$4:$A$10,0)))</f>
        <v/>
      </c>
    </row>
    <row r="42" spans="1:127">
      <c r="A42" s="160" t="str">
        <f>IF(ADRYr1!$B42=0,"",ADRYr1!A42)</f>
        <v/>
      </c>
      <c r="B42" s="9" t="str">
        <f>IF(ADRYr1!$B42=0,"",ADRYr1!B42)</f>
        <v/>
      </c>
      <c r="C42" s="9" t="str">
        <f>IF(ADRYr1!$B42=0,"",ADRYr1!C42)</f>
        <v/>
      </c>
      <c r="D42" s="9" t="str">
        <f>IF(ADRYr1!$B42=0,"",ADRYr1!D42)</f>
        <v/>
      </c>
      <c r="E42" s="9"/>
      <c r="F42" s="11" t="str">
        <f>IF(ADRYr1!$B42=0,"",ADRYr1!F42)</f>
        <v/>
      </c>
      <c r="G42" s="12" t="str">
        <f>IF(ADRYr1!$G42&lt;&gt;0,ADRYr1!G42,"")</f>
        <v/>
      </c>
      <c r="H42" s="960" t="str">
        <f>IF($G42="","",ROUND(ADRYr1!H42,0))</f>
        <v/>
      </c>
      <c r="I42" s="47" t="str">
        <f>IF($G42="","",ADRYr1!I42*ADRYr1!P42*G42)</f>
        <v/>
      </c>
      <c r="J42" s="47" t="str">
        <f>IF($G42="","",ADRYr1!J42*G42)</f>
        <v/>
      </c>
      <c r="K42" s="47" t="str">
        <f t="shared" si="18"/>
        <v/>
      </c>
      <c r="L42" s="27" t="str">
        <f>IF($G42="","",ADRYr1!V42*G42/1000)</f>
        <v/>
      </c>
      <c r="M42" s="27" t="str">
        <f>IF($G42="","",L42*ADRYr1!$Q42*ADRYr1!$R42)</f>
        <v/>
      </c>
      <c r="N42" s="27" t="str">
        <f t="shared" si="19"/>
        <v/>
      </c>
      <c r="O42" s="27" t="str">
        <f t="shared" si="20"/>
        <v/>
      </c>
      <c r="P42" s="27" t="str">
        <f>IF($G42="","",M42*ADRYr1!P42)</f>
        <v/>
      </c>
      <c r="Q42" s="27" t="str">
        <f t="shared" si="21"/>
        <v/>
      </c>
      <c r="R42" s="27" t="str">
        <f>IF($G42="","",$Q42*ADRYr1!Z42)</f>
        <v/>
      </c>
      <c r="S42" s="27" t="str">
        <f>IF($G42="","",$Q42*ADRYr1!AA42)</f>
        <v/>
      </c>
      <c r="T42" s="27" t="str">
        <f>IF($G42="","",$Q42*ADRYr1!AB42)</f>
        <v/>
      </c>
      <c r="U42" s="27" t="str">
        <f>IF($G42="","",$Q42*ADRYr1!AC42)</f>
        <v/>
      </c>
      <c r="V42" s="27" t="str">
        <f>IF($G42="","",G42*ADRYr1!$AD42*ADRYr1!$P42*ADRYr1!$Q42)</f>
        <v/>
      </c>
      <c r="W42" s="27" t="str">
        <f>IF($G42="","",$G42*ADRYr1!$AD42*ADRYr1!$AF42*ADRYr1!Q42*ADRYr1!$S42)</f>
        <v/>
      </c>
      <c r="X42" s="27" t="str">
        <f>IF($G42="","",$G42*ADRYr1!$AD42*ADRYr1!$AF42*ADRYr1!P42*ADRYr1!Q42*ADRYr1!$S42)</f>
        <v/>
      </c>
      <c r="Y42" s="27" t="str">
        <f>IF($G42="","",$G42*ADRYr1!$AD42*ADRYr1!$AE42*ADRYr1!Q42*ADRYr1!$T42)</f>
        <v/>
      </c>
      <c r="Z42" s="27" t="str">
        <f>IF($G42="","",$G42*ADRYr1!$AD42*ADRYr1!$AE42*ADRYr1!P42*ADRYr1!Q42*ADRYr1!$T42)</f>
        <v/>
      </c>
      <c r="AA42" s="45" t="str">
        <f>IF($G42="","",$G42*ADRYr1!$Q42*ADRYr1!$U42*(IF(IFERROR(SEARCH("NG", ADRYr1!$AI42),0),ADRYr1!$AJ42,0)+IF(IFERROR(SEARCH("NG", ADRYr1!$AK42),0),ADRYr1!$AL42,0)+IF(IFERROR(SEARCH("NG", ADRYr1!$AM42),0),ADRYr1!$AN42,0)))</f>
        <v/>
      </c>
      <c r="AB42" s="45" t="str">
        <f t="shared" si="22"/>
        <v/>
      </c>
      <c r="AC42" s="45">
        <f>IF($G42="",0,AA42*ADRYr1!$P42)</f>
        <v>0</v>
      </c>
      <c r="AD42" s="45" t="str">
        <f t="shared" si="23"/>
        <v/>
      </c>
      <c r="AE42" s="45" t="str">
        <f>IF($G42="","",$G42*ADRYr1!$Q42*ADRYr1!$U42*(IF(IFERROR(SEARCH("Oil", ADRYr1!$AI42), 0),ADRYr1!$AJ42,0)+IF(IFERROR(SEARCH("Oil", ADRYr1!$AK42), 0),ADRYr1!$AL42,0)+IF(IFERROR(SEARCH("Oil", ADRYr1!$AM42), 0),ADRYr1!$AN42,0)))</f>
        <v/>
      </c>
      <c r="AF42" s="45" t="str">
        <f t="shared" si="24"/>
        <v/>
      </c>
      <c r="AG42" s="45">
        <f>IF($G42="",0,AE42*ADRYr1!$P42)</f>
        <v>0</v>
      </c>
      <c r="AH42" s="45" t="str">
        <f t="shared" si="25"/>
        <v/>
      </c>
      <c r="AI42" s="45" t="str">
        <f>IF($G42="","",$G42*ADRYr1!$Q42*ADRYr1!$U42*(IF(ADRYr1!$AI42=Lookups!$E$116,ADRYr1!$AJ42,IF(ADRYr1!$AK42=Lookups!$E$116,ADRYr1!$AL42,IF(ADRYr1!$AM42=Lookups!$E$116,ADRYr1!$AN42,0)))))</f>
        <v/>
      </c>
      <c r="AJ42" s="45" t="str">
        <f t="shared" si="26"/>
        <v/>
      </c>
      <c r="AK42" s="45">
        <f>IF($G42="",0,AI42*ADRYr1!$P42)</f>
        <v>0</v>
      </c>
      <c r="AL42" s="45" t="str">
        <f t="shared" si="27"/>
        <v/>
      </c>
      <c r="AM42" s="45" t="str">
        <f>IF($G42="","",$G42*ADRYr1!$Q42*ADRYr1!$U42*(IF(ADRYr1!$AI42=Lookups!$E$115,ADRYr1!$AJ42,IF(ADRYr1!$AK42=Lookups!$E$115,ADRYr1!$AL42,IF(ADRYr1!$AM42=Lookups!$E$115,ADRYr1!$AN42,0)))))</f>
        <v/>
      </c>
      <c r="AN42" s="45" t="str">
        <f t="shared" si="28"/>
        <v/>
      </c>
      <c r="AO42" s="45">
        <f>IF($G42="",0,AM42*ADRYr1!$P42)</f>
        <v>0</v>
      </c>
      <c r="AP42" s="45" t="str">
        <f t="shared" si="29"/>
        <v/>
      </c>
      <c r="AQ42" s="45" t="str">
        <f>IF($G42="","",$G42*ADRYr1!$Q42*ADRYr1!$U42*(IF(ADRYr1!$AI42=Lookups!$E$117,ADRYr1!$AJ42,IF(ADRYr1!$AK42=Lookups!$E$117,ADRYr1!$AL42,IF(ADRYr1!$AM42=Lookups!$E$117,ADRYr1!$AN42,0)))))</f>
        <v/>
      </c>
      <c r="AR42" s="45" t="str">
        <f t="shared" si="30"/>
        <v/>
      </c>
      <c r="AS42" s="45" t="str">
        <f>IF($G42="","",AQ42*ADRYr1!$P42)</f>
        <v/>
      </c>
      <c r="AT42" s="45" t="str">
        <f t="shared" si="31"/>
        <v/>
      </c>
      <c r="AU42" s="45" t="str">
        <f>IF($G42="","",$G42*ADRYr1!$Q42*ADRYr1!$U42*(IF(ADRYr1!$AI42=Lookups!$E$118,ADRYr1!$AJ42,IF(ADRYr1!$AK42=Lookups!$E$118,ADRYr1!$AL42,IF(ADRYr1!$AM42=Lookups!$E$118,ADRYr1!$AN42,0)))))</f>
        <v/>
      </c>
      <c r="AV42" s="45" t="str">
        <f t="shared" si="32"/>
        <v/>
      </c>
      <c r="AW42" s="45" t="str">
        <f>IF($G42="","",AU42*ADRYr1!$P42)</f>
        <v/>
      </c>
      <c r="AX42" s="45" t="str">
        <f t="shared" si="33"/>
        <v/>
      </c>
      <c r="AY42" s="45">
        <f t="shared" si="49"/>
        <v>0</v>
      </c>
      <c r="AZ42" s="45">
        <f t="shared" si="49"/>
        <v>0</v>
      </c>
      <c r="BA42" s="101" t="str">
        <f>IF($G42="","",$G42*ADRYr1!$P42*ADRYr1!$Q42*ADRYr1!$U42*ADRYr1!AO42)</f>
        <v/>
      </c>
      <c r="BB42" s="102" t="str">
        <f>IF($G42="","",$G42*ADRYr1!$P42*ADRYr1!$Q42*ADRYr1!$U42*ADRYr1!AP42)</f>
        <v/>
      </c>
      <c r="BC42" s="100" t="str">
        <f t="shared" si="35"/>
        <v/>
      </c>
      <c r="BD42" s="961"/>
      <c r="BE42" s="961"/>
      <c r="BF42" s="961"/>
      <c r="BG42" s="961"/>
      <c r="BH42" s="962" t="str">
        <f t="shared" si="3"/>
        <v/>
      </c>
      <c r="BI42" s="961"/>
      <c r="BJ42" s="961"/>
      <c r="BK42" s="961"/>
      <c r="BL42" s="961"/>
      <c r="BM42" s="30" t="str">
        <f t="shared" si="4"/>
        <v/>
      </c>
      <c r="BN42" s="963" t="str">
        <f t="shared" si="5"/>
        <v/>
      </c>
      <c r="BO42" s="31" t="str">
        <f t="shared" si="36"/>
        <v/>
      </c>
      <c r="BP42" s="964" t="str">
        <f t="shared" si="6"/>
        <v/>
      </c>
      <c r="BQ42" s="28" t="str">
        <f t="shared" si="7"/>
        <v/>
      </c>
      <c r="BR42" s="964" t="str">
        <f t="shared" si="8"/>
        <v/>
      </c>
      <c r="BS42" s="964" t="str">
        <f t="shared" si="9"/>
        <v/>
      </c>
      <c r="BT42" s="28" t="str">
        <f t="shared" si="50"/>
        <v/>
      </c>
      <c r="BU42" s="28" t="str">
        <f t="shared" si="50"/>
        <v/>
      </c>
      <c r="BV42" s="28" t="str">
        <f t="shared" si="50"/>
        <v/>
      </c>
      <c r="BW42" s="29" t="str">
        <f t="shared" si="37"/>
        <v/>
      </c>
      <c r="BX42" s="29" t="str">
        <f t="shared" si="38"/>
        <v/>
      </c>
      <c r="BY42" s="28" t="str">
        <f>IF($G42="","",$G42*(IF(ADRYr1!$AI42=BY$4,ADRYr1!$AJ42,IF(ADRYr1!$AK42=BY$4,ADRYr1!$AL42,IF(ADRYr1!$AM42=BY$4,ADRYr1!$AN42,0))))*(INDEX(avoidedcosttbl,$H42,BY$2)+(($H42-ROUNDDOWN($H42,0))*(INDEX(avoidedcosttbl,ROUNDUP($H42,0),BY$2)-(INDEX(avoidedcosttbl,ROUNDDOWN($H42,0),BY$2)))))*ADRYr1!P42*ADRYr1!Q42*ADRYr1!U42)</f>
        <v/>
      </c>
      <c r="BZ42" s="28" t="str">
        <f>IF($G42="","",$G42*(IF(ADRYr1!$AI42=BZ$4,ADRYr1!$AJ42,IF(ADRYr1!$AK42=BZ$4,ADRYr1!$AL42,IF(ADRYr1!$AM42=BZ$4,ADRYr1!$AN42,0))))*(INDEX(avoidedcosttbl,$H42,BZ$2)+(($H42-ROUNDDOWN($H42,0))*(INDEX(avoidedcosttbl,ROUNDUP($H42,0),BZ$2)-(INDEX(avoidedcosttbl,ROUNDDOWN($H42,0),BZ$2)))))*ADRYr1!P42*ADRYr1!Q42*ADRYr1!U42)</f>
        <v/>
      </c>
      <c r="CA42" s="28" t="str">
        <f>IF($G42="","",$G42*(IF(ADRYr1!$AI42=CA$4,ADRYr1!$AJ42,IF(ADRYr1!$AK42=CA$4,ADRYr1!$AL42,IF(ADRYr1!$AM42=CA$4,ADRYr1!$AN42,0))))*(INDEX(avoidedcosttbl,$H42,CA$2)+(($H42-ROUNDDOWN($H42,0))*(INDEX(avoidedcosttbl,ROUNDUP($H42,0),CA$2)-(INDEX(avoidedcosttbl,ROUNDDOWN($H42,0),CA$2)))))*ADRYr1!P42*ADRYr1!Q42*ADRYr1!U42)</f>
        <v/>
      </c>
      <c r="CB42" s="28" t="str">
        <f>IF($G42="","",$G42*(IF(ADRYr1!$AI42=CB$4,ADRYr1!$AJ42,IF(ADRYr1!$AK42=CB$4,ADRYr1!$AL42,IF(ADRYr1!$AM42=CB$4,ADRYr1!$AN42,0))))*(INDEX(avoidedcosttbl,$H42,CB$2)+(($H42-ROUNDDOWN($H42,0))*(INDEX(avoidedcosttbl,ROUNDUP($H42,0),CB$2)-(INDEX(avoidedcosttbl,ROUNDDOWN($H42,0),CB$2)))))*ADRYr1!P42*ADRYr1!Q42*ADRYr1!U42)</f>
        <v/>
      </c>
      <c r="CC42" s="28" t="str">
        <f>IF($G42="","",$G42*(IF(ADRYr1!$AI42=CC$4,ADRYr1!$AJ42,IF(ADRYr1!$AK42=CC$4,ADRYr1!$AL42,IF(ADRYr1!$AM42=CC$4,ADRYr1!$AN42,0))))*(INDEX(avoidedcosttbl,$H42,CC$2)+(($H42-ROUNDDOWN($H42,0))*(INDEX(avoidedcosttbl,ROUNDUP($H42,0),CC$2)-(INDEX(avoidedcosttbl,ROUNDDOWN($H42,0),CC$2)))))*ADRYr1!P42*ADRYr1!Q42*ADRYr1!U42)</f>
        <v/>
      </c>
      <c r="CD42" s="28" t="str">
        <f>IF($G42="","",$G42*(IF(ADRYr1!$AI42=CD$4,ADRYr1!$AJ42,IF(ADRYr1!$AK42=CD$4,ADRYr1!$AL42,IF(ADRYr1!$AM42=CD$4,ADRYr1!$AN42,0))))*(INDEX(avoidedcosttbl,$H42,CD$2)+(($H42-ROUNDDOWN($H42,0))*(INDEX(avoidedcosttbl,ROUNDUP($H42,0),CD$2)-(INDEX(avoidedcosttbl,ROUNDDOWN($H42,0),CD$2)))))*ADRYr1!P42*ADRYr1!Q42*ADRYr1!U42)</f>
        <v/>
      </c>
      <c r="CE42" s="28" t="str">
        <f>IF($G42="","",$G42*(IF(ADRYr1!$AI42=CE$4,ADRYr1!$AJ42,IF(ADRYr1!$AK42=CE$4,ADRYr1!$AL42,IF(ADRYr1!$AM42=CE$4,ADRYr1!$AN42,0))))*(INDEX(avoidedcosttbl,$H42,CE$2)+(($H42-ROUNDDOWN($H42,0))*(INDEX(avoidedcosttbl,ROUNDUP($H42,0),CE$2)-(INDEX(avoidedcosttbl,ROUNDDOWN($H42,0),CE$2)))))*ADRYr1!P42*ADRYr1!Q42*ADRYr1!U42)</f>
        <v/>
      </c>
      <c r="CF42" s="41" t="str">
        <f t="shared" si="39"/>
        <v/>
      </c>
      <c r="CG42" s="30" t="str">
        <f t="shared" si="11"/>
        <v/>
      </c>
      <c r="CH42" s="30" t="str">
        <f>IF($G42="","",$G42*(IF(ADRYr1!$AI42=BY$4,ADRYr1!$AJ42,IF(ADRYr1!$AK42=BY$4,ADRYr1!$AL42,IF(ADRYr1!$AM42=BY$4,ADRYr1!$AN42,0))))*(INDEX(avoidedcosttbl,$H42,CH$2)+(($H42-ROUNDDOWN($H42,0))*(INDEX(avoidedcosttbl,ROUNDUP($H42,0),CH$2)-(INDEX(avoidedcosttbl,ROUNDDOWN($H42,0),CH$2)))))*ADRYr1!P42*ADRYr1!Q42*ADRYr1!U42)</f>
        <v/>
      </c>
      <c r="CI42" s="30" t="str">
        <f>IF($G42="","",$G42*(IF(ADRYr1!$AI42=BZ$4,ADRYr1!$AJ42,IF(ADRYr1!$AK42=BZ$4,ADRYr1!$AL42,IF(ADRYr1!$AM42=BZ$4,ADRYr1!$AN42,0))))*(INDEX(avoidedcosttbl,$H42,CI$2)+(($H42-ROUNDDOWN($H42,0))*(INDEX(avoidedcosttbl,ROUNDUP($H42,0),CI$2)-(INDEX(avoidedcosttbl,ROUNDDOWN($H42,0),CI$2)))))*ADRYr1!P42*ADRYr1!Q42*ADRYr1!U42)</f>
        <v/>
      </c>
      <c r="CJ42" s="30" t="str">
        <f>IF($G42="","",$G42*(IF(ADRYr1!$AI42=CA$4,ADRYr1!$AJ42,IF(ADRYr1!$AK42=CA$4,ADRYr1!$AL42,IF(ADRYr1!$AM42=CA$4,ADRYr1!$AN42,0))))*(INDEX(avoidedcosttbl,$H42,CJ$2)+(($H42-ROUNDDOWN($H42,0))*(INDEX(avoidedcosttbl,ROUNDUP($H42,0),CJ$2)-(INDEX(avoidedcosttbl,ROUNDDOWN($H42,0),CJ$2)))))*ADRYr1!P42*ADRYr1!Q42*ADRYr1!U42)</f>
        <v/>
      </c>
      <c r="CK42" s="30" t="str">
        <f>IF($G42="","",$G42*(IF(ADRYr1!$AI42=CB$4,ADRYr1!$AJ42,IF(ADRYr1!$AK42=CB$4,ADRYr1!$AL42,IF(ADRYr1!$AM42=CB$4,ADRYr1!$AN42,0))))*(INDEX(avoidedcosttbl,$H42,CK$2)+(($H42-ROUNDDOWN($H42,0))*(INDEX(avoidedcosttbl,ROUNDUP($H42,0),CK$2)-(INDEX(avoidedcosttbl,ROUNDDOWN($H42,0),CK$2)))))*ADRYr1!P42*ADRYr1!Q42*ADRYr1!U42)</f>
        <v/>
      </c>
      <c r="CL42" s="30" t="str">
        <f>IF($G42="","",$G42*(IF(ADRYr1!$AI42=CC$4,ADRYr1!$AJ42,IF(ADRYr1!$AK42=CC$4,ADRYr1!$AL42,IF(ADRYr1!$AM42=CC$4,ADRYr1!$AN42,0))))*(INDEX(avoidedcosttbl,$H42,CL$2)+(($H42-ROUNDDOWN($H42,0))*(INDEX(avoidedcosttbl,ROUNDUP($H42,0),CL$2)-(INDEX(avoidedcosttbl,ROUNDDOWN($H42,0),CL$2)))))*ADRYr1!P42*ADRYr1!Q42*ADRYr1!U42)</f>
        <v/>
      </c>
      <c r="CM42" s="30" t="str">
        <f>IF($G42="","",$G42*(IF(ADRYr1!$AI42=CD$4,ADRYr1!$AJ42,IF(ADRYr1!$AK42=CD$4,ADRYr1!$AL42,IF(ADRYr1!$AM42=CD$4,ADRYr1!$AN42,0))))*(INDEX(avoidedcosttbl,$H42,CM$2)+(($H42-ROUNDDOWN($H42,0))*(INDEX(avoidedcosttbl,ROUNDUP($H42,0),CM$2)-(INDEX(avoidedcosttbl,ROUNDDOWN($H42,0),CM$2)))))*ADRYr1!P42*ADRYr1!Q42*ADRYr1!U42)</f>
        <v/>
      </c>
      <c r="CN42" s="30" t="str">
        <f>IF($G42="","",$G42*(IF(ADRYr1!$AI42=CE$4,ADRYr1!$AJ42,IF(ADRYr1!$AK42=CE$4,ADRYr1!$AL42,IF(ADRYr1!$AM42=CE$4,ADRYr1!$AN42,0))))*(INDEX(avoidedcosttbl,$H42,CN$2)+(($H42-ROUNDDOWN($H42,0))*(INDEX(avoidedcosttbl,ROUNDUP($H42,0),CN$2)-(INDEX(avoidedcosttbl,ROUNDDOWN($H42,0),CN$2)))))*ADRYr1!P42*ADRYr1!Q42*ADRYr1!U42)</f>
        <v/>
      </c>
      <c r="CO42" s="220" t="str">
        <f t="shared" si="40"/>
        <v/>
      </c>
      <c r="CP42" s="220" t="str">
        <f t="shared" si="41"/>
        <v/>
      </c>
      <c r="CQ42" s="157" t="str">
        <f>IF($G42="","",$G42*(IF(ADRYr1!$AI42=CQ$4,ADRYr1!$AJ42,IF(ADRYr1!$AK42=CQ$4,ADRYr1!$AL42,IF(ADRYr1!$AM42=CQ$4,ADRYr1!$AN42,0))))*(INDEX(avoidedcosttbl,$H42,CQ$2)+(($H42-ROUNDDOWN($H42,0))*(INDEX(avoidedcosttbl,ROUNDUP($H42,0),CQ$2)-(INDEX(avoidedcosttbl,ROUNDDOWN($H42,0),CQ$2)))))*ADRYr1!$P42*ADRYr1!$Q42*ADRYr1!$U42)</f>
        <v/>
      </c>
      <c r="CR42" s="28" t="str">
        <f>IF($G42="","",G42*(IF(ADRYr1!$AI42=CR$4,ADRYr1!$AJ42,IF(ADRYr1!$AK42=CR$4,ADRYr1!$AL42,IF(ADRYr1!$AM42=CR$4,ADRYr1!$AN42,0))))*(INDEX(avoidedcosttbl,$H42,CR$2)+(($H42-ROUNDDOWN($H42,0))*(INDEX(avoidedcosttbl,ROUNDUP($H42,0),CR$2)-(INDEX(avoidedcosttbl,ROUNDDOWN($H42,0),CR$2)))))*ADRYr1!$P42*ADRYr1!$Q42*ADRYr1!$U42)</f>
        <v/>
      </c>
      <c r="CS42" s="28" t="str">
        <f>IF($G42="","",G42*(IF(ADRYr1!$AI42=CS$4,ADRYr1!$AJ42,IF(ADRYr1!$AK42=CS$4,ADRYr1!$AL42,IF(ADRYr1!$AM42=CS$4,ADRYr1!$AN42,0))))*(INDEX(avoidedcosttbl,$H42,CS$2)+(($H42-ROUNDDOWN($H42,0))*(INDEX(avoidedcosttbl,ROUNDUP($H42,0),CS$2)-(INDEX(avoidedcosttbl,ROUNDDOWN($H42,0),CS$2)))))*ADRYr1!$P42*ADRYr1!$Q42*ADRYr1!$U42)</f>
        <v/>
      </c>
      <c r="CT42" s="28" t="str">
        <f t="shared" si="12"/>
        <v/>
      </c>
      <c r="CU42" s="28" t="str">
        <f>IF($G42="","",G42*(IF(ADRYr1!$AI42=CU$4,ADRYr1!$AJ42,IF(ADRYr1!$AK42=CU$4,ADRYr1!$AL42,IF(ADRYr1!$AM42=CU$4,ADRYr1!$AN42,0))))*(INDEX(avoidedcosttbl,$H42,CU$2)+(($H42-ROUNDDOWN($H42,0))*(INDEX(avoidedcosttbl,ROUNDUP($H42,0),CU$2)-(INDEX(avoidedcosttbl,ROUNDDOWN($H42,0),CU$2)))))*ADRYr1!$P42*ADRYr1!$Q42*ADRYr1!$U42)</f>
        <v/>
      </c>
      <c r="CV42" s="28" t="str">
        <f>IF($G42="","",G42*(IF(ADRYr1!$AI42=CV$4,ADRYr1!$AJ42,IF(ADRYr1!$AK42=CV$4,ADRYr1!$AL42,IF(ADRYr1!$AM42=CV$4,ADRYr1!$AN42,0))))*(INDEX(avoidedcosttbl,$H42,CV$2)+(($H42-ROUNDDOWN($H42,0))*(INDEX(avoidedcosttbl,ROUNDUP($H42,0),CV$2)-(INDEX(avoidedcosttbl,ROUNDDOWN($H42,0),CV$2)))))*ADRYr1!$P42*ADRYr1!$Q42*ADRYr1!$U42)</f>
        <v/>
      </c>
      <c r="CW42" s="28" t="str">
        <f>IF($G42="","",G42*(IF(ADRYr1!$AI42=CW$4,ADRYr1!$AJ42,IF(ADRYr1!$AK42=CW$4,ADRYr1!$AL42,IF(ADRYr1!$AM42=CW$4,ADRYr1!$AN42,0))))*(INDEX(avoidedcosttbl,$H42,CW$2)+(($H42-ROUNDDOWN($H42,0))*(INDEX(avoidedcosttbl,ROUNDUP($H42,0),CW$2)-(INDEX(avoidedcosttbl,ROUNDDOWN($H42,0),CW$2)))))*ADRYr1!$P42*ADRYr1!$Q42*ADRYr1!$U42)</f>
        <v/>
      </c>
      <c r="CX42" s="28" t="str">
        <f>IF($G42="","",G42*(IF(ADRYr1!$AI42=CX$4,ADRYr1!$AJ42,IF(ADRYr1!$AK42=CX$4,ADRYr1!$AL42,IF(ADRYr1!$AM42=CX$4,ADRYr1!$AN42,0))))*(INDEX(avoidedcosttbl,$H42,CX$2)+(($H42-ROUNDDOWN($H42,0))*(INDEX(avoidedcosttbl,ROUNDUP($H42,0),CX$2)-(INDEX(avoidedcosttbl,ROUNDDOWN($H42,0),CX$2)))))*ADRYr1!$P42*ADRYr1!$Q42*ADRYr1!$U42)</f>
        <v/>
      </c>
      <c r="CY42" s="28" t="str">
        <f t="shared" si="13"/>
        <v/>
      </c>
      <c r="CZ42" s="32" t="str">
        <f t="shared" si="14"/>
        <v/>
      </c>
      <c r="DA42" s="84" t="str">
        <f t="shared" si="42"/>
        <v/>
      </c>
      <c r="DB42" s="81" t="str">
        <f>IF(NEIadder="Yes",IF($G42="","",INDEX(Lookups!$G$70:$G$71,MATCH($A42,Lookups!$E$70:$E$71,0))*(SUM(CP42:CX42,BX42))),"")</f>
        <v/>
      </c>
      <c r="DC42" s="263" t="str">
        <f t="shared" si="15"/>
        <v/>
      </c>
      <c r="DD42" s="166" t="str">
        <f t="shared" si="16"/>
        <v/>
      </c>
      <c r="DE42" s="82">
        <f t="shared" si="43"/>
        <v>0</v>
      </c>
      <c r="DF42" s="615" t="str">
        <f>IF($G42="","",(1+WntPeakEnergyLL)*(INDEX(avoidedcosttbl,$H42,DF$2)+(($H42-ROUNDDOWN($H42,0))*(INDEX(avoidedcosttbl,ROUNDUP($H42,0),DF$2)-(INDEX(avoidedcosttbl,ROUNDDOWN($H42,0),DF$2)))))*$P42*1000*ADRYr1!Z42)</f>
        <v/>
      </c>
      <c r="DG42" s="615" t="str">
        <f>IF($G42="","",(1+WntOffPeakEnergyLL)*(INDEX(avoidedcosttbl,$H42,DG$2)+(($H42-ROUNDDOWN($H42,0))*(INDEX(avoidedcosttbl,ROUNDUP($H42,0),DG$2)-(INDEX(avoidedcosttbl,ROUNDDOWN($H42,0),DG$2)))))*$P42*1000*ADRYr1!AA42)</f>
        <v/>
      </c>
      <c r="DH42" s="615" t="str">
        <f>IF($G42="","",(1+SumPeakEnergyLL)*(INDEX(avoidedcosttbl,$H42,DH$2)+(($H42-ROUNDDOWN($H42,0))*(INDEX(avoidedcosttbl,ROUNDUP($H42,0),DH$2)-(INDEX(avoidedcosttbl,ROUNDDOWN($H42,0),DH$2)))))*$P42*1000*ADRYr1!AB42)</f>
        <v/>
      </c>
      <c r="DI42" s="615" t="str">
        <f>IF($G42="","",(1+SumOffPeakEnergyLL)*(INDEX(avoidedcosttbl,$H42,DI$2)+(($H42-ROUNDDOWN($H42,0))*(INDEX(avoidedcosttbl,ROUNDUP($H42,0),DI$2)-(INDEX(avoidedcosttbl,ROUNDDOWN($H42,0),DI$2)))))*$P42*1000*ADRYr1!AC42)</f>
        <v/>
      </c>
      <c r="DJ42" s="29" t="str">
        <f t="shared" si="44"/>
        <v/>
      </c>
      <c r="DK42" s="161" t="str">
        <f t="shared" ref="DK42:DK50" si="51">IF($G42="","",DE42+DA42+BX42+DJ42)</f>
        <v/>
      </c>
      <c r="DL42" s="1189"/>
      <c r="DM42" s="1189" t="str">
        <f t="shared" si="47"/>
        <v/>
      </c>
      <c r="DO42" s="966" t="str">
        <f>IF($G42="","",ADRYr1!AQ42)</f>
        <v/>
      </c>
      <c r="DP42" s="968" t="str">
        <f>IF($G42="","",ADRYr1!AR42)</f>
        <v/>
      </c>
      <c r="DQ42" s="970" t="str">
        <f>IF($G42="","",IF($DP42="Yes",COLUMN(AESC!$L$10),IF($DP42="No","Using AvoidedDemand tab",IF($DP42="Mixed",COLUMN(AESC!$N$10)))))</f>
        <v/>
      </c>
      <c r="DR42" s="970" t="str">
        <f>IF($G42="","",IF($DP42="Yes",COLUMN(AESC!$P$10),IF($DP42="No","Using AvoidedDemand tab",IF($DP42="Mixed",COLUMN(AESC!$R$10)))))</f>
        <v/>
      </c>
      <c r="DS42" s="970" t="str">
        <f>IF($G42="","",IF($DP42="Yes",COLUMN(AESC!$S$10),IF($DP42="No",COLUMN(AESC!$T$10),IF($DP42="Mixed",COLUMN(AESC!$U$10)))))</f>
        <v/>
      </c>
      <c r="DT42" s="970" t="str">
        <f t="shared" si="17"/>
        <v/>
      </c>
      <c r="DU42" s="970" t="str">
        <f>IF($G42="","",ADRYr1!AS42)</f>
        <v/>
      </c>
      <c r="DV42" s="971" t="str">
        <f>IF($G42="","",ADRYr1!AT42)</f>
        <v/>
      </c>
      <c r="DW42" s="1162" t="str">
        <f>IF($G42="","",INDEX(AvoidedEnergy!$H$4:$H$10,MATCH($DO42,AvoidedEnergy!$A$4:$A$10,0)))</f>
        <v/>
      </c>
    </row>
    <row r="43" spans="1:127">
      <c r="A43" s="160" t="str">
        <f>IF(ADRYr1!$B43=0,"",ADRYr1!A43)</f>
        <v/>
      </c>
      <c r="B43" s="9" t="str">
        <f>IF(ADRYr1!$B43=0,"",ADRYr1!B43)</f>
        <v/>
      </c>
      <c r="C43" s="9" t="str">
        <f>IF(ADRYr1!$B43=0,"",ADRYr1!C43)</f>
        <v/>
      </c>
      <c r="D43" s="9" t="str">
        <f>IF(ADRYr1!$B43=0,"",ADRYr1!D43)</f>
        <v/>
      </c>
      <c r="E43" s="9"/>
      <c r="F43" s="11" t="str">
        <f>IF(ADRYr1!$B43=0,"",ADRYr1!F43)</f>
        <v/>
      </c>
      <c r="G43" s="12" t="str">
        <f>IF(ADRYr1!$G43&lt;&gt;0,ADRYr1!G43,"")</f>
        <v/>
      </c>
      <c r="H43" s="960" t="str">
        <f>IF($G43="","",ROUND(ADRYr1!H43,0))</f>
        <v/>
      </c>
      <c r="I43" s="47" t="str">
        <f>IF($G43="","",ADRYr1!I43*ADRYr1!P43*G43)</f>
        <v/>
      </c>
      <c r="J43" s="47" t="str">
        <f>IF($G43="","",ADRYr1!J43*G43)</f>
        <v/>
      </c>
      <c r="K43" s="47" t="str">
        <f t="shared" si="18"/>
        <v/>
      </c>
      <c r="L43" s="27" t="str">
        <f>IF($G43="","",ADRYr1!V43*G43/1000)</f>
        <v/>
      </c>
      <c r="M43" s="27" t="str">
        <f>IF($G43="","",L43*ADRYr1!$Q43*ADRYr1!$R43)</f>
        <v/>
      </c>
      <c r="N43" s="27" t="str">
        <f t="shared" si="19"/>
        <v/>
      </c>
      <c r="O43" s="27" t="str">
        <f t="shared" si="20"/>
        <v/>
      </c>
      <c r="P43" s="27" t="str">
        <f>IF($G43="","",M43*ADRYr1!P43)</f>
        <v/>
      </c>
      <c r="Q43" s="27" t="str">
        <f t="shared" si="21"/>
        <v/>
      </c>
      <c r="R43" s="27" t="str">
        <f>IF($G43="","",$Q43*ADRYr1!Z43)</f>
        <v/>
      </c>
      <c r="S43" s="27" t="str">
        <f>IF($G43="","",$Q43*ADRYr1!AA43)</f>
        <v/>
      </c>
      <c r="T43" s="27" t="str">
        <f>IF($G43="","",$Q43*ADRYr1!AB43)</f>
        <v/>
      </c>
      <c r="U43" s="27" t="str">
        <f>IF($G43="","",$Q43*ADRYr1!AC43)</f>
        <v/>
      </c>
      <c r="V43" s="27" t="str">
        <f>IF($G43="","",G43*ADRYr1!$AD43*ADRYr1!$P43*ADRYr1!$Q43)</f>
        <v/>
      </c>
      <c r="W43" s="27" t="str">
        <f>IF($G43="","",$G43*ADRYr1!$AD43*ADRYr1!$AF43*ADRYr1!Q43*ADRYr1!$S43)</f>
        <v/>
      </c>
      <c r="X43" s="27" t="str">
        <f>IF($G43="","",$G43*ADRYr1!$AD43*ADRYr1!$AF43*ADRYr1!P43*ADRYr1!Q43*ADRYr1!$S43)</f>
        <v/>
      </c>
      <c r="Y43" s="27" t="str">
        <f>IF($G43="","",$G43*ADRYr1!$AD43*ADRYr1!$AE43*ADRYr1!Q43*ADRYr1!$T43)</f>
        <v/>
      </c>
      <c r="Z43" s="27" t="str">
        <f>IF($G43="","",$G43*ADRYr1!$AD43*ADRYr1!$AE43*ADRYr1!P43*ADRYr1!Q43*ADRYr1!$T43)</f>
        <v/>
      </c>
      <c r="AA43" s="45" t="str">
        <f>IF($G43="","",$G43*ADRYr1!$Q43*ADRYr1!$U43*(IF(IFERROR(SEARCH("NG", ADRYr1!$AI43),0),ADRYr1!$AJ43,0)+IF(IFERROR(SEARCH("NG", ADRYr1!$AK43),0),ADRYr1!$AL43,0)+IF(IFERROR(SEARCH("NG", ADRYr1!$AM43),0),ADRYr1!$AN43,0)))</f>
        <v/>
      </c>
      <c r="AB43" s="45" t="str">
        <f t="shared" si="22"/>
        <v/>
      </c>
      <c r="AC43" s="45">
        <f>IF($G43="",0,AA43*ADRYr1!$P43)</f>
        <v>0</v>
      </c>
      <c r="AD43" s="45" t="str">
        <f t="shared" si="23"/>
        <v/>
      </c>
      <c r="AE43" s="45" t="str">
        <f>IF($G43="","",$G43*ADRYr1!$Q43*ADRYr1!$U43*(IF(IFERROR(SEARCH("Oil", ADRYr1!$AI43), 0),ADRYr1!$AJ43,0)+IF(IFERROR(SEARCH("Oil", ADRYr1!$AK43), 0),ADRYr1!$AL43,0)+IF(IFERROR(SEARCH("Oil", ADRYr1!$AM43), 0),ADRYr1!$AN43,0)))</f>
        <v/>
      </c>
      <c r="AF43" s="45" t="str">
        <f t="shared" si="24"/>
        <v/>
      </c>
      <c r="AG43" s="45">
        <f>IF($G43="",0,AE43*ADRYr1!$P43)</f>
        <v>0</v>
      </c>
      <c r="AH43" s="45" t="str">
        <f t="shared" si="25"/>
        <v/>
      </c>
      <c r="AI43" s="45" t="str">
        <f>IF($G43="","",$G43*ADRYr1!$Q43*ADRYr1!$U43*(IF(ADRYr1!$AI43=Lookups!$E$116,ADRYr1!$AJ43,IF(ADRYr1!$AK43=Lookups!$E$116,ADRYr1!$AL43,IF(ADRYr1!$AM43=Lookups!$E$116,ADRYr1!$AN43,0)))))</f>
        <v/>
      </c>
      <c r="AJ43" s="45" t="str">
        <f t="shared" si="26"/>
        <v/>
      </c>
      <c r="AK43" s="45">
        <f>IF($G43="",0,AI43*ADRYr1!$P43)</f>
        <v>0</v>
      </c>
      <c r="AL43" s="45" t="str">
        <f t="shared" si="27"/>
        <v/>
      </c>
      <c r="AM43" s="45" t="str">
        <f>IF($G43="","",$G43*ADRYr1!$Q43*ADRYr1!$U43*(IF(ADRYr1!$AI43=Lookups!$E$115,ADRYr1!$AJ43,IF(ADRYr1!$AK43=Lookups!$E$115,ADRYr1!$AL43,IF(ADRYr1!$AM43=Lookups!$E$115,ADRYr1!$AN43,0)))))</f>
        <v/>
      </c>
      <c r="AN43" s="45" t="str">
        <f t="shared" si="28"/>
        <v/>
      </c>
      <c r="AO43" s="45">
        <f>IF($G43="",0,AM43*ADRYr1!$P43)</f>
        <v>0</v>
      </c>
      <c r="AP43" s="45" t="str">
        <f t="shared" si="29"/>
        <v/>
      </c>
      <c r="AQ43" s="45" t="str">
        <f>IF($G43="","",$G43*ADRYr1!$Q43*ADRYr1!$U43*(IF(ADRYr1!$AI43=Lookups!$E$117,ADRYr1!$AJ43,IF(ADRYr1!$AK43=Lookups!$E$117,ADRYr1!$AL43,IF(ADRYr1!$AM43=Lookups!$E$117,ADRYr1!$AN43,0)))))</f>
        <v/>
      </c>
      <c r="AR43" s="45" t="str">
        <f t="shared" si="30"/>
        <v/>
      </c>
      <c r="AS43" s="45" t="str">
        <f>IF($G43="","",AQ43*ADRYr1!$P43)</f>
        <v/>
      </c>
      <c r="AT43" s="45" t="str">
        <f t="shared" si="31"/>
        <v/>
      </c>
      <c r="AU43" s="45" t="str">
        <f>IF($G43="","",$G43*ADRYr1!$Q43*ADRYr1!$U43*(IF(ADRYr1!$AI43=Lookups!$E$118,ADRYr1!$AJ43,IF(ADRYr1!$AK43=Lookups!$E$118,ADRYr1!$AL43,IF(ADRYr1!$AM43=Lookups!$E$118,ADRYr1!$AN43,0)))))</f>
        <v/>
      </c>
      <c r="AV43" s="45" t="str">
        <f t="shared" si="32"/>
        <v/>
      </c>
      <c r="AW43" s="45" t="str">
        <f>IF($G43="","",AU43*ADRYr1!$P43)</f>
        <v/>
      </c>
      <c r="AX43" s="45" t="str">
        <f t="shared" si="33"/>
        <v/>
      </c>
      <c r="AY43" s="45">
        <f t="shared" si="49"/>
        <v>0</v>
      </c>
      <c r="AZ43" s="45">
        <f t="shared" si="49"/>
        <v>0</v>
      </c>
      <c r="BA43" s="101" t="str">
        <f>IF($G43="","",$G43*ADRYr1!$P43*ADRYr1!$Q43*ADRYr1!$U43*ADRYr1!AO43)</f>
        <v/>
      </c>
      <c r="BB43" s="102" t="str">
        <f>IF($G43="","",$G43*ADRYr1!$P43*ADRYr1!$Q43*ADRYr1!$U43*ADRYr1!AP43)</f>
        <v/>
      </c>
      <c r="BC43" s="100" t="str">
        <f t="shared" si="35"/>
        <v/>
      </c>
      <c r="BD43" s="961"/>
      <c r="BE43" s="961"/>
      <c r="BF43" s="961"/>
      <c r="BG43" s="961"/>
      <c r="BH43" s="962" t="str">
        <f t="shared" si="3"/>
        <v/>
      </c>
      <c r="BI43" s="961"/>
      <c r="BJ43" s="961"/>
      <c r="BK43" s="961"/>
      <c r="BL43" s="961"/>
      <c r="BM43" s="30" t="str">
        <f t="shared" si="4"/>
        <v/>
      </c>
      <c r="BN43" s="963" t="str">
        <f t="shared" si="5"/>
        <v/>
      </c>
      <c r="BO43" s="31" t="str">
        <f t="shared" si="36"/>
        <v/>
      </c>
      <c r="BP43" s="964" t="str">
        <f t="shared" si="6"/>
        <v/>
      </c>
      <c r="BQ43" s="28" t="str">
        <f t="shared" si="7"/>
        <v/>
      </c>
      <c r="BR43" s="964" t="str">
        <f t="shared" si="8"/>
        <v/>
      </c>
      <c r="BS43" s="964" t="str">
        <f t="shared" si="9"/>
        <v/>
      </c>
      <c r="BT43" s="28" t="str">
        <f t="shared" si="50"/>
        <v/>
      </c>
      <c r="BU43" s="28" t="str">
        <f t="shared" si="50"/>
        <v/>
      </c>
      <c r="BV43" s="28" t="str">
        <f t="shared" si="50"/>
        <v/>
      </c>
      <c r="BW43" s="29" t="str">
        <f t="shared" si="37"/>
        <v/>
      </c>
      <c r="BX43" s="29" t="str">
        <f t="shared" si="38"/>
        <v/>
      </c>
      <c r="BY43" s="28" t="str">
        <f>IF($G43="","",$G43*(IF(ADRYr1!$AI43=BY$4,ADRYr1!$AJ43,IF(ADRYr1!$AK43=BY$4,ADRYr1!$AL43,IF(ADRYr1!$AM43=BY$4,ADRYr1!$AN43,0))))*(INDEX(avoidedcosttbl,$H43,BY$2)+(($H43-ROUNDDOWN($H43,0))*(INDEX(avoidedcosttbl,ROUNDUP($H43,0),BY$2)-(INDEX(avoidedcosttbl,ROUNDDOWN($H43,0),BY$2)))))*ADRYr1!P43*ADRYr1!Q43*ADRYr1!U43)</f>
        <v/>
      </c>
      <c r="BZ43" s="28" t="str">
        <f>IF($G43="","",$G43*(IF(ADRYr1!$AI43=BZ$4,ADRYr1!$AJ43,IF(ADRYr1!$AK43=BZ$4,ADRYr1!$AL43,IF(ADRYr1!$AM43=BZ$4,ADRYr1!$AN43,0))))*(INDEX(avoidedcosttbl,$H43,BZ$2)+(($H43-ROUNDDOWN($H43,0))*(INDEX(avoidedcosttbl,ROUNDUP($H43,0),BZ$2)-(INDEX(avoidedcosttbl,ROUNDDOWN($H43,0),BZ$2)))))*ADRYr1!P43*ADRYr1!Q43*ADRYr1!U43)</f>
        <v/>
      </c>
      <c r="CA43" s="28" t="str">
        <f>IF($G43="","",$G43*(IF(ADRYr1!$AI43=CA$4,ADRYr1!$AJ43,IF(ADRYr1!$AK43=CA$4,ADRYr1!$AL43,IF(ADRYr1!$AM43=CA$4,ADRYr1!$AN43,0))))*(INDEX(avoidedcosttbl,$H43,CA$2)+(($H43-ROUNDDOWN($H43,0))*(INDEX(avoidedcosttbl,ROUNDUP($H43,0),CA$2)-(INDEX(avoidedcosttbl,ROUNDDOWN($H43,0),CA$2)))))*ADRYr1!P43*ADRYr1!Q43*ADRYr1!U43)</f>
        <v/>
      </c>
      <c r="CB43" s="28" t="str">
        <f>IF($G43="","",$G43*(IF(ADRYr1!$AI43=CB$4,ADRYr1!$AJ43,IF(ADRYr1!$AK43=CB$4,ADRYr1!$AL43,IF(ADRYr1!$AM43=CB$4,ADRYr1!$AN43,0))))*(INDEX(avoidedcosttbl,$H43,CB$2)+(($H43-ROUNDDOWN($H43,0))*(INDEX(avoidedcosttbl,ROUNDUP($H43,0),CB$2)-(INDEX(avoidedcosttbl,ROUNDDOWN($H43,0),CB$2)))))*ADRYr1!P43*ADRYr1!Q43*ADRYr1!U43)</f>
        <v/>
      </c>
      <c r="CC43" s="28" t="str">
        <f>IF($G43="","",$G43*(IF(ADRYr1!$AI43=CC$4,ADRYr1!$AJ43,IF(ADRYr1!$AK43=CC$4,ADRYr1!$AL43,IF(ADRYr1!$AM43=CC$4,ADRYr1!$AN43,0))))*(INDEX(avoidedcosttbl,$H43,CC$2)+(($H43-ROUNDDOWN($H43,0))*(INDEX(avoidedcosttbl,ROUNDUP($H43,0),CC$2)-(INDEX(avoidedcosttbl,ROUNDDOWN($H43,0),CC$2)))))*ADRYr1!P43*ADRYr1!Q43*ADRYr1!U43)</f>
        <v/>
      </c>
      <c r="CD43" s="28" t="str">
        <f>IF($G43="","",$G43*(IF(ADRYr1!$AI43=CD$4,ADRYr1!$AJ43,IF(ADRYr1!$AK43=CD$4,ADRYr1!$AL43,IF(ADRYr1!$AM43=CD$4,ADRYr1!$AN43,0))))*(INDEX(avoidedcosttbl,$H43,CD$2)+(($H43-ROUNDDOWN($H43,0))*(INDEX(avoidedcosttbl,ROUNDUP($H43,0),CD$2)-(INDEX(avoidedcosttbl,ROUNDDOWN($H43,0),CD$2)))))*ADRYr1!P43*ADRYr1!Q43*ADRYr1!U43)</f>
        <v/>
      </c>
      <c r="CE43" s="28" t="str">
        <f>IF($G43="","",$G43*(IF(ADRYr1!$AI43=CE$4,ADRYr1!$AJ43,IF(ADRYr1!$AK43=CE$4,ADRYr1!$AL43,IF(ADRYr1!$AM43=CE$4,ADRYr1!$AN43,0))))*(INDEX(avoidedcosttbl,$H43,CE$2)+(($H43-ROUNDDOWN($H43,0))*(INDEX(avoidedcosttbl,ROUNDUP($H43,0),CE$2)-(INDEX(avoidedcosttbl,ROUNDDOWN($H43,0),CE$2)))))*ADRYr1!P43*ADRYr1!Q43*ADRYr1!U43)</f>
        <v/>
      </c>
      <c r="CF43" s="41" t="str">
        <f t="shared" si="39"/>
        <v/>
      </c>
      <c r="CG43" s="30" t="str">
        <f t="shared" si="11"/>
        <v/>
      </c>
      <c r="CH43" s="30" t="str">
        <f>IF($G43="","",$G43*(IF(ADRYr1!$AI43=BY$4,ADRYr1!$AJ43,IF(ADRYr1!$AK43=BY$4,ADRYr1!$AL43,IF(ADRYr1!$AM43=BY$4,ADRYr1!$AN43,0))))*(INDEX(avoidedcosttbl,$H43,CH$2)+(($H43-ROUNDDOWN($H43,0))*(INDEX(avoidedcosttbl,ROUNDUP($H43,0),CH$2)-(INDEX(avoidedcosttbl,ROUNDDOWN($H43,0),CH$2)))))*ADRYr1!P43*ADRYr1!Q43*ADRYr1!U43)</f>
        <v/>
      </c>
      <c r="CI43" s="30" t="str">
        <f>IF($G43="","",$G43*(IF(ADRYr1!$AI43=BZ$4,ADRYr1!$AJ43,IF(ADRYr1!$AK43=BZ$4,ADRYr1!$AL43,IF(ADRYr1!$AM43=BZ$4,ADRYr1!$AN43,0))))*(INDEX(avoidedcosttbl,$H43,CI$2)+(($H43-ROUNDDOWN($H43,0))*(INDEX(avoidedcosttbl,ROUNDUP($H43,0),CI$2)-(INDEX(avoidedcosttbl,ROUNDDOWN($H43,0),CI$2)))))*ADRYr1!P43*ADRYr1!Q43*ADRYr1!U43)</f>
        <v/>
      </c>
      <c r="CJ43" s="30" t="str">
        <f>IF($G43="","",$G43*(IF(ADRYr1!$AI43=CA$4,ADRYr1!$AJ43,IF(ADRYr1!$AK43=CA$4,ADRYr1!$AL43,IF(ADRYr1!$AM43=CA$4,ADRYr1!$AN43,0))))*(INDEX(avoidedcosttbl,$H43,CJ$2)+(($H43-ROUNDDOWN($H43,0))*(INDEX(avoidedcosttbl,ROUNDUP($H43,0),CJ$2)-(INDEX(avoidedcosttbl,ROUNDDOWN($H43,0),CJ$2)))))*ADRYr1!P43*ADRYr1!Q43*ADRYr1!U43)</f>
        <v/>
      </c>
      <c r="CK43" s="30" t="str">
        <f>IF($G43="","",$G43*(IF(ADRYr1!$AI43=CB$4,ADRYr1!$AJ43,IF(ADRYr1!$AK43=CB$4,ADRYr1!$AL43,IF(ADRYr1!$AM43=CB$4,ADRYr1!$AN43,0))))*(INDEX(avoidedcosttbl,$H43,CK$2)+(($H43-ROUNDDOWN($H43,0))*(INDEX(avoidedcosttbl,ROUNDUP($H43,0),CK$2)-(INDEX(avoidedcosttbl,ROUNDDOWN($H43,0),CK$2)))))*ADRYr1!P43*ADRYr1!Q43*ADRYr1!U43)</f>
        <v/>
      </c>
      <c r="CL43" s="30" t="str">
        <f>IF($G43="","",$G43*(IF(ADRYr1!$AI43=CC$4,ADRYr1!$AJ43,IF(ADRYr1!$AK43=CC$4,ADRYr1!$AL43,IF(ADRYr1!$AM43=CC$4,ADRYr1!$AN43,0))))*(INDEX(avoidedcosttbl,$H43,CL$2)+(($H43-ROUNDDOWN($H43,0))*(INDEX(avoidedcosttbl,ROUNDUP($H43,0),CL$2)-(INDEX(avoidedcosttbl,ROUNDDOWN($H43,0),CL$2)))))*ADRYr1!P43*ADRYr1!Q43*ADRYr1!U43)</f>
        <v/>
      </c>
      <c r="CM43" s="30" t="str">
        <f>IF($G43="","",$G43*(IF(ADRYr1!$AI43=CD$4,ADRYr1!$AJ43,IF(ADRYr1!$AK43=CD$4,ADRYr1!$AL43,IF(ADRYr1!$AM43=CD$4,ADRYr1!$AN43,0))))*(INDEX(avoidedcosttbl,$H43,CM$2)+(($H43-ROUNDDOWN($H43,0))*(INDEX(avoidedcosttbl,ROUNDUP($H43,0),CM$2)-(INDEX(avoidedcosttbl,ROUNDDOWN($H43,0),CM$2)))))*ADRYr1!P43*ADRYr1!Q43*ADRYr1!U43)</f>
        <v/>
      </c>
      <c r="CN43" s="30" t="str">
        <f>IF($G43="","",$G43*(IF(ADRYr1!$AI43=CE$4,ADRYr1!$AJ43,IF(ADRYr1!$AK43=CE$4,ADRYr1!$AL43,IF(ADRYr1!$AM43=CE$4,ADRYr1!$AN43,0))))*(INDEX(avoidedcosttbl,$H43,CN$2)+(($H43-ROUNDDOWN($H43,0))*(INDEX(avoidedcosttbl,ROUNDUP($H43,0),CN$2)-(INDEX(avoidedcosttbl,ROUNDDOWN($H43,0),CN$2)))))*ADRYr1!P43*ADRYr1!Q43*ADRYr1!U43)</f>
        <v/>
      </c>
      <c r="CO43" s="220" t="str">
        <f t="shared" si="40"/>
        <v/>
      </c>
      <c r="CP43" s="220" t="str">
        <f t="shared" si="41"/>
        <v/>
      </c>
      <c r="CQ43" s="157" t="str">
        <f>IF($G43="","",$G43*(IF(ADRYr1!$AI43=CQ$4,ADRYr1!$AJ43,IF(ADRYr1!$AK43=CQ$4,ADRYr1!$AL43,IF(ADRYr1!$AM43=CQ$4,ADRYr1!$AN43,0))))*(INDEX(avoidedcosttbl,$H43,CQ$2)+(($H43-ROUNDDOWN($H43,0))*(INDEX(avoidedcosttbl,ROUNDUP($H43,0),CQ$2)-(INDEX(avoidedcosttbl,ROUNDDOWN($H43,0),CQ$2)))))*ADRYr1!$P43*ADRYr1!$Q43*ADRYr1!$U43)</f>
        <v/>
      </c>
      <c r="CR43" s="28" t="str">
        <f>IF($G43="","",G43*(IF(ADRYr1!$AI43=CR$4,ADRYr1!$AJ43,IF(ADRYr1!$AK43=CR$4,ADRYr1!$AL43,IF(ADRYr1!$AM43=CR$4,ADRYr1!$AN43,0))))*(INDEX(avoidedcosttbl,$H43,CR$2)+(($H43-ROUNDDOWN($H43,0))*(INDEX(avoidedcosttbl,ROUNDUP($H43,0),CR$2)-(INDEX(avoidedcosttbl,ROUNDDOWN($H43,0),CR$2)))))*ADRYr1!$P43*ADRYr1!$Q43*ADRYr1!$U43)</f>
        <v/>
      </c>
      <c r="CS43" s="28" t="str">
        <f>IF($G43="","",G43*(IF(ADRYr1!$AI43=CS$4,ADRYr1!$AJ43,IF(ADRYr1!$AK43=CS$4,ADRYr1!$AL43,IF(ADRYr1!$AM43=CS$4,ADRYr1!$AN43,0))))*(INDEX(avoidedcosttbl,$H43,CS$2)+(($H43-ROUNDDOWN($H43,0))*(INDEX(avoidedcosttbl,ROUNDUP($H43,0),CS$2)-(INDEX(avoidedcosttbl,ROUNDDOWN($H43,0),CS$2)))))*ADRYr1!$P43*ADRYr1!$Q43*ADRYr1!$U43)</f>
        <v/>
      </c>
      <c r="CT43" s="28" t="str">
        <f t="shared" si="12"/>
        <v/>
      </c>
      <c r="CU43" s="28" t="str">
        <f>IF($G43="","",G43*(IF(ADRYr1!$AI43=CU$4,ADRYr1!$AJ43,IF(ADRYr1!$AK43=CU$4,ADRYr1!$AL43,IF(ADRYr1!$AM43=CU$4,ADRYr1!$AN43,0))))*(INDEX(avoidedcosttbl,$H43,CU$2)+(($H43-ROUNDDOWN($H43,0))*(INDEX(avoidedcosttbl,ROUNDUP($H43,0),CU$2)-(INDEX(avoidedcosttbl,ROUNDDOWN($H43,0),CU$2)))))*ADRYr1!$P43*ADRYr1!$Q43*ADRYr1!$U43)</f>
        <v/>
      </c>
      <c r="CV43" s="28" t="str">
        <f>IF($G43="","",G43*(IF(ADRYr1!$AI43=CV$4,ADRYr1!$AJ43,IF(ADRYr1!$AK43=CV$4,ADRYr1!$AL43,IF(ADRYr1!$AM43=CV$4,ADRYr1!$AN43,0))))*(INDEX(avoidedcosttbl,$H43,CV$2)+(($H43-ROUNDDOWN($H43,0))*(INDEX(avoidedcosttbl,ROUNDUP($H43,0),CV$2)-(INDEX(avoidedcosttbl,ROUNDDOWN($H43,0),CV$2)))))*ADRYr1!$P43*ADRYr1!$Q43*ADRYr1!$U43)</f>
        <v/>
      </c>
      <c r="CW43" s="28" t="str">
        <f>IF($G43="","",G43*(IF(ADRYr1!$AI43=CW$4,ADRYr1!$AJ43,IF(ADRYr1!$AK43=CW$4,ADRYr1!$AL43,IF(ADRYr1!$AM43=CW$4,ADRYr1!$AN43,0))))*(INDEX(avoidedcosttbl,$H43,CW$2)+(($H43-ROUNDDOWN($H43,0))*(INDEX(avoidedcosttbl,ROUNDUP($H43,0),CW$2)-(INDEX(avoidedcosttbl,ROUNDDOWN($H43,0),CW$2)))))*ADRYr1!$P43*ADRYr1!$Q43*ADRYr1!$U43)</f>
        <v/>
      </c>
      <c r="CX43" s="28" t="str">
        <f>IF($G43="","",G43*(IF(ADRYr1!$AI43=CX$4,ADRYr1!$AJ43,IF(ADRYr1!$AK43=CX$4,ADRYr1!$AL43,IF(ADRYr1!$AM43=CX$4,ADRYr1!$AN43,0))))*(INDEX(avoidedcosttbl,$H43,CX$2)+(($H43-ROUNDDOWN($H43,0))*(INDEX(avoidedcosttbl,ROUNDUP($H43,0),CX$2)-(INDEX(avoidedcosttbl,ROUNDDOWN($H43,0),CX$2)))))*ADRYr1!$P43*ADRYr1!$Q43*ADRYr1!$U43)</f>
        <v/>
      </c>
      <c r="CY43" s="28" t="str">
        <f t="shared" si="13"/>
        <v/>
      </c>
      <c r="CZ43" s="32" t="str">
        <f t="shared" si="14"/>
        <v/>
      </c>
      <c r="DA43" s="84" t="str">
        <f t="shared" si="42"/>
        <v/>
      </c>
      <c r="DB43" s="81" t="str">
        <f>IF(NEIadder="Yes",IF($G43="","",INDEX(Lookups!$G$70:$G$71,MATCH($A43,Lookups!$E$70:$E$71,0))*(SUM(CP43:CX43,BX43))),"")</f>
        <v/>
      </c>
      <c r="DC43" s="263" t="str">
        <f t="shared" si="15"/>
        <v/>
      </c>
      <c r="DD43" s="166" t="str">
        <f t="shared" si="16"/>
        <v/>
      </c>
      <c r="DE43" s="82">
        <f t="shared" si="43"/>
        <v>0</v>
      </c>
      <c r="DF43" s="615" t="str">
        <f>IF($G43="","",(1+WntPeakEnergyLL)*(INDEX(avoidedcosttbl,$H43,DF$2)+(($H43-ROUNDDOWN($H43,0))*(INDEX(avoidedcosttbl,ROUNDUP($H43,0),DF$2)-(INDEX(avoidedcosttbl,ROUNDDOWN($H43,0),DF$2)))))*$P43*1000*ADRYr1!Z43)</f>
        <v/>
      </c>
      <c r="DG43" s="615" t="str">
        <f>IF($G43="","",(1+WntOffPeakEnergyLL)*(INDEX(avoidedcosttbl,$H43,DG$2)+(($H43-ROUNDDOWN($H43,0))*(INDEX(avoidedcosttbl,ROUNDUP($H43,0),DG$2)-(INDEX(avoidedcosttbl,ROUNDDOWN($H43,0),DG$2)))))*$P43*1000*ADRYr1!AA43)</f>
        <v/>
      </c>
      <c r="DH43" s="615" t="str">
        <f>IF($G43="","",(1+SumPeakEnergyLL)*(INDEX(avoidedcosttbl,$H43,DH$2)+(($H43-ROUNDDOWN($H43,0))*(INDEX(avoidedcosttbl,ROUNDUP($H43,0),DH$2)-(INDEX(avoidedcosttbl,ROUNDDOWN($H43,0),DH$2)))))*$P43*1000*ADRYr1!AB43)</f>
        <v/>
      </c>
      <c r="DI43" s="615" t="str">
        <f>IF($G43="","",(1+SumOffPeakEnergyLL)*(INDEX(avoidedcosttbl,$H43,DI$2)+(($H43-ROUNDDOWN($H43,0))*(INDEX(avoidedcosttbl,ROUNDUP($H43,0),DI$2)-(INDEX(avoidedcosttbl,ROUNDDOWN($H43,0),DI$2)))))*$P43*1000*ADRYr1!AC43)</f>
        <v/>
      </c>
      <c r="DJ43" s="29" t="str">
        <f t="shared" si="44"/>
        <v/>
      </c>
      <c r="DK43" s="161" t="str">
        <f t="shared" si="51"/>
        <v/>
      </c>
      <c r="DL43" s="1189"/>
      <c r="DM43" s="1189" t="str">
        <f t="shared" si="47"/>
        <v/>
      </c>
      <c r="DO43" s="966" t="str">
        <f>IF($G43="","",ADRYr1!AQ43)</f>
        <v/>
      </c>
      <c r="DP43" s="968" t="str">
        <f>IF($G43="","",ADRYr1!AR43)</f>
        <v/>
      </c>
      <c r="DQ43" s="970" t="str">
        <f>IF($G43="","",IF($DP43="Yes",COLUMN(AESC!$L$10),IF($DP43="No","Using AvoidedDemand tab",IF($DP43="Mixed",COLUMN(AESC!$N$10)))))</f>
        <v/>
      </c>
      <c r="DR43" s="970" t="str">
        <f>IF($G43="","",IF($DP43="Yes",COLUMN(AESC!$P$10),IF($DP43="No","Using AvoidedDemand tab",IF($DP43="Mixed",COLUMN(AESC!$R$10)))))</f>
        <v/>
      </c>
      <c r="DS43" s="970" t="str">
        <f>IF($G43="","",IF($DP43="Yes",COLUMN(AESC!$S$10),IF($DP43="No",COLUMN(AESC!$T$10),IF($DP43="Mixed",COLUMN(AESC!$U$10)))))</f>
        <v/>
      </c>
      <c r="DT43" s="970" t="str">
        <f t="shared" si="17"/>
        <v/>
      </c>
      <c r="DU43" s="970" t="str">
        <f>IF($G43="","",ADRYr1!AS43)</f>
        <v/>
      </c>
      <c r="DV43" s="971" t="str">
        <f>IF($G43="","",ADRYr1!AT43)</f>
        <v/>
      </c>
      <c r="DW43" s="1162" t="str">
        <f>IF($G43="","",INDEX(AvoidedEnergy!$H$4:$H$10,MATCH($DO43,AvoidedEnergy!$A$4:$A$10,0)))</f>
        <v/>
      </c>
    </row>
    <row r="44" spans="1:127">
      <c r="A44" s="160" t="str">
        <f>IF(ADRYr1!$B44=0,"",ADRYr1!A44)</f>
        <v/>
      </c>
      <c r="B44" s="9" t="str">
        <f>IF(ADRYr1!$B44=0,"",ADRYr1!B44)</f>
        <v/>
      </c>
      <c r="C44" s="9" t="str">
        <f>IF(ADRYr1!$B44=0,"",ADRYr1!C44)</f>
        <v/>
      </c>
      <c r="D44" s="9" t="str">
        <f>IF(ADRYr1!$B44=0,"",ADRYr1!D44)</f>
        <v/>
      </c>
      <c r="E44" s="9"/>
      <c r="F44" s="11" t="str">
        <f>IF(ADRYr1!$B44=0,"",ADRYr1!F44)</f>
        <v/>
      </c>
      <c r="G44" s="12" t="str">
        <f>IF(ADRYr1!$G44&lt;&gt;0,ADRYr1!G44,"")</f>
        <v/>
      </c>
      <c r="H44" s="960" t="str">
        <f>IF($G44="","",ROUND(ADRYr1!H44,0))</f>
        <v/>
      </c>
      <c r="I44" s="47" t="str">
        <f>IF($G44="","",ADRYr1!I44*ADRYr1!P44*G44)</f>
        <v/>
      </c>
      <c r="J44" s="47" t="str">
        <f>IF($G44="","",ADRYr1!J44*G44)</f>
        <v/>
      </c>
      <c r="K44" s="47" t="str">
        <f t="shared" si="18"/>
        <v/>
      </c>
      <c r="L44" s="27" t="str">
        <f>IF($G44="","",ADRYr1!V44*G44/1000)</f>
        <v/>
      </c>
      <c r="M44" s="27" t="str">
        <f>IF($G44="","",L44*ADRYr1!$Q44*ADRYr1!$R44)</f>
        <v/>
      </c>
      <c r="N44" s="27" t="str">
        <f t="shared" si="19"/>
        <v/>
      </c>
      <c r="O44" s="27" t="str">
        <f t="shared" si="20"/>
        <v/>
      </c>
      <c r="P44" s="27" t="str">
        <f>IF($G44="","",M44*ADRYr1!P44)</f>
        <v/>
      </c>
      <c r="Q44" s="27" t="str">
        <f t="shared" si="21"/>
        <v/>
      </c>
      <c r="R44" s="27" t="str">
        <f>IF($G44="","",$Q44*ADRYr1!Z44)</f>
        <v/>
      </c>
      <c r="S44" s="27" t="str">
        <f>IF($G44="","",$Q44*ADRYr1!AA44)</f>
        <v/>
      </c>
      <c r="T44" s="27" t="str">
        <f>IF($G44="","",$Q44*ADRYr1!AB44)</f>
        <v/>
      </c>
      <c r="U44" s="27" t="str">
        <f>IF($G44="","",$Q44*ADRYr1!AC44)</f>
        <v/>
      </c>
      <c r="V44" s="27" t="str">
        <f>IF($G44="","",G44*ADRYr1!$AD44*ADRYr1!$P44*ADRYr1!$Q44)</f>
        <v/>
      </c>
      <c r="W44" s="27" t="str">
        <f>IF($G44="","",$G44*ADRYr1!$AD44*ADRYr1!$AF44*ADRYr1!Q44*ADRYr1!$S44)</f>
        <v/>
      </c>
      <c r="X44" s="27" t="str">
        <f>IF($G44="","",$G44*ADRYr1!$AD44*ADRYr1!$AF44*ADRYr1!P44*ADRYr1!Q44*ADRYr1!$S44)</f>
        <v/>
      </c>
      <c r="Y44" s="27" t="str">
        <f>IF($G44="","",$G44*ADRYr1!$AD44*ADRYr1!$AE44*ADRYr1!Q44*ADRYr1!$T44)</f>
        <v/>
      </c>
      <c r="Z44" s="27" t="str">
        <f>IF($G44="","",$G44*ADRYr1!$AD44*ADRYr1!$AE44*ADRYr1!P44*ADRYr1!Q44*ADRYr1!$T44)</f>
        <v/>
      </c>
      <c r="AA44" s="45" t="str">
        <f>IF($G44="","",$G44*ADRYr1!$Q44*ADRYr1!$U44*(IF(IFERROR(SEARCH("NG", ADRYr1!$AI44),0),ADRYr1!$AJ44,0)+IF(IFERROR(SEARCH("NG", ADRYr1!$AK44),0),ADRYr1!$AL44,0)+IF(IFERROR(SEARCH("NG", ADRYr1!$AM44),0),ADRYr1!$AN44,0)))</f>
        <v/>
      </c>
      <c r="AB44" s="45" t="str">
        <f t="shared" si="22"/>
        <v/>
      </c>
      <c r="AC44" s="45">
        <f>IF($G44="",0,AA44*ADRYr1!$P44)</f>
        <v>0</v>
      </c>
      <c r="AD44" s="45" t="str">
        <f t="shared" si="23"/>
        <v/>
      </c>
      <c r="AE44" s="45" t="str">
        <f>IF($G44="","",$G44*ADRYr1!$Q44*ADRYr1!$U44*(IF(IFERROR(SEARCH("Oil", ADRYr1!$AI44), 0),ADRYr1!$AJ44,0)+IF(IFERROR(SEARCH("Oil", ADRYr1!$AK44), 0),ADRYr1!$AL44,0)+IF(IFERROR(SEARCH("Oil", ADRYr1!$AM44), 0),ADRYr1!$AN44,0)))</f>
        <v/>
      </c>
      <c r="AF44" s="45" t="str">
        <f t="shared" si="24"/>
        <v/>
      </c>
      <c r="AG44" s="45">
        <f>IF($G44="",0,AE44*ADRYr1!$P44)</f>
        <v>0</v>
      </c>
      <c r="AH44" s="45" t="str">
        <f t="shared" si="25"/>
        <v/>
      </c>
      <c r="AI44" s="45" t="str">
        <f>IF($G44="","",$G44*ADRYr1!$Q44*ADRYr1!$U44*(IF(ADRYr1!$AI44=Lookups!$E$116,ADRYr1!$AJ44,IF(ADRYr1!$AK44=Lookups!$E$116,ADRYr1!$AL44,IF(ADRYr1!$AM44=Lookups!$E$116,ADRYr1!$AN44,0)))))</f>
        <v/>
      </c>
      <c r="AJ44" s="45" t="str">
        <f t="shared" si="26"/>
        <v/>
      </c>
      <c r="AK44" s="45">
        <f>IF($G44="",0,AI44*ADRYr1!$P44)</f>
        <v>0</v>
      </c>
      <c r="AL44" s="45" t="str">
        <f t="shared" si="27"/>
        <v/>
      </c>
      <c r="AM44" s="45" t="str">
        <f>IF($G44="","",$G44*ADRYr1!$Q44*ADRYr1!$U44*(IF(ADRYr1!$AI44=Lookups!$E$115,ADRYr1!$AJ44,IF(ADRYr1!$AK44=Lookups!$E$115,ADRYr1!$AL44,IF(ADRYr1!$AM44=Lookups!$E$115,ADRYr1!$AN44,0)))))</f>
        <v/>
      </c>
      <c r="AN44" s="45" t="str">
        <f t="shared" si="28"/>
        <v/>
      </c>
      <c r="AO44" s="45">
        <f>IF($G44="",0,AM44*ADRYr1!$P44)</f>
        <v>0</v>
      </c>
      <c r="AP44" s="45" t="str">
        <f t="shared" si="29"/>
        <v/>
      </c>
      <c r="AQ44" s="45" t="str">
        <f>IF($G44="","",$G44*ADRYr1!$Q44*ADRYr1!$U44*(IF(ADRYr1!$AI44=Lookups!$E$117,ADRYr1!$AJ44,IF(ADRYr1!$AK44=Lookups!$E$117,ADRYr1!$AL44,IF(ADRYr1!$AM44=Lookups!$E$117,ADRYr1!$AN44,0)))))</f>
        <v/>
      </c>
      <c r="AR44" s="45" t="str">
        <f t="shared" si="30"/>
        <v/>
      </c>
      <c r="AS44" s="45" t="str">
        <f>IF($G44="","",AQ44*ADRYr1!$P44)</f>
        <v/>
      </c>
      <c r="AT44" s="45" t="str">
        <f t="shared" si="31"/>
        <v/>
      </c>
      <c r="AU44" s="45" t="str">
        <f>IF($G44="","",$G44*ADRYr1!$Q44*ADRYr1!$U44*(IF(ADRYr1!$AI44=Lookups!$E$118,ADRYr1!$AJ44,IF(ADRYr1!$AK44=Lookups!$E$118,ADRYr1!$AL44,IF(ADRYr1!$AM44=Lookups!$E$118,ADRYr1!$AN44,0)))))</f>
        <v/>
      </c>
      <c r="AV44" s="45" t="str">
        <f t="shared" si="32"/>
        <v/>
      </c>
      <c r="AW44" s="45" t="str">
        <f>IF($G44="","",AU44*ADRYr1!$P44)</f>
        <v/>
      </c>
      <c r="AX44" s="45" t="str">
        <f t="shared" si="33"/>
        <v/>
      </c>
      <c r="AY44" s="45">
        <f t="shared" si="49"/>
        <v>0</v>
      </c>
      <c r="AZ44" s="45">
        <f t="shared" si="49"/>
        <v>0</v>
      </c>
      <c r="BA44" s="101" t="str">
        <f>IF($G44="","",$G44*ADRYr1!$P44*ADRYr1!$Q44*ADRYr1!$U44*ADRYr1!AO44)</f>
        <v/>
      </c>
      <c r="BB44" s="102" t="str">
        <f>IF($G44="","",$G44*ADRYr1!$P44*ADRYr1!$Q44*ADRYr1!$U44*ADRYr1!AP44)</f>
        <v/>
      </c>
      <c r="BC44" s="100" t="str">
        <f t="shared" si="35"/>
        <v/>
      </c>
      <c r="BD44" s="961"/>
      <c r="BE44" s="961"/>
      <c r="BF44" s="961"/>
      <c r="BG44" s="961"/>
      <c r="BH44" s="962" t="str">
        <f t="shared" si="3"/>
        <v/>
      </c>
      <c r="BI44" s="961"/>
      <c r="BJ44" s="961"/>
      <c r="BK44" s="961"/>
      <c r="BL44" s="961"/>
      <c r="BM44" s="30" t="str">
        <f t="shared" si="4"/>
        <v/>
      </c>
      <c r="BN44" s="963" t="str">
        <f t="shared" si="5"/>
        <v/>
      </c>
      <c r="BO44" s="31" t="str">
        <f t="shared" si="36"/>
        <v/>
      </c>
      <c r="BP44" s="964" t="str">
        <f t="shared" si="6"/>
        <v/>
      </c>
      <c r="BQ44" s="28" t="str">
        <f t="shared" si="7"/>
        <v/>
      </c>
      <c r="BR44" s="964" t="str">
        <f t="shared" si="8"/>
        <v/>
      </c>
      <c r="BS44" s="964" t="str">
        <f t="shared" si="9"/>
        <v/>
      </c>
      <c r="BT44" s="28" t="str">
        <f t="shared" si="50"/>
        <v/>
      </c>
      <c r="BU44" s="28" t="str">
        <f t="shared" si="50"/>
        <v/>
      </c>
      <c r="BV44" s="28" t="str">
        <f t="shared" si="50"/>
        <v/>
      </c>
      <c r="BW44" s="29" t="str">
        <f t="shared" si="37"/>
        <v/>
      </c>
      <c r="BX44" s="29" t="str">
        <f t="shared" si="38"/>
        <v/>
      </c>
      <c r="BY44" s="28" t="str">
        <f>IF($G44="","",$G44*(IF(ADRYr1!$AI44=BY$4,ADRYr1!$AJ44,IF(ADRYr1!$AK44=BY$4,ADRYr1!$AL44,IF(ADRYr1!$AM44=BY$4,ADRYr1!$AN44,0))))*(INDEX(avoidedcosttbl,$H44,BY$2)+(($H44-ROUNDDOWN($H44,0))*(INDEX(avoidedcosttbl,ROUNDUP($H44,0),BY$2)-(INDEX(avoidedcosttbl,ROUNDDOWN($H44,0),BY$2)))))*ADRYr1!P44*ADRYr1!Q44*ADRYr1!U44)</f>
        <v/>
      </c>
      <c r="BZ44" s="28" t="str">
        <f>IF($G44="","",$G44*(IF(ADRYr1!$AI44=BZ$4,ADRYr1!$AJ44,IF(ADRYr1!$AK44=BZ$4,ADRYr1!$AL44,IF(ADRYr1!$AM44=BZ$4,ADRYr1!$AN44,0))))*(INDEX(avoidedcosttbl,$H44,BZ$2)+(($H44-ROUNDDOWN($H44,0))*(INDEX(avoidedcosttbl,ROUNDUP($H44,0),BZ$2)-(INDEX(avoidedcosttbl,ROUNDDOWN($H44,0),BZ$2)))))*ADRYr1!P44*ADRYr1!Q44*ADRYr1!U44)</f>
        <v/>
      </c>
      <c r="CA44" s="28" t="str">
        <f>IF($G44="","",$G44*(IF(ADRYr1!$AI44=CA$4,ADRYr1!$AJ44,IF(ADRYr1!$AK44=CA$4,ADRYr1!$AL44,IF(ADRYr1!$AM44=CA$4,ADRYr1!$AN44,0))))*(INDEX(avoidedcosttbl,$H44,CA$2)+(($H44-ROUNDDOWN($H44,0))*(INDEX(avoidedcosttbl,ROUNDUP($H44,0),CA$2)-(INDEX(avoidedcosttbl,ROUNDDOWN($H44,0),CA$2)))))*ADRYr1!P44*ADRYr1!Q44*ADRYr1!U44)</f>
        <v/>
      </c>
      <c r="CB44" s="28" t="str">
        <f>IF($G44="","",$G44*(IF(ADRYr1!$AI44=CB$4,ADRYr1!$AJ44,IF(ADRYr1!$AK44=CB$4,ADRYr1!$AL44,IF(ADRYr1!$AM44=CB$4,ADRYr1!$AN44,0))))*(INDEX(avoidedcosttbl,$H44,CB$2)+(($H44-ROUNDDOWN($H44,0))*(INDEX(avoidedcosttbl,ROUNDUP($H44,0),CB$2)-(INDEX(avoidedcosttbl,ROUNDDOWN($H44,0),CB$2)))))*ADRYr1!P44*ADRYr1!Q44*ADRYr1!U44)</f>
        <v/>
      </c>
      <c r="CC44" s="28" t="str">
        <f>IF($G44="","",$G44*(IF(ADRYr1!$AI44=CC$4,ADRYr1!$AJ44,IF(ADRYr1!$AK44=CC$4,ADRYr1!$AL44,IF(ADRYr1!$AM44=CC$4,ADRYr1!$AN44,0))))*(INDEX(avoidedcosttbl,$H44,CC$2)+(($H44-ROUNDDOWN($H44,0))*(INDEX(avoidedcosttbl,ROUNDUP($H44,0),CC$2)-(INDEX(avoidedcosttbl,ROUNDDOWN($H44,0),CC$2)))))*ADRYr1!P44*ADRYr1!Q44*ADRYr1!U44)</f>
        <v/>
      </c>
      <c r="CD44" s="28" t="str">
        <f>IF($G44="","",$G44*(IF(ADRYr1!$AI44=CD$4,ADRYr1!$AJ44,IF(ADRYr1!$AK44=CD$4,ADRYr1!$AL44,IF(ADRYr1!$AM44=CD$4,ADRYr1!$AN44,0))))*(INDEX(avoidedcosttbl,$H44,CD$2)+(($H44-ROUNDDOWN($H44,0))*(INDEX(avoidedcosttbl,ROUNDUP($H44,0),CD$2)-(INDEX(avoidedcosttbl,ROUNDDOWN($H44,0),CD$2)))))*ADRYr1!P44*ADRYr1!Q44*ADRYr1!U44)</f>
        <v/>
      </c>
      <c r="CE44" s="28" t="str">
        <f>IF($G44="","",$G44*(IF(ADRYr1!$AI44=CE$4,ADRYr1!$AJ44,IF(ADRYr1!$AK44=CE$4,ADRYr1!$AL44,IF(ADRYr1!$AM44=CE$4,ADRYr1!$AN44,0))))*(INDEX(avoidedcosttbl,$H44,CE$2)+(($H44-ROUNDDOWN($H44,0))*(INDEX(avoidedcosttbl,ROUNDUP($H44,0),CE$2)-(INDEX(avoidedcosttbl,ROUNDDOWN($H44,0),CE$2)))))*ADRYr1!P44*ADRYr1!Q44*ADRYr1!U44)</f>
        <v/>
      </c>
      <c r="CF44" s="41" t="str">
        <f t="shared" si="39"/>
        <v/>
      </c>
      <c r="CG44" s="30" t="str">
        <f t="shared" si="11"/>
        <v/>
      </c>
      <c r="CH44" s="30" t="str">
        <f>IF($G44="","",$G44*(IF(ADRYr1!$AI44=BY$4,ADRYr1!$AJ44,IF(ADRYr1!$AK44=BY$4,ADRYr1!$AL44,IF(ADRYr1!$AM44=BY$4,ADRYr1!$AN44,0))))*(INDEX(avoidedcosttbl,$H44,CH$2)+(($H44-ROUNDDOWN($H44,0))*(INDEX(avoidedcosttbl,ROUNDUP($H44,0),CH$2)-(INDEX(avoidedcosttbl,ROUNDDOWN($H44,0),CH$2)))))*ADRYr1!P44*ADRYr1!Q44*ADRYr1!U44)</f>
        <v/>
      </c>
      <c r="CI44" s="30" t="str">
        <f>IF($G44="","",$G44*(IF(ADRYr1!$AI44=BZ$4,ADRYr1!$AJ44,IF(ADRYr1!$AK44=BZ$4,ADRYr1!$AL44,IF(ADRYr1!$AM44=BZ$4,ADRYr1!$AN44,0))))*(INDEX(avoidedcosttbl,$H44,CI$2)+(($H44-ROUNDDOWN($H44,0))*(INDEX(avoidedcosttbl,ROUNDUP($H44,0),CI$2)-(INDEX(avoidedcosttbl,ROUNDDOWN($H44,0),CI$2)))))*ADRYr1!P44*ADRYr1!Q44*ADRYr1!U44)</f>
        <v/>
      </c>
      <c r="CJ44" s="30" t="str">
        <f>IF($G44="","",$G44*(IF(ADRYr1!$AI44=CA$4,ADRYr1!$AJ44,IF(ADRYr1!$AK44=CA$4,ADRYr1!$AL44,IF(ADRYr1!$AM44=CA$4,ADRYr1!$AN44,0))))*(INDEX(avoidedcosttbl,$H44,CJ$2)+(($H44-ROUNDDOWN($H44,0))*(INDEX(avoidedcosttbl,ROUNDUP($H44,0),CJ$2)-(INDEX(avoidedcosttbl,ROUNDDOWN($H44,0),CJ$2)))))*ADRYr1!P44*ADRYr1!Q44*ADRYr1!U44)</f>
        <v/>
      </c>
      <c r="CK44" s="30" t="str">
        <f>IF($G44="","",$G44*(IF(ADRYr1!$AI44=CB$4,ADRYr1!$AJ44,IF(ADRYr1!$AK44=CB$4,ADRYr1!$AL44,IF(ADRYr1!$AM44=CB$4,ADRYr1!$AN44,0))))*(INDEX(avoidedcosttbl,$H44,CK$2)+(($H44-ROUNDDOWN($H44,0))*(INDEX(avoidedcosttbl,ROUNDUP($H44,0),CK$2)-(INDEX(avoidedcosttbl,ROUNDDOWN($H44,0),CK$2)))))*ADRYr1!P44*ADRYr1!Q44*ADRYr1!U44)</f>
        <v/>
      </c>
      <c r="CL44" s="30" t="str">
        <f>IF($G44="","",$G44*(IF(ADRYr1!$AI44=CC$4,ADRYr1!$AJ44,IF(ADRYr1!$AK44=CC$4,ADRYr1!$AL44,IF(ADRYr1!$AM44=CC$4,ADRYr1!$AN44,0))))*(INDEX(avoidedcosttbl,$H44,CL$2)+(($H44-ROUNDDOWN($H44,0))*(INDEX(avoidedcosttbl,ROUNDUP($H44,0),CL$2)-(INDEX(avoidedcosttbl,ROUNDDOWN($H44,0),CL$2)))))*ADRYr1!P44*ADRYr1!Q44*ADRYr1!U44)</f>
        <v/>
      </c>
      <c r="CM44" s="30" t="str">
        <f>IF($G44="","",$G44*(IF(ADRYr1!$AI44=CD$4,ADRYr1!$AJ44,IF(ADRYr1!$AK44=CD$4,ADRYr1!$AL44,IF(ADRYr1!$AM44=CD$4,ADRYr1!$AN44,0))))*(INDEX(avoidedcosttbl,$H44,CM$2)+(($H44-ROUNDDOWN($H44,0))*(INDEX(avoidedcosttbl,ROUNDUP($H44,0),CM$2)-(INDEX(avoidedcosttbl,ROUNDDOWN($H44,0),CM$2)))))*ADRYr1!P44*ADRYr1!Q44*ADRYr1!U44)</f>
        <v/>
      </c>
      <c r="CN44" s="30" t="str">
        <f>IF($G44="","",$G44*(IF(ADRYr1!$AI44=CE$4,ADRYr1!$AJ44,IF(ADRYr1!$AK44=CE$4,ADRYr1!$AL44,IF(ADRYr1!$AM44=CE$4,ADRYr1!$AN44,0))))*(INDEX(avoidedcosttbl,$H44,CN$2)+(($H44-ROUNDDOWN($H44,0))*(INDEX(avoidedcosttbl,ROUNDUP($H44,0),CN$2)-(INDEX(avoidedcosttbl,ROUNDDOWN($H44,0),CN$2)))))*ADRYr1!P44*ADRYr1!Q44*ADRYr1!U44)</f>
        <v/>
      </c>
      <c r="CO44" s="220" t="str">
        <f t="shared" si="40"/>
        <v/>
      </c>
      <c r="CP44" s="220" t="str">
        <f t="shared" si="41"/>
        <v/>
      </c>
      <c r="CQ44" s="157" t="str">
        <f>IF($G44="","",$G44*(IF(ADRYr1!$AI44=CQ$4,ADRYr1!$AJ44,IF(ADRYr1!$AK44=CQ$4,ADRYr1!$AL44,IF(ADRYr1!$AM44=CQ$4,ADRYr1!$AN44,0))))*(INDEX(avoidedcosttbl,$H44,CQ$2)+(($H44-ROUNDDOWN($H44,0))*(INDEX(avoidedcosttbl,ROUNDUP($H44,0),CQ$2)-(INDEX(avoidedcosttbl,ROUNDDOWN($H44,0),CQ$2)))))*ADRYr1!$P44*ADRYr1!$Q44*ADRYr1!$U44)</f>
        <v/>
      </c>
      <c r="CR44" s="28" t="str">
        <f>IF($G44="","",G44*(IF(ADRYr1!$AI44=CR$4,ADRYr1!$AJ44,IF(ADRYr1!$AK44=CR$4,ADRYr1!$AL44,IF(ADRYr1!$AM44=CR$4,ADRYr1!$AN44,0))))*(INDEX(avoidedcosttbl,$H44,CR$2)+(($H44-ROUNDDOWN($H44,0))*(INDEX(avoidedcosttbl,ROUNDUP($H44,0),CR$2)-(INDEX(avoidedcosttbl,ROUNDDOWN($H44,0),CR$2)))))*ADRYr1!$P44*ADRYr1!$Q44*ADRYr1!$U44)</f>
        <v/>
      </c>
      <c r="CS44" s="28" t="str">
        <f>IF($G44="","",G44*(IF(ADRYr1!$AI44=CS$4,ADRYr1!$AJ44,IF(ADRYr1!$AK44=CS$4,ADRYr1!$AL44,IF(ADRYr1!$AM44=CS$4,ADRYr1!$AN44,0))))*(INDEX(avoidedcosttbl,$H44,CS$2)+(($H44-ROUNDDOWN($H44,0))*(INDEX(avoidedcosttbl,ROUNDUP($H44,0),CS$2)-(INDEX(avoidedcosttbl,ROUNDDOWN($H44,0),CS$2)))))*ADRYr1!$P44*ADRYr1!$Q44*ADRYr1!$U44)</f>
        <v/>
      </c>
      <c r="CT44" s="28" t="str">
        <f t="shared" si="12"/>
        <v/>
      </c>
      <c r="CU44" s="28" t="str">
        <f>IF($G44="","",G44*(IF(ADRYr1!$AI44=CU$4,ADRYr1!$AJ44,IF(ADRYr1!$AK44=CU$4,ADRYr1!$AL44,IF(ADRYr1!$AM44=CU$4,ADRYr1!$AN44,0))))*(INDEX(avoidedcosttbl,$H44,CU$2)+(($H44-ROUNDDOWN($H44,0))*(INDEX(avoidedcosttbl,ROUNDUP($H44,0),CU$2)-(INDEX(avoidedcosttbl,ROUNDDOWN($H44,0),CU$2)))))*ADRYr1!$P44*ADRYr1!$Q44*ADRYr1!$U44)</f>
        <v/>
      </c>
      <c r="CV44" s="28" t="str">
        <f>IF($G44="","",G44*(IF(ADRYr1!$AI44=CV$4,ADRYr1!$AJ44,IF(ADRYr1!$AK44=CV$4,ADRYr1!$AL44,IF(ADRYr1!$AM44=CV$4,ADRYr1!$AN44,0))))*(INDEX(avoidedcosttbl,$H44,CV$2)+(($H44-ROUNDDOWN($H44,0))*(INDEX(avoidedcosttbl,ROUNDUP($H44,0),CV$2)-(INDEX(avoidedcosttbl,ROUNDDOWN($H44,0),CV$2)))))*ADRYr1!$P44*ADRYr1!$Q44*ADRYr1!$U44)</f>
        <v/>
      </c>
      <c r="CW44" s="28" t="str">
        <f>IF($G44="","",G44*(IF(ADRYr1!$AI44=CW$4,ADRYr1!$AJ44,IF(ADRYr1!$AK44=CW$4,ADRYr1!$AL44,IF(ADRYr1!$AM44=CW$4,ADRYr1!$AN44,0))))*(INDEX(avoidedcosttbl,$H44,CW$2)+(($H44-ROUNDDOWN($H44,0))*(INDEX(avoidedcosttbl,ROUNDUP($H44,0),CW$2)-(INDEX(avoidedcosttbl,ROUNDDOWN($H44,0),CW$2)))))*ADRYr1!$P44*ADRYr1!$Q44*ADRYr1!$U44)</f>
        <v/>
      </c>
      <c r="CX44" s="28" t="str">
        <f>IF($G44="","",G44*(IF(ADRYr1!$AI44=CX$4,ADRYr1!$AJ44,IF(ADRYr1!$AK44=CX$4,ADRYr1!$AL44,IF(ADRYr1!$AM44=CX$4,ADRYr1!$AN44,0))))*(INDEX(avoidedcosttbl,$H44,CX$2)+(($H44-ROUNDDOWN($H44,0))*(INDEX(avoidedcosttbl,ROUNDUP($H44,0),CX$2)-(INDEX(avoidedcosttbl,ROUNDDOWN($H44,0),CX$2)))))*ADRYr1!$P44*ADRYr1!$Q44*ADRYr1!$U44)</f>
        <v/>
      </c>
      <c r="CY44" s="28" t="str">
        <f t="shared" si="13"/>
        <v/>
      </c>
      <c r="CZ44" s="32" t="str">
        <f t="shared" si="14"/>
        <v/>
      </c>
      <c r="DA44" s="84" t="str">
        <f t="shared" si="42"/>
        <v/>
      </c>
      <c r="DB44" s="81" t="str">
        <f>IF(NEIadder="Yes",IF($G44="","",INDEX(Lookups!$G$70:$G$71,MATCH($A44,Lookups!$E$70:$E$71,0))*(SUM(CP44:CX44,BX44))),"")</f>
        <v/>
      </c>
      <c r="DC44" s="263" t="str">
        <f t="shared" si="15"/>
        <v/>
      </c>
      <c r="DD44" s="166" t="str">
        <f t="shared" si="16"/>
        <v/>
      </c>
      <c r="DE44" s="82">
        <f t="shared" si="43"/>
        <v>0</v>
      </c>
      <c r="DF44" s="615" t="str">
        <f>IF($G44="","",(1+WntPeakEnergyLL)*(INDEX(avoidedcosttbl,$H44,DF$2)+(($H44-ROUNDDOWN($H44,0))*(INDEX(avoidedcosttbl,ROUNDUP($H44,0),DF$2)-(INDEX(avoidedcosttbl,ROUNDDOWN($H44,0),DF$2)))))*$P44*1000*ADRYr1!Z44)</f>
        <v/>
      </c>
      <c r="DG44" s="615" t="str">
        <f>IF($G44="","",(1+WntOffPeakEnergyLL)*(INDEX(avoidedcosttbl,$H44,DG$2)+(($H44-ROUNDDOWN($H44,0))*(INDEX(avoidedcosttbl,ROUNDUP($H44,0),DG$2)-(INDEX(avoidedcosttbl,ROUNDDOWN($H44,0),DG$2)))))*$P44*1000*ADRYr1!AA44)</f>
        <v/>
      </c>
      <c r="DH44" s="615" t="str">
        <f>IF($G44="","",(1+SumPeakEnergyLL)*(INDEX(avoidedcosttbl,$H44,DH$2)+(($H44-ROUNDDOWN($H44,0))*(INDEX(avoidedcosttbl,ROUNDUP($H44,0),DH$2)-(INDEX(avoidedcosttbl,ROUNDDOWN($H44,0),DH$2)))))*$P44*1000*ADRYr1!AB44)</f>
        <v/>
      </c>
      <c r="DI44" s="615" t="str">
        <f>IF($G44="","",(1+SumOffPeakEnergyLL)*(INDEX(avoidedcosttbl,$H44,DI$2)+(($H44-ROUNDDOWN($H44,0))*(INDEX(avoidedcosttbl,ROUNDUP($H44,0),DI$2)-(INDEX(avoidedcosttbl,ROUNDDOWN($H44,0),DI$2)))))*$P44*1000*ADRYr1!AC44)</f>
        <v/>
      </c>
      <c r="DJ44" s="29" t="str">
        <f t="shared" si="44"/>
        <v/>
      </c>
      <c r="DK44" s="161" t="str">
        <f t="shared" si="51"/>
        <v/>
      </c>
      <c r="DL44" s="1189"/>
      <c r="DM44" s="1189" t="str">
        <f t="shared" si="47"/>
        <v/>
      </c>
      <c r="DO44" s="966" t="str">
        <f>IF($G44="","",ADRYr1!AQ44)</f>
        <v/>
      </c>
      <c r="DP44" s="968" t="str">
        <f>IF($G44="","",ADRYr1!AR44)</f>
        <v/>
      </c>
      <c r="DQ44" s="970" t="str">
        <f>IF($G44="","",IF($DP44="Yes",COLUMN(AESC!$L$10),IF($DP44="No","Using AvoidedDemand tab",IF($DP44="Mixed",COLUMN(AESC!$N$10)))))</f>
        <v/>
      </c>
      <c r="DR44" s="970" t="str">
        <f>IF($G44="","",IF($DP44="Yes",COLUMN(AESC!$P$10),IF($DP44="No","Using AvoidedDemand tab",IF($DP44="Mixed",COLUMN(AESC!$R$10)))))</f>
        <v/>
      </c>
      <c r="DS44" s="970" t="str">
        <f>IF($G44="","",IF($DP44="Yes",COLUMN(AESC!$S$10),IF($DP44="No",COLUMN(AESC!$T$10),IF($DP44="Mixed",COLUMN(AESC!$U$10)))))</f>
        <v/>
      </c>
      <c r="DT44" s="970" t="str">
        <f t="shared" si="17"/>
        <v/>
      </c>
      <c r="DU44" s="970" t="str">
        <f>IF($G44="","",ADRYr1!AS44)</f>
        <v/>
      </c>
      <c r="DV44" s="971" t="str">
        <f>IF($G44="","",ADRYr1!AT44)</f>
        <v/>
      </c>
      <c r="DW44" s="1162" t="str">
        <f>IF($G44="","",INDEX(AvoidedEnergy!$H$4:$H$10,MATCH($DO44,AvoidedEnergy!$A$4:$A$10,0)))</f>
        <v/>
      </c>
    </row>
    <row r="45" spans="1:127">
      <c r="A45" s="160" t="str">
        <f>IF(ADRYr1!$B45=0,"",ADRYr1!A45)</f>
        <v/>
      </c>
      <c r="B45" s="9" t="str">
        <f>IF(ADRYr1!$B45=0,"",ADRYr1!B45)</f>
        <v/>
      </c>
      <c r="C45" s="9" t="str">
        <f>IF(ADRYr1!$B45=0,"",ADRYr1!C45)</f>
        <v/>
      </c>
      <c r="D45" s="9" t="str">
        <f>IF(ADRYr1!$B45=0,"",ADRYr1!D45)</f>
        <v/>
      </c>
      <c r="E45" s="9"/>
      <c r="F45" s="11" t="str">
        <f>IF(ADRYr1!$B45=0,"",ADRYr1!F45)</f>
        <v/>
      </c>
      <c r="G45" s="12" t="str">
        <f>IF(ADRYr1!$G45&lt;&gt;0,ADRYr1!G45,"")</f>
        <v/>
      </c>
      <c r="H45" s="960" t="str">
        <f>IF($G45="","",ROUND(ADRYr1!H45,0))</f>
        <v/>
      </c>
      <c r="I45" s="47" t="str">
        <f>IF($G45="","",ADRYr1!I45*ADRYr1!P45*G45)</f>
        <v/>
      </c>
      <c r="J45" s="47" t="str">
        <f>IF($G45="","",ADRYr1!J45*G45)</f>
        <v/>
      </c>
      <c r="K45" s="47" t="str">
        <f t="shared" si="18"/>
        <v/>
      </c>
      <c r="L45" s="27" t="str">
        <f>IF($G45="","",ADRYr1!V45*G45/1000)</f>
        <v/>
      </c>
      <c r="M45" s="27" t="str">
        <f>IF($G45="","",L45*ADRYr1!$Q45*ADRYr1!$R45)</f>
        <v/>
      </c>
      <c r="N45" s="27" t="str">
        <f t="shared" si="19"/>
        <v/>
      </c>
      <c r="O45" s="27" t="str">
        <f t="shared" si="20"/>
        <v/>
      </c>
      <c r="P45" s="27" t="str">
        <f>IF($G45="","",M45*ADRYr1!P45)</f>
        <v/>
      </c>
      <c r="Q45" s="27" t="str">
        <f t="shared" si="21"/>
        <v/>
      </c>
      <c r="R45" s="27" t="str">
        <f>IF($G45="","",$Q45*ADRYr1!Z45)</f>
        <v/>
      </c>
      <c r="S45" s="27" t="str">
        <f>IF($G45="","",$Q45*ADRYr1!AA45)</f>
        <v/>
      </c>
      <c r="T45" s="27" t="str">
        <f>IF($G45="","",$Q45*ADRYr1!AB45)</f>
        <v/>
      </c>
      <c r="U45" s="27" t="str">
        <f>IF($G45="","",$Q45*ADRYr1!AC45)</f>
        <v/>
      </c>
      <c r="V45" s="27" t="str">
        <f>IF($G45="","",G45*ADRYr1!$AD45*ADRYr1!$P45*ADRYr1!$Q45)</f>
        <v/>
      </c>
      <c r="W45" s="27" t="str">
        <f>IF($G45="","",$G45*ADRYr1!$AD45*ADRYr1!$AF45*ADRYr1!Q45*ADRYr1!$S45)</f>
        <v/>
      </c>
      <c r="X45" s="27" t="str">
        <f>IF($G45="","",$G45*ADRYr1!$AD45*ADRYr1!$AF45*ADRYr1!P45*ADRYr1!Q45*ADRYr1!$S45)</f>
        <v/>
      </c>
      <c r="Y45" s="27" t="str">
        <f>IF($G45="","",$G45*ADRYr1!$AD45*ADRYr1!$AE45*ADRYr1!Q45*ADRYr1!$T45)</f>
        <v/>
      </c>
      <c r="Z45" s="27" t="str">
        <f>IF($G45="","",$G45*ADRYr1!$AD45*ADRYr1!$AE45*ADRYr1!P45*ADRYr1!Q45*ADRYr1!$T45)</f>
        <v/>
      </c>
      <c r="AA45" s="45" t="str">
        <f>IF($G45="","",$G45*ADRYr1!$Q45*ADRYr1!$U45*(IF(IFERROR(SEARCH("NG", ADRYr1!$AI45),0),ADRYr1!$AJ45,0)+IF(IFERROR(SEARCH("NG", ADRYr1!$AK45),0),ADRYr1!$AL45,0)+IF(IFERROR(SEARCH("NG", ADRYr1!$AM45),0),ADRYr1!$AN45,0)))</f>
        <v/>
      </c>
      <c r="AB45" s="45" t="str">
        <f t="shared" si="22"/>
        <v/>
      </c>
      <c r="AC45" s="45">
        <f>IF($G45="",0,AA45*ADRYr1!$P45)</f>
        <v>0</v>
      </c>
      <c r="AD45" s="45" t="str">
        <f t="shared" si="23"/>
        <v/>
      </c>
      <c r="AE45" s="45" t="str">
        <f>IF($G45="","",$G45*ADRYr1!$Q45*ADRYr1!$U45*(IF(IFERROR(SEARCH("Oil", ADRYr1!$AI45), 0),ADRYr1!$AJ45,0)+IF(IFERROR(SEARCH("Oil", ADRYr1!$AK45), 0),ADRYr1!$AL45,0)+IF(IFERROR(SEARCH("Oil", ADRYr1!$AM45), 0),ADRYr1!$AN45,0)))</f>
        <v/>
      </c>
      <c r="AF45" s="45" t="str">
        <f t="shared" si="24"/>
        <v/>
      </c>
      <c r="AG45" s="45">
        <f>IF($G45="",0,AE45*ADRYr1!$P45)</f>
        <v>0</v>
      </c>
      <c r="AH45" s="45" t="str">
        <f t="shared" si="25"/>
        <v/>
      </c>
      <c r="AI45" s="45" t="str">
        <f>IF($G45="","",$G45*ADRYr1!$Q45*ADRYr1!$U45*(IF(ADRYr1!$AI45=Lookups!$E$116,ADRYr1!$AJ45,IF(ADRYr1!$AK45=Lookups!$E$116,ADRYr1!$AL45,IF(ADRYr1!$AM45=Lookups!$E$116,ADRYr1!$AN45,0)))))</f>
        <v/>
      </c>
      <c r="AJ45" s="45" t="str">
        <f t="shared" si="26"/>
        <v/>
      </c>
      <c r="AK45" s="45">
        <f>IF($G45="",0,AI45*ADRYr1!$P45)</f>
        <v>0</v>
      </c>
      <c r="AL45" s="45" t="str">
        <f t="shared" si="27"/>
        <v/>
      </c>
      <c r="AM45" s="45" t="str">
        <f>IF($G45="","",$G45*ADRYr1!$Q45*ADRYr1!$U45*(IF(ADRYr1!$AI45=Lookups!$E$115,ADRYr1!$AJ45,IF(ADRYr1!$AK45=Lookups!$E$115,ADRYr1!$AL45,IF(ADRYr1!$AM45=Lookups!$E$115,ADRYr1!$AN45,0)))))</f>
        <v/>
      </c>
      <c r="AN45" s="45" t="str">
        <f t="shared" si="28"/>
        <v/>
      </c>
      <c r="AO45" s="45">
        <f>IF($G45="",0,AM45*ADRYr1!$P45)</f>
        <v>0</v>
      </c>
      <c r="AP45" s="45" t="str">
        <f t="shared" si="29"/>
        <v/>
      </c>
      <c r="AQ45" s="45" t="str">
        <f>IF($G45="","",$G45*ADRYr1!$Q45*ADRYr1!$U45*(IF(ADRYr1!$AI45=Lookups!$E$117,ADRYr1!$AJ45,IF(ADRYr1!$AK45=Lookups!$E$117,ADRYr1!$AL45,IF(ADRYr1!$AM45=Lookups!$E$117,ADRYr1!$AN45,0)))))</f>
        <v/>
      </c>
      <c r="AR45" s="45" t="str">
        <f t="shared" si="30"/>
        <v/>
      </c>
      <c r="AS45" s="45" t="str">
        <f>IF($G45="","",AQ45*ADRYr1!$P45)</f>
        <v/>
      </c>
      <c r="AT45" s="45" t="str">
        <f t="shared" si="31"/>
        <v/>
      </c>
      <c r="AU45" s="45" t="str">
        <f>IF($G45="","",$G45*ADRYr1!$Q45*ADRYr1!$U45*(IF(ADRYr1!$AI45=Lookups!$E$118,ADRYr1!$AJ45,IF(ADRYr1!$AK45=Lookups!$E$118,ADRYr1!$AL45,IF(ADRYr1!$AM45=Lookups!$E$118,ADRYr1!$AN45,0)))))</f>
        <v/>
      </c>
      <c r="AV45" s="45" t="str">
        <f t="shared" si="32"/>
        <v/>
      </c>
      <c r="AW45" s="45" t="str">
        <f>IF($G45="","",AU45*ADRYr1!$P45)</f>
        <v/>
      </c>
      <c r="AX45" s="45" t="str">
        <f t="shared" si="33"/>
        <v/>
      </c>
      <c r="AY45" s="45">
        <f t="shared" si="49"/>
        <v>0</v>
      </c>
      <c r="AZ45" s="45">
        <f t="shared" si="49"/>
        <v>0</v>
      </c>
      <c r="BA45" s="101" t="str">
        <f>IF($G45="","",$G45*ADRYr1!$P45*ADRYr1!$Q45*ADRYr1!$U45*ADRYr1!AO45)</f>
        <v/>
      </c>
      <c r="BB45" s="102" t="str">
        <f>IF($G45="","",$G45*ADRYr1!$P45*ADRYr1!$Q45*ADRYr1!$U45*ADRYr1!AP45)</f>
        <v/>
      </c>
      <c r="BC45" s="100" t="str">
        <f t="shared" si="35"/>
        <v/>
      </c>
      <c r="BD45" s="961"/>
      <c r="BE45" s="961"/>
      <c r="BF45" s="961"/>
      <c r="BG45" s="961"/>
      <c r="BH45" s="962" t="str">
        <f t="shared" si="3"/>
        <v/>
      </c>
      <c r="BI45" s="961"/>
      <c r="BJ45" s="961"/>
      <c r="BK45" s="961"/>
      <c r="BL45" s="961"/>
      <c r="BM45" s="30" t="str">
        <f t="shared" si="4"/>
        <v/>
      </c>
      <c r="BN45" s="963" t="str">
        <f t="shared" si="5"/>
        <v/>
      </c>
      <c r="BO45" s="31" t="str">
        <f t="shared" si="36"/>
        <v/>
      </c>
      <c r="BP45" s="964" t="str">
        <f t="shared" si="6"/>
        <v/>
      </c>
      <c r="BQ45" s="28" t="str">
        <f t="shared" si="7"/>
        <v/>
      </c>
      <c r="BR45" s="964" t="str">
        <f t="shared" si="8"/>
        <v/>
      </c>
      <c r="BS45" s="964" t="str">
        <f t="shared" si="9"/>
        <v/>
      </c>
      <c r="BT45" s="28" t="str">
        <f t="shared" ref="BT45:BV50" si="52">IF($G45="","",(INDEX(avoidedcosttbl,$H45,BT$2)+(($H45-ROUNDDOWN($H45,0))*(INDEX(avoidedcosttbl,ROUNDUP($H45,0),BT$2)-(INDEX(avoidedcosttbl,ROUNDDOWN($H45,0),BT$2)))))*$Z45)</f>
        <v/>
      </c>
      <c r="BU45" s="28" t="str">
        <f t="shared" si="52"/>
        <v/>
      </c>
      <c r="BV45" s="28" t="str">
        <f t="shared" si="52"/>
        <v/>
      </c>
      <c r="BW45" s="29" t="str">
        <f t="shared" si="37"/>
        <v/>
      </c>
      <c r="BX45" s="29" t="str">
        <f t="shared" si="38"/>
        <v/>
      </c>
      <c r="BY45" s="28" t="str">
        <f>IF($G45="","",$G45*(IF(ADRYr1!$AI45=BY$4,ADRYr1!$AJ45,IF(ADRYr1!$AK45=BY$4,ADRYr1!$AL45,IF(ADRYr1!$AM45=BY$4,ADRYr1!$AN45,0))))*(INDEX(avoidedcosttbl,$H45,BY$2)+(($H45-ROUNDDOWN($H45,0))*(INDEX(avoidedcosttbl,ROUNDUP($H45,0),BY$2)-(INDEX(avoidedcosttbl,ROUNDDOWN($H45,0),BY$2)))))*ADRYr1!P45*ADRYr1!Q45*ADRYr1!U45)</f>
        <v/>
      </c>
      <c r="BZ45" s="28" t="str">
        <f>IF($G45="","",$G45*(IF(ADRYr1!$AI45=BZ$4,ADRYr1!$AJ45,IF(ADRYr1!$AK45=BZ$4,ADRYr1!$AL45,IF(ADRYr1!$AM45=BZ$4,ADRYr1!$AN45,0))))*(INDEX(avoidedcosttbl,$H45,BZ$2)+(($H45-ROUNDDOWN($H45,0))*(INDEX(avoidedcosttbl,ROUNDUP($H45,0),BZ$2)-(INDEX(avoidedcosttbl,ROUNDDOWN($H45,0),BZ$2)))))*ADRYr1!P45*ADRYr1!Q45*ADRYr1!U45)</f>
        <v/>
      </c>
      <c r="CA45" s="28" t="str">
        <f>IF($G45="","",$G45*(IF(ADRYr1!$AI45=CA$4,ADRYr1!$AJ45,IF(ADRYr1!$AK45=CA$4,ADRYr1!$AL45,IF(ADRYr1!$AM45=CA$4,ADRYr1!$AN45,0))))*(INDEX(avoidedcosttbl,$H45,CA$2)+(($H45-ROUNDDOWN($H45,0))*(INDEX(avoidedcosttbl,ROUNDUP($H45,0),CA$2)-(INDEX(avoidedcosttbl,ROUNDDOWN($H45,0),CA$2)))))*ADRYr1!P45*ADRYr1!Q45*ADRYr1!U45)</f>
        <v/>
      </c>
      <c r="CB45" s="28" t="str">
        <f>IF($G45="","",$G45*(IF(ADRYr1!$AI45=CB$4,ADRYr1!$AJ45,IF(ADRYr1!$AK45=CB$4,ADRYr1!$AL45,IF(ADRYr1!$AM45=CB$4,ADRYr1!$AN45,0))))*(INDEX(avoidedcosttbl,$H45,CB$2)+(($H45-ROUNDDOWN($H45,0))*(INDEX(avoidedcosttbl,ROUNDUP($H45,0),CB$2)-(INDEX(avoidedcosttbl,ROUNDDOWN($H45,0),CB$2)))))*ADRYr1!P45*ADRYr1!Q45*ADRYr1!U45)</f>
        <v/>
      </c>
      <c r="CC45" s="28" t="str">
        <f>IF($G45="","",$G45*(IF(ADRYr1!$AI45=CC$4,ADRYr1!$AJ45,IF(ADRYr1!$AK45=CC$4,ADRYr1!$AL45,IF(ADRYr1!$AM45=CC$4,ADRYr1!$AN45,0))))*(INDEX(avoidedcosttbl,$H45,CC$2)+(($H45-ROUNDDOWN($H45,0))*(INDEX(avoidedcosttbl,ROUNDUP($H45,0),CC$2)-(INDEX(avoidedcosttbl,ROUNDDOWN($H45,0),CC$2)))))*ADRYr1!P45*ADRYr1!Q45*ADRYr1!U45)</f>
        <v/>
      </c>
      <c r="CD45" s="28" t="str">
        <f>IF($G45="","",$G45*(IF(ADRYr1!$AI45=CD$4,ADRYr1!$AJ45,IF(ADRYr1!$AK45=CD$4,ADRYr1!$AL45,IF(ADRYr1!$AM45=CD$4,ADRYr1!$AN45,0))))*(INDEX(avoidedcosttbl,$H45,CD$2)+(($H45-ROUNDDOWN($H45,0))*(INDEX(avoidedcosttbl,ROUNDUP($H45,0),CD$2)-(INDEX(avoidedcosttbl,ROUNDDOWN($H45,0),CD$2)))))*ADRYr1!P45*ADRYr1!Q45*ADRYr1!U45)</f>
        <v/>
      </c>
      <c r="CE45" s="28" t="str">
        <f>IF($G45="","",$G45*(IF(ADRYr1!$AI45=CE$4,ADRYr1!$AJ45,IF(ADRYr1!$AK45=CE$4,ADRYr1!$AL45,IF(ADRYr1!$AM45=CE$4,ADRYr1!$AN45,0))))*(INDEX(avoidedcosttbl,$H45,CE$2)+(($H45-ROUNDDOWN($H45,0))*(INDEX(avoidedcosttbl,ROUNDUP($H45,0),CE$2)-(INDEX(avoidedcosttbl,ROUNDDOWN($H45,0),CE$2)))))*ADRYr1!P45*ADRYr1!Q45*ADRYr1!U45)</f>
        <v/>
      </c>
      <c r="CF45" s="41" t="str">
        <f t="shared" si="39"/>
        <v/>
      </c>
      <c r="CG45" s="30" t="str">
        <f t="shared" si="11"/>
        <v/>
      </c>
      <c r="CH45" s="30" t="str">
        <f>IF($G45="","",$G45*(IF(ADRYr1!$AI45=BY$4,ADRYr1!$AJ45,IF(ADRYr1!$AK45=BY$4,ADRYr1!$AL45,IF(ADRYr1!$AM45=BY$4,ADRYr1!$AN45,0))))*(INDEX(avoidedcosttbl,$H45,CH$2)+(($H45-ROUNDDOWN($H45,0))*(INDEX(avoidedcosttbl,ROUNDUP($H45,0),CH$2)-(INDEX(avoidedcosttbl,ROUNDDOWN($H45,0),CH$2)))))*ADRYr1!P45*ADRYr1!Q45*ADRYr1!U45)</f>
        <v/>
      </c>
      <c r="CI45" s="30" t="str">
        <f>IF($G45="","",$G45*(IF(ADRYr1!$AI45=BZ$4,ADRYr1!$AJ45,IF(ADRYr1!$AK45=BZ$4,ADRYr1!$AL45,IF(ADRYr1!$AM45=BZ$4,ADRYr1!$AN45,0))))*(INDEX(avoidedcosttbl,$H45,CI$2)+(($H45-ROUNDDOWN($H45,0))*(INDEX(avoidedcosttbl,ROUNDUP($H45,0),CI$2)-(INDEX(avoidedcosttbl,ROUNDDOWN($H45,0),CI$2)))))*ADRYr1!P45*ADRYr1!Q45*ADRYr1!U45)</f>
        <v/>
      </c>
      <c r="CJ45" s="30" t="str">
        <f>IF($G45="","",$G45*(IF(ADRYr1!$AI45=CA$4,ADRYr1!$AJ45,IF(ADRYr1!$AK45=CA$4,ADRYr1!$AL45,IF(ADRYr1!$AM45=CA$4,ADRYr1!$AN45,0))))*(INDEX(avoidedcosttbl,$H45,CJ$2)+(($H45-ROUNDDOWN($H45,0))*(INDEX(avoidedcosttbl,ROUNDUP($H45,0),CJ$2)-(INDEX(avoidedcosttbl,ROUNDDOWN($H45,0),CJ$2)))))*ADRYr1!P45*ADRYr1!Q45*ADRYr1!U45)</f>
        <v/>
      </c>
      <c r="CK45" s="30" t="str">
        <f>IF($G45="","",$G45*(IF(ADRYr1!$AI45=CB$4,ADRYr1!$AJ45,IF(ADRYr1!$AK45=CB$4,ADRYr1!$AL45,IF(ADRYr1!$AM45=CB$4,ADRYr1!$AN45,0))))*(INDEX(avoidedcosttbl,$H45,CK$2)+(($H45-ROUNDDOWN($H45,0))*(INDEX(avoidedcosttbl,ROUNDUP($H45,0),CK$2)-(INDEX(avoidedcosttbl,ROUNDDOWN($H45,0),CK$2)))))*ADRYr1!P45*ADRYr1!Q45*ADRYr1!U45)</f>
        <v/>
      </c>
      <c r="CL45" s="30" t="str">
        <f>IF($G45="","",$G45*(IF(ADRYr1!$AI45=CC$4,ADRYr1!$AJ45,IF(ADRYr1!$AK45=CC$4,ADRYr1!$AL45,IF(ADRYr1!$AM45=CC$4,ADRYr1!$AN45,0))))*(INDEX(avoidedcosttbl,$H45,CL$2)+(($H45-ROUNDDOWN($H45,0))*(INDEX(avoidedcosttbl,ROUNDUP($H45,0),CL$2)-(INDEX(avoidedcosttbl,ROUNDDOWN($H45,0),CL$2)))))*ADRYr1!P45*ADRYr1!Q45*ADRYr1!U45)</f>
        <v/>
      </c>
      <c r="CM45" s="30" t="str">
        <f>IF($G45="","",$G45*(IF(ADRYr1!$AI45=CD$4,ADRYr1!$AJ45,IF(ADRYr1!$AK45=CD$4,ADRYr1!$AL45,IF(ADRYr1!$AM45=CD$4,ADRYr1!$AN45,0))))*(INDEX(avoidedcosttbl,$H45,CM$2)+(($H45-ROUNDDOWN($H45,0))*(INDEX(avoidedcosttbl,ROUNDUP($H45,0),CM$2)-(INDEX(avoidedcosttbl,ROUNDDOWN($H45,0),CM$2)))))*ADRYr1!P45*ADRYr1!Q45*ADRYr1!U45)</f>
        <v/>
      </c>
      <c r="CN45" s="30" t="str">
        <f>IF($G45="","",$G45*(IF(ADRYr1!$AI45=CE$4,ADRYr1!$AJ45,IF(ADRYr1!$AK45=CE$4,ADRYr1!$AL45,IF(ADRYr1!$AM45=CE$4,ADRYr1!$AN45,0))))*(INDEX(avoidedcosttbl,$H45,CN$2)+(($H45-ROUNDDOWN($H45,0))*(INDEX(avoidedcosttbl,ROUNDUP($H45,0),CN$2)-(INDEX(avoidedcosttbl,ROUNDDOWN($H45,0),CN$2)))))*ADRYr1!P45*ADRYr1!Q45*ADRYr1!U45)</f>
        <v/>
      </c>
      <c r="CO45" s="220" t="str">
        <f t="shared" si="40"/>
        <v/>
      </c>
      <c r="CP45" s="220" t="str">
        <f t="shared" si="41"/>
        <v/>
      </c>
      <c r="CQ45" s="157" t="str">
        <f>IF($G45="","",$G45*(IF(ADRYr1!$AI45=CQ$4,ADRYr1!$AJ45,IF(ADRYr1!$AK45=CQ$4,ADRYr1!$AL45,IF(ADRYr1!$AM45=CQ$4,ADRYr1!$AN45,0))))*(INDEX(avoidedcosttbl,$H45,CQ$2)+(($H45-ROUNDDOWN($H45,0))*(INDEX(avoidedcosttbl,ROUNDUP($H45,0),CQ$2)-(INDEX(avoidedcosttbl,ROUNDDOWN($H45,0),CQ$2)))))*ADRYr1!$P45*ADRYr1!$Q45*ADRYr1!$U45)</f>
        <v/>
      </c>
      <c r="CR45" s="28" t="str">
        <f>IF($G45="","",G45*(IF(ADRYr1!$AI45=CR$4,ADRYr1!$AJ45,IF(ADRYr1!$AK45=CR$4,ADRYr1!$AL45,IF(ADRYr1!$AM45=CR$4,ADRYr1!$AN45,0))))*(INDEX(avoidedcosttbl,$H45,CR$2)+(($H45-ROUNDDOWN($H45,0))*(INDEX(avoidedcosttbl,ROUNDUP($H45,0),CR$2)-(INDEX(avoidedcosttbl,ROUNDDOWN($H45,0),CR$2)))))*ADRYr1!$P45*ADRYr1!$Q45*ADRYr1!$U45)</f>
        <v/>
      </c>
      <c r="CS45" s="28" t="str">
        <f>IF($G45="","",G45*(IF(ADRYr1!$AI45=CS$4,ADRYr1!$AJ45,IF(ADRYr1!$AK45=CS$4,ADRYr1!$AL45,IF(ADRYr1!$AM45=CS$4,ADRYr1!$AN45,0))))*(INDEX(avoidedcosttbl,$H45,CS$2)+(($H45-ROUNDDOWN($H45,0))*(INDEX(avoidedcosttbl,ROUNDUP($H45,0),CS$2)-(INDEX(avoidedcosttbl,ROUNDDOWN($H45,0),CS$2)))))*ADRYr1!$P45*ADRYr1!$Q45*ADRYr1!$U45)</f>
        <v/>
      </c>
      <c r="CT45" s="28" t="str">
        <f t="shared" si="12"/>
        <v/>
      </c>
      <c r="CU45" s="28" t="str">
        <f>IF($G45="","",G45*(IF(ADRYr1!$AI45=CU$4,ADRYr1!$AJ45,IF(ADRYr1!$AK45=CU$4,ADRYr1!$AL45,IF(ADRYr1!$AM45=CU$4,ADRYr1!$AN45,0))))*(INDEX(avoidedcosttbl,$H45,CU$2)+(($H45-ROUNDDOWN($H45,0))*(INDEX(avoidedcosttbl,ROUNDUP($H45,0),CU$2)-(INDEX(avoidedcosttbl,ROUNDDOWN($H45,0),CU$2)))))*ADRYr1!$P45*ADRYr1!$Q45*ADRYr1!$U45)</f>
        <v/>
      </c>
      <c r="CV45" s="28" t="str">
        <f>IF($G45="","",G45*(IF(ADRYr1!$AI45=CV$4,ADRYr1!$AJ45,IF(ADRYr1!$AK45=CV$4,ADRYr1!$AL45,IF(ADRYr1!$AM45=CV$4,ADRYr1!$AN45,0))))*(INDEX(avoidedcosttbl,$H45,CV$2)+(($H45-ROUNDDOWN($H45,0))*(INDEX(avoidedcosttbl,ROUNDUP($H45,0),CV$2)-(INDEX(avoidedcosttbl,ROUNDDOWN($H45,0),CV$2)))))*ADRYr1!$P45*ADRYr1!$Q45*ADRYr1!$U45)</f>
        <v/>
      </c>
      <c r="CW45" s="28" t="str">
        <f>IF($G45="","",G45*(IF(ADRYr1!$AI45=CW$4,ADRYr1!$AJ45,IF(ADRYr1!$AK45=CW$4,ADRYr1!$AL45,IF(ADRYr1!$AM45=CW$4,ADRYr1!$AN45,0))))*(INDEX(avoidedcosttbl,$H45,CW$2)+(($H45-ROUNDDOWN($H45,0))*(INDEX(avoidedcosttbl,ROUNDUP($H45,0),CW$2)-(INDEX(avoidedcosttbl,ROUNDDOWN($H45,0),CW$2)))))*ADRYr1!$P45*ADRYr1!$Q45*ADRYr1!$U45)</f>
        <v/>
      </c>
      <c r="CX45" s="28" t="str">
        <f>IF($G45="","",G45*(IF(ADRYr1!$AI45=CX$4,ADRYr1!$AJ45,IF(ADRYr1!$AK45=CX$4,ADRYr1!$AL45,IF(ADRYr1!$AM45=CX$4,ADRYr1!$AN45,0))))*(INDEX(avoidedcosttbl,$H45,CX$2)+(($H45-ROUNDDOWN($H45,0))*(INDEX(avoidedcosttbl,ROUNDUP($H45,0),CX$2)-(INDEX(avoidedcosttbl,ROUNDDOWN($H45,0),CX$2)))))*ADRYr1!$P45*ADRYr1!$Q45*ADRYr1!$U45)</f>
        <v/>
      </c>
      <c r="CY45" s="28" t="str">
        <f t="shared" si="13"/>
        <v/>
      </c>
      <c r="CZ45" s="32" t="str">
        <f t="shared" si="14"/>
        <v/>
      </c>
      <c r="DA45" s="84" t="str">
        <f t="shared" si="42"/>
        <v/>
      </c>
      <c r="DB45" s="81" t="str">
        <f>IF(NEIadder="Yes",IF($G45="","",INDEX(Lookups!$G$70:$G$71,MATCH($A45,Lookups!$E$70:$E$71,0))*(SUM(CP45:CX45,BX45))),"")</f>
        <v/>
      </c>
      <c r="DC45" s="263" t="str">
        <f t="shared" si="15"/>
        <v/>
      </c>
      <c r="DD45" s="166" t="str">
        <f t="shared" si="16"/>
        <v/>
      </c>
      <c r="DE45" s="82">
        <f t="shared" si="43"/>
        <v>0</v>
      </c>
      <c r="DF45" s="615" t="str">
        <f>IF($G45="","",(1+WntPeakEnergyLL)*(INDEX(avoidedcosttbl,$H45,DF$2)+(($H45-ROUNDDOWN($H45,0))*(INDEX(avoidedcosttbl,ROUNDUP($H45,0),DF$2)-(INDEX(avoidedcosttbl,ROUNDDOWN($H45,0),DF$2)))))*$P45*1000*ADRYr1!Z45)</f>
        <v/>
      </c>
      <c r="DG45" s="615" t="str">
        <f>IF($G45="","",(1+WntOffPeakEnergyLL)*(INDEX(avoidedcosttbl,$H45,DG$2)+(($H45-ROUNDDOWN($H45,0))*(INDEX(avoidedcosttbl,ROUNDUP($H45,0),DG$2)-(INDEX(avoidedcosttbl,ROUNDDOWN($H45,0),DG$2)))))*$P45*1000*ADRYr1!AA45)</f>
        <v/>
      </c>
      <c r="DH45" s="615" t="str">
        <f>IF($G45="","",(1+SumPeakEnergyLL)*(INDEX(avoidedcosttbl,$H45,DH$2)+(($H45-ROUNDDOWN($H45,0))*(INDEX(avoidedcosttbl,ROUNDUP($H45,0),DH$2)-(INDEX(avoidedcosttbl,ROUNDDOWN($H45,0),DH$2)))))*$P45*1000*ADRYr1!AB45)</f>
        <v/>
      </c>
      <c r="DI45" s="615" t="str">
        <f>IF($G45="","",(1+SumOffPeakEnergyLL)*(INDEX(avoidedcosttbl,$H45,DI$2)+(($H45-ROUNDDOWN($H45,0))*(INDEX(avoidedcosttbl,ROUNDUP($H45,0),DI$2)-(INDEX(avoidedcosttbl,ROUNDDOWN($H45,0),DI$2)))))*$P45*1000*ADRYr1!AC45)</f>
        <v/>
      </c>
      <c r="DJ45" s="29" t="str">
        <f t="shared" si="44"/>
        <v/>
      </c>
      <c r="DK45" s="161" t="str">
        <f t="shared" si="51"/>
        <v/>
      </c>
      <c r="DL45" s="1189"/>
      <c r="DM45" s="1189" t="str">
        <f t="shared" si="47"/>
        <v/>
      </c>
      <c r="DO45" s="966" t="str">
        <f>IF($G45="","",ADRYr1!AQ45)</f>
        <v/>
      </c>
      <c r="DP45" s="968" t="str">
        <f>IF($G45="","",ADRYr1!AR45)</f>
        <v/>
      </c>
      <c r="DQ45" s="970" t="str">
        <f>IF($G45="","",IF($DP45="Yes",COLUMN(AESC!$L$10),IF($DP45="No","Using AvoidedDemand tab",IF($DP45="Mixed",COLUMN(AESC!$N$10)))))</f>
        <v/>
      </c>
      <c r="DR45" s="970" t="str">
        <f>IF($G45="","",IF($DP45="Yes",COLUMN(AESC!$P$10),IF($DP45="No","Using AvoidedDemand tab",IF($DP45="Mixed",COLUMN(AESC!$R$10)))))</f>
        <v/>
      </c>
      <c r="DS45" s="970" t="str">
        <f>IF($G45="","",IF($DP45="Yes",COLUMN(AESC!$S$10),IF($DP45="No",COLUMN(AESC!$T$10),IF($DP45="Mixed",COLUMN(AESC!$U$10)))))</f>
        <v/>
      </c>
      <c r="DT45" s="970" t="str">
        <f t="shared" si="17"/>
        <v/>
      </c>
      <c r="DU45" s="970" t="str">
        <f>IF($G45="","",ADRYr1!AS45)</f>
        <v/>
      </c>
      <c r="DV45" s="971" t="str">
        <f>IF($G45="","",ADRYr1!AT45)</f>
        <v/>
      </c>
      <c r="DW45" s="1162" t="str">
        <f>IF($G45="","",INDEX(AvoidedEnergy!$H$4:$H$10,MATCH($DO45,AvoidedEnergy!$A$4:$A$10,0)))</f>
        <v/>
      </c>
    </row>
    <row r="46" spans="1:127">
      <c r="A46" s="160" t="str">
        <f>IF(ADRYr1!$B46=0,"",ADRYr1!A46)</f>
        <v/>
      </c>
      <c r="B46" s="9" t="str">
        <f>IF(ADRYr1!$B46=0,"",ADRYr1!B46)</f>
        <v/>
      </c>
      <c r="C46" s="9" t="str">
        <f>IF(ADRYr1!$B46=0,"",ADRYr1!C46)</f>
        <v/>
      </c>
      <c r="D46" s="9" t="str">
        <f>IF(ADRYr1!$B46=0,"",ADRYr1!D46)</f>
        <v/>
      </c>
      <c r="E46" s="9"/>
      <c r="F46" s="11" t="str">
        <f>IF(ADRYr1!$B46=0,"",ADRYr1!F46)</f>
        <v/>
      </c>
      <c r="G46" s="12" t="str">
        <f>IF(ADRYr1!$G46&lt;&gt;0,ADRYr1!G46,"")</f>
        <v/>
      </c>
      <c r="H46" s="960" t="str">
        <f>IF($G46="","",ROUND(ADRYr1!H46,0))</f>
        <v/>
      </c>
      <c r="I46" s="47" t="str">
        <f>IF($G46="","",ADRYr1!I46*ADRYr1!P46*G46)</f>
        <v/>
      </c>
      <c r="J46" s="47" t="str">
        <f>IF($G46="","",ADRYr1!J46*G46)</f>
        <v/>
      </c>
      <c r="K46" s="47" t="str">
        <f t="shared" si="18"/>
        <v/>
      </c>
      <c r="L46" s="27" t="str">
        <f>IF($G46="","",ADRYr1!V46*G46/1000)</f>
        <v/>
      </c>
      <c r="M46" s="27" t="str">
        <f>IF($G46="","",L46*ADRYr1!$Q46*ADRYr1!$R46)</f>
        <v/>
      </c>
      <c r="N46" s="27" t="str">
        <f t="shared" si="19"/>
        <v/>
      </c>
      <c r="O46" s="27" t="str">
        <f t="shared" si="20"/>
        <v/>
      </c>
      <c r="P46" s="27" t="str">
        <f>IF($G46="","",M46*ADRYr1!P46)</f>
        <v/>
      </c>
      <c r="Q46" s="27" t="str">
        <f t="shared" si="21"/>
        <v/>
      </c>
      <c r="R46" s="27" t="str">
        <f>IF($G46="","",$Q46*ADRYr1!Z46)</f>
        <v/>
      </c>
      <c r="S46" s="27" t="str">
        <f>IF($G46="","",$Q46*ADRYr1!AA46)</f>
        <v/>
      </c>
      <c r="T46" s="27" t="str">
        <f>IF($G46="","",$Q46*ADRYr1!AB46)</f>
        <v/>
      </c>
      <c r="U46" s="27" t="str">
        <f>IF($G46="","",$Q46*ADRYr1!AC46)</f>
        <v/>
      </c>
      <c r="V46" s="27" t="str">
        <f>IF($G46="","",G46*ADRYr1!$AD46*ADRYr1!$P46*ADRYr1!$Q46)</f>
        <v/>
      </c>
      <c r="W46" s="27" t="str">
        <f>IF($G46="","",$G46*ADRYr1!$AD46*ADRYr1!$AF46*ADRYr1!Q46*ADRYr1!$S46)</f>
        <v/>
      </c>
      <c r="X46" s="27" t="str">
        <f>IF($G46="","",$G46*ADRYr1!$AD46*ADRYr1!$AF46*ADRYr1!P46*ADRYr1!Q46*ADRYr1!$S46)</f>
        <v/>
      </c>
      <c r="Y46" s="27" t="str">
        <f>IF($G46="","",$G46*ADRYr1!$AD46*ADRYr1!$AE46*ADRYr1!Q46*ADRYr1!$T46)</f>
        <v/>
      </c>
      <c r="Z46" s="27" t="str">
        <f>IF($G46="","",$G46*ADRYr1!$AD46*ADRYr1!$AE46*ADRYr1!P46*ADRYr1!Q46*ADRYr1!$T46)</f>
        <v/>
      </c>
      <c r="AA46" s="45" t="str">
        <f>IF($G46="","",$G46*ADRYr1!$Q46*ADRYr1!$U46*(IF(IFERROR(SEARCH("NG", ADRYr1!$AI46),0),ADRYr1!$AJ46,0)+IF(IFERROR(SEARCH("NG", ADRYr1!$AK46),0),ADRYr1!$AL46,0)+IF(IFERROR(SEARCH("NG", ADRYr1!$AM46),0),ADRYr1!$AN46,0)))</f>
        <v/>
      </c>
      <c r="AB46" s="45" t="str">
        <f t="shared" si="22"/>
        <v/>
      </c>
      <c r="AC46" s="45">
        <f>IF($G46="",0,AA46*ADRYr1!$P46)</f>
        <v>0</v>
      </c>
      <c r="AD46" s="45" t="str">
        <f t="shared" si="23"/>
        <v/>
      </c>
      <c r="AE46" s="45" t="str">
        <f>IF($G46="","",$G46*ADRYr1!$Q46*ADRYr1!$U46*(IF(IFERROR(SEARCH("Oil", ADRYr1!$AI46), 0),ADRYr1!$AJ46,0)+IF(IFERROR(SEARCH("Oil", ADRYr1!$AK46), 0),ADRYr1!$AL46,0)+IF(IFERROR(SEARCH("Oil", ADRYr1!$AM46), 0),ADRYr1!$AN46,0)))</f>
        <v/>
      </c>
      <c r="AF46" s="45" t="str">
        <f t="shared" si="24"/>
        <v/>
      </c>
      <c r="AG46" s="45">
        <f>IF($G46="",0,AE46*ADRYr1!$P46)</f>
        <v>0</v>
      </c>
      <c r="AH46" s="45" t="str">
        <f t="shared" si="25"/>
        <v/>
      </c>
      <c r="AI46" s="45" t="str">
        <f>IF($G46="","",$G46*ADRYr1!$Q46*ADRYr1!$U46*(IF(ADRYr1!$AI46=Lookups!$E$116,ADRYr1!$AJ46,IF(ADRYr1!$AK46=Lookups!$E$116,ADRYr1!$AL46,IF(ADRYr1!$AM46=Lookups!$E$116,ADRYr1!$AN46,0)))))</f>
        <v/>
      </c>
      <c r="AJ46" s="45" t="str">
        <f t="shared" si="26"/>
        <v/>
      </c>
      <c r="AK46" s="45">
        <f>IF($G46="",0,AI46*ADRYr1!$P46)</f>
        <v>0</v>
      </c>
      <c r="AL46" s="45" t="str">
        <f t="shared" si="27"/>
        <v/>
      </c>
      <c r="AM46" s="45" t="str">
        <f>IF($G46="","",$G46*ADRYr1!$Q46*ADRYr1!$U46*(IF(ADRYr1!$AI46=Lookups!$E$115,ADRYr1!$AJ46,IF(ADRYr1!$AK46=Lookups!$E$115,ADRYr1!$AL46,IF(ADRYr1!$AM46=Lookups!$E$115,ADRYr1!$AN46,0)))))</f>
        <v/>
      </c>
      <c r="AN46" s="45" t="str">
        <f t="shared" si="28"/>
        <v/>
      </c>
      <c r="AO46" s="45">
        <f>IF($G46="",0,AM46*ADRYr1!$P46)</f>
        <v>0</v>
      </c>
      <c r="AP46" s="45" t="str">
        <f t="shared" si="29"/>
        <v/>
      </c>
      <c r="AQ46" s="45" t="str">
        <f>IF($G46="","",$G46*ADRYr1!$Q46*ADRYr1!$U46*(IF(ADRYr1!$AI46=Lookups!$E$117,ADRYr1!$AJ46,IF(ADRYr1!$AK46=Lookups!$E$117,ADRYr1!$AL46,IF(ADRYr1!$AM46=Lookups!$E$117,ADRYr1!$AN46,0)))))</f>
        <v/>
      </c>
      <c r="AR46" s="45" t="str">
        <f t="shared" si="30"/>
        <v/>
      </c>
      <c r="AS46" s="45" t="str">
        <f>IF($G46="","",AQ46*ADRYr1!$P46)</f>
        <v/>
      </c>
      <c r="AT46" s="45" t="str">
        <f t="shared" si="31"/>
        <v/>
      </c>
      <c r="AU46" s="45" t="str">
        <f>IF($G46="","",$G46*ADRYr1!$Q46*ADRYr1!$U46*(IF(ADRYr1!$AI46=Lookups!$E$118,ADRYr1!$AJ46,IF(ADRYr1!$AK46=Lookups!$E$118,ADRYr1!$AL46,IF(ADRYr1!$AM46=Lookups!$E$118,ADRYr1!$AN46,0)))))</f>
        <v/>
      </c>
      <c r="AV46" s="45" t="str">
        <f t="shared" si="32"/>
        <v/>
      </c>
      <c r="AW46" s="45" t="str">
        <f>IF($G46="","",AU46*ADRYr1!$P46)</f>
        <v/>
      </c>
      <c r="AX46" s="45" t="str">
        <f t="shared" si="33"/>
        <v/>
      </c>
      <c r="AY46" s="45">
        <f t="shared" si="49"/>
        <v>0</v>
      </c>
      <c r="AZ46" s="45">
        <f t="shared" si="49"/>
        <v>0</v>
      </c>
      <c r="BA46" s="101" t="str">
        <f>IF($G46="","",$G46*ADRYr1!$P46*ADRYr1!$Q46*ADRYr1!$U46*ADRYr1!AO46)</f>
        <v/>
      </c>
      <c r="BB46" s="102" t="str">
        <f>IF($G46="","",$G46*ADRYr1!$P46*ADRYr1!$Q46*ADRYr1!$U46*ADRYr1!AP46)</f>
        <v/>
      </c>
      <c r="BC46" s="100" t="str">
        <f t="shared" si="35"/>
        <v/>
      </c>
      <c r="BD46" s="961"/>
      <c r="BE46" s="961"/>
      <c r="BF46" s="961"/>
      <c r="BG46" s="961"/>
      <c r="BH46" s="962" t="str">
        <f t="shared" si="3"/>
        <v/>
      </c>
      <c r="BI46" s="961"/>
      <c r="BJ46" s="961"/>
      <c r="BK46" s="961"/>
      <c r="BL46" s="961"/>
      <c r="BM46" s="30" t="str">
        <f t="shared" si="4"/>
        <v/>
      </c>
      <c r="BN46" s="963" t="str">
        <f t="shared" si="5"/>
        <v/>
      </c>
      <c r="BO46" s="31" t="str">
        <f t="shared" si="36"/>
        <v/>
      </c>
      <c r="BP46" s="964" t="str">
        <f t="shared" si="6"/>
        <v/>
      </c>
      <c r="BQ46" s="28" t="str">
        <f t="shared" si="7"/>
        <v/>
      </c>
      <c r="BR46" s="964" t="str">
        <f t="shared" si="8"/>
        <v/>
      </c>
      <c r="BS46" s="964" t="str">
        <f t="shared" si="9"/>
        <v/>
      </c>
      <c r="BT46" s="28" t="str">
        <f t="shared" si="52"/>
        <v/>
      </c>
      <c r="BU46" s="28" t="str">
        <f t="shared" si="52"/>
        <v/>
      </c>
      <c r="BV46" s="28" t="str">
        <f t="shared" si="52"/>
        <v/>
      </c>
      <c r="BW46" s="29" t="str">
        <f t="shared" si="37"/>
        <v/>
      </c>
      <c r="BX46" s="29" t="str">
        <f t="shared" si="38"/>
        <v/>
      </c>
      <c r="BY46" s="28" t="str">
        <f>IF($G46="","",$G46*(IF(ADRYr1!$AI46=BY$4,ADRYr1!$AJ46,IF(ADRYr1!$AK46=BY$4,ADRYr1!$AL46,IF(ADRYr1!$AM46=BY$4,ADRYr1!$AN46,0))))*(INDEX(avoidedcosttbl,$H46,BY$2)+(($H46-ROUNDDOWN($H46,0))*(INDEX(avoidedcosttbl,ROUNDUP($H46,0),BY$2)-(INDEX(avoidedcosttbl,ROUNDDOWN($H46,0),BY$2)))))*ADRYr1!P46*ADRYr1!Q46*ADRYr1!U46)</f>
        <v/>
      </c>
      <c r="BZ46" s="28" t="str">
        <f>IF($G46="","",$G46*(IF(ADRYr1!$AI46=BZ$4,ADRYr1!$AJ46,IF(ADRYr1!$AK46=BZ$4,ADRYr1!$AL46,IF(ADRYr1!$AM46=BZ$4,ADRYr1!$AN46,0))))*(INDEX(avoidedcosttbl,$H46,BZ$2)+(($H46-ROUNDDOWN($H46,0))*(INDEX(avoidedcosttbl,ROUNDUP($H46,0),BZ$2)-(INDEX(avoidedcosttbl,ROUNDDOWN($H46,0),BZ$2)))))*ADRYr1!P46*ADRYr1!Q46*ADRYr1!U46)</f>
        <v/>
      </c>
      <c r="CA46" s="28" t="str">
        <f>IF($G46="","",$G46*(IF(ADRYr1!$AI46=CA$4,ADRYr1!$AJ46,IF(ADRYr1!$AK46=CA$4,ADRYr1!$AL46,IF(ADRYr1!$AM46=CA$4,ADRYr1!$AN46,0))))*(INDEX(avoidedcosttbl,$H46,CA$2)+(($H46-ROUNDDOWN($H46,0))*(INDEX(avoidedcosttbl,ROUNDUP($H46,0),CA$2)-(INDEX(avoidedcosttbl,ROUNDDOWN($H46,0),CA$2)))))*ADRYr1!P46*ADRYr1!Q46*ADRYr1!U46)</f>
        <v/>
      </c>
      <c r="CB46" s="28" t="str">
        <f>IF($G46="","",$G46*(IF(ADRYr1!$AI46=CB$4,ADRYr1!$AJ46,IF(ADRYr1!$AK46=CB$4,ADRYr1!$AL46,IF(ADRYr1!$AM46=CB$4,ADRYr1!$AN46,0))))*(INDEX(avoidedcosttbl,$H46,CB$2)+(($H46-ROUNDDOWN($H46,0))*(INDEX(avoidedcosttbl,ROUNDUP($H46,0),CB$2)-(INDEX(avoidedcosttbl,ROUNDDOWN($H46,0),CB$2)))))*ADRYr1!P46*ADRYr1!Q46*ADRYr1!U46)</f>
        <v/>
      </c>
      <c r="CC46" s="28" t="str">
        <f>IF($G46="","",$G46*(IF(ADRYr1!$AI46=CC$4,ADRYr1!$AJ46,IF(ADRYr1!$AK46=CC$4,ADRYr1!$AL46,IF(ADRYr1!$AM46=CC$4,ADRYr1!$AN46,0))))*(INDEX(avoidedcosttbl,$H46,CC$2)+(($H46-ROUNDDOWN($H46,0))*(INDEX(avoidedcosttbl,ROUNDUP($H46,0),CC$2)-(INDEX(avoidedcosttbl,ROUNDDOWN($H46,0),CC$2)))))*ADRYr1!P46*ADRYr1!Q46*ADRYr1!U46)</f>
        <v/>
      </c>
      <c r="CD46" s="28" t="str">
        <f>IF($G46="","",$G46*(IF(ADRYr1!$AI46=CD$4,ADRYr1!$AJ46,IF(ADRYr1!$AK46=CD$4,ADRYr1!$AL46,IF(ADRYr1!$AM46=CD$4,ADRYr1!$AN46,0))))*(INDEX(avoidedcosttbl,$H46,CD$2)+(($H46-ROUNDDOWN($H46,0))*(INDEX(avoidedcosttbl,ROUNDUP($H46,0),CD$2)-(INDEX(avoidedcosttbl,ROUNDDOWN($H46,0),CD$2)))))*ADRYr1!P46*ADRYr1!Q46*ADRYr1!U46)</f>
        <v/>
      </c>
      <c r="CE46" s="28" t="str">
        <f>IF($G46="","",$G46*(IF(ADRYr1!$AI46=CE$4,ADRYr1!$AJ46,IF(ADRYr1!$AK46=CE$4,ADRYr1!$AL46,IF(ADRYr1!$AM46=CE$4,ADRYr1!$AN46,0))))*(INDEX(avoidedcosttbl,$H46,CE$2)+(($H46-ROUNDDOWN($H46,0))*(INDEX(avoidedcosttbl,ROUNDUP($H46,0),CE$2)-(INDEX(avoidedcosttbl,ROUNDDOWN($H46,0),CE$2)))))*ADRYr1!P46*ADRYr1!Q46*ADRYr1!U46)</f>
        <v/>
      </c>
      <c r="CF46" s="41" t="str">
        <f t="shared" si="39"/>
        <v/>
      </c>
      <c r="CG46" s="30" t="str">
        <f t="shared" si="11"/>
        <v/>
      </c>
      <c r="CH46" s="30" t="str">
        <f>IF($G46="","",$G46*(IF(ADRYr1!$AI46=BY$4,ADRYr1!$AJ46,IF(ADRYr1!$AK46=BY$4,ADRYr1!$AL46,IF(ADRYr1!$AM46=BY$4,ADRYr1!$AN46,0))))*(INDEX(avoidedcosttbl,$H46,CH$2)+(($H46-ROUNDDOWN($H46,0))*(INDEX(avoidedcosttbl,ROUNDUP($H46,0),CH$2)-(INDEX(avoidedcosttbl,ROUNDDOWN($H46,0),CH$2)))))*ADRYr1!P46*ADRYr1!Q46*ADRYr1!U46)</f>
        <v/>
      </c>
      <c r="CI46" s="30" t="str">
        <f>IF($G46="","",$G46*(IF(ADRYr1!$AI46=BZ$4,ADRYr1!$AJ46,IF(ADRYr1!$AK46=BZ$4,ADRYr1!$AL46,IF(ADRYr1!$AM46=BZ$4,ADRYr1!$AN46,0))))*(INDEX(avoidedcosttbl,$H46,CI$2)+(($H46-ROUNDDOWN($H46,0))*(INDEX(avoidedcosttbl,ROUNDUP($H46,0),CI$2)-(INDEX(avoidedcosttbl,ROUNDDOWN($H46,0),CI$2)))))*ADRYr1!P46*ADRYr1!Q46*ADRYr1!U46)</f>
        <v/>
      </c>
      <c r="CJ46" s="30" t="str">
        <f>IF($G46="","",$G46*(IF(ADRYr1!$AI46=CA$4,ADRYr1!$AJ46,IF(ADRYr1!$AK46=CA$4,ADRYr1!$AL46,IF(ADRYr1!$AM46=CA$4,ADRYr1!$AN46,0))))*(INDEX(avoidedcosttbl,$H46,CJ$2)+(($H46-ROUNDDOWN($H46,0))*(INDEX(avoidedcosttbl,ROUNDUP($H46,0),CJ$2)-(INDEX(avoidedcosttbl,ROUNDDOWN($H46,0),CJ$2)))))*ADRYr1!P46*ADRYr1!Q46*ADRYr1!U46)</f>
        <v/>
      </c>
      <c r="CK46" s="30" t="str">
        <f>IF($G46="","",$G46*(IF(ADRYr1!$AI46=CB$4,ADRYr1!$AJ46,IF(ADRYr1!$AK46=CB$4,ADRYr1!$AL46,IF(ADRYr1!$AM46=CB$4,ADRYr1!$AN46,0))))*(INDEX(avoidedcosttbl,$H46,CK$2)+(($H46-ROUNDDOWN($H46,0))*(INDEX(avoidedcosttbl,ROUNDUP($H46,0),CK$2)-(INDEX(avoidedcosttbl,ROUNDDOWN($H46,0),CK$2)))))*ADRYr1!P46*ADRYr1!Q46*ADRYr1!U46)</f>
        <v/>
      </c>
      <c r="CL46" s="30" t="str">
        <f>IF($G46="","",$G46*(IF(ADRYr1!$AI46=CC$4,ADRYr1!$AJ46,IF(ADRYr1!$AK46=CC$4,ADRYr1!$AL46,IF(ADRYr1!$AM46=CC$4,ADRYr1!$AN46,0))))*(INDEX(avoidedcosttbl,$H46,CL$2)+(($H46-ROUNDDOWN($H46,0))*(INDEX(avoidedcosttbl,ROUNDUP($H46,0),CL$2)-(INDEX(avoidedcosttbl,ROUNDDOWN($H46,0),CL$2)))))*ADRYr1!P46*ADRYr1!Q46*ADRYr1!U46)</f>
        <v/>
      </c>
      <c r="CM46" s="30" t="str">
        <f>IF($G46="","",$G46*(IF(ADRYr1!$AI46=CD$4,ADRYr1!$AJ46,IF(ADRYr1!$AK46=CD$4,ADRYr1!$AL46,IF(ADRYr1!$AM46=CD$4,ADRYr1!$AN46,0))))*(INDEX(avoidedcosttbl,$H46,CM$2)+(($H46-ROUNDDOWN($H46,0))*(INDEX(avoidedcosttbl,ROUNDUP($H46,0),CM$2)-(INDEX(avoidedcosttbl,ROUNDDOWN($H46,0),CM$2)))))*ADRYr1!P46*ADRYr1!Q46*ADRYr1!U46)</f>
        <v/>
      </c>
      <c r="CN46" s="30" t="str">
        <f>IF($G46="","",$G46*(IF(ADRYr1!$AI46=CE$4,ADRYr1!$AJ46,IF(ADRYr1!$AK46=CE$4,ADRYr1!$AL46,IF(ADRYr1!$AM46=CE$4,ADRYr1!$AN46,0))))*(INDEX(avoidedcosttbl,$H46,CN$2)+(($H46-ROUNDDOWN($H46,0))*(INDEX(avoidedcosttbl,ROUNDUP($H46,0),CN$2)-(INDEX(avoidedcosttbl,ROUNDDOWN($H46,0),CN$2)))))*ADRYr1!P46*ADRYr1!Q46*ADRYr1!U46)</f>
        <v/>
      </c>
      <c r="CO46" s="220" t="str">
        <f t="shared" si="40"/>
        <v/>
      </c>
      <c r="CP46" s="220" t="str">
        <f t="shared" si="41"/>
        <v/>
      </c>
      <c r="CQ46" s="157" t="str">
        <f>IF($G46="","",$G46*(IF(ADRYr1!$AI46=CQ$4,ADRYr1!$AJ46,IF(ADRYr1!$AK46=CQ$4,ADRYr1!$AL46,IF(ADRYr1!$AM46=CQ$4,ADRYr1!$AN46,0))))*(INDEX(avoidedcosttbl,$H46,CQ$2)+(($H46-ROUNDDOWN($H46,0))*(INDEX(avoidedcosttbl,ROUNDUP($H46,0),CQ$2)-(INDEX(avoidedcosttbl,ROUNDDOWN($H46,0),CQ$2)))))*ADRYr1!$P46*ADRYr1!$Q46*ADRYr1!$U46)</f>
        <v/>
      </c>
      <c r="CR46" s="28" t="str">
        <f>IF($G46="","",G46*(IF(ADRYr1!$AI46=CR$4,ADRYr1!$AJ46,IF(ADRYr1!$AK46=CR$4,ADRYr1!$AL46,IF(ADRYr1!$AM46=CR$4,ADRYr1!$AN46,0))))*(INDEX(avoidedcosttbl,$H46,CR$2)+(($H46-ROUNDDOWN($H46,0))*(INDEX(avoidedcosttbl,ROUNDUP($H46,0),CR$2)-(INDEX(avoidedcosttbl,ROUNDDOWN($H46,0),CR$2)))))*ADRYr1!$P46*ADRYr1!$Q46*ADRYr1!$U46)</f>
        <v/>
      </c>
      <c r="CS46" s="28" t="str">
        <f>IF($G46="","",G46*(IF(ADRYr1!$AI46=CS$4,ADRYr1!$AJ46,IF(ADRYr1!$AK46=CS$4,ADRYr1!$AL46,IF(ADRYr1!$AM46=CS$4,ADRYr1!$AN46,0))))*(INDEX(avoidedcosttbl,$H46,CS$2)+(($H46-ROUNDDOWN($H46,0))*(INDEX(avoidedcosttbl,ROUNDUP($H46,0),CS$2)-(INDEX(avoidedcosttbl,ROUNDDOWN($H46,0),CS$2)))))*ADRYr1!$P46*ADRYr1!$Q46*ADRYr1!$U46)</f>
        <v/>
      </c>
      <c r="CT46" s="28" t="str">
        <f t="shared" si="12"/>
        <v/>
      </c>
      <c r="CU46" s="28" t="str">
        <f>IF($G46="","",G46*(IF(ADRYr1!$AI46=CU$4,ADRYr1!$AJ46,IF(ADRYr1!$AK46=CU$4,ADRYr1!$AL46,IF(ADRYr1!$AM46=CU$4,ADRYr1!$AN46,0))))*(INDEX(avoidedcosttbl,$H46,CU$2)+(($H46-ROUNDDOWN($H46,0))*(INDEX(avoidedcosttbl,ROUNDUP($H46,0),CU$2)-(INDEX(avoidedcosttbl,ROUNDDOWN($H46,0),CU$2)))))*ADRYr1!$P46*ADRYr1!$Q46*ADRYr1!$U46)</f>
        <v/>
      </c>
      <c r="CV46" s="28" t="str">
        <f>IF($G46="","",G46*(IF(ADRYr1!$AI46=CV$4,ADRYr1!$AJ46,IF(ADRYr1!$AK46=CV$4,ADRYr1!$AL46,IF(ADRYr1!$AM46=CV$4,ADRYr1!$AN46,0))))*(INDEX(avoidedcosttbl,$H46,CV$2)+(($H46-ROUNDDOWN($H46,0))*(INDEX(avoidedcosttbl,ROUNDUP($H46,0),CV$2)-(INDEX(avoidedcosttbl,ROUNDDOWN($H46,0),CV$2)))))*ADRYr1!$P46*ADRYr1!$Q46*ADRYr1!$U46)</f>
        <v/>
      </c>
      <c r="CW46" s="28" t="str">
        <f>IF($G46="","",G46*(IF(ADRYr1!$AI46=CW$4,ADRYr1!$AJ46,IF(ADRYr1!$AK46=CW$4,ADRYr1!$AL46,IF(ADRYr1!$AM46=CW$4,ADRYr1!$AN46,0))))*(INDEX(avoidedcosttbl,$H46,CW$2)+(($H46-ROUNDDOWN($H46,0))*(INDEX(avoidedcosttbl,ROUNDUP($H46,0),CW$2)-(INDEX(avoidedcosttbl,ROUNDDOWN($H46,0),CW$2)))))*ADRYr1!$P46*ADRYr1!$Q46*ADRYr1!$U46)</f>
        <v/>
      </c>
      <c r="CX46" s="28" t="str">
        <f>IF($G46="","",G46*(IF(ADRYr1!$AI46=CX$4,ADRYr1!$AJ46,IF(ADRYr1!$AK46=CX$4,ADRYr1!$AL46,IF(ADRYr1!$AM46=CX$4,ADRYr1!$AN46,0))))*(INDEX(avoidedcosttbl,$H46,CX$2)+(($H46-ROUNDDOWN($H46,0))*(INDEX(avoidedcosttbl,ROUNDUP($H46,0),CX$2)-(INDEX(avoidedcosttbl,ROUNDDOWN($H46,0),CX$2)))))*ADRYr1!$P46*ADRYr1!$Q46*ADRYr1!$U46)</f>
        <v/>
      </c>
      <c r="CY46" s="28" t="str">
        <f t="shared" si="13"/>
        <v/>
      </c>
      <c r="CZ46" s="32" t="str">
        <f t="shared" si="14"/>
        <v/>
      </c>
      <c r="DA46" s="84" t="str">
        <f t="shared" si="42"/>
        <v/>
      </c>
      <c r="DB46" s="81" t="str">
        <f>IF(NEIadder="Yes",IF($G46="","",INDEX(Lookups!$G$70:$G$71,MATCH($A46,Lookups!$E$70:$E$71,0))*(SUM(CP46:CX46,BX46))),"")</f>
        <v/>
      </c>
      <c r="DC46" s="263" t="str">
        <f t="shared" si="15"/>
        <v/>
      </c>
      <c r="DD46" s="166" t="str">
        <f t="shared" si="16"/>
        <v/>
      </c>
      <c r="DE46" s="82">
        <f t="shared" si="43"/>
        <v>0</v>
      </c>
      <c r="DF46" s="615" t="str">
        <f>IF($G46="","",(1+WntPeakEnergyLL)*(INDEX(avoidedcosttbl,$H46,DF$2)+(($H46-ROUNDDOWN($H46,0))*(INDEX(avoidedcosttbl,ROUNDUP($H46,0),DF$2)-(INDEX(avoidedcosttbl,ROUNDDOWN($H46,0),DF$2)))))*$P46*1000*ADRYr1!Z46)</f>
        <v/>
      </c>
      <c r="DG46" s="615" t="str">
        <f>IF($G46="","",(1+WntOffPeakEnergyLL)*(INDEX(avoidedcosttbl,$H46,DG$2)+(($H46-ROUNDDOWN($H46,0))*(INDEX(avoidedcosttbl,ROUNDUP($H46,0),DG$2)-(INDEX(avoidedcosttbl,ROUNDDOWN($H46,0),DG$2)))))*$P46*1000*ADRYr1!AA46)</f>
        <v/>
      </c>
      <c r="DH46" s="615" t="str">
        <f>IF($G46="","",(1+SumPeakEnergyLL)*(INDEX(avoidedcosttbl,$H46,DH$2)+(($H46-ROUNDDOWN($H46,0))*(INDEX(avoidedcosttbl,ROUNDUP($H46,0),DH$2)-(INDEX(avoidedcosttbl,ROUNDDOWN($H46,0),DH$2)))))*$P46*1000*ADRYr1!AB46)</f>
        <v/>
      </c>
      <c r="DI46" s="615" t="str">
        <f>IF($G46="","",(1+SumOffPeakEnergyLL)*(INDEX(avoidedcosttbl,$H46,DI$2)+(($H46-ROUNDDOWN($H46,0))*(INDEX(avoidedcosttbl,ROUNDUP($H46,0),DI$2)-(INDEX(avoidedcosttbl,ROUNDDOWN($H46,0),DI$2)))))*$P46*1000*ADRYr1!AC46)</f>
        <v/>
      </c>
      <c r="DJ46" s="29" t="str">
        <f t="shared" si="44"/>
        <v/>
      </c>
      <c r="DK46" s="161" t="str">
        <f t="shared" si="51"/>
        <v/>
      </c>
      <c r="DL46" s="1189"/>
      <c r="DM46" s="1189" t="str">
        <f t="shared" si="47"/>
        <v/>
      </c>
      <c r="DO46" s="966" t="str">
        <f>IF($G46="","",ADRYr1!AQ46)</f>
        <v/>
      </c>
      <c r="DP46" s="968" t="str">
        <f>IF($G46="","",ADRYr1!AR46)</f>
        <v/>
      </c>
      <c r="DQ46" s="970" t="str">
        <f>IF($G46="","",IF($DP46="Yes",COLUMN(AESC!$L$10),IF($DP46="No","Using AvoidedDemand tab",IF($DP46="Mixed",COLUMN(AESC!$N$10)))))</f>
        <v/>
      </c>
      <c r="DR46" s="970" t="str">
        <f>IF($G46="","",IF($DP46="Yes",COLUMN(AESC!$P$10),IF($DP46="No","Using AvoidedDemand tab",IF($DP46="Mixed",COLUMN(AESC!$R$10)))))</f>
        <v/>
      </c>
      <c r="DS46" s="970" t="str">
        <f>IF($G46="","",IF($DP46="Yes",COLUMN(AESC!$S$10),IF($DP46="No",COLUMN(AESC!$T$10),IF($DP46="Mixed",COLUMN(AESC!$U$10)))))</f>
        <v/>
      </c>
      <c r="DT46" s="970" t="str">
        <f t="shared" si="17"/>
        <v/>
      </c>
      <c r="DU46" s="970" t="str">
        <f>IF($G46="","",ADRYr1!AS46)</f>
        <v/>
      </c>
      <c r="DV46" s="971" t="str">
        <f>IF($G46="","",ADRYr1!AT46)</f>
        <v/>
      </c>
      <c r="DW46" s="1162" t="str">
        <f>IF($G46="","",INDEX(AvoidedEnergy!$H$4:$H$10,MATCH($DO46,AvoidedEnergy!$A$4:$A$10,0)))</f>
        <v/>
      </c>
    </row>
    <row r="47" spans="1:127">
      <c r="A47" s="160" t="str">
        <f>IF(ADRYr1!$B47=0,"",ADRYr1!A47)</f>
        <v/>
      </c>
      <c r="B47" s="9" t="str">
        <f>IF(ADRYr1!$B47=0,"",ADRYr1!B47)</f>
        <v/>
      </c>
      <c r="C47" s="9" t="str">
        <f>IF(ADRYr1!$B47=0,"",ADRYr1!C47)</f>
        <v/>
      </c>
      <c r="D47" s="9" t="str">
        <f>IF(ADRYr1!$B47=0,"",ADRYr1!D47)</f>
        <v/>
      </c>
      <c r="E47" s="9"/>
      <c r="F47" s="11" t="str">
        <f>IF(ADRYr1!$B47=0,"",ADRYr1!F47)</f>
        <v/>
      </c>
      <c r="G47" s="12" t="str">
        <f>IF(ADRYr1!$G47&lt;&gt;0,ADRYr1!G47,"")</f>
        <v/>
      </c>
      <c r="H47" s="960" t="str">
        <f>IF($G47="","",ROUND(ADRYr1!H47,0))</f>
        <v/>
      </c>
      <c r="I47" s="47" t="str">
        <f>IF($G47="","",ADRYr1!I47*ADRYr1!P47*G47)</f>
        <v/>
      </c>
      <c r="J47" s="47" t="str">
        <f>IF($G47="","",ADRYr1!J47*G47)</f>
        <v/>
      </c>
      <c r="K47" s="47" t="str">
        <f t="shared" si="18"/>
        <v/>
      </c>
      <c r="L47" s="27" t="str">
        <f>IF($G47="","",ADRYr1!V47*G47/1000)</f>
        <v/>
      </c>
      <c r="M47" s="27" t="str">
        <f>IF($G47="","",L47*ADRYr1!$Q47*ADRYr1!$R47)</f>
        <v/>
      </c>
      <c r="N47" s="27" t="str">
        <f t="shared" si="19"/>
        <v/>
      </c>
      <c r="O47" s="27" t="str">
        <f t="shared" si="20"/>
        <v/>
      </c>
      <c r="P47" s="27" t="str">
        <f>IF($G47="","",M47*ADRYr1!P47)</f>
        <v/>
      </c>
      <c r="Q47" s="27" t="str">
        <f t="shared" si="21"/>
        <v/>
      </c>
      <c r="R47" s="27" t="str">
        <f>IF($G47="","",$Q47*ADRYr1!Z47)</f>
        <v/>
      </c>
      <c r="S47" s="27" t="str">
        <f>IF($G47="","",$Q47*ADRYr1!AA47)</f>
        <v/>
      </c>
      <c r="T47" s="27" t="str">
        <f>IF($G47="","",$Q47*ADRYr1!AB47)</f>
        <v/>
      </c>
      <c r="U47" s="27" t="str">
        <f>IF($G47="","",$Q47*ADRYr1!AC47)</f>
        <v/>
      </c>
      <c r="V47" s="27" t="str">
        <f>IF($G47="","",G47*ADRYr1!$AD47*ADRYr1!$P47*ADRYr1!$Q47)</f>
        <v/>
      </c>
      <c r="W47" s="27" t="str">
        <f>IF($G47="","",$G47*ADRYr1!$AD47*ADRYr1!$AF47*ADRYr1!Q47*ADRYr1!$S47)</f>
        <v/>
      </c>
      <c r="X47" s="27" t="str">
        <f>IF($G47="","",$G47*ADRYr1!$AD47*ADRYr1!$AF47*ADRYr1!P47*ADRYr1!Q47*ADRYr1!$S47)</f>
        <v/>
      </c>
      <c r="Y47" s="27" t="str">
        <f>IF($G47="","",$G47*ADRYr1!$AD47*ADRYr1!$AE47*ADRYr1!Q47*ADRYr1!$T47)</f>
        <v/>
      </c>
      <c r="Z47" s="27" t="str">
        <f>IF($G47="","",$G47*ADRYr1!$AD47*ADRYr1!$AE47*ADRYr1!P47*ADRYr1!Q47*ADRYr1!$T47)</f>
        <v/>
      </c>
      <c r="AA47" s="45" t="str">
        <f>IF($G47="","",$G47*ADRYr1!$Q47*ADRYr1!$U47*(IF(IFERROR(SEARCH("NG", ADRYr1!$AI47),0),ADRYr1!$AJ47,0)+IF(IFERROR(SEARCH("NG", ADRYr1!$AK47),0),ADRYr1!$AL47,0)+IF(IFERROR(SEARCH("NG", ADRYr1!$AM47),0),ADRYr1!$AN47,0)))</f>
        <v/>
      </c>
      <c r="AB47" s="45" t="str">
        <f t="shared" si="22"/>
        <v/>
      </c>
      <c r="AC47" s="45">
        <f>IF($G47="",0,AA47*ADRYr1!$P47)</f>
        <v>0</v>
      </c>
      <c r="AD47" s="45" t="str">
        <f t="shared" si="23"/>
        <v/>
      </c>
      <c r="AE47" s="45" t="str">
        <f>IF($G47="","",$G47*ADRYr1!$Q47*ADRYr1!$U47*(IF(IFERROR(SEARCH("Oil", ADRYr1!$AI47), 0),ADRYr1!$AJ47,0)+IF(IFERROR(SEARCH("Oil", ADRYr1!$AK47), 0),ADRYr1!$AL47,0)+IF(IFERROR(SEARCH("Oil", ADRYr1!$AM47), 0),ADRYr1!$AN47,0)))</f>
        <v/>
      </c>
      <c r="AF47" s="45" t="str">
        <f t="shared" si="24"/>
        <v/>
      </c>
      <c r="AG47" s="45">
        <f>IF($G47="",0,AE47*ADRYr1!$P47)</f>
        <v>0</v>
      </c>
      <c r="AH47" s="45" t="str">
        <f t="shared" si="25"/>
        <v/>
      </c>
      <c r="AI47" s="45" t="str">
        <f>IF($G47="","",$G47*ADRYr1!$Q47*ADRYr1!$U47*(IF(ADRYr1!$AI47=Lookups!$E$116,ADRYr1!$AJ47,IF(ADRYr1!$AK47=Lookups!$E$116,ADRYr1!$AL47,IF(ADRYr1!$AM47=Lookups!$E$116,ADRYr1!$AN47,0)))))</f>
        <v/>
      </c>
      <c r="AJ47" s="45" t="str">
        <f t="shared" si="26"/>
        <v/>
      </c>
      <c r="AK47" s="45">
        <f>IF($G47="",0,AI47*ADRYr1!$P47)</f>
        <v>0</v>
      </c>
      <c r="AL47" s="45" t="str">
        <f t="shared" si="27"/>
        <v/>
      </c>
      <c r="AM47" s="45" t="str">
        <f>IF($G47="","",$G47*ADRYr1!$Q47*ADRYr1!$U47*(IF(ADRYr1!$AI47=Lookups!$E$115,ADRYr1!$AJ47,IF(ADRYr1!$AK47=Lookups!$E$115,ADRYr1!$AL47,IF(ADRYr1!$AM47=Lookups!$E$115,ADRYr1!$AN47,0)))))</f>
        <v/>
      </c>
      <c r="AN47" s="45" t="str">
        <f t="shared" si="28"/>
        <v/>
      </c>
      <c r="AO47" s="45">
        <f>IF($G47="",0,AM47*ADRYr1!$P47)</f>
        <v>0</v>
      </c>
      <c r="AP47" s="45" t="str">
        <f t="shared" si="29"/>
        <v/>
      </c>
      <c r="AQ47" s="45" t="str">
        <f>IF($G47="","",$G47*ADRYr1!$Q47*ADRYr1!$U47*(IF(ADRYr1!$AI47=Lookups!$E$117,ADRYr1!$AJ47,IF(ADRYr1!$AK47=Lookups!$E$117,ADRYr1!$AL47,IF(ADRYr1!$AM47=Lookups!$E$117,ADRYr1!$AN47,0)))))</f>
        <v/>
      </c>
      <c r="AR47" s="45" t="str">
        <f t="shared" si="30"/>
        <v/>
      </c>
      <c r="AS47" s="45" t="str">
        <f>IF($G47="","",AQ47*ADRYr1!$P47)</f>
        <v/>
      </c>
      <c r="AT47" s="45" t="str">
        <f t="shared" si="31"/>
        <v/>
      </c>
      <c r="AU47" s="45" t="str">
        <f>IF($G47="","",$G47*ADRYr1!$Q47*ADRYr1!$U47*(IF(ADRYr1!$AI47=Lookups!$E$118,ADRYr1!$AJ47,IF(ADRYr1!$AK47=Lookups!$E$118,ADRYr1!$AL47,IF(ADRYr1!$AM47=Lookups!$E$118,ADRYr1!$AN47,0)))))</f>
        <v/>
      </c>
      <c r="AV47" s="45" t="str">
        <f t="shared" si="32"/>
        <v/>
      </c>
      <c r="AW47" s="45" t="str">
        <f>IF($G47="","",AU47*ADRYr1!$P47)</f>
        <v/>
      </c>
      <c r="AX47" s="45" t="str">
        <f t="shared" si="33"/>
        <v/>
      </c>
      <c r="AY47" s="45">
        <f t="shared" si="49"/>
        <v>0</v>
      </c>
      <c r="AZ47" s="45">
        <f t="shared" si="49"/>
        <v>0</v>
      </c>
      <c r="BA47" s="101" t="str">
        <f>IF($G47="","",$G47*ADRYr1!$P47*ADRYr1!$Q47*ADRYr1!$U47*ADRYr1!AO47)</f>
        <v/>
      </c>
      <c r="BB47" s="102" t="str">
        <f>IF($G47="","",$G47*ADRYr1!$P47*ADRYr1!$Q47*ADRYr1!$U47*ADRYr1!AP47)</f>
        <v/>
      </c>
      <c r="BC47" s="100" t="str">
        <f t="shared" si="35"/>
        <v/>
      </c>
      <c r="BD47" s="961"/>
      <c r="BE47" s="961"/>
      <c r="BF47" s="961"/>
      <c r="BG47" s="961"/>
      <c r="BH47" s="962" t="str">
        <f t="shared" si="3"/>
        <v/>
      </c>
      <c r="BI47" s="961"/>
      <c r="BJ47" s="961"/>
      <c r="BK47" s="961"/>
      <c r="BL47" s="961"/>
      <c r="BM47" s="30" t="str">
        <f t="shared" si="4"/>
        <v/>
      </c>
      <c r="BN47" s="963" t="str">
        <f t="shared" si="5"/>
        <v/>
      </c>
      <c r="BO47" s="31" t="str">
        <f t="shared" si="36"/>
        <v/>
      </c>
      <c r="BP47" s="964" t="str">
        <f t="shared" si="6"/>
        <v/>
      </c>
      <c r="BQ47" s="28" t="str">
        <f t="shared" si="7"/>
        <v/>
      </c>
      <c r="BR47" s="964" t="str">
        <f t="shared" si="8"/>
        <v/>
      </c>
      <c r="BS47" s="964" t="str">
        <f t="shared" si="9"/>
        <v/>
      </c>
      <c r="BT47" s="28" t="str">
        <f t="shared" si="52"/>
        <v/>
      </c>
      <c r="BU47" s="28" t="str">
        <f t="shared" si="52"/>
        <v/>
      </c>
      <c r="BV47" s="28" t="str">
        <f t="shared" si="52"/>
        <v/>
      </c>
      <c r="BW47" s="29" t="str">
        <f t="shared" si="37"/>
        <v/>
      </c>
      <c r="BX47" s="29" t="str">
        <f t="shared" si="38"/>
        <v/>
      </c>
      <c r="BY47" s="28" t="str">
        <f>IF($G47="","",$G47*(IF(ADRYr1!$AI47=BY$4,ADRYr1!$AJ47,IF(ADRYr1!$AK47=BY$4,ADRYr1!$AL47,IF(ADRYr1!$AM47=BY$4,ADRYr1!$AN47,0))))*(INDEX(avoidedcosttbl,$H47,BY$2)+(($H47-ROUNDDOWN($H47,0))*(INDEX(avoidedcosttbl,ROUNDUP($H47,0),BY$2)-(INDEX(avoidedcosttbl,ROUNDDOWN($H47,0),BY$2)))))*ADRYr1!P47*ADRYr1!Q47*ADRYr1!U47)</f>
        <v/>
      </c>
      <c r="BZ47" s="28" t="str">
        <f>IF($G47="","",$G47*(IF(ADRYr1!$AI47=BZ$4,ADRYr1!$AJ47,IF(ADRYr1!$AK47=BZ$4,ADRYr1!$AL47,IF(ADRYr1!$AM47=BZ$4,ADRYr1!$AN47,0))))*(INDEX(avoidedcosttbl,$H47,BZ$2)+(($H47-ROUNDDOWN($H47,0))*(INDEX(avoidedcosttbl,ROUNDUP($H47,0),BZ$2)-(INDEX(avoidedcosttbl,ROUNDDOWN($H47,0),BZ$2)))))*ADRYr1!P47*ADRYr1!Q47*ADRYr1!U47)</f>
        <v/>
      </c>
      <c r="CA47" s="28" t="str">
        <f>IF($G47="","",$G47*(IF(ADRYr1!$AI47=CA$4,ADRYr1!$AJ47,IF(ADRYr1!$AK47=CA$4,ADRYr1!$AL47,IF(ADRYr1!$AM47=CA$4,ADRYr1!$AN47,0))))*(INDEX(avoidedcosttbl,$H47,CA$2)+(($H47-ROUNDDOWN($H47,0))*(INDEX(avoidedcosttbl,ROUNDUP($H47,0),CA$2)-(INDEX(avoidedcosttbl,ROUNDDOWN($H47,0),CA$2)))))*ADRYr1!P47*ADRYr1!Q47*ADRYr1!U47)</f>
        <v/>
      </c>
      <c r="CB47" s="28" t="str">
        <f>IF($G47="","",$G47*(IF(ADRYr1!$AI47=CB$4,ADRYr1!$AJ47,IF(ADRYr1!$AK47=CB$4,ADRYr1!$AL47,IF(ADRYr1!$AM47=CB$4,ADRYr1!$AN47,0))))*(INDEX(avoidedcosttbl,$H47,CB$2)+(($H47-ROUNDDOWN($H47,0))*(INDEX(avoidedcosttbl,ROUNDUP($H47,0),CB$2)-(INDEX(avoidedcosttbl,ROUNDDOWN($H47,0),CB$2)))))*ADRYr1!P47*ADRYr1!Q47*ADRYr1!U47)</f>
        <v/>
      </c>
      <c r="CC47" s="28" t="str">
        <f>IF($G47="","",$G47*(IF(ADRYr1!$AI47=CC$4,ADRYr1!$AJ47,IF(ADRYr1!$AK47=CC$4,ADRYr1!$AL47,IF(ADRYr1!$AM47=CC$4,ADRYr1!$AN47,0))))*(INDEX(avoidedcosttbl,$H47,CC$2)+(($H47-ROUNDDOWN($H47,0))*(INDEX(avoidedcosttbl,ROUNDUP($H47,0),CC$2)-(INDEX(avoidedcosttbl,ROUNDDOWN($H47,0),CC$2)))))*ADRYr1!P47*ADRYr1!Q47*ADRYr1!U47)</f>
        <v/>
      </c>
      <c r="CD47" s="28" t="str">
        <f>IF($G47="","",$G47*(IF(ADRYr1!$AI47=CD$4,ADRYr1!$AJ47,IF(ADRYr1!$AK47=CD$4,ADRYr1!$AL47,IF(ADRYr1!$AM47=CD$4,ADRYr1!$AN47,0))))*(INDEX(avoidedcosttbl,$H47,CD$2)+(($H47-ROUNDDOWN($H47,0))*(INDEX(avoidedcosttbl,ROUNDUP($H47,0),CD$2)-(INDEX(avoidedcosttbl,ROUNDDOWN($H47,0),CD$2)))))*ADRYr1!P47*ADRYr1!Q47*ADRYr1!U47)</f>
        <v/>
      </c>
      <c r="CE47" s="28" t="str">
        <f>IF($G47="","",$G47*(IF(ADRYr1!$AI47=CE$4,ADRYr1!$AJ47,IF(ADRYr1!$AK47=CE$4,ADRYr1!$AL47,IF(ADRYr1!$AM47=CE$4,ADRYr1!$AN47,0))))*(INDEX(avoidedcosttbl,$H47,CE$2)+(($H47-ROUNDDOWN($H47,0))*(INDEX(avoidedcosttbl,ROUNDUP($H47,0),CE$2)-(INDEX(avoidedcosttbl,ROUNDDOWN($H47,0),CE$2)))))*ADRYr1!P47*ADRYr1!Q47*ADRYr1!U47)</f>
        <v/>
      </c>
      <c r="CF47" s="41" t="str">
        <f t="shared" si="39"/>
        <v/>
      </c>
      <c r="CG47" s="30" t="str">
        <f t="shared" si="11"/>
        <v/>
      </c>
      <c r="CH47" s="30" t="str">
        <f>IF($G47="","",$G47*(IF(ADRYr1!$AI47=BY$4,ADRYr1!$AJ47,IF(ADRYr1!$AK47=BY$4,ADRYr1!$AL47,IF(ADRYr1!$AM47=BY$4,ADRYr1!$AN47,0))))*(INDEX(avoidedcosttbl,$H47,CH$2)+(($H47-ROUNDDOWN($H47,0))*(INDEX(avoidedcosttbl,ROUNDUP($H47,0),CH$2)-(INDEX(avoidedcosttbl,ROUNDDOWN($H47,0),CH$2)))))*ADRYr1!P47*ADRYr1!Q47*ADRYr1!U47)</f>
        <v/>
      </c>
      <c r="CI47" s="30" t="str">
        <f>IF($G47="","",$G47*(IF(ADRYr1!$AI47=BZ$4,ADRYr1!$AJ47,IF(ADRYr1!$AK47=BZ$4,ADRYr1!$AL47,IF(ADRYr1!$AM47=BZ$4,ADRYr1!$AN47,0))))*(INDEX(avoidedcosttbl,$H47,CI$2)+(($H47-ROUNDDOWN($H47,0))*(INDEX(avoidedcosttbl,ROUNDUP($H47,0),CI$2)-(INDEX(avoidedcosttbl,ROUNDDOWN($H47,0),CI$2)))))*ADRYr1!P47*ADRYr1!Q47*ADRYr1!U47)</f>
        <v/>
      </c>
      <c r="CJ47" s="30" t="str">
        <f>IF($G47="","",$G47*(IF(ADRYr1!$AI47=CA$4,ADRYr1!$AJ47,IF(ADRYr1!$AK47=CA$4,ADRYr1!$AL47,IF(ADRYr1!$AM47=CA$4,ADRYr1!$AN47,0))))*(INDEX(avoidedcosttbl,$H47,CJ$2)+(($H47-ROUNDDOWN($H47,0))*(INDEX(avoidedcosttbl,ROUNDUP($H47,0),CJ$2)-(INDEX(avoidedcosttbl,ROUNDDOWN($H47,0),CJ$2)))))*ADRYr1!P47*ADRYr1!Q47*ADRYr1!U47)</f>
        <v/>
      </c>
      <c r="CK47" s="30" t="str">
        <f>IF($G47="","",$G47*(IF(ADRYr1!$AI47=CB$4,ADRYr1!$AJ47,IF(ADRYr1!$AK47=CB$4,ADRYr1!$AL47,IF(ADRYr1!$AM47=CB$4,ADRYr1!$AN47,0))))*(INDEX(avoidedcosttbl,$H47,CK$2)+(($H47-ROUNDDOWN($H47,0))*(INDEX(avoidedcosttbl,ROUNDUP($H47,0),CK$2)-(INDEX(avoidedcosttbl,ROUNDDOWN($H47,0),CK$2)))))*ADRYr1!P47*ADRYr1!Q47*ADRYr1!U47)</f>
        <v/>
      </c>
      <c r="CL47" s="30" t="str">
        <f>IF($G47="","",$G47*(IF(ADRYr1!$AI47=CC$4,ADRYr1!$AJ47,IF(ADRYr1!$AK47=CC$4,ADRYr1!$AL47,IF(ADRYr1!$AM47=CC$4,ADRYr1!$AN47,0))))*(INDEX(avoidedcosttbl,$H47,CL$2)+(($H47-ROUNDDOWN($H47,0))*(INDEX(avoidedcosttbl,ROUNDUP($H47,0),CL$2)-(INDEX(avoidedcosttbl,ROUNDDOWN($H47,0),CL$2)))))*ADRYr1!P47*ADRYr1!Q47*ADRYr1!U47)</f>
        <v/>
      </c>
      <c r="CM47" s="30" t="str">
        <f>IF($G47="","",$G47*(IF(ADRYr1!$AI47=CD$4,ADRYr1!$AJ47,IF(ADRYr1!$AK47=CD$4,ADRYr1!$AL47,IF(ADRYr1!$AM47=CD$4,ADRYr1!$AN47,0))))*(INDEX(avoidedcosttbl,$H47,CM$2)+(($H47-ROUNDDOWN($H47,0))*(INDEX(avoidedcosttbl,ROUNDUP($H47,0),CM$2)-(INDEX(avoidedcosttbl,ROUNDDOWN($H47,0),CM$2)))))*ADRYr1!P47*ADRYr1!Q47*ADRYr1!U47)</f>
        <v/>
      </c>
      <c r="CN47" s="30" t="str">
        <f>IF($G47="","",$G47*(IF(ADRYr1!$AI47=CE$4,ADRYr1!$AJ47,IF(ADRYr1!$AK47=CE$4,ADRYr1!$AL47,IF(ADRYr1!$AM47=CE$4,ADRYr1!$AN47,0))))*(INDEX(avoidedcosttbl,$H47,CN$2)+(($H47-ROUNDDOWN($H47,0))*(INDEX(avoidedcosttbl,ROUNDUP($H47,0),CN$2)-(INDEX(avoidedcosttbl,ROUNDDOWN($H47,0),CN$2)))))*ADRYr1!P47*ADRYr1!Q47*ADRYr1!U47)</f>
        <v/>
      </c>
      <c r="CO47" s="220" t="str">
        <f t="shared" si="40"/>
        <v/>
      </c>
      <c r="CP47" s="220" t="str">
        <f t="shared" si="41"/>
        <v/>
      </c>
      <c r="CQ47" s="157" t="str">
        <f>IF($G47="","",$G47*(IF(ADRYr1!$AI47=CQ$4,ADRYr1!$AJ47,IF(ADRYr1!$AK47=CQ$4,ADRYr1!$AL47,IF(ADRYr1!$AM47=CQ$4,ADRYr1!$AN47,0))))*(INDEX(avoidedcosttbl,$H47,CQ$2)+(($H47-ROUNDDOWN($H47,0))*(INDEX(avoidedcosttbl,ROUNDUP($H47,0),CQ$2)-(INDEX(avoidedcosttbl,ROUNDDOWN($H47,0),CQ$2)))))*ADRYr1!$P47*ADRYr1!$Q47*ADRYr1!$U47)</f>
        <v/>
      </c>
      <c r="CR47" s="28" t="str">
        <f>IF($G47="","",G47*(IF(ADRYr1!$AI47=CR$4,ADRYr1!$AJ47,IF(ADRYr1!$AK47=CR$4,ADRYr1!$AL47,IF(ADRYr1!$AM47=CR$4,ADRYr1!$AN47,0))))*(INDEX(avoidedcosttbl,$H47,CR$2)+(($H47-ROUNDDOWN($H47,0))*(INDEX(avoidedcosttbl,ROUNDUP($H47,0),CR$2)-(INDEX(avoidedcosttbl,ROUNDDOWN($H47,0),CR$2)))))*ADRYr1!$P47*ADRYr1!$Q47*ADRYr1!$U47)</f>
        <v/>
      </c>
      <c r="CS47" s="28" t="str">
        <f>IF($G47="","",G47*(IF(ADRYr1!$AI47=CS$4,ADRYr1!$AJ47,IF(ADRYr1!$AK47=CS$4,ADRYr1!$AL47,IF(ADRYr1!$AM47=CS$4,ADRYr1!$AN47,0))))*(INDEX(avoidedcosttbl,$H47,CS$2)+(($H47-ROUNDDOWN($H47,0))*(INDEX(avoidedcosttbl,ROUNDUP($H47,0),CS$2)-(INDEX(avoidedcosttbl,ROUNDDOWN($H47,0),CS$2)))))*ADRYr1!$P47*ADRYr1!$Q47*ADRYr1!$U47)</f>
        <v/>
      </c>
      <c r="CT47" s="28" t="str">
        <f t="shared" si="12"/>
        <v/>
      </c>
      <c r="CU47" s="28" t="str">
        <f>IF($G47="","",G47*(IF(ADRYr1!$AI47=CU$4,ADRYr1!$AJ47,IF(ADRYr1!$AK47=CU$4,ADRYr1!$AL47,IF(ADRYr1!$AM47=CU$4,ADRYr1!$AN47,0))))*(INDEX(avoidedcosttbl,$H47,CU$2)+(($H47-ROUNDDOWN($H47,0))*(INDEX(avoidedcosttbl,ROUNDUP($H47,0),CU$2)-(INDEX(avoidedcosttbl,ROUNDDOWN($H47,0),CU$2)))))*ADRYr1!$P47*ADRYr1!$Q47*ADRYr1!$U47)</f>
        <v/>
      </c>
      <c r="CV47" s="28" t="str">
        <f>IF($G47="","",G47*(IF(ADRYr1!$AI47=CV$4,ADRYr1!$AJ47,IF(ADRYr1!$AK47=CV$4,ADRYr1!$AL47,IF(ADRYr1!$AM47=CV$4,ADRYr1!$AN47,0))))*(INDEX(avoidedcosttbl,$H47,CV$2)+(($H47-ROUNDDOWN($H47,0))*(INDEX(avoidedcosttbl,ROUNDUP($H47,0),CV$2)-(INDEX(avoidedcosttbl,ROUNDDOWN($H47,0),CV$2)))))*ADRYr1!$P47*ADRYr1!$Q47*ADRYr1!$U47)</f>
        <v/>
      </c>
      <c r="CW47" s="28" t="str">
        <f>IF($G47="","",G47*(IF(ADRYr1!$AI47=CW$4,ADRYr1!$AJ47,IF(ADRYr1!$AK47=CW$4,ADRYr1!$AL47,IF(ADRYr1!$AM47=CW$4,ADRYr1!$AN47,0))))*(INDEX(avoidedcosttbl,$H47,CW$2)+(($H47-ROUNDDOWN($H47,0))*(INDEX(avoidedcosttbl,ROUNDUP($H47,0),CW$2)-(INDEX(avoidedcosttbl,ROUNDDOWN($H47,0),CW$2)))))*ADRYr1!$P47*ADRYr1!$Q47*ADRYr1!$U47)</f>
        <v/>
      </c>
      <c r="CX47" s="28" t="str">
        <f>IF($G47="","",G47*(IF(ADRYr1!$AI47=CX$4,ADRYr1!$AJ47,IF(ADRYr1!$AK47=CX$4,ADRYr1!$AL47,IF(ADRYr1!$AM47=CX$4,ADRYr1!$AN47,0))))*(INDEX(avoidedcosttbl,$H47,CX$2)+(($H47-ROUNDDOWN($H47,0))*(INDEX(avoidedcosttbl,ROUNDUP($H47,0),CX$2)-(INDEX(avoidedcosttbl,ROUNDDOWN($H47,0),CX$2)))))*ADRYr1!$P47*ADRYr1!$Q47*ADRYr1!$U47)</f>
        <v/>
      </c>
      <c r="CY47" s="28" t="str">
        <f t="shared" si="13"/>
        <v/>
      </c>
      <c r="CZ47" s="32" t="str">
        <f t="shared" si="14"/>
        <v/>
      </c>
      <c r="DA47" s="84" t="str">
        <f t="shared" si="42"/>
        <v/>
      </c>
      <c r="DB47" s="81" t="str">
        <f>IF(NEIadder="Yes",IF($G47="","",INDEX(Lookups!$G$70:$G$71,MATCH($A47,Lookups!$E$70:$E$71,0))*(SUM(CP47:CX47,BX47))),"")</f>
        <v/>
      </c>
      <c r="DC47" s="263" t="str">
        <f t="shared" si="15"/>
        <v/>
      </c>
      <c r="DD47" s="166" t="str">
        <f t="shared" si="16"/>
        <v/>
      </c>
      <c r="DE47" s="82">
        <f t="shared" si="43"/>
        <v>0</v>
      </c>
      <c r="DF47" s="615" t="str">
        <f>IF($G47="","",(1+WntPeakEnergyLL)*(INDEX(avoidedcosttbl,$H47,DF$2)+(($H47-ROUNDDOWN($H47,0))*(INDEX(avoidedcosttbl,ROUNDUP($H47,0),DF$2)-(INDEX(avoidedcosttbl,ROUNDDOWN($H47,0),DF$2)))))*$P47*1000*ADRYr1!Z47)</f>
        <v/>
      </c>
      <c r="DG47" s="615" t="str">
        <f>IF($G47="","",(1+WntOffPeakEnergyLL)*(INDEX(avoidedcosttbl,$H47,DG$2)+(($H47-ROUNDDOWN($H47,0))*(INDEX(avoidedcosttbl,ROUNDUP($H47,0),DG$2)-(INDEX(avoidedcosttbl,ROUNDDOWN($H47,0),DG$2)))))*$P47*1000*ADRYr1!AA47)</f>
        <v/>
      </c>
      <c r="DH47" s="615" t="str">
        <f>IF($G47="","",(1+SumPeakEnergyLL)*(INDEX(avoidedcosttbl,$H47,DH$2)+(($H47-ROUNDDOWN($H47,0))*(INDEX(avoidedcosttbl,ROUNDUP($H47,0),DH$2)-(INDEX(avoidedcosttbl,ROUNDDOWN($H47,0),DH$2)))))*$P47*1000*ADRYr1!AB47)</f>
        <v/>
      </c>
      <c r="DI47" s="615" t="str">
        <f>IF($G47="","",(1+SumOffPeakEnergyLL)*(INDEX(avoidedcosttbl,$H47,DI$2)+(($H47-ROUNDDOWN($H47,0))*(INDEX(avoidedcosttbl,ROUNDUP($H47,0),DI$2)-(INDEX(avoidedcosttbl,ROUNDDOWN($H47,0),DI$2)))))*$P47*1000*ADRYr1!AC47)</f>
        <v/>
      </c>
      <c r="DJ47" s="29" t="str">
        <f t="shared" si="44"/>
        <v/>
      </c>
      <c r="DK47" s="161" t="str">
        <f t="shared" si="51"/>
        <v/>
      </c>
      <c r="DL47" s="1189"/>
      <c r="DM47" s="1189" t="str">
        <f t="shared" si="47"/>
        <v/>
      </c>
      <c r="DO47" s="966" t="str">
        <f>IF($G47="","",ADRYr1!AQ47)</f>
        <v/>
      </c>
      <c r="DP47" s="968" t="str">
        <f>IF($G47="","",ADRYr1!AR47)</f>
        <v/>
      </c>
      <c r="DQ47" s="970" t="str">
        <f>IF($G47="","",IF($DP47="Yes",COLUMN(AESC!$L$10),IF($DP47="No","Using AvoidedDemand tab",IF($DP47="Mixed",COLUMN(AESC!$N$10)))))</f>
        <v/>
      </c>
      <c r="DR47" s="970" t="str">
        <f>IF($G47="","",IF($DP47="Yes",COLUMN(AESC!$P$10),IF($DP47="No","Using AvoidedDemand tab",IF($DP47="Mixed",COLUMN(AESC!$R$10)))))</f>
        <v/>
      </c>
      <c r="DS47" s="970" t="str">
        <f>IF($G47="","",IF($DP47="Yes",COLUMN(AESC!$S$10),IF($DP47="No",COLUMN(AESC!$T$10),IF($DP47="Mixed",COLUMN(AESC!$U$10)))))</f>
        <v/>
      </c>
      <c r="DT47" s="970" t="str">
        <f t="shared" si="17"/>
        <v/>
      </c>
      <c r="DU47" s="970" t="str">
        <f>IF($G47="","",ADRYr1!AS47)</f>
        <v/>
      </c>
      <c r="DV47" s="971" t="str">
        <f>IF($G47="","",ADRYr1!AT47)</f>
        <v/>
      </c>
      <c r="DW47" s="1162" t="str">
        <f>IF($G47="","",INDEX(AvoidedEnergy!$H$4:$H$10,MATCH($DO47,AvoidedEnergy!$A$4:$A$10,0)))</f>
        <v/>
      </c>
    </row>
    <row r="48" spans="1:127">
      <c r="A48" s="160" t="str">
        <f>IF(ADRYr1!$B48=0,"",ADRYr1!A48)</f>
        <v/>
      </c>
      <c r="B48" s="9" t="str">
        <f>IF(ADRYr1!$B48=0,"",ADRYr1!B48)</f>
        <v/>
      </c>
      <c r="C48" s="9" t="str">
        <f>IF(ADRYr1!$B48=0,"",ADRYr1!C48)</f>
        <v/>
      </c>
      <c r="D48" s="9" t="str">
        <f>IF(ADRYr1!$B48=0,"",ADRYr1!D48)</f>
        <v/>
      </c>
      <c r="E48" s="9"/>
      <c r="F48" s="11" t="str">
        <f>IF(ADRYr1!$B48=0,"",ADRYr1!F48)</f>
        <v/>
      </c>
      <c r="G48" s="12" t="str">
        <f>IF(ADRYr1!$G48&lt;&gt;0,ADRYr1!G48,"")</f>
        <v/>
      </c>
      <c r="H48" s="960" t="str">
        <f>IF($G48="","",ROUND(ADRYr1!H48,0))</f>
        <v/>
      </c>
      <c r="I48" s="47" t="str">
        <f>IF($G48="","",ADRYr1!I48*ADRYr1!P48*G48)</f>
        <v/>
      </c>
      <c r="J48" s="47" t="str">
        <f>IF($G48="","",ADRYr1!J48*G48)</f>
        <v/>
      </c>
      <c r="K48" s="47" t="str">
        <f t="shared" si="18"/>
        <v/>
      </c>
      <c r="L48" s="27" t="str">
        <f>IF($G48="","",ADRYr1!V48*G48/1000)</f>
        <v/>
      </c>
      <c r="M48" s="27" t="str">
        <f>IF($G48="","",L48*ADRYr1!$Q48*ADRYr1!$R48)</f>
        <v/>
      </c>
      <c r="N48" s="27" t="str">
        <f t="shared" si="19"/>
        <v/>
      </c>
      <c r="O48" s="27" t="str">
        <f t="shared" si="20"/>
        <v/>
      </c>
      <c r="P48" s="27" t="str">
        <f>IF($G48="","",M48*ADRYr1!P48)</f>
        <v/>
      </c>
      <c r="Q48" s="27" t="str">
        <f t="shared" si="21"/>
        <v/>
      </c>
      <c r="R48" s="27" t="str">
        <f>IF($G48="","",$Q48*ADRYr1!Z48)</f>
        <v/>
      </c>
      <c r="S48" s="27" t="str">
        <f>IF($G48="","",$Q48*ADRYr1!AA48)</f>
        <v/>
      </c>
      <c r="T48" s="27" t="str">
        <f>IF($G48="","",$Q48*ADRYr1!AB48)</f>
        <v/>
      </c>
      <c r="U48" s="27" t="str">
        <f>IF($G48="","",$Q48*ADRYr1!AC48)</f>
        <v/>
      </c>
      <c r="V48" s="27" t="str">
        <f>IF($G48="","",G48*ADRYr1!$AD48*ADRYr1!$P48*ADRYr1!$Q48)</f>
        <v/>
      </c>
      <c r="W48" s="27" t="str">
        <f>IF($G48="","",$G48*ADRYr1!$AD48*ADRYr1!$AF48*ADRYr1!Q48*ADRYr1!$S48)</f>
        <v/>
      </c>
      <c r="X48" s="27" t="str">
        <f>IF($G48="","",$G48*ADRYr1!$AD48*ADRYr1!$AF48*ADRYr1!P48*ADRYr1!Q48*ADRYr1!$S48)</f>
        <v/>
      </c>
      <c r="Y48" s="27" t="str">
        <f>IF($G48="","",$G48*ADRYr1!$AD48*ADRYr1!$AE48*ADRYr1!Q48*ADRYr1!$T48)</f>
        <v/>
      </c>
      <c r="Z48" s="27" t="str">
        <f>IF($G48="","",$G48*ADRYr1!$AD48*ADRYr1!$AE48*ADRYr1!P48*ADRYr1!Q48*ADRYr1!$T48)</f>
        <v/>
      </c>
      <c r="AA48" s="45" t="str">
        <f>IF($G48="","",$G48*ADRYr1!$Q48*ADRYr1!$U48*(IF(IFERROR(SEARCH("NG", ADRYr1!$AI48),0),ADRYr1!$AJ48,0)+IF(IFERROR(SEARCH("NG", ADRYr1!$AK48),0),ADRYr1!$AL48,0)+IF(IFERROR(SEARCH("NG", ADRYr1!$AM48),0),ADRYr1!$AN48,0)))</f>
        <v/>
      </c>
      <c r="AB48" s="45" t="str">
        <f t="shared" si="22"/>
        <v/>
      </c>
      <c r="AC48" s="45">
        <f>IF($G48="",0,AA48*ADRYr1!$P48)</f>
        <v>0</v>
      </c>
      <c r="AD48" s="45" t="str">
        <f t="shared" si="23"/>
        <v/>
      </c>
      <c r="AE48" s="45" t="str">
        <f>IF($G48="","",$G48*ADRYr1!$Q48*ADRYr1!$U48*(IF(IFERROR(SEARCH("Oil", ADRYr1!$AI48), 0),ADRYr1!$AJ48,0)+IF(IFERROR(SEARCH("Oil", ADRYr1!$AK48), 0),ADRYr1!$AL48,0)+IF(IFERROR(SEARCH("Oil", ADRYr1!$AM48), 0),ADRYr1!$AN48,0)))</f>
        <v/>
      </c>
      <c r="AF48" s="45" t="str">
        <f t="shared" si="24"/>
        <v/>
      </c>
      <c r="AG48" s="45">
        <f>IF($G48="",0,AE48*ADRYr1!$P48)</f>
        <v>0</v>
      </c>
      <c r="AH48" s="45" t="str">
        <f t="shared" si="25"/>
        <v/>
      </c>
      <c r="AI48" s="45" t="str">
        <f>IF($G48="","",$G48*ADRYr1!$Q48*ADRYr1!$U48*(IF(ADRYr1!$AI48=Lookups!$E$116,ADRYr1!$AJ48,IF(ADRYr1!$AK48=Lookups!$E$116,ADRYr1!$AL48,IF(ADRYr1!$AM48=Lookups!$E$116,ADRYr1!$AN48,0)))))</f>
        <v/>
      </c>
      <c r="AJ48" s="45" t="str">
        <f t="shared" si="26"/>
        <v/>
      </c>
      <c r="AK48" s="45">
        <f>IF($G48="",0,AI48*ADRYr1!$P48)</f>
        <v>0</v>
      </c>
      <c r="AL48" s="45" t="str">
        <f t="shared" si="27"/>
        <v/>
      </c>
      <c r="AM48" s="45" t="str">
        <f>IF($G48="","",$G48*ADRYr1!$Q48*ADRYr1!$U48*(IF(ADRYr1!$AI48=Lookups!$E$115,ADRYr1!$AJ48,IF(ADRYr1!$AK48=Lookups!$E$115,ADRYr1!$AL48,IF(ADRYr1!$AM48=Lookups!$E$115,ADRYr1!$AN48,0)))))</f>
        <v/>
      </c>
      <c r="AN48" s="45" t="str">
        <f t="shared" si="28"/>
        <v/>
      </c>
      <c r="AO48" s="45">
        <f>IF($G48="",0,AM48*ADRYr1!$P48)</f>
        <v>0</v>
      </c>
      <c r="AP48" s="45" t="str">
        <f t="shared" si="29"/>
        <v/>
      </c>
      <c r="AQ48" s="45" t="str">
        <f>IF($G48="","",$G48*ADRYr1!$Q48*ADRYr1!$U48*(IF(ADRYr1!$AI48=Lookups!$E$117,ADRYr1!$AJ48,IF(ADRYr1!$AK48=Lookups!$E$117,ADRYr1!$AL48,IF(ADRYr1!$AM48=Lookups!$E$117,ADRYr1!$AN48,0)))))</f>
        <v/>
      </c>
      <c r="AR48" s="45" t="str">
        <f t="shared" si="30"/>
        <v/>
      </c>
      <c r="AS48" s="45" t="str">
        <f>IF($G48="","",AQ48*ADRYr1!$P48)</f>
        <v/>
      </c>
      <c r="AT48" s="45" t="str">
        <f t="shared" si="31"/>
        <v/>
      </c>
      <c r="AU48" s="45" t="str">
        <f>IF($G48="","",$G48*ADRYr1!$Q48*ADRYr1!$U48*(IF(ADRYr1!$AI48=Lookups!$E$118,ADRYr1!$AJ48,IF(ADRYr1!$AK48=Lookups!$E$118,ADRYr1!$AL48,IF(ADRYr1!$AM48=Lookups!$E$118,ADRYr1!$AN48,0)))))</f>
        <v/>
      </c>
      <c r="AV48" s="45" t="str">
        <f t="shared" si="32"/>
        <v/>
      </c>
      <c r="AW48" s="45" t="str">
        <f>IF($G48="","",AU48*ADRYr1!$P48)</f>
        <v/>
      </c>
      <c r="AX48" s="45" t="str">
        <f t="shared" si="33"/>
        <v/>
      </c>
      <c r="AY48" s="45">
        <f t="shared" si="49"/>
        <v>0</v>
      </c>
      <c r="AZ48" s="45">
        <f t="shared" si="49"/>
        <v>0</v>
      </c>
      <c r="BA48" s="101" t="str">
        <f>IF($G48="","",$G48*ADRYr1!$P48*ADRYr1!$Q48*ADRYr1!$U48*ADRYr1!AO48)</f>
        <v/>
      </c>
      <c r="BB48" s="102" t="str">
        <f>IF($G48="","",$G48*ADRYr1!$P48*ADRYr1!$Q48*ADRYr1!$U48*ADRYr1!AP48)</f>
        <v/>
      </c>
      <c r="BC48" s="100" t="str">
        <f t="shared" si="35"/>
        <v/>
      </c>
      <c r="BD48" s="961"/>
      <c r="BE48" s="961"/>
      <c r="BF48" s="961"/>
      <c r="BG48" s="961"/>
      <c r="BH48" s="962" t="str">
        <f t="shared" si="3"/>
        <v/>
      </c>
      <c r="BI48" s="961"/>
      <c r="BJ48" s="961"/>
      <c r="BK48" s="961"/>
      <c r="BL48" s="961"/>
      <c r="BM48" s="30" t="str">
        <f t="shared" si="4"/>
        <v/>
      </c>
      <c r="BN48" s="963" t="str">
        <f t="shared" si="5"/>
        <v/>
      </c>
      <c r="BO48" s="31" t="str">
        <f t="shared" si="36"/>
        <v/>
      </c>
      <c r="BP48" s="964" t="str">
        <f t="shared" si="6"/>
        <v/>
      </c>
      <c r="BQ48" s="28" t="str">
        <f t="shared" si="7"/>
        <v/>
      </c>
      <c r="BR48" s="964" t="str">
        <f t="shared" si="8"/>
        <v/>
      </c>
      <c r="BS48" s="964" t="str">
        <f t="shared" si="9"/>
        <v/>
      </c>
      <c r="BT48" s="28" t="str">
        <f t="shared" si="52"/>
        <v/>
      </c>
      <c r="BU48" s="28" t="str">
        <f t="shared" si="52"/>
        <v/>
      </c>
      <c r="BV48" s="28" t="str">
        <f t="shared" si="52"/>
        <v/>
      </c>
      <c r="BW48" s="29" t="str">
        <f t="shared" si="37"/>
        <v/>
      </c>
      <c r="BX48" s="29" t="str">
        <f t="shared" si="38"/>
        <v/>
      </c>
      <c r="BY48" s="28" t="str">
        <f>IF($G48="","",$G48*(IF(ADRYr1!$AI48=BY$4,ADRYr1!$AJ48,IF(ADRYr1!$AK48=BY$4,ADRYr1!$AL48,IF(ADRYr1!$AM48=BY$4,ADRYr1!$AN48,0))))*(INDEX(avoidedcosttbl,$H48,BY$2)+(($H48-ROUNDDOWN($H48,0))*(INDEX(avoidedcosttbl,ROUNDUP($H48,0),BY$2)-(INDEX(avoidedcosttbl,ROUNDDOWN($H48,0),BY$2)))))*ADRYr1!P48*ADRYr1!Q48*ADRYr1!U48)</f>
        <v/>
      </c>
      <c r="BZ48" s="28" t="str">
        <f>IF($G48="","",$G48*(IF(ADRYr1!$AI48=BZ$4,ADRYr1!$AJ48,IF(ADRYr1!$AK48=BZ$4,ADRYr1!$AL48,IF(ADRYr1!$AM48=BZ$4,ADRYr1!$AN48,0))))*(INDEX(avoidedcosttbl,$H48,BZ$2)+(($H48-ROUNDDOWN($H48,0))*(INDEX(avoidedcosttbl,ROUNDUP($H48,0),BZ$2)-(INDEX(avoidedcosttbl,ROUNDDOWN($H48,0),BZ$2)))))*ADRYr1!P48*ADRYr1!Q48*ADRYr1!U48)</f>
        <v/>
      </c>
      <c r="CA48" s="28" t="str">
        <f>IF($G48="","",$G48*(IF(ADRYr1!$AI48=CA$4,ADRYr1!$AJ48,IF(ADRYr1!$AK48=CA$4,ADRYr1!$AL48,IF(ADRYr1!$AM48=CA$4,ADRYr1!$AN48,0))))*(INDEX(avoidedcosttbl,$H48,CA$2)+(($H48-ROUNDDOWN($H48,0))*(INDEX(avoidedcosttbl,ROUNDUP($H48,0),CA$2)-(INDEX(avoidedcosttbl,ROUNDDOWN($H48,0),CA$2)))))*ADRYr1!P48*ADRYr1!Q48*ADRYr1!U48)</f>
        <v/>
      </c>
      <c r="CB48" s="28" t="str">
        <f>IF($G48="","",$G48*(IF(ADRYr1!$AI48=CB$4,ADRYr1!$AJ48,IF(ADRYr1!$AK48=CB$4,ADRYr1!$AL48,IF(ADRYr1!$AM48=CB$4,ADRYr1!$AN48,0))))*(INDEX(avoidedcosttbl,$H48,CB$2)+(($H48-ROUNDDOWN($H48,0))*(INDEX(avoidedcosttbl,ROUNDUP($H48,0),CB$2)-(INDEX(avoidedcosttbl,ROUNDDOWN($H48,0),CB$2)))))*ADRYr1!P48*ADRYr1!Q48*ADRYr1!U48)</f>
        <v/>
      </c>
      <c r="CC48" s="28" t="str">
        <f>IF($G48="","",$G48*(IF(ADRYr1!$AI48=CC$4,ADRYr1!$AJ48,IF(ADRYr1!$AK48=CC$4,ADRYr1!$AL48,IF(ADRYr1!$AM48=CC$4,ADRYr1!$AN48,0))))*(INDEX(avoidedcosttbl,$H48,CC$2)+(($H48-ROUNDDOWN($H48,0))*(INDEX(avoidedcosttbl,ROUNDUP($H48,0),CC$2)-(INDEX(avoidedcosttbl,ROUNDDOWN($H48,0),CC$2)))))*ADRYr1!P48*ADRYr1!Q48*ADRYr1!U48)</f>
        <v/>
      </c>
      <c r="CD48" s="28" t="str">
        <f>IF($G48="","",$G48*(IF(ADRYr1!$AI48=CD$4,ADRYr1!$AJ48,IF(ADRYr1!$AK48=CD$4,ADRYr1!$AL48,IF(ADRYr1!$AM48=CD$4,ADRYr1!$AN48,0))))*(INDEX(avoidedcosttbl,$H48,CD$2)+(($H48-ROUNDDOWN($H48,0))*(INDEX(avoidedcosttbl,ROUNDUP($H48,0),CD$2)-(INDEX(avoidedcosttbl,ROUNDDOWN($H48,0),CD$2)))))*ADRYr1!P48*ADRYr1!Q48*ADRYr1!U48)</f>
        <v/>
      </c>
      <c r="CE48" s="28" t="str">
        <f>IF($G48="","",$G48*(IF(ADRYr1!$AI48=CE$4,ADRYr1!$AJ48,IF(ADRYr1!$AK48=CE$4,ADRYr1!$AL48,IF(ADRYr1!$AM48=CE$4,ADRYr1!$AN48,0))))*(INDEX(avoidedcosttbl,$H48,CE$2)+(($H48-ROUNDDOWN($H48,0))*(INDEX(avoidedcosttbl,ROUNDUP($H48,0),CE$2)-(INDEX(avoidedcosttbl,ROUNDDOWN($H48,0),CE$2)))))*ADRYr1!P48*ADRYr1!Q48*ADRYr1!U48)</f>
        <v/>
      </c>
      <c r="CF48" s="41" t="str">
        <f t="shared" si="39"/>
        <v/>
      </c>
      <c r="CG48" s="30" t="str">
        <f t="shared" si="11"/>
        <v/>
      </c>
      <c r="CH48" s="30" t="str">
        <f>IF($G48="","",$G48*(IF(ADRYr1!$AI48=BY$4,ADRYr1!$AJ48,IF(ADRYr1!$AK48=BY$4,ADRYr1!$AL48,IF(ADRYr1!$AM48=BY$4,ADRYr1!$AN48,0))))*(INDEX(avoidedcosttbl,$H48,CH$2)+(($H48-ROUNDDOWN($H48,0))*(INDEX(avoidedcosttbl,ROUNDUP($H48,0),CH$2)-(INDEX(avoidedcosttbl,ROUNDDOWN($H48,0),CH$2)))))*ADRYr1!P48*ADRYr1!Q48*ADRYr1!U48)</f>
        <v/>
      </c>
      <c r="CI48" s="30" t="str">
        <f>IF($G48="","",$G48*(IF(ADRYr1!$AI48=BZ$4,ADRYr1!$AJ48,IF(ADRYr1!$AK48=BZ$4,ADRYr1!$AL48,IF(ADRYr1!$AM48=BZ$4,ADRYr1!$AN48,0))))*(INDEX(avoidedcosttbl,$H48,CI$2)+(($H48-ROUNDDOWN($H48,0))*(INDEX(avoidedcosttbl,ROUNDUP($H48,0),CI$2)-(INDEX(avoidedcosttbl,ROUNDDOWN($H48,0),CI$2)))))*ADRYr1!P48*ADRYr1!Q48*ADRYr1!U48)</f>
        <v/>
      </c>
      <c r="CJ48" s="30" t="str">
        <f>IF($G48="","",$G48*(IF(ADRYr1!$AI48=CA$4,ADRYr1!$AJ48,IF(ADRYr1!$AK48=CA$4,ADRYr1!$AL48,IF(ADRYr1!$AM48=CA$4,ADRYr1!$AN48,0))))*(INDEX(avoidedcosttbl,$H48,CJ$2)+(($H48-ROUNDDOWN($H48,0))*(INDEX(avoidedcosttbl,ROUNDUP($H48,0),CJ$2)-(INDEX(avoidedcosttbl,ROUNDDOWN($H48,0),CJ$2)))))*ADRYr1!P48*ADRYr1!Q48*ADRYr1!U48)</f>
        <v/>
      </c>
      <c r="CK48" s="30" t="str">
        <f>IF($G48="","",$G48*(IF(ADRYr1!$AI48=CB$4,ADRYr1!$AJ48,IF(ADRYr1!$AK48=CB$4,ADRYr1!$AL48,IF(ADRYr1!$AM48=CB$4,ADRYr1!$AN48,0))))*(INDEX(avoidedcosttbl,$H48,CK$2)+(($H48-ROUNDDOWN($H48,0))*(INDEX(avoidedcosttbl,ROUNDUP($H48,0),CK$2)-(INDEX(avoidedcosttbl,ROUNDDOWN($H48,0),CK$2)))))*ADRYr1!P48*ADRYr1!Q48*ADRYr1!U48)</f>
        <v/>
      </c>
      <c r="CL48" s="30" t="str">
        <f>IF($G48="","",$G48*(IF(ADRYr1!$AI48=CC$4,ADRYr1!$AJ48,IF(ADRYr1!$AK48=CC$4,ADRYr1!$AL48,IF(ADRYr1!$AM48=CC$4,ADRYr1!$AN48,0))))*(INDEX(avoidedcosttbl,$H48,CL$2)+(($H48-ROUNDDOWN($H48,0))*(INDEX(avoidedcosttbl,ROUNDUP($H48,0),CL$2)-(INDEX(avoidedcosttbl,ROUNDDOWN($H48,0),CL$2)))))*ADRYr1!P48*ADRYr1!Q48*ADRYr1!U48)</f>
        <v/>
      </c>
      <c r="CM48" s="30" t="str">
        <f>IF($G48="","",$G48*(IF(ADRYr1!$AI48=CD$4,ADRYr1!$AJ48,IF(ADRYr1!$AK48=CD$4,ADRYr1!$AL48,IF(ADRYr1!$AM48=CD$4,ADRYr1!$AN48,0))))*(INDEX(avoidedcosttbl,$H48,CM$2)+(($H48-ROUNDDOWN($H48,0))*(INDEX(avoidedcosttbl,ROUNDUP($H48,0),CM$2)-(INDEX(avoidedcosttbl,ROUNDDOWN($H48,0),CM$2)))))*ADRYr1!P48*ADRYr1!Q48*ADRYr1!U48)</f>
        <v/>
      </c>
      <c r="CN48" s="30" t="str">
        <f>IF($G48="","",$G48*(IF(ADRYr1!$AI48=CE$4,ADRYr1!$AJ48,IF(ADRYr1!$AK48=CE$4,ADRYr1!$AL48,IF(ADRYr1!$AM48=CE$4,ADRYr1!$AN48,0))))*(INDEX(avoidedcosttbl,$H48,CN$2)+(($H48-ROUNDDOWN($H48,0))*(INDEX(avoidedcosttbl,ROUNDUP($H48,0),CN$2)-(INDEX(avoidedcosttbl,ROUNDDOWN($H48,0),CN$2)))))*ADRYr1!P48*ADRYr1!Q48*ADRYr1!U48)</f>
        <v/>
      </c>
      <c r="CO48" s="220" t="str">
        <f t="shared" si="40"/>
        <v/>
      </c>
      <c r="CP48" s="220" t="str">
        <f t="shared" si="41"/>
        <v/>
      </c>
      <c r="CQ48" s="157" t="str">
        <f>IF($G48="","",$G48*(IF(ADRYr1!$AI48=CQ$4,ADRYr1!$AJ48,IF(ADRYr1!$AK48=CQ$4,ADRYr1!$AL48,IF(ADRYr1!$AM48=CQ$4,ADRYr1!$AN48,0))))*(INDEX(avoidedcosttbl,$H48,CQ$2)+(($H48-ROUNDDOWN($H48,0))*(INDEX(avoidedcosttbl,ROUNDUP($H48,0),CQ$2)-(INDEX(avoidedcosttbl,ROUNDDOWN($H48,0),CQ$2)))))*ADRYr1!$P48*ADRYr1!$Q48*ADRYr1!$U48)</f>
        <v/>
      </c>
      <c r="CR48" s="28" t="str">
        <f>IF($G48="","",G48*(IF(ADRYr1!$AI48=CR$4,ADRYr1!$AJ48,IF(ADRYr1!$AK48=CR$4,ADRYr1!$AL48,IF(ADRYr1!$AM48=CR$4,ADRYr1!$AN48,0))))*(INDEX(avoidedcosttbl,$H48,CR$2)+(($H48-ROUNDDOWN($H48,0))*(INDEX(avoidedcosttbl,ROUNDUP($H48,0),CR$2)-(INDEX(avoidedcosttbl,ROUNDDOWN($H48,0),CR$2)))))*ADRYr1!$P48*ADRYr1!$Q48*ADRYr1!$U48)</f>
        <v/>
      </c>
      <c r="CS48" s="28" t="str">
        <f>IF($G48="","",G48*(IF(ADRYr1!$AI48=CS$4,ADRYr1!$AJ48,IF(ADRYr1!$AK48=CS$4,ADRYr1!$AL48,IF(ADRYr1!$AM48=CS$4,ADRYr1!$AN48,0))))*(INDEX(avoidedcosttbl,$H48,CS$2)+(($H48-ROUNDDOWN($H48,0))*(INDEX(avoidedcosttbl,ROUNDUP($H48,0),CS$2)-(INDEX(avoidedcosttbl,ROUNDDOWN($H48,0),CS$2)))))*ADRYr1!$P48*ADRYr1!$Q48*ADRYr1!$U48)</f>
        <v/>
      </c>
      <c r="CT48" s="28" t="str">
        <f t="shared" si="12"/>
        <v/>
      </c>
      <c r="CU48" s="28" t="str">
        <f>IF($G48="","",G48*(IF(ADRYr1!$AI48=CU$4,ADRYr1!$AJ48,IF(ADRYr1!$AK48=CU$4,ADRYr1!$AL48,IF(ADRYr1!$AM48=CU$4,ADRYr1!$AN48,0))))*(INDEX(avoidedcosttbl,$H48,CU$2)+(($H48-ROUNDDOWN($H48,0))*(INDEX(avoidedcosttbl,ROUNDUP($H48,0),CU$2)-(INDEX(avoidedcosttbl,ROUNDDOWN($H48,0),CU$2)))))*ADRYr1!$P48*ADRYr1!$Q48*ADRYr1!$U48)</f>
        <v/>
      </c>
      <c r="CV48" s="28" t="str">
        <f>IF($G48="","",G48*(IF(ADRYr1!$AI48=CV$4,ADRYr1!$AJ48,IF(ADRYr1!$AK48=CV$4,ADRYr1!$AL48,IF(ADRYr1!$AM48=CV$4,ADRYr1!$AN48,0))))*(INDEX(avoidedcosttbl,$H48,CV$2)+(($H48-ROUNDDOWN($H48,0))*(INDEX(avoidedcosttbl,ROUNDUP($H48,0),CV$2)-(INDEX(avoidedcosttbl,ROUNDDOWN($H48,0),CV$2)))))*ADRYr1!$P48*ADRYr1!$Q48*ADRYr1!$U48)</f>
        <v/>
      </c>
      <c r="CW48" s="28" t="str">
        <f>IF($G48="","",G48*(IF(ADRYr1!$AI48=CW$4,ADRYr1!$AJ48,IF(ADRYr1!$AK48=CW$4,ADRYr1!$AL48,IF(ADRYr1!$AM48=CW$4,ADRYr1!$AN48,0))))*(INDEX(avoidedcosttbl,$H48,CW$2)+(($H48-ROUNDDOWN($H48,0))*(INDEX(avoidedcosttbl,ROUNDUP($H48,0),CW$2)-(INDEX(avoidedcosttbl,ROUNDDOWN($H48,0),CW$2)))))*ADRYr1!$P48*ADRYr1!$Q48*ADRYr1!$U48)</f>
        <v/>
      </c>
      <c r="CX48" s="28" t="str">
        <f>IF($G48="","",G48*(IF(ADRYr1!$AI48=CX$4,ADRYr1!$AJ48,IF(ADRYr1!$AK48=CX$4,ADRYr1!$AL48,IF(ADRYr1!$AM48=CX$4,ADRYr1!$AN48,0))))*(INDEX(avoidedcosttbl,$H48,CX$2)+(($H48-ROUNDDOWN($H48,0))*(INDEX(avoidedcosttbl,ROUNDUP($H48,0),CX$2)-(INDEX(avoidedcosttbl,ROUNDDOWN($H48,0),CX$2)))))*ADRYr1!$P48*ADRYr1!$Q48*ADRYr1!$U48)</f>
        <v/>
      </c>
      <c r="CY48" s="28" t="str">
        <f t="shared" si="13"/>
        <v/>
      </c>
      <c r="CZ48" s="32" t="str">
        <f t="shared" si="14"/>
        <v/>
      </c>
      <c r="DA48" s="84" t="str">
        <f t="shared" si="42"/>
        <v/>
      </c>
      <c r="DB48" s="81" t="str">
        <f>IF(NEIadder="Yes",IF($G48="","",INDEX(Lookups!$G$70:$G$71,MATCH($A48,Lookups!$E$70:$E$71,0))*(SUM(CP48:CX48,BX48))),"")</f>
        <v/>
      </c>
      <c r="DC48" s="263" t="str">
        <f t="shared" si="15"/>
        <v/>
      </c>
      <c r="DD48" s="166" t="str">
        <f t="shared" si="16"/>
        <v/>
      </c>
      <c r="DE48" s="82">
        <f t="shared" si="43"/>
        <v>0</v>
      </c>
      <c r="DF48" s="615" t="str">
        <f>IF($G48="","",(1+WntPeakEnergyLL)*(INDEX(avoidedcosttbl,$H48,DF$2)+(($H48-ROUNDDOWN($H48,0))*(INDEX(avoidedcosttbl,ROUNDUP($H48,0),DF$2)-(INDEX(avoidedcosttbl,ROUNDDOWN($H48,0),DF$2)))))*$P48*1000*ADRYr1!Z48)</f>
        <v/>
      </c>
      <c r="DG48" s="615" t="str">
        <f>IF($G48="","",(1+WntOffPeakEnergyLL)*(INDEX(avoidedcosttbl,$H48,DG$2)+(($H48-ROUNDDOWN($H48,0))*(INDEX(avoidedcosttbl,ROUNDUP($H48,0),DG$2)-(INDEX(avoidedcosttbl,ROUNDDOWN($H48,0),DG$2)))))*$P48*1000*ADRYr1!AA48)</f>
        <v/>
      </c>
      <c r="DH48" s="615" t="str">
        <f>IF($G48="","",(1+SumPeakEnergyLL)*(INDEX(avoidedcosttbl,$H48,DH$2)+(($H48-ROUNDDOWN($H48,0))*(INDEX(avoidedcosttbl,ROUNDUP($H48,0),DH$2)-(INDEX(avoidedcosttbl,ROUNDDOWN($H48,0),DH$2)))))*$P48*1000*ADRYr1!AB48)</f>
        <v/>
      </c>
      <c r="DI48" s="615" t="str">
        <f>IF($G48="","",(1+SumOffPeakEnergyLL)*(INDEX(avoidedcosttbl,$H48,DI$2)+(($H48-ROUNDDOWN($H48,0))*(INDEX(avoidedcosttbl,ROUNDUP($H48,0),DI$2)-(INDEX(avoidedcosttbl,ROUNDDOWN($H48,0),DI$2)))))*$P48*1000*ADRYr1!AC48)</f>
        <v/>
      </c>
      <c r="DJ48" s="29" t="str">
        <f t="shared" si="44"/>
        <v/>
      </c>
      <c r="DK48" s="161" t="str">
        <f t="shared" si="51"/>
        <v/>
      </c>
      <c r="DL48" s="1189"/>
      <c r="DM48" s="1189" t="str">
        <f t="shared" si="47"/>
        <v/>
      </c>
      <c r="DO48" s="966" t="str">
        <f>IF($G48="","",ADRYr1!AQ48)</f>
        <v/>
      </c>
      <c r="DP48" s="968" t="str">
        <f>IF($G48="","",ADRYr1!AR48)</f>
        <v/>
      </c>
      <c r="DQ48" s="970" t="str">
        <f>IF($G48="","",IF($DP48="Yes",COLUMN(AESC!$L$10),IF($DP48="No","Using AvoidedDemand tab",IF($DP48="Mixed",COLUMN(AESC!$N$10)))))</f>
        <v/>
      </c>
      <c r="DR48" s="970" t="str">
        <f>IF($G48="","",IF($DP48="Yes",COLUMN(AESC!$P$10),IF($DP48="No","Using AvoidedDemand tab",IF($DP48="Mixed",COLUMN(AESC!$R$10)))))</f>
        <v/>
      </c>
      <c r="DS48" s="970" t="str">
        <f>IF($G48="","",IF($DP48="Yes",COLUMN(AESC!$S$10),IF($DP48="No",COLUMN(AESC!$T$10),IF($DP48="Mixed",COLUMN(AESC!$U$10)))))</f>
        <v/>
      </c>
      <c r="DT48" s="970" t="str">
        <f t="shared" si="17"/>
        <v/>
      </c>
      <c r="DU48" s="970" t="str">
        <f>IF($G48="","",ADRYr1!AS48)</f>
        <v/>
      </c>
      <c r="DV48" s="971" t="str">
        <f>IF($G48="","",ADRYr1!AT48)</f>
        <v/>
      </c>
      <c r="DW48" s="1162" t="str">
        <f>IF($G48="","",INDEX(AvoidedEnergy!$H$4:$H$10,MATCH($DO48,AvoidedEnergy!$A$4:$A$10,0)))</f>
        <v/>
      </c>
    </row>
    <row r="49" spans="1:127">
      <c r="A49" s="160" t="str">
        <f>IF(ADRYr1!$B49=0,"",ADRYr1!A49)</f>
        <v/>
      </c>
      <c r="B49" s="9" t="str">
        <f>IF(ADRYr1!$B49=0,"",ADRYr1!B49)</f>
        <v/>
      </c>
      <c r="C49" s="9" t="str">
        <f>IF(ADRYr1!$B49=0,"",ADRYr1!C49)</f>
        <v/>
      </c>
      <c r="D49" s="9" t="str">
        <f>IF(ADRYr1!$B49=0,"",ADRYr1!D49)</f>
        <v/>
      </c>
      <c r="E49" s="9"/>
      <c r="F49" s="11" t="str">
        <f>IF(ADRYr1!$B49=0,"",ADRYr1!F49)</f>
        <v/>
      </c>
      <c r="G49" s="12" t="str">
        <f>IF(ADRYr1!$G49&lt;&gt;0,ADRYr1!G49,"")</f>
        <v/>
      </c>
      <c r="H49" s="960" t="str">
        <f>IF($G49="","",ROUND(ADRYr1!H49,0))</f>
        <v/>
      </c>
      <c r="I49" s="47" t="str">
        <f>IF($G49="","",ADRYr1!I49*ADRYr1!P49*G49)</f>
        <v/>
      </c>
      <c r="J49" s="47" t="str">
        <f>IF($G49="","",ADRYr1!J49*G49)</f>
        <v/>
      </c>
      <c r="K49" s="47" t="str">
        <f t="shared" si="18"/>
        <v/>
      </c>
      <c r="L49" s="27" t="str">
        <f>IF($G49="","",ADRYr1!V49*G49/1000)</f>
        <v/>
      </c>
      <c r="M49" s="27" t="str">
        <f>IF($G49="","",L49*ADRYr1!$Q49*ADRYr1!$R49)</f>
        <v/>
      </c>
      <c r="N49" s="27" t="str">
        <f t="shared" si="19"/>
        <v/>
      </c>
      <c r="O49" s="27" t="str">
        <f t="shared" si="20"/>
        <v/>
      </c>
      <c r="P49" s="27" t="str">
        <f>IF($G49="","",M49*ADRYr1!P49)</f>
        <v/>
      </c>
      <c r="Q49" s="27" t="str">
        <f t="shared" si="21"/>
        <v/>
      </c>
      <c r="R49" s="27" t="str">
        <f>IF($G49="","",$Q49*ADRYr1!Z49)</f>
        <v/>
      </c>
      <c r="S49" s="27" t="str">
        <f>IF($G49="","",$Q49*ADRYr1!AA49)</f>
        <v/>
      </c>
      <c r="T49" s="27" t="str">
        <f>IF($G49="","",$Q49*ADRYr1!AB49)</f>
        <v/>
      </c>
      <c r="U49" s="27" t="str">
        <f>IF($G49="","",$Q49*ADRYr1!AC49)</f>
        <v/>
      </c>
      <c r="V49" s="27" t="str">
        <f>IF($G49="","",G49*ADRYr1!$AD49*ADRYr1!$P49*ADRYr1!$Q49)</f>
        <v/>
      </c>
      <c r="W49" s="27" t="str">
        <f>IF($G49="","",$G49*ADRYr1!$AD49*ADRYr1!$AF49*ADRYr1!Q49*ADRYr1!$S49)</f>
        <v/>
      </c>
      <c r="X49" s="27" t="str">
        <f>IF($G49="","",$G49*ADRYr1!$AD49*ADRYr1!$AF49*ADRYr1!P49*ADRYr1!Q49*ADRYr1!$S49)</f>
        <v/>
      </c>
      <c r="Y49" s="27" t="str">
        <f>IF($G49="","",$G49*ADRYr1!$AD49*ADRYr1!$AE49*ADRYr1!Q49*ADRYr1!$T49)</f>
        <v/>
      </c>
      <c r="Z49" s="27" t="str">
        <f>IF($G49="","",$G49*ADRYr1!$AD49*ADRYr1!$AE49*ADRYr1!P49*ADRYr1!Q49*ADRYr1!$T49)</f>
        <v/>
      </c>
      <c r="AA49" s="45" t="str">
        <f>IF($G49="","",$G49*ADRYr1!$Q49*ADRYr1!$U49*(IF(IFERROR(SEARCH("NG", ADRYr1!$AI49),0),ADRYr1!$AJ49,0)+IF(IFERROR(SEARCH("NG", ADRYr1!$AK49),0),ADRYr1!$AL49,0)+IF(IFERROR(SEARCH("NG", ADRYr1!$AM49),0),ADRYr1!$AN49,0)))</f>
        <v/>
      </c>
      <c r="AB49" s="45" t="str">
        <f t="shared" si="22"/>
        <v/>
      </c>
      <c r="AC49" s="45">
        <f>IF($G49="",0,AA49*ADRYr1!$P49)</f>
        <v>0</v>
      </c>
      <c r="AD49" s="45" t="str">
        <f t="shared" si="23"/>
        <v/>
      </c>
      <c r="AE49" s="45" t="str">
        <f>IF($G49="","",$G49*ADRYr1!$Q49*ADRYr1!$U49*(IF(IFERROR(SEARCH("Oil", ADRYr1!$AI49), 0),ADRYr1!$AJ49,0)+IF(IFERROR(SEARCH("Oil", ADRYr1!$AK49), 0),ADRYr1!$AL49,0)+IF(IFERROR(SEARCH("Oil", ADRYr1!$AM49), 0),ADRYr1!$AN49,0)))</f>
        <v/>
      </c>
      <c r="AF49" s="45" t="str">
        <f t="shared" si="24"/>
        <v/>
      </c>
      <c r="AG49" s="45">
        <f>IF($G49="",0,AE49*ADRYr1!$P49)</f>
        <v>0</v>
      </c>
      <c r="AH49" s="45" t="str">
        <f t="shared" si="25"/>
        <v/>
      </c>
      <c r="AI49" s="45" t="str">
        <f>IF($G49="","",$G49*ADRYr1!$Q49*ADRYr1!$U49*(IF(ADRYr1!$AI49=Lookups!$E$116,ADRYr1!$AJ49,IF(ADRYr1!$AK49=Lookups!$E$116,ADRYr1!$AL49,IF(ADRYr1!$AM49=Lookups!$E$116,ADRYr1!$AN49,0)))))</f>
        <v/>
      </c>
      <c r="AJ49" s="45" t="str">
        <f t="shared" si="26"/>
        <v/>
      </c>
      <c r="AK49" s="45">
        <f>IF($G49="",0,AI49*ADRYr1!$P49)</f>
        <v>0</v>
      </c>
      <c r="AL49" s="45" t="str">
        <f t="shared" si="27"/>
        <v/>
      </c>
      <c r="AM49" s="45" t="str">
        <f>IF($G49="","",$G49*ADRYr1!$Q49*ADRYr1!$U49*(IF(ADRYr1!$AI49=Lookups!$E$115,ADRYr1!$AJ49,IF(ADRYr1!$AK49=Lookups!$E$115,ADRYr1!$AL49,IF(ADRYr1!$AM49=Lookups!$E$115,ADRYr1!$AN49,0)))))</f>
        <v/>
      </c>
      <c r="AN49" s="45" t="str">
        <f t="shared" si="28"/>
        <v/>
      </c>
      <c r="AO49" s="45">
        <f>IF($G49="",0,AM49*ADRYr1!$P49)</f>
        <v>0</v>
      </c>
      <c r="AP49" s="45" t="str">
        <f t="shared" si="29"/>
        <v/>
      </c>
      <c r="AQ49" s="45" t="str">
        <f>IF($G49="","",$G49*ADRYr1!$Q49*ADRYr1!$U49*(IF(ADRYr1!$AI49=Lookups!$E$117,ADRYr1!$AJ49,IF(ADRYr1!$AK49=Lookups!$E$117,ADRYr1!$AL49,IF(ADRYr1!$AM49=Lookups!$E$117,ADRYr1!$AN49,0)))))</f>
        <v/>
      </c>
      <c r="AR49" s="45" t="str">
        <f t="shared" si="30"/>
        <v/>
      </c>
      <c r="AS49" s="45" t="str">
        <f>IF($G49="","",AQ49*ADRYr1!$P49)</f>
        <v/>
      </c>
      <c r="AT49" s="45" t="str">
        <f t="shared" si="31"/>
        <v/>
      </c>
      <c r="AU49" s="45" t="str">
        <f>IF($G49="","",$G49*ADRYr1!$Q49*ADRYr1!$U49*(IF(ADRYr1!$AI49=Lookups!$E$118,ADRYr1!$AJ49,IF(ADRYr1!$AK49=Lookups!$E$118,ADRYr1!$AL49,IF(ADRYr1!$AM49=Lookups!$E$118,ADRYr1!$AN49,0)))))</f>
        <v/>
      </c>
      <c r="AV49" s="45" t="str">
        <f t="shared" si="32"/>
        <v/>
      </c>
      <c r="AW49" s="45" t="str">
        <f>IF($G49="","",AU49*ADRYr1!$P49)</f>
        <v/>
      </c>
      <c r="AX49" s="45" t="str">
        <f t="shared" si="33"/>
        <v/>
      </c>
      <c r="AY49" s="45">
        <f t="shared" si="49"/>
        <v>0</v>
      </c>
      <c r="AZ49" s="45">
        <f t="shared" si="49"/>
        <v>0</v>
      </c>
      <c r="BA49" s="101" t="str">
        <f>IF($G49="","",$G49*ADRYr1!$P49*ADRYr1!$Q49*ADRYr1!$U49*ADRYr1!AO49)</f>
        <v/>
      </c>
      <c r="BB49" s="102" t="str">
        <f>IF($G49="","",$G49*ADRYr1!$P49*ADRYr1!$Q49*ADRYr1!$U49*ADRYr1!AP49)</f>
        <v/>
      </c>
      <c r="BC49" s="100" t="str">
        <f t="shared" si="35"/>
        <v/>
      </c>
      <c r="BD49" s="961"/>
      <c r="BE49" s="961"/>
      <c r="BF49" s="961"/>
      <c r="BG49" s="961"/>
      <c r="BH49" s="962" t="str">
        <f t="shared" si="3"/>
        <v/>
      </c>
      <c r="BI49" s="961"/>
      <c r="BJ49" s="961"/>
      <c r="BK49" s="961"/>
      <c r="BL49" s="961"/>
      <c r="BM49" s="30" t="str">
        <f t="shared" si="4"/>
        <v/>
      </c>
      <c r="BN49" s="963" t="str">
        <f t="shared" si="5"/>
        <v/>
      </c>
      <c r="BO49" s="31" t="str">
        <f t="shared" si="36"/>
        <v/>
      </c>
      <c r="BP49" s="964" t="str">
        <f t="shared" si="6"/>
        <v/>
      </c>
      <c r="BQ49" s="28" t="str">
        <f t="shared" si="7"/>
        <v/>
      </c>
      <c r="BR49" s="964" t="str">
        <f t="shared" si="8"/>
        <v/>
      </c>
      <c r="BS49" s="964" t="str">
        <f t="shared" si="9"/>
        <v/>
      </c>
      <c r="BT49" s="28" t="str">
        <f t="shared" si="52"/>
        <v/>
      </c>
      <c r="BU49" s="28" t="str">
        <f t="shared" si="52"/>
        <v/>
      </c>
      <c r="BV49" s="28" t="str">
        <f t="shared" si="52"/>
        <v/>
      </c>
      <c r="BW49" s="29" t="str">
        <f t="shared" si="37"/>
        <v/>
      </c>
      <c r="BX49" s="29" t="str">
        <f t="shared" si="38"/>
        <v/>
      </c>
      <c r="BY49" s="28" t="str">
        <f>IF($G49="","",$G49*(IF(ADRYr1!$AI49=BY$4,ADRYr1!$AJ49,IF(ADRYr1!$AK49=BY$4,ADRYr1!$AL49,IF(ADRYr1!$AM49=BY$4,ADRYr1!$AN49,0))))*(INDEX(avoidedcosttbl,$H49,BY$2)+(($H49-ROUNDDOWN($H49,0))*(INDEX(avoidedcosttbl,ROUNDUP($H49,0),BY$2)-(INDEX(avoidedcosttbl,ROUNDDOWN($H49,0),BY$2)))))*ADRYr1!P49*ADRYr1!Q49*ADRYr1!U49)</f>
        <v/>
      </c>
      <c r="BZ49" s="28" t="str">
        <f>IF($G49="","",$G49*(IF(ADRYr1!$AI49=BZ$4,ADRYr1!$AJ49,IF(ADRYr1!$AK49=BZ$4,ADRYr1!$AL49,IF(ADRYr1!$AM49=BZ$4,ADRYr1!$AN49,0))))*(INDEX(avoidedcosttbl,$H49,BZ$2)+(($H49-ROUNDDOWN($H49,0))*(INDEX(avoidedcosttbl,ROUNDUP($H49,0),BZ$2)-(INDEX(avoidedcosttbl,ROUNDDOWN($H49,0),BZ$2)))))*ADRYr1!P49*ADRYr1!Q49*ADRYr1!U49)</f>
        <v/>
      </c>
      <c r="CA49" s="28" t="str">
        <f>IF($G49="","",$G49*(IF(ADRYr1!$AI49=CA$4,ADRYr1!$AJ49,IF(ADRYr1!$AK49=CA$4,ADRYr1!$AL49,IF(ADRYr1!$AM49=CA$4,ADRYr1!$AN49,0))))*(INDEX(avoidedcosttbl,$H49,CA$2)+(($H49-ROUNDDOWN($H49,0))*(INDEX(avoidedcosttbl,ROUNDUP($H49,0),CA$2)-(INDEX(avoidedcosttbl,ROUNDDOWN($H49,0),CA$2)))))*ADRYr1!P49*ADRYr1!Q49*ADRYr1!U49)</f>
        <v/>
      </c>
      <c r="CB49" s="28" t="str">
        <f>IF($G49="","",$G49*(IF(ADRYr1!$AI49=CB$4,ADRYr1!$AJ49,IF(ADRYr1!$AK49=CB$4,ADRYr1!$AL49,IF(ADRYr1!$AM49=CB$4,ADRYr1!$AN49,0))))*(INDEX(avoidedcosttbl,$H49,CB$2)+(($H49-ROUNDDOWN($H49,0))*(INDEX(avoidedcosttbl,ROUNDUP($H49,0),CB$2)-(INDEX(avoidedcosttbl,ROUNDDOWN($H49,0),CB$2)))))*ADRYr1!P49*ADRYr1!Q49*ADRYr1!U49)</f>
        <v/>
      </c>
      <c r="CC49" s="28" t="str">
        <f>IF($G49="","",$G49*(IF(ADRYr1!$AI49=CC$4,ADRYr1!$AJ49,IF(ADRYr1!$AK49=CC$4,ADRYr1!$AL49,IF(ADRYr1!$AM49=CC$4,ADRYr1!$AN49,0))))*(INDEX(avoidedcosttbl,$H49,CC$2)+(($H49-ROUNDDOWN($H49,0))*(INDEX(avoidedcosttbl,ROUNDUP($H49,0),CC$2)-(INDEX(avoidedcosttbl,ROUNDDOWN($H49,0),CC$2)))))*ADRYr1!P49*ADRYr1!Q49*ADRYr1!U49)</f>
        <v/>
      </c>
      <c r="CD49" s="28" t="str">
        <f>IF($G49="","",$G49*(IF(ADRYr1!$AI49=CD$4,ADRYr1!$AJ49,IF(ADRYr1!$AK49=CD$4,ADRYr1!$AL49,IF(ADRYr1!$AM49=CD$4,ADRYr1!$AN49,0))))*(INDEX(avoidedcosttbl,$H49,CD$2)+(($H49-ROUNDDOWN($H49,0))*(INDEX(avoidedcosttbl,ROUNDUP($H49,0),CD$2)-(INDEX(avoidedcosttbl,ROUNDDOWN($H49,0),CD$2)))))*ADRYr1!P49*ADRYr1!Q49*ADRYr1!U49)</f>
        <v/>
      </c>
      <c r="CE49" s="28" t="str">
        <f>IF($G49="","",$G49*(IF(ADRYr1!$AI49=CE$4,ADRYr1!$AJ49,IF(ADRYr1!$AK49=CE$4,ADRYr1!$AL49,IF(ADRYr1!$AM49=CE$4,ADRYr1!$AN49,0))))*(INDEX(avoidedcosttbl,$H49,CE$2)+(($H49-ROUNDDOWN($H49,0))*(INDEX(avoidedcosttbl,ROUNDUP($H49,0),CE$2)-(INDEX(avoidedcosttbl,ROUNDDOWN($H49,0),CE$2)))))*ADRYr1!P49*ADRYr1!Q49*ADRYr1!U49)</f>
        <v/>
      </c>
      <c r="CF49" s="41" t="str">
        <f t="shared" si="39"/>
        <v/>
      </c>
      <c r="CG49" s="30" t="str">
        <f t="shared" si="11"/>
        <v/>
      </c>
      <c r="CH49" s="30" t="str">
        <f>IF($G49="","",$G49*(IF(ADRYr1!$AI49=BY$4,ADRYr1!$AJ49,IF(ADRYr1!$AK49=BY$4,ADRYr1!$AL49,IF(ADRYr1!$AM49=BY$4,ADRYr1!$AN49,0))))*(INDEX(avoidedcosttbl,$H49,CH$2)+(($H49-ROUNDDOWN($H49,0))*(INDEX(avoidedcosttbl,ROUNDUP($H49,0),CH$2)-(INDEX(avoidedcosttbl,ROUNDDOWN($H49,0),CH$2)))))*ADRYr1!P49*ADRYr1!Q49*ADRYr1!U49)</f>
        <v/>
      </c>
      <c r="CI49" s="30" t="str">
        <f>IF($G49="","",$G49*(IF(ADRYr1!$AI49=BZ$4,ADRYr1!$AJ49,IF(ADRYr1!$AK49=BZ$4,ADRYr1!$AL49,IF(ADRYr1!$AM49=BZ$4,ADRYr1!$AN49,0))))*(INDEX(avoidedcosttbl,$H49,CI$2)+(($H49-ROUNDDOWN($H49,0))*(INDEX(avoidedcosttbl,ROUNDUP($H49,0),CI$2)-(INDEX(avoidedcosttbl,ROUNDDOWN($H49,0),CI$2)))))*ADRYr1!P49*ADRYr1!Q49*ADRYr1!U49)</f>
        <v/>
      </c>
      <c r="CJ49" s="30" t="str">
        <f>IF($G49="","",$G49*(IF(ADRYr1!$AI49=CA$4,ADRYr1!$AJ49,IF(ADRYr1!$AK49=CA$4,ADRYr1!$AL49,IF(ADRYr1!$AM49=CA$4,ADRYr1!$AN49,0))))*(INDEX(avoidedcosttbl,$H49,CJ$2)+(($H49-ROUNDDOWN($H49,0))*(INDEX(avoidedcosttbl,ROUNDUP($H49,0),CJ$2)-(INDEX(avoidedcosttbl,ROUNDDOWN($H49,0),CJ$2)))))*ADRYr1!P49*ADRYr1!Q49*ADRYr1!U49)</f>
        <v/>
      </c>
      <c r="CK49" s="30" t="str">
        <f>IF($G49="","",$G49*(IF(ADRYr1!$AI49=CB$4,ADRYr1!$AJ49,IF(ADRYr1!$AK49=CB$4,ADRYr1!$AL49,IF(ADRYr1!$AM49=CB$4,ADRYr1!$AN49,0))))*(INDEX(avoidedcosttbl,$H49,CK$2)+(($H49-ROUNDDOWN($H49,0))*(INDEX(avoidedcosttbl,ROUNDUP($H49,0),CK$2)-(INDEX(avoidedcosttbl,ROUNDDOWN($H49,0),CK$2)))))*ADRYr1!P49*ADRYr1!Q49*ADRYr1!U49)</f>
        <v/>
      </c>
      <c r="CL49" s="30" t="str">
        <f>IF($G49="","",$G49*(IF(ADRYr1!$AI49=CC$4,ADRYr1!$AJ49,IF(ADRYr1!$AK49=CC$4,ADRYr1!$AL49,IF(ADRYr1!$AM49=CC$4,ADRYr1!$AN49,0))))*(INDEX(avoidedcosttbl,$H49,CL$2)+(($H49-ROUNDDOWN($H49,0))*(INDEX(avoidedcosttbl,ROUNDUP($H49,0),CL$2)-(INDEX(avoidedcosttbl,ROUNDDOWN($H49,0),CL$2)))))*ADRYr1!P49*ADRYr1!Q49*ADRYr1!U49)</f>
        <v/>
      </c>
      <c r="CM49" s="30" t="str">
        <f>IF($G49="","",$G49*(IF(ADRYr1!$AI49=CD$4,ADRYr1!$AJ49,IF(ADRYr1!$AK49=CD$4,ADRYr1!$AL49,IF(ADRYr1!$AM49=CD$4,ADRYr1!$AN49,0))))*(INDEX(avoidedcosttbl,$H49,CM$2)+(($H49-ROUNDDOWN($H49,0))*(INDEX(avoidedcosttbl,ROUNDUP($H49,0),CM$2)-(INDEX(avoidedcosttbl,ROUNDDOWN($H49,0),CM$2)))))*ADRYr1!P49*ADRYr1!Q49*ADRYr1!U49)</f>
        <v/>
      </c>
      <c r="CN49" s="30" t="str">
        <f>IF($G49="","",$G49*(IF(ADRYr1!$AI49=CE$4,ADRYr1!$AJ49,IF(ADRYr1!$AK49=CE$4,ADRYr1!$AL49,IF(ADRYr1!$AM49=CE$4,ADRYr1!$AN49,0))))*(INDEX(avoidedcosttbl,$H49,CN$2)+(($H49-ROUNDDOWN($H49,0))*(INDEX(avoidedcosttbl,ROUNDUP($H49,0),CN$2)-(INDEX(avoidedcosttbl,ROUNDDOWN($H49,0),CN$2)))))*ADRYr1!P49*ADRYr1!Q49*ADRYr1!U49)</f>
        <v/>
      </c>
      <c r="CO49" s="220" t="str">
        <f t="shared" si="40"/>
        <v/>
      </c>
      <c r="CP49" s="220" t="str">
        <f t="shared" si="41"/>
        <v/>
      </c>
      <c r="CQ49" s="157" t="str">
        <f>IF($G49="","",$G49*(IF(ADRYr1!$AI49=CQ$4,ADRYr1!$AJ49,IF(ADRYr1!$AK49=CQ$4,ADRYr1!$AL49,IF(ADRYr1!$AM49=CQ$4,ADRYr1!$AN49,0))))*(INDEX(avoidedcosttbl,$H49,CQ$2)+(($H49-ROUNDDOWN($H49,0))*(INDEX(avoidedcosttbl,ROUNDUP($H49,0),CQ$2)-(INDEX(avoidedcosttbl,ROUNDDOWN($H49,0),CQ$2)))))*ADRYr1!$P49*ADRYr1!$Q49*ADRYr1!$U49)</f>
        <v/>
      </c>
      <c r="CR49" s="28" t="str">
        <f>IF($G49="","",G49*(IF(ADRYr1!$AI49=CR$4,ADRYr1!$AJ49,IF(ADRYr1!$AK49=CR$4,ADRYr1!$AL49,IF(ADRYr1!$AM49=CR$4,ADRYr1!$AN49,0))))*(INDEX(avoidedcosttbl,$H49,CR$2)+(($H49-ROUNDDOWN($H49,0))*(INDEX(avoidedcosttbl,ROUNDUP($H49,0),CR$2)-(INDEX(avoidedcosttbl,ROUNDDOWN($H49,0),CR$2)))))*ADRYr1!$P49*ADRYr1!$Q49*ADRYr1!$U49)</f>
        <v/>
      </c>
      <c r="CS49" s="28" t="str">
        <f>IF($G49="","",G49*(IF(ADRYr1!$AI49=CS$4,ADRYr1!$AJ49,IF(ADRYr1!$AK49=CS$4,ADRYr1!$AL49,IF(ADRYr1!$AM49=CS$4,ADRYr1!$AN49,0))))*(INDEX(avoidedcosttbl,$H49,CS$2)+(($H49-ROUNDDOWN($H49,0))*(INDEX(avoidedcosttbl,ROUNDUP($H49,0),CS$2)-(INDEX(avoidedcosttbl,ROUNDDOWN($H49,0),CS$2)))))*ADRYr1!$P49*ADRYr1!$Q49*ADRYr1!$U49)</f>
        <v/>
      </c>
      <c r="CT49" s="28" t="str">
        <f t="shared" si="12"/>
        <v/>
      </c>
      <c r="CU49" s="28" t="str">
        <f>IF($G49="","",G49*(IF(ADRYr1!$AI49=CU$4,ADRYr1!$AJ49,IF(ADRYr1!$AK49=CU$4,ADRYr1!$AL49,IF(ADRYr1!$AM49=CU$4,ADRYr1!$AN49,0))))*(INDEX(avoidedcosttbl,$H49,CU$2)+(($H49-ROUNDDOWN($H49,0))*(INDEX(avoidedcosttbl,ROUNDUP($H49,0),CU$2)-(INDEX(avoidedcosttbl,ROUNDDOWN($H49,0),CU$2)))))*ADRYr1!$P49*ADRYr1!$Q49*ADRYr1!$U49)</f>
        <v/>
      </c>
      <c r="CV49" s="28" t="str">
        <f>IF($G49="","",G49*(IF(ADRYr1!$AI49=CV$4,ADRYr1!$AJ49,IF(ADRYr1!$AK49=CV$4,ADRYr1!$AL49,IF(ADRYr1!$AM49=CV$4,ADRYr1!$AN49,0))))*(INDEX(avoidedcosttbl,$H49,CV$2)+(($H49-ROUNDDOWN($H49,0))*(INDEX(avoidedcosttbl,ROUNDUP($H49,0),CV$2)-(INDEX(avoidedcosttbl,ROUNDDOWN($H49,0),CV$2)))))*ADRYr1!$P49*ADRYr1!$Q49*ADRYr1!$U49)</f>
        <v/>
      </c>
      <c r="CW49" s="28" t="str">
        <f>IF($G49="","",G49*(IF(ADRYr1!$AI49=CW$4,ADRYr1!$AJ49,IF(ADRYr1!$AK49=CW$4,ADRYr1!$AL49,IF(ADRYr1!$AM49=CW$4,ADRYr1!$AN49,0))))*(INDEX(avoidedcosttbl,$H49,CW$2)+(($H49-ROUNDDOWN($H49,0))*(INDEX(avoidedcosttbl,ROUNDUP($H49,0),CW$2)-(INDEX(avoidedcosttbl,ROUNDDOWN($H49,0),CW$2)))))*ADRYr1!$P49*ADRYr1!$Q49*ADRYr1!$U49)</f>
        <v/>
      </c>
      <c r="CX49" s="28" t="str">
        <f>IF($G49="","",G49*(IF(ADRYr1!$AI49=CX$4,ADRYr1!$AJ49,IF(ADRYr1!$AK49=CX$4,ADRYr1!$AL49,IF(ADRYr1!$AM49=CX$4,ADRYr1!$AN49,0))))*(INDEX(avoidedcosttbl,$H49,CX$2)+(($H49-ROUNDDOWN($H49,0))*(INDEX(avoidedcosttbl,ROUNDUP($H49,0),CX$2)-(INDEX(avoidedcosttbl,ROUNDDOWN($H49,0),CX$2)))))*ADRYr1!$P49*ADRYr1!$Q49*ADRYr1!$U49)</f>
        <v/>
      </c>
      <c r="CY49" s="28" t="str">
        <f t="shared" si="13"/>
        <v/>
      </c>
      <c r="CZ49" s="32" t="str">
        <f t="shared" si="14"/>
        <v/>
      </c>
      <c r="DA49" s="84" t="str">
        <f t="shared" si="42"/>
        <v/>
      </c>
      <c r="DB49" s="81" t="str">
        <f>IF(NEIadder="Yes",IF($G49="","",INDEX(Lookups!$G$70:$G$71,MATCH($A49,Lookups!$E$70:$E$71,0))*(SUM(CP49:CX49,BX49))),"")</f>
        <v/>
      </c>
      <c r="DC49" s="263" t="str">
        <f t="shared" si="15"/>
        <v/>
      </c>
      <c r="DD49" s="166" t="str">
        <f t="shared" si="16"/>
        <v/>
      </c>
      <c r="DE49" s="82">
        <f t="shared" si="43"/>
        <v>0</v>
      </c>
      <c r="DF49" s="615" t="str">
        <f>IF($G49="","",(1+WntPeakEnergyLL)*(INDEX(avoidedcosttbl,$H49,DF$2)+(($H49-ROUNDDOWN($H49,0))*(INDEX(avoidedcosttbl,ROUNDUP($H49,0),DF$2)-(INDEX(avoidedcosttbl,ROUNDDOWN($H49,0),DF$2)))))*$P49*1000*ADRYr1!Z49)</f>
        <v/>
      </c>
      <c r="DG49" s="615" t="str">
        <f>IF($G49="","",(1+WntOffPeakEnergyLL)*(INDEX(avoidedcosttbl,$H49,DG$2)+(($H49-ROUNDDOWN($H49,0))*(INDEX(avoidedcosttbl,ROUNDUP($H49,0),DG$2)-(INDEX(avoidedcosttbl,ROUNDDOWN($H49,0),DG$2)))))*$P49*1000*ADRYr1!AA49)</f>
        <v/>
      </c>
      <c r="DH49" s="615" t="str">
        <f>IF($G49="","",(1+SumPeakEnergyLL)*(INDEX(avoidedcosttbl,$H49,DH$2)+(($H49-ROUNDDOWN($H49,0))*(INDEX(avoidedcosttbl,ROUNDUP($H49,0),DH$2)-(INDEX(avoidedcosttbl,ROUNDDOWN($H49,0),DH$2)))))*$P49*1000*ADRYr1!AB49)</f>
        <v/>
      </c>
      <c r="DI49" s="615" t="str">
        <f>IF($G49="","",(1+SumOffPeakEnergyLL)*(INDEX(avoidedcosttbl,$H49,DI$2)+(($H49-ROUNDDOWN($H49,0))*(INDEX(avoidedcosttbl,ROUNDUP($H49,0),DI$2)-(INDEX(avoidedcosttbl,ROUNDDOWN($H49,0),DI$2)))))*$P49*1000*ADRYr1!AC49)</f>
        <v/>
      </c>
      <c r="DJ49" s="29" t="str">
        <f t="shared" si="44"/>
        <v/>
      </c>
      <c r="DK49" s="161" t="str">
        <f t="shared" si="51"/>
        <v/>
      </c>
      <c r="DL49" s="1189"/>
      <c r="DM49" s="1189" t="str">
        <f t="shared" si="47"/>
        <v/>
      </c>
      <c r="DO49" s="966" t="str">
        <f>IF($G49="","",ADRYr1!AQ49)</f>
        <v/>
      </c>
      <c r="DP49" s="968" t="str">
        <f>IF($G49="","",ADRYr1!AR49)</f>
        <v/>
      </c>
      <c r="DQ49" s="970" t="str">
        <f>IF($G49="","",IF($DP49="Yes",COLUMN(AESC!$L$10),IF($DP49="No","Using AvoidedDemand tab",IF($DP49="Mixed",COLUMN(AESC!$N$10)))))</f>
        <v/>
      </c>
      <c r="DR49" s="970" t="str">
        <f>IF($G49="","",IF($DP49="Yes",COLUMN(AESC!$P$10),IF($DP49="No","Using AvoidedDemand tab",IF($DP49="Mixed",COLUMN(AESC!$R$10)))))</f>
        <v/>
      </c>
      <c r="DS49" s="970" t="str">
        <f>IF($G49="","",IF($DP49="Yes",COLUMN(AESC!$S$10),IF($DP49="No",COLUMN(AESC!$T$10),IF($DP49="Mixed",COLUMN(AESC!$U$10)))))</f>
        <v/>
      </c>
      <c r="DT49" s="970" t="str">
        <f t="shared" si="17"/>
        <v/>
      </c>
      <c r="DU49" s="970" t="str">
        <f>IF($G49="","",ADRYr1!AS49)</f>
        <v/>
      </c>
      <c r="DV49" s="971" t="str">
        <f>IF($G49="","",ADRYr1!AT49)</f>
        <v/>
      </c>
      <c r="DW49" s="1162" t="str">
        <f>IF($G49="","",INDEX(AvoidedEnergy!$H$4:$H$10,MATCH($DO49,AvoidedEnergy!$A$4:$A$10,0)))</f>
        <v/>
      </c>
    </row>
    <row r="50" spans="1:127">
      <c r="A50" s="160" t="str">
        <f>IF(ADRYr1!$B50=0,"",ADRYr1!A50)</f>
        <v/>
      </c>
      <c r="B50" s="9" t="str">
        <f>IF(ADRYr1!$B50=0,"",ADRYr1!B50)</f>
        <v/>
      </c>
      <c r="C50" s="9" t="str">
        <f>IF(ADRYr1!$B50=0,"",ADRYr1!C50)</f>
        <v/>
      </c>
      <c r="D50" s="9" t="str">
        <f>IF(ADRYr1!$B50=0,"",ADRYr1!D50)</f>
        <v/>
      </c>
      <c r="E50" s="9"/>
      <c r="F50" s="11" t="str">
        <f>IF(ADRYr1!$B50=0,"",ADRYr1!F50)</f>
        <v/>
      </c>
      <c r="G50" s="12" t="str">
        <f>IF(ADRYr1!$G50&lt;&gt;0,ADRYr1!G50,"")</f>
        <v/>
      </c>
      <c r="H50" s="960" t="str">
        <f>IF($G50="","",ROUND(ADRYr1!H50,0))</f>
        <v/>
      </c>
      <c r="I50" s="47" t="str">
        <f>IF($G50="","",ADRYr1!I50*ADRYr1!P50*G50)</f>
        <v/>
      </c>
      <c r="J50" s="47" t="str">
        <f>IF($G50="","",ADRYr1!J50*G50)</f>
        <v/>
      </c>
      <c r="K50" s="47" t="str">
        <f t="shared" si="18"/>
        <v/>
      </c>
      <c r="L50" s="27" t="str">
        <f>IF($G50="","",ADRYr1!V50*G50/1000)</f>
        <v/>
      </c>
      <c r="M50" s="27" t="str">
        <f>IF($G50="","",L50*ADRYr1!$Q50*ADRYr1!$R50)</f>
        <v/>
      </c>
      <c r="N50" s="27" t="str">
        <f t="shared" si="19"/>
        <v/>
      </c>
      <c r="O50" s="27" t="str">
        <f t="shared" si="20"/>
        <v/>
      </c>
      <c r="P50" s="27" t="str">
        <f>IF($G50="","",M50*ADRYr1!P50)</f>
        <v/>
      </c>
      <c r="Q50" s="27" t="str">
        <f t="shared" si="21"/>
        <v/>
      </c>
      <c r="R50" s="27" t="str">
        <f>IF($G50="","",$Q50*ADRYr1!Z50)</f>
        <v/>
      </c>
      <c r="S50" s="27" t="str">
        <f>IF($G50="","",$Q50*ADRYr1!AA50)</f>
        <v/>
      </c>
      <c r="T50" s="27" t="str">
        <f>IF($G50="","",$Q50*ADRYr1!AB50)</f>
        <v/>
      </c>
      <c r="U50" s="27" t="str">
        <f>IF($G50="","",$Q50*ADRYr1!AC50)</f>
        <v/>
      </c>
      <c r="V50" s="27" t="str">
        <f>IF($G50="","",G50*ADRYr1!$AD50*ADRYr1!$P50*ADRYr1!$Q50)</f>
        <v/>
      </c>
      <c r="W50" s="27" t="str">
        <f>IF($G50="","",$G50*ADRYr1!$AD50*ADRYr1!$AF50*ADRYr1!Q50*ADRYr1!$S50)</f>
        <v/>
      </c>
      <c r="X50" s="27" t="str">
        <f>IF($G50="","",$G50*ADRYr1!$AD50*ADRYr1!$AF50*ADRYr1!P50*ADRYr1!Q50*ADRYr1!$S50)</f>
        <v/>
      </c>
      <c r="Y50" s="27" t="str">
        <f>IF($G50="","",$G50*ADRYr1!$AD50*ADRYr1!$AE50*ADRYr1!Q50*ADRYr1!$T50)</f>
        <v/>
      </c>
      <c r="Z50" s="27" t="str">
        <f>IF($G50="","",$G50*ADRYr1!$AD50*ADRYr1!$AE50*ADRYr1!P50*ADRYr1!Q50*ADRYr1!$T50)</f>
        <v/>
      </c>
      <c r="AA50" s="45" t="str">
        <f>IF($G50="","",$G50*ADRYr1!$Q50*ADRYr1!$U50*(IF(IFERROR(SEARCH("NG", ADRYr1!$AI50),0),ADRYr1!$AJ50,0)+IF(IFERROR(SEARCH("NG", ADRYr1!$AK50),0),ADRYr1!$AL50,0)+IF(IFERROR(SEARCH("NG", ADRYr1!$AM50),0),ADRYr1!$AN50,0)))</f>
        <v/>
      </c>
      <c r="AB50" s="45" t="str">
        <f t="shared" si="22"/>
        <v/>
      </c>
      <c r="AC50" s="45">
        <f>IF($G50="",0,AA50*ADRYr1!$P50)</f>
        <v>0</v>
      </c>
      <c r="AD50" s="45" t="str">
        <f t="shared" si="23"/>
        <v/>
      </c>
      <c r="AE50" s="45" t="str">
        <f>IF($G50="","",$G50*ADRYr1!$Q50*ADRYr1!$U50*(IF(IFERROR(SEARCH("Oil", ADRYr1!$AI50), 0),ADRYr1!$AJ50,0)+IF(IFERROR(SEARCH("Oil", ADRYr1!$AK50), 0),ADRYr1!$AL50,0)+IF(IFERROR(SEARCH("Oil", ADRYr1!$AM50), 0),ADRYr1!$AN50,0)))</f>
        <v/>
      </c>
      <c r="AF50" s="45" t="str">
        <f t="shared" si="24"/>
        <v/>
      </c>
      <c r="AG50" s="45">
        <f>IF($G50="",0,AE50*ADRYr1!$P50)</f>
        <v>0</v>
      </c>
      <c r="AH50" s="45" t="str">
        <f t="shared" si="25"/>
        <v/>
      </c>
      <c r="AI50" s="45" t="str">
        <f>IF($G50="","",$G50*ADRYr1!$Q50*ADRYr1!$U50*(IF(ADRYr1!$AI50=Lookups!$E$116,ADRYr1!$AJ50,IF(ADRYr1!$AK50=Lookups!$E$116,ADRYr1!$AL50,IF(ADRYr1!$AM50=Lookups!$E$116,ADRYr1!$AN50,0)))))</f>
        <v/>
      </c>
      <c r="AJ50" s="45" t="str">
        <f t="shared" si="26"/>
        <v/>
      </c>
      <c r="AK50" s="45">
        <f>IF($G50="",0,AI50*ADRYr1!$P50)</f>
        <v>0</v>
      </c>
      <c r="AL50" s="45" t="str">
        <f t="shared" si="27"/>
        <v/>
      </c>
      <c r="AM50" s="45" t="str">
        <f>IF($G50="","",$G50*ADRYr1!$Q50*ADRYr1!$U50*(IF(ADRYr1!$AI50=Lookups!$E$115,ADRYr1!$AJ50,IF(ADRYr1!$AK50=Lookups!$E$115,ADRYr1!$AL50,IF(ADRYr1!$AM50=Lookups!$E$115,ADRYr1!$AN50,0)))))</f>
        <v/>
      </c>
      <c r="AN50" s="45" t="str">
        <f t="shared" si="28"/>
        <v/>
      </c>
      <c r="AO50" s="45">
        <f>IF($G50="",0,AM50*ADRYr1!$P50)</f>
        <v>0</v>
      </c>
      <c r="AP50" s="45" t="str">
        <f t="shared" si="29"/>
        <v/>
      </c>
      <c r="AQ50" s="45" t="str">
        <f>IF($G50="","",$G50*ADRYr1!$Q50*ADRYr1!$U50*(IF(ADRYr1!$AI50=Lookups!$E$117,ADRYr1!$AJ50,IF(ADRYr1!$AK50=Lookups!$E$117,ADRYr1!$AL50,IF(ADRYr1!$AM50=Lookups!$E$117,ADRYr1!$AN50,0)))))</f>
        <v/>
      </c>
      <c r="AR50" s="45" t="str">
        <f t="shared" si="30"/>
        <v/>
      </c>
      <c r="AS50" s="45" t="str">
        <f>IF($G50="","",AQ50*ADRYr1!$P50)</f>
        <v/>
      </c>
      <c r="AT50" s="45" t="str">
        <f t="shared" si="31"/>
        <v/>
      </c>
      <c r="AU50" s="45" t="str">
        <f>IF($G50="","",$G50*ADRYr1!$Q50*ADRYr1!$U50*(IF(ADRYr1!$AI50=Lookups!$E$118,ADRYr1!$AJ50,IF(ADRYr1!$AK50=Lookups!$E$118,ADRYr1!$AL50,IF(ADRYr1!$AM50=Lookups!$E$118,ADRYr1!$AN50,0)))))</f>
        <v/>
      </c>
      <c r="AV50" s="45" t="str">
        <f t="shared" si="32"/>
        <v/>
      </c>
      <c r="AW50" s="45" t="str">
        <f>IF($G50="","",AU50*ADRYr1!$P50)</f>
        <v/>
      </c>
      <c r="AX50" s="45" t="str">
        <f t="shared" si="33"/>
        <v/>
      </c>
      <c r="AY50" s="45">
        <f t="shared" si="49"/>
        <v>0</v>
      </c>
      <c r="AZ50" s="45">
        <f t="shared" si="49"/>
        <v>0</v>
      </c>
      <c r="BA50" s="101" t="str">
        <f>IF($G50="","",$G50*ADRYr1!$P50*ADRYr1!$Q50*ADRYr1!$U50*ADRYr1!AO50)</f>
        <v/>
      </c>
      <c r="BB50" s="102" t="str">
        <f>IF($G50="","",$G50*ADRYr1!$P50*ADRYr1!$Q50*ADRYr1!$U50*ADRYr1!AP50)</f>
        <v/>
      </c>
      <c r="BC50" s="100" t="str">
        <f t="shared" si="35"/>
        <v/>
      </c>
      <c r="BD50" s="961"/>
      <c r="BE50" s="961"/>
      <c r="BF50" s="961"/>
      <c r="BG50" s="961"/>
      <c r="BH50" s="962" t="str">
        <f t="shared" si="3"/>
        <v/>
      </c>
      <c r="BI50" s="961"/>
      <c r="BJ50" s="961"/>
      <c r="BK50" s="961"/>
      <c r="BL50" s="961"/>
      <c r="BM50" s="30" t="str">
        <f t="shared" si="4"/>
        <v/>
      </c>
      <c r="BN50" s="963" t="str">
        <f t="shared" si="5"/>
        <v/>
      </c>
      <c r="BO50" s="31" t="str">
        <f t="shared" si="36"/>
        <v/>
      </c>
      <c r="BP50" s="964" t="str">
        <f t="shared" si="6"/>
        <v/>
      </c>
      <c r="BQ50" s="28" t="str">
        <f t="shared" si="7"/>
        <v/>
      </c>
      <c r="BR50" s="964" t="str">
        <f t="shared" si="8"/>
        <v/>
      </c>
      <c r="BS50" s="964" t="str">
        <f t="shared" si="9"/>
        <v/>
      </c>
      <c r="BT50" s="28" t="str">
        <f t="shared" si="52"/>
        <v/>
      </c>
      <c r="BU50" s="28" t="str">
        <f t="shared" si="52"/>
        <v/>
      </c>
      <c r="BV50" s="28" t="str">
        <f t="shared" si="52"/>
        <v/>
      </c>
      <c r="BW50" s="29" t="str">
        <f t="shared" si="37"/>
        <v/>
      </c>
      <c r="BX50" s="29" t="str">
        <f t="shared" si="38"/>
        <v/>
      </c>
      <c r="BY50" s="28" t="str">
        <f>IF($G50="","",$G50*(IF(ADRYr1!$AI50=BY$4,ADRYr1!$AJ50,IF(ADRYr1!$AK50=BY$4,ADRYr1!$AL50,IF(ADRYr1!$AM50=BY$4,ADRYr1!$AN50,0))))*(INDEX(avoidedcosttbl,$H50,BY$2)+(($H50-ROUNDDOWN($H50,0))*(INDEX(avoidedcosttbl,ROUNDUP($H50,0),BY$2)-(INDEX(avoidedcosttbl,ROUNDDOWN($H50,0),BY$2)))))*ADRYr1!P50*ADRYr1!Q50*ADRYr1!U50)</f>
        <v/>
      </c>
      <c r="BZ50" s="28" t="str">
        <f>IF($G50="","",$G50*(IF(ADRYr1!$AI50=BZ$4,ADRYr1!$AJ50,IF(ADRYr1!$AK50=BZ$4,ADRYr1!$AL50,IF(ADRYr1!$AM50=BZ$4,ADRYr1!$AN50,0))))*(INDEX(avoidedcosttbl,$H50,BZ$2)+(($H50-ROUNDDOWN($H50,0))*(INDEX(avoidedcosttbl,ROUNDUP($H50,0),BZ$2)-(INDEX(avoidedcosttbl,ROUNDDOWN($H50,0),BZ$2)))))*ADRYr1!P50*ADRYr1!Q50*ADRYr1!U50)</f>
        <v/>
      </c>
      <c r="CA50" s="28" t="str">
        <f>IF($G50="","",$G50*(IF(ADRYr1!$AI50=CA$4,ADRYr1!$AJ50,IF(ADRYr1!$AK50=CA$4,ADRYr1!$AL50,IF(ADRYr1!$AM50=CA$4,ADRYr1!$AN50,0))))*(INDEX(avoidedcosttbl,$H50,CA$2)+(($H50-ROUNDDOWN($H50,0))*(INDEX(avoidedcosttbl,ROUNDUP($H50,0),CA$2)-(INDEX(avoidedcosttbl,ROUNDDOWN($H50,0),CA$2)))))*ADRYr1!P50*ADRYr1!Q50*ADRYr1!U50)</f>
        <v/>
      </c>
      <c r="CB50" s="28" t="str">
        <f>IF($G50="","",$G50*(IF(ADRYr1!$AI50=CB$4,ADRYr1!$AJ50,IF(ADRYr1!$AK50=CB$4,ADRYr1!$AL50,IF(ADRYr1!$AM50=CB$4,ADRYr1!$AN50,0))))*(INDEX(avoidedcosttbl,$H50,CB$2)+(($H50-ROUNDDOWN($H50,0))*(INDEX(avoidedcosttbl,ROUNDUP($H50,0),CB$2)-(INDEX(avoidedcosttbl,ROUNDDOWN($H50,0),CB$2)))))*ADRYr1!P50*ADRYr1!Q50*ADRYr1!U50)</f>
        <v/>
      </c>
      <c r="CC50" s="28" t="str">
        <f>IF($G50="","",$G50*(IF(ADRYr1!$AI50=CC$4,ADRYr1!$AJ50,IF(ADRYr1!$AK50=CC$4,ADRYr1!$AL50,IF(ADRYr1!$AM50=CC$4,ADRYr1!$AN50,0))))*(INDEX(avoidedcosttbl,$H50,CC$2)+(($H50-ROUNDDOWN($H50,0))*(INDEX(avoidedcosttbl,ROUNDUP($H50,0),CC$2)-(INDEX(avoidedcosttbl,ROUNDDOWN($H50,0),CC$2)))))*ADRYr1!P50*ADRYr1!Q50*ADRYr1!U50)</f>
        <v/>
      </c>
      <c r="CD50" s="28" t="str">
        <f>IF($G50="","",$G50*(IF(ADRYr1!$AI50=CD$4,ADRYr1!$AJ50,IF(ADRYr1!$AK50=CD$4,ADRYr1!$AL50,IF(ADRYr1!$AM50=CD$4,ADRYr1!$AN50,0))))*(INDEX(avoidedcosttbl,$H50,CD$2)+(($H50-ROUNDDOWN($H50,0))*(INDEX(avoidedcosttbl,ROUNDUP($H50,0),CD$2)-(INDEX(avoidedcosttbl,ROUNDDOWN($H50,0),CD$2)))))*ADRYr1!P50*ADRYr1!Q50*ADRYr1!U50)</f>
        <v/>
      </c>
      <c r="CE50" s="28" t="str">
        <f>IF($G50="","",$G50*(IF(ADRYr1!$AI50=CE$4,ADRYr1!$AJ50,IF(ADRYr1!$AK50=CE$4,ADRYr1!$AL50,IF(ADRYr1!$AM50=CE$4,ADRYr1!$AN50,0))))*(INDEX(avoidedcosttbl,$H50,CE$2)+(($H50-ROUNDDOWN($H50,0))*(INDEX(avoidedcosttbl,ROUNDUP($H50,0),CE$2)-(INDEX(avoidedcosttbl,ROUNDDOWN($H50,0),CE$2)))))*ADRYr1!P50*ADRYr1!Q50*ADRYr1!U50)</f>
        <v/>
      </c>
      <c r="CF50" s="41" t="str">
        <f t="shared" si="39"/>
        <v/>
      </c>
      <c r="CG50" s="30" t="str">
        <f t="shared" si="11"/>
        <v/>
      </c>
      <c r="CH50" s="30" t="str">
        <f>IF($G50="","",$G50*(IF(ADRYr1!$AI50=BY$4,ADRYr1!$AJ50,IF(ADRYr1!$AK50=BY$4,ADRYr1!$AL50,IF(ADRYr1!$AM50=BY$4,ADRYr1!$AN50,0))))*(INDEX(avoidedcosttbl,$H50,CH$2)+(($H50-ROUNDDOWN($H50,0))*(INDEX(avoidedcosttbl,ROUNDUP($H50,0),CH$2)-(INDEX(avoidedcosttbl,ROUNDDOWN($H50,0),CH$2)))))*ADRYr1!P50*ADRYr1!Q50*ADRYr1!U50)</f>
        <v/>
      </c>
      <c r="CI50" s="30" t="str">
        <f>IF($G50="","",$G50*(IF(ADRYr1!$AI50=BZ$4,ADRYr1!$AJ50,IF(ADRYr1!$AK50=BZ$4,ADRYr1!$AL50,IF(ADRYr1!$AM50=BZ$4,ADRYr1!$AN50,0))))*(INDEX(avoidedcosttbl,$H50,CI$2)+(($H50-ROUNDDOWN($H50,0))*(INDEX(avoidedcosttbl,ROUNDUP($H50,0),CI$2)-(INDEX(avoidedcosttbl,ROUNDDOWN($H50,0),CI$2)))))*ADRYr1!P50*ADRYr1!Q50*ADRYr1!U50)</f>
        <v/>
      </c>
      <c r="CJ50" s="30" t="str">
        <f>IF($G50="","",$G50*(IF(ADRYr1!$AI50=CA$4,ADRYr1!$AJ50,IF(ADRYr1!$AK50=CA$4,ADRYr1!$AL50,IF(ADRYr1!$AM50=CA$4,ADRYr1!$AN50,0))))*(INDEX(avoidedcosttbl,$H50,CJ$2)+(($H50-ROUNDDOWN($H50,0))*(INDEX(avoidedcosttbl,ROUNDUP($H50,0),CJ$2)-(INDEX(avoidedcosttbl,ROUNDDOWN($H50,0),CJ$2)))))*ADRYr1!P50*ADRYr1!Q50*ADRYr1!U50)</f>
        <v/>
      </c>
      <c r="CK50" s="30" t="str">
        <f>IF($G50="","",$G50*(IF(ADRYr1!$AI50=CB$4,ADRYr1!$AJ50,IF(ADRYr1!$AK50=CB$4,ADRYr1!$AL50,IF(ADRYr1!$AM50=CB$4,ADRYr1!$AN50,0))))*(INDEX(avoidedcosttbl,$H50,CK$2)+(($H50-ROUNDDOWN($H50,0))*(INDEX(avoidedcosttbl,ROUNDUP($H50,0),CK$2)-(INDEX(avoidedcosttbl,ROUNDDOWN($H50,0),CK$2)))))*ADRYr1!P50*ADRYr1!Q50*ADRYr1!U50)</f>
        <v/>
      </c>
      <c r="CL50" s="30" t="str">
        <f>IF($G50="","",$G50*(IF(ADRYr1!$AI50=CC$4,ADRYr1!$AJ50,IF(ADRYr1!$AK50=CC$4,ADRYr1!$AL50,IF(ADRYr1!$AM50=CC$4,ADRYr1!$AN50,0))))*(INDEX(avoidedcosttbl,$H50,CL$2)+(($H50-ROUNDDOWN($H50,0))*(INDEX(avoidedcosttbl,ROUNDUP($H50,0),CL$2)-(INDEX(avoidedcosttbl,ROUNDDOWN($H50,0),CL$2)))))*ADRYr1!P50*ADRYr1!Q50*ADRYr1!U50)</f>
        <v/>
      </c>
      <c r="CM50" s="30" t="str">
        <f>IF($G50="","",$G50*(IF(ADRYr1!$AI50=CD$4,ADRYr1!$AJ50,IF(ADRYr1!$AK50=CD$4,ADRYr1!$AL50,IF(ADRYr1!$AM50=CD$4,ADRYr1!$AN50,0))))*(INDEX(avoidedcosttbl,$H50,CM$2)+(($H50-ROUNDDOWN($H50,0))*(INDEX(avoidedcosttbl,ROUNDUP($H50,0),CM$2)-(INDEX(avoidedcosttbl,ROUNDDOWN($H50,0),CM$2)))))*ADRYr1!P50*ADRYr1!Q50*ADRYr1!U50)</f>
        <v/>
      </c>
      <c r="CN50" s="30" t="str">
        <f>IF($G50="","",$G50*(IF(ADRYr1!$AI50=CE$4,ADRYr1!$AJ50,IF(ADRYr1!$AK50=CE$4,ADRYr1!$AL50,IF(ADRYr1!$AM50=CE$4,ADRYr1!$AN50,0))))*(INDEX(avoidedcosttbl,$H50,CN$2)+(($H50-ROUNDDOWN($H50,0))*(INDEX(avoidedcosttbl,ROUNDUP($H50,0),CN$2)-(INDEX(avoidedcosttbl,ROUNDDOWN($H50,0),CN$2)))))*ADRYr1!P50*ADRYr1!Q50*ADRYr1!U50)</f>
        <v/>
      </c>
      <c r="CO50" s="220" t="str">
        <f t="shared" si="40"/>
        <v/>
      </c>
      <c r="CP50" s="220" t="str">
        <f t="shared" si="41"/>
        <v/>
      </c>
      <c r="CQ50" s="157" t="str">
        <f>IF($G50="","",$G50*(IF(ADRYr1!$AI50=CQ$4,ADRYr1!$AJ50,IF(ADRYr1!$AK50=CQ$4,ADRYr1!$AL50,IF(ADRYr1!$AM50=CQ$4,ADRYr1!$AN50,0))))*(INDEX(avoidedcosttbl,$H50,CQ$2)+(($H50-ROUNDDOWN($H50,0))*(INDEX(avoidedcosttbl,ROUNDUP($H50,0),CQ$2)-(INDEX(avoidedcosttbl,ROUNDDOWN($H50,0),CQ$2)))))*ADRYr1!$P50*ADRYr1!$Q50*ADRYr1!$U50)</f>
        <v/>
      </c>
      <c r="CR50" s="28" t="str">
        <f>IF($G50="","",G50*(IF(ADRYr1!$AI50=CR$4,ADRYr1!$AJ50,IF(ADRYr1!$AK50=CR$4,ADRYr1!$AL50,IF(ADRYr1!$AM50=CR$4,ADRYr1!$AN50,0))))*(INDEX(avoidedcosttbl,$H50,CR$2)+(($H50-ROUNDDOWN($H50,0))*(INDEX(avoidedcosttbl,ROUNDUP($H50,0),CR$2)-(INDEX(avoidedcosttbl,ROUNDDOWN($H50,0),CR$2)))))*ADRYr1!$P50*ADRYr1!$Q50*ADRYr1!$U50)</f>
        <v/>
      </c>
      <c r="CS50" s="28" t="str">
        <f>IF($G50="","",G50*(IF(ADRYr1!$AI50=CS$4,ADRYr1!$AJ50,IF(ADRYr1!$AK50=CS$4,ADRYr1!$AL50,IF(ADRYr1!$AM50=CS$4,ADRYr1!$AN50,0))))*(INDEX(avoidedcosttbl,$H50,CS$2)+(($H50-ROUNDDOWN($H50,0))*(INDEX(avoidedcosttbl,ROUNDUP($H50,0),CS$2)-(INDEX(avoidedcosttbl,ROUNDDOWN($H50,0),CS$2)))))*ADRYr1!$P50*ADRYr1!$Q50*ADRYr1!$U50)</f>
        <v/>
      </c>
      <c r="CT50" s="28" t="str">
        <f t="shared" si="12"/>
        <v/>
      </c>
      <c r="CU50" s="28" t="str">
        <f>IF($G50="","",G50*(IF(ADRYr1!$AI50=CU$4,ADRYr1!$AJ50,IF(ADRYr1!$AK50=CU$4,ADRYr1!$AL50,IF(ADRYr1!$AM50=CU$4,ADRYr1!$AN50,0))))*(INDEX(avoidedcosttbl,$H50,CU$2)+(($H50-ROUNDDOWN($H50,0))*(INDEX(avoidedcosttbl,ROUNDUP($H50,0),CU$2)-(INDEX(avoidedcosttbl,ROUNDDOWN($H50,0),CU$2)))))*ADRYr1!$P50*ADRYr1!$Q50*ADRYr1!$U50)</f>
        <v/>
      </c>
      <c r="CV50" s="28" t="str">
        <f>IF($G50="","",G50*(IF(ADRYr1!$AI50=CV$4,ADRYr1!$AJ50,IF(ADRYr1!$AK50=CV$4,ADRYr1!$AL50,IF(ADRYr1!$AM50=CV$4,ADRYr1!$AN50,0))))*(INDEX(avoidedcosttbl,$H50,CV$2)+(($H50-ROUNDDOWN($H50,0))*(INDEX(avoidedcosttbl,ROUNDUP($H50,0),CV$2)-(INDEX(avoidedcosttbl,ROUNDDOWN($H50,0),CV$2)))))*ADRYr1!$P50*ADRYr1!$Q50*ADRYr1!$U50)</f>
        <v/>
      </c>
      <c r="CW50" s="28" t="str">
        <f>IF($G50="","",G50*(IF(ADRYr1!$AI50=CW$4,ADRYr1!$AJ50,IF(ADRYr1!$AK50=CW$4,ADRYr1!$AL50,IF(ADRYr1!$AM50=CW$4,ADRYr1!$AN50,0))))*(INDEX(avoidedcosttbl,$H50,CW$2)+(($H50-ROUNDDOWN($H50,0))*(INDEX(avoidedcosttbl,ROUNDUP($H50,0),CW$2)-(INDEX(avoidedcosttbl,ROUNDDOWN($H50,0),CW$2)))))*ADRYr1!$P50*ADRYr1!$Q50*ADRYr1!$U50)</f>
        <v/>
      </c>
      <c r="CX50" s="28" t="str">
        <f>IF($G50="","",G50*(IF(ADRYr1!$AI50=CX$4,ADRYr1!$AJ50,IF(ADRYr1!$AK50=CX$4,ADRYr1!$AL50,IF(ADRYr1!$AM50=CX$4,ADRYr1!$AN50,0))))*(INDEX(avoidedcosttbl,$H50,CX$2)+(($H50-ROUNDDOWN($H50,0))*(INDEX(avoidedcosttbl,ROUNDUP($H50,0),CX$2)-(INDEX(avoidedcosttbl,ROUNDDOWN($H50,0),CX$2)))))*ADRYr1!$P50*ADRYr1!$Q50*ADRYr1!$U50)</f>
        <v/>
      </c>
      <c r="CY50" s="28" t="str">
        <f t="shared" si="13"/>
        <v/>
      </c>
      <c r="CZ50" s="32" t="str">
        <f t="shared" si="14"/>
        <v/>
      </c>
      <c r="DA50" s="84" t="str">
        <f t="shared" si="42"/>
        <v/>
      </c>
      <c r="DB50" s="81" t="str">
        <f>IF(NEIadder="Yes",IF($G50="","",INDEX(Lookups!$G$70:$G$71,MATCH($A50,Lookups!$E$70:$E$71,0))*(SUM(CP50:CX50,BX50))),"")</f>
        <v/>
      </c>
      <c r="DC50" s="263" t="str">
        <f t="shared" si="15"/>
        <v/>
      </c>
      <c r="DD50" s="166" t="str">
        <f t="shared" si="16"/>
        <v/>
      </c>
      <c r="DE50" s="82">
        <f t="shared" si="43"/>
        <v>0</v>
      </c>
      <c r="DF50" s="615" t="str">
        <f>IF($G50="","",(1+WntPeakEnergyLL)*(INDEX(avoidedcosttbl,$H50,DF$2)+(($H50-ROUNDDOWN($H50,0))*(INDEX(avoidedcosttbl,ROUNDUP($H50,0),DF$2)-(INDEX(avoidedcosttbl,ROUNDDOWN($H50,0),DF$2)))))*$P50*1000*ADRYr1!Z50)</f>
        <v/>
      </c>
      <c r="DG50" s="615" t="str">
        <f>IF($G50="","",(1+WntOffPeakEnergyLL)*(INDEX(avoidedcosttbl,$H50,DG$2)+(($H50-ROUNDDOWN($H50,0))*(INDEX(avoidedcosttbl,ROUNDUP($H50,0),DG$2)-(INDEX(avoidedcosttbl,ROUNDDOWN($H50,0),DG$2)))))*$P50*1000*ADRYr1!AA50)</f>
        <v/>
      </c>
      <c r="DH50" s="615" t="str">
        <f>IF($G50="","",(1+SumPeakEnergyLL)*(INDEX(avoidedcosttbl,$H50,DH$2)+(($H50-ROUNDDOWN($H50,0))*(INDEX(avoidedcosttbl,ROUNDUP($H50,0),DH$2)-(INDEX(avoidedcosttbl,ROUNDDOWN($H50,0),DH$2)))))*$P50*1000*ADRYr1!AB50)</f>
        <v/>
      </c>
      <c r="DI50" s="615" t="str">
        <f>IF($G50="","",(1+SumOffPeakEnergyLL)*(INDEX(avoidedcosttbl,$H50,DI$2)+(($H50-ROUNDDOWN($H50,0))*(INDEX(avoidedcosttbl,ROUNDUP($H50,0),DI$2)-(INDEX(avoidedcosttbl,ROUNDDOWN($H50,0),DI$2)))))*$P50*1000*ADRYr1!AC50)</f>
        <v/>
      </c>
      <c r="DJ50" s="29" t="str">
        <f t="shared" si="44"/>
        <v/>
      </c>
      <c r="DK50" s="161" t="str">
        <f t="shared" si="51"/>
        <v/>
      </c>
      <c r="DL50" s="1189"/>
      <c r="DM50" s="1189" t="str">
        <f t="shared" si="47"/>
        <v/>
      </c>
      <c r="DO50" s="966" t="str">
        <f>IF($G50="","",ADRYr1!AQ50)</f>
        <v/>
      </c>
      <c r="DP50" s="968" t="str">
        <f>IF($G50="","",ADRYr1!AR50)</f>
        <v/>
      </c>
      <c r="DQ50" s="970" t="str">
        <f>IF($G50="","",IF($DP50="Yes",COLUMN(AESC!$L$10),IF($DP50="No","Using AvoidedDemand tab",IF($DP50="Mixed",COLUMN(AESC!$N$10)))))</f>
        <v/>
      </c>
      <c r="DR50" s="970" t="str">
        <f>IF($G50="","",IF($DP50="Yes",COLUMN(AESC!$P$10),IF($DP50="No","Using AvoidedDemand tab",IF($DP50="Mixed",COLUMN(AESC!$R$10)))))</f>
        <v/>
      </c>
      <c r="DS50" s="970" t="str">
        <f>IF($G50="","",IF($DP50="Yes",COLUMN(AESC!$S$10),IF($DP50="No",COLUMN(AESC!$T$10),IF($DP50="Mixed",COLUMN(AESC!$U$10)))))</f>
        <v/>
      </c>
      <c r="DT50" s="970" t="str">
        <f t="shared" si="17"/>
        <v/>
      </c>
      <c r="DU50" s="970" t="str">
        <f>IF($G50="","",ADRYr1!AS50)</f>
        <v/>
      </c>
      <c r="DV50" s="971" t="str">
        <f>IF($G50="","",ADRYr1!AT50)</f>
        <v/>
      </c>
      <c r="DW50" s="1162" t="str">
        <f>IF($G50="","",INDEX(AvoidedEnergy!$H$4:$H$10,MATCH($DO50,AvoidedEnergy!$A$4:$A$10,0)))</f>
        <v/>
      </c>
    </row>
  </sheetData>
  <autoFilter ref="A4:DO39" xr:uid="{E8C91266-49C9-443D-8476-C6B2F3412551}"/>
  <mergeCells count="21">
    <mergeCell ref="DO3:DW3"/>
    <mergeCell ref="BA3:BC3"/>
    <mergeCell ref="A3:H3"/>
    <mergeCell ref="I3:K3"/>
    <mergeCell ref="L3:U3"/>
    <mergeCell ref="V3:Z3"/>
    <mergeCell ref="AA3:AD3"/>
    <mergeCell ref="AE3:AH3"/>
    <mergeCell ref="AI3:AL3"/>
    <mergeCell ref="AM3:AP3"/>
    <mergeCell ref="AQ3:AT3"/>
    <mergeCell ref="AU3:AX3"/>
    <mergeCell ref="AY3:AZ3"/>
    <mergeCell ref="DB3:DE3"/>
    <mergeCell ref="DF3:DJ3"/>
    <mergeCell ref="BD3:BH3"/>
    <mergeCell ref="BI3:BN3"/>
    <mergeCell ref="BP3:BW3"/>
    <mergeCell ref="BY3:CF3"/>
    <mergeCell ref="CG3:CO3"/>
    <mergeCell ref="CQ3:CZ3"/>
  </mergeCells>
  <conditionalFormatting sqref="J2:L2 J3:K3">
    <cfRule type="expression" dxfId="11" priority="1" stopIfTrue="1">
      <formula>ISBLANK($K2)</formula>
    </cfRule>
    <cfRule type="expression" dxfId="10" priority="2" stopIfTrue="1">
      <formula>$J2=0</formula>
    </cfRule>
  </conditionalFormatting>
  <conditionalFormatting sqref="J1:K1">
    <cfRule type="expression" dxfId="9" priority="3" stopIfTrue="1">
      <formula>ISBLANK($J1)</formula>
    </cfRule>
    <cfRule type="expression" dxfId="8" priority="4" stopIfTrue="1">
      <formula>$B1=0</formula>
    </cfRule>
  </conditionalFormatting>
  <dataValidations count="1">
    <dataValidation type="whole" allowBlank="1" showInputMessage="1" showErrorMessage="1" errorTitle="Whole Numbers Only" error="NTG and Impact Factors should be entered as whole numbers, no decimals." sqref="R5:R50" xr:uid="{B68B3C44-CE00-4241-865E-EE1F2332D43D}">
      <formula1>0</formula1>
      <formula2>500</formula2>
    </dataValidation>
  </dataValidations>
  <pageMargins left="0.5" right="0.5" top="1" bottom="1" header="0.5" footer="0.5"/>
  <pageSetup scale="13" fitToHeight="3" orientation="landscape" r:id="rId1"/>
  <headerFooter alignWithMargins="0">
    <oddFooter>&amp;L&amp;Z&amp;F&amp;R&amp;D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FA04F-8A1B-4CBA-8301-167C87A712BF}">
  <sheetPr>
    <tabColor theme="0" tint="-0.34998626667073579"/>
    <pageSetUpPr fitToPage="1"/>
  </sheetPr>
  <dimension ref="A1:DW50"/>
  <sheetViews>
    <sheetView zoomScale="80" zoomScaleNormal="80" workbookViewId="0">
      <pane xSplit="6" ySplit="4" topLeftCell="DM5" activePane="bottomRight" state="frozen"/>
      <selection activeCell="I24" sqref="I24"/>
      <selection pane="topRight" activeCell="I24" sqref="I24"/>
      <selection pane="bottomLeft" activeCell="I24" sqref="I24"/>
      <selection pane="bottomRight" activeCell="DO6" sqref="DO6"/>
    </sheetView>
  </sheetViews>
  <sheetFormatPr defaultColWidth="10" defaultRowHeight="12.75" outlineLevelCol="1"/>
  <cols>
    <col min="1" max="1" width="10.7109375" style="10" customWidth="1"/>
    <col min="2" max="2" width="17.7109375" style="10" customWidth="1"/>
    <col min="3" max="3" width="22" style="10" customWidth="1"/>
    <col min="4" max="4" width="65.28515625" style="10" bestFit="1" customWidth="1"/>
    <col min="5" max="5" width="15.85546875" style="10" bestFit="1" customWidth="1"/>
    <col min="6" max="6" width="17.42578125" style="33" bestFit="1" customWidth="1"/>
    <col min="7" max="7" width="14.85546875" style="34" bestFit="1" customWidth="1"/>
    <col min="8" max="8" width="10.7109375" style="33" customWidth="1"/>
    <col min="9" max="9" width="14.7109375" style="34" customWidth="1"/>
    <col min="10" max="11" width="14.42578125" style="34" customWidth="1"/>
    <col min="12" max="12" width="16.5703125" style="13" customWidth="1"/>
    <col min="13" max="14" width="16.5703125" style="35" customWidth="1"/>
    <col min="15" max="15" width="16.5703125" style="36" customWidth="1"/>
    <col min="16" max="16" width="16.5703125" style="35" customWidth="1"/>
    <col min="17" max="17" width="16.5703125" style="36" customWidth="1"/>
    <col min="18" max="21" width="16" style="36" customWidth="1"/>
    <col min="22" max="22" width="18.42578125" style="35" customWidth="1"/>
    <col min="23" max="24" width="18.42578125" style="36" customWidth="1"/>
    <col min="25" max="26" width="18.42578125" style="66" customWidth="1"/>
    <col min="27" max="52" width="17.42578125" style="46" customWidth="1" outlineLevel="1"/>
    <col min="53" max="55" width="17.42578125" style="95" customWidth="1" outlineLevel="1"/>
    <col min="56" max="59" width="17.28515625" style="13" customWidth="1"/>
    <col min="60" max="60" width="17.28515625" style="37" customWidth="1"/>
    <col min="61" max="65" width="17.28515625" style="3" customWidth="1"/>
    <col min="66" max="67" width="17.28515625" style="38" customWidth="1"/>
    <col min="68" max="74" width="18.140625" style="13" customWidth="1"/>
    <col min="75" max="75" width="18.140625" style="37" customWidth="1"/>
    <col min="76" max="76" width="21.85546875" style="37" customWidth="1"/>
    <col min="77" max="83" width="17.140625" style="13" customWidth="1" outlineLevel="1"/>
    <col min="84" max="84" width="17.140625" style="37" customWidth="1" outlineLevel="1"/>
    <col min="85" max="92" width="16" style="3" customWidth="1" outlineLevel="1"/>
    <col min="93" max="93" width="16" style="38" customWidth="1" outlineLevel="1"/>
    <col min="94" max="94" width="20.42578125" style="38" customWidth="1" outlineLevel="1"/>
    <col min="95" max="95" width="17" style="38" customWidth="1" outlineLevel="1"/>
    <col min="96" max="104" width="17" style="13" customWidth="1" outlineLevel="1"/>
    <col min="105" max="105" width="20.5703125" style="13" customWidth="1" outlineLevel="1"/>
    <col min="106" max="106" width="15.42578125" style="13" customWidth="1" outlineLevel="1" collapsed="1"/>
    <col min="107" max="108" width="21.28515625" style="13" customWidth="1" outlineLevel="1"/>
    <col min="109" max="114" width="22.7109375" style="43" customWidth="1" outlineLevel="1"/>
    <col min="115" max="115" width="20.5703125" style="43" bestFit="1" customWidth="1"/>
    <col min="116" max="118" width="20.5703125" style="43" customWidth="1"/>
    <col min="119" max="119" width="21.42578125" style="3" bestFit="1" customWidth="1"/>
    <col min="120" max="120" width="8" style="3" bestFit="1" customWidth="1"/>
    <col min="121" max="121" width="11.5703125" style="3" customWidth="1"/>
    <col min="122" max="122" width="13" style="3" customWidth="1"/>
    <col min="123" max="123" width="11.5703125" style="3" customWidth="1"/>
    <col min="124" max="124" width="23.85546875" style="3" customWidth="1"/>
    <col min="125" max="125" width="10" style="3"/>
    <col min="126" max="126" width="12.7109375" style="3" customWidth="1"/>
    <col min="127" max="127" width="11.5703125" style="3" bestFit="1" customWidth="1"/>
    <col min="128" max="16384" width="10" style="3"/>
  </cols>
  <sheetData>
    <row r="1" spans="1:127" s="212" customFormat="1" ht="25.5">
      <c r="A1" s="64" t="s">
        <v>74</v>
      </c>
      <c r="B1" s="65">
        <f>Year2</f>
        <v>2025</v>
      </c>
      <c r="C1" s="56"/>
      <c r="D1" s="56"/>
      <c r="E1" s="56"/>
      <c r="F1" s="4"/>
      <c r="G1" s="57"/>
      <c r="H1" s="4"/>
      <c r="I1" s="57"/>
      <c r="J1" s="57"/>
      <c r="K1" s="57"/>
      <c r="L1" s="13"/>
      <c r="M1" s="114"/>
      <c r="N1" s="58"/>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972"/>
      <c r="BI1" s="7"/>
      <c r="BJ1" s="7"/>
      <c r="BK1" s="7"/>
      <c r="BL1" s="7"/>
      <c r="BM1" s="7"/>
      <c r="BN1" s="7"/>
      <c r="BO1" s="7"/>
      <c r="BP1" s="1163" t="s">
        <v>882</v>
      </c>
      <c r="BQ1" s="7"/>
      <c r="BR1" s="1163" t="s">
        <v>882</v>
      </c>
      <c r="BS1" s="1163" t="s">
        <v>882</v>
      </c>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3"/>
      <c r="DQ1" s="1165" t="s">
        <v>881</v>
      </c>
      <c r="DR1" s="1165" t="s">
        <v>881</v>
      </c>
      <c r="DS1" s="1164" t="s">
        <v>882</v>
      </c>
    </row>
    <row r="2" spans="1:127" s="8" customFormat="1" ht="13.5" thickBot="1">
      <c r="A2" s="5"/>
      <c r="B2" s="5"/>
      <c r="C2" s="5"/>
      <c r="D2" s="6"/>
      <c r="E2" s="6"/>
      <c r="F2" s="6"/>
      <c r="G2" s="6"/>
      <c r="H2" s="6"/>
      <c r="I2" s="6"/>
      <c r="J2" s="6"/>
      <c r="K2" s="6"/>
      <c r="L2" s="7"/>
      <c r="M2" s="7"/>
      <c r="N2" s="7"/>
      <c r="O2" s="7"/>
      <c r="P2" s="7"/>
      <c r="Q2" s="7"/>
      <c r="R2" s="7"/>
      <c r="S2" s="7"/>
      <c r="T2" s="7"/>
      <c r="U2" s="7"/>
      <c r="V2" s="7"/>
      <c r="W2" s="7"/>
      <c r="X2" s="7"/>
      <c r="Y2" s="7"/>
      <c r="Z2" s="7"/>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98"/>
      <c r="BB2" s="98"/>
      <c r="BC2" s="98"/>
      <c r="BD2" s="7"/>
      <c r="BE2" s="7"/>
      <c r="BF2" s="7"/>
      <c r="BG2" s="7"/>
      <c r="BH2" s="1151">
        <v>3</v>
      </c>
      <c r="BI2" s="7"/>
      <c r="BJ2" s="7"/>
      <c r="BK2" s="7"/>
      <c r="BL2" s="7"/>
      <c r="BM2" s="53">
        <v>11</v>
      </c>
      <c r="BN2" s="7">
        <v>4</v>
      </c>
      <c r="BO2" s="54"/>
      <c r="BP2" s="7"/>
      <c r="BQ2" s="7">
        <v>15</v>
      </c>
      <c r="BR2" s="7"/>
      <c r="BS2" s="7"/>
      <c r="BT2" s="7">
        <v>22</v>
      </c>
      <c r="BU2" s="7">
        <v>23</v>
      </c>
      <c r="BV2" s="7">
        <v>24</v>
      </c>
      <c r="BW2" s="26"/>
      <c r="BX2" s="26"/>
      <c r="BY2" s="7">
        <v>25</v>
      </c>
      <c r="BZ2" s="7">
        <f t="shared" ref="BZ2:CE2" si="0">BY2+1</f>
        <v>26</v>
      </c>
      <c r="CA2" s="7">
        <f t="shared" si="0"/>
        <v>27</v>
      </c>
      <c r="CB2" s="7">
        <f t="shared" si="0"/>
        <v>28</v>
      </c>
      <c r="CC2" s="7">
        <f t="shared" si="0"/>
        <v>29</v>
      </c>
      <c r="CD2" s="7">
        <f t="shared" si="0"/>
        <v>30</v>
      </c>
      <c r="CE2" s="7">
        <f t="shared" si="0"/>
        <v>31</v>
      </c>
      <c r="CF2" s="26"/>
      <c r="CG2" s="53">
        <f>CE2+1</f>
        <v>32</v>
      </c>
      <c r="CH2" s="53">
        <f>CG2+1</f>
        <v>33</v>
      </c>
      <c r="CI2" s="53">
        <f t="shared" ref="CI2:CN2" si="1">CH2+1</f>
        <v>34</v>
      </c>
      <c r="CJ2" s="53">
        <f t="shared" si="1"/>
        <v>35</v>
      </c>
      <c r="CK2" s="53">
        <f t="shared" si="1"/>
        <v>36</v>
      </c>
      <c r="CL2" s="53">
        <f t="shared" si="1"/>
        <v>37</v>
      </c>
      <c r="CM2" s="53">
        <f t="shared" si="1"/>
        <v>38</v>
      </c>
      <c r="CN2" s="53">
        <f t="shared" si="1"/>
        <v>39</v>
      </c>
      <c r="CO2" s="55"/>
      <c r="CP2" s="55"/>
      <c r="CQ2" s="1152">
        <f>CN2+1</f>
        <v>40</v>
      </c>
      <c r="CR2" s="7">
        <f>CQ2+1</f>
        <v>41</v>
      </c>
      <c r="CS2" s="7">
        <f t="shared" ref="CS2:CZ2" si="2">CR2+1</f>
        <v>42</v>
      </c>
      <c r="CT2" s="7">
        <f t="shared" si="2"/>
        <v>43</v>
      </c>
      <c r="CU2" s="7">
        <f t="shared" si="2"/>
        <v>44</v>
      </c>
      <c r="CV2" s="7">
        <f t="shared" si="2"/>
        <v>45</v>
      </c>
      <c r="CW2" s="7">
        <f t="shared" si="2"/>
        <v>46</v>
      </c>
      <c r="CX2" s="7">
        <f t="shared" si="2"/>
        <v>47</v>
      </c>
      <c r="CY2" s="7">
        <f t="shared" si="2"/>
        <v>48</v>
      </c>
      <c r="CZ2" s="7">
        <f t="shared" si="2"/>
        <v>49</v>
      </c>
      <c r="DA2" s="7"/>
      <c r="DB2" s="7"/>
      <c r="DC2" s="7">
        <f>CZ2+1</f>
        <v>50</v>
      </c>
      <c r="DD2" s="7">
        <f>DC2+1</f>
        <v>51</v>
      </c>
      <c r="DE2" s="42"/>
      <c r="DF2" s="7">
        <f>DD2+1</f>
        <v>52</v>
      </c>
      <c r="DG2" s="7">
        <f>DF2+1</f>
        <v>53</v>
      </c>
      <c r="DH2" s="7">
        <f>DG2+1</f>
        <v>54</v>
      </c>
      <c r="DI2" s="7">
        <f>DH2+1</f>
        <v>55</v>
      </c>
      <c r="DJ2" s="42"/>
      <c r="DK2" s="42"/>
      <c r="DL2" s="42"/>
      <c r="DM2" s="42"/>
      <c r="DN2" s="42"/>
    </row>
    <row r="3" spans="1:127" s="212" customFormat="1" ht="15.75" customHeight="1">
      <c r="A3" s="1527" t="s">
        <v>76</v>
      </c>
      <c r="B3" s="1528"/>
      <c r="C3" s="1528"/>
      <c r="D3" s="1528"/>
      <c r="E3" s="1528"/>
      <c r="F3" s="1528"/>
      <c r="G3" s="1528"/>
      <c r="H3" s="1528"/>
      <c r="I3" s="1529" t="s">
        <v>82</v>
      </c>
      <c r="J3" s="1529"/>
      <c r="K3" s="1529"/>
      <c r="L3" s="1530" t="s">
        <v>145</v>
      </c>
      <c r="M3" s="1531"/>
      <c r="N3" s="1531"/>
      <c r="O3" s="1531"/>
      <c r="P3" s="1531"/>
      <c r="Q3" s="1531"/>
      <c r="R3" s="1531"/>
      <c r="S3" s="1531"/>
      <c r="T3" s="1531"/>
      <c r="U3" s="1532"/>
      <c r="V3" s="1533" t="s">
        <v>147</v>
      </c>
      <c r="W3" s="1533"/>
      <c r="X3" s="1533"/>
      <c r="Y3" s="1533"/>
      <c r="Z3" s="1533"/>
      <c r="AA3" s="1534" t="s">
        <v>233</v>
      </c>
      <c r="AB3" s="1535"/>
      <c r="AC3" s="1535"/>
      <c r="AD3" s="1536"/>
      <c r="AE3" s="1524" t="s">
        <v>633</v>
      </c>
      <c r="AF3" s="1525"/>
      <c r="AG3" s="1525"/>
      <c r="AH3" s="1526"/>
      <c r="AI3" s="1524" t="s">
        <v>634</v>
      </c>
      <c r="AJ3" s="1525"/>
      <c r="AK3" s="1525"/>
      <c r="AL3" s="1526"/>
      <c r="AM3" s="1524" t="s">
        <v>635</v>
      </c>
      <c r="AN3" s="1525"/>
      <c r="AO3" s="1525"/>
      <c r="AP3" s="1526"/>
      <c r="AQ3" s="1524" t="s">
        <v>636</v>
      </c>
      <c r="AR3" s="1525"/>
      <c r="AS3" s="1525"/>
      <c r="AT3" s="1526"/>
      <c r="AU3" s="1524" t="s">
        <v>637</v>
      </c>
      <c r="AV3" s="1525"/>
      <c r="AW3" s="1525"/>
      <c r="AX3" s="1526"/>
      <c r="AY3" s="1524" t="s">
        <v>639</v>
      </c>
      <c r="AZ3" s="1526"/>
      <c r="BA3" s="1524" t="s">
        <v>638</v>
      </c>
      <c r="BB3" s="1525"/>
      <c r="BC3" s="1526"/>
      <c r="BD3" s="1541" t="s">
        <v>153</v>
      </c>
      <c r="BE3" s="1542"/>
      <c r="BF3" s="1542"/>
      <c r="BG3" s="1542"/>
      <c r="BH3" s="1543"/>
      <c r="BI3" s="1508" t="s">
        <v>155</v>
      </c>
      <c r="BJ3" s="1509"/>
      <c r="BK3" s="1509"/>
      <c r="BL3" s="1509"/>
      <c r="BM3" s="1509"/>
      <c r="BN3" s="1510"/>
      <c r="BO3" s="158" t="s">
        <v>182</v>
      </c>
      <c r="BP3" s="1511" t="s">
        <v>154</v>
      </c>
      <c r="BQ3" s="1512"/>
      <c r="BR3" s="1512"/>
      <c r="BS3" s="1512"/>
      <c r="BT3" s="1512"/>
      <c r="BU3" s="1512"/>
      <c r="BV3" s="1512"/>
      <c r="BW3" s="1513"/>
      <c r="BX3" s="159" t="s">
        <v>80</v>
      </c>
      <c r="BY3" s="1514" t="s">
        <v>157</v>
      </c>
      <c r="BZ3" s="1515"/>
      <c r="CA3" s="1515"/>
      <c r="CB3" s="1515"/>
      <c r="CC3" s="1515"/>
      <c r="CD3" s="1515"/>
      <c r="CE3" s="1515"/>
      <c r="CF3" s="1516"/>
      <c r="CG3" s="1517" t="s">
        <v>158</v>
      </c>
      <c r="CH3" s="1517"/>
      <c r="CI3" s="1517"/>
      <c r="CJ3" s="1517"/>
      <c r="CK3" s="1517"/>
      <c r="CL3" s="1517"/>
      <c r="CM3" s="1517"/>
      <c r="CN3" s="1517"/>
      <c r="CO3" s="1517"/>
      <c r="CP3" s="159" t="s">
        <v>208</v>
      </c>
      <c r="CQ3" s="1518" t="s">
        <v>381</v>
      </c>
      <c r="CR3" s="1519"/>
      <c r="CS3" s="1519"/>
      <c r="CT3" s="1519"/>
      <c r="CU3" s="1519"/>
      <c r="CV3" s="1519"/>
      <c r="CW3" s="1519"/>
      <c r="CX3" s="1519"/>
      <c r="CY3" s="1519"/>
      <c r="CZ3" s="1520"/>
      <c r="DA3" s="159" t="s">
        <v>80</v>
      </c>
      <c r="DB3" s="1537" t="s">
        <v>648</v>
      </c>
      <c r="DC3" s="1537"/>
      <c r="DD3" s="1537"/>
      <c r="DE3" s="1537"/>
      <c r="DF3" s="1538" t="s">
        <v>652</v>
      </c>
      <c r="DG3" s="1539"/>
      <c r="DH3" s="1539"/>
      <c r="DI3" s="1539"/>
      <c r="DJ3" s="1540"/>
      <c r="DK3" s="1182" t="s">
        <v>117</v>
      </c>
      <c r="DL3" s="1185" t="s">
        <v>117</v>
      </c>
      <c r="DM3" s="1186" t="s">
        <v>117</v>
      </c>
      <c r="DN3" s="1183" t="s">
        <v>117</v>
      </c>
      <c r="DO3" s="1521" t="s">
        <v>867</v>
      </c>
      <c r="DP3" s="1522"/>
      <c r="DQ3" s="1522"/>
      <c r="DR3" s="1522"/>
      <c r="DS3" s="1522"/>
      <c r="DT3" s="1522"/>
      <c r="DU3" s="1522"/>
      <c r="DV3" s="1522"/>
      <c r="DW3" s="1523"/>
    </row>
    <row r="4" spans="1:127" s="213" customFormat="1" ht="63.75">
      <c r="A4" s="218" t="s">
        <v>5</v>
      </c>
      <c r="B4" s="219" t="s">
        <v>6</v>
      </c>
      <c r="C4" s="219" t="s">
        <v>272</v>
      </c>
      <c r="D4" s="49" t="s">
        <v>7</v>
      </c>
      <c r="E4" s="219" t="s">
        <v>886</v>
      </c>
      <c r="F4" s="49" t="s">
        <v>8</v>
      </c>
      <c r="G4" s="50" t="s">
        <v>78</v>
      </c>
      <c r="H4" s="49" t="s">
        <v>77</v>
      </c>
      <c r="I4" s="51" t="s">
        <v>217</v>
      </c>
      <c r="J4" s="51" t="s">
        <v>218</v>
      </c>
      <c r="K4" s="51" t="s">
        <v>219</v>
      </c>
      <c r="L4" s="52" t="s">
        <v>225</v>
      </c>
      <c r="M4" s="52" t="s">
        <v>162</v>
      </c>
      <c r="N4" s="52" t="s">
        <v>274</v>
      </c>
      <c r="O4" s="52" t="s">
        <v>163</v>
      </c>
      <c r="P4" s="59" t="s">
        <v>164</v>
      </c>
      <c r="Q4" s="60" t="s">
        <v>148</v>
      </c>
      <c r="R4" s="92" t="s">
        <v>149</v>
      </c>
      <c r="S4" s="92" t="s">
        <v>150</v>
      </c>
      <c r="T4" s="92" t="s">
        <v>151</v>
      </c>
      <c r="U4" s="93" t="s">
        <v>152</v>
      </c>
      <c r="V4" s="61" t="s">
        <v>79</v>
      </c>
      <c r="W4" s="62" t="s">
        <v>192</v>
      </c>
      <c r="X4" s="62" t="s">
        <v>190</v>
      </c>
      <c r="Y4" s="62" t="s">
        <v>209</v>
      </c>
      <c r="Z4" s="62" t="s">
        <v>191</v>
      </c>
      <c r="AA4" s="79" t="s">
        <v>202</v>
      </c>
      <c r="AB4" s="79" t="s">
        <v>203</v>
      </c>
      <c r="AC4" s="79" t="s">
        <v>194</v>
      </c>
      <c r="AD4" s="79" t="s">
        <v>195</v>
      </c>
      <c r="AE4" s="63" t="s">
        <v>204</v>
      </c>
      <c r="AF4" s="63" t="s">
        <v>205</v>
      </c>
      <c r="AG4" s="63" t="s">
        <v>196</v>
      </c>
      <c r="AH4" s="63" t="s">
        <v>197</v>
      </c>
      <c r="AI4" s="115" t="s">
        <v>206</v>
      </c>
      <c r="AJ4" s="115" t="s">
        <v>207</v>
      </c>
      <c r="AK4" s="115" t="s">
        <v>198</v>
      </c>
      <c r="AL4" s="115" t="s">
        <v>199</v>
      </c>
      <c r="AM4" s="63" t="s">
        <v>254</v>
      </c>
      <c r="AN4" s="63" t="s">
        <v>255</v>
      </c>
      <c r="AO4" s="63" t="s">
        <v>256</v>
      </c>
      <c r="AP4" s="63" t="s">
        <v>257</v>
      </c>
      <c r="AQ4" s="115" t="s">
        <v>260</v>
      </c>
      <c r="AR4" s="115" t="s">
        <v>261</v>
      </c>
      <c r="AS4" s="115" t="s">
        <v>262</v>
      </c>
      <c r="AT4" s="115" t="s">
        <v>263</v>
      </c>
      <c r="AU4" s="63" t="s">
        <v>264</v>
      </c>
      <c r="AV4" s="63" t="s">
        <v>265</v>
      </c>
      <c r="AW4" s="63" t="s">
        <v>266</v>
      </c>
      <c r="AX4" s="63" t="s">
        <v>267</v>
      </c>
      <c r="AY4" s="115" t="s">
        <v>275</v>
      </c>
      <c r="AZ4" s="115" t="s">
        <v>276</v>
      </c>
      <c r="BA4" s="99" t="s">
        <v>259</v>
      </c>
      <c r="BB4" s="116" t="s">
        <v>200</v>
      </c>
      <c r="BC4" s="99" t="s">
        <v>201</v>
      </c>
      <c r="BD4" s="59" t="s">
        <v>171</v>
      </c>
      <c r="BE4" s="59" t="s">
        <v>172</v>
      </c>
      <c r="BF4" s="59" t="s">
        <v>173</v>
      </c>
      <c r="BG4" s="59" t="s">
        <v>174</v>
      </c>
      <c r="BH4" s="67" t="s">
        <v>429</v>
      </c>
      <c r="BI4" s="72" t="s">
        <v>175</v>
      </c>
      <c r="BJ4" s="72" t="s">
        <v>176</v>
      </c>
      <c r="BK4" s="72" t="s">
        <v>177</v>
      </c>
      <c r="BL4" s="72" t="s">
        <v>178</v>
      </c>
      <c r="BM4" s="606" t="s">
        <v>640</v>
      </c>
      <c r="BN4" s="68" t="s">
        <v>179</v>
      </c>
      <c r="BO4" s="69" t="s">
        <v>180</v>
      </c>
      <c r="BP4" s="76" t="s">
        <v>183</v>
      </c>
      <c r="BQ4" s="77" t="s">
        <v>185</v>
      </c>
      <c r="BR4" s="77" t="s">
        <v>184</v>
      </c>
      <c r="BS4" s="245" t="s">
        <v>507</v>
      </c>
      <c r="BT4" s="245" t="s">
        <v>506</v>
      </c>
      <c r="BU4" s="77" t="s">
        <v>187</v>
      </c>
      <c r="BV4" s="77" t="s">
        <v>188</v>
      </c>
      <c r="BW4" s="70" t="s">
        <v>181</v>
      </c>
      <c r="BX4" s="71" t="s">
        <v>186</v>
      </c>
      <c r="BY4" s="78" t="str">
        <f>Lookups!E108</f>
        <v>NG - Res Non Heating</v>
      </c>
      <c r="BZ4" s="78" t="str">
        <f>Lookups!E106</f>
        <v>NG - Res Hot Water</v>
      </c>
      <c r="CA4" s="78" t="str">
        <f>Lookups!E107</f>
        <v>NG - Res Heating</v>
      </c>
      <c r="CB4" s="78" t="str">
        <f>Lookups!E105</f>
        <v>NG - Res All</v>
      </c>
      <c r="CC4" s="78" t="str">
        <f>Lookups!E109</f>
        <v>NG - C&amp; I Gas Non Heating</v>
      </c>
      <c r="CD4" s="78" t="str">
        <f>Lookups!E110</f>
        <v>NG - C&amp;I Gas Heat</v>
      </c>
      <c r="CE4" s="78" t="str">
        <f>Lookups!E111</f>
        <v>NG - C&amp;I Gas All</v>
      </c>
      <c r="CF4" s="73" t="s">
        <v>189</v>
      </c>
      <c r="CG4" s="79" t="s">
        <v>86</v>
      </c>
      <c r="CH4" s="79" t="s">
        <v>115</v>
      </c>
      <c r="CI4" s="79" t="s">
        <v>220</v>
      </c>
      <c r="CJ4" s="79" t="s">
        <v>221</v>
      </c>
      <c r="CK4" s="79" t="s">
        <v>222</v>
      </c>
      <c r="CL4" s="79" t="s">
        <v>114</v>
      </c>
      <c r="CM4" s="79" t="s">
        <v>224</v>
      </c>
      <c r="CN4" s="79" t="s">
        <v>223</v>
      </c>
      <c r="CO4" s="74" t="s">
        <v>156</v>
      </c>
      <c r="CP4" s="71" t="s">
        <v>193</v>
      </c>
      <c r="CQ4" s="80" t="str">
        <f>Lookups!E112</f>
        <v>Fuel Oil - Residential Distillate</v>
      </c>
      <c r="CR4" s="80" t="str">
        <f>Lookups!E113</f>
        <v>Fuel Oil - Com Fuel</v>
      </c>
      <c r="CS4" s="80" t="str">
        <f>Lookups!E114</f>
        <v>Fuel Oil - Industrial</v>
      </c>
      <c r="CT4" s="610" t="s">
        <v>603</v>
      </c>
      <c r="CU4" s="80" t="str">
        <f>Lookups!E115</f>
        <v>Kerosene</v>
      </c>
      <c r="CV4" s="80" t="str">
        <f>Lookups!E116</f>
        <v>Propane</v>
      </c>
      <c r="CW4" s="80" t="str">
        <f>Lookups!E117</f>
        <v>Cord Wood</v>
      </c>
      <c r="CX4" s="162" t="str">
        <f>Lookups!E118</f>
        <v>Pellet Wood</v>
      </c>
      <c r="CY4" s="80" t="str">
        <f>Lookups!E119</f>
        <v>Res Water</v>
      </c>
      <c r="CZ4" s="163" t="str">
        <f>Lookups!E120</f>
        <v>C&amp;I Water</v>
      </c>
      <c r="DA4" s="71" t="s">
        <v>159</v>
      </c>
      <c r="DB4" s="217" t="s">
        <v>427</v>
      </c>
      <c r="DC4" s="217" t="s">
        <v>515</v>
      </c>
      <c r="DD4" s="616" t="s">
        <v>524</v>
      </c>
      <c r="DE4" s="75" t="s">
        <v>428</v>
      </c>
      <c r="DF4" s="613" t="s">
        <v>653</v>
      </c>
      <c r="DG4" s="613" t="s">
        <v>654</v>
      </c>
      <c r="DH4" s="613" t="s">
        <v>655</v>
      </c>
      <c r="DI4" s="613" t="s">
        <v>656</v>
      </c>
      <c r="DJ4" s="614" t="s">
        <v>657</v>
      </c>
      <c r="DK4" s="1181" t="s">
        <v>895</v>
      </c>
      <c r="DL4" s="1187" t="s">
        <v>896</v>
      </c>
      <c r="DM4" s="1188" t="s">
        <v>897</v>
      </c>
      <c r="DN4" s="1184" t="s">
        <v>898</v>
      </c>
      <c r="DO4" s="965" t="s">
        <v>796</v>
      </c>
      <c r="DP4" s="967" t="s">
        <v>797</v>
      </c>
      <c r="DQ4" s="969" t="s">
        <v>883</v>
      </c>
      <c r="DR4" s="969" t="s">
        <v>884</v>
      </c>
      <c r="DS4" s="969" t="s">
        <v>885</v>
      </c>
      <c r="DT4" s="969" t="s">
        <v>667</v>
      </c>
      <c r="DU4" s="967" t="s">
        <v>798</v>
      </c>
      <c r="DV4" s="967" t="s">
        <v>799</v>
      </c>
      <c r="DW4" s="967" t="s">
        <v>879</v>
      </c>
    </row>
    <row r="5" spans="1:127">
      <c r="A5" s="160" t="str">
        <f>IF(ADRYr2!$B5=0,"",ADRYr2!A5)</f>
        <v>A - Residential</v>
      </c>
      <c r="B5" s="9" t="str">
        <f>IF(ADRYr2!$B5=0,"",ADRYr2!B5)</f>
        <v>A5 - Residential Active Demand Response</v>
      </c>
      <c r="C5" s="9" t="str">
        <f>IF(ADRYr2!$B5=0,"",ADRYr2!C5)</f>
        <v>A5a - Residential Active Demand Response</v>
      </c>
      <c r="D5" s="9" t="str">
        <f>IF(ADRYr2!$B5=0,"",ADRYr2!D5)</f>
        <v>Direct Load Control Targeted Dispatch Upfront/Annual Incentive Summer</v>
      </c>
      <c r="E5" s="9" t="str">
        <f>IF(ADRYr2!$B5=0,"",ADRYr2!E5)</f>
        <v>E21A5a001</v>
      </c>
      <c r="F5" s="11" t="str">
        <f>IF(ADRYr2!$B5=0,"",ADRYr2!F5)</f>
        <v>Behavior</v>
      </c>
      <c r="G5" s="12">
        <f>IF(ADRYr2!$G5&lt;&gt;0,ADRYr2!G5,"")</f>
        <v>787.5</v>
      </c>
      <c r="H5" s="960">
        <f>IF($G5="","",ROUND(ADRYr2!H5,0))</f>
        <v>1</v>
      </c>
      <c r="I5" s="47">
        <f>IF($G5="","",ADRYr2!I5*ADRYr2!P5*G5)</f>
        <v>41343.75</v>
      </c>
      <c r="J5" s="47">
        <f>IF($G5="","",ADRYr2!J5*G5)</f>
        <v>41343.75</v>
      </c>
      <c r="K5" s="47">
        <f>IF($G5="","",I5-J5)</f>
        <v>0</v>
      </c>
      <c r="L5" s="27">
        <f>IF($G5="","",ADRYr2!V5*G5/1000)</f>
        <v>0</v>
      </c>
      <c r="M5" s="27">
        <f>IF($G5="","",L5*ADRYr2!$Q5*ADRYr2!$R5)</f>
        <v>0</v>
      </c>
      <c r="N5" s="27">
        <f>IFERROR(L5*H5,"")</f>
        <v>0</v>
      </c>
      <c r="O5" s="27">
        <f>IF($G5="","",M5*$H5)</f>
        <v>0</v>
      </c>
      <c r="P5" s="27">
        <f>IF($G5="","",M5*ADRYr2!P5)</f>
        <v>0</v>
      </c>
      <c r="Q5" s="27">
        <f>IF($G5="","",P5*$H5)</f>
        <v>0</v>
      </c>
      <c r="R5" s="27">
        <f>IF($G5="","",$Q5*ADRYr2!Z5)</f>
        <v>0</v>
      </c>
      <c r="S5" s="27">
        <f>IF($G5="","",$Q5*ADRYr2!AA5)</f>
        <v>0</v>
      </c>
      <c r="T5" s="27">
        <f>IF($G5="","",$Q5*ADRYr2!AB5)</f>
        <v>0</v>
      </c>
      <c r="U5" s="27">
        <f>IF($G5="","",$Q5*ADRYr2!AC5)</f>
        <v>0</v>
      </c>
      <c r="V5" s="27">
        <f>IF($G5="","",G5*ADRYr2!$AD5*ADRYr2!$P5*ADRYr2!$Q5)</f>
        <v>669.9</v>
      </c>
      <c r="W5" s="27">
        <f>IF($G5="","",$G5*ADRYr2!$AD5*ADRYr2!$AF5*ADRYr2!Q5*ADRYr2!$S5)</f>
        <v>0</v>
      </c>
      <c r="X5" s="27">
        <f>IF($G5="","",$G5*ADRYr2!$AD5*ADRYr2!$AF5*ADRYr2!P5*ADRYr2!Q5*ADRYr2!$S5)</f>
        <v>0</v>
      </c>
      <c r="Y5" s="27">
        <f>IF($G5="","",$G5*ADRYr2!$AD5*ADRYr2!$AE5*ADRYr2!Q5*ADRYr2!$T5)</f>
        <v>669.9</v>
      </c>
      <c r="Z5" s="27">
        <f>IF($G5="","",$G5*ADRYr2!$AD5*ADRYr2!$AE5*ADRYr2!P5*ADRYr2!Q5*ADRYr2!$T5)</f>
        <v>669.9</v>
      </c>
      <c r="AA5" s="45">
        <f>IF($G5="","",$G5*ADRYr2!$Q5*ADRYr2!$U5*(IF(IFERROR(SEARCH("NG", ADRYr2!$AI5),0),ADRYr2!$AJ5,0)+IF(IFERROR(SEARCH("NG", ADRYr2!$AK5),0),ADRYr2!$AL5,0)+IF(IFERROR(SEARCH("NG", ADRYr2!$AM5),0),ADRYr2!$AN5,0)))</f>
        <v>0</v>
      </c>
      <c r="AB5" s="45">
        <f>IF($G5="","",AA5*$H5)</f>
        <v>0</v>
      </c>
      <c r="AC5" s="45">
        <f>IF($G5="",0,AA5*ADRYr2!$P5)</f>
        <v>0</v>
      </c>
      <c r="AD5" s="45">
        <f>IF($G5="","",AC5*$H5)</f>
        <v>0</v>
      </c>
      <c r="AE5" s="45">
        <f>IF($G5="","",$G5*ADRYr2!$Q5*ADRYr2!$U5*(IF(IFERROR(SEARCH("Oil", ADRYr2!$AI5), 0),ADRYr2!$AJ5,0)+IF(IFERROR(SEARCH("Oil", ADRYr2!$AK5), 0),ADRYr2!$AL5,0)+IF(IFERROR(SEARCH("Oil", ADRYr2!$AM5), 0),ADRYr2!$AN5,0)))</f>
        <v>0</v>
      </c>
      <c r="AF5" s="45">
        <f>IF($G5="","",AE5*$H5)</f>
        <v>0</v>
      </c>
      <c r="AG5" s="45">
        <f>IF($G5="",0,AE5*ADRYr2!$P5)</f>
        <v>0</v>
      </c>
      <c r="AH5" s="45">
        <f>IF($G5="","",AG5*$H5)</f>
        <v>0</v>
      </c>
      <c r="AI5" s="45">
        <f>IF($G5="","",$G5*ADRYr2!$Q5*ADRYr2!$U5*(IF(ADRYr2!$AI5=Lookups!$E$116,ADRYr2!$AJ5,IF(ADRYr2!$AK5=Lookups!$E$116,ADRYr2!$AL5,IF(ADRYr2!$AM5=Lookups!$E$116,ADRYr2!$AN5,0)))))</f>
        <v>0</v>
      </c>
      <c r="AJ5" s="45">
        <f>IF($G5="","",AI5*$H5)</f>
        <v>0</v>
      </c>
      <c r="AK5" s="45">
        <f>IF($G5="",0,AI5*ADRYr2!$P5)</f>
        <v>0</v>
      </c>
      <c r="AL5" s="45">
        <f>IF($G5="","",AK5*$H5)</f>
        <v>0</v>
      </c>
      <c r="AM5" s="45">
        <f>IF($G5="","",$G5*ADRYr2!$Q5*ADRYr2!$U5*(IF(ADRYr2!$AI5=Lookups!$E$115,ADRYr2!$AJ5,IF(ADRYr2!$AK5=Lookups!$E$115,ADRYr2!$AL5,IF(ADRYr2!$AM5=Lookups!$E$115,ADRYr2!$AN5,0)))))</f>
        <v>0</v>
      </c>
      <c r="AN5" s="45">
        <f>IF($G5="","",AM5*$H5)</f>
        <v>0</v>
      </c>
      <c r="AO5" s="45">
        <f>IF($G5="",0,AM5*ADRYr2!$P5)</f>
        <v>0</v>
      </c>
      <c r="AP5" s="45">
        <f>IF($G5="","",AO5*$H5)</f>
        <v>0</v>
      </c>
      <c r="AQ5" s="45">
        <f>IF($G5="","",$G5*ADRYr2!$Q5*ADRYr2!$U5*(IF(ADRYr2!$AI5=Lookups!$E$117,ADRYr2!$AJ5,IF(ADRYr2!$AK5=Lookups!$E$117,ADRYr2!$AL5,IF(ADRYr2!$AM5=Lookups!$E$117,ADRYr2!$AN5,0)))))</f>
        <v>0</v>
      </c>
      <c r="AR5" s="45">
        <f>IF($G5="","",AQ5*$H5)</f>
        <v>0</v>
      </c>
      <c r="AS5" s="45">
        <f>IF($G5="","",AQ5*ADRYr2!$P5)</f>
        <v>0</v>
      </c>
      <c r="AT5" s="45">
        <f>IF($G5="","",AS5*$H5)</f>
        <v>0</v>
      </c>
      <c r="AU5" s="45">
        <f>IF($G5="","",$G5*ADRYr2!$Q5*ADRYr2!$U5*(IF(ADRYr2!$AI5=Lookups!$E$118,ADRYr2!$AJ5,IF(ADRYr2!$AK5=Lookups!$E$118,ADRYr2!$AL5,IF(ADRYr2!$AM5=Lookups!$E$118,ADRYr2!$AN5,0)))))</f>
        <v>0</v>
      </c>
      <c r="AV5" s="45">
        <f>IF($G5="","",AU5*$H5)</f>
        <v>0</v>
      </c>
      <c r="AW5" s="45">
        <f>IF($G5="","",AU5*ADRYr2!$P5)</f>
        <v>0</v>
      </c>
      <c r="AX5" s="45">
        <f>IF($G5="","",AW5*$H5)</f>
        <v>0</v>
      </c>
      <c r="AY5" s="45">
        <f>SUM(AC5,AG5,AK5,AO5,AS5,AW5)</f>
        <v>0</v>
      </c>
      <c r="AZ5" s="45">
        <f>SUM(AD5,AH5,AL5,AP5,AT5,AX5)</f>
        <v>0</v>
      </c>
      <c r="BA5" s="101">
        <f>IF($G5="","",$G5*ADRYr2!$P5*ADRYr2!$Q5*ADRYr2!$U5*ADRYr2!AO5)</f>
        <v>0</v>
      </c>
      <c r="BB5" s="102">
        <f>IF($G5="","",$G5*ADRYr2!$P5*ADRYr2!$Q5*ADRYr2!$U5*ADRYr2!AP5)</f>
        <v>0</v>
      </c>
      <c r="BC5" s="100">
        <f>IF($G5="","",SUM(BA5:BB5)*$H5)</f>
        <v>0</v>
      </c>
      <c r="BD5" s="961"/>
      <c r="BE5" s="961"/>
      <c r="BF5" s="961"/>
      <c r="BG5" s="961"/>
      <c r="BH5" s="962">
        <f t="shared" ref="BH5:BH50" si="3">IF($G5="","",((1+$DW5)*INDEX(avoidedcosttblADM,MATCH($DT5,avoidedcosttblADMkey,0),BH$2)*$P5*1000))</f>
        <v>0</v>
      </c>
      <c r="BI5" s="961"/>
      <c r="BJ5" s="961"/>
      <c r="BK5" s="961"/>
      <c r="BL5" s="961"/>
      <c r="BM5" s="30">
        <f t="shared" ref="BM5:BM50" si="4">IF($G5="","",(1+AveLoss)*((INDEX(avoidedcosttbl2,$H5,BM$2))+(($H5-ROUNDDOWN($H5,0))*((INDEX(avoidedcosttbl2,ROUNDUP($H5,0),BM$2))-(INDEX(avoidedcosttbl2,ROUNDDOWN($H5,0),BM$2)))))*$P5*1000)</f>
        <v>0</v>
      </c>
      <c r="BN5" s="963">
        <f t="shared" ref="BN5:BN50" si="5">IF($G5="","",((1+$DW5)*INDEX(avoidedcosttblADM,MATCH($DT5,avoidedcosttblADMkey,0),BN$2)*$P5*1000)+BM5)</f>
        <v>0</v>
      </c>
      <c r="BO5" s="31">
        <f>IF($G5="","",SUM(BH5,BN5))</f>
        <v>0</v>
      </c>
      <c r="BP5" s="964">
        <f t="shared" ref="BP5:BP50" si="6">IF($G5="","",(1+SumPeakEnergyLL)*$Z5*$DV5*IF($DP5="No",
INDEX(avoidedcosttblADMcapYr2,1,$H5)+(($H5-ROUNDDOWN($H5,0))*(INDEX(avoidedcosttblADMcapYr2,ROUNDUP($H5,0),1)-(INDEX(avoidedcosttblADMcapYr2,ROUNDDOWN($H5,0),1)))),
INDEX(avoidedcosttbl2,$H5,$DQ5)+(($H5-ROUNDDOWN($H5,0))*(INDEX(avoidedcosttbl2,ROUNDUP($H5,0),$DQ5)-(INDEX(avoidedcosttbl2,ROUNDDOWN($H5,0),$DQ5))))))</f>
        <v>5404.7645746006383</v>
      </c>
      <c r="BQ5" s="28">
        <f t="shared" ref="BQ5:BQ50" si="7">IF($G5="","",(1+WntPeakEnergyLL)*(INDEX(avoidedcosttbl2,$H5,BQ$2)+(($H5-ROUNDDOWN($H5,0))*(INDEX(avoidedcosttbl2,ROUNDUP($H5,0),BQ$2)-(INDEX(avoidedcosttbl2,ROUNDDOWN($H5,0),BQ$2)))))*$X5)</f>
        <v>0</v>
      </c>
      <c r="BR5" s="964">
        <f t="shared" ref="BR5:BR50" si="8">IF($G5="","",(1+SumPeakEnergyLL)*$Z5*$DV5*IF($DP5="No",
INDEX(avoidedcosttblADMcapDRIPEYr2,1,$H5)+(($H5-ROUNDDOWN($H5,0))*(INDEX(avoidedcosttblADMcapDRIPEYr2,ROUNDUP($H5,0),1)-(INDEX(avoidedcosttblADMcapDRIPEYr2,ROUNDDOWN($H5,0),1)))),
INDEX(avoidedcosttbl2,$H5,$DR5)+(($H5-ROUNDDOWN($H5,0))*(INDEX(avoidedcosttbl2,ROUNDUP($H5,0),$DR5)-(INDEX(avoidedcosttbl2,ROUNDDOWN($H5,0),$DR5))))))</f>
        <v>2291.0232006121487</v>
      </c>
      <c r="BS5" s="964">
        <f t="shared" ref="BS5:BS50" si="9">IF($G5="","",(1+SumPeakEnergyLL)*$Z5*(INDEX(avoidedcosttbl2,$H5,$DS5)+(($H5-ROUNDDOWN($H5,0))*(INDEX(avoidedcosttbl2,ROUNDUP($H5,0),$DS5)-(INDEX(avoidedcosttbl2,ROUNDDOWN($H5,0),$DS5))))))</f>
        <v>0</v>
      </c>
      <c r="BT5" s="28">
        <f t="shared" ref="BT5:BV24" si="10">IF($G5="","",(INDEX(avoidedcosttbl2,$H5,BT$2)+(($H5-ROUNDDOWN($H5,0))*(INDEX(avoidedcosttbl2,ROUNDUP($H5,0),BT$2)-(INDEX(avoidedcosttbl2,ROUNDDOWN($H5,0),BT$2)))))*$Z5)</f>
        <v>70403.832412558593</v>
      </c>
      <c r="BU5" s="28">
        <f t="shared" si="10"/>
        <v>0</v>
      </c>
      <c r="BV5" s="28">
        <f t="shared" si="10"/>
        <v>85595.345389943308</v>
      </c>
      <c r="BW5" s="29">
        <f>IF($G5="","",SUM(BP5:BV5))</f>
        <v>163694.96557771467</v>
      </c>
      <c r="BX5" s="29">
        <f>IF($G5="","",BO5+BW5)</f>
        <v>163694.96557771467</v>
      </c>
      <c r="BY5" s="28">
        <f>IF($G5="","",$G5*(IF(ADRYr2!$AI5=BY$4,ADRYr2!$AJ5,IF(ADRYr2!$AK5=BY$4,ADRYr2!$AL5,IF(ADRYr2!$AM5=BY$4,ADRYr2!$AN5,0))))*(INDEX(avoidedcosttbl2,$H5,BY$2)+(($H5-ROUNDDOWN($H5,0))*(INDEX(avoidedcosttbl2,ROUNDUP($H5,0),BY$2)-(INDEX(avoidedcosttbl2,ROUNDDOWN($H5,0),BY$2)))))*ADRYr2!P5*ADRYr2!Q5*ADRYr2!U5)</f>
        <v>0</v>
      </c>
      <c r="BZ5" s="28">
        <f>IF($G5="","",$G5*(IF(ADRYr2!$AI5=BZ$4,ADRYr2!$AJ5,IF(ADRYr2!$AK5=BZ$4,ADRYr2!$AL5,IF(ADRYr2!$AM5=BZ$4,ADRYr2!$AN5,0))))*(INDEX(avoidedcosttbl2,$H5,BZ$2)+(($H5-ROUNDDOWN($H5,0))*(INDEX(avoidedcosttbl2,ROUNDUP($H5,0),BZ$2)-(INDEX(avoidedcosttbl2,ROUNDDOWN($H5,0),BZ$2)))))*ADRYr2!P5*ADRYr2!Q5*ADRYr2!U5)</f>
        <v>0</v>
      </c>
      <c r="CA5" s="28">
        <f>IF($G5="","",$G5*(IF(ADRYr2!$AI5=CA$4,ADRYr2!$AJ5,IF(ADRYr2!$AK5=CA$4,ADRYr2!$AL5,IF(ADRYr2!$AM5=CA$4,ADRYr2!$AN5,0))))*(INDEX(avoidedcosttbl2,$H5,CA$2)+(($H5-ROUNDDOWN($H5,0))*(INDEX(avoidedcosttbl2,ROUNDUP($H5,0),CA$2)-(INDEX(avoidedcosttbl2,ROUNDDOWN($H5,0),CA$2)))))*ADRYr2!P5*ADRYr2!Q5*ADRYr2!U5)</f>
        <v>0</v>
      </c>
      <c r="CB5" s="28">
        <f>IF($G5="","",$G5*(IF(ADRYr2!$AI5=CB$4,ADRYr2!$AJ5,IF(ADRYr2!$AK5=CB$4,ADRYr2!$AL5,IF(ADRYr2!$AM5=CB$4,ADRYr2!$AN5,0))))*(INDEX(avoidedcosttbl2,$H5,CB$2)+(($H5-ROUNDDOWN($H5,0))*(INDEX(avoidedcosttbl2,ROUNDUP($H5,0),CB$2)-(INDEX(avoidedcosttbl2,ROUNDDOWN($H5,0),CB$2)))))*ADRYr2!P5*ADRYr2!Q5*ADRYr2!U5)</f>
        <v>0</v>
      </c>
      <c r="CC5" s="28">
        <f>IF($G5="","",$G5*(IF(ADRYr2!$AI5=CC$4,ADRYr2!$AJ5,IF(ADRYr2!$AK5=CC$4,ADRYr2!$AL5,IF(ADRYr2!$AM5=CC$4,ADRYr2!$AN5,0))))*(INDEX(avoidedcosttbl2,$H5,CC$2)+(($H5-ROUNDDOWN($H5,0))*(INDEX(avoidedcosttbl2,ROUNDUP($H5,0),CC$2)-(INDEX(avoidedcosttbl2,ROUNDDOWN($H5,0),CC$2)))))*ADRYr2!P5*ADRYr2!Q5*ADRYr2!U5)</f>
        <v>0</v>
      </c>
      <c r="CD5" s="28">
        <f>IF($G5="","",$G5*(IF(ADRYr2!$AI5=CD$4,ADRYr2!$AJ5,IF(ADRYr2!$AK5=CD$4,ADRYr2!$AL5,IF(ADRYr2!$AM5=CD$4,ADRYr2!$AN5,0))))*(INDEX(avoidedcosttbl2,$H5,CD$2)+(($H5-ROUNDDOWN($H5,0))*(INDEX(avoidedcosttbl2,ROUNDUP($H5,0),CD$2)-(INDEX(avoidedcosttbl2,ROUNDDOWN($H5,0),CD$2)))))*ADRYr2!P5*ADRYr2!Q5*ADRYr2!U5)</f>
        <v>0</v>
      </c>
      <c r="CE5" s="28">
        <f>IF($G5="","",$G5*(IF(ADRYr2!$AI5=CE$4,ADRYr2!$AJ5,IF(ADRYr2!$AK5=CE$4,ADRYr2!$AL5,IF(ADRYr2!$AM5=CE$4,ADRYr2!$AN5,0))))*(INDEX(avoidedcosttbl2,$H5,CE$2)+(($H5-ROUNDDOWN($H5,0))*(INDEX(avoidedcosttbl2,ROUNDUP($H5,0),CE$2)-(INDEX(avoidedcosttbl2,ROUNDDOWN($H5,0),CE$2)))))*ADRYr2!P5*ADRYr2!Q5*ADRYr2!U5)</f>
        <v>0</v>
      </c>
      <c r="CF5" s="41">
        <f>IF($G5="","",SUM(BY5:CE5))</f>
        <v>0</v>
      </c>
      <c r="CG5" s="30">
        <f t="shared" ref="CG5:CG50" si="11">IF($G5="","",$AC5*((INDEX(avoidedcosttbl2,$H5,CG$2))+(($H5-ROUNDDOWN($H5,0))*((INDEX(avoidedcosttbl2,ROUNDUP($H5,0),CG$2))-(INDEX(avoidedcosttbl2,ROUNDDOWN($H5,0),CG$2))))))</f>
        <v>0</v>
      </c>
      <c r="CH5" s="30">
        <f>IF($G5="","",$G5*(IF(ADRYr2!$AI5=BY$4,ADRYr2!$AJ5,IF(ADRYr2!$AK5=BY$4,ADRYr2!$AL5,IF(ADRYr2!$AM5=BY$4,ADRYr2!$AN5,0))))*(INDEX(avoidedcosttbl2,$H5,CH$2)+(($H5-ROUNDDOWN($H5,0))*(INDEX(avoidedcosttbl2,ROUNDUP($H5,0),CH$2)-(INDEX(avoidedcosttbl2,ROUNDDOWN($H5,0),CH$2)))))*ADRYr2!P5*ADRYr2!Q5*ADRYr2!U5)</f>
        <v>0</v>
      </c>
      <c r="CI5" s="30">
        <f>IF($G5="","",$G5*(IF(ADRYr2!$AI5=BZ$4,ADRYr2!$AJ5,IF(ADRYr2!$AK5=BZ$4,ADRYr2!$AL5,IF(ADRYr2!$AM5=BZ$4,ADRYr2!$AN5,0))))*(INDEX(avoidedcosttbl2,$H5,CI$2)+(($H5-ROUNDDOWN($H5,0))*(INDEX(avoidedcosttbl2,ROUNDUP($H5,0),CI$2)-(INDEX(avoidedcosttbl2,ROUNDDOWN($H5,0),CI$2)))))*ADRYr2!P5*ADRYr2!Q5*ADRYr2!U5)</f>
        <v>0</v>
      </c>
      <c r="CJ5" s="30">
        <f>IF($G5="","",$G5*(IF(ADRYr2!$AI5=CA$4,ADRYr2!$AJ5,IF(ADRYr2!$AK5=CA$4,ADRYr2!$AL5,IF(ADRYr2!$AM5=CA$4,ADRYr2!$AN5,0))))*(INDEX(avoidedcosttbl2,$H5,CJ$2)+(($H5-ROUNDDOWN($H5,0))*(INDEX(avoidedcosttbl2,ROUNDUP($H5,0),CJ$2)-(INDEX(avoidedcosttbl2,ROUNDDOWN($H5,0),CJ$2)))))*ADRYr2!P5*ADRYr2!Q5*ADRYr2!U5)</f>
        <v>0</v>
      </c>
      <c r="CK5" s="30">
        <f>IF($G5="","",$G5*(IF(ADRYr2!$AI5=CB$4,ADRYr2!$AJ5,IF(ADRYr2!$AK5=CB$4,ADRYr2!$AL5,IF(ADRYr2!$AM5=CB$4,ADRYr2!$AN5,0))))*(INDEX(avoidedcosttbl2,$H5,CK$2)+(($H5-ROUNDDOWN($H5,0))*(INDEX(avoidedcosttbl2,ROUNDUP($H5,0),CK$2)-(INDEX(avoidedcosttbl2,ROUNDDOWN($H5,0),CK$2)))))*ADRYr2!P5*ADRYr2!Q5*ADRYr2!U5)</f>
        <v>0</v>
      </c>
      <c r="CL5" s="30">
        <f>IF($G5="","",$G5*(IF(ADRYr2!$AI5=CC$4,ADRYr2!$AJ5,IF(ADRYr2!$AK5=CC$4,ADRYr2!$AL5,IF(ADRYr2!$AM5=CC$4,ADRYr2!$AN5,0))))*(INDEX(avoidedcosttbl2,$H5,CL$2)+(($H5-ROUNDDOWN($H5,0))*(INDEX(avoidedcosttbl2,ROUNDUP($H5,0),CL$2)-(INDEX(avoidedcosttbl2,ROUNDDOWN($H5,0),CL$2)))))*ADRYr2!P5*ADRYr2!Q5*ADRYr2!U5)</f>
        <v>0</v>
      </c>
      <c r="CM5" s="30">
        <f>IF($G5="","",$G5*(IF(ADRYr2!$AI5=CD$4,ADRYr2!$AJ5,IF(ADRYr2!$AK5=CD$4,ADRYr2!$AL5,IF(ADRYr2!$AM5=CD$4,ADRYr2!$AN5,0))))*(INDEX(avoidedcosttbl2,$H5,CM$2)+(($H5-ROUNDDOWN($H5,0))*(INDEX(avoidedcosttbl2,ROUNDUP($H5,0),CM$2)-(INDEX(avoidedcosttbl2,ROUNDDOWN($H5,0),CM$2)))))*ADRYr2!P5*ADRYr2!Q5*ADRYr2!U5)</f>
        <v>0</v>
      </c>
      <c r="CN5" s="30">
        <f>IF($G5="","",$G5*(IF(ADRYr2!$AI5=CE$4,ADRYr2!$AJ5,IF(ADRYr2!$AK5=CE$4,ADRYr2!$AL5,IF(ADRYr2!$AM5=CE$4,ADRYr2!$AN5,0))))*(INDEX(avoidedcosttbl2,$H5,CN$2)+(($H5-ROUNDDOWN($H5,0))*(INDEX(avoidedcosttbl2,ROUNDUP($H5,0),CN$2)-(INDEX(avoidedcosttbl2,ROUNDDOWN($H5,0),CN$2)))))*ADRYr2!P5*ADRYr2!Q5*ADRYr2!U5)</f>
        <v>0</v>
      </c>
      <c r="CO5" s="220">
        <f>IF($G5="","",SUM(CG5:CN5))</f>
        <v>0</v>
      </c>
      <c r="CP5" s="220">
        <f>IF($G5="","",CF5+CO5)</f>
        <v>0</v>
      </c>
      <c r="CQ5" s="157">
        <f>IF($G5="","",$G5*(IF(ADRYr2!$AI5=CQ$4,ADRYr2!$AJ5,IF(ADRYr2!$AK5=CQ$4,ADRYr2!$AL5,IF(ADRYr2!$AM5=CQ$4,ADRYr2!$AN5,0))))*(INDEX(avoidedcosttbl2,$H5,CQ$2)+(($H5-ROUNDDOWN($H5,0))*(INDEX(avoidedcosttbl2,ROUNDUP($H5,0),CQ$2)-(INDEX(avoidedcosttbl2,ROUNDDOWN($H5,0),CQ$2)))))*ADRYr2!$P5*ADRYr2!$Q5*ADRYr2!$U5)</f>
        <v>0</v>
      </c>
      <c r="CR5" s="28">
        <f>IF($G5="","",G5*(IF(ADRYr2!$AI5=CR$4,ADRYr2!$AJ5,IF(ADRYr2!$AK5=CR$4,ADRYr2!$AL5,IF(ADRYr2!$AM5=CR$4,ADRYr2!$AN5,0))))*(INDEX(avoidedcosttbl2,$H5,CR$2)+(($H5-ROUNDDOWN($H5,0))*(INDEX(avoidedcosttbl2,ROUNDUP($H5,0),CR$2)-(INDEX(avoidedcosttbl2,ROUNDDOWN($H5,0),CR$2)))))*ADRYr2!$P5*ADRYr2!$Q5*ADRYr2!$U5)</f>
        <v>0</v>
      </c>
      <c r="CS5" s="28">
        <f>IF($G5="","",G5*(IF(ADRYr2!$AI5=CS$4,ADRYr2!$AJ5,IF(ADRYr2!$AK5=CS$4,ADRYr2!$AL5,IF(ADRYr2!$AM5=CS$4,ADRYr2!$AN5,0))))*(INDEX(avoidedcosttbl2,$H5,CS$2)+(($H5-ROUNDDOWN($H5,0))*(INDEX(avoidedcosttbl2,ROUNDUP($H5,0),CS$2)-(INDEX(avoidedcosttbl2,ROUNDDOWN($H5,0),CS$2)))))*ADRYr2!$P5*ADRYr2!$Q5*ADRYr2!$U5)</f>
        <v>0</v>
      </c>
      <c r="CT5" s="28">
        <f t="shared" ref="CT5:CT50" si="12">IF($G5="","",$AG5*(INDEX(avoidedcosttbl2,$H5,CT$2)+(($H5-ROUNDDOWN($H5,0))*(INDEX(avoidedcosttbl2,ROUNDUP($H5,0),CT$2)-(INDEX(avoidedcosttbl2,ROUNDDOWN($H5,0),CT$2))))))</f>
        <v>0</v>
      </c>
      <c r="CU5" s="28">
        <f>IF($G5="","",G5*(IF(ADRYr2!$AI5=CU$4,ADRYr2!$AJ5,IF(ADRYr2!$AK5=CU$4,ADRYr2!$AL5,IF(ADRYr2!$AM5=CU$4,ADRYr2!$AN5,0))))*(INDEX(avoidedcosttbl2,$H5,CU$2)+(($H5-ROUNDDOWN($H5,0))*(INDEX(avoidedcosttbl2,ROUNDUP($H5,0),CU$2)-(INDEX(avoidedcosttbl2,ROUNDDOWN($H5,0),CU$2)))))*ADRYr2!$P5*ADRYr2!$Q5*ADRYr2!$U5)</f>
        <v>0</v>
      </c>
      <c r="CV5" s="28">
        <f>IF($G5="","",G5*(IF(ADRYr2!$AI5=CV$4,ADRYr2!$AJ5,IF(ADRYr2!$AK5=CV$4,ADRYr2!$AL5,IF(ADRYr2!$AM5=CV$4,ADRYr2!$AN5,0))))*(INDEX(avoidedcosttbl2,$H5,CV$2)+(($H5-ROUNDDOWN($H5,0))*(INDEX(avoidedcosttbl2,ROUNDUP($H5,0),CV$2)-(INDEX(avoidedcosttbl2,ROUNDDOWN($H5,0),CV$2)))))*ADRYr2!$P5*ADRYr2!$Q5*ADRYr2!$U5)</f>
        <v>0</v>
      </c>
      <c r="CW5" s="28">
        <f>IF($G5="","",G5*(IF(ADRYr2!$AI5=CW$4,ADRYr2!$AJ5,IF(ADRYr2!$AK5=CW$4,ADRYr2!$AL5,IF(ADRYr2!$AM5=CW$4,ADRYr2!$AN5,0))))*(INDEX(avoidedcosttbl2,$H5,CW$2)+(($H5-ROUNDDOWN($H5,0))*(INDEX(avoidedcosttbl2,ROUNDUP($H5,0),CW$2)-(INDEX(avoidedcosttbl2,ROUNDDOWN($H5,0),CW$2)))))*ADRYr2!$P5*ADRYr2!$Q5*ADRYr2!$U5)</f>
        <v>0</v>
      </c>
      <c r="CX5" s="28">
        <f>IF($G5="","",G5*(IF(ADRYr2!$AI5=CX$4,ADRYr2!$AJ5,IF(ADRYr2!$AK5=CX$4,ADRYr2!$AL5,IF(ADRYr2!$AM5=CX$4,ADRYr2!$AN5,0))))*(INDEX(avoidedcosttbl2,$H5,CX$2)+(($H5-ROUNDDOWN($H5,0))*(INDEX(avoidedcosttbl2,ROUNDUP($H5,0),CX$2)-(INDEX(avoidedcosttbl2,ROUNDDOWN($H5,0),CX$2)))))*ADRYr2!$P5*ADRYr2!$Q5*ADRYr2!$U5)</f>
        <v>0</v>
      </c>
      <c r="CY5" s="28">
        <f t="shared" ref="CY5:CY50" si="13">IF($G5="","",BA5*(INDEX(avoidedcosttbl2,$H5,CY$2)+(($H5-ROUNDDOWN($H5,0))*(INDEX(avoidedcosttbl2,ROUNDUP($H5,0),CY$2)-(INDEX(avoidedcosttbl2,ROUNDDOWN($H5,0),CY$2))))))</f>
        <v>0</v>
      </c>
      <c r="CZ5" s="32">
        <f t="shared" ref="CZ5:CZ50" si="14">IF($G5="","",BB5*(INDEX(avoidedcosttbl2,$H5,CZ$2)+(($H5-ROUNDDOWN($H5,0))*(INDEX(avoidedcosttbl2,ROUNDUP($H5,0),CZ$2)-(INDEX(avoidedcosttbl2,ROUNDDOWN($H5,0),CZ$2))))))</f>
        <v>0</v>
      </c>
      <c r="DA5" s="84">
        <f>IF($G5="","",SUM(CP5:CZ5))</f>
        <v>0</v>
      </c>
      <c r="DB5" s="81" t="str">
        <f>IF(NEIadder="Yes",IF($G5="","",INDEX(Lookups!$G$70:$G$71,MATCH($A5,Lookups!$E$70:$E$71,0))*(SUM(CP5:CX5,BX5))),"")</f>
        <v/>
      </c>
      <c r="DC5" s="263" t="str">
        <f t="shared" ref="DC5:DC50" si="15">IF(FE="Yes",IF($G5="","", FEpercent*(AC5*NGE+AG5*OilE+AK5*PropE+AO5*KerE)*(INDEX(avoidedcosttbl2,$H5,DC$2)+(($H5-ROUNDDOWN($H5,0))*(INDEX(avoidedcosttbl2,ROUNDUP($H5,0),DC$2)-(INDEX(avoidedcosttbl2,ROUNDDOWN($H5,0),DC$2)))))),"")</f>
        <v/>
      </c>
      <c r="DD5" s="166">
        <f t="shared" ref="DD5:DD50" si="16">IF($G5="","",(AC5*NGCO2+AG5*OilCO2+AK5*PropaneCO2+AO5*KeroseneCO2)/2000*(INDEX(avoidedcosttbl2,$H5,DD$2)+(($H5-ROUNDDOWN($H5,0))*(INDEX(avoidedcosttbl2,ROUNDUP($H5,0),DD$2)-(INDEX(avoidedcosttbl2,ROUNDDOWN($H5,0),DD$2))))))</f>
        <v>0</v>
      </c>
      <c r="DE5" s="82">
        <f>SUM(DB5:DD5)</f>
        <v>0</v>
      </c>
      <c r="DF5" s="615">
        <f>IF($G5="","",(1+WntPeakEnergyLL)*(INDEX(avoidedcosttbl2,$H5,DF$2)+(($H5-ROUNDDOWN($H5,0))*(INDEX(avoidedcosttbl2,ROUNDUP($H5,0),DF$2)-(INDEX(avoidedcosttbl2,ROUNDDOWN($H5,0),DF$2)))))*$P5*1000*ADRYr2!Z5)</f>
        <v>0</v>
      </c>
      <c r="DG5" s="615">
        <f>IF($G5="","",(1+WntOffPeakEnergyLL)*(INDEX(avoidedcosttbl2,$H5,DG$2)+(($H5-ROUNDDOWN($H5,0))*(INDEX(avoidedcosttbl2,ROUNDUP($H5,0),DG$2)-(INDEX(avoidedcosttbl2,ROUNDDOWN($H5,0),DG$2)))))*$P5*1000*ADRYr2!AA5)</f>
        <v>0</v>
      </c>
      <c r="DH5" s="615">
        <f>IF($G5="","",(1+SumPeakEnergyLL)*(INDEX(avoidedcosttbl2,$H5,DH$2)+(($H5-ROUNDDOWN($H5,0))*(INDEX(avoidedcosttbl2,ROUNDUP($H5,0),DH$2)-(INDEX(avoidedcosttbl2,ROUNDDOWN($H5,0),DH$2)))))*$P5*1000*ADRYr2!AB5)</f>
        <v>0</v>
      </c>
      <c r="DI5" s="615">
        <f>IF($G5="","",(1+SumOffPeakEnergyLL)*(INDEX(avoidedcosttbl2,$H5,DI$2)+(($H5-ROUNDDOWN($H5,0))*(INDEX(avoidedcosttbl2,ROUNDUP($H5,0),DI$2)-(INDEX(avoidedcosttbl2,ROUNDDOWN($H5,0),DI$2)))))*$P5*1000*ADRYr2!AC5)</f>
        <v>0</v>
      </c>
      <c r="DJ5" s="29">
        <f>IF($G5="","",SUM(DF5:DI5))</f>
        <v>0</v>
      </c>
      <c r="DK5" s="161">
        <f>IF($G5="","",DE5+DA5+BX5)</f>
        <v>163694.96557771467</v>
      </c>
      <c r="DL5" s="1189">
        <f>IF($G5="","",IF(LEFT(A5,1)="B",DE5+DA5+BX5,DD5+DA5+BX5))</f>
        <v>163694.96557771467</v>
      </c>
      <c r="DM5" s="1189">
        <f>IF($G5="","",BX5)</f>
        <v>163694.96557771467</v>
      </c>
      <c r="DN5" s="43">
        <f>IF($G5="","",DE5+DA5+BX5+DJ5)</f>
        <v>163694.96557771467</v>
      </c>
      <c r="DO5" s="966" t="str">
        <f>IF($G5="","",ADRYr2!AQ5)</f>
        <v>Top 20 All Hours</v>
      </c>
      <c r="DP5" s="968" t="str">
        <f>IF($G5="","",ADRYr2!AR5)</f>
        <v>No</v>
      </c>
      <c r="DQ5" s="970" t="str">
        <f>IF($G5="","",IF($DP5="Yes",COLUMN(AESC!$L$10),IF($DP5="No","Using AvoidedDemand tab",IF($DP5="Mixed",COLUMN(AESC!$N$10)))))</f>
        <v>Using AvoidedDemand tab</v>
      </c>
      <c r="DR5" s="970" t="str">
        <f>IF($G5="","",IF($DP5="Yes",COLUMN(AESC!$P$10),IF($DP5="No","Using AvoidedDemand tab",IF($DP5="Mixed",COLUMN(AESC!$R$10)))))</f>
        <v>Using AvoidedDemand tab</v>
      </c>
      <c r="DS5" s="970">
        <f>IF($G5="","",IF($DP5="Yes",COLUMN(AESC!$S$10),IF($DP5="No",COLUMN(AESC!$T$10),IF($DP5="Mixed",COLUMN(AESC!$U$10)))))</f>
        <v>20</v>
      </c>
      <c r="DT5" s="970" t="str">
        <f>IF($G5="","",$B$1&amp;"-"&amp;DO5&amp;"-"&amp;H5)</f>
        <v>2025-Top 20 All Hours-1</v>
      </c>
      <c r="DU5" s="970" t="str">
        <f>IF($G5="","",ADRYr2!AS5)</f>
        <v>No</v>
      </c>
      <c r="DV5" s="971">
        <f>IF($G5="","",ADRYr2!AT5)</f>
        <v>0.1</v>
      </c>
      <c r="DW5" s="1162">
        <f>IF($G5="","",INDEX(AvoidedEnergy!$H$4:$H$10,MATCH($DO5,AvoidedEnergy!$A$4:$A$10,0)))</f>
        <v>0.09</v>
      </c>
    </row>
    <row r="6" spans="1:127">
      <c r="A6" s="160" t="str">
        <f>IF(ADRYr2!$B6=0,"",ADRYr2!A6)</f>
        <v>A - Residential</v>
      </c>
      <c r="B6" s="9" t="str">
        <f>IF(ADRYr2!$B6=0,"",ADRYr2!B6)</f>
        <v>A5 - Residential Active Demand Response</v>
      </c>
      <c r="C6" s="9" t="str">
        <f>IF(ADRYr2!$B6=0,"",ADRYr2!C6)</f>
        <v>A5a - Residential Active Demand Response</v>
      </c>
      <c r="D6" s="9" t="str">
        <f>IF(ADRYr2!$B6=0,"",ADRYr2!D6)</f>
        <v>Behavior DR</v>
      </c>
      <c r="E6" s="9">
        <f>IF(ADRYr2!$B6=0,"",ADRYr2!E6)</f>
        <v>0</v>
      </c>
      <c r="F6" s="11" t="str">
        <f>IF(ADRYr2!$B6=0,"",ADRYr2!F6)</f>
        <v>Behavior</v>
      </c>
      <c r="G6" s="12" t="str">
        <f>IF(ADRYr2!$G6&lt;&gt;0,ADRYr2!G6,"")</f>
        <v/>
      </c>
      <c r="H6" s="960" t="str">
        <f>IF($G6="","",ROUND(ADRYr2!H6,0))</f>
        <v/>
      </c>
      <c r="I6" s="47" t="str">
        <f>IF($G6="","",ADRYr2!I6*ADRYr2!P6*G6)</f>
        <v/>
      </c>
      <c r="J6" s="47" t="str">
        <f>IF($G6="","",ADRYr2!J6*G6)</f>
        <v/>
      </c>
      <c r="K6" s="47" t="str">
        <f t="shared" ref="K6:K50" si="17">IF($G6="","",I6-J6)</f>
        <v/>
      </c>
      <c r="L6" s="27" t="str">
        <f>IF($G6="","",ADRYr2!V6*G6/1000)</f>
        <v/>
      </c>
      <c r="M6" s="27" t="str">
        <f>IF($G6="","",L6*ADRYr2!$Q6*ADRYr2!$R6)</f>
        <v/>
      </c>
      <c r="N6" s="27" t="str">
        <f t="shared" ref="N6:N50" si="18">IFERROR(L6*H6,"")</f>
        <v/>
      </c>
      <c r="O6" s="27" t="str">
        <f t="shared" ref="O6:O50" si="19">IF($G6="","",M6*$H6)</f>
        <v/>
      </c>
      <c r="P6" s="27" t="str">
        <f>IF($G6="","",M6*ADRYr2!P6)</f>
        <v/>
      </c>
      <c r="Q6" s="27" t="str">
        <f t="shared" ref="Q6:Q50" si="20">IF($G6="","",P6*$H6)</f>
        <v/>
      </c>
      <c r="R6" s="27" t="str">
        <f>IF($G6="","",$Q6*ADRYr2!Z6)</f>
        <v/>
      </c>
      <c r="S6" s="27" t="str">
        <f>IF($G6="","",$Q6*ADRYr2!AA6)</f>
        <v/>
      </c>
      <c r="T6" s="27" t="str">
        <f>IF($G6="","",$Q6*ADRYr2!AB6)</f>
        <v/>
      </c>
      <c r="U6" s="27" t="str">
        <f>IF($G6="","",$Q6*ADRYr2!AC6)</f>
        <v/>
      </c>
      <c r="V6" s="27" t="str">
        <f>IF($G6="","",G6*ADRYr2!$AD6*ADRYr2!$P6*ADRYr2!$Q6)</f>
        <v/>
      </c>
      <c r="W6" s="27" t="str">
        <f>IF($G6="","",$G6*ADRYr2!$AD6*ADRYr2!$AF6*ADRYr2!Q6*ADRYr2!$S6)</f>
        <v/>
      </c>
      <c r="X6" s="27" t="str">
        <f>IF($G6="","",$G6*ADRYr2!$AD6*ADRYr2!$AF6*ADRYr2!P6*ADRYr2!Q6*ADRYr2!$S6)</f>
        <v/>
      </c>
      <c r="Y6" s="27" t="str">
        <f>IF($G6="","",$G6*ADRYr2!$AD6*ADRYr2!$AE6*ADRYr2!Q6*ADRYr2!$T6)</f>
        <v/>
      </c>
      <c r="Z6" s="27" t="str">
        <f>IF($G6="","",$G6*ADRYr2!$AD6*ADRYr2!$AE6*ADRYr2!P6*ADRYr2!Q6*ADRYr2!$T6)</f>
        <v/>
      </c>
      <c r="AA6" s="45" t="str">
        <f>IF($G6="","",$G6*ADRYr2!$Q6*ADRYr2!$U6*(IF(IFERROR(SEARCH("NG", ADRYr2!$AI6),0),ADRYr2!$AJ6,0)+IF(IFERROR(SEARCH("NG", ADRYr2!$AK6),0),ADRYr2!$AL6,0)+IF(IFERROR(SEARCH("NG", ADRYr2!$AM6),0),ADRYr2!$AN6,0)))</f>
        <v/>
      </c>
      <c r="AB6" s="45" t="str">
        <f t="shared" ref="AB6:AB50" si="21">IF($G6="","",AA6*$H6)</f>
        <v/>
      </c>
      <c r="AC6" s="45">
        <f>IF($G6="",0,AA6*ADRYr2!$P6)</f>
        <v>0</v>
      </c>
      <c r="AD6" s="45" t="str">
        <f t="shared" ref="AD6:AD50" si="22">IF($G6="","",AC6*$H6)</f>
        <v/>
      </c>
      <c r="AE6" s="45" t="str">
        <f>IF($G6="","",$G6*ADRYr2!$Q6*ADRYr2!$U6*(IF(IFERROR(SEARCH("Oil", ADRYr2!$AI6), 0),ADRYr2!$AJ6,0)+IF(IFERROR(SEARCH("Oil", ADRYr2!$AK6), 0),ADRYr2!$AL6,0)+IF(IFERROR(SEARCH("Oil", ADRYr2!$AM6), 0),ADRYr2!$AN6,0)))</f>
        <v/>
      </c>
      <c r="AF6" s="45" t="str">
        <f t="shared" ref="AF6:AF50" si="23">IF($G6="","",AE6*$H6)</f>
        <v/>
      </c>
      <c r="AG6" s="45">
        <f>IF($G6="",0,AE6*ADRYr2!$P6)</f>
        <v>0</v>
      </c>
      <c r="AH6" s="45" t="str">
        <f t="shared" ref="AH6:AH50" si="24">IF($G6="","",AG6*$H6)</f>
        <v/>
      </c>
      <c r="AI6" s="45" t="str">
        <f>IF($G6="","",$G6*ADRYr2!$Q6*ADRYr2!$U6*(IF(ADRYr2!$AI6=Lookups!$E$116,ADRYr2!$AJ6,IF(ADRYr2!$AK6=Lookups!$E$116,ADRYr2!$AL6,IF(ADRYr2!$AM6=Lookups!$E$116,ADRYr2!$AN6,0)))))</f>
        <v/>
      </c>
      <c r="AJ6" s="45" t="str">
        <f t="shared" ref="AJ6:AJ50" si="25">IF($G6="","",AI6*$H6)</f>
        <v/>
      </c>
      <c r="AK6" s="45">
        <f>IF($G6="",0,AI6*ADRYr2!$P6)</f>
        <v>0</v>
      </c>
      <c r="AL6" s="45" t="str">
        <f t="shared" ref="AL6:AL50" si="26">IF($G6="","",AK6*$H6)</f>
        <v/>
      </c>
      <c r="AM6" s="45" t="str">
        <f>IF($G6="","",$G6*ADRYr2!$Q6*ADRYr2!$U6*(IF(ADRYr2!$AI6=Lookups!$E$115,ADRYr2!$AJ6,IF(ADRYr2!$AK6=Lookups!$E$115,ADRYr2!$AL6,IF(ADRYr2!$AM6=Lookups!$E$115,ADRYr2!$AN6,0)))))</f>
        <v/>
      </c>
      <c r="AN6" s="45" t="str">
        <f t="shared" ref="AN6:AN50" si="27">IF($G6="","",AM6*$H6)</f>
        <v/>
      </c>
      <c r="AO6" s="45">
        <f>IF($G6="",0,AM6*ADRYr2!$P6)</f>
        <v>0</v>
      </c>
      <c r="AP6" s="45" t="str">
        <f t="shared" ref="AP6:AP50" si="28">IF($G6="","",AO6*$H6)</f>
        <v/>
      </c>
      <c r="AQ6" s="45" t="str">
        <f>IF($G6="","",$G6*ADRYr2!$Q6*ADRYr2!$U6*(IF(ADRYr2!$AI6=Lookups!$E$117,ADRYr2!$AJ6,IF(ADRYr2!$AK6=Lookups!$E$117,ADRYr2!$AL6,IF(ADRYr2!$AM6=Lookups!$E$117,ADRYr2!$AN6,0)))))</f>
        <v/>
      </c>
      <c r="AR6" s="45" t="str">
        <f t="shared" ref="AR6:AR50" si="29">IF($G6="","",AQ6*$H6)</f>
        <v/>
      </c>
      <c r="AS6" s="45" t="str">
        <f>IF($G6="","",AQ6*ADRYr2!$P6)</f>
        <v/>
      </c>
      <c r="AT6" s="45" t="str">
        <f t="shared" ref="AT6:AT50" si="30">IF($G6="","",AS6*$H6)</f>
        <v/>
      </c>
      <c r="AU6" s="45" t="str">
        <f>IF($G6="","",$G6*ADRYr2!$Q6*ADRYr2!$U6*(IF(ADRYr2!$AI6=Lookups!$E$118,ADRYr2!$AJ6,IF(ADRYr2!$AK6=Lookups!$E$118,ADRYr2!$AL6,IF(ADRYr2!$AM6=Lookups!$E$118,ADRYr2!$AN6,0)))))</f>
        <v/>
      </c>
      <c r="AV6" s="45" t="str">
        <f t="shared" ref="AV6:AV50" si="31">IF($G6="","",AU6*$H6)</f>
        <v/>
      </c>
      <c r="AW6" s="45" t="str">
        <f>IF($G6="","",AU6*ADRYr2!$P6)</f>
        <v/>
      </c>
      <c r="AX6" s="45" t="str">
        <f t="shared" ref="AX6:AX50" si="32">IF($G6="","",AW6*$H6)</f>
        <v/>
      </c>
      <c r="AY6" s="45">
        <f t="shared" ref="AY6:AZ21" si="33">SUM(AC6,AG6,AK6,AO6,AS6,AW6)</f>
        <v>0</v>
      </c>
      <c r="AZ6" s="45">
        <f t="shared" si="33"/>
        <v>0</v>
      </c>
      <c r="BA6" s="101" t="str">
        <f>IF($G6="","",$G6*ADRYr2!$P6*ADRYr2!$Q6*ADRYr2!$U6*ADRYr2!AO6)</f>
        <v/>
      </c>
      <c r="BB6" s="102" t="str">
        <f>IF($G6="","",$G6*ADRYr2!$P6*ADRYr2!$Q6*ADRYr2!$U6*ADRYr2!AP6)</f>
        <v/>
      </c>
      <c r="BC6" s="100" t="str">
        <f t="shared" ref="BC6:BC50" si="34">IF($G6="","",SUM(BA6:BB6)*$H6)</f>
        <v/>
      </c>
      <c r="BD6" s="961"/>
      <c r="BE6" s="961"/>
      <c r="BF6" s="961"/>
      <c r="BG6" s="961"/>
      <c r="BH6" s="962" t="str">
        <f t="shared" si="3"/>
        <v/>
      </c>
      <c r="BI6" s="961"/>
      <c r="BJ6" s="961"/>
      <c r="BK6" s="961"/>
      <c r="BL6" s="961"/>
      <c r="BM6" s="30" t="str">
        <f t="shared" si="4"/>
        <v/>
      </c>
      <c r="BN6" s="963" t="str">
        <f t="shared" si="5"/>
        <v/>
      </c>
      <c r="BO6" s="31" t="str">
        <f t="shared" ref="BO6:BO50" si="35">IF($G6="","",SUM(BH6,BN6))</f>
        <v/>
      </c>
      <c r="BP6" s="964" t="str">
        <f t="shared" si="6"/>
        <v/>
      </c>
      <c r="BQ6" s="28" t="str">
        <f t="shared" si="7"/>
        <v/>
      </c>
      <c r="BR6" s="964" t="str">
        <f t="shared" si="8"/>
        <v/>
      </c>
      <c r="BS6" s="964" t="str">
        <f t="shared" si="9"/>
        <v/>
      </c>
      <c r="BT6" s="28" t="str">
        <f t="shared" si="10"/>
        <v/>
      </c>
      <c r="BU6" s="28" t="str">
        <f t="shared" si="10"/>
        <v/>
      </c>
      <c r="BV6" s="28" t="str">
        <f t="shared" si="10"/>
        <v/>
      </c>
      <c r="BW6" s="29" t="str">
        <f t="shared" ref="BW6:BW50" si="36">IF($G6="","",SUM(BP6:BV6))</f>
        <v/>
      </c>
      <c r="BX6" s="29" t="str">
        <f t="shared" ref="BX6:BX50" si="37">IF($G6="","",BO6+BW6)</f>
        <v/>
      </c>
      <c r="BY6" s="28" t="str">
        <f>IF($G6="","",$G6*(IF(ADRYr2!$AI6=BY$4,ADRYr2!$AJ6,IF(ADRYr2!$AK6=BY$4,ADRYr2!$AL6,IF(ADRYr2!$AM6=BY$4,ADRYr2!$AN6,0))))*(INDEX(avoidedcosttbl2,$H6,BY$2)+(($H6-ROUNDDOWN($H6,0))*(INDEX(avoidedcosttbl2,ROUNDUP($H6,0),BY$2)-(INDEX(avoidedcosttbl2,ROUNDDOWN($H6,0),BY$2)))))*ADRYr2!P6*ADRYr2!Q6*ADRYr2!U6)</f>
        <v/>
      </c>
      <c r="BZ6" s="28" t="str">
        <f>IF($G6="","",$G6*(IF(ADRYr2!$AI6=BZ$4,ADRYr2!$AJ6,IF(ADRYr2!$AK6=BZ$4,ADRYr2!$AL6,IF(ADRYr2!$AM6=BZ$4,ADRYr2!$AN6,0))))*(INDEX(avoidedcosttbl2,$H6,BZ$2)+(($H6-ROUNDDOWN($H6,0))*(INDEX(avoidedcosttbl2,ROUNDUP($H6,0),BZ$2)-(INDEX(avoidedcosttbl2,ROUNDDOWN($H6,0),BZ$2)))))*ADRYr2!P6*ADRYr2!Q6*ADRYr2!U6)</f>
        <v/>
      </c>
      <c r="CA6" s="28" t="str">
        <f>IF($G6="","",$G6*(IF(ADRYr2!$AI6=CA$4,ADRYr2!$AJ6,IF(ADRYr2!$AK6=CA$4,ADRYr2!$AL6,IF(ADRYr2!$AM6=CA$4,ADRYr2!$AN6,0))))*(INDEX(avoidedcosttbl2,$H6,CA$2)+(($H6-ROUNDDOWN($H6,0))*(INDEX(avoidedcosttbl2,ROUNDUP($H6,0),CA$2)-(INDEX(avoidedcosttbl2,ROUNDDOWN($H6,0),CA$2)))))*ADRYr2!P6*ADRYr2!Q6*ADRYr2!U6)</f>
        <v/>
      </c>
      <c r="CB6" s="28" t="str">
        <f>IF($G6="","",$G6*(IF(ADRYr2!$AI6=CB$4,ADRYr2!$AJ6,IF(ADRYr2!$AK6=CB$4,ADRYr2!$AL6,IF(ADRYr2!$AM6=CB$4,ADRYr2!$AN6,0))))*(INDEX(avoidedcosttbl2,$H6,CB$2)+(($H6-ROUNDDOWN($H6,0))*(INDEX(avoidedcosttbl2,ROUNDUP($H6,0),CB$2)-(INDEX(avoidedcosttbl2,ROUNDDOWN($H6,0),CB$2)))))*ADRYr2!P6*ADRYr2!Q6*ADRYr2!U6)</f>
        <v/>
      </c>
      <c r="CC6" s="28" t="str">
        <f>IF($G6="","",$G6*(IF(ADRYr2!$AI6=CC$4,ADRYr2!$AJ6,IF(ADRYr2!$AK6=CC$4,ADRYr2!$AL6,IF(ADRYr2!$AM6=CC$4,ADRYr2!$AN6,0))))*(INDEX(avoidedcosttbl2,$H6,CC$2)+(($H6-ROUNDDOWN($H6,0))*(INDEX(avoidedcosttbl2,ROUNDUP($H6,0),CC$2)-(INDEX(avoidedcosttbl2,ROUNDDOWN($H6,0),CC$2)))))*ADRYr2!P6*ADRYr2!Q6*ADRYr2!U6)</f>
        <v/>
      </c>
      <c r="CD6" s="28" t="str">
        <f>IF($G6="","",$G6*(IF(ADRYr2!$AI6=CD$4,ADRYr2!$AJ6,IF(ADRYr2!$AK6=CD$4,ADRYr2!$AL6,IF(ADRYr2!$AM6=CD$4,ADRYr2!$AN6,0))))*(INDEX(avoidedcosttbl2,$H6,CD$2)+(($H6-ROUNDDOWN($H6,0))*(INDEX(avoidedcosttbl2,ROUNDUP($H6,0),CD$2)-(INDEX(avoidedcosttbl2,ROUNDDOWN($H6,0),CD$2)))))*ADRYr2!P6*ADRYr2!Q6*ADRYr2!U6)</f>
        <v/>
      </c>
      <c r="CE6" s="28" t="str">
        <f>IF($G6="","",$G6*(IF(ADRYr2!$AI6=CE$4,ADRYr2!$AJ6,IF(ADRYr2!$AK6=CE$4,ADRYr2!$AL6,IF(ADRYr2!$AM6=CE$4,ADRYr2!$AN6,0))))*(INDEX(avoidedcosttbl2,$H6,CE$2)+(($H6-ROUNDDOWN($H6,0))*(INDEX(avoidedcosttbl2,ROUNDUP($H6,0),CE$2)-(INDEX(avoidedcosttbl2,ROUNDDOWN($H6,0),CE$2)))))*ADRYr2!P6*ADRYr2!Q6*ADRYr2!U6)</f>
        <v/>
      </c>
      <c r="CF6" s="41" t="str">
        <f t="shared" ref="CF6:CF50" si="38">IF($G6="","",SUM(BY6:CE6))</f>
        <v/>
      </c>
      <c r="CG6" s="30" t="str">
        <f t="shared" si="11"/>
        <v/>
      </c>
      <c r="CH6" s="30" t="str">
        <f>IF($G6="","",$G6*(IF(ADRYr2!$AI6=BY$4,ADRYr2!$AJ6,IF(ADRYr2!$AK6=BY$4,ADRYr2!$AL6,IF(ADRYr2!$AM6=BY$4,ADRYr2!$AN6,0))))*(INDEX(avoidedcosttbl2,$H6,CH$2)+(($H6-ROUNDDOWN($H6,0))*(INDEX(avoidedcosttbl2,ROUNDUP($H6,0),CH$2)-(INDEX(avoidedcosttbl2,ROUNDDOWN($H6,0),CH$2)))))*ADRYr2!P6*ADRYr2!Q6*ADRYr2!U6)</f>
        <v/>
      </c>
      <c r="CI6" s="30" t="str">
        <f>IF($G6="","",$G6*(IF(ADRYr2!$AI6=BZ$4,ADRYr2!$AJ6,IF(ADRYr2!$AK6=BZ$4,ADRYr2!$AL6,IF(ADRYr2!$AM6=BZ$4,ADRYr2!$AN6,0))))*(INDEX(avoidedcosttbl2,$H6,CI$2)+(($H6-ROUNDDOWN($H6,0))*(INDEX(avoidedcosttbl2,ROUNDUP($H6,0),CI$2)-(INDEX(avoidedcosttbl2,ROUNDDOWN($H6,0),CI$2)))))*ADRYr2!P6*ADRYr2!Q6*ADRYr2!U6)</f>
        <v/>
      </c>
      <c r="CJ6" s="30" t="str">
        <f>IF($G6="","",$G6*(IF(ADRYr2!$AI6=CA$4,ADRYr2!$AJ6,IF(ADRYr2!$AK6=CA$4,ADRYr2!$AL6,IF(ADRYr2!$AM6=CA$4,ADRYr2!$AN6,0))))*(INDEX(avoidedcosttbl2,$H6,CJ$2)+(($H6-ROUNDDOWN($H6,0))*(INDEX(avoidedcosttbl2,ROUNDUP($H6,0),CJ$2)-(INDEX(avoidedcosttbl2,ROUNDDOWN($H6,0),CJ$2)))))*ADRYr2!P6*ADRYr2!Q6*ADRYr2!U6)</f>
        <v/>
      </c>
      <c r="CK6" s="30" t="str">
        <f>IF($G6="","",$G6*(IF(ADRYr2!$AI6=CB$4,ADRYr2!$AJ6,IF(ADRYr2!$AK6=CB$4,ADRYr2!$AL6,IF(ADRYr2!$AM6=CB$4,ADRYr2!$AN6,0))))*(INDEX(avoidedcosttbl2,$H6,CK$2)+(($H6-ROUNDDOWN($H6,0))*(INDEX(avoidedcosttbl2,ROUNDUP($H6,0),CK$2)-(INDEX(avoidedcosttbl2,ROUNDDOWN($H6,0),CK$2)))))*ADRYr2!P6*ADRYr2!Q6*ADRYr2!U6)</f>
        <v/>
      </c>
      <c r="CL6" s="30" t="str">
        <f>IF($G6="","",$G6*(IF(ADRYr2!$AI6=CC$4,ADRYr2!$AJ6,IF(ADRYr2!$AK6=CC$4,ADRYr2!$AL6,IF(ADRYr2!$AM6=CC$4,ADRYr2!$AN6,0))))*(INDEX(avoidedcosttbl2,$H6,CL$2)+(($H6-ROUNDDOWN($H6,0))*(INDEX(avoidedcosttbl2,ROUNDUP($H6,0),CL$2)-(INDEX(avoidedcosttbl2,ROUNDDOWN($H6,0),CL$2)))))*ADRYr2!P6*ADRYr2!Q6*ADRYr2!U6)</f>
        <v/>
      </c>
      <c r="CM6" s="30" t="str">
        <f>IF($G6="","",$G6*(IF(ADRYr2!$AI6=CD$4,ADRYr2!$AJ6,IF(ADRYr2!$AK6=CD$4,ADRYr2!$AL6,IF(ADRYr2!$AM6=CD$4,ADRYr2!$AN6,0))))*(INDEX(avoidedcosttbl2,$H6,CM$2)+(($H6-ROUNDDOWN($H6,0))*(INDEX(avoidedcosttbl2,ROUNDUP($H6,0),CM$2)-(INDEX(avoidedcosttbl2,ROUNDDOWN($H6,0),CM$2)))))*ADRYr2!P6*ADRYr2!Q6*ADRYr2!U6)</f>
        <v/>
      </c>
      <c r="CN6" s="30" t="str">
        <f>IF($G6="","",$G6*(IF(ADRYr2!$AI6=CE$4,ADRYr2!$AJ6,IF(ADRYr2!$AK6=CE$4,ADRYr2!$AL6,IF(ADRYr2!$AM6=CE$4,ADRYr2!$AN6,0))))*(INDEX(avoidedcosttbl2,$H6,CN$2)+(($H6-ROUNDDOWN($H6,0))*(INDEX(avoidedcosttbl2,ROUNDUP($H6,0),CN$2)-(INDEX(avoidedcosttbl2,ROUNDDOWN($H6,0),CN$2)))))*ADRYr2!P6*ADRYr2!Q6*ADRYr2!U6)</f>
        <v/>
      </c>
      <c r="CO6" s="220" t="str">
        <f t="shared" ref="CO6:CO50" si="39">IF($G6="","",SUM(CG6:CN6))</f>
        <v/>
      </c>
      <c r="CP6" s="220" t="str">
        <f t="shared" ref="CP6:CP50" si="40">IF($G6="","",CF6+CO6)</f>
        <v/>
      </c>
      <c r="CQ6" s="157" t="str">
        <f>IF($G6="","",$G6*(IF(ADRYr2!$AI6=CQ$4,ADRYr2!$AJ6,IF(ADRYr2!$AK6=CQ$4,ADRYr2!$AL6,IF(ADRYr2!$AM6=CQ$4,ADRYr2!$AN6,0))))*(INDEX(avoidedcosttbl2,$H6,CQ$2)+(($H6-ROUNDDOWN($H6,0))*(INDEX(avoidedcosttbl2,ROUNDUP($H6,0),CQ$2)-(INDEX(avoidedcosttbl2,ROUNDDOWN($H6,0),CQ$2)))))*ADRYr2!$P6*ADRYr2!$Q6*ADRYr2!$U6)</f>
        <v/>
      </c>
      <c r="CR6" s="28" t="str">
        <f>IF($G6="","",G6*(IF(ADRYr2!$AI6=CR$4,ADRYr2!$AJ6,IF(ADRYr2!$AK6=CR$4,ADRYr2!$AL6,IF(ADRYr2!$AM6=CR$4,ADRYr2!$AN6,0))))*(INDEX(avoidedcosttbl2,$H6,CR$2)+(($H6-ROUNDDOWN($H6,0))*(INDEX(avoidedcosttbl2,ROUNDUP($H6,0),CR$2)-(INDEX(avoidedcosttbl2,ROUNDDOWN($H6,0),CR$2)))))*ADRYr2!$P6*ADRYr2!$Q6*ADRYr2!$U6)</f>
        <v/>
      </c>
      <c r="CS6" s="28" t="str">
        <f>IF($G6="","",G6*(IF(ADRYr2!$AI6=CS$4,ADRYr2!$AJ6,IF(ADRYr2!$AK6=CS$4,ADRYr2!$AL6,IF(ADRYr2!$AM6=CS$4,ADRYr2!$AN6,0))))*(INDEX(avoidedcosttbl2,$H6,CS$2)+(($H6-ROUNDDOWN($H6,0))*(INDEX(avoidedcosttbl2,ROUNDUP($H6,0),CS$2)-(INDEX(avoidedcosttbl2,ROUNDDOWN($H6,0),CS$2)))))*ADRYr2!$P6*ADRYr2!$Q6*ADRYr2!$U6)</f>
        <v/>
      </c>
      <c r="CT6" s="28" t="str">
        <f t="shared" si="12"/>
        <v/>
      </c>
      <c r="CU6" s="28" t="str">
        <f>IF($G6="","",G6*(IF(ADRYr2!$AI6=CU$4,ADRYr2!$AJ6,IF(ADRYr2!$AK6=CU$4,ADRYr2!$AL6,IF(ADRYr2!$AM6=CU$4,ADRYr2!$AN6,0))))*(INDEX(avoidedcosttbl2,$H6,CU$2)+(($H6-ROUNDDOWN($H6,0))*(INDEX(avoidedcosttbl2,ROUNDUP($H6,0),CU$2)-(INDEX(avoidedcosttbl2,ROUNDDOWN($H6,0),CU$2)))))*ADRYr2!$P6*ADRYr2!$Q6*ADRYr2!$U6)</f>
        <v/>
      </c>
      <c r="CV6" s="28" t="str">
        <f>IF($G6="","",G6*(IF(ADRYr2!$AI6=CV$4,ADRYr2!$AJ6,IF(ADRYr2!$AK6=CV$4,ADRYr2!$AL6,IF(ADRYr2!$AM6=CV$4,ADRYr2!$AN6,0))))*(INDEX(avoidedcosttbl2,$H6,CV$2)+(($H6-ROUNDDOWN($H6,0))*(INDEX(avoidedcosttbl2,ROUNDUP($H6,0),CV$2)-(INDEX(avoidedcosttbl2,ROUNDDOWN($H6,0),CV$2)))))*ADRYr2!$P6*ADRYr2!$Q6*ADRYr2!$U6)</f>
        <v/>
      </c>
      <c r="CW6" s="28" t="str">
        <f>IF($G6="","",G6*(IF(ADRYr2!$AI6=CW$4,ADRYr2!$AJ6,IF(ADRYr2!$AK6=CW$4,ADRYr2!$AL6,IF(ADRYr2!$AM6=CW$4,ADRYr2!$AN6,0))))*(INDEX(avoidedcosttbl2,$H6,CW$2)+(($H6-ROUNDDOWN($H6,0))*(INDEX(avoidedcosttbl2,ROUNDUP($H6,0),CW$2)-(INDEX(avoidedcosttbl2,ROUNDDOWN($H6,0),CW$2)))))*ADRYr2!$P6*ADRYr2!$Q6*ADRYr2!$U6)</f>
        <v/>
      </c>
      <c r="CX6" s="28" t="str">
        <f>IF($G6="","",G6*(IF(ADRYr2!$AI6=CX$4,ADRYr2!$AJ6,IF(ADRYr2!$AK6=CX$4,ADRYr2!$AL6,IF(ADRYr2!$AM6=CX$4,ADRYr2!$AN6,0))))*(INDEX(avoidedcosttbl2,$H6,CX$2)+(($H6-ROUNDDOWN($H6,0))*(INDEX(avoidedcosttbl2,ROUNDUP($H6,0),CX$2)-(INDEX(avoidedcosttbl2,ROUNDDOWN($H6,0),CX$2)))))*ADRYr2!$P6*ADRYr2!$Q6*ADRYr2!$U6)</f>
        <v/>
      </c>
      <c r="CY6" s="28" t="str">
        <f t="shared" si="13"/>
        <v/>
      </c>
      <c r="CZ6" s="32" t="str">
        <f t="shared" si="14"/>
        <v/>
      </c>
      <c r="DA6" s="84" t="str">
        <f t="shared" ref="DA6:DA50" si="41">IF($G6="","",SUM(CP6:CZ6))</f>
        <v/>
      </c>
      <c r="DB6" s="81" t="str">
        <f>IF(NEIadder="Yes",IF($G6="","",INDEX(Lookups!$G$70:$G$71,MATCH($A6,Lookups!$E$70:$E$71,0))*(SUM(CP6:CX6,BX6))),"")</f>
        <v/>
      </c>
      <c r="DC6" s="263" t="str">
        <f t="shared" si="15"/>
        <v/>
      </c>
      <c r="DD6" s="166" t="str">
        <f t="shared" si="16"/>
        <v/>
      </c>
      <c r="DE6" s="82">
        <f t="shared" ref="DE6:DE50" si="42">SUM(DB6:DD6)</f>
        <v>0</v>
      </c>
      <c r="DF6" s="615" t="str">
        <f>IF($G6="","",(1+WntPeakEnergyLL)*(INDEX(avoidedcosttbl2,$H6,DF$2)+(($H6-ROUNDDOWN($H6,0))*(INDEX(avoidedcosttbl2,ROUNDUP($H6,0),DF$2)-(INDEX(avoidedcosttbl2,ROUNDDOWN($H6,0),DF$2)))))*$P6*1000*ADRYr2!Z6)</f>
        <v/>
      </c>
      <c r="DG6" s="615" t="str">
        <f>IF($G6="","",(1+WntOffPeakEnergyLL)*(INDEX(avoidedcosttbl2,$H6,DG$2)+(($H6-ROUNDDOWN($H6,0))*(INDEX(avoidedcosttbl2,ROUNDUP($H6,0),DG$2)-(INDEX(avoidedcosttbl2,ROUNDDOWN($H6,0),DG$2)))))*$P6*1000*ADRYr2!AA6)</f>
        <v/>
      </c>
      <c r="DH6" s="615" t="str">
        <f>IF($G6="","",(1+SumPeakEnergyLL)*(INDEX(avoidedcosttbl2,$H6,DH$2)+(($H6-ROUNDDOWN($H6,0))*(INDEX(avoidedcosttbl2,ROUNDUP($H6,0),DH$2)-(INDEX(avoidedcosttbl2,ROUNDDOWN($H6,0),DH$2)))))*$P6*1000*ADRYr2!AB6)</f>
        <v/>
      </c>
      <c r="DI6" s="615" t="str">
        <f>IF($G6="","",(1+SumOffPeakEnergyLL)*(INDEX(avoidedcosttbl2,$H6,DI$2)+(($H6-ROUNDDOWN($H6,0))*(INDEX(avoidedcosttbl2,ROUNDUP($H6,0),DI$2)-(INDEX(avoidedcosttbl2,ROUNDDOWN($H6,0),DI$2)))))*$P6*1000*ADRYr2!AC6)</f>
        <v/>
      </c>
      <c r="DJ6" s="29" t="str">
        <f t="shared" ref="DJ6:DJ50" si="43">IF($G6="","",SUM(DF6:DI6))</f>
        <v/>
      </c>
      <c r="DK6" s="161" t="str">
        <f t="shared" ref="DK6:DK41" si="44">IF($G6="","",DE6+DA6+BX6)</f>
        <v/>
      </c>
      <c r="DL6" s="1189" t="str">
        <f t="shared" ref="DL6:DL41" si="45">IF($G6="","",IF(LEFT(A6,1)="B",DE6+DA6+BX6,DD6+DA6+BX6))</f>
        <v/>
      </c>
      <c r="DM6" s="1189" t="str">
        <f t="shared" ref="DM6:DM41" si="46">IF($G6="","",BX6)</f>
        <v/>
      </c>
      <c r="DN6" s="43" t="str">
        <f t="shared" ref="DN6:DN41" si="47">IF($G6="","",DE6+DA6+BX6+DJ6)</f>
        <v/>
      </c>
      <c r="DO6" s="966" t="str">
        <f>IF($G6="","",ADRYr2!AQ6)</f>
        <v/>
      </c>
      <c r="DP6" s="968" t="str">
        <f>IF($G6="","",ADRYr2!AR6)</f>
        <v/>
      </c>
      <c r="DQ6" s="970" t="str">
        <f>IF($G6="","",IF($DP6="Yes",COLUMN(AESC!$L$10),IF($DP6="No","Using AvoidedDemand tab",IF($DP6="Mixed",COLUMN(AESC!$N$10)))))</f>
        <v/>
      </c>
      <c r="DR6" s="970" t="str">
        <f>IF($G6="","",IF($DP6="Yes",COLUMN(AESC!$P$10),IF($DP6="No","Using AvoidedDemand tab",IF($DP6="Mixed",COLUMN(AESC!$R$10)))))</f>
        <v/>
      </c>
      <c r="DS6" s="970" t="str">
        <f>IF($G6="","",IF($DP6="Yes",COLUMN(AESC!$S$10),IF($DP6="No",COLUMN(AESC!$T$10),IF($DP6="Mixed",COLUMN(AESC!$U$10)))))</f>
        <v/>
      </c>
      <c r="DT6" s="970" t="str">
        <f t="shared" ref="DT6:DT50" si="48">IF($G6="","",$B$1&amp;"-"&amp;DO6&amp;"-"&amp;H6)</f>
        <v/>
      </c>
      <c r="DU6" s="970" t="str">
        <f>IF($G6="","",ADRYr2!AS6)</f>
        <v/>
      </c>
      <c r="DV6" s="971" t="str">
        <f>IF($G6="","",ADRYr2!AT6)</f>
        <v/>
      </c>
      <c r="DW6" s="1162" t="str">
        <f>IF($G6="","",INDEX(AvoidedEnergy!$H$4:$H$10,MATCH($DO6,AvoidedEnergy!$A$4:$A$10,0)))</f>
        <v/>
      </c>
    </row>
    <row r="7" spans="1:127">
      <c r="A7" s="160" t="str">
        <f>IF(ADRYr2!$B7=0,"",ADRYr2!A7)</f>
        <v>A - Residential</v>
      </c>
      <c r="B7" s="9" t="str">
        <f>IF(ADRYr2!$B7=0,"",ADRYr2!B7)</f>
        <v>A5 - Residential Active Demand Response</v>
      </c>
      <c r="C7" s="9" t="str">
        <f>IF(ADRYr2!$B7=0,"",ADRYr2!C7)</f>
        <v>A5a - Residential Active Demand Response</v>
      </c>
      <c r="D7" s="9" t="str">
        <f>IF(ADRYr2!$B7=0,"",ADRYr2!D7)</f>
        <v>Storage Daily Dispatch Upfront Incentive (savings) Summer</v>
      </c>
      <c r="E7" s="9">
        <f>IF(ADRYr2!$B7=0,"",ADRYr2!E7)</f>
        <v>0</v>
      </c>
      <c r="F7" s="11" t="str">
        <f>IF(ADRYr2!$B7=0,"",ADRYr2!F7)</f>
        <v>Behavior</v>
      </c>
      <c r="G7" s="12" t="str">
        <f>IF(ADRYr2!$G7&lt;&gt;0,ADRYr2!G7,"")</f>
        <v/>
      </c>
      <c r="H7" s="960" t="str">
        <f>IF($G7="","",ROUND(ADRYr2!H7,0))</f>
        <v/>
      </c>
      <c r="I7" s="47" t="str">
        <f>IF($G7="","",ADRYr2!I7*ADRYr2!P7*G7)</f>
        <v/>
      </c>
      <c r="J7" s="47" t="str">
        <f>IF($G7="","",ADRYr2!J7*G7)</f>
        <v/>
      </c>
      <c r="K7" s="47" t="str">
        <f t="shared" si="17"/>
        <v/>
      </c>
      <c r="L7" s="27" t="str">
        <f>IF($G7="","",ADRYr2!V7*G7/1000)</f>
        <v/>
      </c>
      <c r="M7" s="27" t="str">
        <f>IF($G7="","",L7*ADRYr2!$Q7*ADRYr2!$R7)</f>
        <v/>
      </c>
      <c r="N7" s="27" t="str">
        <f t="shared" si="18"/>
        <v/>
      </c>
      <c r="O7" s="27" t="str">
        <f t="shared" si="19"/>
        <v/>
      </c>
      <c r="P7" s="27" t="str">
        <f>IF($G7="","",M7*ADRYr2!P7)</f>
        <v/>
      </c>
      <c r="Q7" s="27" t="str">
        <f t="shared" si="20"/>
        <v/>
      </c>
      <c r="R7" s="27" t="str">
        <f>IF($G7="","",$Q7*ADRYr2!Z7)</f>
        <v/>
      </c>
      <c r="S7" s="27" t="str">
        <f>IF($G7="","",$Q7*ADRYr2!AA7)</f>
        <v/>
      </c>
      <c r="T7" s="27" t="str">
        <f>IF($G7="","",$Q7*ADRYr2!AB7)</f>
        <v/>
      </c>
      <c r="U7" s="27" t="str">
        <f>IF($G7="","",$Q7*ADRYr2!AC7)</f>
        <v/>
      </c>
      <c r="V7" s="27" t="str">
        <f>IF($G7="","",G7*ADRYr2!$AD7*ADRYr2!$P7*ADRYr2!$Q7)</f>
        <v/>
      </c>
      <c r="W7" s="27" t="str">
        <f>IF($G7="","",$G7*ADRYr2!$AD7*ADRYr2!$AF7*ADRYr2!Q7*ADRYr2!$S7)</f>
        <v/>
      </c>
      <c r="X7" s="27" t="str">
        <f>IF($G7="","",$G7*ADRYr2!$AD7*ADRYr2!$AF7*ADRYr2!P7*ADRYr2!Q7*ADRYr2!$S7)</f>
        <v/>
      </c>
      <c r="Y7" s="27" t="str">
        <f>IF($G7="","",$G7*ADRYr2!$AD7*ADRYr2!$AE7*ADRYr2!Q7*ADRYr2!$T7)</f>
        <v/>
      </c>
      <c r="Z7" s="27" t="str">
        <f>IF($G7="","",$G7*ADRYr2!$AD7*ADRYr2!$AE7*ADRYr2!P7*ADRYr2!Q7*ADRYr2!$T7)</f>
        <v/>
      </c>
      <c r="AA7" s="45" t="str">
        <f>IF($G7="","",$G7*ADRYr2!$Q7*ADRYr2!$U7*(IF(IFERROR(SEARCH("NG", ADRYr2!$AI7),0),ADRYr2!$AJ7,0)+IF(IFERROR(SEARCH("NG", ADRYr2!$AK7),0),ADRYr2!$AL7,0)+IF(IFERROR(SEARCH("NG", ADRYr2!$AM7),0),ADRYr2!$AN7,0)))</f>
        <v/>
      </c>
      <c r="AB7" s="45" t="str">
        <f t="shared" si="21"/>
        <v/>
      </c>
      <c r="AC7" s="45">
        <f>IF($G7="",0,AA7*ADRYr2!$P7)</f>
        <v>0</v>
      </c>
      <c r="AD7" s="45" t="str">
        <f t="shared" si="22"/>
        <v/>
      </c>
      <c r="AE7" s="45" t="str">
        <f>IF($G7="","",$G7*ADRYr2!$Q7*ADRYr2!$U7*(IF(IFERROR(SEARCH("Oil", ADRYr2!$AI7), 0),ADRYr2!$AJ7,0)+IF(IFERROR(SEARCH("Oil", ADRYr2!$AK7), 0),ADRYr2!$AL7,0)+IF(IFERROR(SEARCH("Oil", ADRYr2!$AM7), 0),ADRYr2!$AN7,0)))</f>
        <v/>
      </c>
      <c r="AF7" s="45" t="str">
        <f t="shared" si="23"/>
        <v/>
      </c>
      <c r="AG7" s="45">
        <f>IF($G7="",0,AE7*ADRYr2!$P7)</f>
        <v>0</v>
      </c>
      <c r="AH7" s="45" t="str">
        <f t="shared" si="24"/>
        <v/>
      </c>
      <c r="AI7" s="45" t="str">
        <f>IF($G7="","",$G7*ADRYr2!$Q7*ADRYr2!$U7*(IF(ADRYr2!$AI7=Lookups!$E$116,ADRYr2!$AJ7,IF(ADRYr2!$AK7=Lookups!$E$116,ADRYr2!$AL7,IF(ADRYr2!$AM7=Lookups!$E$116,ADRYr2!$AN7,0)))))</f>
        <v/>
      </c>
      <c r="AJ7" s="45" t="str">
        <f t="shared" si="25"/>
        <v/>
      </c>
      <c r="AK7" s="45">
        <f>IF($G7="",0,AI7*ADRYr2!$P7)</f>
        <v>0</v>
      </c>
      <c r="AL7" s="45" t="str">
        <f t="shared" si="26"/>
        <v/>
      </c>
      <c r="AM7" s="45" t="str">
        <f>IF($G7="","",$G7*ADRYr2!$Q7*ADRYr2!$U7*(IF(ADRYr2!$AI7=Lookups!$E$115,ADRYr2!$AJ7,IF(ADRYr2!$AK7=Lookups!$E$115,ADRYr2!$AL7,IF(ADRYr2!$AM7=Lookups!$E$115,ADRYr2!$AN7,0)))))</f>
        <v/>
      </c>
      <c r="AN7" s="45" t="str">
        <f t="shared" si="27"/>
        <v/>
      </c>
      <c r="AO7" s="45">
        <f>IF($G7="",0,AM7*ADRYr2!$P7)</f>
        <v>0</v>
      </c>
      <c r="AP7" s="45" t="str">
        <f t="shared" si="28"/>
        <v/>
      </c>
      <c r="AQ7" s="45" t="str">
        <f>IF($G7="","",$G7*ADRYr2!$Q7*ADRYr2!$U7*(IF(ADRYr2!$AI7=Lookups!$E$117,ADRYr2!$AJ7,IF(ADRYr2!$AK7=Lookups!$E$117,ADRYr2!$AL7,IF(ADRYr2!$AM7=Lookups!$E$117,ADRYr2!$AN7,0)))))</f>
        <v/>
      </c>
      <c r="AR7" s="45" t="str">
        <f t="shared" si="29"/>
        <v/>
      </c>
      <c r="AS7" s="45" t="str">
        <f>IF($G7="","",AQ7*ADRYr2!$P7)</f>
        <v/>
      </c>
      <c r="AT7" s="45" t="str">
        <f t="shared" si="30"/>
        <v/>
      </c>
      <c r="AU7" s="45" t="str">
        <f>IF($G7="","",$G7*ADRYr2!$Q7*ADRYr2!$U7*(IF(ADRYr2!$AI7=Lookups!$E$118,ADRYr2!$AJ7,IF(ADRYr2!$AK7=Lookups!$E$118,ADRYr2!$AL7,IF(ADRYr2!$AM7=Lookups!$E$118,ADRYr2!$AN7,0)))))</f>
        <v/>
      </c>
      <c r="AV7" s="45" t="str">
        <f t="shared" si="31"/>
        <v/>
      </c>
      <c r="AW7" s="45" t="str">
        <f>IF($G7="","",AU7*ADRYr2!$P7)</f>
        <v/>
      </c>
      <c r="AX7" s="45" t="str">
        <f t="shared" si="32"/>
        <v/>
      </c>
      <c r="AY7" s="45">
        <f t="shared" si="33"/>
        <v>0</v>
      </c>
      <c r="AZ7" s="45">
        <f t="shared" si="33"/>
        <v>0</v>
      </c>
      <c r="BA7" s="101" t="str">
        <f>IF($G7="","",$G7*ADRYr2!$P7*ADRYr2!$Q7*ADRYr2!$U7*ADRYr2!AO7)</f>
        <v/>
      </c>
      <c r="BB7" s="102" t="str">
        <f>IF($G7="","",$G7*ADRYr2!$P7*ADRYr2!$Q7*ADRYr2!$U7*ADRYr2!AP7)</f>
        <v/>
      </c>
      <c r="BC7" s="100" t="str">
        <f t="shared" si="34"/>
        <v/>
      </c>
      <c r="BD7" s="961"/>
      <c r="BE7" s="961"/>
      <c r="BF7" s="961"/>
      <c r="BG7" s="961"/>
      <c r="BH7" s="962" t="str">
        <f t="shared" si="3"/>
        <v/>
      </c>
      <c r="BI7" s="961"/>
      <c r="BJ7" s="961"/>
      <c r="BK7" s="961"/>
      <c r="BL7" s="961"/>
      <c r="BM7" s="30" t="str">
        <f t="shared" si="4"/>
        <v/>
      </c>
      <c r="BN7" s="963" t="str">
        <f t="shared" si="5"/>
        <v/>
      </c>
      <c r="BO7" s="31" t="str">
        <f t="shared" si="35"/>
        <v/>
      </c>
      <c r="BP7" s="964" t="str">
        <f t="shared" si="6"/>
        <v/>
      </c>
      <c r="BQ7" s="28" t="str">
        <f t="shared" si="7"/>
        <v/>
      </c>
      <c r="BR7" s="964" t="str">
        <f t="shared" si="8"/>
        <v/>
      </c>
      <c r="BS7" s="964" t="str">
        <f t="shared" si="9"/>
        <v/>
      </c>
      <c r="BT7" s="28" t="str">
        <f t="shared" si="10"/>
        <v/>
      </c>
      <c r="BU7" s="28" t="str">
        <f t="shared" si="10"/>
        <v/>
      </c>
      <c r="BV7" s="28" t="str">
        <f t="shared" si="10"/>
        <v/>
      </c>
      <c r="BW7" s="29" t="str">
        <f t="shared" si="36"/>
        <v/>
      </c>
      <c r="BX7" s="29" t="str">
        <f t="shared" si="37"/>
        <v/>
      </c>
      <c r="BY7" s="28" t="str">
        <f>IF($G7="","",$G7*(IF(ADRYr2!$AI7=BY$4,ADRYr2!$AJ7,IF(ADRYr2!$AK7=BY$4,ADRYr2!$AL7,IF(ADRYr2!$AM7=BY$4,ADRYr2!$AN7,0))))*(INDEX(avoidedcosttbl2,$H7,BY$2)+(($H7-ROUNDDOWN($H7,0))*(INDEX(avoidedcosttbl2,ROUNDUP($H7,0),BY$2)-(INDEX(avoidedcosttbl2,ROUNDDOWN($H7,0),BY$2)))))*ADRYr2!P7*ADRYr2!Q7*ADRYr2!U7)</f>
        <v/>
      </c>
      <c r="BZ7" s="28" t="str">
        <f>IF($G7="","",$G7*(IF(ADRYr2!$AI7=BZ$4,ADRYr2!$AJ7,IF(ADRYr2!$AK7=BZ$4,ADRYr2!$AL7,IF(ADRYr2!$AM7=BZ$4,ADRYr2!$AN7,0))))*(INDEX(avoidedcosttbl2,$H7,BZ$2)+(($H7-ROUNDDOWN($H7,0))*(INDEX(avoidedcosttbl2,ROUNDUP($H7,0),BZ$2)-(INDEX(avoidedcosttbl2,ROUNDDOWN($H7,0),BZ$2)))))*ADRYr2!P7*ADRYr2!Q7*ADRYr2!U7)</f>
        <v/>
      </c>
      <c r="CA7" s="28" t="str">
        <f>IF($G7="","",$G7*(IF(ADRYr2!$AI7=CA$4,ADRYr2!$AJ7,IF(ADRYr2!$AK7=CA$4,ADRYr2!$AL7,IF(ADRYr2!$AM7=CA$4,ADRYr2!$AN7,0))))*(INDEX(avoidedcosttbl2,$H7,CA$2)+(($H7-ROUNDDOWN($H7,0))*(INDEX(avoidedcosttbl2,ROUNDUP($H7,0),CA$2)-(INDEX(avoidedcosttbl2,ROUNDDOWN($H7,0),CA$2)))))*ADRYr2!P7*ADRYr2!Q7*ADRYr2!U7)</f>
        <v/>
      </c>
      <c r="CB7" s="28" t="str">
        <f>IF($G7="","",$G7*(IF(ADRYr2!$AI7=CB$4,ADRYr2!$AJ7,IF(ADRYr2!$AK7=CB$4,ADRYr2!$AL7,IF(ADRYr2!$AM7=CB$4,ADRYr2!$AN7,0))))*(INDEX(avoidedcosttbl2,$H7,CB$2)+(($H7-ROUNDDOWN($H7,0))*(INDEX(avoidedcosttbl2,ROUNDUP($H7,0),CB$2)-(INDEX(avoidedcosttbl2,ROUNDDOWN($H7,0),CB$2)))))*ADRYr2!P7*ADRYr2!Q7*ADRYr2!U7)</f>
        <v/>
      </c>
      <c r="CC7" s="28" t="str">
        <f>IF($G7="","",$G7*(IF(ADRYr2!$AI7=CC$4,ADRYr2!$AJ7,IF(ADRYr2!$AK7=CC$4,ADRYr2!$AL7,IF(ADRYr2!$AM7=CC$4,ADRYr2!$AN7,0))))*(INDEX(avoidedcosttbl2,$H7,CC$2)+(($H7-ROUNDDOWN($H7,0))*(INDEX(avoidedcosttbl2,ROUNDUP($H7,0),CC$2)-(INDEX(avoidedcosttbl2,ROUNDDOWN($H7,0),CC$2)))))*ADRYr2!P7*ADRYr2!Q7*ADRYr2!U7)</f>
        <v/>
      </c>
      <c r="CD7" s="28" t="str">
        <f>IF($G7="","",$G7*(IF(ADRYr2!$AI7=CD$4,ADRYr2!$AJ7,IF(ADRYr2!$AK7=CD$4,ADRYr2!$AL7,IF(ADRYr2!$AM7=CD$4,ADRYr2!$AN7,0))))*(INDEX(avoidedcosttbl2,$H7,CD$2)+(($H7-ROUNDDOWN($H7,0))*(INDEX(avoidedcosttbl2,ROUNDUP($H7,0),CD$2)-(INDEX(avoidedcosttbl2,ROUNDDOWN($H7,0),CD$2)))))*ADRYr2!P7*ADRYr2!Q7*ADRYr2!U7)</f>
        <v/>
      </c>
      <c r="CE7" s="28" t="str">
        <f>IF($G7="","",$G7*(IF(ADRYr2!$AI7=CE$4,ADRYr2!$AJ7,IF(ADRYr2!$AK7=CE$4,ADRYr2!$AL7,IF(ADRYr2!$AM7=CE$4,ADRYr2!$AN7,0))))*(INDEX(avoidedcosttbl2,$H7,CE$2)+(($H7-ROUNDDOWN($H7,0))*(INDEX(avoidedcosttbl2,ROUNDUP($H7,0),CE$2)-(INDEX(avoidedcosttbl2,ROUNDDOWN($H7,0),CE$2)))))*ADRYr2!P7*ADRYr2!Q7*ADRYr2!U7)</f>
        <v/>
      </c>
      <c r="CF7" s="41" t="str">
        <f>IF($G7="","",SUM(BY7:CE7))</f>
        <v/>
      </c>
      <c r="CG7" s="30" t="str">
        <f t="shared" si="11"/>
        <v/>
      </c>
      <c r="CH7" s="30" t="str">
        <f>IF($G7="","",$G7*(IF(ADRYr2!$AI7=BY$4,ADRYr2!$AJ7,IF(ADRYr2!$AK7=BY$4,ADRYr2!$AL7,IF(ADRYr2!$AM7=BY$4,ADRYr2!$AN7,0))))*(INDEX(avoidedcosttbl2,$H7,CH$2)+(($H7-ROUNDDOWN($H7,0))*(INDEX(avoidedcosttbl2,ROUNDUP($H7,0),CH$2)-(INDEX(avoidedcosttbl2,ROUNDDOWN($H7,0),CH$2)))))*ADRYr2!P7*ADRYr2!Q7*ADRYr2!U7)</f>
        <v/>
      </c>
      <c r="CI7" s="30" t="str">
        <f>IF($G7="","",$G7*(IF(ADRYr2!$AI7=BZ$4,ADRYr2!$AJ7,IF(ADRYr2!$AK7=BZ$4,ADRYr2!$AL7,IF(ADRYr2!$AM7=BZ$4,ADRYr2!$AN7,0))))*(INDEX(avoidedcosttbl2,$H7,CI$2)+(($H7-ROUNDDOWN($H7,0))*(INDEX(avoidedcosttbl2,ROUNDUP($H7,0),CI$2)-(INDEX(avoidedcosttbl2,ROUNDDOWN($H7,0),CI$2)))))*ADRYr2!P7*ADRYr2!Q7*ADRYr2!U7)</f>
        <v/>
      </c>
      <c r="CJ7" s="30" t="str">
        <f>IF($G7="","",$G7*(IF(ADRYr2!$AI7=CA$4,ADRYr2!$AJ7,IF(ADRYr2!$AK7=CA$4,ADRYr2!$AL7,IF(ADRYr2!$AM7=CA$4,ADRYr2!$AN7,0))))*(INDEX(avoidedcosttbl2,$H7,CJ$2)+(($H7-ROUNDDOWN($H7,0))*(INDEX(avoidedcosttbl2,ROUNDUP($H7,0),CJ$2)-(INDEX(avoidedcosttbl2,ROUNDDOWN($H7,0),CJ$2)))))*ADRYr2!P7*ADRYr2!Q7*ADRYr2!U7)</f>
        <v/>
      </c>
      <c r="CK7" s="30" t="str">
        <f>IF($G7="","",$G7*(IF(ADRYr2!$AI7=CB$4,ADRYr2!$AJ7,IF(ADRYr2!$AK7=CB$4,ADRYr2!$AL7,IF(ADRYr2!$AM7=CB$4,ADRYr2!$AN7,0))))*(INDEX(avoidedcosttbl2,$H7,CK$2)+(($H7-ROUNDDOWN($H7,0))*(INDEX(avoidedcosttbl2,ROUNDUP($H7,0),CK$2)-(INDEX(avoidedcosttbl2,ROUNDDOWN($H7,0),CK$2)))))*ADRYr2!P7*ADRYr2!Q7*ADRYr2!U7)</f>
        <v/>
      </c>
      <c r="CL7" s="30" t="str">
        <f>IF($G7="","",$G7*(IF(ADRYr2!$AI7=CC$4,ADRYr2!$AJ7,IF(ADRYr2!$AK7=CC$4,ADRYr2!$AL7,IF(ADRYr2!$AM7=CC$4,ADRYr2!$AN7,0))))*(INDEX(avoidedcosttbl2,$H7,CL$2)+(($H7-ROUNDDOWN($H7,0))*(INDEX(avoidedcosttbl2,ROUNDUP($H7,0),CL$2)-(INDEX(avoidedcosttbl2,ROUNDDOWN($H7,0),CL$2)))))*ADRYr2!P7*ADRYr2!Q7*ADRYr2!U7)</f>
        <v/>
      </c>
      <c r="CM7" s="30" t="str">
        <f>IF($G7="","",$G7*(IF(ADRYr2!$AI7=CD$4,ADRYr2!$AJ7,IF(ADRYr2!$AK7=CD$4,ADRYr2!$AL7,IF(ADRYr2!$AM7=CD$4,ADRYr2!$AN7,0))))*(INDEX(avoidedcosttbl2,$H7,CM$2)+(($H7-ROUNDDOWN($H7,0))*(INDEX(avoidedcosttbl2,ROUNDUP($H7,0),CM$2)-(INDEX(avoidedcosttbl2,ROUNDDOWN($H7,0),CM$2)))))*ADRYr2!P7*ADRYr2!Q7*ADRYr2!U7)</f>
        <v/>
      </c>
      <c r="CN7" s="30" t="str">
        <f>IF($G7="","",$G7*(IF(ADRYr2!$AI7=CE$4,ADRYr2!$AJ7,IF(ADRYr2!$AK7=CE$4,ADRYr2!$AL7,IF(ADRYr2!$AM7=CE$4,ADRYr2!$AN7,0))))*(INDEX(avoidedcosttbl2,$H7,CN$2)+(($H7-ROUNDDOWN($H7,0))*(INDEX(avoidedcosttbl2,ROUNDUP($H7,0),CN$2)-(INDEX(avoidedcosttbl2,ROUNDDOWN($H7,0),CN$2)))))*ADRYr2!P7*ADRYr2!Q7*ADRYr2!U7)</f>
        <v/>
      </c>
      <c r="CO7" s="220" t="str">
        <f t="shared" si="39"/>
        <v/>
      </c>
      <c r="CP7" s="220" t="str">
        <f t="shared" si="40"/>
        <v/>
      </c>
      <c r="CQ7" s="157" t="str">
        <f>IF($G7="","",$G7*(IF(ADRYr2!$AI7=CQ$4,ADRYr2!$AJ7,IF(ADRYr2!$AK7=CQ$4,ADRYr2!$AL7,IF(ADRYr2!$AM7=CQ$4,ADRYr2!$AN7,0))))*(INDEX(avoidedcosttbl2,$H7,CQ$2)+(($H7-ROUNDDOWN($H7,0))*(INDEX(avoidedcosttbl2,ROUNDUP($H7,0),CQ$2)-(INDEX(avoidedcosttbl2,ROUNDDOWN($H7,0),CQ$2)))))*ADRYr2!$P7*ADRYr2!$Q7*ADRYr2!$U7)</f>
        <v/>
      </c>
      <c r="CR7" s="28" t="str">
        <f>IF($G7="","",G7*(IF(ADRYr2!$AI7=CR$4,ADRYr2!$AJ7,IF(ADRYr2!$AK7=CR$4,ADRYr2!$AL7,IF(ADRYr2!$AM7=CR$4,ADRYr2!$AN7,0))))*(INDEX(avoidedcosttbl2,$H7,CR$2)+(($H7-ROUNDDOWN($H7,0))*(INDEX(avoidedcosttbl2,ROUNDUP($H7,0),CR$2)-(INDEX(avoidedcosttbl2,ROUNDDOWN($H7,0),CR$2)))))*ADRYr2!$P7*ADRYr2!$Q7*ADRYr2!$U7)</f>
        <v/>
      </c>
      <c r="CS7" s="28" t="str">
        <f>IF($G7="","",G7*(IF(ADRYr2!$AI7=CS$4,ADRYr2!$AJ7,IF(ADRYr2!$AK7=CS$4,ADRYr2!$AL7,IF(ADRYr2!$AM7=CS$4,ADRYr2!$AN7,0))))*(INDEX(avoidedcosttbl2,$H7,CS$2)+(($H7-ROUNDDOWN($H7,0))*(INDEX(avoidedcosttbl2,ROUNDUP($H7,0),CS$2)-(INDEX(avoidedcosttbl2,ROUNDDOWN($H7,0),CS$2)))))*ADRYr2!$P7*ADRYr2!$Q7*ADRYr2!$U7)</f>
        <v/>
      </c>
      <c r="CT7" s="28" t="str">
        <f t="shared" si="12"/>
        <v/>
      </c>
      <c r="CU7" s="28" t="str">
        <f>IF($G7="","",G7*(IF(ADRYr2!$AI7=CU$4,ADRYr2!$AJ7,IF(ADRYr2!$AK7=CU$4,ADRYr2!$AL7,IF(ADRYr2!$AM7=CU$4,ADRYr2!$AN7,0))))*(INDEX(avoidedcosttbl2,$H7,CU$2)+(($H7-ROUNDDOWN($H7,0))*(INDEX(avoidedcosttbl2,ROUNDUP($H7,0),CU$2)-(INDEX(avoidedcosttbl2,ROUNDDOWN($H7,0),CU$2)))))*ADRYr2!$P7*ADRYr2!$Q7*ADRYr2!$U7)</f>
        <v/>
      </c>
      <c r="CV7" s="28" t="str">
        <f>IF($G7="","",G7*(IF(ADRYr2!$AI7=CV$4,ADRYr2!$AJ7,IF(ADRYr2!$AK7=CV$4,ADRYr2!$AL7,IF(ADRYr2!$AM7=CV$4,ADRYr2!$AN7,0))))*(INDEX(avoidedcosttbl2,$H7,CV$2)+(($H7-ROUNDDOWN($H7,0))*(INDEX(avoidedcosttbl2,ROUNDUP($H7,0),CV$2)-(INDEX(avoidedcosttbl2,ROUNDDOWN($H7,0),CV$2)))))*ADRYr2!$P7*ADRYr2!$Q7*ADRYr2!$U7)</f>
        <v/>
      </c>
      <c r="CW7" s="28" t="str">
        <f>IF($G7="","",G7*(IF(ADRYr2!$AI7=CW$4,ADRYr2!$AJ7,IF(ADRYr2!$AK7=CW$4,ADRYr2!$AL7,IF(ADRYr2!$AM7=CW$4,ADRYr2!$AN7,0))))*(INDEX(avoidedcosttbl2,$H7,CW$2)+(($H7-ROUNDDOWN($H7,0))*(INDEX(avoidedcosttbl2,ROUNDUP($H7,0),CW$2)-(INDEX(avoidedcosttbl2,ROUNDDOWN($H7,0),CW$2)))))*ADRYr2!$P7*ADRYr2!$Q7*ADRYr2!$U7)</f>
        <v/>
      </c>
      <c r="CX7" s="28" t="str">
        <f>IF($G7="","",G7*(IF(ADRYr2!$AI7=CX$4,ADRYr2!$AJ7,IF(ADRYr2!$AK7=CX$4,ADRYr2!$AL7,IF(ADRYr2!$AM7=CX$4,ADRYr2!$AN7,0))))*(INDEX(avoidedcosttbl2,$H7,CX$2)+(($H7-ROUNDDOWN($H7,0))*(INDEX(avoidedcosttbl2,ROUNDUP($H7,0),CX$2)-(INDEX(avoidedcosttbl2,ROUNDDOWN($H7,0),CX$2)))))*ADRYr2!$P7*ADRYr2!$Q7*ADRYr2!$U7)</f>
        <v/>
      </c>
      <c r="CY7" s="28" t="str">
        <f t="shared" si="13"/>
        <v/>
      </c>
      <c r="CZ7" s="32" t="str">
        <f t="shared" si="14"/>
        <v/>
      </c>
      <c r="DA7" s="84" t="str">
        <f t="shared" si="41"/>
        <v/>
      </c>
      <c r="DB7" s="81" t="str">
        <f>IF(NEIadder="Yes",IF($G7="","",INDEX(Lookups!$G$70:$G$71,MATCH($A7,Lookups!$E$70:$E$71,0))*(SUM(CP7:CX7,BX7))),"")</f>
        <v/>
      </c>
      <c r="DC7" s="263" t="str">
        <f t="shared" si="15"/>
        <v/>
      </c>
      <c r="DD7" s="166" t="str">
        <f t="shared" si="16"/>
        <v/>
      </c>
      <c r="DE7" s="82">
        <f t="shared" si="42"/>
        <v>0</v>
      </c>
      <c r="DF7" s="615" t="str">
        <f>IF($G7="","",(1+WntPeakEnergyLL)*(INDEX(avoidedcosttbl2,$H7,DF$2)+(($H7-ROUNDDOWN($H7,0))*(INDEX(avoidedcosttbl2,ROUNDUP($H7,0),DF$2)-(INDEX(avoidedcosttbl2,ROUNDDOWN($H7,0),DF$2)))))*$P7*1000*ADRYr2!Z7)</f>
        <v/>
      </c>
      <c r="DG7" s="615" t="str">
        <f>IF($G7="","",(1+WntOffPeakEnergyLL)*(INDEX(avoidedcosttbl2,$H7,DG$2)+(($H7-ROUNDDOWN($H7,0))*(INDEX(avoidedcosttbl2,ROUNDUP($H7,0),DG$2)-(INDEX(avoidedcosttbl2,ROUNDDOWN($H7,0),DG$2)))))*$P7*1000*ADRYr2!AA7)</f>
        <v/>
      </c>
      <c r="DH7" s="615" t="str">
        <f>IF($G7="","",(1+SumPeakEnergyLL)*(INDEX(avoidedcosttbl2,$H7,DH$2)+(($H7-ROUNDDOWN($H7,0))*(INDEX(avoidedcosttbl2,ROUNDUP($H7,0),DH$2)-(INDEX(avoidedcosttbl2,ROUNDDOWN($H7,0),DH$2)))))*$P7*1000*ADRYr2!AB7)</f>
        <v/>
      </c>
      <c r="DI7" s="615" t="str">
        <f>IF($G7="","",(1+SumOffPeakEnergyLL)*(INDEX(avoidedcosttbl2,$H7,DI$2)+(($H7-ROUNDDOWN($H7,0))*(INDEX(avoidedcosttbl2,ROUNDUP($H7,0),DI$2)-(INDEX(avoidedcosttbl2,ROUNDDOWN($H7,0),DI$2)))))*$P7*1000*ADRYr2!AC7)</f>
        <v/>
      </c>
      <c r="DJ7" s="29" t="str">
        <f t="shared" si="43"/>
        <v/>
      </c>
      <c r="DK7" s="161" t="str">
        <f t="shared" si="44"/>
        <v/>
      </c>
      <c r="DL7" s="1189" t="str">
        <f t="shared" si="45"/>
        <v/>
      </c>
      <c r="DM7" s="1189" t="str">
        <f t="shared" si="46"/>
        <v/>
      </c>
      <c r="DN7" s="43" t="str">
        <f t="shared" si="47"/>
        <v/>
      </c>
      <c r="DO7" s="966" t="str">
        <f>IF($G7="","",ADRYr2!AQ7)</f>
        <v/>
      </c>
      <c r="DP7" s="968" t="str">
        <f>IF($G7="","",ADRYr2!AR7)</f>
        <v/>
      </c>
      <c r="DQ7" s="970" t="str">
        <f>IF($G7="","",IF($DP7="Yes",COLUMN(AESC!$L$10),IF($DP7="No","Using AvoidedDemand tab",IF($DP7="Mixed",COLUMN(AESC!$N$10)))))</f>
        <v/>
      </c>
      <c r="DR7" s="970" t="str">
        <f>IF($G7="","",IF($DP7="Yes",COLUMN(AESC!$P$10),IF($DP7="No","Using AvoidedDemand tab",IF($DP7="Mixed",COLUMN(AESC!$R$10)))))</f>
        <v/>
      </c>
      <c r="DS7" s="970" t="str">
        <f>IF($G7="","",IF($DP7="Yes",COLUMN(AESC!$S$10),IF($DP7="No",COLUMN(AESC!$T$10),IF($DP7="Mixed",COLUMN(AESC!$U$10)))))</f>
        <v/>
      </c>
      <c r="DT7" s="970" t="str">
        <f t="shared" si="48"/>
        <v/>
      </c>
      <c r="DU7" s="970" t="str">
        <f>IF($G7="","",ADRYr2!AS7)</f>
        <v/>
      </c>
      <c r="DV7" s="971" t="str">
        <f>IF($G7="","",ADRYr2!AT7)</f>
        <v/>
      </c>
      <c r="DW7" s="1162" t="str">
        <f>IF($G7="","",INDEX(AvoidedEnergy!$H$4:$H$10,MATCH($DO7,AvoidedEnergy!$A$4:$A$10,0)))</f>
        <v/>
      </c>
    </row>
    <row r="8" spans="1:127">
      <c r="A8" s="160" t="str">
        <f>IF(ADRYr2!$B8=0,"",ADRYr2!A8)</f>
        <v>A - Residential</v>
      </c>
      <c r="B8" s="9" t="str">
        <f>IF(ADRYr2!$B8=0,"",ADRYr2!B8)</f>
        <v>A5 - Residential Active Demand Response</v>
      </c>
      <c r="C8" s="9" t="str">
        <f>IF(ADRYr2!$B8=0,"",ADRYr2!C8)</f>
        <v>A5a - Residential Active Demand Response</v>
      </c>
      <c r="D8" s="9" t="str">
        <f>IF(ADRYr2!$B8=0,"",ADRYr2!D8)</f>
        <v>Storage Daily Dispatch Upfront Incentive (consumption) Summer</v>
      </c>
      <c r="E8" s="9">
        <f>IF(ADRYr2!$B8=0,"",ADRYr2!E8)</f>
        <v>0</v>
      </c>
      <c r="F8" s="11" t="str">
        <f>IF(ADRYr2!$B8=0,"",ADRYr2!F8)</f>
        <v>Behavior</v>
      </c>
      <c r="G8" s="12" t="str">
        <f>IF(ADRYr2!$G8&lt;&gt;0,ADRYr2!G8,"")</f>
        <v/>
      </c>
      <c r="H8" s="960" t="str">
        <f>IF($G8="","",ROUND(ADRYr2!H8,0))</f>
        <v/>
      </c>
      <c r="I8" s="47" t="str">
        <f>IF($G8="","",ADRYr2!I8*ADRYr2!P8*G8)</f>
        <v/>
      </c>
      <c r="J8" s="47" t="str">
        <f>IF($G8="","",ADRYr2!J8*G8)</f>
        <v/>
      </c>
      <c r="K8" s="47" t="str">
        <f t="shared" si="17"/>
        <v/>
      </c>
      <c r="L8" s="27" t="str">
        <f>IF($G8="","",ADRYr2!V8*G8/1000)</f>
        <v/>
      </c>
      <c r="M8" s="27" t="str">
        <f>IF($G8="","",L8*ADRYr2!$Q8*ADRYr2!$R8)</f>
        <v/>
      </c>
      <c r="N8" s="27" t="str">
        <f t="shared" si="18"/>
        <v/>
      </c>
      <c r="O8" s="27" t="str">
        <f t="shared" si="19"/>
        <v/>
      </c>
      <c r="P8" s="27" t="str">
        <f>IF($G8="","",M8*ADRYr2!P8)</f>
        <v/>
      </c>
      <c r="Q8" s="27" t="str">
        <f t="shared" si="20"/>
        <v/>
      </c>
      <c r="R8" s="27" t="str">
        <f>IF($G8="","",$Q8*ADRYr2!Z8)</f>
        <v/>
      </c>
      <c r="S8" s="27" t="str">
        <f>IF($G8="","",$Q8*ADRYr2!AA8)</f>
        <v/>
      </c>
      <c r="T8" s="27" t="str">
        <f>IF($G8="","",$Q8*ADRYr2!AB8)</f>
        <v/>
      </c>
      <c r="U8" s="27" t="str">
        <f>IF($G8="","",$Q8*ADRYr2!AC8)</f>
        <v/>
      </c>
      <c r="V8" s="27" t="str">
        <f>IF($G8="","",G8*ADRYr2!$AD8*ADRYr2!$P8*ADRYr2!$Q8)</f>
        <v/>
      </c>
      <c r="W8" s="27" t="str">
        <f>IF($G8="","",$G8*ADRYr2!$AD8*ADRYr2!$AF8*ADRYr2!Q8*ADRYr2!$S8)</f>
        <v/>
      </c>
      <c r="X8" s="27" t="str">
        <f>IF($G8="","",$G8*ADRYr2!$AD8*ADRYr2!$AF8*ADRYr2!P8*ADRYr2!Q8*ADRYr2!$S8)</f>
        <v/>
      </c>
      <c r="Y8" s="27" t="str">
        <f>IF($G8="","",$G8*ADRYr2!$AD8*ADRYr2!$AE8*ADRYr2!Q8*ADRYr2!$T8)</f>
        <v/>
      </c>
      <c r="Z8" s="27" t="str">
        <f>IF($G8="","",$G8*ADRYr2!$AD8*ADRYr2!$AE8*ADRYr2!P8*ADRYr2!Q8*ADRYr2!$T8)</f>
        <v/>
      </c>
      <c r="AA8" s="45" t="str">
        <f>IF($G8="","",$G8*ADRYr2!$Q8*ADRYr2!$U8*(IF(IFERROR(SEARCH("NG", ADRYr2!$AI8),0),ADRYr2!$AJ8,0)+IF(IFERROR(SEARCH("NG", ADRYr2!$AK8),0),ADRYr2!$AL8,0)+IF(IFERROR(SEARCH("NG", ADRYr2!$AM8),0),ADRYr2!$AN8,0)))</f>
        <v/>
      </c>
      <c r="AB8" s="45" t="str">
        <f t="shared" si="21"/>
        <v/>
      </c>
      <c r="AC8" s="45">
        <f>IF($G8="",0,AA8*ADRYr2!$P8)</f>
        <v>0</v>
      </c>
      <c r="AD8" s="45" t="str">
        <f t="shared" si="22"/>
        <v/>
      </c>
      <c r="AE8" s="45" t="str">
        <f>IF($G8="","",$G8*ADRYr2!$Q8*ADRYr2!$U8*(IF(IFERROR(SEARCH("Oil", ADRYr2!$AI8), 0),ADRYr2!$AJ8,0)+IF(IFERROR(SEARCH("Oil", ADRYr2!$AK8), 0),ADRYr2!$AL8,0)+IF(IFERROR(SEARCH("Oil", ADRYr2!$AM8), 0),ADRYr2!$AN8,0)))</f>
        <v/>
      </c>
      <c r="AF8" s="45" t="str">
        <f t="shared" si="23"/>
        <v/>
      </c>
      <c r="AG8" s="45">
        <f>IF($G8="",0,AE8*ADRYr2!$P8)</f>
        <v>0</v>
      </c>
      <c r="AH8" s="45" t="str">
        <f t="shared" si="24"/>
        <v/>
      </c>
      <c r="AI8" s="45" t="str">
        <f>IF($G8="","",$G8*ADRYr2!$Q8*ADRYr2!$U8*(IF(ADRYr2!$AI8=Lookups!$E$116,ADRYr2!$AJ8,IF(ADRYr2!$AK8=Lookups!$E$116,ADRYr2!$AL8,IF(ADRYr2!$AM8=Lookups!$E$116,ADRYr2!$AN8,0)))))</f>
        <v/>
      </c>
      <c r="AJ8" s="45" t="str">
        <f t="shared" si="25"/>
        <v/>
      </c>
      <c r="AK8" s="45">
        <f>IF($G8="",0,AI8*ADRYr2!$P8)</f>
        <v>0</v>
      </c>
      <c r="AL8" s="45" t="str">
        <f t="shared" si="26"/>
        <v/>
      </c>
      <c r="AM8" s="45" t="str">
        <f>IF($G8="","",$G8*ADRYr2!$Q8*ADRYr2!$U8*(IF(ADRYr2!$AI8=Lookups!$E$115,ADRYr2!$AJ8,IF(ADRYr2!$AK8=Lookups!$E$115,ADRYr2!$AL8,IF(ADRYr2!$AM8=Lookups!$E$115,ADRYr2!$AN8,0)))))</f>
        <v/>
      </c>
      <c r="AN8" s="45" t="str">
        <f t="shared" si="27"/>
        <v/>
      </c>
      <c r="AO8" s="45">
        <f>IF($G8="",0,AM8*ADRYr2!$P8)</f>
        <v>0</v>
      </c>
      <c r="AP8" s="45" t="str">
        <f t="shared" si="28"/>
        <v/>
      </c>
      <c r="AQ8" s="45" t="str">
        <f>IF($G8="","",$G8*ADRYr2!$Q8*ADRYr2!$U8*(IF(ADRYr2!$AI8=Lookups!$E$117,ADRYr2!$AJ8,IF(ADRYr2!$AK8=Lookups!$E$117,ADRYr2!$AL8,IF(ADRYr2!$AM8=Lookups!$E$117,ADRYr2!$AN8,0)))))</f>
        <v/>
      </c>
      <c r="AR8" s="45" t="str">
        <f t="shared" si="29"/>
        <v/>
      </c>
      <c r="AS8" s="45" t="str">
        <f>IF($G8="","",AQ8*ADRYr2!$P8)</f>
        <v/>
      </c>
      <c r="AT8" s="45" t="str">
        <f t="shared" si="30"/>
        <v/>
      </c>
      <c r="AU8" s="45" t="str">
        <f>IF($G8="","",$G8*ADRYr2!$Q8*ADRYr2!$U8*(IF(ADRYr2!$AI8=Lookups!$E$118,ADRYr2!$AJ8,IF(ADRYr2!$AK8=Lookups!$E$118,ADRYr2!$AL8,IF(ADRYr2!$AM8=Lookups!$E$118,ADRYr2!$AN8,0)))))</f>
        <v/>
      </c>
      <c r="AV8" s="45" t="str">
        <f t="shared" si="31"/>
        <v/>
      </c>
      <c r="AW8" s="45" t="str">
        <f>IF($G8="","",AU8*ADRYr2!$P8)</f>
        <v/>
      </c>
      <c r="AX8" s="45" t="str">
        <f t="shared" si="32"/>
        <v/>
      </c>
      <c r="AY8" s="45">
        <f t="shared" si="33"/>
        <v>0</v>
      </c>
      <c r="AZ8" s="45">
        <f t="shared" si="33"/>
        <v>0</v>
      </c>
      <c r="BA8" s="101" t="str">
        <f>IF($G8="","",$G8*ADRYr2!$P8*ADRYr2!$Q8*ADRYr2!$U8*ADRYr2!AO8)</f>
        <v/>
      </c>
      <c r="BB8" s="102" t="str">
        <f>IF($G8="","",$G8*ADRYr2!$P8*ADRYr2!$Q8*ADRYr2!$U8*ADRYr2!AP8)</f>
        <v/>
      </c>
      <c r="BC8" s="100" t="str">
        <f t="shared" si="34"/>
        <v/>
      </c>
      <c r="BD8" s="961"/>
      <c r="BE8" s="961"/>
      <c r="BF8" s="961"/>
      <c r="BG8" s="961"/>
      <c r="BH8" s="962" t="str">
        <f t="shared" si="3"/>
        <v/>
      </c>
      <c r="BI8" s="961"/>
      <c r="BJ8" s="961"/>
      <c r="BK8" s="961"/>
      <c r="BL8" s="961"/>
      <c r="BM8" s="30" t="str">
        <f t="shared" si="4"/>
        <v/>
      </c>
      <c r="BN8" s="963" t="str">
        <f t="shared" si="5"/>
        <v/>
      </c>
      <c r="BO8" s="31" t="str">
        <f t="shared" si="35"/>
        <v/>
      </c>
      <c r="BP8" s="964" t="str">
        <f t="shared" si="6"/>
        <v/>
      </c>
      <c r="BQ8" s="28" t="str">
        <f t="shared" si="7"/>
        <v/>
      </c>
      <c r="BR8" s="964" t="str">
        <f t="shared" si="8"/>
        <v/>
      </c>
      <c r="BS8" s="964" t="str">
        <f t="shared" si="9"/>
        <v/>
      </c>
      <c r="BT8" s="28" t="str">
        <f t="shared" si="10"/>
        <v/>
      </c>
      <c r="BU8" s="28" t="str">
        <f t="shared" si="10"/>
        <v/>
      </c>
      <c r="BV8" s="28" t="str">
        <f t="shared" si="10"/>
        <v/>
      </c>
      <c r="BW8" s="29" t="str">
        <f t="shared" si="36"/>
        <v/>
      </c>
      <c r="BX8" s="29" t="str">
        <f t="shared" si="37"/>
        <v/>
      </c>
      <c r="BY8" s="28" t="str">
        <f>IF($G8="","",$G8*(IF(ADRYr2!$AI8=BY$4,ADRYr2!$AJ8,IF(ADRYr2!$AK8=BY$4,ADRYr2!$AL8,IF(ADRYr2!$AM8=BY$4,ADRYr2!$AN8,0))))*(INDEX(avoidedcosttbl2,$H8,BY$2)+(($H8-ROUNDDOWN($H8,0))*(INDEX(avoidedcosttbl2,ROUNDUP($H8,0),BY$2)-(INDEX(avoidedcosttbl2,ROUNDDOWN($H8,0),BY$2)))))*ADRYr2!P8*ADRYr2!Q8*ADRYr2!U8)</f>
        <v/>
      </c>
      <c r="BZ8" s="28" t="str">
        <f>IF($G8="","",$G8*(IF(ADRYr2!$AI8=BZ$4,ADRYr2!$AJ8,IF(ADRYr2!$AK8=BZ$4,ADRYr2!$AL8,IF(ADRYr2!$AM8=BZ$4,ADRYr2!$AN8,0))))*(INDEX(avoidedcosttbl2,$H8,BZ$2)+(($H8-ROUNDDOWN($H8,0))*(INDEX(avoidedcosttbl2,ROUNDUP($H8,0),BZ$2)-(INDEX(avoidedcosttbl2,ROUNDDOWN($H8,0),BZ$2)))))*ADRYr2!P8*ADRYr2!Q8*ADRYr2!U8)</f>
        <v/>
      </c>
      <c r="CA8" s="28" t="str">
        <f>IF($G8="","",$G8*(IF(ADRYr2!$AI8=CA$4,ADRYr2!$AJ8,IF(ADRYr2!$AK8=CA$4,ADRYr2!$AL8,IF(ADRYr2!$AM8=CA$4,ADRYr2!$AN8,0))))*(INDEX(avoidedcosttbl2,$H8,CA$2)+(($H8-ROUNDDOWN($H8,0))*(INDEX(avoidedcosttbl2,ROUNDUP($H8,0),CA$2)-(INDEX(avoidedcosttbl2,ROUNDDOWN($H8,0),CA$2)))))*ADRYr2!P8*ADRYr2!Q8*ADRYr2!U8)</f>
        <v/>
      </c>
      <c r="CB8" s="28" t="str">
        <f>IF($G8="","",$G8*(IF(ADRYr2!$AI8=CB$4,ADRYr2!$AJ8,IF(ADRYr2!$AK8=CB$4,ADRYr2!$AL8,IF(ADRYr2!$AM8=CB$4,ADRYr2!$AN8,0))))*(INDEX(avoidedcosttbl2,$H8,CB$2)+(($H8-ROUNDDOWN($H8,0))*(INDEX(avoidedcosttbl2,ROUNDUP($H8,0),CB$2)-(INDEX(avoidedcosttbl2,ROUNDDOWN($H8,0),CB$2)))))*ADRYr2!P8*ADRYr2!Q8*ADRYr2!U8)</f>
        <v/>
      </c>
      <c r="CC8" s="28" t="str">
        <f>IF($G8="","",$G8*(IF(ADRYr2!$AI8=CC$4,ADRYr2!$AJ8,IF(ADRYr2!$AK8=CC$4,ADRYr2!$AL8,IF(ADRYr2!$AM8=CC$4,ADRYr2!$AN8,0))))*(INDEX(avoidedcosttbl2,$H8,CC$2)+(($H8-ROUNDDOWN($H8,0))*(INDEX(avoidedcosttbl2,ROUNDUP($H8,0),CC$2)-(INDEX(avoidedcosttbl2,ROUNDDOWN($H8,0),CC$2)))))*ADRYr2!P8*ADRYr2!Q8*ADRYr2!U8)</f>
        <v/>
      </c>
      <c r="CD8" s="28" t="str">
        <f>IF($G8="","",$G8*(IF(ADRYr2!$AI8=CD$4,ADRYr2!$AJ8,IF(ADRYr2!$AK8=CD$4,ADRYr2!$AL8,IF(ADRYr2!$AM8=CD$4,ADRYr2!$AN8,0))))*(INDEX(avoidedcosttbl2,$H8,CD$2)+(($H8-ROUNDDOWN($H8,0))*(INDEX(avoidedcosttbl2,ROUNDUP($H8,0),CD$2)-(INDEX(avoidedcosttbl2,ROUNDDOWN($H8,0),CD$2)))))*ADRYr2!P8*ADRYr2!Q8*ADRYr2!U8)</f>
        <v/>
      </c>
      <c r="CE8" s="28" t="str">
        <f>IF($G8="","",$G8*(IF(ADRYr2!$AI8=CE$4,ADRYr2!$AJ8,IF(ADRYr2!$AK8=CE$4,ADRYr2!$AL8,IF(ADRYr2!$AM8=CE$4,ADRYr2!$AN8,0))))*(INDEX(avoidedcosttbl2,$H8,CE$2)+(($H8-ROUNDDOWN($H8,0))*(INDEX(avoidedcosttbl2,ROUNDUP($H8,0),CE$2)-(INDEX(avoidedcosttbl2,ROUNDDOWN($H8,0),CE$2)))))*ADRYr2!P8*ADRYr2!Q8*ADRYr2!U8)</f>
        <v/>
      </c>
      <c r="CF8" s="41" t="str">
        <f t="shared" si="38"/>
        <v/>
      </c>
      <c r="CG8" s="30" t="str">
        <f t="shared" si="11"/>
        <v/>
      </c>
      <c r="CH8" s="30" t="str">
        <f>IF($G8="","",$G8*(IF(ADRYr2!$AI8=BY$4,ADRYr2!$AJ8,IF(ADRYr2!$AK8=BY$4,ADRYr2!$AL8,IF(ADRYr2!$AM8=BY$4,ADRYr2!$AN8,0))))*(INDEX(avoidedcosttbl2,$H8,CH$2)+(($H8-ROUNDDOWN($H8,0))*(INDEX(avoidedcosttbl2,ROUNDUP($H8,0),CH$2)-(INDEX(avoidedcosttbl2,ROUNDDOWN($H8,0),CH$2)))))*ADRYr2!P8*ADRYr2!Q8*ADRYr2!U8)</f>
        <v/>
      </c>
      <c r="CI8" s="30" t="str">
        <f>IF($G8="","",$G8*(IF(ADRYr2!$AI8=BZ$4,ADRYr2!$AJ8,IF(ADRYr2!$AK8=BZ$4,ADRYr2!$AL8,IF(ADRYr2!$AM8=BZ$4,ADRYr2!$AN8,0))))*(INDEX(avoidedcosttbl2,$H8,CI$2)+(($H8-ROUNDDOWN($H8,0))*(INDEX(avoidedcosttbl2,ROUNDUP($H8,0),CI$2)-(INDEX(avoidedcosttbl2,ROUNDDOWN($H8,0),CI$2)))))*ADRYr2!P8*ADRYr2!Q8*ADRYr2!U8)</f>
        <v/>
      </c>
      <c r="CJ8" s="30" t="str">
        <f>IF($G8="","",$G8*(IF(ADRYr2!$AI8=CA$4,ADRYr2!$AJ8,IF(ADRYr2!$AK8=CA$4,ADRYr2!$AL8,IF(ADRYr2!$AM8=CA$4,ADRYr2!$AN8,0))))*(INDEX(avoidedcosttbl2,$H8,CJ$2)+(($H8-ROUNDDOWN($H8,0))*(INDEX(avoidedcosttbl2,ROUNDUP($H8,0),CJ$2)-(INDEX(avoidedcosttbl2,ROUNDDOWN($H8,0),CJ$2)))))*ADRYr2!P8*ADRYr2!Q8*ADRYr2!U8)</f>
        <v/>
      </c>
      <c r="CK8" s="30" t="str">
        <f>IF($G8="","",$G8*(IF(ADRYr2!$AI8=CB$4,ADRYr2!$AJ8,IF(ADRYr2!$AK8=CB$4,ADRYr2!$AL8,IF(ADRYr2!$AM8=CB$4,ADRYr2!$AN8,0))))*(INDEX(avoidedcosttbl2,$H8,CK$2)+(($H8-ROUNDDOWN($H8,0))*(INDEX(avoidedcosttbl2,ROUNDUP($H8,0),CK$2)-(INDEX(avoidedcosttbl2,ROUNDDOWN($H8,0),CK$2)))))*ADRYr2!P8*ADRYr2!Q8*ADRYr2!U8)</f>
        <v/>
      </c>
      <c r="CL8" s="30" t="str">
        <f>IF($G8="","",$G8*(IF(ADRYr2!$AI8=CC$4,ADRYr2!$AJ8,IF(ADRYr2!$AK8=CC$4,ADRYr2!$AL8,IF(ADRYr2!$AM8=CC$4,ADRYr2!$AN8,0))))*(INDEX(avoidedcosttbl2,$H8,CL$2)+(($H8-ROUNDDOWN($H8,0))*(INDEX(avoidedcosttbl2,ROUNDUP($H8,0),CL$2)-(INDEX(avoidedcosttbl2,ROUNDDOWN($H8,0),CL$2)))))*ADRYr2!P8*ADRYr2!Q8*ADRYr2!U8)</f>
        <v/>
      </c>
      <c r="CM8" s="30" t="str">
        <f>IF($G8="","",$G8*(IF(ADRYr2!$AI8=CD$4,ADRYr2!$AJ8,IF(ADRYr2!$AK8=CD$4,ADRYr2!$AL8,IF(ADRYr2!$AM8=CD$4,ADRYr2!$AN8,0))))*(INDEX(avoidedcosttbl2,$H8,CM$2)+(($H8-ROUNDDOWN($H8,0))*(INDEX(avoidedcosttbl2,ROUNDUP($H8,0),CM$2)-(INDEX(avoidedcosttbl2,ROUNDDOWN($H8,0),CM$2)))))*ADRYr2!P8*ADRYr2!Q8*ADRYr2!U8)</f>
        <v/>
      </c>
      <c r="CN8" s="30" t="str">
        <f>IF($G8="","",$G8*(IF(ADRYr2!$AI8=CE$4,ADRYr2!$AJ8,IF(ADRYr2!$AK8=CE$4,ADRYr2!$AL8,IF(ADRYr2!$AM8=CE$4,ADRYr2!$AN8,0))))*(INDEX(avoidedcosttbl2,$H8,CN$2)+(($H8-ROUNDDOWN($H8,0))*(INDEX(avoidedcosttbl2,ROUNDUP($H8,0),CN$2)-(INDEX(avoidedcosttbl2,ROUNDDOWN($H8,0),CN$2)))))*ADRYr2!P8*ADRYr2!Q8*ADRYr2!U8)</f>
        <v/>
      </c>
      <c r="CO8" s="220" t="str">
        <f t="shared" si="39"/>
        <v/>
      </c>
      <c r="CP8" s="220" t="str">
        <f t="shared" si="40"/>
        <v/>
      </c>
      <c r="CQ8" s="157" t="str">
        <f>IF($G8="","",$G8*(IF(ADRYr2!$AI8=CQ$4,ADRYr2!$AJ8,IF(ADRYr2!$AK8=CQ$4,ADRYr2!$AL8,IF(ADRYr2!$AM8=CQ$4,ADRYr2!$AN8,0))))*(INDEX(avoidedcosttbl2,$H8,CQ$2)+(($H8-ROUNDDOWN($H8,0))*(INDEX(avoidedcosttbl2,ROUNDUP($H8,0),CQ$2)-(INDEX(avoidedcosttbl2,ROUNDDOWN($H8,0),CQ$2)))))*ADRYr2!$P8*ADRYr2!$Q8*ADRYr2!$U8)</f>
        <v/>
      </c>
      <c r="CR8" s="28" t="str">
        <f>IF($G8="","",G8*(IF(ADRYr2!$AI8=CR$4,ADRYr2!$AJ8,IF(ADRYr2!$AK8=CR$4,ADRYr2!$AL8,IF(ADRYr2!$AM8=CR$4,ADRYr2!$AN8,0))))*(INDEX(avoidedcosttbl2,$H8,CR$2)+(($H8-ROUNDDOWN($H8,0))*(INDEX(avoidedcosttbl2,ROUNDUP($H8,0),CR$2)-(INDEX(avoidedcosttbl2,ROUNDDOWN($H8,0),CR$2)))))*ADRYr2!$P8*ADRYr2!$Q8*ADRYr2!$U8)</f>
        <v/>
      </c>
      <c r="CS8" s="28" t="str">
        <f>IF($G8="","",G8*(IF(ADRYr2!$AI8=CS$4,ADRYr2!$AJ8,IF(ADRYr2!$AK8=CS$4,ADRYr2!$AL8,IF(ADRYr2!$AM8=CS$4,ADRYr2!$AN8,0))))*(INDEX(avoidedcosttbl2,$H8,CS$2)+(($H8-ROUNDDOWN($H8,0))*(INDEX(avoidedcosttbl2,ROUNDUP($H8,0),CS$2)-(INDEX(avoidedcosttbl2,ROUNDDOWN($H8,0),CS$2)))))*ADRYr2!$P8*ADRYr2!$Q8*ADRYr2!$U8)</f>
        <v/>
      </c>
      <c r="CT8" s="28" t="str">
        <f t="shared" si="12"/>
        <v/>
      </c>
      <c r="CU8" s="28" t="str">
        <f>IF($G8="","",G8*(IF(ADRYr2!$AI8=CU$4,ADRYr2!$AJ8,IF(ADRYr2!$AK8=CU$4,ADRYr2!$AL8,IF(ADRYr2!$AM8=CU$4,ADRYr2!$AN8,0))))*(INDEX(avoidedcosttbl2,$H8,CU$2)+(($H8-ROUNDDOWN($H8,0))*(INDEX(avoidedcosttbl2,ROUNDUP($H8,0),CU$2)-(INDEX(avoidedcosttbl2,ROUNDDOWN($H8,0),CU$2)))))*ADRYr2!$P8*ADRYr2!$Q8*ADRYr2!$U8)</f>
        <v/>
      </c>
      <c r="CV8" s="28" t="str">
        <f>IF($G8="","",G8*(IF(ADRYr2!$AI8=CV$4,ADRYr2!$AJ8,IF(ADRYr2!$AK8=CV$4,ADRYr2!$AL8,IF(ADRYr2!$AM8=CV$4,ADRYr2!$AN8,0))))*(INDEX(avoidedcosttbl2,$H8,CV$2)+(($H8-ROUNDDOWN($H8,0))*(INDEX(avoidedcosttbl2,ROUNDUP($H8,0),CV$2)-(INDEX(avoidedcosttbl2,ROUNDDOWN($H8,0),CV$2)))))*ADRYr2!$P8*ADRYr2!$Q8*ADRYr2!$U8)</f>
        <v/>
      </c>
      <c r="CW8" s="28" t="str">
        <f>IF($G8="","",G8*(IF(ADRYr2!$AI8=CW$4,ADRYr2!$AJ8,IF(ADRYr2!$AK8=CW$4,ADRYr2!$AL8,IF(ADRYr2!$AM8=CW$4,ADRYr2!$AN8,0))))*(INDEX(avoidedcosttbl2,$H8,CW$2)+(($H8-ROUNDDOWN($H8,0))*(INDEX(avoidedcosttbl2,ROUNDUP($H8,0),CW$2)-(INDEX(avoidedcosttbl2,ROUNDDOWN($H8,0),CW$2)))))*ADRYr2!$P8*ADRYr2!$Q8*ADRYr2!$U8)</f>
        <v/>
      </c>
      <c r="CX8" s="28" t="str">
        <f>IF($G8="","",G8*(IF(ADRYr2!$AI8=CX$4,ADRYr2!$AJ8,IF(ADRYr2!$AK8=CX$4,ADRYr2!$AL8,IF(ADRYr2!$AM8=CX$4,ADRYr2!$AN8,0))))*(INDEX(avoidedcosttbl2,$H8,CX$2)+(($H8-ROUNDDOWN($H8,0))*(INDEX(avoidedcosttbl2,ROUNDUP($H8,0),CX$2)-(INDEX(avoidedcosttbl2,ROUNDDOWN($H8,0),CX$2)))))*ADRYr2!$P8*ADRYr2!$Q8*ADRYr2!$U8)</f>
        <v/>
      </c>
      <c r="CY8" s="28" t="str">
        <f t="shared" si="13"/>
        <v/>
      </c>
      <c r="CZ8" s="32" t="str">
        <f t="shared" si="14"/>
        <v/>
      </c>
      <c r="DA8" s="84" t="str">
        <f t="shared" si="41"/>
        <v/>
      </c>
      <c r="DB8" s="81" t="str">
        <f>IF(NEIadder="Yes",IF($G8="","",INDEX(Lookups!$G$70:$G$71,MATCH($A8,Lookups!$E$70:$E$71,0))*(SUM(CP8:CX8,BX8))),"")</f>
        <v/>
      </c>
      <c r="DC8" s="263" t="str">
        <f t="shared" si="15"/>
        <v/>
      </c>
      <c r="DD8" s="166" t="str">
        <f t="shared" si="16"/>
        <v/>
      </c>
      <c r="DE8" s="82">
        <f t="shared" si="42"/>
        <v>0</v>
      </c>
      <c r="DF8" s="615" t="str">
        <f>IF($G8="","",(1+WntPeakEnergyLL)*(INDEX(avoidedcosttbl2,$H8,DF$2)+(($H8-ROUNDDOWN($H8,0))*(INDEX(avoidedcosttbl2,ROUNDUP($H8,0),DF$2)-(INDEX(avoidedcosttbl2,ROUNDDOWN($H8,0),DF$2)))))*$P8*1000*ADRYr2!Z8)</f>
        <v/>
      </c>
      <c r="DG8" s="615" t="str">
        <f>IF($G8="","",(1+WntOffPeakEnergyLL)*(INDEX(avoidedcosttbl2,$H8,DG$2)+(($H8-ROUNDDOWN($H8,0))*(INDEX(avoidedcosttbl2,ROUNDUP($H8,0),DG$2)-(INDEX(avoidedcosttbl2,ROUNDDOWN($H8,0),DG$2)))))*$P8*1000*ADRYr2!AA8)</f>
        <v/>
      </c>
      <c r="DH8" s="615" t="str">
        <f>IF($G8="","",(1+SumPeakEnergyLL)*(INDEX(avoidedcosttbl2,$H8,DH$2)+(($H8-ROUNDDOWN($H8,0))*(INDEX(avoidedcosttbl2,ROUNDUP($H8,0),DH$2)-(INDEX(avoidedcosttbl2,ROUNDDOWN($H8,0),DH$2)))))*$P8*1000*ADRYr2!AB8)</f>
        <v/>
      </c>
      <c r="DI8" s="615" t="str">
        <f>IF($G8="","",(1+SumOffPeakEnergyLL)*(INDEX(avoidedcosttbl2,$H8,DI$2)+(($H8-ROUNDDOWN($H8,0))*(INDEX(avoidedcosttbl2,ROUNDUP($H8,0),DI$2)-(INDEX(avoidedcosttbl2,ROUNDDOWN($H8,0),DI$2)))))*$P8*1000*ADRYr2!AC8)</f>
        <v/>
      </c>
      <c r="DJ8" s="29" t="str">
        <f t="shared" si="43"/>
        <v/>
      </c>
      <c r="DK8" s="161" t="str">
        <f t="shared" si="44"/>
        <v/>
      </c>
      <c r="DL8" s="1189" t="str">
        <f t="shared" si="45"/>
        <v/>
      </c>
      <c r="DM8" s="1189" t="str">
        <f t="shared" si="46"/>
        <v/>
      </c>
      <c r="DN8" s="43" t="str">
        <f t="shared" si="47"/>
        <v/>
      </c>
      <c r="DO8" s="966" t="str">
        <f>IF($G8="","",ADRYr2!AQ8)</f>
        <v/>
      </c>
      <c r="DP8" s="968" t="str">
        <f>IF($G8="","",ADRYr2!AR8)</f>
        <v/>
      </c>
      <c r="DQ8" s="970" t="str">
        <f>IF($G8="","",IF($DP8="Yes",COLUMN(AESC!$L$10),IF($DP8="No","Using AvoidedDemand tab",IF($DP8="Mixed",COLUMN(AESC!$N$10)))))</f>
        <v/>
      </c>
      <c r="DR8" s="970" t="str">
        <f>IF($G8="","",IF($DP8="Yes",COLUMN(AESC!$P$10),IF($DP8="No","Using AvoidedDemand tab",IF($DP8="Mixed",COLUMN(AESC!$R$10)))))</f>
        <v/>
      </c>
      <c r="DS8" s="970" t="str">
        <f>IF($G8="","",IF($DP8="Yes",COLUMN(AESC!$S$10),IF($DP8="No",COLUMN(AESC!$T$10),IF($DP8="Mixed",COLUMN(AESC!$U$10)))))</f>
        <v/>
      </c>
      <c r="DT8" s="970" t="str">
        <f t="shared" si="48"/>
        <v/>
      </c>
      <c r="DU8" s="970" t="str">
        <f>IF($G8="","",ADRYr2!AS8)</f>
        <v/>
      </c>
      <c r="DV8" s="971" t="str">
        <f>IF($G8="","",ADRYr2!AT8)</f>
        <v/>
      </c>
      <c r="DW8" s="1162" t="str">
        <f>IF($G8="","",INDEX(AvoidedEnergy!$H$4:$H$10,MATCH($DO8,AvoidedEnergy!$A$4:$A$10,0)))</f>
        <v/>
      </c>
    </row>
    <row r="9" spans="1:127">
      <c r="A9" s="160" t="str">
        <f>IF(ADRYr2!$B9=0,"",ADRYr2!A9)</f>
        <v>A - Residential</v>
      </c>
      <c r="B9" s="9" t="str">
        <f>IF(ADRYr2!$B9=0,"",ADRYr2!B9)</f>
        <v>A5 - Residential Active Demand Response</v>
      </c>
      <c r="C9" s="9" t="str">
        <f>IF(ADRYr2!$B9=0,"",ADRYr2!C9)</f>
        <v>A5a - Residential Active Demand Response</v>
      </c>
      <c r="D9" s="9" t="str">
        <f>IF(ADRYr2!$B9=0,"",ADRYr2!D9)</f>
        <v>Storage Daily Dispatch Upfront Incentive (savings) Winter</v>
      </c>
      <c r="E9" s="9">
        <f>IF(ADRYr2!$B9=0,"",ADRYr2!E9)</f>
        <v>0</v>
      </c>
      <c r="F9" s="11" t="str">
        <f>IF(ADRYr2!$B9=0,"",ADRYr2!F9)</f>
        <v>Behavior</v>
      </c>
      <c r="G9" s="12" t="str">
        <f>IF(ADRYr2!$G9&lt;&gt;0,ADRYr2!G9,"")</f>
        <v/>
      </c>
      <c r="H9" s="960" t="str">
        <f>IF($G9="","",ROUND(ADRYr2!H9,0))</f>
        <v/>
      </c>
      <c r="I9" s="47" t="str">
        <f>IF($G9="","",ADRYr2!I9*ADRYr2!P9*G9)</f>
        <v/>
      </c>
      <c r="J9" s="47" t="str">
        <f>IF($G9="","",ADRYr2!J9*G9)</f>
        <v/>
      </c>
      <c r="K9" s="47" t="str">
        <f t="shared" si="17"/>
        <v/>
      </c>
      <c r="L9" s="27" t="str">
        <f>IF($G9="","",ADRYr2!V9*G9/1000)</f>
        <v/>
      </c>
      <c r="M9" s="27" t="str">
        <f>IF($G9="","",L9*ADRYr2!$Q9*ADRYr2!$R9)</f>
        <v/>
      </c>
      <c r="N9" s="27" t="str">
        <f t="shared" si="18"/>
        <v/>
      </c>
      <c r="O9" s="27" t="str">
        <f t="shared" si="19"/>
        <v/>
      </c>
      <c r="P9" s="27" t="str">
        <f>IF($G9="","",M9*ADRYr2!P9)</f>
        <v/>
      </c>
      <c r="Q9" s="27" t="str">
        <f t="shared" si="20"/>
        <v/>
      </c>
      <c r="R9" s="27" t="str">
        <f>IF($G9="","",$Q9*ADRYr2!Z9)</f>
        <v/>
      </c>
      <c r="S9" s="27" t="str">
        <f>IF($G9="","",$Q9*ADRYr2!AA9)</f>
        <v/>
      </c>
      <c r="T9" s="27" t="str">
        <f>IF($G9="","",$Q9*ADRYr2!AB9)</f>
        <v/>
      </c>
      <c r="U9" s="27" t="str">
        <f>IF($G9="","",$Q9*ADRYr2!AC9)</f>
        <v/>
      </c>
      <c r="V9" s="27" t="str">
        <f>IF($G9="","",G9*ADRYr2!$AD9*ADRYr2!$P9*ADRYr2!$Q9)</f>
        <v/>
      </c>
      <c r="W9" s="27" t="str">
        <f>IF($G9="","",$G9*ADRYr2!$AD9*ADRYr2!$AF9*ADRYr2!Q9*ADRYr2!$S9)</f>
        <v/>
      </c>
      <c r="X9" s="27" t="str">
        <f>IF($G9="","",$G9*ADRYr2!$AD9*ADRYr2!$AF9*ADRYr2!P9*ADRYr2!Q9*ADRYr2!$S9)</f>
        <v/>
      </c>
      <c r="Y9" s="27" t="str">
        <f>IF($G9="","",$G9*ADRYr2!$AD9*ADRYr2!$AE9*ADRYr2!Q9*ADRYr2!$T9)</f>
        <v/>
      </c>
      <c r="Z9" s="27" t="str">
        <f>IF($G9="","",$G9*ADRYr2!$AD9*ADRYr2!$AE9*ADRYr2!P9*ADRYr2!Q9*ADRYr2!$T9)</f>
        <v/>
      </c>
      <c r="AA9" s="45" t="str">
        <f>IF($G9="","",$G9*ADRYr2!$Q9*ADRYr2!$U9*(IF(IFERROR(SEARCH("NG", ADRYr2!$AI9),0),ADRYr2!$AJ9,0)+IF(IFERROR(SEARCH("NG", ADRYr2!$AK9),0),ADRYr2!$AL9,0)+IF(IFERROR(SEARCH("NG", ADRYr2!$AM9),0),ADRYr2!$AN9,0)))</f>
        <v/>
      </c>
      <c r="AB9" s="45" t="str">
        <f t="shared" si="21"/>
        <v/>
      </c>
      <c r="AC9" s="45">
        <f>IF($G9="",0,AA9*ADRYr2!$P9)</f>
        <v>0</v>
      </c>
      <c r="AD9" s="45" t="str">
        <f t="shared" si="22"/>
        <v/>
      </c>
      <c r="AE9" s="45" t="str">
        <f>IF($G9="","",$G9*ADRYr2!$Q9*ADRYr2!$U9*(IF(IFERROR(SEARCH("Oil", ADRYr2!$AI9), 0),ADRYr2!$AJ9,0)+IF(IFERROR(SEARCH("Oil", ADRYr2!$AK9), 0),ADRYr2!$AL9,0)+IF(IFERROR(SEARCH("Oil", ADRYr2!$AM9), 0),ADRYr2!$AN9,0)))</f>
        <v/>
      </c>
      <c r="AF9" s="45" t="str">
        <f t="shared" si="23"/>
        <v/>
      </c>
      <c r="AG9" s="45">
        <f>IF($G9="",0,AE9*ADRYr2!$P9)</f>
        <v>0</v>
      </c>
      <c r="AH9" s="45" t="str">
        <f t="shared" si="24"/>
        <v/>
      </c>
      <c r="AI9" s="45" t="str">
        <f>IF($G9="","",$G9*ADRYr2!$Q9*ADRYr2!$U9*(IF(ADRYr2!$AI9=Lookups!$E$116,ADRYr2!$AJ9,IF(ADRYr2!$AK9=Lookups!$E$116,ADRYr2!$AL9,IF(ADRYr2!$AM9=Lookups!$E$116,ADRYr2!$AN9,0)))))</f>
        <v/>
      </c>
      <c r="AJ9" s="45" t="str">
        <f t="shared" si="25"/>
        <v/>
      </c>
      <c r="AK9" s="45">
        <f>IF($G9="",0,AI9*ADRYr2!$P9)</f>
        <v>0</v>
      </c>
      <c r="AL9" s="45" t="str">
        <f t="shared" si="26"/>
        <v/>
      </c>
      <c r="AM9" s="45" t="str">
        <f>IF($G9="","",$G9*ADRYr2!$Q9*ADRYr2!$U9*(IF(ADRYr2!$AI9=Lookups!$E$115,ADRYr2!$AJ9,IF(ADRYr2!$AK9=Lookups!$E$115,ADRYr2!$AL9,IF(ADRYr2!$AM9=Lookups!$E$115,ADRYr2!$AN9,0)))))</f>
        <v/>
      </c>
      <c r="AN9" s="45" t="str">
        <f t="shared" si="27"/>
        <v/>
      </c>
      <c r="AO9" s="45">
        <f>IF($G9="",0,AM9*ADRYr2!$P9)</f>
        <v>0</v>
      </c>
      <c r="AP9" s="45" t="str">
        <f t="shared" si="28"/>
        <v/>
      </c>
      <c r="AQ9" s="45" t="str">
        <f>IF($G9="","",$G9*ADRYr2!$Q9*ADRYr2!$U9*(IF(ADRYr2!$AI9=Lookups!$E$117,ADRYr2!$AJ9,IF(ADRYr2!$AK9=Lookups!$E$117,ADRYr2!$AL9,IF(ADRYr2!$AM9=Lookups!$E$117,ADRYr2!$AN9,0)))))</f>
        <v/>
      </c>
      <c r="AR9" s="45" t="str">
        <f t="shared" si="29"/>
        <v/>
      </c>
      <c r="AS9" s="45" t="str">
        <f>IF($G9="","",AQ9*ADRYr2!$P9)</f>
        <v/>
      </c>
      <c r="AT9" s="45" t="str">
        <f t="shared" si="30"/>
        <v/>
      </c>
      <c r="AU9" s="45" t="str">
        <f>IF($G9="","",$G9*ADRYr2!$Q9*ADRYr2!$U9*(IF(ADRYr2!$AI9=Lookups!$E$118,ADRYr2!$AJ9,IF(ADRYr2!$AK9=Lookups!$E$118,ADRYr2!$AL9,IF(ADRYr2!$AM9=Lookups!$E$118,ADRYr2!$AN9,0)))))</f>
        <v/>
      </c>
      <c r="AV9" s="45" t="str">
        <f t="shared" si="31"/>
        <v/>
      </c>
      <c r="AW9" s="45" t="str">
        <f>IF($G9="","",AU9*ADRYr2!$P9)</f>
        <v/>
      </c>
      <c r="AX9" s="45" t="str">
        <f t="shared" si="32"/>
        <v/>
      </c>
      <c r="AY9" s="45">
        <f t="shared" si="33"/>
        <v>0</v>
      </c>
      <c r="AZ9" s="45">
        <f t="shared" si="33"/>
        <v>0</v>
      </c>
      <c r="BA9" s="101" t="str">
        <f>IF($G9="","",$G9*ADRYr2!$P9*ADRYr2!$Q9*ADRYr2!$U9*ADRYr2!AO9)</f>
        <v/>
      </c>
      <c r="BB9" s="102" t="str">
        <f>IF($G9="","",$G9*ADRYr2!$P9*ADRYr2!$Q9*ADRYr2!$U9*ADRYr2!AP9)</f>
        <v/>
      </c>
      <c r="BC9" s="100" t="str">
        <f t="shared" si="34"/>
        <v/>
      </c>
      <c r="BD9" s="961"/>
      <c r="BE9" s="961"/>
      <c r="BF9" s="961"/>
      <c r="BG9" s="961"/>
      <c r="BH9" s="962" t="str">
        <f t="shared" si="3"/>
        <v/>
      </c>
      <c r="BI9" s="961"/>
      <c r="BJ9" s="961"/>
      <c r="BK9" s="961"/>
      <c r="BL9" s="961"/>
      <c r="BM9" s="30" t="str">
        <f t="shared" si="4"/>
        <v/>
      </c>
      <c r="BN9" s="963" t="str">
        <f t="shared" si="5"/>
        <v/>
      </c>
      <c r="BO9" s="31" t="str">
        <f t="shared" si="35"/>
        <v/>
      </c>
      <c r="BP9" s="964" t="str">
        <f t="shared" si="6"/>
        <v/>
      </c>
      <c r="BQ9" s="28" t="str">
        <f t="shared" si="7"/>
        <v/>
      </c>
      <c r="BR9" s="964" t="str">
        <f t="shared" si="8"/>
        <v/>
      </c>
      <c r="BS9" s="964" t="str">
        <f t="shared" si="9"/>
        <v/>
      </c>
      <c r="BT9" s="28" t="str">
        <f t="shared" si="10"/>
        <v/>
      </c>
      <c r="BU9" s="28" t="str">
        <f t="shared" si="10"/>
        <v/>
      </c>
      <c r="BV9" s="28" t="str">
        <f t="shared" si="10"/>
        <v/>
      </c>
      <c r="BW9" s="29" t="str">
        <f t="shared" si="36"/>
        <v/>
      </c>
      <c r="BX9" s="29" t="str">
        <f t="shared" si="37"/>
        <v/>
      </c>
      <c r="BY9" s="28" t="str">
        <f>IF($G9="","",$G9*(IF(ADRYr2!$AI9=BY$4,ADRYr2!$AJ9,IF(ADRYr2!$AK9=BY$4,ADRYr2!$AL9,IF(ADRYr2!$AM9=BY$4,ADRYr2!$AN9,0))))*(INDEX(avoidedcosttbl2,$H9,BY$2)+(($H9-ROUNDDOWN($H9,0))*(INDEX(avoidedcosttbl2,ROUNDUP($H9,0),BY$2)-(INDEX(avoidedcosttbl2,ROUNDDOWN($H9,0),BY$2)))))*ADRYr2!P9*ADRYr2!Q9*ADRYr2!U9)</f>
        <v/>
      </c>
      <c r="BZ9" s="28" t="str">
        <f>IF($G9="","",$G9*(IF(ADRYr2!$AI9=BZ$4,ADRYr2!$AJ9,IF(ADRYr2!$AK9=BZ$4,ADRYr2!$AL9,IF(ADRYr2!$AM9=BZ$4,ADRYr2!$AN9,0))))*(INDEX(avoidedcosttbl2,$H9,BZ$2)+(($H9-ROUNDDOWN($H9,0))*(INDEX(avoidedcosttbl2,ROUNDUP($H9,0),BZ$2)-(INDEX(avoidedcosttbl2,ROUNDDOWN($H9,0),BZ$2)))))*ADRYr2!P9*ADRYr2!Q9*ADRYr2!U9)</f>
        <v/>
      </c>
      <c r="CA9" s="28" t="str">
        <f>IF($G9="","",$G9*(IF(ADRYr2!$AI9=CA$4,ADRYr2!$AJ9,IF(ADRYr2!$AK9=CA$4,ADRYr2!$AL9,IF(ADRYr2!$AM9=CA$4,ADRYr2!$AN9,0))))*(INDEX(avoidedcosttbl2,$H9,CA$2)+(($H9-ROUNDDOWN($H9,0))*(INDEX(avoidedcosttbl2,ROUNDUP($H9,0),CA$2)-(INDEX(avoidedcosttbl2,ROUNDDOWN($H9,0),CA$2)))))*ADRYr2!P9*ADRYr2!Q9*ADRYr2!U9)</f>
        <v/>
      </c>
      <c r="CB9" s="28" t="str">
        <f>IF($G9="","",$G9*(IF(ADRYr2!$AI9=CB$4,ADRYr2!$AJ9,IF(ADRYr2!$AK9=CB$4,ADRYr2!$AL9,IF(ADRYr2!$AM9=CB$4,ADRYr2!$AN9,0))))*(INDEX(avoidedcosttbl2,$H9,CB$2)+(($H9-ROUNDDOWN($H9,0))*(INDEX(avoidedcosttbl2,ROUNDUP($H9,0),CB$2)-(INDEX(avoidedcosttbl2,ROUNDDOWN($H9,0),CB$2)))))*ADRYr2!P9*ADRYr2!Q9*ADRYr2!U9)</f>
        <v/>
      </c>
      <c r="CC9" s="28" t="str">
        <f>IF($G9="","",$G9*(IF(ADRYr2!$AI9=CC$4,ADRYr2!$AJ9,IF(ADRYr2!$AK9=CC$4,ADRYr2!$AL9,IF(ADRYr2!$AM9=CC$4,ADRYr2!$AN9,0))))*(INDEX(avoidedcosttbl2,$H9,CC$2)+(($H9-ROUNDDOWN($H9,0))*(INDEX(avoidedcosttbl2,ROUNDUP($H9,0),CC$2)-(INDEX(avoidedcosttbl2,ROUNDDOWN($H9,0),CC$2)))))*ADRYr2!P9*ADRYr2!Q9*ADRYr2!U9)</f>
        <v/>
      </c>
      <c r="CD9" s="28" t="str">
        <f>IF($G9="","",$G9*(IF(ADRYr2!$AI9=CD$4,ADRYr2!$AJ9,IF(ADRYr2!$AK9=CD$4,ADRYr2!$AL9,IF(ADRYr2!$AM9=CD$4,ADRYr2!$AN9,0))))*(INDEX(avoidedcosttbl2,$H9,CD$2)+(($H9-ROUNDDOWN($H9,0))*(INDEX(avoidedcosttbl2,ROUNDUP($H9,0),CD$2)-(INDEX(avoidedcosttbl2,ROUNDDOWN($H9,0),CD$2)))))*ADRYr2!P9*ADRYr2!Q9*ADRYr2!U9)</f>
        <v/>
      </c>
      <c r="CE9" s="28" t="str">
        <f>IF($G9="","",$G9*(IF(ADRYr2!$AI9=CE$4,ADRYr2!$AJ9,IF(ADRYr2!$AK9=CE$4,ADRYr2!$AL9,IF(ADRYr2!$AM9=CE$4,ADRYr2!$AN9,0))))*(INDEX(avoidedcosttbl2,$H9,CE$2)+(($H9-ROUNDDOWN($H9,0))*(INDEX(avoidedcosttbl2,ROUNDUP($H9,0),CE$2)-(INDEX(avoidedcosttbl2,ROUNDDOWN($H9,0),CE$2)))))*ADRYr2!P9*ADRYr2!Q9*ADRYr2!U9)</f>
        <v/>
      </c>
      <c r="CF9" s="41" t="str">
        <f t="shared" si="38"/>
        <v/>
      </c>
      <c r="CG9" s="30" t="str">
        <f t="shared" si="11"/>
        <v/>
      </c>
      <c r="CH9" s="30" t="str">
        <f>IF($G9="","",$G9*(IF(ADRYr2!$AI9=BY$4,ADRYr2!$AJ9,IF(ADRYr2!$AK9=BY$4,ADRYr2!$AL9,IF(ADRYr2!$AM9=BY$4,ADRYr2!$AN9,0))))*(INDEX(avoidedcosttbl2,$H9,CH$2)+(($H9-ROUNDDOWN($H9,0))*(INDEX(avoidedcosttbl2,ROUNDUP($H9,0),CH$2)-(INDEX(avoidedcosttbl2,ROUNDDOWN($H9,0),CH$2)))))*ADRYr2!P9*ADRYr2!Q9*ADRYr2!U9)</f>
        <v/>
      </c>
      <c r="CI9" s="30" t="str">
        <f>IF($G9="","",$G9*(IF(ADRYr2!$AI9=BZ$4,ADRYr2!$AJ9,IF(ADRYr2!$AK9=BZ$4,ADRYr2!$AL9,IF(ADRYr2!$AM9=BZ$4,ADRYr2!$AN9,0))))*(INDEX(avoidedcosttbl2,$H9,CI$2)+(($H9-ROUNDDOWN($H9,0))*(INDEX(avoidedcosttbl2,ROUNDUP($H9,0),CI$2)-(INDEX(avoidedcosttbl2,ROUNDDOWN($H9,0),CI$2)))))*ADRYr2!P9*ADRYr2!Q9*ADRYr2!U9)</f>
        <v/>
      </c>
      <c r="CJ9" s="30" t="str">
        <f>IF($G9="","",$G9*(IF(ADRYr2!$AI9=CA$4,ADRYr2!$AJ9,IF(ADRYr2!$AK9=CA$4,ADRYr2!$AL9,IF(ADRYr2!$AM9=CA$4,ADRYr2!$AN9,0))))*(INDEX(avoidedcosttbl2,$H9,CJ$2)+(($H9-ROUNDDOWN($H9,0))*(INDEX(avoidedcosttbl2,ROUNDUP($H9,0),CJ$2)-(INDEX(avoidedcosttbl2,ROUNDDOWN($H9,0),CJ$2)))))*ADRYr2!P9*ADRYr2!Q9*ADRYr2!U9)</f>
        <v/>
      </c>
      <c r="CK9" s="30" t="str">
        <f>IF($G9="","",$G9*(IF(ADRYr2!$AI9=CB$4,ADRYr2!$AJ9,IF(ADRYr2!$AK9=CB$4,ADRYr2!$AL9,IF(ADRYr2!$AM9=CB$4,ADRYr2!$AN9,0))))*(INDEX(avoidedcosttbl2,$H9,CK$2)+(($H9-ROUNDDOWN($H9,0))*(INDEX(avoidedcosttbl2,ROUNDUP($H9,0),CK$2)-(INDEX(avoidedcosttbl2,ROUNDDOWN($H9,0),CK$2)))))*ADRYr2!P9*ADRYr2!Q9*ADRYr2!U9)</f>
        <v/>
      </c>
      <c r="CL9" s="30" t="str">
        <f>IF($G9="","",$G9*(IF(ADRYr2!$AI9=CC$4,ADRYr2!$AJ9,IF(ADRYr2!$AK9=CC$4,ADRYr2!$AL9,IF(ADRYr2!$AM9=CC$4,ADRYr2!$AN9,0))))*(INDEX(avoidedcosttbl2,$H9,CL$2)+(($H9-ROUNDDOWN($H9,0))*(INDEX(avoidedcosttbl2,ROUNDUP($H9,0),CL$2)-(INDEX(avoidedcosttbl2,ROUNDDOWN($H9,0),CL$2)))))*ADRYr2!P9*ADRYr2!Q9*ADRYr2!U9)</f>
        <v/>
      </c>
      <c r="CM9" s="30" t="str">
        <f>IF($G9="","",$G9*(IF(ADRYr2!$AI9=CD$4,ADRYr2!$AJ9,IF(ADRYr2!$AK9=CD$4,ADRYr2!$AL9,IF(ADRYr2!$AM9=CD$4,ADRYr2!$AN9,0))))*(INDEX(avoidedcosttbl2,$H9,CM$2)+(($H9-ROUNDDOWN($H9,0))*(INDEX(avoidedcosttbl2,ROUNDUP($H9,0),CM$2)-(INDEX(avoidedcosttbl2,ROUNDDOWN($H9,0),CM$2)))))*ADRYr2!P9*ADRYr2!Q9*ADRYr2!U9)</f>
        <v/>
      </c>
      <c r="CN9" s="30" t="str">
        <f>IF($G9="","",$G9*(IF(ADRYr2!$AI9=CE$4,ADRYr2!$AJ9,IF(ADRYr2!$AK9=CE$4,ADRYr2!$AL9,IF(ADRYr2!$AM9=CE$4,ADRYr2!$AN9,0))))*(INDEX(avoidedcosttbl2,$H9,CN$2)+(($H9-ROUNDDOWN($H9,0))*(INDEX(avoidedcosttbl2,ROUNDUP($H9,0),CN$2)-(INDEX(avoidedcosttbl2,ROUNDDOWN($H9,0),CN$2)))))*ADRYr2!P9*ADRYr2!Q9*ADRYr2!U9)</f>
        <v/>
      </c>
      <c r="CO9" s="220" t="str">
        <f t="shared" si="39"/>
        <v/>
      </c>
      <c r="CP9" s="220" t="str">
        <f t="shared" si="40"/>
        <v/>
      </c>
      <c r="CQ9" s="157" t="str">
        <f>IF($G9="","",$G9*(IF(ADRYr2!$AI9=CQ$4,ADRYr2!$AJ9,IF(ADRYr2!$AK9=CQ$4,ADRYr2!$AL9,IF(ADRYr2!$AM9=CQ$4,ADRYr2!$AN9,0))))*(INDEX(avoidedcosttbl2,$H9,CQ$2)+(($H9-ROUNDDOWN($H9,0))*(INDEX(avoidedcosttbl2,ROUNDUP($H9,0),CQ$2)-(INDEX(avoidedcosttbl2,ROUNDDOWN($H9,0),CQ$2)))))*ADRYr2!$P9*ADRYr2!$Q9*ADRYr2!$U9)</f>
        <v/>
      </c>
      <c r="CR9" s="28" t="str">
        <f>IF($G9="","",G9*(IF(ADRYr2!$AI9=CR$4,ADRYr2!$AJ9,IF(ADRYr2!$AK9=CR$4,ADRYr2!$AL9,IF(ADRYr2!$AM9=CR$4,ADRYr2!$AN9,0))))*(INDEX(avoidedcosttbl2,$H9,CR$2)+(($H9-ROUNDDOWN($H9,0))*(INDEX(avoidedcosttbl2,ROUNDUP($H9,0),CR$2)-(INDEX(avoidedcosttbl2,ROUNDDOWN($H9,0),CR$2)))))*ADRYr2!$P9*ADRYr2!$Q9*ADRYr2!$U9)</f>
        <v/>
      </c>
      <c r="CS9" s="28" t="str">
        <f>IF($G9="","",G9*(IF(ADRYr2!$AI9=CS$4,ADRYr2!$AJ9,IF(ADRYr2!$AK9=CS$4,ADRYr2!$AL9,IF(ADRYr2!$AM9=CS$4,ADRYr2!$AN9,0))))*(INDEX(avoidedcosttbl2,$H9,CS$2)+(($H9-ROUNDDOWN($H9,0))*(INDEX(avoidedcosttbl2,ROUNDUP($H9,0),CS$2)-(INDEX(avoidedcosttbl2,ROUNDDOWN($H9,0),CS$2)))))*ADRYr2!$P9*ADRYr2!$Q9*ADRYr2!$U9)</f>
        <v/>
      </c>
      <c r="CT9" s="28" t="str">
        <f t="shared" si="12"/>
        <v/>
      </c>
      <c r="CU9" s="28" t="str">
        <f>IF($G9="","",G9*(IF(ADRYr2!$AI9=CU$4,ADRYr2!$AJ9,IF(ADRYr2!$AK9=CU$4,ADRYr2!$AL9,IF(ADRYr2!$AM9=CU$4,ADRYr2!$AN9,0))))*(INDEX(avoidedcosttbl2,$H9,CU$2)+(($H9-ROUNDDOWN($H9,0))*(INDEX(avoidedcosttbl2,ROUNDUP($H9,0),CU$2)-(INDEX(avoidedcosttbl2,ROUNDDOWN($H9,0),CU$2)))))*ADRYr2!$P9*ADRYr2!$Q9*ADRYr2!$U9)</f>
        <v/>
      </c>
      <c r="CV9" s="28" t="str">
        <f>IF($G9="","",G9*(IF(ADRYr2!$AI9=CV$4,ADRYr2!$AJ9,IF(ADRYr2!$AK9=CV$4,ADRYr2!$AL9,IF(ADRYr2!$AM9=CV$4,ADRYr2!$AN9,0))))*(INDEX(avoidedcosttbl2,$H9,CV$2)+(($H9-ROUNDDOWN($H9,0))*(INDEX(avoidedcosttbl2,ROUNDUP($H9,0),CV$2)-(INDEX(avoidedcosttbl2,ROUNDDOWN($H9,0),CV$2)))))*ADRYr2!$P9*ADRYr2!$Q9*ADRYr2!$U9)</f>
        <v/>
      </c>
      <c r="CW9" s="28" t="str">
        <f>IF($G9="","",G9*(IF(ADRYr2!$AI9=CW$4,ADRYr2!$AJ9,IF(ADRYr2!$AK9=CW$4,ADRYr2!$AL9,IF(ADRYr2!$AM9=CW$4,ADRYr2!$AN9,0))))*(INDEX(avoidedcosttbl2,$H9,CW$2)+(($H9-ROUNDDOWN($H9,0))*(INDEX(avoidedcosttbl2,ROUNDUP($H9,0),CW$2)-(INDEX(avoidedcosttbl2,ROUNDDOWN($H9,0),CW$2)))))*ADRYr2!$P9*ADRYr2!$Q9*ADRYr2!$U9)</f>
        <v/>
      </c>
      <c r="CX9" s="28" t="str">
        <f>IF($G9="","",G9*(IF(ADRYr2!$AI9=CX$4,ADRYr2!$AJ9,IF(ADRYr2!$AK9=CX$4,ADRYr2!$AL9,IF(ADRYr2!$AM9=CX$4,ADRYr2!$AN9,0))))*(INDEX(avoidedcosttbl2,$H9,CX$2)+(($H9-ROUNDDOWN($H9,0))*(INDEX(avoidedcosttbl2,ROUNDUP($H9,0),CX$2)-(INDEX(avoidedcosttbl2,ROUNDDOWN($H9,0),CX$2)))))*ADRYr2!$P9*ADRYr2!$Q9*ADRYr2!$U9)</f>
        <v/>
      </c>
      <c r="CY9" s="28" t="str">
        <f t="shared" si="13"/>
        <v/>
      </c>
      <c r="CZ9" s="32" t="str">
        <f t="shared" si="14"/>
        <v/>
      </c>
      <c r="DA9" s="84" t="str">
        <f t="shared" si="41"/>
        <v/>
      </c>
      <c r="DB9" s="81" t="str">
        <f>IF(NEIadder="Yes",IF($G9="","",INDEX(Lookups!$G$70:$G$71,MATCH($A9,Lookups!$E$70:$E$71,0))*(SUM(CP9:CX9,BX9))),"")</f>
        <v/>
      </c>
      <c r="DC9" s="263" t="str">
        <f t="shared" si="15"/>
        <v/>
      </c>
      <c r="DD9" s="166" t="str">
        <f t="shared" si="16"/>
        <v/>
      </c>
      <c r="DE9" s="82">
        <f t="shared" si="42"/>
        <v>0</v>
      </c>
      <c r="DF9" s="615" t="str">
        <f>IF($G9="","",(1+WntPeakEnergyLL)*(INDEX(avoidedcosttbl2,$H9,DF$2)+(($H9-ROUNDDOWN($H9,0))*(INDEX(avoidedcosttbl2,ROUNDUP($H9,0),DF$2)-(INDEX(avoidedcosttbl2,ROUNDDOWN($H9,0),DF$2)))))*$P9*1000*ADRYr2!Z9)</f>
        <v/>
      </c>
      <c r="DG9" s="615" t="str">
        <f>IF($G9="","",(1+WntOffPeakEnergyLL)*(INDEX(avoidedcosttbl2,$H9,DG$2)+(($H9-ROUNDDOWN($H9,0))*(INDEX(avoidedcosttbl2,ROUNDUP($H9,0),DG$2)-(INDEX(avoidedcosttbl2,ROUNDDOWN($H9,0),DG$2)))))*$P9*1000*ADRYr2!AA9)</f>
        <v/>
      </c>
      <c r="DH9" s="615" t="str">
        <f>IF($G9="","",(1+SumPeakEnergyLL)*(INDEX(avoidedcosttbl2,$H9,DH$2)+(($H9-ROUNDDOWN($H9,0))*(INDEX(avoidedcosttbl2,ROUNDUP($H9,0),DH$2)-(INDEX(avoidedcosttbl2,ROUNDDOWN($H9,0),DH$2)))))*$P9*1000*ADRYr2!AB9)</f>
        <v/>
      </c>
      <c r="DI9" s="615" t="str">
        <f>IF($G9="","",(1+SumOffPeakEnergyLL)*(INDEX(avoidedcosttbl2,$H9,DI$2)+(($H9-ROUNDDOWN($H9,0))*(INDEX(avoidedcosttbl2,ROUNDUP($H9,0),DI$2)-(INDEX(avoidedcosttbl2,ROUNDDOWN($H9,0),DI$2)))))*$P9*1000*ADRYr2!AC9)</f>
        <v/>
      </c>
      <c r="DJ9" s="29" t="str">
        <f t="shared" si="43"/>
        <v/>
      </c>
      <c r="DK9" s="161" t="str">
        <f t="shared" si="44"/>
        <v/>
      </c>
      <c r="DL9" s="1189" t="str">
        <f t="shared" si="45"/>
        <v/>
      </c>
      <c r="DM9" s="1189" t="str">
        <f t="shared" si="46"/>
        <v/>
      </c>
      <c r="DN9" s="43" t="str">
        <f t="shared" si="47"/>
        <v/>
      </c>
      <c r="DO9" s="966" t="str">
        <f>IF($G9="","",ADRYr2!AQ9)</f>
        <v/>
      </c>
      <c r="DP9" s="968" t="str">
        <f>IF($G9="","",ADRYr2!AR9)</f>
        <v/>
      </c>
      <c r="DQ9" s="970" t="str">
        <f>IF($G9="","",IF($DP9="Yes",COLUMN(AESC!$L$10),IF($DP9="No","Using AvoidedDemand tab",IF($DP9="Mixed",COLUMN(AESC!$N$10)))))</f>
        <v/>
      </c>
      <c r="DR9" s="970" t="str">
        <f>IF($G9="","",IF($DP9="Yes",COLUMN(AESC!$P$10),IF($DP9="No","Using AvoidedDemand tab",IF($DP9="Mixed",COLUMN(AESC!$R$10)))))</f>
        <v/>
      </c>
      <c r="DS9" s="970" t="str">
        <f>IF($G9="","",IF($DP9="Yes",COLUMN(AESC!$S$10),IF($DP9="No",COLUMN(AESC!$T$10),IF($DP9="Mixed",COLUMN(AESC!$U$10)))))</f>
        <v/>
      </c>
      <c r="DT9" s="970" t="str">
        <f t="shared" si="48"/>
        <v/>
      </c>
      <c r="DU9" s="970" t="str">
        <f>IF($G9="","",ADRYr2!AS9)</f>
        <v/>
      </c>
      <c r="DV9" s="971" t="str">
        <f>IF($G9="","",ADRYr2!AT9)</f>
        <v/>
      </c>
      <c r="DW9" s="1162" t="str">
        <f>IF($G9="","",INDEX(AvoidedEnergy!$H$4:$H$10,MATCH($DO9,AvoidedEnergy!$A$4:$A$10,0)))</f>
        <v/>
      </c>
    </row>
    <row r="10" spans="1:127">
      <c r="A10" s="160" t="str">
        <f>IF(ADRYr2!$B10=0,"",ADRYr2!A10)</f>
        <v>A - Residential</v>
      </c>
      <c r="B10" s="9" t="str">
        <f>IF(ADRYr2!$B10=0,"",ADRYr2!B10)</f>
        <v>A5 - Residential Active Demand Response</v>
      </c>
      <c r="C10" s="9" t="str">
        <f>IF(ADRYr2!$B10=0,"",ADRYr2!C10)</f>
        <v>A5a - Residential Active Demand Response</v>
      </c>
      <c r="D10" s="9" t="str">
        <f>IF(ADRYr2!$B10=0,"",ADRYr2!D10)</f>
        <v>Storage Daily Dispatch Upfront Incentive (consumption) Winter</v>
      </c>
      <c r="E10" s="9">
        <f>IF(ADRYr2!$B10=0,"",ADRYr2!E10)</f>
        <v>0</v>
      </c>
      <c r="F10" s="11" t="str">
        <f>IF(ADRYr2!$B10=0,"",ADRYr2!F10)</f>
        <v>Behavior</v>
      </c>
      <c r="G10" s="12" t="str">
        <f>IF(ADRYr2!$G10&lt;&gt;0,ADRYr2!G10,"")</f>
        <v/>
      </c>
      <c r="H10" s="960" t="str">
        <f>IF($G10="","",ROUND(ADRYr2!H10,0))</f>
        <v/>
      </c>
      <c r="I10" s="47" t="str">
        <f>IF($G10="","",ADRYr2!I10*ADRYr2!P10*G10)</f>
        <v/>
      </c>
      <c r="J10" s="47" t="str">
        <f>IF($G10="","",ADRYr2!J10*G10)</f>
        <v/>
      </c>
      <c r="K10" s="47" t="str">
        <f t="shared" si="17"/>
        <v/>
      </c>
      <c r="L10" s="27" t="str">
        <f>IF($G10="","",ADRYr2!V10*G10/1000)</f>
        <v/>
      </c>
      <c r="M10" s="27" t="str">
        <f>IF($G10="","",L10*ADRYr2!$Q10*ADRYr2!$R10)</f>
        <v/>
      </c>
      <c r="N10" s="27" t="str">
        <f t="shared" si="18"/>
        <v/>
      </c>
      <c r="O10" s="27" t="str">
        <f t="shared" si="19"/>
        <v/>
      </c>
      <c r="P10" s="27" t="str">
        <f>IF($G10="","",M10*ADRYr2!P10)</f>
        <v/>
      </c>
      <c r="Q10" s="27" t="str">
        <f t="shared" si="20"/>
        <v/>
      </c>
      <c r="R10" s="27" t="str">
        <f>IF($G10="","",$Q10*ADRYr2!Z10)</f>
        <v/>
      </c>
      <c r="S10" s="27" t="str">
        <f>IF($G10="","",$Q10*ADRYr2!AA10)</f>
        <v/>
      </c>
      <c r="T10" s="27" t="str">
        <f>IF($G10="","",$Q10*ADRYr2!AB10)</f>
        <v/>
      </c>
      <c r="U10" s="27" t="str">
        <f>IF($G10="","",$Q10*ADRYr2!AC10)</f>
        <v/>
      </c>
      <c r="V10" s="27" t="str">
        <f>IF($G10="","",G10*ADRYr2!$AD10*ADRYr2!$P10*ADRYr2!$Q10)</f>
        <v/>
      </c>
      <c r="W10" s="27" t="str">
        <f>IF($G10="","",$G10*ADRYr2!$AD10*ADRYr2!$AF10*ADRYr2!Q10*ADRYr2!$S10)</f>
        <v/>
      </c>
      <c r="X10" s="27" t="str">
        <f>IF($G10="","",$G10*ADRYr2!$AD10*ADRYr2!$AF10*ADRYr2!P10*ADRYr2!Q10*ADRYr2!$S10)</f>
        <v/>
      </c>
      <c r="Y10" s="27" t="str">
        <f>IF($G10="","",$G10*ADRYr2!$AD10*ADRYr2!$AE10*ADRYr2!Q10*ADRYr2!$T10)</f>
        <v/>
      </c>
      <c r="Z10" s="27" t="str">
        <f>IF($G10="","",$G10*ADRYr2!$AD10*ADRYr2!$AE10*ADRYr2!P10*ADRYr2!Q10*ADRYr2!$T10)</f>
        <v/>
      </c>
      <c r="AA10" s="45" t="str">
        <f>IF($G10="","",$G10*ADRYr2!$Q10*ADRYr2!$U10*(IF(IFERROR(SEARCH("NG", ADRYr2!$AI10),0),ADRYr2!$AJ10,0)+IF(IFERROR(SEARCH("NG", ADRYr2!$AK10),0),ADRYr2!$AL10,0)+IF(IFERROR(SEARCH("NG", ADRYr2!$AM10),0),ADRYr2!$AN10,0)))</f>
        <v/>
      </c>
      <c r="AB10" s="45" t="str">
        <f t="shared" si="21"/>
        <v/>
      </c>
      <c r="AC10" s="45">
        <f>IF($G10="",0,AA10*ADRYr2!$P10)</f>
        <v>0</v>
      </c>
      <c r="AD10" s="45" t="str">
        <f t="shared" si="22"/>
        <v/>
      </c>
      <c r="AE10" s="45" t="str">
        <f>IF($G10="","",$G10*ADRYr2!$Q10*ADRYr2!$U10*(IF(IFERROR(SEARCH("Oil", ADRYr2!$AI10), 0),ADRYr2!$AJ10,0)+IF(IFERROR(SEARCH("Oil", ADRYr2!$AK10), 0),ADRYr2!$AL10,0)+IF(IFERROR(SEARCH("Oil", ADRYr2!$AM10), 0),ADRYr2!$AN10,0)))</f>
        <v/>
      </c>
      <c r="AF10" s="45" t="str">
        <f t="shared" si="23"/>
        <v/>
      </c>
      <c r="AG10" s="45">
        <f>IF($G10="",0,AE10*ADRYr2!$P10)</f>
        <v>0</v>
      </c>
      <c r="AH10" s="45" t="str">
        <f t="shared" si="24"/>
        <v/>
      </c>
      <c r="AI10" s="45" t="str">
        <f>IF($G10="","",$G10*ADRYr2!$Q10*ADRYr2!$U10*(IF(ADRYr2!$AI10=Lookups!$E$116,ADRYr2!$AJ10,IF(ADRYr2!$AK10=Lookups!$E$116,ADRYr2!$AL10,IF(ADRYr2!$AM10=Lookups!$E$116,ADRYr2!$AN10,0)))))</f>
        <v/>
      </c>
      <c r="AJ10" s="45" t="str">
        <f t="shared" si="25"/>
        <v/>
      </c>
      <c r="AK10" s="45">
        <f>IF($G10="",0,AI10*ADRYr2!$P10)</f>
        <v>0</v>
      </c>
      <c r="AL10" s="45" t="str">
        <f t="shared" si="26"/>
        <v/>
      </c>
      <c r="AM10" s="45" t="str">
        <f>IF($G10="","",$G10*ADRYr2!$Q10*ADRYr2!$U10*(IF(ADRYr2!$AI10=Lookups!$E$115,ADRYr2!$AJ10,IF(ADRYr2!$AK10=Lookups!$E$115,ADRYr2!$AL10,IF(ADRYr2!$AM10=Lookups!$E$115,ADRYr2!$AN10,0)))))</f>
        <v/>
      </c>
      <c r="AN10" s="45" t="str">
        <f t="shared" si="27"/>
        <v/>
      </c>
      <c r="AO10" s="45">
        <f>IF($G10="",0,AM10*ADRYr2!$P10)</f>
        <v>0</v>
      </c>
      <c r="AP10" s="45" t="str">
        <f t="shared" si="28"/>
        <v/>
      </c>
      <c r="AQ10" s="45" t="str">
        <f>IF($G10="","",$G10*ADRYr2!$Q10*ADRYr2!$U10*(IF(ADRYr2!$AI10=Lookups!$E$117,ADRYr2!$AJ10,IF(ADRYr2!$AK10=Lookups!$E$117,ADRYr2!$AL10,IF(ADRYr2!$AM10=Lookups!$E$117,ADRYr2!$AN10,0)))))</f>
        <v/>
      </c>
      <c r="AR10" s="45" t="str">
        <f t="shared" si="29"/>
        <v/>
      </c>
      <c r="AS10" s="45" t="str">
        <f>IF($G10="","",AQ10*ADRYr2!$P10)</f>
        <v/>
      </c>
      <c r="AT10" s="45" t="str">
        <f t="shared" si="30"/>
        <v/>
      </c>
      <c r="AU10" s="45" t="str">
        <f>IF($G10="","",$G10*ADRYr2!$Q10*ADRYr2!$U10*(IF(ADRYr2!$AI10=Lookups!$E$118,ADRYr2!$AJ10,IF(ADRYr2!$AK10=Lookups!$E$118,ADRYr2!$AL10,IF(ADRYr2!$AM10=Lookups!$E$118,ADRYr2!$AN10,0)))))</f>
        <v/>
      </c>
      <c r="AV10" s="45" t="str">
        <f t="shared" si="31"/>
        <v/>
      </c>
      <c r="AW10" s="45" t="str">
        <f>IF($G10="","",AU10*ADRYr2!$P10)</f>
        <v/>
      </c>
      <c r="AX10" s="45" t="str">
        <f t="shared" si="32"/>
        <v/>
      </c>
      <c r="AY10" s="45">
        <f t="shared" si="33"/>
        <v>0</v>
      </c>
      <c r="AZ10" s="45">
        <f t="shared" si="33"/>
        <v>0</v>
      </c>
      <c r="BA10" s="101" t="str">
        <f>IF($G10="","",$G10*ADRYr2!$P10*ADRYr2!$Q10*ADRYr2!$U10*ADRYr2!AO10)</f>
        <v/>
      </c>
      <c r="BB10" s="102" t="str">
        <f>IF($G10="","",$G10*ADRYr2!$P10*ADRYr2!$Q10*ADRYr2!$U10*ADRYr2!AP10)</f>
        <v/>
      </c>
      <c r="BC10" s="100" t="str">
        <f t="shared" si="34"/>
        <v/>
      </c>
      <c r="BD10" s="961"/>
      <c r="BE10" s="961"/>
      <c r="BF10" s="961"/>
      <c r="BG10" s="961"/>
      <c r="BH10" s="962" t="str">
        <f t="shared" si="3"/>
        <v/>
      </c>
      <c r="BI10" s="961"/>
      <c r="BJ10" s="961"/>
      <c r="BK10" s="961"/>
      <c r="BL10" s="961"/>
      <c r="BM10" s="30" t="str">
        <f t="shared" si="4"/>
        <v/>
      </c>
      <c r="BN10" s="963" t="str">
        <f t="shared" si="5"/>
        <v/>
      </c>
      <c r="BO10" s="31" t="str">
        <f t="shared" si="35"/>
        <v/>
      </c>
      <c r="BP10" s="964" t="str">
        <f t="shared" si="6"/>
        <v/>
      </c>
      <c r="BQ10" s="28" t="str">
        <f t="shared" si="7"/>
        <v/>
      </c>
      <c r="BR10" s="964" t="str">
        <f t="shared" si="8"/>
        <v/>
      </c>
      <c r="BS10" s="964" t="str">
        <f t="shared" si="9"/>
        <v/>
      </c>
      <c r="BT10" s="28" t="str">
        <f t="shared" si="10"/>
        <v/>
      </c>
      <c r="BU10" s="28" t="str">
        <f t="shared" si="10"/>
        <v/>
      </c>
      <c r="BV10" s="28" t="str">
        <f t="shared" si="10"/>
        <v/>
      </c>
      <c r="BW10" s="29" t="str">
        <f t="shared" si="36"/>
        <v/>
      </c>
      <c r="BX10" s="29" t="str">
        <f t="shared" si="37"/>
        <v/>
      </c>
      <c r="BY10" s="28" t="str">
        <f>IF($G10="","",$G10*(IF(ADRYr2!$AI10=BY$4,ADRYr2!$AJ10,IF(ADRYr2!$AK10=BY$4,ADRYr2!$AL10,IF(ADRYr2!$AM10=BY$4,ADRYr2!$AN10,0))))*(INDEX(avoidedcosttbl2,$H10,BY$2)+(($H10-ROUNDDOWN($H10,0))*(INDEX(avoidedcosttbl2,ROUNDUP($H10,0),BY$2)-(INDEX(avoidedcosttbl2,ROUNDDOWN($H10,0),BY$2)))))*ADRYr2!P10*ADRYr2!Q10*ADRYr2!U10)</f>
        <v/>
      </c>
      <c r="BZ10" s="28" t="str">
        <f>IF($G10="","",$G10*(IF(ADRYr2!$AI10=BZ$4,ADRYr2!$AJ10,IF(ADRYr2!$AK10=BZ$4,ADRYr2!$AL10,IF(ADRYr2!$AM10=BZ$4,ADRYr2!$AN10,0))))*(INDEX(avoidedcosttbl2,$H10,BZ$2)+(($H10-ROUNDDOWN($H10,0))*(INDEX(avoidedcosttbl2,ROUNDUP($H10,0),BZ$2)-(INDEX(avoidedcosttbl2,ROUNDDOWN($H10,0),BZ$2)))))*ADRYr2!P10*ADRYr2!Q10*ADRYr2!U10)</f>
        <v/>
      </c>
      <c r="CA10" s="28" t="str">
        <f>IF($G10="","",$G10*(IF(ADRYr2!$AI10=CA$4,ADRYr2!$AJ10,IF(ADRYr2!$AK10=CA$4,ADRYr2!$AL10,IF(ADRYr2!$AM10=CA$4,ADRYr2!$AN10,0))))*(INDEX(avoidedcosttbl2,$H10,CA$2)+(($H10-ROUNDDOWN($H10,0))*(INDEX(avoidedcosttbl2,ROUNDUP($H10,0),CA$2)-(INDEX(avoidedcosttbl2,ROUNDDOWN($H10,0),CA$2)))))*ADRYr2!P10*ADRYr2!Q10*ADRYr2!U10)</f>
        <v/>
      </c>
      <c r="CB10" s="28" t="str">
        <f>IF($G10="","",$G10*(IF(ADRYr2!$AI10=CB$4,ADRYr2!$AJ10,IF(ADRYr2!$AK10=CB$4,ADRYr2!$AL10,IF(ADRYr2!$AM10=CB$4,ADRYr2!$AN10,0))))*(INDEX(avoidedcosttbl2,$H10,CB$2)+(($H10-ROUNDDOWN($H10,0))*(INDEX(avoidedcosttbl2,ROUNDUP($H10,0),CB$2)-(INDEX(avoidedcosttbl2,ROUNDDOWN($H10,0),CB$2)))))*ADRYr2!P10*ADRYr2!Q10*ADRYr2!U10)</f>
        <v/>
      </c>
      <c r="CC10" s="28" t="str">
        <f>IF($G10="","",$G10*(IF(ADRYr2!$AI10=CC$4,ADRYr2!$AJ10,IF(ADRYr2!$AK10=CC$4,ADRYr2!$AL10,IF(ADRYr2!$AM10=CC$4,ADRYr2!$AN10,0))))*(INDEX(avoidedcosttbl2,$H10,CC$2)+(($H10-ROUNDDOWN($H10,0))*(INDEX(avoidedcosttbl2,ROUNDUP($H10,0),CC$2)-(INDEX(avoidedcosttbl2,ROUNDDOWN($H10,0),CC$2)))))*ADRYr2!P10*ADRYr2!Q10*ADRYr2!U10)</f>
        <v/>
      </c>
      <c r="CD10" s="28" t="str">
        <f>IF($G10="","",$G10*(IF(ADRYr2!$AI10=CD$4,ADRYr2!$AJ10,IF(ADRYr2!$AK10=CD$4,ADRYr2!$AL10,IF(ADRYr2!$AM10=CD$4,ADRYr2!$AN10,0))))*(INDEX(avoidedcosttbl2,$H10,CD$2)+(($H10-ROUNDDOWN($H10,0))*(INDEX(avoidedcosttbl2,ROUNDUP($H10,0),CD$2)-(INDEX(avoidedcosttbl2,ROUNDDOWN($H10,0),CD$2)))))*ADRYr2!P10*ADRYr2!Q10*ADRYr2!U10)</f>
        <v/>
      </c>
      <c r="CE10" s="28" t="str">
        <f>IF($G10="","",$G10*(IF(ADRYr2!$AI10=CE$4,ADRYr2!$AJ10,IF(ADRYr2!$AK10=CE$4,ADRYr2!$AL10,IF(ADRYr2!$AM10=CE$4,ADRYr2!$AN10,0))))*(INDEX(avoidedcosttbl2,$H10,CE$2)+(($H10-ROUNDDOWN($H10,0))*(INDEX(avoidedcosttbl2,ROUNDUP($H10,0),CE$2)-(INDEX(avoidedcosttbl2,ROUNDDOWN($H10,0),CE$2)))))*ADRYr2!P10*ADRYr2!Q10*ADRYr2!U10)</f>
        <v/>
      </c>
      <c r="CF10" s="41" t="str">
        <f t="shared" si="38"/>
        <v/>
      </c>
      <c r="CG10" s="30" t="str">
        <f t="shared" si="11"/>
        <v/>
      </c>
      <c r="CH10" s="30" t="str">
        <f>IF($G10="","",$G10*(IF(ADRYr2!$AI10=BY$4,ADRYr2!$AJ10,IF(ADRYr2!$AK10=BY$4,ADRYr2!$AL10,IF(ADRYr2!$AM10=BY$4,ADRYr2!$AN10,0))))*(INDEX(avoidedcosttbl2,$H10,CH$2)+(($H10-ROUNDDOWN($H10,0))*(INDEX(avoidedcosttbl2,ROUNDUP($H10,0),CH$2)-(INDEX(avoidedcosttbl2,ROUNDDOWN($H10,0),CH$2)))))*ADRYr2!P10*ADRYr2!Q10*ADRYr2!U10)</f>
        <v/>
      </c>
      <c r="CI10" s="30" t="str">
        <f>IF($G10="","",$G10*(IF(ADRYr2!$AI10=BZ$4,ADRYr2!$AJ10,IF(ADRYr2!$AK10=BZ$4,ADRYr2!$AL10,IF(ADRYr2!$AM10=BZ$4,ADRYr2!$AN10,0))))*(INDEX(avoidedcosttbl2,$H10,CI$2)+(($H10-ROUNDDOWN($H10,0))*(INDEX(avoidedcosttbl2,ROUNDUP($H10,0),CI$2)-(INDEX(avoidedcosttbl2,ROUNDDOWN($H10,0),CI$2)))))*ADRYr2!P10*ADRYr2!Q10*ADRYr2!U10)</f>
        <v/>
      </c>
      <c r="CJ10" s="30" t="str">
        <f>IF($G10="","",$G10*(IF(ADRYr2!$AI10=CA$4,ADRYr2!$AJ10,IF(ADRYr2!$AK10=CA$4,ADRYr2!$AL10,IF(ADRYr2!$AM10=CA$4,ADRYr2!$AN10,0))))*(INDEX(avoidedcosttbl2,$H10,CJ$2)+(($H10-ROUNDDOWN($H10,0))*(INDEX(avoidedcosttbl2,ROUNDUP($H10,0),CJ$2)-(INDEX(avoidedcosttbl2,ROUNDDOWN($H10,0),CJ$2)))))*ADRYr2!P10*ADRYr2!Q10*ADRYr2!U10)</f>
        <v/>
      </c>
      <c r="CK10" s="30" t="str">
        <f>IF($G10="","",$G10*(IF(ADRYr2!$AI10=CB$4,ADRYr2!$AJ10,IF(ADRYr2!$AK10=CB$4,ADRYr2!$AL10,IF(ADRYr2!$AM10=CB$4,ADRYr2!$AN10,0))))*(INDEX(avoidedcosttbl2,$H10,CK$2)+(($H10-ROUNDDOWN($H10,0))*(INDEX(avoidedcosttbl2,ROUNDUP($H10,0),CK$2)-(INDEX(avoidedcosttbl2,ROUNDDOWN($H10,0),CK$2)))))*ADRYr2!P10*ADRYr2!Q10*ADRYr2!U10)</f>
        <v/>
      </c>
      <c r="CL10" s="30" t="str">
        <f>IF($G10="","",$G10*(IF(ADRYr2!$AI10=CC$4,ADRYr2!$AJ10,IF(ADRYr2!$AK10=CC$4,ADRYr2!$AL10,IF(ADRYr2!$AM10=CC$4,ADRYr2!$AN10,0))))*(INDEX(avoidedcosttbl2,$H10,CL$2)+(($H10-ROUNDDOWN($H10,0))*(INDEX(avoidedcosttbl2,ROUNDUP($H10,0),CL$2)-(INDEX(avoidedcosttbl2,ROUNDDOWN($H10,0),CL$2)))))*ADRYr2!P10*ADRYr2!Q10*ADRYr2!U10)</f>
        <v/>
      </c>
      <c r="CM10" s="30" t="str">
        <f>IF($G10="","",$G10*(IF(ADRYr2!$AI10=CD$4,ADRYr2!$AJ10,IF(ADRYr2!$AK10=CD$4,ADRYr2!$AL10,IF(ADRYr2!$AM10=CD$4,ADRYr2!$AN10,0))))*(INDEX(avoidedcosttbl2,$H10,CM$2)+(($H10-ROUNDDOWN($H10,0))*(INDEX(avoidedcosttbl2,ROUNDUP($H10,0),CM$2)-(INDEX(avoidedcosttbl2,ROUNDDOWN($H10,0),CM$2)))))*ADRYr2!P10*ADRYr2!Q10*ADRYr2!U10)</f>
        <v/>
      </c>
      <c r="CN10" s="30" t="str">
        <f>IF($G10="","",$G10*(IF(ADRYr2!$AI10=CE$4,ADRYr2!$AJ10,IF(ADRYr2!$AK10=CE$4,ADRYr2!$AL10,IF(ADRYr2!$AM10=CE$4,ADRYr2!$AN10,0))))*(INDEX(avoidedcosttbl2,$H10,CN$2)+(($H10-ROUNDDOWN($H10,0))*(INDEX(avoidedcosttbl2,ROUNDUP($H10,0),CN$2)-(INDEX(avoidedcosttbl2,ROUNDDOWN($H10,0),CN$2)))))*ADRYr2!P10*ADRYr2!Q10*ADRYr2!U10)</f>
        <v/>
      </c>
      <c r="CO10" s="220" t="str">
        <f t="shared" si="39"/>
        <v/>
      </c>
      <c r="CP10" s="220" t="str">
        <f t="shared" si="40"/>
        <v/>
      </c>
      <c r="CQ10" s="157" t="str">
        <f>IF($G10="","",$G10*(IF(ADRYr2!$AI10=CQ$4,ADRYr2!$AJ10,IF(ADRYr2!$AK10=CQ$4,ADRYr2!$AL10,IF(ADRYr2!$AM10=CQ$4,ADRYr2!$AN10,0))))*(INDEX(avoidedcosttbl2,$H10,CQ$2)+(($H10-ROUNDDOWN($H10,0))*(INDEX(avoidedcosttbl2,ROUNDUP($H10,0),CQ$2)-(INDEX(avoidedcosttbl2,ROUNDDOWN($H10,0),CQ$2)))))*ADRYr2!$P10*ADRYr2!$Q10*ADRYr2!$U10)</f>
        <v/>
      </c>
      <c r="CR10" s="28" t="str">
        <f>IF($G10="","",G10*(IF(ADRYr2!$AI10=CR$4,ADRYr2!$AJ10,IF(ADRYr2!$AK10=CR$4,ADRYr2!$AL10,IF(ADRYr2!$AM10=CR$4,ADRYr2!$AN10,0))))*(INDEX(avoidedcosttbl2,$H10,CR$2)+(($H10-ROUNDDOWN($H10,0))*(INDEX(avoidedcosttbl2,ROUNDUP($H10,0),CR$2)-(INDEX(avoidedcosttbl2,ROUNDDOWN($H10,0),CR$2)))))*ADRYr2!$P10*ADRYr2!$Q10*ADRYr2!$U10)</f>
        <v/>
      </c>
      <c r="CS10" s="28" t="str">
        <f>IF($G10="","",G10*(IF(ADRYr2!$AI10=CS$4,ADRYr2!$AJ10,IF(ADRYr2!$AK10=CS$4,ADRYr2!$AL10,IF(ADRYr2!$AM10=CS$4,ADRYr2!$AN10,0))))*(INDEX(avoidedcosttbl2,$H10,CS$2)+(($H10-ROUNDDOWN($H10,0))*(INDEX(avoidedcosttbl2,ROUNDUP($H10,0),CS$2)-(INDEX(avoidedcosttbl2,ROUNDDOWN($H10,0),CS$2)))))*ADRYr2!$P10*ADRYr2!$Q10*ADRYr2!$U10)</f>
        <v/>
      </c>
      <c r="CT10" s="28" t="str">
        <f t="shared" si="12"/>
        <v/>
      </c>
      <c r="CU10" s="28" t="str">
        <f>IF($G10="","",G10*(IF(ADRYr2!$AI10=CU$4,ADRYr2!$AJ10,IF(ADRYr2!$AK10=CU$4,ADRYr2!$AL10,IF(ADRYr2!$AM10=CU$4,ADRYr2!$AN10,0))))*(INDEX(avoidedcosttbl2,$H10,CU$2)+(($H10-ROUNDDOWN($H10,0))*(INDEX(avoidedcosttbl2,ROUNDUP($H10,0),CU$2)-(INDEX(avoidedcosttbl2,ROUNDDOWN($H10,0),CU$2)))))*ADRYr2!$P10*ADRYr2!$Q10*ADRYr2!$U10)</f>
        <v/>
      </c>
      <c r="CV10" s="28" t="str">
        <f>IF($G10="","",G10*(IF(ADRYr2!$AI10=CV$4,ADRYr2!$AJ10,IF(ADRYr2!$AK10=CV$4,ADRYr2!$AL10,IF(ADRYr2!$AM10=CV$4,ADRYr2!$AN10,0))))*(INDEX(avoidedcosttbl2,$H10,CV$2)+(($H10-ROUNDDOWN($H10,0))*(INDEX(avoidedcosttbl2,ROUNDUP($H10,0),CV$2)-(INDEX(avoidedcosttbl2,ROUNDDOWN($H10,0),CV$2)))))*ADRYr2!$P10*ADRYr2!$Q10*ADRYr2!$U10)</f>
        <v/>
      </c>
      <c r="CW10" s="28" t="str">
        <f>IF($G10="","",G10*(IF(ADRYr2!$AI10=CW$4,ADRYr2!$AJ10,IF(ADRYr2!$AK10=CW$4,ADRYr2!$AL10,IF(ADRYr2!$AM10=CW$4,ADRYr2!$AN10,0))))*(INDEX(avoidedcosttbl2,$H10,CW$2)+(($H10-ROUNDDOWN($H10,0))*(INDEX(avoidedcosttbl2,ROUNDUP($H10,0),CW$2)-(INDEX(avoidedcosttbl2,ROUNDDOWN($H10,0),CW$2)))))*ADRYr2!$P10*ADRYr2!$Q10*ADRYr2!$U10)</f>
        <v/>
      </c>
      <c r="CX10" s="28" t="str">
        <f>IF($G10="","",G10*(IF(ADRYr2!$AI10=CX$4,ADRYr2!$AJ10,IF(ADRYr2!$AK10=CX$4,ADRYr2!$AL10,IF(ADRYr2!$AM10=CX$4,ADRYr2!$AN10,0))))*(INDEX(avoidedcosttbl2,$H10,CX$2)+(($H10-ROUNDDOWN($H10,0))*(INDEX(avoidedcosttbl2,ROUNDUP($H10,0),CX$2)-(INDEX(avoidedcosttbl2,ROUNDDOWN($H10,0),CX$2)))))*ADRYr2!$P10*ADRYr2!$Q10*ADRYr2!$U10)</f>
        <v/>
      </c>
      <c r="CY10" s="28" t="str">
        <f t="shared" si="13"/>
        <v/>
      </c>
      <c r="CZ10" s="32" t="str">
        <f t="shared" si="14"/>
        <v/>
      </c>
      <c r="DA10" s="84" t="str">
        <f t="shared" si="41"/>
        <v/>
      </c>
      <c r="DB10" s="81" t="str">
        <f>IF(NEIadder="Yes",IF($G10="","",INDEX(Lookups!$G$70:$G$71,MATCH($A10,Lookups!$E$70:$E$71,0))*(SUM(CP10:CX10,BX10))),"")</f>
        <v/>
      </c>
      <c r="DC10" s="263" t="str">
        <f t="shared" si="15"/>
        <v/>
      </c>
      <c r="DD10" s="166" t="str">
        <f t="shared" si="16"/>
        <v/>
      </c>
      <c r="DE10" s="82">
        <f>SUM(DB10:DD10)</f>
        <v>0</v>
      </c>
      <c r="DF10" s="615" t="str">
        <f>IF($G10="","",(1+WntPeakEnergyLL)*(INDEX(avoidedcosttbl2,$H10,DF$2)+(($H10-ROUNDDOWN($H10,0))*(INDEX(avoidedcosttbl2,ROUNDUP($H10,0),DF$2)-(INDEX(avoidedcosttbl2,ROUNDDOWN($H10,0),DF$2)))))*$P10*1000*ADRYr2!Z10)</f>
        <v/>
      </c>
      <c r="DG10" s="615" t="str">
        <f>IF($G10="","",(1+WntOffPeakEnergyLL)*(INDEX(avoidedcosttbl2,$H10,DG$2)+(($H10-ROUNDDOWN($H10,0))*(INDEX(avoidedcosttbl2,ROUNDUP($H10,0),DG$2)-(INDEX(avoidedcosttbl2,ROUNDDOWN($H10,0),DG$2)))))*$P10*1000*ADRYr2!AA10)</f>
        <v/>
      </c>
      <c r="DH10" s="615" t="str">
        <f>IF($G10="","",(1+SumPeakEnergyLL)*(INDEX(avoidedcosttbl2,$H10,DH$2)+(($H10-ROUNDDOWN($H10,0))*(INDEX(avoidedcosttbl2,ROUNDUP($H10,0),DH$2)-(INDEX(avoidedcosttbl2,ROUNDDOWN($H10,0),DH$2)))))*$P10*1000*ADRYr2!AB10)</f>
        <v/>
      </c>
      <c r="DI10" s="615" t="str">
        <f>IF($G10="","",(1+SumOffPeakEnergyLL)*(INDEX(avoidedcosttbl2,$H10,DI$2)+(($H10-ROUNDDOWN($H10,0))*(INDEX(avoidedcosttbl2,ROUNDUP($H10,0),DI$2)-(INDEX(avoidedcosttbl2,ROUNDDOWN($H10,0),DI$2)))))*$P10*1000*ADRYr2!AC10)</f>
        <v/>
      </c>
      <c r="DJ10" s="29" t="str">
        <f t="shared" si="43"/>
        <v/>
      </c>
      <c r="DK10" s="161" t="str">
        <f t="shared" si="44"/>
        <v/>
      </c>
      <c r="DL10" s="1189" t="str">
        <f t="shared" si="45"/>
        <v/>
      </c>
      <c r="DM10" s="1189" t="str">
        <f t="shared" si="46"/>
        <v/>
      </c>
      <c r="DN10" s="43" t="str">
        <f t="shared" si="47"/>
        <v/>
      </c>
      <c r="DO10" s="966" t="str">
        <f>IF($G10="","",ADRYr2!AQ10)</f>
        <v/>
      </c>
      <c r="DP10" s="968" t="str">
        <f>IF($G10="","",ADRYr2!AR10)</f>
        <v/>
      </c>
      <c r="DQ10" s="970" t="str">
        <f>IF($G10="","",IF($DP10="Yes",COLUMN(AESC!$L$10),IF($DP10="No","Using AvoidedDemand tab",IF($DP10="Mixed",COLUMN(AESC!$N$10)))))</f>
        <v/>
      </c>
      <c r="DR10" s="970" t="str">
        <f>IF($G10="","",IF($DP10="Yes",COLUMN(AESC!$P$10),IF($DP10="No","Using AvoidedDemand tab",IF($DP10="Mixed",COLUMN(AESC!$R$10)))))</f>
        <v/>
      </c>
      <c r="DS10" s="970" t="str">
        <f>IF($G10="","",IF($DP10="Yes",COLUMN(AESC!$S$10),IF($DP10="No",COLUMN(AESC!$T$10),IF($DP10="Mixed",COLUMN(AESC!$U$10)))))</f>
        <v/>
      </c>
      <c r="DT10" s="970" t="str">
        <f t="shared" si="48"/>
        <v/>
      </c>
      <c r="DU10" s="970" t="str">
        <f>IF($G10="","",ADRYr2!AS10)</f>
        <v/>
      </c>
      <c r="DV10" s="971" t="str">
        <f>IF($G10="","",ADRYr2!AT10)</f>
        <v/>
      </c>
      <c r="DW10" s="1162" t="str">
        <f>IF($G10="","",INDEX(AvoidedEnergy!$H$4:$H$10,MATCH($DO10,AvoidedEnergy!$A$4:$A$10,0)))</f>
        <v/>
      </c>
    </row>
    <row r="11" spans="1:127">
      <c r="A11" s="160" t="str">
        <f>IF(ADRYr2!$B11=0,"",ADRYr2!A11)</f>
        <v>A - Residential</v>
      </c>
      <c r="B11" s="9" t="str">
        <f>IF(ADRYr2!$B11=0,"",ADRYr2!B11)</f>
        <v>A5 - Residential Active Demand Response</v>
      </c>
      <c r="C11" s="9" t="str">
        <f>IF(ADRYr2!$B11=0,"",ADRYr2!C11)</f>
        <v>A5a - Residential Active Demand Response</v>
      </c>
      <c r="D11" s="9" t="str">
        <f>IF(ADRYr2!$B11=0,"",ADRYr2!D11)</f>
        <v>Storage Daily Dispatch P4P (savings) Summer</v>
      </c>
      <c r="E11" s="9" t="str">
        <f>IF(ADRYr2!$B11=0,"",ADRYr2!E11)</f>
        <v>E21A5a002</v>
      </c>
      <c r="F11" s="11" t="str">
        <f>IF(ADRYr2!$B11=0,"",ADRYr2!F11)</f>
        <v>Behavior</v>
      </c>
      <c r="G11" s="12" t="str">
        <f>IF(ADRYr2!$G11&lt;&gt;0,ADRYr2!G11,"")</f>
        <v/>
      </c>
      <c r="H11" s="960" t="str">
        <f>IF($G11="","",ROUND(ADRYr2!H11,0))</f>
        <v/>
      </c>
      <c r="I11" s="47" t="str">
        <f>IF($G11="","",ADRYr2!I11*ADRYr2!P11*G11)</f>
        <v/>
      </c>
      <c r="J11" s="47" t="str">
        <f>IF($G11="","",ADRYr2!J11*G11)</f>
        <v/>
      </c>
      <c r="K11" s="47" t="str">
        <f t="shared" si="17"/>
        <v/>
      </c>
      <c r="L11" s="27" t="str">
        <f>IF($G11="","",ADRYr2!V11*G11/1000)</f>
        <v/>
      </c>
      <c r="M11" s="27" t="str">
        <f>IF($G11="","",L11*ADRYr2!$Q11*ADRYr2!$R11)</f>
        <v/>
      </c>
      <c r="N11" s="27" t="str">
        <f t="shared" si="18"/>
        <v/>
      </c>
      <c r="O11" s="27" t="str">
        <f t="shared" si="19"/>
        <v/>
      </c>
      <c r="P11" s="27" t="str">
        <f>IF($G11="","",M11*ADRYr2!P11)</f>
        <v/>
      </c>
      <c r="Q11" s="27" t="str">
        <f t="shared" si="20"/>
        <v/>
      </c>
      <c r="R11" s="27" t="str">
        <f>IF($G11="","",$Q11*ADRYr2!Z11)</f>
        <v/>
      </c>
      <c r="S11" s="27" t="str">
        <f>IF($G11="","",$Q11*ADRYr2!AA11)</f>
        <v/>
      </c>
      <c r="T11" s="27" t="str">
        <f>IF($G11="","",$Q11*ADRYr2!AB11)</f>
        <v/>
      </c>
      <c r="U11" s="27" t="str">
        <f>IF($G11="","",$Q11*ADRYr2!AC11)</f>
        <v/>
      </c>
      <c r="V11" s="27" t="str">
        <f>IF($G11="","",G11*ADRYr2!$AD11*ADRYr2!$P11*ADRYr2!$Q11)</f>
        <v/>
      </c>
      <c r="W11" s="27" t="str">
        <f>IF($G11="","",$G11*ADRYr2!$AD11*ADRYr2!$AF11*ADRYr2!Q11*ADRYr2!$S11)</f>
        <v/>
      </c>
      <c r="X11" s="27" t="str">
        <f>IF($G11="","",$G11*ADRYr2!$AD11*ADRYr2!$AF11*ADRYr2!P11*ADRYr2!Q11*ADRYr2!$S11)</f>
        <v/>
      </c>
      <c r="Y11" s="27" t="str">
        <f>IF($G11="","",$G11*ADRYr2!$AD11*ADRYr2!$AE11*ADRYr2!Q11*ADRYr2!$T11)</f>
        <v/>
      </c>
      <c r="Z11" s="27" t="str">
        <f>IF($G11="","",$G11*ADRYr2!$AD11*ADRYr2!$AE11*ADRYr2!P11*ADRYr2!Q11*ADRYr2!$T11)</f>
        <v/>
      </c>
      <c r="AA11" s="45" t="str">
        <f>IF($G11="","",$G11*ADRYr2!$Q11*ADRYr2!$U11*(IF(IFERROR(SEARCH("NG", ADRYr2!$AI11),0),ADRYr2!$AJ11,0)+IF(IFERROR(SEARCH("NG", ADRYr2!$AK11),0),ADRYr2!$AL11,0)+IF(IFERROR(SEARCH("NG", ADRYr2!$AM11),0),ADRYr2!$AN11,0)))</f>
        <v/>
      </c>
      <c r="AB11" s="45" t="str">
        <f t="shared" si="21"/>
        <v/>
      </c>
      <c r="AC11" s="45">
        <f>IF($G11="",0,AA11*ADRYr2!$P11)</f>
        <v>0</v>
      </c>
      <c r="AD11" s="45" t="str">
        <f t="shared" si="22"/>
        <v/>
      </c>
      <c r="AE11" s="45" t="str">
        <f>IF($G11="","",$G11*ADRYr2!$Q11*ADRYr2!$U11*(IF(IFERROR(SEARCH("Oil", ADRYr2!$AI11), 0),ADRYr2!$AJ11,0)+IF(IFERROR(SEARCH("Oil", ADRYr2!$AK11), 0),ADRYr2!$AL11,0)+IF(IFERROR(SEARCH("Oil", ADRYr2!$AM11), 0),ADRYr2!$AN11,0)))</f>
        <v/>
      </c>
      <c r="AF11" s="45" t="str">
        <f t="shared" si="23"/>
        <v/>
      </c>
      <c r="AG11" s="45">
        <f>IF($G11="",0,AE11*ADRYr2!$P11)</f>
        <v>0</v>
      </c>
      <c r="AH11" s="45" t="str">
        <f t="shared" si="24"/>
        <v/>
      </c>
      <c r="AI11" s="45" t="str">
        <f>IF($G11="","",$G11*ADRYr2!$Q11*ADRYr2!$U11*(IF(ADRYr2!$AI11=Lookups!$E$116,ADRYr2!$AJ11,IF(ADRYr2!$AK11=Lookups!$E$116,ADRYr2!$AL11,IF(ADRYr2!$AM11=Lookups!$E$116,ADRYr2!$AN11,0)))))</f>
        <v/>
      </c>
      <c r="AJ11" s="45" t="str">
        <f t="shared" si="25"/>
        <v/>
      </c>
      <c r="AK11" s="45">
        <f>IF($G11="",0,AI11*ADRYr2!$P11)</f>
        <v>0</v>
      </c>
      <c r="AL11" s="45" t="str">
        <f t="shared" si="26"/>
        <v/>
      </c>
      <c r="AM11" s="45" t="str">
        <f>IF($G11="","",$G11*ADRYr2!$Q11*ADRYr2!$U11*(IF(ADRYr2!$AI11=Lookups!$E$115,ADRYr2!$AJ11,IF(ADRYr2!$AK11=Lookups!$E$115,ADRYr2!$AL11,IF(ADRYr2!$AM11=Lookups!$E$115,ADRYr2!$AN11,0)))))</f>
        <v/>
      </c>
      <c r="AN11" s="45" t="str">
        <f t="shared" si="27"/>
        <v/>
      </c>
      <c r="AO11" s="45">
        <f>IF($G11="",0,AM11*ADRYr2!$P11)</f>
        <v>0</v>
      </c>
      <c r="AP11" s="45" t="str">
        <f t="shared" si="28"/>
        <v/>
      </c>
      <c r="AQ11" s="45" t="str">
        <f>IF($G11="","",$G11*ADRYr2!$Q11*ADRYr2!$U11*(IF(ADRYr2!$AI11=Lookups!$E$117,ADRYr2!$AJ11,IF(ADRYr2!$AK11=Lookups!$E$117,ADRYr2!$AL11,IF(ADRYr2!$AM11=Lookups!$E$117,ADRYr2!$AN11,0)))))</f>
        <v/>
      </c>
      <c r="AR11" s="45" t="str">
        <f t="shared" si="29"/>
        <v/>
      </c>
      <c r="AS11" s="45" t="str">
        <f>IF($G11="","",AQ11*ADRYr2!$P11)</f>
        <v/>
      </c>
      <c r="AT11" s="45" t="str">
        <f t="shared" si="30"/>
        <v/>
      </c>
      <c r="AU11" s="45" t="str">
        <f>IF($G11="","",$G11*ADRYr2!$Q11*ADRYr2!$U11*(IF(ADRYr2!$AI11=Lookups!$E$118,ADRYr2!$AJ11,IF(ADRYr2!$AK11=Lookups!$E$118,ADRYr2!$AL11,IF(ADRYr2!$AM11=Lookups!$E$118,ADRYr2!$AN11,0)))))</f>
        <v/>
      </c>
      <c r="AV11" s="45" t="str">
        <f t="shared" si="31"/>
        <v/>
      </c>
      <c r="AW11" s="45" t="str">
        <f>IF($G11="","",AU11*ADRYr2!$P11)</f>
        <v/>
      </c>
      <c r="AX11" s="45" t="str">
        <f t="shared" si="32"/>
        <v/>
      </c>
      <c r="AY11" s="45">
        <f t="shared" si="33"/>
        <v>0</v>
      </c>
      <c r="AZ11" s="45">
        <f t="shared" si="33"/>
        <v>0</v>
      </c>
      <c r="BA11" s="101" t="str">
        <f>IF($G11="","",$G11*ADRYr2!$P11*ADRYr2!$Q11*ADRYr2!$U11*ADRYr2!AO11)</f>
        <v/>
      </c>
      <c r="BB11" s="102" t="str">
        <f>IF($G11="","",$G11*ADRYr2!$P11*ADRYr2!$Q11*ADRYr2!$U11*ADRYr2!AP11)</f>
        <v/>
      </c>
      <c r="BC11" s="100" t="str">
        <f t="shared" si="34"/>
        <v/>
      </c>
      <c r="BD11" s="961"/>
      <c r="BE11" s="961"/>
      <c r="BF11" s="961"/>
      <c r="BG11" s="961"/>
      <c r="BH11" s="962" t="str">
        <f t="shared" si="3"/>
        <v/>
      </c>
      <c r="BI11" s="961"/>
      <c r="BJ11" s="961"/>
      <c r="BK11" s="961"/>
      <c r="BL11" s="961"/>
      <c r="BM11" s="30" t="str">
        <f t="shared" si="4"/>
        <v/>
      </c>
      <c r="BN11" s="963" t="str">
        <f t="shared" si="5"/>
        <v/>
      </c>
      <c r="BO11" s="31" t="str">
        <f t="shared" si="35"/>
        <v/>
      </c>
      <c r="BP11" s="964" t="str">
        <f t="shared" si="6"/>
        <v/>
      </c>
      <c r="BQ11" s="28" t="str">
        <f t="shared" si="7"/>
        <v/>
      </c>
      <c r="BR11" s="964" t="str">
        <f t="shared" si="8"/>
        <v/>
      </c>
      <c r="BS11" s="964" t="str">
        <f t="shared" si="9"/>
        <v/>
      </c>
      <c r="BT11" s="28" t="str">
        <f t="shared" si="10"/>
        <v/>
      </c>
      <c r="BU11" s="28" t="str">
        <f t="shared" si="10"/>
        <v/>
      </c>
      <c r="BV11" s="28" t="str">
        <f t="shared" si="10"/>
        <v/>
      </c>
      <c r="BW11" s="29" t="str">
        <f t="shared" si="36"/>
        <v/>
      </c>
      <c r="BX11" s="29" t="str">
        <f t="shared" si="37"/>
        <v/>
      </c>
      <c r="BY11" s="28" t="str">
        <f>IF($G11="","",$G11*(IF(ADRYr2!$AI11=BY$4,ADRYr2!$AJ11,IF(ADRYr2!$AK11=BY$4,ADRYr2!$AL11,IF(ADRYr2!$AM11=BY$4,ADRYr2!$AN11,0))))*(INDEX(avoidedcosttbl2,$H11,BY$2)+(($H11-ROUNDDOWN($H11,0))*(INDEX(avoidedcosttbl2,ROUNDUP($H11,0),BY$2)-(INDEX(avoidedcosttbl2,ROUNDDOWN($H11,0),BY$2)))))*ADRYr2!P11*ADRYr2!Q11*ADRYr2!U11)</f>
        <v/>
      </c>
      <c r="BZ11" s="28" t="str">
        <f>IF($G11="","",$G11*(IF(ADRYr2!$AI11=BZ$4,ADRYr2!$AJ11,IF(ADRYr2!$AK11=BZ$4,ADRYr2!$AL11,IF(ADRYr2!$AM11=BZ$4,ADRYr2!$AN11,0))))*(INDEX(avoidedcosttbl2,$H11,BZ$2)+(($H11-ROUNDDOWN($H11,0))*(INDEX(avoidedcosttbl2,ROUNDUP($H11,0),BZ$2)-(INDEX(avoidedcosttbl2,ROUNDDOWN($H11,0),BZ$2)))))*ADRYr2!P11*ADRYr2!Q11*ADRYr2!U11)</f>
        <v/>
      </c>
      <c r="CA11" s="28" t="str">
        <f>IF($G11="","",$G11*(IF(ADRYr2!$AI11=CA$4,ADRYr2!$AJ11,IF(ADRYr2!$AK11=CA$4,ADRYr2!$AL11,IF(ADRYr2!$AM11=CA$4,ADRYr2!$AN11,0))))*(INDEX(avoidedcosttbl2,$H11,CA$2)+(($H11-ROUNDDOWN($H11,0))*(INDEX(avoidedcosttbl2,ROUNDUP($H11,0),CA$2)-(INDEX(avoidedcosttbl2,ROUNDDOWN($H11,0),CA$2)))))*ADRYr2!P11*ADRYr2!Q11*ADRYr2!U11)</f>
        <v/>
      </c>
      <c r="CB11" s="28" t="str">
        <f>IF($G11="","",$G11*(IF(ADRYr2!$AI11=CB$4,ADRYr2!$AJ11,IF(ADRYr2!$AK11=CB$4,ADRYr2!$AL11,IF(ADRYr2!$AM11=CB$4,ADRYr2!$AN11,0))))*(INDEX(avoidedcosttbl2,$H11,CB$2)+(($H11-ROUNDDOWN($H11,0))*(INDEX(avoidedcosttbl2,ROUNDUP($H11,0),CB$2)-(INDEX(avoidedcosttbl2,ROUNDDOWN($H11,0),CB$2)))))*ADRYr2!P11*ADRYr2!Q11*ADRYr2!U11)</f>
        <v/>
      </c>
      <c r="CC11" s="28" t="str">
        <f>IF($G11="","",$G11*(IF(ADRYr2!$AI11=CC$4,ADRYr2!$AJ11,IF(ADRYr2!$AK11=CC$4,ADRYr2!$AL11,IF(ADRYr2!$AM11=CC$4,ADRYr2!$AN11,0))))*(INDEX(avoidedcosttbl2,$H11,CC$2)+(($H11-ROUNDDOWN($H11,0))*(INDEX(avoidedcosttbl2,ROUNDUP($H11,0),CC$2)-(INDEX(avoidedcosttbl2,ROUNDDOWN($H11,0),CC$2)))))*ADRYr2!P11*ADRYr2!Q11*ADRYr2!U11)</f>
        <v/>
      </c>
      <c r="CD11" s="28" t="str">
        <f>IF($G11="","",$G11*(IF(ADRYr2!$AI11=CD$4,ADRYr2!$AJ11,IF(ADRYr2!$AK11=CD$4,ADRYr2!$AL11,IF(ADRYr2!$AM11=CD$4,ADRYr2!$AN11,0))))*(INDEX(avoidedcosttbl2,$H11,CD$2)+(($H11-ROUNDDOWN($H11,0))*(INDEX(avoidedcosttbl2,ROUNDUP($H11,0),CD$2)-(INDEX(avoidedcosttbl2,ROUNDDOWN($H11,0),CD$2)))))*ADRYr2!P11*ADRYr2!Q11*ADRYr2!U11)</f>
        <v/>
      </c>
      <c r="CE11" s="28" t="str">
        <f>IF($G11="","",$G11*(IF(ADRYr2!$AI11=CE$4,ADRYr2!$AJ11,IF(ADRYr2!$AK11=CE$4,ADRYr2!$AL11,IF(ADRYr2!$AM11=CE$4,ADRYr2!$AN11,0))))*(INDEX(avoidedcosttbl2,$H11,CE$2)+(($H11-ROUNDDOWN($H11,0))*(INDEX(avoidedcosttbl2,ROUNDUP($H11,0),CE$2)-(INDEX(avoidedcosttbl2,ROUNDDOWN($H11,0),CE$2)))))*ADRYr2!P11*ADRYr2!Q11*ADRYr2!U11)</f>
        <v/>
      </c>
      <c r="CF11" s="41" t="str">
        <f t="shared" si="38"/>
        <v/>
      </c>
      <c r="CG11" s="30" t="str">
        <f t="shared" si="11"/>
        <v/>
      </c>
      <c r="CH11" s="30" t="str">
        <f>IF($G11="","",$G11*(IF(ADRYr2!$AI11=BY$4,ADRYr2!$AJ11,IF(ADRYr2!$AK11=BY$4,ADRYr2!$AL11,IF(ADRYr2!$AM11=BY$4,ADRYr2!$AN11,0))))*(INDEX(avoidedcosttbl2,$H11,CH$2)+(($H11-ROUNDDOWN($H11,0))*(INDEX(avoidedcosttbl2,ROUNDUP($H11,0),CH$2)-(INDEX(avoidedcosttbl2,ROUNDDOWN($H11,0),CH$2)))))*ADRYr2!P11*ADRYr2!Q11*ADRYr2!U11)</f>
        <v/>
      </c>
      <c r="CI11" s="30" t="str">
        <f>IF($G11="","",$G11*(IF(ADRYr2!$AI11=BZ$4,ADRYr2!$AJ11,IF(ADRYr2!$AK11=BZ$4,ADRYr2!$AL11,IF(ADRYr2!$AM11=BZ$4,ADRYr2!$AN11,0))))*(INDEX(avoidedcosttbl2,$H11,CI$2)+(($H11-ROUNDDOWN($H11,0))*(INDEX(avoidedcosttbl2,ROUNDUP($H11,0),CI$2)-(INDEX(avoidedcosttbl2,ROUNDDOWN($H11,0),CI$2)))))*ADRYr2!P11*ADRYr2!Q11*ADRYr2!U11)</f>
        <v/>
      </c>
      <c r="CJ11" s="30" t="str">
        <f>IF($G11="","",$G11*(IF(ADRYr2!$AI11=CA$4,ADRYr2!$AJ11,IF(ADRYr2!$AK11=CA$4,ADRYr2!$AL11,IF(ADRYr2!$AM11=CA$4,ADRYr2!$AN11,0))))*(INDEX(avoidedcosttbl2,$H11,CJ$2)+(($H11-ROUNDDOWN($H11,0))*(INDEX(avoidedcosttbl2,ROUNDUP($H11,0),CJ$2)-(INDEX(avoidedcosttbl2,ROUNDDOWN($H11,0),CJ$2)))))*ADRYr2!P11*ADRYr2!Q11*ADRYr2!U11)</f>
        <v/>
      </c>
      <c r="CK11" s="30" t="str">
        <f>IF($G11="","",$G11*(IF(ADRYr2!$AI11=CB$4,ADRYr2!$AJ11,IF(ADRYr2!$AK11=CB$4,ADRYr2!$AL11,IF(ADRYr2!$AM11=CB$4,ADRYr2!$AN11,0))))*(INDEX(avoidedcosttbl2,$H11,CK$2)+(($H11-ROUNDDOWN($H11,0))*(INDEX(avoidedcosttbl2,ROUNDUP($H11,0),CK$2)-(INDEX(avoidedcosttbl2,ROUNDDOWN($H11,0),CK$2)))))*ADRYr2!P11*ADRYr2!Q11*ADRYr2!U11)</f>
        <v/>
      </c>
      <c r="CL11" s="30" t="str">
        <f>IF($G11="","",$G11*(IF(ADRYr2!$AI11=CC$4,ADRYr2!$AJ11,IF(ADRYr2!$AK11=CC$4,ADRYr2!$AL11,IF(ADRYr2!$AM11=CC$4,ADRYr2!$AN11,0))))*(INDEX(avoidedcosttbl2,$H11,CL$2)+(($H11-ROUNDDOWN($H11,0))*(INDEX(avoidedcosttbl2,ROUNDUP($H11,0),CL$2)-(INDEX(avoidedcosttbl2,ROUNDDOWN($H11,0),CL$2)))))*ADRYr2!P11*ADRYr2!Q11*ADRYr2!U11)</f>
        <v/>
      </c>
      <c r="CM11" s="30" t="str">
        <f>IF($G11="","",$G11*(IF(ADRYr2!$AI11=CD$4,ADRYr2!$AJ11,IF(ADRYr2!$AK11=CD$4,ADRYr2!$AL11,IF(ADRYr2!$AM11=CD$4,ADRYr2!$AN11,0))))*(INDEX(avoidedcosttbl2,$H11,CM$2)+(($H11-ROUNDDOWN($H11,0))*(INDEX(avoidedcosttbl2,ROUNDUP($H11,0),CM$2)-(INDEX(avoidedcosttbl2,ROUNDDOWN($H11,0),CM$2)))))*ADRYr2!P11*ADRYr2!Q11*ADRYr2!U11)</f>
        <v/>
      </c>
      <c r="CN11" s="30" t="str">
        <f>IF($G11="","",$G11*(IF(ADRYr2!$AI11=CE$4,ADRYr2!$AJ11,IF(ADRYr2!$AK11=CE$4,ADRYr2!$AL11,IF(ADRYr2!$AM11=CE$4,ADRYr2!$AN11,0))))*(INDEX(avoidedcosttbl2,$H11,CN$2)+(($H11-ROUNDDOWN($H11,0))*(INDEX(avoidedcosttbl2,ROUNDUP($H11,0),CN$2)-(INDEX(avoidedcosttbl2,ROUNDDOWN($H11,0),CN$2)))))*ADRYr2!P11*ADRYr2!Q11*ADRYr2!U11)</f>
        <v/>
      </c>
      <c r="CO11" s="220" t="str">
        <f t="shared" si="39"/>
        <v/>
      </c>
      <c r="CP11" s="220" t="str">
        <f t="shared" si="40"/>
        <v/>
      </c>
      <c r="CQ11" s="157" t="str">
        <f>IF($G11="","",$G11*(IF(ADRYr2!$AI11=CQ$4,ADRYr2!$AJ11,IF(ADRYr2!$AK11=CQ$4,ADRYr2!$AL11,IF(ADRYr2!$AM11=CQ$4,ADRYr2!$AN11,0))))*(INDEX(avoidedcosttbl2,$H11,CQ$2)+(($H11-ROUNDDOWN($H11,0))*(INDEX(avoidedcosttbl2,ROUNDUP($H11,0),CQ$2)-(INDEX(avoidedcosttbl2,ROUNDDOWN($H11,0),CQ$2)))))*ADRYr2!$P11*ADRYr2!$Q11*ADRYr2!$U11)</f>
        <v/>
      </c>
      <c r="CR11" s="28" t="str">
        <f>IF($G11="","",G11*(IF(ADRYr2!$AI11=CR$4,ADRYr2!$AJ11,IF(ADRYr2!$AK11=CR$4,ADRYr2!$AL11,IF(ADRYr2!$AM11=CR$4,ADRYr2!$AN11,0))))*(INDEX(avoidedcosttbl2,$H11,CR$2)+(($H11-ROUNDDOWN($H11,0))*(INDEX(avoidedcosttbl2,ROUNDUP($H11,0),CR$2)-(INDEX(avoidedcosttbl2,ROUNDDOWN($H11,0),CR$2)))))*ADRYr2!$P11*ADRYr2!$Q11*ADRYr2!$U11)</f>
        <v/>
      </c>
      <c r="CS11" s="28" t="str">
        <f>IF($G11="","",G11*(IF(ADRYr2!$AI11=CS$4,ADRYr2!$AJ11,IF(ADRYr2!$AK11=CS$4,ADRYr2!$AL11,IF(ADRYr2!$AM11=CS$4,ADRYr2!$AN11,0))))*(INDEX(avoidedcosttbl2,$H11,CS$2)+(($H11-ROUNDDOWN($H11,0))*(INDEX(avoidedcosttbl2,ROUNDUP($H11,0),CS$2)-(INDEX(avoidedcosttbl2,ROUNDDOWN($H11,0),CS$2)))))*ADRYr2!$P11*ADRYr2!$Q11*ADRYr2!$U11)</f>
        <v/>
      </c>
      <c r="CT11" s="28" t="str">
        <f t="shared" si="12"/>
        <v/>
      </c>
      <c r="CU11" s="28" t="str">
        <f>IF($G11="","",G11*(IF(ADRYr2!$AI11=CU$4,ADRYr2!$AJ11,IF(ADRYr2!$AK11=CU$4,ADRYr2!$AL11,IF(ADRYr2!$AM11=CU$4,ADRYr2!$AN11,0))))*(INDEX(avoidedcosttbl2,$H11,CU$2)+(($H11-ROUNDDOWN($H11,0))*(INDEX(avoidedcosttbl2,ROUNDUP($H11,0),CU$2)-(INDEX(avoidedcosttbl2,ROUNDDOWN($H11,0),CU$2)))))*ADRYr2!$P11*ADRYr2!$Q11*ADRYr2!$U11)</f>
        <v/>
      </c>
      <c r="CV11" s="28" t="str">
        <f>IF($G11="","",G11*(IF(ADRYr2!$AI11=CV$4,ADRYr2!$AJ11,IF(ADRYr2!$AK11=CV$4,ADRYr2!$AL11,IF(ADRYr2!$AM11=CV$4,ADRYr2!$AN11,0))))*(INDEX(avoidedcosttbl2,$H11,CV$2)+(($H11-ROUNDDOWN($H11,0))*(INDEX(avoidedcosttbl2,ROUNDUP($H11,0),CV$2)-(INDEX(avoidedcosttbl2,ROUNDDOWN($H11,0),CV$2)))))*ADRYr2!$P11*ADRYr2!$Q11*ADRYr2!$U11)</f>
        <v/>
      </c>
      <c r="CW11" s="28" t="str">
        <f>IF($G11="","",G11*(IF(ADRYr2!$AI11=CW$4,ADRYr2!$AJ11,IF(ADRYr2!$AK11=CW$4,ADRYr2!$AL11,IF(ADRYr2!$AM11=CW$4,ADRYr2!$AN11,0))))*(INDEX(avoidedcosttbl2,$H11,CW$2)+(($H11-ROUNDDOWN($H11,0))*(INDEX(avoidedcosttbl2,ROUNDUP($H11,0),CW$2)-(INDEX(avoidedcosttbl2,ROUNDDOWN($H11,0),CW$2)))))*ADRYr2!$P11*ADRYr2!$Q11*ADRYr2!$U11)</f>
        <v/>
      </c>
      <c r="CX11" s="28" t="str">
        <f>IF($G11="","",G11*(IF(ADRYr2!$AI11=CX$4,ADRYr2!$AJ11,IF(ADRYr2!$AK11=CX$4,ADRYr2!$AL11,IF(ADRYr2!$AM11=CX$4,ADRYr2!$AN11,0))))*(INDEX(avoidedcosttbl2,$H11,CX$2)+(($H11-ROUNDDOWN($H11,0))*(INDEX(avoidedcosttbl2,ROUNDUP($H11,0),CX$2)-(INDEX(avoidedcosttbl2,ROUNDDOWN($H11,0),CX$2)))))*ADRYr2!$P11*ADRYr2!$Q11*ADRYr2!$U11)</f>
        <v/>
      </c>
      <c r="CY11" s="28" t="str">
        <f t="shared" si="13"/>
        <v/>
      </c>
      <c r="CZ11" s="32" t="str">
        <f t="shared" si="14"/>
        <v/>
      </c>
      <c r="DA11" s="84" t="str">
        <f t="shared" si="41"/>
        <v/>
      </c>
      <c r="DB11" s="81" t="str">
        <f>IF(NEIadder="Yes",IF($G11="","",INDEX(Lookups!$G$70:$G$71,MATCH($A11,Lookups!$E$70:$E$71,0))*(SUM(CP11:CX11,BX11))),"")</f>
        <v/>
      </c>
      <c r="DC11" s="263" t="str">
        <f t="shared" si="15"/>
        <v/>
      </c>
      <c r="DD11" s="166" t="str">
        <f t="shared" si="16"/>
        <v/>
      </c>
      <c r="DE11" s="82">
        <f>SUM(DB11:DD11)</f>
        <v>0</v>
      </c>
      <c r="DF11" s="615" t="str">
        <f>IF($G11="","",(1+WntPeakEnergyLL)*(INDEX(avoidedcosttbl2,$H11,DF$2)+(($H11-ROUNDDOWN($H11,0))*(INDEX(avoidedcosttbl2,ROUNDUP($H11,0),DF$2)-(INDEX(avoidedcosttbl2,ROUNDDOWN($H11,0),DF$2)))))*$P11*1000*ADRYr2!Z11)</f>
        <v/>
      </c>
      <c r="DG11" s="615" t="str">
        <f>IF($G11="","",(1+WntOffPeakEnergyLL)*(INDEX(avoidedcosttbl2,$H11,DG$2)+(($H11-ROUNDDOWN($H11,0))*(INDEX(avoidedcosttbl2,ROUNDUP($H11,0),DG$2)-(INDEX(avoidedcosttbl2,ROUNDDOWN($H11,0),DG$2)))))*$P11*1000*ADRYr2!AA11)</f>
        <v/>
      </c>
      <c r="DH11" s="615" t="str">
        <f>IF($G11="","",(1+SumPeakEnergyLL)*(INDEX(avoidedcosttbl2,$H11,DH$2)+(($H11-ROUNDDOWN($H11,0))*(INDEX(avoidedcosttbl2,ROUNDUP($H11,0),DH$2)-(INDEX(avoidedcosttbl2,ROUNDDOWN($H11,0),DH$2)))))*$P11*1000*ADRYr2!AB11)</f>
        <v/>
      </c>
      <c r="DI11" s="615" t="str">
        <f>IF($G11="","",(1+SumOffPeakEnergyLL)*(INDEX(avoidedcosttbl2,$H11,DI$2)+(($H11-ROUNDDOWN($H11,0))*(INDEX(avoidedcosttbl2,ROUNDUP($H11,0),DI$2)-(INDEX(avoidedcosttbl2,ROUNDDOWN($H11,0),DI$2)))))*$P11*1000*ADRYr2!AC11)</f>
        <v/>
      </c>
      <c r="DJ11" s="29" t="str">
        <f t="shared" si="43"/>
        <v/>
      </c>
      <c r="DK11" s="161" t="str">
        <f t="shared" si="44"/>
        <v/>
      </c>
      <c r="DL11" s="1189" t="str">
        <f t="shared" si="45"/>
        <v/>
      </c>
      <c r="DM11" s="1189" t="str">
        <f t="shared" si="46"/>
        <v/>
      </c>
      <c r="DN11" s="43" t="str">
        <f t="shared" si="47"/>
        <v/>
      </c>
      <c r="DO11" s="966" t="str">
        <f>IF($G11="","",ADRYr2!AQ11)</f>
        <v/>
      </c>
      <c r="DP11" s="968" t="str">
        <f>IF($G11="","",ADRYr2!AR11)</f>
        <v/>
      </c>
      <c r="DQ11" s="970" t="str">
        <f>IF($G11="","",IF($DP11="Yes",COLUMN(AESC!$L$10),IF($DP11="No","Using AvoidedDemand tab",IF($DP11="Mixed",COLUMN(AESC!$N$10)))))</f>
        <v/>
      </c>
      <c r="DR11" s="970" t="str">
        <f>IF($G11="","",IF($DP11="Yes",COLUMN(AESC!$P$10),IF($DP11="No","Using AvoidedDemand tab",IF($DP11="Mixed",COLUMN(AESC!$R$10)))))</f>
        <v/>
      </c>
      <c r="DS11" s="970" t="str">
        <f>IF($G11="","",IF($DP11="Yes",COLUMN(AESC!$S$10),IF($DP11="No",COLUMN(AESC!$T$10),IF($DP11="Mixed",COLUMN(AESC!$U$10)))))</f>
        <v/>
      </c>
      <c r="DT11" s="970" t="str">
        <f t="shared" si="48"/>
        <v/>
      </c>
      <c r="DU11" s="970" t="str">
        <f>IF($G11="","",ADRYr2!AS11)</f>
        <v/>
      </c>
      <c r="DV11" s="971" t="str">
        <f>IF($G11="","",ADRYr2!AT11)</f>
        <v/>
      </c>
      <c r="DW11" s="1162" t="str">
        <f>IF($G11="","",INDEX(AvoidedEnergy!$H$4:$H$10,MATCH($DO11,AvoidedEnergy!$A$4:$A$10,0)))</f>
        <v/>
      </c>
    </row>
    <row r="12" spans="1:127">
      <c r="A12" s="160" t="str">
        <f>IF(ADRYr2!$B12=0,"",ADRYr2!A12)</f>
        <v>A - Residential</v>
      </c>
      <c r="B12" s="9" t="str">
        <f>IF(ADRYr2!$B12=0,"",ADRYr2!B12)</f>
        <v>A5 - Residential Active Demand Response</v>
      </c>
      <c r="C12" s="9" t="str">
        <f>IF(ADRYr2!$B12=0,"",ADRYr2!C12)</f>
        <v>A5a - Residential Active Demand Response</v>
      </c>
      <c r="D12" s="9" t="str">
        <f>IF(ADRYr2!$B12=0,"",ADRYr2!D12)</f>
        <v>Storage Daily Dispatch P4P (consumption) Summer</v>
      </c>
      <c r="E12" s="9" t="str">
        <f>IF(ADRYr2!$B12=0,"",ADRYr2!E12)</f>
        <v>E21A5a003</v>
      </c>
      <c r="F12" s="11" t="str">
        <f>IF(ADRYr2!$B12=0,"",ADRYr2!F12)</f>
        <v>Behavior</v>
      </c>
      <c r="G12" s="12" t="str">
        <f>IF(ADRYr2!$G12&lt;&gt;0,ADRYr2!G12,"")</f>
        <v/>
      </c>
      <c r="H12" s="960" t="str">
        <f>IF($G12="","",ROUND(ADRYr2!H12,0))</f>
        <v/>
      </c>
      <c r="I12" s="47" t="str">
        <f>IF($G12="","",ADRYr2!I12*ADRYr2!P12*G12)</f>
        <v/>
      </c>
      <c r="J12" s="47" t="str">
        <f>IF($G12="","",ADRYr2!J12*G12)</f>
        <v/>
      </c>
      <c r="K12" s="47" t="str">
        <f t="shared" si="17"/>
        <v/>
      </c>
      <c r="L12" s="27" t="str">
        <f>IF($G12="","",ADRYr2!V12*G12/1000)</f>
        <v/>
      </c>
      <c r="M12" s="27" t="str">
        <f>IF($G12="","",L12*ADRYr2!$Q12*ADRYr2!$R12)</f>
        <v/>
      </c>
      <c r="N12" s="27" t="str">
        <f t="shared" si="18"/>
        <v/>
      </c>
      <c r="O12" s="27" t="str">
        <f t="shared" si="19"/>
        <v/>
      </c>
      <c r="P12" s="27" t="str">
        <f>IF($G12="","",M12*ADRYr2!P12)</f>
        <v/>
      </c>
      <c r="Q12" s="27" t="str">
        <f t="shared" si="20"/>
        <v/>
      </c>
      <c r="R12" s="27" t="str">
        <f>IF($G12="","",$Q12*ADRYr2!Z12)</f>
        <v/>
      </c>
      <c r="S12" s="27" t="str">
        <f>IF($G12="","",$Q12*ADRYr2!AA12)</f>
        <v/>
      </c>
      <c r="T12" s="27" t="str">
        <f>IF($G12="","",$Q12*ADRYr2!AB12)</f>
        <v/>
      </c>
      <c r="U12" s="27" t="str">
        <f>IF($G12="","",$Q12*ADRYr2!AC12)</f>
        <v/>
      </c>
      <c r="V12" s="27" t="str">
        <f>IF($G12="","",G12*ADRYr2!$AD12*ADRYr2!$P12*ADRYr2!$Q12)</f>
        <v/>
      </c>
      <c r="W12" s="27" t="str">
        <f>IF($G12="","",$G12*ADRYr2!$AD12*ADRYr2!$AF12*ADRYr2!Q12*ADRYr2!$S12)</f>
        <v/>
      </c>
      <c r="X12" s="27" t="str">
        <f>IF($G12="","",$G12*ADRYr2!$AD12*ADRYr2!$AF12*ADRYr2!P12*ADRYr2!Q12*ADRYr2!$S12)</f>
        <v/>
      </c>
      <c r="Y12" s="27" t="str">
        <f>IF($G12="","",$G12*ADRYr2!$AD12*ADRYr2!$AE12*ADRYr2!Q12*ADRYr2!$T12)</f>
        <v/>
      </c>
      <c r="Z12" s="27" t="str">
        <f>IF($G12="","",$G12*ADRYr2!$AD12*ADRYr2!$AE12*ADRYr2!P12*ADRYr2!Q12*ADRYr2!$T12)</f>
        <v/>
      </c>
      <c r="AA12" s="45" t="str">
        <f>IF($G12="","",$G12*ADRYr2!$Q12*ADRYr2!$U12*(IF(IFERROR(SEARCH("NG", ADRYr2!$AI12),0),ADRYr2!$AJ12,0)+IF(IFERROR(SEARCH("NG", ADRYr2!$AK12),0),ADRYr2!$AL12,0)+IF(IFERROR(SEARCH("NG", ADRYr2!$AM12),0),ADRYr2!$AN12,0)))</f>
        <v/>
      </c>
      <c r="AB12" s="45" t="str">
        <f t="shared" si="21"/>
        <v/>
      </c>
      <c r="AC12" s="45">
        <f>IF($G12="",0,AA12*ADRYr2!$P12)</f>
        <v>0</v>
      </c>
      <c r="AD12" s="45" t="str">
        <f t="shared" si="22"/>
        <v/>
      </c>
      <c r="AE12" s="45" t="str">
        <f>IF($G12="","",$G12*ADRYr2!$Q12*ADRYr2!$U12*(IF(IFERROR(SEARCH("Oil", ADRYr2!$AI12), 0),ADRYr2!$AJ12,0)+IF(IFERROR(SEARCH("Oil", ADRYr2!$AK12), 0),ADRYr2!$AL12,0)+IF(IFERROR(SEARCH("Oil", ADRYr2!$AM12), 0),ADRYr2!$AN12,0)))</f>
        <v/>
      </c>
      <c r="AF12" s="45" t="str">
        <f t="shared" si="23"/>
        <v/>
      </c>
      <c r="AG12" s="45">
        <f>IF($G12="",0,AE12*ADRYr2!$P12)</f>
        <v>0</v>
      </c>
      <c r="AH12" s="45" t="str">
        <f t="shared" si="24"/>
        <v/>
      </c>
      <c r="AI12" s="45" t="str">
        <f>IF($G12="","",$G12*ADRYr2!$Q12*ADRYr2!$U12*(IF(ADRYr2!$AI12=Lookups!$E$116,ADRYr2!$AJ12,IF(ADRYr2!$AK12=Lookups!$E$116,ADRYr2!$AL12,IF(ADRYr2!$AM12=Lookups!$E$116,ADRYr2!$AN12,0)))))</f>
        <v/>
      </c>
      <c r="AJ12" s="45" t="str">
        <f t="shared" si="25"/>
        <v/>
      </c>
      <c r="AK12" s="45">
        <f>IF($G12="",0,AI12*ADRYr2!$P12)</f>
        <v>0</v>
      </c>
      <c r="AL12" s="45" t="str">
        <f t="shared" si="26"/>
        <v/>
      </c>
      <c r="AM12" s="45" t="str">
        <f>IF($G12="","",$G12*ADRYr2!$Q12*ADRYr2!$U12*(IF(ADRYr2!$AI12=Lookups!$E$115,ADRYr2!$AJ12,IF(ADRYr2!$AK12=Lookups!$E$115,ADRYr2!$AL12,IF(ADRYr2!$AM12=Lookups!$E$115,ADRYr2!$AN12,0)))))</f>
        <v/>
      </c>
      <c r="AN12" s="45" t="str">
        <f t="shared" si="27"/>
        <v/>
      </c>
      <c r="AO12" s="45">
        <f>IF($G12="",0,AM12*ADRYr2!$P12)</f>
        <v>0</v>
      </c>
      <c r="AP12" s="45" t="str">
        <f t="shared" si="28"/>
        <v/>
      </c>
      <c r="AQ12" s="45" t="str">
        <f>IF($G12="","",$G12*ADRYr2!$Q12*ADRYr2!$U12*(IF(ADRYr2!$AI12=Lookups!$E$117,ADRYr2!$AJ12,IF(ADRYr2!$AK12=Lookups!$E$117,ADRYr2!$AL12,IF(ADRYr2!$AM12=Lookups!$E$117,ADRYr2!$AN12,0)))))</f>
        <v/>
      </c>
      <c r="AR12" s="45" t="str">
        <f t="shared" si="29"/>
        <v/>
      </c>
      <c r="AS12" s="45" t="str">
        <f>IF($G12="","",AQ12*ADRYr2!$P12)</f>
        <v/>
      </c>
      <c r="AT12" s="45" t="str">
        <f t="shared" si="30"/>
        <v/>
      </c>
      <c r="AU12" s="45" t="str">
        <f>IF($G12="","",$G12*ADRYr2!$Q12*ADRYr2!$U12*(IF(ADRYr2!$AI12=Lookups!$E$118,ADRYr2!$AJ12,IF(ADRYr2!$AK12=Lookups!$E$118,ADRYr2!$AL12,IF(ADRYr2!$AM12=Lookups!$E$118,ADRYr2!$AN12,0)))))</f>
        <v/>
      </c>
      <c r="AV12" s="45" t="str">
        <f t="shared" si="31"/>
        <v/>
      </c>
      <c r="AW12" s="45" t="str">
        <f>IF($G12="","",AU12*ADRYr2!$P12)</f>
        <v/>
      </c>
      <c r="AX12" s="45" t="str">
        <f t="shared" si="32"/>
        <v/>
      </c>
      <c r="AY12" s="45">
        <f t="shared" si="33"/>
        <v>0</v>
      </c>
      <c r="AZ12" s="45">
        <f t="shared" si="33"/>
        <v>0</v>
      </c>
      <c r="BA12" s="101" t="str">
        <f>IF($G12="","",$G12*ADRYr2!$P12*ADRYr2!$Q12*ADRYr2!$U12*ADRYr2!AO12)</f>
        <v/>
      </c>
      <c r="BB12" s="102" t="str">
        <f>IF($G12="","",$G12*ADRYr2!$P12*ADRYr2!$Q12*ADRYr2!$U12*ADRYr2!AP12)</f>
        <v/>
      </c>
      <c r="BC12" s="100" t="str">
        <f t="shared" si="34"/>
        <v/>
      </c>
      <c r="BD12" s="961"/>
      <c r="BE12" s="961"/>
      <c r="BF12" s="961"/>
      <c r="BG12" s="961"/>
      <c r="BH12" s="962" t="str">
        <f t="shared" si="3"/>
        <v/>
      </c>
      <c r="BI12" s="961"/>
      <c r="BJ12" s="961"/>
      <c r="BK12" s="961"/>
      <c r="BL12" s="961"/>
      <c r="BM12" s="30" t="str">
        <f t="shared" si="4"/>
        <v/>
      </c>
      <c r="BN12" s="963" t="str">
        <f t="shared" si="5"/>
        <v/>
      </c>
      <c r="BO12" s="31" t="str">
        <f t="shared" si="35"/>
        <v/>
      </c>
      <c r="BP12" s="964" t="str">
        <f t="shared" si="6"/>
        <v/>
      </c>
      <c r="BQ12" s="28" t="str">
        <f t="shared" si="7"/>
        <v/>
      </c>
      <c r="BR12" s="964" t="str">
        <f t="shared" si="8"/>
        <v/>
      </c>
      <c r="BS12" s="964" t="str">
        <f t="shared" si="9"/>
        <v/>
      </c>
      <c r="BT12" s="28" t="str">
        <f t="shared" si="10"/>
        <v/>
      </c>
      <c r="BU12" s="28" t="str">
        <f t="shared" si="10"/>
        <v/>
      </c>
      <c r="BV12" s="28" t="str">
        <f t="shared" si="10"/>
        <v/>
      </c>
      <c r="BW12" s="29" t="str">
        <f t="shared" si="36"/>
        <v/>
      </c>
      <c r="BX12" s="29" t="str">
        <f t="shared" si="37"/>
        <v/>
      </c>
      <c r="BY12" s="28" t="str">
        <f>IF($G12="","",$G12*(IF(ADRYr2!$AI12=BY$4,ADRYr2!$AJ12,IF(ADRYr2!$AK12=BY$4,ADRYr2!$AL12,IF(ADRYr2!$AM12=BY$4,ADRYr2!$AN12,0))))*(INDEX(avoidedcosttbl2,$H12,BY$2)+(($H12-ROUNDDOWN($H12,0))*(INDEX(avoidedcosttbl2,ROUNDUP($H12,0),BY$2)-(INDEX(avoidedcosttbl2,ROUNDDOWN($H12,0),BY$2)))))*ADRYr2!P12*ADRYr2!Q12*ADRYr2!U12)</f>
        <v/>
      </c>
      <c r="BZ12" s="28" t="str">
        <f>IF($G12="","",$G12*(IF(ADRYr2!$AI12=BZ$4,ADRYr2!$AJ12,IF(ADRYr2!$AK12=BZ$4,ADRYr2!$AL12,IF(ADRYr2!$AM12=BZ$4,ADRYr2!$AN12,0))))*(INDEX(avoidedcosttbl2,$H12,BZ$2)+(($H12-ROUNDDOWN($H12,0))*(INDEX(avoidedcosttbl2,ROUNDUP($H12,0),BZ$2)-(INDEX(avoidedcosttbl2,ROUNDDOWN($H12,0),BZ$2)))))*ADRYr2!P12*ADRYr2!Q12*ADRYr2!U12)</f>
        <v/>
      </c>
      <c r="CA12" s="28" t="str">
        <f>IF($G12="","",$G12*(IF(ADRYr2!$AI12=CA$4,ADRYr2!$AJ12,IF(ADRYr2!$AK12=CA$4,ADRYr2!$AL12,IF(ADRYr2!$AM12=CA$4,ADRYr2!$AN12,0))))*(INDEX(avoidedcosttbl2,$H12,CA$2)+(($H12-ROUNDDOWN($H12,0))*(INDEX(avoidedcosttbl2,ROUNDUP($H12,0),CA$2)-(INDEX(avoidedcosttbl2,ROUNDDOWN($H12,0),CA$2)))))*ADRYr2!P12*ADRYr2!Q12*ADRYr2!U12)</f>
        <v/>
      </c>
      <c r="CB12" s="28" t="str">
        <f>IF($G12="","",$G12*(IF(ADRYr2!$AI12=CB$4,ADRYr2!$AJ12,IF(ADRYr2!$AK12=CB$4,ADRYr2!$AL12,IF(ADRYr2!$AM12=CB$4,ADRYr2!$AN12,0))))*(INDEX(avoidedcosttbl2,$H12,CB$2)+(($H12-ROUNDDOWN($H12,0))*(INDEX(avoidedcosttbl2,ROUNDUP($H12,0),CB$2)-(INDEX(avoidedcosttbl2,ROUNDDOWN($H12,0),CB$2)))))*ADRYr2!P12*ADRYr2!Q12*ADRYr2!U12)</f>
        <v/>
      </c>
      <c r="CC12" s="28" t="str">
        <f>IF($G12="","",$G12*(IF(ADRYr2!$AI12=CC$4,ADRYr2!$AJ12,IF(ADRYr2!$AK12=CC$4,ADRYr2!$AL12,IF(ADRYr2!$AM12=CC$4,ADRYr2!$AN12,0))))*(INDEX(avoidedcosttbl2,$H12,CC$2)+(($H12-ROUNDDOWN($H12,0))*(INDEX(avoidedcosttbl2,ROUNDUP($H12,0),CC$2)-(INDEX(avoidedcosttbl2,ROUNDDOWN($H12,0),CC$2)))))*ADRYr2!P12*ADRYr2!Q12*ADRYr2!U12)</f>
        <v/>
      </c>
      <c r="CD12" s="28" t="str">
        <f>IF($G12="","",$G12*(IF(ADRYr2!$AI12=CD$4,ADRYr2!$AJ12,IF(ADRYr2!$AK12=CD$4,ADRYr2!$AL12,IF(ADRYr2!$AM12=CD$4,ADRYr2!$AN12,0))))*(INDEX(avoidedcosttbl2,$H12,CD$2)+(($H12-ROUNDDOWN($H12,0))*(INDEX(avoidedcosttbl2,ROUNDUP($H12,0),CD$2)-(INDEX(avoidedcosttbl2,ROUNDDOWN($H12,0),CD$2)))))*ADRYr2!P12*ADRYr2!Q12*ADRYr2!U12)</f>
        <v/>
      </c>
      <c r="CE12" s="28" t="str">
        <f>IF($G12="","",$G12*(IF(ADRYr2!$AI12=CE$4,ADRYr2!$AJ12,IF(ADRYr2!$AK12=CE$4,ADRYr2!$AL12,IF(ADRYr2!$AM12=CE$4,ADRYr2!$AN12,0))))*(INDEX(avoidedcosttbl2,$H12,CE$2)+(($H12-ROUNDDOWN($H12,0))*(INDEX(avoidedcosttbl2,ROUNDUP($H12,0),CE$2)-(INDEX(avoidedcosttbl2,ROUNDDOWN($H12,0),CE$2)))))*ADRYr2!P12*ADRYr2!Q12*ADRYr2!U12)</f>
        <v/>
      </c>
      <c r="CF12" s="41" t="str">
        <f t="shared" si="38"/>
        <v/>
      </c>
      <c r="CG12" s="30" t="str">
        <f t="shared" si="11"/>
        <v/>
      </c>
      <c r="CH12" s="30" t="str">
        <f>IF($G12="","",$G12*(IF(ADRYr2!$AI12=BY$4,ADRYr2!$AJ12,IF(ADRYr2!$AK12=BY$4,ADRYr2!$AL12,IF(ADRYr2!$AM12=BY$4,ADRYr2!$AN12,0))))*(INDEX(avoidedcosttbl2,$H12,CH$2)+(($H12-ROUNDDOWN($H12,0))*(INDEX(avoidedcosttbl2,ROUNDUP($H12,0),CH$2)-(INDEX(avoidedcosttbl2,ROUNDDOWN($H12,0),CH$2)))))*ADRYr2!P12*ADRYr2!Q12*ADRYr2!U12)</f>
        <v/>
      </c>
      <c r="CI12" s="30" t="str">
        <f>IF($G12="","",$G12*(IF(ADRYr2!$AI12=BZ$4,ADRYr2!$AJ12,IF(ADRYr2!$AK12=BZ$4,ADRYr2!$AL12,IF(ADRYr2!$AM12=BZ$4,ADRYr2!$AN12,0))))*(INDEX(avoidedcosttbl2,$H12,CI$2)+(($H12-ROUNDDOWN($H12,0))*(INDEX(avoidedcosttbl2,ROUNDUP($H12,0),CI$2)-(INDEX(avoidedcosttbl2,ROUNDDOWN($H12,0),CI$2)))))*ADRYr2!P12*ADRYr2!Q12*ADRYr2!U12)</f>
        <v/>
      </c>
      <c r="CJ12" s="30" t="str">
        <f>IF($G12="","",$G12*(IF(ADRYr2!$AI12=CA$4,ADRYr2!$AJ12,IF(ADRYr2!$AK12=CA$4,ADRYr2!$AL12,IF(ADRYr2!$AM12=CA$4,ADRYr2!$AN12,0))))*(INDEX(avoidedcosttbl2,$H12,CJ$2)+(($H12-ROUNDDOWN($H12,0))*(INDEX(avoidedcosttbl2,ROUNDUP($H12,0),CJ$2)-(INDEX(avoidedcosttbl2,ROUNDDOWN($H12,0),CJ$2)))))*ADRYr2!P12*ADRYr2!Q12*ADRYr2!U12)</f>
        <v/>
      </c>
      <c r="CK12" s="30" t="str">
        <f>IF($G12="","",$G12*(IF(ADRYr2!$AI12=CB$4,ADRYr2!$AJ12,IF(ADRYr2!$AK12=CB$4,ADRYr2!$AL12,IF(ADRYr2!$AM12=CB$4,ADRYr2!$AN12,0))))*(INDEX(avoidedcosttbl2,$H12,CK$2)+(($H12-ROUNDDOWN($H12,0))*(INDEX(avoidedcosttbl2,ROUNDUP($H12,0),CK$2)-(INDEX(avoidedcosttbl2,ROUNDDOWN($H12,0),CK$2)))))*ADRYr2!P12*ADRYr2!Q12*ADRYr2!U12)</f>
        <v/>
      </c>
      <c r="CL12" s="30" t="str">
        <f>IF($G12="","",$G12*(IF(ADRYr2!$AI12=CC$4,ADRYr2!$AJ12,IF(ADRYr2!$AK12=CC$4,ADRYr2!$AL12,IF(ADRYr2!$AM12=CC$4,ADRYr2!$AN12,0))))*(INDEX(avoidedcosttbl2,$H12,CL$2)+(($H12-ROUNDDOWN($H12,0))*(INDEX(avoidedcosttbl2,ROUNDUP($H12,0),CL$2)-(INDEX(avoidedcosttbl2,ROUNDDOWN($H12,0),CL$2)))))*ADRYr2!P12*ADRYr2!Q12*ADRYr2!U12)</f>
        <v/>
      </c>
      <c r="CM12" s="30" t="str">
        <f>IF($G12="","",$G12*(IF(ADRYr2!$AI12=CD$4,ADRYr2!$AJ12,IF(ADRYr2!$AK12=CD$4,ADRYr2!$AL12,IF(ADRYr2!$AM12=CD$4,ADRYr2!$AN12,0))))*(INDEX(avoidedcosttbl2,$H12,CM$2)+(($H12-ROUNDDOWN($H12,0))*(INDEX(avoidedcosttbl2,ROUNDUP($H12,0),CM$2)-(INDEX(avoidedcosttbl2,ROUNDDOWN($H12,0),CM$2)))))*ADRYr2!P12*ADRYr2!Q12*ADRYr2!U12)</f>
        <v/>
      </c>
      <c r="CN12" s="30" t="str">
        <f>IF($G12="","",$G12*(IF(ADRYr2!$AI12=CE$4,ADRYr2!$AJ12,IF(ADRYr2!$AK12=CE$4,ADRYr2!$AL12,IF(ADRYr2!$AM12=CE$4,ADRYr2!$AN12,0))))*(INDEX(avoidedcosttbl2,$H12,CN$2)+(($H12-ROUNDDOWN($H12,0))*(INDEX(avoidedcosttbl2,ROUNDUP($H12,0),CN$2)-(INDEX(avoidedcosttbl2,ROUNDDOWN($H12,0),CN$2)))))*ADRYr2!P12*ADRYr2!Q12*ADRYr2!U12)</f>
        <v/>
      </c>
      <c r="CO12" s="220" t="str">
        <f t="shared" si="39"/>
        <v/>
      </c>
      <c r="CP12" s="220" t="str">
        <f t="shared" si="40"/>
        <v/>
      </c>
      <c r="CQ12" s="157" t="str">
        <f>IF($G12="","",$G12*(IF(ADRYr2!$AI12=CQ$4,ADRYr2!$AJ12,IF(ADRYr2!$AK12=CQ$4,ADRYr2!$AL12,IF(ADRYr2!$AM12=CQ$4,ADRYr2!$AN12,0))))*(INDEX(avoidedcosttbl2,$H12,CQ$2)+(($H12-ROUNDDOWN($H12,0))*(INDEX(avoidedcosttbl2,ROUNDUP($H12,0),CQ$2)-(INDEX(avoidedcosttbl2,ROUNDDOWN($H12,0),CQ$2)))))*ADRYr2!$P12*ADRYr2!$Q12*ADRYr2!$U12)</f>
        <v/>
      </c>
      <c r="CR12" s="28" t="str">
        <f>IF($G12="","",G12*(IF(ADRYr2!$AI12=CR$4,ADRYr2!$AJ12,IF(ADRYr2!$AK12=CR$4,ADRYr2!$AL12,IF(ADRYr2!$AM12=CR$4,ADRYr2!$AN12,0))))*(INDEX(avoidedcosttbl2,$H12,CR$2)+(($H12-ROUNDDOWN($H12,0))*(INDEX(avoidedcosttbl2,ROUNDUP($H12,0),CR$2)-(INDEX(avoidedcosttbl2,ROUNDDOWN($H12,0),CR$2)))))*ADRYr2!$P12*ADRYr2!$Q12*ADRYr2!$U12)</f>
        <v/>
      </c>
      <c r="CS12" s="28" t="str">
        <f>IF($G12="","",G12*(IF(ADRYr2!$AI12=CS$4,ADRYr2!$AJ12,IF(ADRYr2!$AK12=CS$4,ADRYr2!$AL12,IF(ADRYr2!$AM12=CS$4,ADRYr2!$AN12,0))))*(INDEX(avoidedcosttbl2,$H12,CS$2)+(($H12-ROUNDDOWN($H12,0))*(INDEX(avoidedcosttbl2,ROUNDUP($H12,0),CS$2)-(INDEX(avoidedcosttbl2,ROUNDDOWN($H12,0),CS$2)))))*ADRYr2!$P12*ADRYr2!$Q12*ADRYr2!$U12)</f>
        <v/>
      </c>
      <c r="CT12" s="28" t="str">
        <f t="shared" si="12"/>
        <v/>
      </c>
      <c r="CU12" s="28" t="str">
        <f>IF($G12="","",G12*(IF(ADRYr2!$AI12=CU$4,ADRYr2!$AJ12,IF(ADRYr2!$AK12=CU$4,ADRYr2!$AL12,IF(ADRYr2!$AM12=CU$4,ADRYr2!$AN12,0))))*(INDEX(avoidedcosttbl2,$H12,CU$2)+(($H12-ROUNDDOWN($H12,0))*(INDEX(avoidedcosttbl2,ROUNDUP($H12,0),CU$2)-(INDEX(avoidedcosttbl2,ROUNDDOWN($H12,0),CU$2)))))*ADRYr2!$P12*ADRYr2!$Q12*ADRYr2!$U12)</f>
        <v/>
      </c>
      <c r="CV12" s="28" t="str">
        <f>IF($G12="","",G12*(IF(ADRYr2!$AI12=CV$4,ADRYr2!$AJ12,IF(ADRYr2!$AK12=CV$4,ADRYr2!$AL12,IF(ADRYr2!$AM12=CV$4,ADRYr2!$AN12,0))))*(INDEX(avoidedcosttbl2,$H12,CV$2)+(($H12-ROUNDDOWN($H12,0))*(INDEX(avoidedcosttbl2,ROUNDUP($H12,0),CV$2)-(INDEX(avoidedcosttbl2,ROUNDDOWN($H12,0),CV$2)))))*ADRYr2!$P12*ADRYr2!$Q12*ADRYr2!$U12)</f>
        <v/>
      </c>
      <c r="CW12" s="28" t="str">
        <f>IF($G12="","",G12*(IF(ADRYr2!$AI12=CW$4,ADRYr2!$AJ12,IF(ADRYr2!$AK12=CW$4,ADRYr2!$AL12,IF(ADRYr2!$AM12=CW$4,ADRYr2!$AN12,0))))*(INDEX(avoidedcosttbl2,$H12,CW$2)+(($H12-ROUNDDOWN($H12,0))*(INDEX(avoidedcosttbl2,ROUNDUP($H12,0),CW$2)-(INDEX(avoidedcosttbl2,ROUNDDOWN($H12,0),CW$2)))))*ADRYr2!$P12*ADRYr2!$Q12*ADRYr2!$U12)</f>
        <v/>
      </c>
      <c r="CX12" s="28" t="str">
        <f>IF($G12="","",G12*(IF(ADRYr2!$AI12=CX$4,ADRYr2!$AJ12,IF(ADRYr2!$AK12=CX$4,ADRYr2!$AL12,IF(ADRYr2!$AM12=CX$4,ADRYr2!$AN12,0))))*(INDEX(avoidedcosttbl2,$H12,CX$2)+(($H12-ROUNDDOWN($H12,0))*(INDEX(avoidedcosttbl2,ROUNDUP($H12,0),CX$2)-(INDEX(avoidedcosttbl2,ROUNDDOWN($H12,0),CX$2)))))*ADRYr2!$P12*ADRYr2!$Q12*ADRYr2!$U12)</f>
        <v/>
      </c>
      <c r="CY12" s="28" t="str">
        <f t="shared" si="13"/>
        <v/>
      </c>
      <c r="CZ12" s="32" t="str">
        <f t="shared" si="14"/>
        <v/>
      </c>
      <c r="DA12" s="84" t="str">
        <f t="shared" si="41"/>
        <v/>
      </c>
      <c r="DB12" s="81" t="str">
        <f>IF(NEIadder="Yes",IF($G12="","",INDEX(Lookups!$G$70:$G$71,MATCH($A12,Lookups!$E$70:$E$71,0))*(SUM(CP12:CX12,BX12))),"")</f>
        <v/>
      </c>
      <c r="DC12" s="263" t="str">
        <f t="shared" si="15"/>
        <v/>
      </c>
      <c r="DD12" s="166" t="str">
        <f t="shared" si="16"/>
        <v/>
      </c>
      <c r="DE12" s="82">
        <f t="shared" si="42"/>
        <v>0</v>
      </c>
      <c r="DF12" s="615" t="str">
        <f>IF($G12="","",(1+WntPeakEnergyLL)*(INDEX(avoidedcosttbl2,$H12,DF$2)+(($H12-ROUNDDOWN($H12,0))*(INDEX(avoidedcosttbl2,ROUNDUP($H12,0),DF$2)-(INDEX(avoidedcosttbl2,ROUNDDOWN($H12,0),DF$2)))))*$P12*1000*ADRYr2!Z12)</f>
        <v/>
      </c>
      <c r="DG12" s="615" t="str">
        <f>IF($G12="","",(1+WntOffPeakEnergyLL)*(INDEX(avoidedcosttbl2,$H12,DG$2)+(($H12-ROUNDDOWN($H12,0))*(INDEX(avoidedcosttbl2,ROUNDUP($H12,0),DG$2)-(INDEX(avoidedcosttbl2,ROUNDDOWN($H12,0),DG$2)))))*$P12*1000*ADRYr2!AA12)</f>
        <v/>
      </c>
      <c r="DH12" s="615" t="str">
        <f>IF($G12="","",(1+SumPeakEnergyLL)*(INDEX(avoidedcosttbl2,$H12,DH$2)+(($H12-ROUNDDOWN($H12,0))*(INDEX(avoidedcosttbl2,ROUNDUP($H12,0),DH$2)-(INDEX(avoidedcosttbl2,ROUNDDOWN($H12,0),DH$2)))))*$P12*1000*ADRYr2!AB12)</f>
        <v/>
      </c>
      <c r="DI12" s="615" t="str">
        <f>IF($G12="","",(1+SumOffPeakEnergyLL)*(INDEX(avoidedcosttbl2,$H12,DI$2)+(($H12-ROUNDDOWN($H12,0))*(INDEX(avoidedcosttbl2,ROUNDUP($H12,0),DI$2)-(INDEX(avoidedcosttbl2,ROUNDDOWN($H12,0),DI$2)))))*$P12*1000*ADRYr2!AC12)</f>
        <v/>
      </c>
      <c r="DJ12" s="29" t="str">
        <f t="shared" si="43"/>
        <v/>
      </c>
      <c r="DK12" s="161" t="str">
        <f t="shared" si="44"/>
        <v/>
      </c>
      <c r="DL12" s="1189" t="str">
        <f t="shared" si="45"/>
        <v/>
      </c>
      <c r="DM12" s="1189" t="str">
        <f t="shared" si="46"/>
        <v/>
      </c>
      <c r="DN12" s="43" t="str">
        <f t="shared" si="47"/>
        <v/>
      </c>
      <c r="DO12" s="966" t="str">
        <f>IF($G12="","",ADRYr2!AQ12)</f>
        <v/>
      </c>
      <c r="DP12" s="968" t="str">
        <f>IF($G12="","",ADRYr2!AR12)</f>
        <v/>
      </c>
      <c r="DQ12" s="970" t="str">
        <f>IF($G12="","",IF($DP12="Yes",COLUMN(AESC!$L$10),IF($DP12="No","Using AvoidedDemand tab",IF($DP12="Mixed",COLUMN(AESC!$N$10)))))</f>
        <v/>
      </c>
      <c r="DR12" s="970" t="str">
        <f>IF($G12="","",IF($DP12="Yes",COLUMN(AESC!$P$10),IF($DP12="No","Using AvoidedDemand tab",IF($DP12="Mixed",COLUMN(AESC!$R$10)))))</f>
        <v/>
      </c>
      <c r="DS12" s="970" t="str">
        <f>IF($G12="","",IF($DP12="Yes",COLUMN(AESC!$S$10),IF($DP12="No",COLUMN(AESC!$T$10),IF($DP12="Mixed",COLUMN(AESC!$U$10)))))</f>
        <v/>
      </c>
      <c r="DT12" s="970" t="str">
        <f t="shared" si="48"/>
        <v/>
      </c>
      <c r="DU12" s="970" t="str">
        <f>IF($G12="","",ADRYr2!AS12)</f>
        <v/>
      </c>
      <c r="DV12" s="971" t="str">
        <f>IF($G12="","",ADRYr2!AT12)</f>
        <v/>
      </c>
      <c r="DW12" s="1162" t="str">
        <f>IF($G12="","",INDEX(AvoidedEnergy!$H$4:$H$10,MATCH($DO12,AvoidedEnergy!$A$4:$A$10,0)))</f>
        <v/>
      </c>
    </row>
    <row r="13" spans="1:127">
      <c r="A13" s="160" t="str">
        <f>IF(ADRYr2!$B13=0,"",ADRYr2!A13)</f>
        <v>A - Residential</v>
      </c>
      <c r="B13" s="9" t="str">
        <f>IF(ADRYr2!$B13=0,"",ADRYr2!B13)</f>
        <v>A5 - Residential Active Demand Response</v>
      </c>
      <c r="C13" s="9" t="str">
        <f>IF(ADRYr2!$B13=0,"",ADRYr2!C13)</f>
        <v>A5a - Residential Active Demand Response</v>
      </c>
      <c r="D13" s="9" t="str">
        <f>IF(ADRYr2!$B13=0,"",ADRYr2!D13)</f>
        <v>Storage Targeted Dispatch P4P (savings) Winter</v>
      </c>
      <c r="E13" s="9">
        <f>IF(ADRYr2!$B13=0,"",ADRYr2!E13)</f>
        <v>0</v>
      </c>
      <c r="F13" s="11" t="str">
        <f>IF(ADRYr2!$B13=0,"",ADRYr2!F13)</f>
        <v>Behavior</v>
      </c>
      <c r="G13" s="12" t="str">
        <f>IF(ADRYr2!$G13&lt;&gt;0,ADRYr2!G13,"")</f>
        <v/>
      </c>
      <c r="H13" s="960" t="str">
        <f>IF($G13="","",ROUND(ADRYr2!H13,0))</f>
        <v/>
      </c>
      <c r="I13" s="47" t="str">
        <f>IF($G13="","",ADRYr2!I13*ADRYr2!P13*G13)</f>
        <v/>
      </c>
      <c r="J13" s="47" t="str">
        <f>IF($G13="","",ADRYr2!J13*G13)</f>
        <v/>
      </c>
      <c r="K13" s="47" t="str">
        <f t="shared" si="17"/>
        <v/>
      </c>
      <c r="L13" s="27" t="str">
        <f>IF($G13="","",ADRYr2!V13*G13/1000)</f>
        <v/>
      </c>
      <c r="M13" s="27" t="str">
        <f>IF($G13="","",L13*ADRYr2!$Q13*ADRYr2!$R13)</f>
        <v/>
      </c>
      <c r="N13" s="27" t="str">
        <f t="shared" si="18"/>
        <v/>
      </c>
      <c r="O13" s="27" t="str">
        <f t="shared" si="19"/>
        <v/>
      </c>
      <c r="P13" s="27" t="str">
        <f>IF($G13="","",M13*ADRYr2!P13)</f>
        <v/>
      </c>
      <c r="Q13" s="27" t="str">
        <f t="shared" si="20"/>
        <v/>
      </c>
      <c r="R13" s="27" t="str">
        <f>IF($G13="","",$Q13*ADRYr2!Z13)</f>
        <v/>
      </c>
      <c r="S13" s="27" t="str">
        <f>IF($G13="","",$Q13*ADRYr2!AA13)</f>
        <v/>
      </c>
      <c r="T13" s="27" t="str">
        <f>IF($G13="","",$Q13*ADRYr2!AB13)</f>
        <v/>
      </c>
      <c r="U13" s="27" t="str">
        <f>IF($G13="","",$Q13*ADRYr2!AC13)</f>
        <v/>
      </c>
      <c r="V13" s="27" t="str">
        <f>IF($G13="","",G13*ADRYr2!$AD13*ADRYr2!$P13*ADRYr2!$Q13)</f>
        <v/>
      </c>
      <c r="W13" s="27" t="str">
        <f>IF($G13="","",$G13*ADRYr2!$AD13*ADRYr2!$AF13*ADRYr2!Q13*ADRYr2!$S13)</f>
        <v/>
      </c>
      <c r="X13" s="27" t="str">
        <f>IF($G13="","",$G13*ADRYr2!$AD13*ADRYr2!$AF13*ADRYr2!P13*ADRYr2!Q13*ADRYr2!$S13)</f>
        <v/>
      </c>
      <c r="Y13" s="27" t="str">
        <f>IF($G13="","",$G13*ADRYr2!$AD13*ADRYr2!$AE13*ADRYr2!Q13*ADRYr2!$T13)</f>
        <v/>
      </c>
      <c r="Z13" s="27" t="str">
        <f>IF($G13="","",$G13*ADRYr2!$AD13*ADRYr2!$AE13*ADRYr2!P13*ADRYr2!Q13*ADRYr2!$T13)</f>
        <v/>
      </c>
      <c r="AA13" s="45" t="str">
        <f>IF($G13="","",$G13*ADRYr2!$Q13*ADRYr2!$U13*(IF(IFERROR(SEARCH("NG", ADRYr2!$AI13),0),ADRYr2!$AJ13,0)+IF(IFERROR(SEARCH("NG", ADRYr2!$AK13),0),ADRYr2!$AL13,0)+IF(IFERROR(SEARCH("NG", ADRYr2!$AM13),0),ADRYr2!$AN13,0)))</f>
        <v/>
      </c>
      <c r="AB13" s="45" t="str">
        <f t="shared" si="21"/>
        <v/>
      </c>
      <c r="AC13" s="45">
        <f>IF($G13="",0,AA13*ADRYr2!$P13)</f>
        <v>0</v>
      </c>
      <c r="AD13" s="45" t="str">
        <f t="shared" si="22"/>
        <v/>
      </c>
      <c r="AE13" s="45" t="str">
        <f>IF($G13="","",$G13*ADRYr2!$Q13*ADRYr2!$U13*(IF(IFERROR(SEARCH("Oil", ADRYr2!$AI13), 0),ADRYr2!$AJ13,0)+IF(IFERROR(SEARCH("Oil", ADRYr2!$AK13), 0),ADRYr2!$AL13,0)+IF(IFERROR(SEARCH("Oil", ADRYr2!$AM13), 0),ADRYr2!$AN13,0)))</f>
        <v/>
      </c>
      <c r="AF13" s="45" t="str">
        <f t="shared" si="23"/>
        <v/>
      </c>
      <c r="AG13" s="45">
        <f>IF($G13="",0,AE13*ADRYr2!$P13)</f>
        <v>0</v>
      </c>
      <c r="AH13" s="45" t="str">
        <f t="shared" si="24"/>
        <v/>
      </c>
      <c r="AI13" s="45" t="str">
        <f>IF($G13="","",$G13*ADRYr2!$Q13*ADRYr2!$U13*(IF(ADRYr2!$AI13=Lookups!$E$116,ADRYr2!$AJ13,IF(ADRYr2!$AK13=Lookups!$E$116,ADRYr2!$AL13,IF(ADRYr2!$AM13=Lookups!$E$116,ADRYr2!$AN13,0)))))</f>
        <v/>
      </c>
      <c r="AJ13" s="45" t="str">
        <f t="shared" si="25"/>
        <v/>
      </c>
      <c r="AK13" s="45">
        <f>IF($G13="",0,AI13*ADRYr2!$P13)</f>
        <v>0</v>
      </c>
      <c r="AL13" s="45" t="str">
        <f t="shared" si="26"/>
        <v/>
      </c>
      <c r="AM13" s="45" t="str">
        <f>IF($G13="","",$G13*ADRYr2!$Q13*ADRYr2!$U13*(IF(ADRYr2!$AI13=Lookups!$E$115,ADRYr2!$AJ13,IF(ADRYr2!$AK13=Lookups!$E$115,ADRYr2!$AL13,IF(ADRYr2!$AM13=Lookups!$E$115,ADRYr2!$AN13,0)))))</f>
        <v/>
      </c>
      <c r="AN13" s="45" t="str">
        <f t="shared" si="27"/>
        <v/>
      </c>
      <c r="AO13" s="45">
        <f>IF($G13="",0,AM13*ADRYr2!$P13)</f>
        <v>0</v>
      </c>
      <c r="AP13" s="45" t="str">
        <f t="shared" si="28"/>
        <v/>
      </c>
      <c r="AQ13" s="45" t="str">
        <f>IF($G13="","",$G13*ADRYr2!$Q13*ADRYr2!$U13*(IF(ADRYr2!$AI13=Lookups!$E$117,ADRYr2!$AJ13,IF(ADRYr2!$AK13=Lookups!$E$117,ADRYr2!$AL13,IF(ADRYr2!$AM13=Lookups!$E$117,ADRYr2!$AN13,0)))))</f>
        <v/>
      </c>
      <c r="AR13" s="45" t="str">
        <f t="shared" si="29"/>
        <v/>
      </c>
      <c r="AS13" s="45" t="str">
        <f>IF($G13="","",AQ13*ADRYr2!$P13)</f>
        <v/>
      </c>
      <c r="AT13" s="45" t="str">
        <f t="shared" si="30"/>
        <v/>
      </c>
      <c r="AU13" s="45" t="str">
        <f>IF($G13="","",$G13*ADRYr2!$Q13*ADRYr2!$U13*(IF(ADRYr2!$AI13=Lookups!$E$118,ADRYr2!$AJ13,IF(ADRYr2!$AK13=Lookups!$E$118,ADRYr2!$AL13,IF(ADRYr2!$AM13=Lookups!$E$118,ADRYr2!$AN13,0)))))</f>
        <v/>
      </c>
      <c r="AV13" s="45" t="str">
        <f t="shared" si="31"/>
        <v/>
      </c>
      <c r="AW13" s="45" t="str">
        <f>IF($G13="","",AU13*ADRYr2!$P13)</f>
        <v/>
      </c>
      <c r="AX13" s="45" t="str">
        <f t="shared" si="32"/>
        <v/>
      </c>
      <c r="AY13" s="45">
        <f t="shared" si="33"/>
        <v>0</v>
      </c>
      <c r="AZ13" s="45">
        <f t="shared" si="33"/>
        <v>0</v>
      </c>
      <c r="BA13" s="101" t="str">
        <f>IF($G13="","",$G13*ADRYr2!$P13*ADRYr2!$Q13*ADRYr2!$U13*ADRYr2!AO13)</f>
        <v/>
      </c>
      <c r="BB13" s="102" t="str">
        <f>IF($G13="","",$G13*ADRYr2!$P13*ADRYr2!$Q13*ADRYr2!$U13*ADRYr2!AP13)</f>
        <v/>
      </c>
      <c r="BC13" s="100" t="str">
        <f t="shared" si="34"/>
        <v/>
      </c>
      <c r="BD13" s="961"/>
      <c r="BE13" s="961"/>
      <c r="BF13" s="961"/>
      <c r="BG13" s="961"/>
      <c r="BH13" s="962" t="str">
        <f t="shared" si="3"/>
        <v/>
      </c>
      <c r="BI13" s="961"/>
      <c r="BJ13" s="961"/>
      <c r="BK13" s="961"/>
      <c r="BL13" s="961"/>
      <c r="BM13" s="30" t="str">
        <f t="shared" si="4"/>
        <v/>
      </c>
      <c r="BN13" s="963" t="str">
        <f t="shared" si="5"/>
        <v/>
      </c>
      <c r="BO13" s="31" t="str">
        <f t="shared" si="35"/>
        <v/>
      </c>
      <c r="BP13" s="964" t="str">
        <f t="shared" si="6"/>
        <v/>
      </c>
      <c r="BQ13" s="28" t="str">
        <f t="shared" si="7"/>
        <v/>
      </c>
      <c r="BR13" s="964" t="str">
        <f t="shared" si="8"/>
        <v/>
      </c>
      <c r="BS13" s="964" t="str">
        <f t="shared" si="9"/>
        <v/>
      </c>
      <c r="BT13" s="28" t="str">
        <f t="shared" si="10"/>
        <v/>
      </c>
      <c r="BU13" s="28" t="str">
        <f t="shared" si="10"/>
        <v/>
      </c>
      <c r="BV13" s="28" t="str">
        <f t="shared" si="10"/>
        <v/>
      </c>
      <c r="BW13" s="29" t="str">
        <f t="shared" si="36"/>
        <v/>
      </c>
      <c r="BX13" s="29" t="str">
        <f t="shared" si="37"/>
        <v/>
      </c>
      <c r="BY13" s="28" t="str">
        <f>IF($G13="","",$G13*(IF(ADRYr2!$AI13=BY$4,ADRYr2!$AJ13,IF(ADRYr2!$AK13=BY$4,ADRYr2!$AL13,IF(ADRYr2!$AM13=BY$4,ADRYr2!$AN13,0))))*(INDEX(avoidedcosttbl2,$H13,BY$2)+(($H13-ROUNDDOWN($H13,0))*(INDEX(avoidedcosttbl2,ROUNDUP($H13,0),BY$2)-(INDEX(avoidedcosttbl2,ROUNDDOWN($H13,0),BY$2)))))*ADRYr2!P13*ADRYr2!Q13*ADRYr2!U13)</f>
        <v/>
      </c>
      <c r="BZ13" s="28" t="str">
        <f>IF($G13="","",$G13*(IF(ADRYr2!$AI13=BZ$4,ADRYr2!$AJ13,IF(ADRYr2!$AK13=BZ$4,ADRYr2!$AL13,IF(ADRYr2!$AM13=BZ$4,ADRYr2!$AN13,0))))*(INDEX(avoidedcosttbl2,$H13,BZ$2)+(($H13-ROUNDDOWN($H13,0))*(INDEX(avoidedcosttbl2,ROUNDUP($H13,0),BZ$2)-(INDEX(avoidedcosttbl2,ROUNDDOWN($H13,0),BZ$2)))))*ADRYr2!P13*ADRYr2!Q13*ADRYr2!U13)</f>
        <v/>
      </c>
      <c r="CA13" s="28" t="str">
        <f>IF($G13="","",$G13*(IF(ADRYr2!$AI13=CA$4,ADRYr2!$AJ13,IF(ADRYr2!$AK13=CA$4,ADRYr2!$AL13,IF(ADRYr2!$AM13=CA$4,ADRYr2!$AN13,0))))*(INDEX(avoidedcosttbl2,$H13,CA$2)+(($H13-ROUNDDOWN($H13,0))*(INDEX(avoidedcosttbl2,ROUNDUP($H13,0),CA$2)-(INDEX(avoidedcosttbl2,ROUNDDOWN($H13,0),CA$2)))))*ADRYr2!P13*ADRYr2!Q13*ADRYr2!U13)</f>
        <v/>
      </c>
      <c r="CB13" s="28" t="str">
        <f>IF($G13="","",$G13*(IF(ADRYr2!$AI13=CB$4,ADRYr2!$AJ13,IF(ADRYr2!$AK13=CB$4,ADRYr2!$AL13,IF(ADRYr2!$AM13=CB$4,ADRYr2!$AN13,0))))*(INDEX(avoidedcosttbl2,$H13,CB$2)+(($H13-ROUNDDOWN($H13,0))*(INDEX(avoidedcosttbl2,ROUNDUP($H13,0),CB$2)-(INDEX(avoidedcosttbl2,ROUNDDOWN($H13,0),CB$2)))))*ADRYr2!P13*ADRYr2!Q13*ADRYr2!U13)</f>
        <v/>
      </c>
      <c r="CC13" s="28" t="str">
        <f>IF($G13="","",$G13*(IF(ADRYr2!$AI13=CC$4,ADRYr2!$AJ13,IF(ADRYr2!$AK13=CC$4,ADRYr2!$AL13,IF(ADRYr2!$AM13=CC$4,ADRYr2!$AN13,0))))*(INDEX(avoidedcosttbl2,$H13,CC$2)+(($H13-ROUNDDOWN($H13,0))*(INDEX(avoidedcosttbl2,ROUNDUP($H13,0),CC$2)-(INDEX(avoidedcosttbl2,ROUNDDOWN($H13,0),CC$2)))))*ADRYr2!P13*ADRYr2!Q13*ADRYr2!U13)</f>
        <v/>
      </c>
      <c r="CD13" s="28" t="str">
        <f>IF($G13="","",$G13*(IF(ADRYr2!$AI13=CD$4,ADRYr2!$AJ13,IF(ADRYr2!$AK13=CD$4,ADRYr2!$AL13,IF(ADRYr2!$AM13=CD$4,ADRYr2!$AN13,0))))*(INDEX(avoidedcosttbl2,$H13,CD$2)+(($H13-ROUNDDOWN($H13,0))*(INDEX(avoidedcosttbl2,ROUNDUP($H13,0),CD$2)-(INDEX(avoidedcosttbl2,ROUNDDOWN($H13,0),CD$2)))))*ADRYr2!P13*ADRYr2!Q13*ADRYr2!U13)</f>
        <v/>
      </c>
      <c r="CE13" s="28" t="str">
        <f>IF($G13="","",$G13*(IF(ADRYr2!$AI13=CE$4,ADRYr2!$AJ13,IF(ADRYr2!$AK13=CE$4,ADRYr2!$AL13,IF(ADRYr2!$AM13=CE$4,ADRYr2!$AN13,0))))*(INDEX(avoidedcosttbl2,$H13,CE$2)+(($H13-ROUNDDOWN($H13,0))*(INDEX(avoidedcosttbl2,ROUNDUP($H13,0),CE$2)-(INDEX(avoidedcosttbl2,ROUNDDOWN($H13,0),CE$2)))))*ADRYr2!P13*ADRYr2!Q13*ADRYr2!U13)</f>
        <v/>
      </c>
      <c r="CF13" s="41" t="str">
        <f t="shared" si="38"/>
        <v/>
      </c>
      <c r="CG13" s="30" t="str">
        <f t="shared" si="11"/>
        <v/>
      </c>
      <c r="CH13" s="30" t="str">
        <f>IF($G13="","",$G13*(IF(ADRYr2!$AI13=BY$4,ADRYr2!$AJ13,IF(ADRYr2!$AK13=BY$4,ADRYr2!$AL13,IF(ADRYr2!$AM13=BY$4,ADRYr2!$AN13,0))))*(INDEX(avoidedcosttbl2,$H13,CH$2)+(($H13-ROUNDDOWN($H13,0))*(INDEX(avoidedcosttbl2,ROUNDUP($H13,0),CH$2)-(INDEX(avoidedcosttbl2,ROUNDDOWN($H13,0),CH$2)))))*ADRYr2!P13*ADRYr2!Q13*ADRYr2!U13)</f>
        <v/>
      </c>
      <c r="CI13" s="30" t="str">
        <f>IF($G13="","",$G13*(IF(ADRYr2!$AI13=BZ$4,ADRYr2!$AJ13,IF(ADRYr2!$AK13=BZ$4,ADRYr2!$AL13,IF(ADRYr2!$AM13=BZ$4,ADRYr2!$AN13,0))))*(INDEX(avoidedcosttbl2,$H13,CI$2)+(($H13-ROUNDDOWN($H13,0))*(INDEX(avoidedcosttbl2,ROUNDUP($H13,0),CI$2)-(INDEX(avoidedcosttbl2,ROUNDDOWN($H13,0),CI$2)))))*ADRYr2!P13*ADRYr2!Q13*ADRYr2!U13)</f>
        <v/>
      </c>
      <c r="CJ13" s="30" t="str">
        <f>IF($G13="","",$G13*(IF(ADRYr2!$AI13=CA$4,ADRYr2!$AJ13,IF(ADRYr2!$AK13=CA$4,ADRYr2!$AL13,IF(ADRYr2!$AM13=CA$4,ADRYr2!$AN13,0))))*(INDEX(avoidedcosttbl2,$H13,CJ$2)+(($H13-ROUNDDOWN($H13,0))*(INDEX(avoidedcosttbl2,ROUNDUP($H13,0),CJ$2)-(INDEX(avoidedcosttbl2,ROUNDDOWN($H13,0),CJ$2)))))*ADRYr2!P13*ADRYr2!Q13*ADRYr2!U13)</f>
        <v/>
      </c>
      <c r="CK13" s="30" t="str">
        <f>IF($G13="","",$G13*(IF(ADRYr2!$AI13=CB$4,ADRYr2!$AJ13,IF(ADRYr2!$AK13=CB$4,ADRYr2!$AL13,IF(ADRYr2!$AM13=CB$4,ADRYr2!$AN13,0))))*(INDEX(avoidedcosttbl2,$H13,CK$2)+(($H13-ROUNDDOWN($H13,0))*(INDEX(avoidedcosttbl2,ROUNDUP($H13,0),CK$2)-(INDEX(avoidedcosttbl2,ROUNDDOWN($H13,0),CK$2)))))*ADRYr2!P13*ADRYr2!Q13*ADRYr2!U13)</f>
        <v/>
      </c>
      <c r="CL13" s="30" t="str">
        <f>IF($G13="","",$G13*(IF(ADRYr2!$AI13=CC$4,ADRYr2!$AJ13,IF(ADRYr2!$AK13=CC$4,ADRYr2!$AL13,IF(ADRYr2!$AM13=CC$4,ADRYr2!$AN13,0))))*(INDEX(avoidedcosttbl2,$H13,CL$2)+(($H13-ROUNDDOWN($H13,0))*(INDEX(avoidedcosttbl2,ROUNDUP($H13,0),CL$2)-(INDEX(avoidedcosttbl2,ROUNDDOWN($H13,0),CL$2)))))*ADRYr2!P13*ADRYr2!Q13*ADRYr2!U13)</f>
        <v/>
      </c>
      <c r="CM13" s="30" t="str">
        <f>IF($G13="","",$G13*(IF(ADRYr2!$AI13=CD$4,ADRYr2!$AJ13,IF(ADRYr2!$AK13=CD$4,ADRYr2!$AL13,IF(ADRYr2!$AM13=CD$4,ADRYr2!$AN13,0))))*(INDEX(avoidedcosttbl2,$H13,CM$2)+(($H13-ROUNDDOWN($H13,0))*(INDEX(avoidedcosttbl2,ROUNDUP($H13,0),CM$2)-(INDEX(avoidedcosttbl2,ROUNDDOWN($H13,0),CM$2)))))*ADRYr2!P13*ADRYr2!Q13*ADRYr2!U13)</f>
        <v/>
      </c>
      <c r="CN13" s="30" t="str">
        <f>IF($G13="","",$G13*(IF(ADRYr2!$AI13=CE$4,ADRYr2!$AJ13,IF(ADRYr2!$AK13=CE$4,ADRYr2!$AL13,IF(ADRYr2!$AM13=CE$4,ADRYr2!$AN13,0))))*(INDEX(avoidedcosttbl2,$H13,CN$2)+(($H13-ROUNDDOWN($H13,0))*(INDEX(avoidedcosttbl2,ROUNDUP($H13,0),CN$2)-(INDEX(avoidedcosttbl2,ROUNDDOWN($H13,0),CN$2)))))*ADRYr2!P13*ADRYr2!Q13*ADRYr2!U13)</f>
        <v/>
      </c>
      <c r="CO13" s="220" t="str">
        <f t="shared" si="39"/>
        <v/>
      </c>
      <c r="CP13" s="220" t="str">
        <f t="shared" si="40"/>
        <v/>
      </c>
      <c r="CQ13" s="157" t="str">
        <f>IF($G13="","",$G13*(IF(ADRYr2!$AI13=CQ$4,ADRYr2!$AJ13,IF(ADRYr2!$AK13=CQ$4,ADRYr2!$AL13,IF(ADRYr2!$AM13=CQ$4,ADRYr2!$AN13,0))))*(INDEX(avoidedcosttbl2,$H13,CQ$2)+(($H13-ROUNDDOWN($H13,0))*(INDEX(avoidedcosttbl2,ROUNDUP($H13,0),CQ$2)-(INDEX(avoidedcosttbl2,ROUNDDOWN($H13,0),CQ$2)))))*ADRYr2!$P13*ADRYr2!$Q13*ADRYr2!$U13)</f>
        <v/>
      </c>
      <c r="CR13" s="28" t="str">
        <f>IF($G13="","",G13*(IF(ADRYr2!$AI13=CR$4,ADRYr2!$AJ13,IF(ADRYr2!$AK13=CR$4,ADRYr2!$AL13,IF(ADRYr2!$AM13=CR$4,ADRYr2!$AN13,0))))*(INDEX(avoidedcosttbl2,$H13,CR$2)+(($H13-ROUNDDOWN($H13,0))*(INDEX(avoidedcosttbl2,ROUNDUP($H13,0),CR$2)-(INDEX(avoidedcosttbl2,ROUNDDOWN($H13,0),CR$2)))))*ADRYr2!$P13*ADRYr2!$Q13*ADRYr2!$U13)</f>
        <v/>
      </c>
      <c r="CS13" s="28" t="str">
        <f>IF($G13="","",G13*(IF(ADRYr2!$AI13=CS$4,ADRYr2!$AJ13,IF(ADRYr2!$AK13=CS$4,ADRYr2!$AL13,IF(ADRYr2!$AM13=CS$4,ADRYr2!$AN13,0))))*(INDEX(avoidedcosttbl2,$H13,CS$2)+(($H13-ROUNDDOWN($H13,0))*(INDEX(avoidedcosttbl2,ROUNDUP($H13,0),CS$2)-(INDEX(avoidedcosttbl2,ROUNDDOWN($H13,0),CS$2)))))*ADRYr2!$P13*ADRYr2!$Q13*ADRYr2!$U13)</f>
        <v/>
      </c>
      <c r="CT13" s="28" t="str">
        <f t="shared" si="12"/>
        <v/>
      </c>
      <c r="CU13" s="28" t="str">
        <f>IF($G13="","",G13*(IF(ADRYr2!$AI13=CU$4,ADRYr2!$AJ13,IF(ADRYr2!$AK13=CU$4,ADRYr2!$AL13,IF(ADRYr2!$AM13=CU$4,ADRYr2!$AN13,0))))*(INDEX(avoidedcosttbl2,$H13,CU$2)+(($H13-ROUNDDOWN($H13,0))*(INDEX(avoidedcosttbl2,ROUNDUP($H13,0),CU$2)-(INDEX(avoidedcosttbl2,ROUNDDOWN($H13,0),CU$2)))))*ADRYr2!$P13*ADRYr2!$Q13*ADRYr2!$U13)</f>
        <v/>
      </c>
      <c r="CV13" s="28" t="str">
        <f>IF($G13="","",G13*(IF(ADRYr2!$AI13=CV$4,ADRYr2!$AJ13,IF(ADRYr2!$AK13=CV$4,ADRYr2!$AL13,IF(ADRYr2!$AM13=CV$4,ADRYr2!$AN13,0))))*(INDEX(avoidedcosttbl2,$H13,CV$2)+(($H13-ROUNDDOWN($H13,0))*(INDEX(avoidedcosttbl2,ROUNDUP($H13,0),CV$2)-(INDEX(avoidedcosttbl2,ROUNDDOWN($H13,0),CV$2)))))*ADRYr2!$P13*ADRYr2!$Q13*ADRYr2!$U13)</f>
        <v/>
      </c>
      <c r="CW13" s="28" t="str">
        <f>IF($G13="","",G13*(IF(ADRYr2!$AI13=CW$4,ADRYr2!$AJ13,IF(ADRYr2!$AK13=CW$4,ADRYr2!$AL13,IF(ADRYr2!$AM13=CW$4,ADRYr2!$AN13,0))))*(INDEX(avoidedcosttbl2,$H13,CW$2)+(($H13-ROUNDDOWN($H13,0))*(INDEX(avoidedcosttbl2,ROUNDUP($H13,0),CW$2)-(INDEX(avoidedcosttbl2,ROUNDDOWN($H13,0),CW$2)))))*ADRYr2!$P13*ADRYr2!$Q13*ADRYr2!$U13)</f>
        <v/>
      </c>
      <c r="CX13" s="28" t="str">
        <f>IF($G13="","",G13*(IF(ADRYr2!$AI13=CX$4,ADRYr2!$AJ13,IF(ADRYr2!$AK13=CX$4,ADRYr2!$AL13,IF(ADRYr2!$AM13=CX$4,ADRYr2!$AN13,0))))*(INDEX(avoidedcosttbl2,$H13,CX$2)+(($H13-ROUNDDOWN($H13,0))*(INDEX(avoidedcosttbl2,ROUNDUP($H13,0),CX$2)-(INDEX(avoidedcosttbl2,ROUNDDOWN($H13,0),CX$2)))))*ADRYr2!$P13*ADRYr2!$Q13*ADRYr2!$U13)</f>
        <v/>
      </c>
      <c r="CY13" s="28" t="str">
        <f t="shared" si="13"/>
        <v/>
      </c>
      <c r="CZ13" s="32" t="str">
        <f t="shared" si="14"/>
        <v/>
      </c>
      <c r="DA13" s="84" t="str">
        <f t="shared" si="41"/>
        <v/>
      </c>
      <c r="DB13" s="81" t="str">
        <f>IF(NEIadder="Yes",IF($G13="","",INDEX(Lookups!$G$70:$G$71,MATCH($A13,Lookups!$E$70:$E$71,0))*(SUM(CP13:CX13,BX13))),"")</f>
        <v/>
      </c>
      <c r="DC13" s="263" t="str">
        <f t="shared" si="15"/>
        <v/>
      </c>
      <c r="DD13" s="166" t="str">
        <f t="shared" si="16"/>
        <v/>
      </c>
      <c r="DE13" s="82">
        <f t="shared" si="42"/>
        <v>0</v>
      </c>
      <c r="DF13" s="615" t="str">
        <f>IF($G13="","",(1+WntPeakEnergyLL)*(INDEX(avoidedcosttbl2,$H13,DF$2)+(($H13-ROUNDDOWN($H13,0))*(INDEX(avoidedcosttbl2,ROUNDUP($H13,0),DF$2)-(INDEX(avoidedcosttbl2,ROUNDDOWN($H13,0),DF$2)))))*$P13*1000*ADRYr2!Z13)</f>
        <v/>
      </c>
      <c r="DG13" s="615" t="str">
        <f>IF($G13="","",(1+WntOffPeakEnergyLL)*(INDEX(avoidedcosttbl2,$H13,DG$2)+(($H13-ROUNDDOWN($H13,0))*(INDEX(avoidedcosttbl2,ROUNDUP($H13,0),DG$2)-(INDEX(avoidedcosttbl2,ROUNDDOWN($H13,0),DG$2)))))*$P13*1000*ADRYr2!AA13)</f>
        <v/>
      </c>
      <c r="DH13" s="615" t="str">
        <f>IF($G13="","",(1+SumPeakEnergyLL)*(INDEX(avoidedcosttbl2,$H13,DH$2)+(($H13-ROUNDDOWN($H13,0))*(INDEX(avoidedcosttbl2,ROUNDUP($H13,0),DH$2)-(INDEX(avoidedcosttbl2,ROUNDDOWN($H13,0),DH$2)))))*$P13*1000*ADRYr2!AB13)</f>
        <v/>
      </c>
      <c r="DI13" s="615" t="str">
        <f>IF($G13="","",(1+SumOffPeakEnergyLL)*(INDEX(avoidedcosttbl2,$H13,DI$2)+(($H13-ROUNDDOWN($H13,0))*(INDEX(avoidedcosttbl2,ROUNDUP($H13,0),DI$2)-(INDEX(avoidedcosttbl2,ROUNDDOWN($H13,0),DI$2)))))*$P13*1000*ADRYr2!AC13)</f>
        <v/>
      </c>
      <c r="DJ13" s="29" t="str">
        <f t="shared" si="43"/>
        <v/>
      </c>
      <c r="DK13" s="161" t="str">
        <f t="shared" si="44"/>
        <v/>
      </c>
      <c r="DL13" s="1189" t="str">
        <f t="shared" si="45"/>
        <v/>
      </c>
      <c r="DM13" s="1189" t="str">
        <f t="shared" si="46"/>
        <v/>
      </c>
      <c r="DN13" s="43" t="str">
        <f t="shared" si="47"/>
        <v/>
      </c>
      <c r="DO13" s="966" t="str">
        <f>IF($G13="","",ADRYr2!AQ13)</f>
        <v/>
      </c>
      <c r="DP13" s="968" t="str">
        <f>IF($G13="","",ADRYr2!AR13)</f>
        <v/>
      </c>
      <c r="DQ13" s="970" t="str">
        <f>IF($G13="","",IF($DP13="Yes",COLUMN(AESC!$L$10),IF($DP13="No","Using AvoidedDemand tab",IF($DP13="Mixed",COLUMN(AESC!$N$10)))))</f>
        <v/>
      </c>
      <c r="DR13" s="970" t="str">
        <f>IF($G13="","",IF($DP13="Yes",COLUMN(AESC!$P$10),IF($DP13="No","Using AvoidedDemand tab",IF($DP13="Mixed",COLUMN(AESC!$R$10)))))</f>
        <v/>
      </c>
      <c r="DS13" s="970" t="str">
        <f>IF($G13="","",IF($DP13="Yes",COLUMN(AESC!$S$10),IF($DP13="No",COLUMN(AESC!$T$10),IF($DP13="Mixed",COLUMN(AESC!$U$10)))))</f>
        <v/>
      </c>
      <c r="DT13" s="970" t="str">
        <f t="shared" si="48"/>
        <v/>
      </c>
      <c r="DU13" s="970" t="str">
        <f>IF($G13="","",ADRYr2!AS13)</f>
        <v/>
      </c>
      <c r="DV13" s="971" t="str">
        <f>IF($G13="","",ADRYr2!AT13)</f>
        <v/>
      </c>
      <c r="DW13" s="1162" t="str">
        <f>IF($G13="","",INDEX(AvoidedEnergy!$H$4:$H$10,MATCH($DO13,AvoidedEnergy!$A$4:$A$10,0)))</f>
        <v/>
      </c>
    </row>
    <row r="14" spans="1:127">
      <c r="A14" s="160" t="str">
        <f>IF(ADRYr2!$B14=0,"",ADRYr2!A14)</f>
        <v>A - Residential</v>
      </c>
      <c r="B14" s="9" t="str">
        <f>IF(ADRYr2!$B14=0,"",ADRYr2!B14)</f>
        <v>A5 - Residential Active Demand Response</v>
      </c>
      <c r="C14" s="9" t="str">
        <f>IF(ADRYr2!$B14=0,"",ADRYr2!C14)</f>
        <v>A5a - Residential Active Demand Response</v>
      </c>
      <c r="D14" s="9" t="str">
        <f>IF(ADRYr2!$B14=0,"",ADRYr2!D14)</f>
        <v>Storage Targeted Dispatch P4P (consumption) Winter</v>
      </c>
      <c r="E14" s="9">
        <f>IF(ADRYr2!$B14=0,"",ADRYr2!E14)</f>
        <v>0</v>
      </c>
      <c r="F14" s="11" t="str">
        <f>IF(ADRYr2!$B14=0,"",ADRYr2!F14)</f>
        <v>Behavior</v>
      </c>
      <c r="G14" s="12" t="str">
        <f>IF(ADRYr2!$G14&lt;&gt;0,ADRYr2!G14,"")</f>
        <v/>
      </c>
      <c r="H14" s="960" t="str">
        <f>IF($G14="","",ROUND(ADRYr2!H14,0))</f>
        <v/>
      </c>
      <c r="I14" s="47" t="str">
        <f>IF($G14="","",ADRYr2!I14*ADRYr2!P14*G14)</f>
        <v/>
      </c>
      <c r="J14" s="47" t="str">
        <f>IF($G14="","",ADRYr2!J14*G14)</f>
        <v/>
      </c>
      <c r="K14" s="47" t="str">
        <f t="shared" si="17"/>
        <v/>
      </c>
      <c r="L14" s="27" t="str">
        <f>IF($G14="","",ADRYr2!V14*G14/1000)</f>
        <v/>
      </c>
      <c r="M14" s="27" t="str">
        <f>IF($G14="","",L14*ADRYr2!$Q14*ADRYr2!$R14)</f>
        <v/>
      </c>
      <c r="N14" s="27" t="str">
        <f t="shared" si="18"/>
        <v/>
      </c>
      <c r="O14" s="27" t="str">
        <f t="shared" si="19"/>
        <v/>
      </c>
      <c r="P14" s="27" t="str">
        <f>IF($G14="","",M14*ADRYr2!P14)</f>
        <v/>
      </c>
      <c r="Q14" s="27" t="str">
        <f t="shared" si="20"/>
        <v/>
      </c>
      <c r="R14" s="27" t="str">
        <f>IF($G14="","",$Q14*ADRYr2!Z14)</f>
        <v/>
      </c>
      <c r="S14" s="27" t="str">
        <f>IF($G14="","",$Q14*ADRYr2!AA14)</f>
        <v/>
      </c>
      <c r="T14" s="27" t="str">
        <f>IF($G14="","",$Q14*ADRYr2!AB14)</f>
        <v/>
      </c>
      <c r="U14" s="27" t="str">
        <f>IF($G14="","",$Q14*ADRYr2!AC14)</f>
        <v/>
      </c>
      <c r="V14" s="27" t="str">
        <f>IF($G14="","",G14*ADRYr2!$AD14*ADRYr2!$P14*ADRYr2!$Q14)</f>
        <v/>
      </c>
      <c r="W14" s="27" t="str">
        <f>IF($G14="","",$G14*ADRYr2!$AD14*ADRYr2!$AF14*ADRYr2!Q14*ADRYr2!$S14)</f>
        <v/>
      </c>
      <c r="X14" s="27" t="str">
        <f>IF($G14="","",$G14*ADRYr2!$AD14*ADRYr2!$AF14*ADRYr2!P14*ADRYr2!Q14*ADRYr2!$S14)</f>
        <v/>
      </c>
      <c r="Y14" s="27" t="str">
        <f>IF($G14="","",$G14*ADRYr2!$AD14*ADRYr2!$AE14*ADRYr2!Q14*ADRYr2!$T14)</f>
        <v/>
      </c>
      <c r="Z14" s="27" t="str">
        <f>IF($G14="","",$G14*ADRYr2!$AD14*ADRYr2!$AE14*ADRYr2!P14*ADRYr2!Q14*ADRYr2!$T14)</f>
        <v/>
      </c>
      <c r="AA14" s="45" t="str">
        <f>IF($G14="","",$G14*ADRYr2!$Q14*ADRYr2!$U14*(IF(IFERROR(SEARCH("NG", ADRYr2!$AI14),0),ADRYr2!$AJ14,0)+IF(IFERROR(SEARCH("NG", ADRYr2!$AK14),0),ADRYr2!$AL14,0)+IF(IFERROR(SEARCH("NG", ADRYr2!$AM14),0),ADRYr2!$AN14,0)))</f>
        <v/>
      </c>
      <c r="AB14" s="45" t="str">
        <f t="shared" si="21"/>
        <v/>
      </c>
      <c r="AC14" s="45">
        <f>IF($G14="",0,AA14*ADRYr2!$P14)</f>
        <v>0</v>
      </c>
      <c r="AD14" s="45" t="str">
        <f t="shared" si="22"/>
        <v/>
      </c>
      <c r="AE14" s="45" t="str">
        <f>IF($G14="","",$G14*ADRYr2!$Q14*ADRYr2!$U14*(IF(IFERROR(SEARCH("Oil", ADRYr2!$AI14), 0),ADRYr2!$AJ14,0)+IF(IFERROR(SEARCH("Oil", ADRYr2!$AK14), 0),ADRYr2!$AL14,0)+IF(IFERROR(SEARCH("Oil", ADRYr2!$AM14), 0),ADRYr2!$AN14,0)))</f>
        <v/>
      </c>
      <c r="AF14" s="45" t="str">
        <f t="shared" si="23"/>
        <v/>
      </c>
      <c r="AG14" s="45">
        <f>IF($G14="",0,AE14*ADRYr2!$P14)</f>
        <v>0</v>
      </c>
      <c r="AH14" s="45" t="str">
        <f t="shared" si="24"/>
        <v/>
      </c>
      <c r="AI14" s="45" t="str">
        <f>IF($G14="","",$G14*ADRYr2!$Q14*ADRYr2!$U14*(IF(ADRYr2!$AI14=Lookups!$E$116,ADRYr2!$AJ14,IF(ADRYr2!$AK14=Lookups!$E$116,ADRYr2!$AL14,IF(ADRYr2!$AM14=Lookups!$E$116,ADRYr2!$AN14,0)))))</f>
        <v/>
      </c>
      <c r="AJ14" s="45" t="str">
        <f t="shared" si="25"/>
        <v/>
      </c>
      <c r="AK14" s="45">
        <f>IF($G14="",0,AI14*ADRYr2!$P14)</f>
        <v>0</v>
      </c>
      <c r="AL14" s="45" t="str">
        <f t="shared" si="26"/>
        <v/>
      </c>
      <c r="AM14" s="45" t="str">
        <f>IF($G14="","",$G14*ADRYr2!$Q14*ADRYr2!$U14*(IF(ADRYr2!$AI14=Lookups!$E$115,ADRYr2!$AJ14,IF(ADRYr2!$AK14=Lookups!$E$115,ADRYr2!$AL14,IF(ADRYr2!$AM14=Lookups!$E$115,ADRYr2!$AN14,0)))))</f>
        <v/>
      </c>
      <c r="AN14" s="45" t="str">
        <f t="shared" si="27"/>
        <v/>
      </c>
      <c r="AO14" s="45">
        <f>IF($G14="",0,AM14*ADRYr2!$P14)</f>
        <v>0</v>
      </c>
      <c r="AP14" s="45" t="str">
        <f t="shared" si="28"/>
        <v/>
      </c>
      <c r="AQ14" s="45" t="str">
        <f>IF($G14="","",$G14*ADRYr2!$Q14*ADRYr2!$U14*(IF(ADRYr2!$AI14=Lookups!$E$117,ADRYr2!$AJ14,IF(ADRYr2!$AK14=Lookups!$E$117,ADRYr2!$AL14,IF(ADRYr2!$AM14=Lookups!$E$117,ADRYr2!$AN14,0)))))</f>
        <v/>
      </c>
      <c r="AR14" s="45" t="str">
        <f t="shared" si="29"/>
        <v/>
      </c>
      <c r="AS14" s="45" t="str">
        <f>IF($G14="","",AQ14*ADRYr2!$P14)</f>
        <v/>
      </c>
      <c r="AT14" s="45" t="str">
        <f t="shared" si="30"/>
        <v/>
      </c>
      <c r="AU14" s="45" t="str">
        <f>IF($G14="","",$G14*ADRYr2!$Q14*ADRYr2!$U14*(IF(ADRYr2!$AI14=Lookups!$E$118,ADRYr2!$AJ14,IF(ADRYr2!$AK14=Lookups!$E$118,ADRYr2!$AL14,IF(ADRYr2!$AM14=Lookups!$E$118,ADRYr2!$AN14,0)))))</f>
        <v/>
      </c>
      <c r="AV14" s="45" t="str">
        <f t="shared" si="31"/>
        <v/>
      </c>
      <c r="AW14" s="45" t="str">
        <f>IF($G14="","",AU14*ADRYr2!$P14)</f>
        <v/>
      </c>
      <c r="AX14" s="45" t="str">
        <f t="shared" si="32"/>
        <v/>
      </c>
      <c r="AY14" s="45">
        <f t="shared" si="33"/>
        <v>0</v>
      </c>
      <c r="AZ14" s="45">
        <f t="shared" si="33"/>
        <v>0</v>
      </c>
      <c r="BA14" s="101" t="str">
        <f>IF($G14="","",$G14*ADRYr2!$P14*ADRYr2!$Q14*ADRYr2!$U14*ADRYr2!AO14)</f>
        <v/>
      </c>
      <c r="BB14" s="102" t="str">
        <f>IF($G14="","",$G14*ADRYr2!$P14*ADRYr2!$Q14*ADRYr2!$U14*ADRYr2!AP14)</f>
        <v/>
      </c>
      <c r="BC14" s="100" t="str">
        <f t="shared" si="34"/>
        <v/>
      </c>
      <c r="BD14" s="961"/>
      <c r="BE14" s="961"/>
      <c r="BF14" s="961"/>
      <c r="BG14" s="961"/>
      <c r="BH14" s="962" t="str">
        <f t="shared" si="3"/>
        <v/>
      </c>
      <c r="BI14" s="961"/>
      <c r="BJ14" s="961"/>
      <c r="BK14" s="961"/>
      <c r="BL14" s="961"/>
      <c r="BM14" s="30" t="str">
        <f t="shared" si="4"/>
        <v/>
      </c>
      <c r="BN14" s="963" t="str">
        <f t="shared" si="5"/>
        <v/>
      </c>
      <c r="BO14" s="31" t="str">
        <f t="shared" si="35"/>
        <v/>
      </c>
      <c r="BP14" s="964" t="str">
        <f t="shared" si="6"/>
        <v/>
      </c>
      <c r="BQ14" s="28" t="str">
        <f t="shared" si="7"/>
        <v/>
      </c>
      <c r="BR14" s="964" t="str">
        <f t="shared" si="8"/>
        <v/>
      </c>
      <c r="BS14" s="964" t="str">
        <f t="shared" si="9"/>
        <v/>
      </c>
      <c r="BT14" s="28" t="str">
        <f t="shared" si="10"/>
        <v/>
      </c>
      <c r="BU14" s="28" t="str">
        <f t="shared" si="10"/>
        <v/>
      </c>
      <c r="BV14" s="28" t="str">
        <f t="shared" si="10"/>
        <v/>
      </c>
      <c r="BW14" s="29" t="str">
        <f t="shared" si="36"/>
        <v/>
      </c>
      <c r="BX14" s="29" t="str">
        <f t="shared" si="37"/>
        <v/>
      </c>
      <c r="BY14" s="28" t="str">
        <f>IF($G14="","",$G14*(IF(ADRYr2!$AI14=BY$4,ADRYr2!$AJ14,IF(ADRYr2!$AK14=BY$4,ADRYr2!$AL14,IF(ADRYr2!$AM14=BY$4,ADRYr2!$AN14,0))))*(INDEX(avoidedcosttbl2,$H14,BY$2)+(($H14-ROUNDDOWN($H14,0))*(INDEX(avoidedcosttbl2,ROUNDUP($H14,0),BY$2)-(INDEX(avoidedcosttbl2,ROUNDDOWN($H14,0),BY$2)))))*ADRYr2!P14*ADRYr2!Q14*ADRYr2!U14)</f>
        <v/>
      </c>
      <c r="BZ14" s="28" t="str">
        <f>IF($G14="","",$G14*(IF(ADRYr2!$AI14=BZ$4,ADRYr2!$AJ14,IF(ADRYr2!$AK14=BZ$4,ADRYr2!$AL14,IF(ADRYr2!$AM14=BZ$4,ADRYr2!$AN14,0))))*(INDEX(avoidedcosttbl2,$H14,BZ$2)+(($H14-ROUNDDOWN($H14,0))*(INDEX(avoidedcosttbl2,ROUNDUP($H14,0),BZ$2)-(INDEX(avoidedcosttbl2,ROUNDDOWN($H14,0),BZ$2)))))*ADRYr2!P14*ADRYr2!Q14*ADRYr2!U14)</f>
        <v/>
      </c>
      <c r="CA14" s="28" t="str">
        <f>IF($G14="","",$G14*(IF(ADRYr2!$AI14=CA$4,ADRYr2!$AJ14,IF(ADRYr2!$AK14=CA$4,ADRYr2!$AL14,IF(ADRYr2!$AM14=CA$4,ADRYr2!$AN14,0))))*(INDEX(avoidedcosttbl2,$H14,CA$2)+(($H14-ROUNDDOWN($H14,0))*(INDEX(avoidedcosttbl2,ROUNDUP($H14,0),CA$2)-(INDEX(avoidedcosttbl2,ROUNDDOWN($H14,0),CA$2)))))*ADRYr2!P14*ADRYr2!Q14*ADRYr2!U14)</f>
        <v/>
      </c>
      <c r="CB14" s="28" t="str">
        <f>IF($G14="","",$G14*(IF(ADRYr2!$AI14=CB$4,ADRYr2!$AJ14,IF(ADRYr2!$AK14=CB$4,ADRYr2!$AL14,IF(ADRYr2!$AM14=CB$4,ADRYr2!$AN14,0))))*(INDEX(avoidedcosttbl2,$H14,CB$2)+(($H14-ROUNDDOWN($H14,0))*(INDEX(avoidedcosttbl2,ROUNDUP($H14,0),CB$2)-(INDEX(avoidedcosttbl2,ROUNDDOWN($H14,0),CB$2)))))*ADRYr2!P14*ADRYr2!Q14*ADRYr2!U14)</f>
        <v/>
      </c>
      <c r="CC14" s="28" t="str">
        <f>IF($G14="","",$G14*(IF(ADRYr2!$AI14=CC$4,ADRYr2!$AJ14,IF(ADRYr2!$AK14=CC$4,ADRYr2!$AL14,IF(ADRYr2!$AM14=CC$4,ADRYr2!$AN14,0))))*(INDEX(avoidedcosttbl2,$H14,CC$2)+(($H14-ROUNDDOWN($H14,0))*(INDEX(avoidedcosttbl2,ROUNDUP($H14,0),CC$2)-(INDEX(avoidedcosttbl2,ROUNDDOWN($H14,0),CC$2)))))*ADRYr2!P14*ADRYr2!Q14*ADRYr2!U14)</f>
        <v/>
      </c>
      <c r="CD14" s="28" t="str">
        <f>IF($G14="","",$G14*(IF(ADRYr2!$AI14=CD$4,ADRYr2!$AJ14,IF(ADRYr2!$AK14=CD$4,ADRYr2!$AL14,IF(ADRYr2!$AM14=CD$4,ADRYr2!$AN14,0))))*(INDEX(avoidedcosttbl2,$H14,CD$2)+(($H14-ROUNDDOWN($H14,0))*(INDEX(avoidedcosttbl2,ROUNDUP($H14,0),CD$2)-(INDEX(avoidedcosttbl2,ROUNDDOWN($H14,0),CD$2)))))*ADRYr2!P14*ADRYr2!Q14*ADRYr2!U14)</f>
        <v/>
      </c>
      <c r="CE14" s="28" t="str">
        <f>IF($G14="","",$G14*(IF(ADRYr2!$AI14=CE$4,ADRYr2!$AJ14,IF(ADRYr2!$AK14=CE$4,ADRYr2!$AL14,IF(ADRYr2!$AM14=CE$4,ADRYr2!$AN14,0))))*(INDEX(avoidedcosttbl2,$H14,CE$2)+(($H14-ROUNDDOWN($H14,0))*(INDEX(avoidedcosttbl2,ROUNDUP($H14,0),CE$2)-(INDEX(avoidedcosttbl2,ROUNDDOWN($H14,0),CE$2)))))*ADRYr2!P14*ADRYr2!Q14*ADRYr2!U14)</f>
        <v/>
      </c>
      <c r="CF14" s="41" t="str">
        <f t="shared" si="38"/>
        <v/>
      </c>
      <c r="CG14" s="30" t="str">
        <f t="shared" si="11"/>
        <v/>
      </c>
      <c r="CH14" s="30" t="str">
        <f>IF($G14="","",$G14*(IF(ADRYr2!$AI14=BY$4,ADRYr2!$AJ14,IF(ADRYr2!$AK14=BY$4,ADRYr2!$AL14,IF(ADRYr2!$AM14=BY$4,ADRYr2!$AN14,0))))*(INDEX(avoidedcosttbl2,$H14,CH$2)+(($H14-ROUNDDOWN($H14,0))*(INDEX(avoidedcosttbl2,ROUNDUP($H14,0),CH$2)-(INDEX(avoidedcosttbl2,ROUNDDOWN($H14,0),CH$2)))))*ADRYr2!P14*ADRYr2!Q14*ADRYr2!U14)</f>
        <v/>
      </c>
      <c r="CI14" s="30" t="str">
        <f>IF($G14="","",$G14*(IF(ADRYr2!$AI14=BZ$4,ADRYr2!$AJ14,IF(ADRYr2!$AK14=BZ$4,ADRYr2!$AL14,IF(ADRYr2!$AM14=BZ$4,ADRYr2!$AN14,0))))*(INDEX(avoidedcosttbl2,$H14,CI$2)+(($H14-ROUNDDOWN($H14,0))*(INDEX(avoidedcosttbl2,ROUNDUP($H14,0),CI$2)-(INDEX(avoidedcosttbl2,ROUNDDOWN($H14,0),CI$2)))))*ADRYr2!P14*ADRYr2!Q14*ADRYr2!U14)</f>
        <v/>
      </c>
      <c r="CJ14" s="30" t="str">
        <f>IF($G14="","",$G14*(IF(ADRYr2!$AI14=CA$4,ADRYr2!$AJ14,IF(ADRYr2!$AK14=CA$4,ADRYr2!$AL14,IF(ADRYr2!$AM14=CA$4,ADRYr2!$AN14,0))))*(INDEX(avoidedcosttbl2,$H14,CJ$2)+(($H14-ROUNDDOWN($H14,0))*(INDEX(avoidedcosttbl2,ROUNDUP($H14,0),CJ$2)-(INDEX(avoidedcosttbl2,ROUNDDOWN($H14,0),CJ$2)))))*ADRYr2!P14*ADRYr2!Q14*ADRYr2!U14)</f>
        <v/>
      </c>
      <c r="CK14" s="30" t="str">
        <f>IF($G14="","",$G14*(IF(ADRYr2!$AI14=CB$4,ADRYr2!$AJ14,IF(ADRYr2!$AK14=CB$4,ADRYr2!$AL14,IF(ADRYr2!$AM14=CB$4,ADRYr2!$AN14,0))))*(INDEX(avoidedcosttbl2,$H14,CK$2)+(($H14-ROUNDDOWN($H14,0))*(INDEX(avoidedcosttbl2,ROUNDUP($H14,0),CK$2)-(INDEX(avoidedcosttbl2,ROUNDDOWN($H14,0),CK$2)))))*ADRYr2!P14*ADRYr2!Q14*ADRYr2!U14)</f>
        <v/>
      </c>
      <c r="CL14" s="30" t="str">
        <f>IF($G14="","",$G14*(IF(ADRYr2!$AI14=CC$4,ADRYr2!$AJ14,IF(ADRYr2!$AK14=CC$4,ADRYr2!$AL14,IF(ADRYr2!$AM14=CC$4,ADRYr2!$AN14,0))))*(INDEX(avoidedcosttbl2,$H14,CL$2)+(($H14-ROUNDDOWN($H14,0))*(INDEX(avoidedcosttbl2,ROUNDUP($H14,0),CL$2)-(INDEX(avoidedcosttbl2,ROUNDDOWN($H14,0),CL$2)))))*ADRYr2!P14*ADRYr2!Q14*ADRYr2!U14)</f>
        <v/>
      </c>
      <c r="CM14" s="30" t="str">
        <f>IF($G14="","",$G14*(IF(ADRYr2!$AI14=CD$4,ADRYr2!$AJ14,IF(ADRYr2!$AK14=CD$4,ADRYr2!$AL14,IF(ADRYr2!$AM14=CD$4,ADRYr2!$AN14,0))))*(INDEX(avoidedcosttbl2,$H14,CM$2)+(($H14-ROUNDDOWN($H14,0))*(INDEX(avoidedcosttbl2,ROUNDUP($H14,0),CM$2)-(INDEX(avoidedcosttbl2,ROUNDDOWN($H14,0),CM$2)))))*ADRYr2!P14*ADRYr2!Q14*ADRYr2!U14)</f>
        <v/>
      </c>
      <c r="CN14" s="30" t="str">
        <f>IF($G14="","",$G14*(IF(ADRYr2!$AI14=CE$4,ADRYr2!$AJ14,IF(ADRYr2!$AK14=CE$4,ADRYr2!$AL14,IF(ADRYr2!$AM14=CE$4,ADRYr2!$AN14,0))))*(INDEX(avoidedcosttbl2,$H14,CN$2)+(($H14-ROUNDDOWN($H14,0))*(INDEX(avoidedcosttbl2,ROUNDUP($H14,0),CN$2)-(INDEX(avoidedcosttbl2,ROUNDDOWN($H14,0),CN$2)))))*ADRYr2!P14*ADRYr2!Q14*ADRYr2!U14)</f>
        <v/>
      </c>
      <c r="CO14" s="220" t="str">
        <f t="shared" si="39"/>
        <v/>
      </c>
      <c r="CP14" s="220" t="str">
        <f t="shared" si="40"/>
        <v/>
      </c>
      <c r="CQ14" s="157" t="str">
        <f>IF($G14="","",$G14*(IF(ADRYr2!$AI14=CQ$4,ADRYr2!$AJ14,IF(ADRYr2!$AK14=CQ$4,ADRYr2!$AL14,IF(ADRYr2!$AM14=CQ$4,ADRYr2!$AN14,0))))*(INDEX(avoidedcosttbl2,$H14,CQ$2)+(($H14-ROUNDDOWN($H14,0))*(INDEX(avoidedcosttbl2,ROUNDUP($H14,0),CQ$2)-(INDEX(avoidedcosttbl2,ROUNDDOWN($H14,0),CQ$2)))))*ADRYr2!$P14*ADRYr2!$Q14*ADRYr2!$U14)</f>
        <v/>
      </c>
      <c r="CR14" s="28" t="str">
        <f>IF($G14="","",G14*(IF(ADRYr2!$AI14=CR$4,ADRYr2!$AJ14,IF(ADRYr2!$AK14=CR$4,ADRYr2!$AL14,IF(ADRYr2!$AM14=CR$4,ADRYr2!$AN14,0))))*(INDEX(avoidedcosttbl2,$H14,CR$2)+(($H14-ROUNDDOWN($H14,0))*(INDEX(avoidedcosttbl2,ROUNDUP($H14,0),CR$2)-(INDEX(avoidedcosttbl2,ROUNDDOWN($H14,0),CR$2)))))*ADRYr2!$P14*ADRYr2!$Q14*ADRYr2!$U14)</f>
        <v/>
      </c>
      <c r="CS14" s="28" t="str">
        <f>IF($G14="","",G14*(IF(ADRYr2!$AI14=CS$4,ADRYr2!$AJ14,IF(ADRYr2!$AK14=CS$4,ADRYr2!$AL14,IF(ADRYr2!$AM14=CS$4,ADRYr2!$AN14,0))))*(INDEX(avoidedcosttbl2,$H14,CS$2)+(($H14-ROUNDDOWN($H14,0))*(INDEX(avoidedcosttbl2,ROUNDUP($H14,0),CS$2)-(INDEX(avoidedcosttbl2,ROUNDDOWN($H14,0),CS$2)))))*ADRYr2!$P14*ADRYr2!$Q14*ADRYr2!$U14)</f>
        <v/>
      </c>
      <c r="CT14" s="28" t="str">
        <f t="shared" si="12"/>
        <v/>
      </c>
      <c r="CU14" s="28" t="str">
        <f>IF($G14="","",G14*(IF(ADRYr2!$AI14=CU$4,ADRYr2!$AJ14,IF(ADRYr2!$AK14=CU$4,ADRYr2!$AL14,IF(ADRYr2!$AM14=CU$4,ADRYr2!$AN14,0))))*(INDEX(avoidedcosttbl2,$H14,CU$2)+(($H14-ROUNDDOWN($H14,0))*(INDEX(avoidedcosttbl2,ROUNDUP($H14,0),CU$2)-(INDEX(avoidedcosttbl2,ROUNDDOWN($H14,0),CU$2)))))*ADRYr2!$P14*ADRYr2!$Q14*ADRYr2!$U14)</f>
        <v/>
      </c>
      <c r="CV14" s="28" t="str">
        <f>IF($G14="","",G14*(IF(ADRYr2!$AI14=CV$4,ADRYr2!$AJ14,IF(ADRYr2!$AK14=CV$4,ADRYr2!$AL14,IF(ADRYr2!$AM14=CV$4,ADRYr2!$AN14,0))))*(INDEX(avoidedcosttbl2,$H14,CV$2)+(($H14-ROUNDDOWN($H14,0))*(INDEX(avoidedcosttbl2,ROUNDUP($H14,0),CV$2)-(INDEX(avoidedcosttbl2,ROUNDDOWN($H14,0),CV$2)))))*ADRYr2!$P14*ADRYr2!$Q14*ADRYr2!$U14)</f>
        <v/>
      </c>
      <c r="CW14" s="28" t="str">
        <f>IF($G14="","",G14*(IF(ADRYr2!$AI14=CW$4,ADRYr2!$AJ14,IF(ADRYr2!$AK14=CW$4,ADRYr2!$AL14,IF(ADRYr2!$AM14=CW$4,ADRYr2!$AN14,0))))*(INDEX(avoidedcosttbl2,$H14,CW$2)+(($H14-ROUNDDOWN($H14,0))*(INDEX(avoidedcosttbl2,ROUNDUP($H14,0),CW$2)-(INDEX(avoidedcosttbl2,ROUNDDOWN($H14,0),CW$2)))))*ADRYr2!$P14*ADRYr2!$Q14*ADRYr2!$U14)</f>
        <v/>
      </c>
      <c r="CX14" s="28" t="str">
        <f>IF($G14="","",G14*(IF(ADRYr2!$AI14=CX$4,ADRYr2!$AJ14,IF(ADRYr2!$AK14=CX$4,ADRYr2!$AL14,IF(ADRYr2!$AM14=CX$4,ADRYr2!$AN14,0))))*(INDEX(avoidedcosttbl2,$H14,CX$2)+(($H14-ROUNDDOWN($H14,0))*(INDEX(avoidedcosttbl2,ROUNDUP($H14,0),CX$2)-(INDEX(avoidedcosttbl2,ROUNDDOWN($H14,0),CX$2)))))*ADRYr2!$P14*ADRYr2!$Q14*ADRYr2!$U14)</f>
        <v/>
      </c>
      <c r="CY14" s="28" t="str">
        <f t="shared" si="13"/>
        <v/>
      </c>
      <c r="CZ14" s="32" t="str">
        <f t="shared" si="14"/>
        <v/>
      </c>
      <c r="DA14" s="84" t="str">
        <f t="shared" si="41"/>
        <v/>
      </c>
      <c r="DB14" s="81" t="str">
        <f>IF(NEIadder="Yes",IF($G14="","",INDEX(Lookups!$G$70:$G$71,MATCH($A14,Lookups!$E$70:$E$71,0))*(SUM(CP14:CX14,BX14))),"")</f>
        <v/>
      </c>
      <c r="DC14" s="263" t="str">
        <f t="shared" si="15"/>
        <v/>
      </c>
      <c r="DD14" s="166" t="str">
        <f t="shared" si="16"/>
        <v/>
      </c>
      <c r="DE14" s="82">
        <f t="shared" si="42"/>
        <v>0</v>
      </c>
      <c r="DF14" s="615" t="str">
        <f>IF($G14="","",(1+WntPeakEnergyLL)*(INDEX(avoidedcosttbl2,$H14,DF$2)+(($H14-ROUNDDOWN($H14,0))*(INDEX(avoidedcosttbl2,ROUNDUP($H14,0),DF$2)-(INDEX(avoidedcosttbl2,ROUNDDOWN($H14,0),DF$2)))))*$P14*1000*ADRYr2!Z14)</f>
        <v/>
      </c>
      <c r="DG14" s="615" t="str">
        <f>IF($G14="","",(1+WntOffPeakEnergyLL)*(INDEX(avoidedcosttbl2,$H14,DG$2)+(($H14-ROUNDDOWN($H14,0))*(INDEX(avoidedcosttbl2,ROUNDUP($H14,0),DG$2)-(INDEX(avoidedcosttbl2,ROUNDDOWN($H14,0),DG$2)))))*$P14*1000*ADRYr2!AA14)</f>
        <v/>
      </c>
      <c r="DH14" s="615" t="str">
        <f>IF($G14="","",(1+SumPeakEnergyLL)*(INDEX(avoidedcosttbl2,$H14,DH$2)+(($H14-ROUNDDOWN($H14,0))*(INDEX(avoidedcosttbl2,ROUNDUP($H14,0),DH$2)-(INDEX(avoidedcosttbl2,ROUNDDOWN($H14,0),DH$2)))))*$P14*1000*ADRYr2!AB14)</f>
        <v/>
      </c>
      <c r="DI14" s="615" t="str">
        <f>IF($G14="","",(1+SumOffPeakEnergyLL)*(INDEX(avoidedcosttbl2,$H14,DI$2)+(($H14-ROUNDDOWN($H14,0))*(INDEX(avoidedcosttbl2,ROUNDUP($H14,0),DI$2)-(INDEX(avoidedcosttbl2,ROUNDDOWN($H14,0),DI$2)))))*$P14*1000*ADRYr2!AC14)</f>
        <v/>
      </c>
      <c r="DJ14" s="29" t="str">
        <f t="shared" si="43"/>
        <v/>
      </c>
      <c r="DK14" s="161" t="str">
        <f t="shared" si="44"/>
        <v/>
      </c>
      <c r="DL14" s="1189" t="str">
        <f t="shared" si="45"/>
        <v/>
      </c>
      <c r="DM14" s="1189" t="str">
        <f t="shared" si="46"/>
        <v/>
      </c>
      <c r="DN14" s="43" t="str">
        <f t="shared" si="47"/>
        <v/>
      </c>
      <c r="DO14" s="966" t="str">
        <f>IF($G14="","",ADRYr2!AQ14)</f>
        <v/>
      </c>
      <c r="DP14" s="968" t="str">
        <f>IF($G14="","",ADRYr2!AR14)</f>
        <v/>
      </c>
      <c r="DQ14" s="970" t="str">
        <f>IF($G14="","",IF($DP14="Yes",COLUMN(AESC!$L$10),IF($DP14="No","Using AvoidedDemand tab",IF($DP14="Mixed",COLUMN(AESC!$N$10)))))</f>
        <v/>
      </c>
      <c r="DR14" s="970" t="str">
        <f>IF($G14="","",IF($DP14="Yes",COLUMN(AESC!$P$10),IF($DP14="No","Using AvoidedDemand tab",IF($DP14="Mixed",COLUMN(AESC!$R$10)))))</f>
        <v/>
      </c>
      <c r="DS14" s="970" t="str">
        <f>IF($G14="","",IF($DP14="Yes",COLUMN(AESC!$S$10),IF($DP14="No",COLUMN(AESC!$T$10),IF($DP14="Mixed",COLUMN(AESC!$U$10)))))</f>
        <v/>
      </c>
      <c r="DT14" s="970" t="str">
        <f t="shared" si="48"/>
        <v/>
      </c>
      <c r="DU14" s="970" t="str">
        <f>IF($G14="","",ADRYr2!AS14)</f>
        <v/>
      </c>
      <c r="DV14" s="971" t="str">
        <f>IF($G14="","",ADRYr2!AT14)</f>
        <v/>
      </c>
      <c r="DW14" s="1162" t="str">
        <f>IF($G14="","",INDEX(AvoidedEnergy!$H$4:$H$10,MATCH($DO14,AvoidedEnergy!$A$4:$A$10,0)))</f>
        <v/>
      </c>
    </row>
    <row r="15" spans="1:127">
      <c r="A15" s="160" t="str">
        <f>IF(ADRYr2!$B15=0,"",ADRYr2!A15)</f>
        <v>A - Residential</v>
      </c>
      <c r="B15" s="9" t="str">
        <f>IF(ADRYr2!$B15=0,"",ADRYr2!B15)</f>
        <v>A5 - Residential Active Demand Response</v>
      </c>
      <c r="C15" s="9" t="str">
        <f>IF(ADRYr2!$B15=0,"",ADRYr2!C15)</f>
        <v>A5a - Residential Active Demand Response</v>
      </c>
      <c r="D15" s="9" t="str">
        <f>IF(ADRYr2!$B15=0,"",ADRYr2!D15)</f>
        <v>EV Load Management Summer</v>
      </c>
      <c r="E15" s="9">
        <f>IF(ADRYr2!$B15=0,"",ADRYr2!E15)</f>
        <v>0</v>
      </c>
      <c r="F15" s="11" t="str">
        <f>IF(ADRYr2!$B15=0,"",ADRYr2!F15)</f>
        <v>Behavior</v>
      </c>
      <c r="G15" s="12" t="str">
        <f>IF(ADRYr2!$G15&lt;&gt;0,ADRYr2!G15,"")</f>
        <v/>
      </c>
      <c r="H15" s="960" t="str">
        <f>IF($G15="","",ROUND(ADRYr2!H15,0))</f>
        <v/>
      </c>
      <c r="I15" s="47" t="str">
        <f>IF($G15="","",ADRYr2!I15*ADRYr2!P15*G15)</f>
        <v/>
      </c>
      <c r="J15" s="47" t="str">
        <f>IF($G15="","",ADRYr2!J15*G15)</f>
        <v/>
      </c>
      <c r="K15" s="47" t="str">
        <f t="shared" si="17"/>
        <v/>
      </c>
      <c r="L15" s="27" t="str">
        <f>IF($G15="","",ADRYr2!V15*G15/1000)</f>
        <v/>
      </c>
      <c r="M15" s="27" t="str">
        <f>IF($G15="","",L15*ADRYr2!$Q15*ADRYr2!$R15)</f>
        <v/>
      </c>
      <c r="N15" s="27" t="str">
        <f t="shared" si="18"/>
        <v/>
      </c>
      <c r="O15" s="27" t="str">
        <f t="shared" si="19"/>
        <v/>
      </c>
      <c r="P15" s="27" t="str">
        <f>IF($G15="","",M15*ADRYr2!P15)</f>
        <v/>
      </c>
      <c r="Q15" s="27" t="str">
        <f t="shared" si="20"/>
        <v/>
      </c>
      <c r="R15" s="27" t="str">
        <f>IF($G15="","",$Q15*ADRYr2!Z15)</f>
        <v/>
      </c>
      <c r="S15" s="27" t="str">
        <f>IF($G15="","",$Q15*ADRYr2!AA15)</f>
        <v/>
      </c>
      <c r="T15" s="27" t="str">
        <f>IF($G15="","",$Q15*ADRYr2!AB15)</f>
        <v/>
      </c>
      <c r="U15" s="27" t="str">
        <f>IF($G15="","",$Q15*ADRYr2!AC15)</f>
        <v/>
      </c>
      <c r="V15" s="27" t="str">
        <f>IF($G15="","",G15*ADRYr2!$AD15*ADRYr2!$P15*ADRYr2!$Q15)</f>
        <v/>
      </c>
      <c r="W15" s="27" t="str">
        <f>IF($G15="","",$G15*ADRYr2!$AD15*ADRYr2!$AF15*ADRYr2!Q15*ADRYr2!$S15)</f>
        <v/>
      </c>
      <c r="X15" s="27" t="str">
        <f>IF($G15="","",$G15*ADRYr2!$AD15*ADRYr2!$AF15*ADRYr2!P15*ADRYr2!Q15*ADRYr2!$S15)</f>
        <v/>
      </c>
      <c r="Y15" s="27" t="str">
        <f>IF($G15="","",$G15*ADRYr2!$AD15*ADRYr2!$AE15*ADRYr2!Q15*ADRYr2!$T15)</f>
        <v/>
      </c>
      <c r="Z15" s="27" t="str">
        <f>IF($G15="","",$G15*ADRYr2!$AD15*ADRYr2!$AE15*ADRYr2!P15*ADRYr2!Q15*ADRYr2!$T15)</f>
        <v/>
      </c>
      <c r="AA15" s="45" t="str">
        <f>IF($G15="","",$G15*ADRYr2!$Q15*ADRYr2!$U15*(IF(IFERROR(SEARCH("NG", ADRYr2!$AI15),0),ADRYr2!$AJ15,0)+IF(IFERROR(SEARCH("NG", ADRYr2!$AK15),0),ADRYr2!$AL15,0)+IF(IFERROR(SEARCH("NG", ADRYr2!$AM15),0),ADRYr2!$AN15,0)))</f>
        <v/>
      </c>
      <c r="AB15" s="45" t="str">
        <f t="shared" si="21"/>
        <v/>
      </c>
      <c r="AC15" s="45">
        <f>IF($G15="",0,AA15*ADRYr2!$P15)</f>
        <v>0</v>
      </c>
      <c r="AD15" s="45" t="str">
        <f t="shared" si="22"/>
        <v/>
      </c>
      <c r="AE15" s="45" t="str">
        <f>IF($G15="","",$G15*ADRYr2!$Q15*ADRYr2!$U15*(IF(IFERROR(SEARCH("Oil", ADRYr2!$AI15), 0),ADRYr2!$AJ15,0)+IF(IFERROR(SEARCH("Oil", ADRYr2!$AK15), 0),ADRYr2!$AL15,0)+IF(IFERROR(SEARCH("Oil", ADRYr2!$AM15), 0),ADRYr2!$AN15,0)))</f>
        <v/>
      </c>
      <c r="AF15" s="45" t="str">
        <f t="shared" si="23"/>
        <v/>
      </c>
      <c r="AG15" s="45">
        <f>IF($G15="",0,AE15*ADRYr2!$P15)</f>
        <v>0</v>
      </c>
      <c r="AH15" s="45" t="str">
        <f t="shared" si="24"/>
        <v/>
      </c>
      <c r="AI15" s="45" t="str">
        <f>IF($G15="","",$G15*ADRYr2!$Q15*ADRYr2!$U15*(IF(ADRYr2!$AI15=Lookups!$E$116,ADRYr2!$AJ15,IF(ADRYr2!$AK15=Lookups!$E$116,ADRYr2!$AL15,IF(ADRYr2!$AM15=Lookups!$E$116,ADRYr2!$AN15,0)))))</f>
        <v/>
      </c>
      <c r="AJ15" s="45" t="str">
        <f t="shared" si="25"/>
        <v/>
      </c>
      <c r="AK15" s="45">
        <f>IF($G15="",0,AI15*ADRYr2!$P15)</f>
        <v>0</v>
      </c>
      <c r="AL15" s="45" t="str">
        <f t="shared" si="26"/>
        <v/>
      </c>
      <c r="AM15" s="45" t="str">
        <f>IF($G15="","",$G15*ADRYr2!$Q15*ADRYr2!$U15*(IF(ADRYr2!$AI15=Lookups!$E$115,ADRYr2!$AJ15,IF(ADRYr2!$AK15=Lookups!$E$115,ADRYr2!$AL15,IF(ADRYr2!$AM15=Lookups!$E$115,ADRYr2!$AN15,0)))))</f>
        <v/>
      </c>
      <c r="AN15" s="45" t="str">
        <f t="shared" si="27"/>
        <v/>
      </c>
      <c r="AO15" s="45">
        <f>IF($G15="",0,AM15*ADRYr2!$P15)</f>
        <v>0</v>
      </c>
      <c r="AP15" s="45" t="str">
        <f t="shared" si="28"/>
        <v/>
      </c>
      <c r="AQ15" s="45" t="str">
        <f>IF($G15="","",$G15*ADRYr2!$Q15*ADRYr2!$U15*(IF(ADRYr2!$AI15=Lookups!$E$117,ADRYr2!$AJ15,IF(ADRYr2!$AK15=Lookups!$E$117,ADRYr2!$AL15,IF(ADRYr2!$AM15=Lookups!$E$117,ADRYr2!$AN15,0)))))</f>
        <v/>
      </c>
      <c r="AR15" s="45" t="str">
        <f t="shared" si="29"/>
        <v/>
      </c>
      <c r="AS15" s="45" t="str">
        <f>IF($G15="","",AQ15*ADRYr2!$P15)</f>
        <v/>
      </c>
      <c r="AT15" s="45" t="str">
        <f t="shared" si="30"/>
        <v/>
      </c>
      <c r="AU15" s="45" t="str">
        <f>IF($G15="","",$G15*ADRYr2!$Q15*ADRYr2!$U15*(IF(ADRYr2!$AI15=Lookups!$E$118,ADRYr2!$AJ15,IF(ADRYr2!$AK15=Lookups!$E$118,ADRYr2!$AL15,IF(ADRYr2!$AM15=Lookups!$E$118,ADRYr2!$AN15,0)))))</f>
        <v/>
      </c>
      <c r="AV15" s="45" t="str">
        <f t="shared" si="31"/>
        <v/>
      </c>
      <c r="AW15" s="45" t="str">
        <f>IF($G15="","",AU15*ADRYr2!$P15)</f>
        <v/>
      </c>
      <c r="AX15" s="45" t="str">
        <f t="shared" si="32"/>
        <v/>
      </c>
      <c r="AY15" s="45">
        <f t="shared" si="33"/>
        <v>0</v>
      </c>
      <c r="AZ15" s="45">
        <f t="shared" si="33"/>
        <v>0</v>
      </c>
      <c r="BA15" s="101" t="str">
        <f>IF($G15="","",$G15*ADRYr2!$P15*ADRYr2!$Q15*ADRYr2!$U15*ADRYr2!AO15)</f>
        <v/>
      </c>
      <c r="BB15" s="102" t="str">
        <f>IF($G15="","",$G15*ADRYr2!$P15*ADRYr2!$Q15*ADRYr2!$U15*ADRYr2!AP15)</f>
        <v/>
      </c>
      <c r="BC15" s="100" t="str">
        <f t="shared" si="34"/>
        <v/>
      </c>
      <c r="BD15" s="961"/>
      <c r="BE15" s="961"/>
      <c r="BF15" s="961"/>
      <c r="BG15" s="961"/>
      <c r="BH15" s="962" t="str">
        <f t="shared" si="3"/>
        <v/>
      </c>
      <c r="BI15" s="961"/>
      <c r="BJ15" s="961"/>
      <c r="BK15" s="961"/>
      <c r="BL15" s="961"/>
      <c r="BM15" s="30" t="str">
        <f t="shared" si="4"/>
        <v/>
      </c>
      <c r="BN15" s="963" t="str">
        <f t="shared" si="5"/>
        <v/>
      </c>
      <c r="BO15" s="31" t="str">
        <f t="shared" si="35"/>
        <v/>
      </c>
      <c r="BP15" s="964" t="str">
        <f t="shared" si="6"/>
        <v/>
      </c>
      <c r="BQ15" s="28" t="str">
        <f t="shared" si="7"/>
        <v/>
      </c>
      <c r="BR15" s="964" t="str">
        <f t="shared" si="8"/>
        <v/>
      </c>
      <c r="BS15" s="964" t="str">
        <f t="shared" si="9"/>
        <v/>
      </c>
      <c r="BT15" s="28" t="str">
        <f t="shared" si="10"/>
        <v/>
      </c>
      <c r="BU15" s="28" t="str">
        <f t="shared" si="10"/>
        <v/>
      </c>
      <c r="BV15" s="28" t="str">
        <f t="shared" si="10"/>
        <v/>
      </c>
      <c r="BW15" s="29" t="str">
        <f t="shared" si="36"/>
        <v/>
      </c>
      <c r="BX15" s="29" t="str">
        <f t="shared" si="37"/>
        <v/>
      </c>
      <c r="BY15" s="28" t="str">
        <f>IF($G15="","",$G15*(IF(ADRYr2!$AI15=BY$4,ADRYr2!$AJ15,IF(ADRYr2!$AK15=BY$4,ADRYr2!$AL15,IF(ADRYr2!$AM15=BY$4,ADRYr2!$AN15,0))))*(INDEX(avoidedcosttbl2,$H15,BY$2)+(($H15-ROUNDDOWN($H15,0))*(INDEX(avoidedcosttbl2,ROUNDUP($H15,0),BY$2)-(INDEX(avoidedcosttbl2,ROUNDDOWN($H15,0),BY$2)))))*ADRYr2!P15*ADRYr2!Q15*ADRYr2!U15)</f>
        <v/>
      </c>
      <c r="BZ15" s="28" t="str">
        <f>IF($G15="","",$G15*(IF(ADRYr2!$AI15=BZ$4,ADRYr2!$AJ15,IF(ADRYr2!$AK15=BZ$4,ADRYr2!$AL15,IF(ADRYr2!$AM15=BZ$4,ADRYr2!$AN15,0))))*(INDEX(avoidedcosttbl2,$H15,BZ$2)+(($H15-ROUNDDOWN($H15,0))*(INDEX(avoidedcosttbl2,ROUNDUP($H15,0),BZ$2)-(INDEX(avoidedcosttbl2,ROUNDDOWN($H15,0),BZ$2)))))*ADRYr2!P15*ADRYr2!Q15*ADRYr2!U15)</f>
        <v/>
      </c>
      <c r="CA15" s="28" t="str">
        <f>IF($G15="","",$G15*(IF(ADRYr2!$AI15=CA$4,ADRYr2!$AJ15,IF(ADRYr2!$AK15=CA$4,ADRYr2!$AL15,IF(ADRYr2!$AM15=CA$4,ADRYr2!$AN15,0))))*(INDEX(avoidedcosttbl2,$H15,CA$2)+(($H15-ROUNDDOWN($H15,0))*(INDEX(avoidedcosttbl2,ROUNDUP($H15,0),CA$2)-(INDEX(avoidedcosttbl2,ROUNDDOWN($H15,0),CA$2)))))*ADRYr2!P15*ADRYr2!Q15*ADRYr2!U15)</f>
        <v/>
      </c>
      <c r="CB15" s="28" t="str">
        <f>IF($G15="","",$G15*(IF(ADRYr2!$AI15=CB$4,ADRYr2!$AJ15,IF(ADRYr2!$AK15=CB$4,ADRYr2!$AL15,IF(ADRYr2!$AM15=CB$4,ADRYr2!$AN15,0))))*(INDEX(avoidedcosttbl2,$H15,CB$2)+(($H15-ROUNDDOWN($H15,0))*(INDEX(avoidedcosttbl2,ROUNDUP($H15,0),CB$2)-(INDEX(avoidedcosttbl2,ROUNDDOWN($H15,0),CB$2)))))*ADRYr2!P15*ADRYr2!Q15*ADRYr2!U15)</f>
        <v/>
      </c>
      <c r="CC15" s="28" t="str">
        <f>IF($G15="","",$G15*(IF(ADRYr2!$AI15=CC$4,ADRYr2!$AJ15,IF(ADRYr2!$AK15=CC$4,ADRYr2!$AL15,IF(ADRYr2!$AM15=CC$4,ADRYr2!$AN15,0))))*(INDEX(avoidedcosttbl2,$H15,CC$2)+(($H15-ROUNDDOWN($H15,0))*(INDEX(avoidedcosttbl2,ROUNDUP($H15,0),CC$2)-(INDEX(avoidedcosttbl2,ROUNDDOWN($H15,0),CC$2)))))*ADRYr2!P15*ADRYr2!Q15*ADRYr2!U15)</f>
        <v/>
      </c>
      <c r="CD15" s="28" t="str">
        <f>IF($G15="","",$G15*(IF(ADRYr2!$AI15=CD$4,ADRYr2!$AJ15,IF(ADRYr2!$AK15=CD$4,ADRYr2!$AL15,IF(ADRYr2!$AM15=CD$4,ADRYr2!$AN15,0))))*(INDEX(avoidedcosttbl2,$H15,CD$2)+(($H15-ROUNDDOWN($H15,0))*(INDEX(avoidedcosttbl2,ROUNDUP($H15,0),CD$2)-(INDEX(avoidedcosttbl2,ROUNDDOWN($H15,0),CD$2)))))*ADRYr2!P15*ADRYr2!Q15*ADRYr2!U15)</f>
        <v/>
      </c>
      <c r="CE15" s="28" t="str">
        <f>IF($G15="","",$G15*(IF(ADRYr2!$AI15=CE$4,ADRYr2!$AJ15,IF(ADRYr2!$AK15=CE$4,ADRYr2!$AL15,IF(ADRYr2!$AM15=CE$4,ADRYr2!$AN15,0))))*(INDEX(avoidedcosttbl2,$H15,CE$2)+(($H15-ROUNDDOWN($H15,0))*(INDEX(avoidedcosttbl2,ROUNDUP($H15,0),CE$2)-(INDEX(avoidedcosttbl2,ROUNDDOWN($H15,0),CE$2)))))*ADRYr2!P15*ADRYr2!Q15*ADRYr2!U15)</f>
        <v/>
      </c>
      <c r="CF15" s="41" t="str">
        <f t="shared" si="38"/>
        <v/>
      </c>
      <c r="CG15" s="30" t="str">
        <f t="shared" si="11"/>
        <v/>
      </c>
      <c r="CH15" s="30" t="str">
        <f>IF($G15="","",$G15*(IF(ADRYr2!$AI15=BY$4,ADRYr2!$AJ15,IF(ADRYr2!$AK15=BY$4,ADRYr2!$AL15,IF(ADRYr2!$AM15=BY$4,ADRYr2!$AN15,0))))*(INDEX(avoidedcosttbl2,$H15,CH$2)+(($H15-ROUNDDOWN($H15,0))*(INDEX(avoidedcosttbl2,ROUNDUP($H15,0),CH$2)-(INDEX(avoidedcosttbl2,ROUNDDOWN($H15,0),CH$2)))))*ADRYr2!P15*ADRYr2!Q15*ADRYr2!U15)</f>
        <v/>
      </c>
      <c r="CI15" s="30" t="str">
        <f>IF($G15="","",$G15*(IF(ADRYr2!$AI15=BZ$4,ADRYr2!$AJ15,IF(ADRYr2!$AK15=BZ$4,ADRYr2!$AL15,IF(ADRYr2!$AM15=BZ$4,ADRYr2!$AN15,0))))*(INDEX(avoidedcosttbl2,$H15,CI$2)+(($H15-ROUNDDOWN($H15,0))*(INDEX(avoidedcosttbl2,ROUNDUP($H15,0),CI$2)-(INDEX(avoidedcosttbl2,ROUNDDOWN($H15,0),CI$2)))))*ADRYr2!P15*ADRYr2!Q15*ADRYr2!U15)</f>
        <v/>
      </c>
      <c r="CJ15" s="30" t="str">
        <f>IF($G15="","",$G15*(IF(ADRYr2!$AI15=CA$4,ADRYr2!$AJ15,IF(ADRYr2!$AK15=CA$4,ADRYr2!$AL15,IF(ADRYr2!$AM15=CA$4,ADRYr2!$AN15,0))))*(INDEX(avoidedcosttbl2,$H15,CJ$2)+(($H15-ROUNDDOWN($H15,0))*(INDEX(avoidedcosttbl2,ROUNDUP($H15,0),CJ$2)-(INDEX(avoidedcosttbl2,ROUNDDOWN($H15,0),CJ$2)))))*ADRYr2!P15*ADRYr2!Q15*ADRYr2!U15)</f>
        <v/>
      </c>
      <c r="CK15" s="30" t="str">
        <f>IF($G15="","",$G15*(IF(ADRYr2!$AI15=CB$4,ADRYr2!$AJ15,IF(ADRYr2!$AK15=CB$4,ADRYr2!$AL15,IF(ADRYr2!$AM15=CB$4,ADRYr2!$AN15,0))))*(INDEX(avoidedcosttbl2,$H15,CK$2)+(($H15-ROUNDDOWN($H15,0))*(INDEX(avoidedcosttbl2,ROUNDUP($H15,0),CK$2)-(INDEX(avoidedcosttbl2,ROUNDDOWN($H15,0),CK$2)))))*ADRYr2!P15*ADRYr2!Q15*ADRYr2!U15)</f>
        <v/>
      </c>
      <c r="CL15" s="30" t="str">
        <f>IF($G15="","",$G15*(IF(ADRYr2!$AI15=CC$4,ADRYr2!$AJ15,IF(ADRYr2!$AK15=CC$4,ADRYr2!$AL15,IF(ADRYr2!$AM15=CC$4,ADRYr2!$AN15,0))))*(INDEX(avoidedcosttbl2,$H15,CL$2)+(($H15-ROUNDDOWN($H15,0))*(INDEX(avoidedcosttbl2,ROUNDUP($H15,0),CL$2)-(INDEX(avoidedcosttbl2,ROUNDDOWN($H15,0),CL$2)))))*ADRYr2!P15*ADRYr2!Q15*ADRYr2!U15)</f>
        <v/>
      </c>
      <c r="CM15" s="30" t="str">
        <f>IF($G15="","",$G15*(IF(ADRYr2!$AI15=CD$4,ADRYr2!$AJ15,IF(ADRYr2!$AK15=CD$4,ADRYr2!$AL15,IF(ADRYr2!$AM15=CD$4,ADRYr2!$AN15,0))))*(INDEX(avoidedcosttbl2,$H15,CM$2)+(($H15-ROUNDDOWN($H15,0))*(INDEX(avoidedcosttbl2,ROUNDUP($H15,0),CM$2)-(INDEX(avoidedcosttbl2,ROUNDDOWN($H15,0),CM$2)))))*ADRYr2!P15*ADRYr2!Q15*ADRYr2!U15)</f>
        <v/>
      </c>
      <c r="CN15" s="30" t="str">
        <f>IF($G15="","",$G15*(IF(ADRYr2!$AI15=CE$4,ADRYr2!$AJ15,IF(ADRYr2!$AK15=CE$4,ADRYr2!$AL15,IF(ADRYr2!$AM15=CE$4,ADRYr2!$AN15,0))))*(INDEX(avoidedcosttbl2,$H15,CN$2)+(($H15-ROUNDDOWN($H15,0))*(INDEX(avoidedcosttbl2,ROUNDUP($H15,0),CN$2)-(INDEX(avoidedcosttbl2,ROUNDDOWN($H15,0),CN$2)))))*ADRYr2!P15*ADRYr2!Q15*ADRYr2!U15)</f>
        <v/>
      </c>
      <c r="CO15" s="220" t="str">
        <f t="shared" si="39"/>
        <v/>
      </c>
      <c r="CP15" s="220" t="str">
        <f t="shared" si="40"/>
        <v/>
      </c>
      <c r="CQ15" s="157" t="str">
        <f>IF($G15="","",$G15*(IF(ADRYr2!$AI15=CQ$4,ADRYr2!$AJ15,IF(ADRYr2!$AK15=CQ$4,ADRYr2!$AL15,IF(ADRYr2!$AM15=CQ$4,ADRYr2!$AN15,0))))*(INDEX(avoidedcosttbl2,$H15,CQ$2)+(($H15-ROUNDDOWN($H15,0))*(INDEX(avoidedcosttbl2,ROUNDUP($H15,0),CQ$2)-(INDEX(avoidedcosttbl2,ROUNDDOWN($H15,0),CQ$2)))))*ADRYr2!$P15*ADRYr2!$Q15*ADRYr2!$U15)</f>
        <v/>
      </c>
      <c r="CR15" s="28" t="str">
        <f>IF($G15="","",G15*(IF(ADRYr2!$AI15=CR$4,ADRYr2!$AJ15,IF(ADRYr2!$AK15=CR$4,ADRYr2!$AL15,IF(ADRYr2!$AM15=CR$4,ADRYr2!$AN15,0))))*(INDEX(avoidedcosttbl2,$H15,CR$2)+(($H15-ROUNDDOWN($H15,0))*(INDEX(avoidedcosttbl2,ROUNDUP($H15,0),CR$2)-(INDEX(avoidedcosttbl2,ROUNDDOWN($H15,0),CR$2)))))*ADRYr2!$P15*ADRYr2!$Q15*ADRYr2!$U15)</f>
        <v/>
      </c>
      <c r="CS15" s="28" t="str">
        <f>IF($G15="","",G15*(IF(ADRYr2!$AI15=CS$4,ADRYr2!$AJ15,IF(ADRYr2!$AK15=CS$4,ADRYr2!$AL15,IF(ADRYr2!$AM15=CS$4,ADRYr2!$AN15,0))))*(INDEX(avoidedcosttbl2,$H15,CS$2)+(($H15-ROUNDDOWN($H15,0))*(INDEX(avoidedcosttbl2,ROUNDUP($H15,0),CS$2)-(INDEX(avoidedcosttbl2,ROUNDDOWN($H15,0),CS$2)))))*ADRYr2!$P15*ADRYr2!$Q15*ADRYr2!$U15)</f>
        <v/>
      </c>
      <c r="CT15" s="28" t="str">
        <f t="shared" si="12"/>
        <v/>
      </c>
      <c r="CU15" s="28" t="str">
        <f>IF($G15="","",G15*(IF(ADRYr2!$AI15=CU$4,ADRYr2!$AJ15,IF(ADRYr2!$AK15=CU$4,ADRYr2!$AL15,IF(ADRYr2!$AM15=CU$4,ADRYr2!$AN15,0))))*(INDEX(avoidedcosttbl2,$H15,CU$2)+(($H15-ROUNDDOWN($H15,0))*(INDEX(avoidedcosttbl2,ROUNDUP($H15,0),CU$2)-(INDEX(avoidedcosttbl2,ROUNDDOWN($H15,0),CU$2)))))*ADRYr2!$P15*ADRYr2!$Q15*ADRYr2!$U15)</f>
        <v/>
      </c>
      <c r="CV15" s="28" t="str">
        <f>IF($G15="","",G15*(IF(ADRYr2!$AI15=CV$4,ADRYr2!$AJ15,IF(ADRYr2!$AK15=CV$4,ADRYr2!$AL15,IF(ADRYr2!$AM15=CV$4,ADRYr2!$AN15,0))))*(INDEX(avoidedcosttbl2,$H15,CV$2)+(($H15-ROUNDDOWN($H15,0))*(INDEX(avoidedcosttbl2,ROUNDUP($H15,0),CV$2)-(INDEX(avoidedcosttbl2,ROUNDDOWN($H15,0),CV$2)))))*ADRYr2!$P15*ADRYr2!$Q15*ADRYr2!$U15)</f>
        <v/>
      </c>
      <c r="CW15" s="28" t="str">
        <f>IF($G15="","",G15*(IF(ADRYr2!$AI15=CW$4,ADRYr2!$AJ15,IF(ADRYr2!$AK15=CW$4,ADRYr2!$AL15,IF(ADRYr2!$AM15=CW$4,ADRYr2!$AN15,0))))*(INDEX(avoidedcosttbl2,$H15,CW$2)+(($H15-ROUNDDOWN($H15,0))*(INDEX(avoidedcosttbl2,ROUNDUP($H15,0),CW$2)-(INDEX(avoidedcosttbl2,ROUNDDOWN($H15,0),CW$2)))))*ADRYr2!$P15*ADRYr2!$Q15*ADRYr2!$U15)</f>
        <v/>
      </c>
      <c r="CX15" s="28" t="str">
        <f>IF($G15="","",G15*(IF(ADRYr2!$AI15=CX$4,ADRYr2!$AJ15,IF(ADRYr2!$AK15=CX$4,ADRYr2!$AL15,IF(ADRYr2!$AM15=CX$4,ADRYr2!$AN15,0))))*(INDEX(avoidedcosttbl2,$H15,CX$2)+(($H15-ROUNDDOWN($H15,0))*(INDEX(avoidedcosttbl2,ROUNDUP($H15,0),CX$2)-(INDEX(avoidedcosttbl2,ROUNDDOWN($H15,0),CX$2)))))*ADRYr2!$P15*ADRYr2!$Q15*ADRYr2!$U15)</f>
        <v/>
      </c>
      <c r="CY15" s="28" t="str">
        <f t="shared" si="13"/>
        <v/>
      </c>
      <c r="CZ15" s="32" t="str">
        <f t="shared" si="14"/>
        <v/>
      </c>
      <c r="DA15" s="84" t="str">
        <f t="shared" si="41"/>
        <v/>
      </c>
      <c r="DB15" s="81" t="str">
        <f>IF(NEIadder="Yes",IF($G15="","",INDEX(Lookups!$G$70:$G$71,MATCH($A15,Lookups!$E$70:$E$71,0))*(SUM(CP15:CX15,BX15))),"")</f>
        <v/>
      </c>
      <c r="DC15" s="263" t="str">
        <f t="shared" si="15"/>
        <v/>
      </c>
      <c r="DD15" s="166" t="str">
        <f t="shared" si="16"/>
        <v/>
      </c>
      <c r="DE15" s="82">
        <f t="shared" si="42"/>
        <v>0</v>
      </c>
      <c r="DF15" s="615" t="str">
        <f>IF($G15="","",(1+WntPeakEnergyLL)*(INDEX(avoidedcosttbl2,$H15,DF$2)+(($H15-ROUNDDOWN($H15,0))*(INDEX(avoidedcosttbl2,ROUNDUP($H15,0),DF$2)-(INDEX(avoidedcosttbl2,ROUNDDOWN($H15,0),DF$2)))))*$P15*1000*ADRYr2!Z15)</f>
        <v/>
      </c>
      <c r="DG15" s="615" t="str">
        <f>IF($G15="","",(1+WntOffPeakEnergyLL)*(INDEX(avoidedcosttbl2,$H15,DG$2)+(($H15-ROUNDDOWN($H15,0))*(INDEX(avoidedcosttbl2,ROUNDUP($H15,0),DG$2)-(INDEX(avoidedcosttbl2,ROUNDDOWN($H15,0),DG$2)))))*$P15*1000*ADRYr2!AA15)</f>
        <v/>
      </c>
      <c r="DH15" s="615" t="str">
        <f>IF($G15="","",(1+SumPeakEnergyLL)*(INDEX(avoidedcosttbl2,$H15,DH$2)+(($H15-ROUNDDOWN($H15,0))*(INDEX(avoidedcosttbl2,ROUNDUP($H15,0),DH$2)-(INDEX(avoidedcosttbl2,ROUNDDOWN($H15,0),DH$2)))))*$P15*1000*ADRYr2!AB15)</f>
        <v/>
      </c>
      <c r="DI15" s="615" t="str">
        <f>IF($G15="","",(1+SumOffPeakEnergyLL)*(INDEX(avoidedcosttbl2,$H15,DI$2)+(($H15-ROUNDDOWN($H15,0))*(INDEX(avoidedcosttbl2,ROUNDUP($H15,0),DI$2)-(INDEX(avoidedcosttbl2,ROUNDDOWN($H15,0),DI$2)))))*$P15*1000*ADRYr2!AC15)</f>
        <v/>
      </c>
      <c r="DJ15" s="29" t="str">
        <f t="shared" si="43"/>
        <v/>
      </c>
      <c r="DK15" s="161" t="str">
        <f t="shared" si="44"/>
        <v/>
      </c>
      <c r="DL15" s="1189" t="str">
        <f t="shared" si="45"/>
        <v/>
      </c>
      <c r="DM15" s="1189" t="str">
        <f t="shared" si="46"/>
        <v/>
      </c>
      <c r="DN15" s="43" t="str">
        <f t="shared" si="47"/>
        <v/>
      </c>
      <c r="DO15" s="966" t="str">
        <f>IF($G15="","",ADRYr2!AQ15)</f>
        <v/>
      </c>
      <c r="DP15" s="968" t="str">
        <f>IF($G15="","",ADRYr2!AR15)</f>
        <v/>
      </c>
      <c r="DQ15" s="970" t="str">
        <f>IF($G15="","",IF($DP15="Yes",COLUMN(AESC!$L$10),IF($DP15="No","Using AvoidedDemand tab",IF($DP15="Mixed",COLUMN(AESC!$N$10)))))</f>
        <v/>
      </c>
      <c r="DR15" s="970" t="str">
        <f>IF($G15="","",IF($DP15="Yes",COLUMN(AESC!$P$10),IF($DP15="No","Using AvoidedDemand tab",IF($DP15="Mixed",COLUMN(AESC!$R$10)))))</f>
        <v/>
      </c>
      <c r="DS15" s="970" t="str">
        <f>IF($G15="","",IF($DP15="Yes",COLUMN(AESC!$S$10),IF($DP15="No",COLUMN(AESC!$T$10),IF($DP15="Mixed",COLUMN(AESC!$U$10)))))</f>
        <v/>
      </c>
      <c r="DT15" s="970" t="str">
        <f t="shared" si="48"/>
        <v/>
      </c>
      <c r="DU15" s="970" t="str">
        <f>IF($G15="","",ADRYr2!AS15)</f>
        <v/>
      </c>
      <c r="DV15" s="971" t="str">
        <f>IF($G15="","",ADRYr2!AT15)</f>
        <v/>
      </c>
      <c r="DW15" s="1162" t="str">
        <f>IF($G15="","",INDEX(AvoidedEnergy!$H$4:$H$10,MATCH($DO15,AvoidedEnergy!$A$4:$A$10,0)))</f>
        <v/>
      </c>
    </row>
    <row r="16" spans="1:127">
      <c r="A16" s="160" t="str">
        <f>IF(ADRYr2!$B16=0,"",ADRYr2!A16)</f>
        <v>A - Residential</v>
      </c>
      <c r="B16" s="9" t="str">
        <f>IF(ADRYr2!$B16=0,"",ADRYr2!B16)</f>
        <v>A5 - Residential Active Demand Response</v>
      </c>
      <c r="C16" s="9" t="str">
        <f>IF(ADRYr2!$B16=0,"",ADRYr2!C16)</f>
        <v>A5a - Residential Active Demand Response</v>
      </c>
      <c r="D16" s="9" t="str">
        <f>IF(ADRYr2!$B16=0,"",ADRYr2!D16)</f>
        <v>EV Load Management Winter</v>
      </c>
      <c r="E16" s="9">
        <f>IF(ADRYr2!$B16=0,"",ADRYr2!E16)</f>
        <v>0</v>
      </c>
      <c r="F16" s="11" t="str">
        <f>IF(ADRYr2!$B16=0,"",ADRYr2!F16)</f>
        <v>Behavior</v>
      </c>
      <c r="G16" s="12" t="str">
        <f>IF(ADRYr2!$G16&lt;&gt;0,ADRYr2!G16,"")</f>
        <v/>
      </c>
      <c r="H16" s="960" t="str">
        <f>IF($G16="","",ROUND(ADRYr2!H16,0))</f>
        <v/>
      </c>
      <c r="I16" s="47" t="str">
        <f>IF($G16="","",ADRYr2!I16*ADRYr2!P16*G16)</f>
        <v/>
      </c>
      <c r="J16" s="47" t="str">
        <f>IF($G16="","",ADRYr2!J16*G16)</f>
        <v/>
      </c>
      <c r="K16" s="47" t="str">
        <f t="shared" si="17"/>
        <v/>
      </c>
      <c r="L16" s="27" t="str">
        <f>IF($G16="","",ADRYr2!V16*G16/1000)</f>
        <v/>
      </c>
      <c r="M16" s="27" t="str">
        <f>IF($G16="","",L16*ADRYr2!$Q16*ADRYr2!$R16)</f>
        <v/>
      </c>
      <c r="N16" s="27" t="str">
        <f t="shared" si="18"/>
        <v/>
      </c>
      <c r="O16" s="27" t="str">
        <f t="shared" si="19"/>
        <v/>
      </c>
      <c r="P16" s="27" t="str">
        <f>IF($G16="","",M16*ADRYr2!P16)</f>
        <v/>
      </c>
      <c r="Q16" s="27" t="str">
        <f t="shared" si="20"/>
        <v/>
      </c>
      <c r="R16" s="27" t="str">
        <f>IF($G16="","",$Q16*ADRYr2!Z16)</f>
        <v/>
      </c>
      <c r="S16" s="27" t="str">
        <f>IF($G16="","",$Q16*ADRYr2!AA16)</f>
        <v/>
      </c>
      <c r="T16" s="27" t="str">
        <f>IF($G16="","",$Q16*ADRYr2!AB16)</f>
        <v/>
      </c>
      <c r="U16" s="27" t="str">
        <f>IF($G16="","",$Q16*ADRYr2!AC16)</f>
        <v/>
      </c>
      <c r="V16" s="27" t="str">
        <f>IF($G16="","",G16*ADRYr2!$AD16*ADRYr2!$P16*ADRYr2!$Q16)</f>
        <v/>
      </c>
      <c r="W16" s="27" t="str">
        <f>IF($G16="","",$G16*ADRYr2!$AD16*ADRYr2!$AF16*ADRYr2!Q16*ADRYr2!$S16)</f>
        <v/>
      </c>
      <c r="X16" s="27" t="str">
        <f>IF($G16="","",$G16*ADRYr2!$AD16*ADRYr2!$AF16*ADRYr2!P16*ADRYr2!Q16*ADRYr2!$S16)</f>
        <v/>
      </c>
      <c r="Y16" s="27" t="str">
        <f>IF($G16="","",$G16*ADRYr2!$AD16*ADRYr2!$AE16*ADRYr2!Q16*ADRYr2!$T16)</f>
        <v/>
      </c>
      <c r="Z16" s="27" t="str">
        <f>IF($G16="","",$G16*ADRYr2!$AD16*ADRYr2!$AE16*ADRYr2!P16*ADRYr2!Q16*ADRYr2!$T16)</f>
        <v/>
      </c>
      <c r="AA16" s="45" t="str">
        <f>IF($G16="","",$G16*ADRYr2!$Q16*ADRYr2!$U16*(IF(IFERROR(SEARCH("NG", ADRYr2!$AI16),0),ADRYr2!$AJ16,0)+IF(IFERROR(SEARCH("NG", ADRYr2!$AK16),0),ADRYr2!$AL16,0)+IF(IFERROR(SEARCH("NG", ADRYr2!$AM16),0),ADRYr2!$AN16,0)))</f>
        <v/>
      </c>
      <c r="AB16" s="45" t="str">
        <f t="shared" si="21"/>
        <v/>
      </c>
      <c r="AC16" s="45">
        <f>IF($G16="",0,AA16*ADRYr2!$P16)</f>
        <v>0</v>
      </c>
      <c r="AD16" s="45" t="str">
        <f t="shared" si="22"/>
        <v/>
      </c>
      <c r="AE16" s="45" t="str">
        <f>IF($G16="","",$G16*ADRYr2!$Q16*ADRYr2!$U16*(IF(IFERROR(SEARCH("Oil", ADRYr2!$AI16), 0),ADRYr2!$AJ16,0)+IF(IFERROR(SEARCH("Oil", ADRYr2!$AK16), 0),ADRYr2!$AL16,0)+IF(IFERROR(SEARCH("Oil", ADRYr2!$AM16), 0),ADRYr2!$AN16,0)))</f>
        <v/>
      </c>
      <c r="AF16" s="45" t="str">
        <f t="shared" si="23"/>
        <v/>
      </c>
      <c r="AG16" s="45">
        <f>IF($G16="",0,AE16*ADRYr2!$P16)</f>
        <v>0</v>
      </c>
      <c r="AH16" s="45" t="str">
        <f t="shared" si="24"/>
        <v/>
      </c>
      <c r="AI16" s="45" t="str">
        <f>IF($G16="","",$G16*ADRYr2!$Q16*ADRYr2!$U16*(IF(ADRYr2!$AI16=Lookups!$E$116,ADRYr2!$AJ16,IF(ADRYr2!$AK16=Lookups!$E$116,ADRYr2!$AL16,IF(ADRYr2!$AM16=Lookups!$E$116,ADRYr2!$AN16,0)))))</f>
        <v/>
      </c>
      <c r="AJ16" s="45" t="str">
        <f t="shared" si="25"/>
        <v/>
      </c>
      <c r="AK16" s="45">
        <f>IF($G16="",0,AI16*ADRYr2!$P16)</f>
        <v>0</v>
      </c>
      <c r="AL16" s="45" t="str">
        <f t="shared" si="26"/>
        <v/>
      </c>
      <c r="AM16" s="45" t="str">
        <f>IF($G16="","",$G16*ADRYr2!$Q16*ADRYr2!$U16*(IF(ADRYr2!$AI16=Lookups!$E$115,ADRYr2!$AJ16,IF(ADRYr2!$AK16=Lookups!$E$115,ADRYr2!$AL16,IF(ADRYr2!$AM16=Lookups!$E$115,ADRYr2!$AN16,0)))))</f>
        <v/>
      </c>
      <c r="AN16" s="45" t="str">
        <f t="shared" si="27"/>
        <v/>
      </c>
      <c r="AO16" s="45">
        <f>IF($G16="",0,AM16*ADRYr2!$P16)</f>
        <v>0</v>
      </c>
      <c r="AP16" s="45" t="str">
        <f t="shared" si="28"/>
        <v/>
      </c>
      <c r="AQ16" s="45" t="str">
        <f>IF($G16="","",$G16*ADRYr2!$Q16*ADRYr2!$U16*(IF(ADRYr2!$AI16=Lookups!$E$117,ADRYr2!$AJ16,IF(ADRYr2!$AK16=Lookups!$E$117,ADRYr2!$AL16,IF(ADRYr2!$AM16=Lookups!$E$117,ADRYr2!$AN16,0)))))</f>
        <v/>
      </c>
      <c r="AR16" s="45" t="str">
        <f t="shared" si="29"/>
        <v/>
      </c>
      <c r="AS16" s="45" t="str">
        <f>IF($G16="","",AQ16*ADRYr2!$P16)</f>
        <v/>
      </c>
      <c r="AT16" s="45" t="str">
        <f t="shared" si="30"/>
        <v/>
      </c>
      <c r="AU16" s="45" t="str">
        <f>IF($G16="","",$G16*ADRYr2!$Q16*ADRYr2!$U16*(IF(ADRYr2!$AI16=Lookups!$E$118,ADRYr2!$AJ16,IF(ADRYr2!$AK16=Lookups!$E$118,ADRYr2!$AL16,IF(ADRYr2!$AM16=Lookups!$E$118,ADRYr2!$AN16,0)))))</f>
        <v/>
      </c>
      <c r="AV16" s="45" t="str">
        <f t="shared" si="31"/>
        <v/>
      </c>
      <c r="AW16" s="45" t="str">
        <f>IF($G16="","",AU16*ADRYr2!$P16)</f>
        <v/>
      </c>
      <c r="AX16" s="45" t="str">
        <f t="shared" si="32"/>
        <v/>
      </c>
      <c r="AY16" s="45">
        <f t="shared" si="33"/>
        <v>0</v>
      </c>
      <c r="AZ16" s="45">
        <f t="shared" si="33"/>
        <v>0</v>
      </c>
      <c r="BA16" s="101" t="str">
        <f>IF($G16="","",$G16*ADRYr2!$P16*ADRYr2!$Q16*ADRYr2!$U16*ADRYr2!AO16)</f>
        <v/>
      </c>
      <c r="BB16" s="102" t="str">
        <f>IF($G16="","",$G16*ADRYr2!$P16*ADRYr2!$Q16*ADRYr2!$U16*ADRYr2!AP16)</f>
        <v/>
      </c>
      <c r="BC16" s="100" t="str">
        <f t="shared" si="34"/>
        <v/>
      </c>
      <c r="BD16" s="961"/>
      <c r="BE16" s="961"/>
      <c r="BF16" s="961"/>
      <c r="BG16" s="961"/>
      <c r="BH16" s="962" t="str">
        <f t="shared" si="3"/>
        <v/>
      </c>
      <c r="BI16" s="961"/>
      <c r="BJ16" s="961"/>
      <c r="BK16" s="961"/>
      <c r="BL16" s="961"/>
      <c r="BM16" s="30" t="str">
        <f t="shared" si="4"/>
        <v/>
      </c>
      <c r="BN16" s="963" t="str">
        <f t="shared" si="5"/>
        <v/>
      </c>
      <c r="BO16" s="31" t="str">
        <f t="shared" si="35"/>
        <v/>
      </c>
      <c r="BP16" s="964" t="str">
        <f t="shared" si="6"/>
        <v/>
      </c>
      <c r="BQ16" s="28" t="str">
        <f t="shared" si="7"/>
        <v/>
      </c>
      <c r="BR16" s="964" t="str">
        <f t="shared" si="8"/>
        <v/>
      </c>
      <c r="BS16" s="964" t="str">
        <f t="shared" si="9"/>
        <v/>
      </c>
      <c r="BT16" s="28" t="str">
        <f t="shared" si="10"/>
        <v/>
      </c>
      <c r="BU16" s="28" t="str">
        <f t="shared" si="10"/>
        <v/>
      </c>
      <c r="BV16" s="28" t="str">
        <f t="shared" si="10"/>
        <v/>
      </c>
      <c r="BW16" s="29" t="str">
        <f t="shared" si="36"/>
        <v/>
      </c>
      <c r="BX16" s="29" t="str">
        <f t="shared" si="37"/>
        <v/>
      </c>
      <c r="BY16" s="28" t="str">
        <f>IF($G16="","",$G16*(IF(ADRYr2!$AI16=BY$4,ADRYr2!$AJ16,IF(ADRYr2!$AK16=BY$4,ADRYr2!$AL16,IF(ADRYr2!$AM16=BY$4,ADRYr2!$AN16,0))))*(INDEX(avoidedcosttbl2,$H16,BY$2)+(($H16-ROUNDDOWN($H16,0))*(INDEX(avoidedcosttbl2,ROUNDUP($H16,0),BY$2)-(INDEX(avoidedcosttbl2,ROUNDDOWN($H16,0),BY$2)))))*ADRYr2!P16*ADRYr2!Q16*ADRYr2!U16)</f>
        <v/>
      </c>
      <c r="BZ16" s="28" t="str">
        <f>IF($G16="","",$G16*(IF(ADRYr2!$AI16=BZ$4,ADRYr2!$AJ16,IF(ADRYr2!$AK16=BZ$4,ADRYr2!$AL16,IF(ADRYr2!$AM16=BZ$4,ADRYr2!$AN16,0))))*(INDEX(avoidedcosttbl2,$H16,BZ$2)+(($H16-ROUNDDOWN($H16,0))*(INDEX(avoidedcosttbl2,ROUNDUP($H16,0),BZ$2)-(INDEX(avoidedcosttbl2,ROUNDDOWN($H16,0),BZ$2)))))*ADRYr2!P16*ADRYr2!Q16*ADRYr2!U16)</f>
        <v/>
      </c>
      <c r="CA16" s="28" t="str">
        <f>IF($G16="","",$G16*(IF(ADRYr2!$AI16=CA$4,ADRYr2!$AJ16,IF(ADRYr2!$AK16=CA$4,ADRYr2!$AL16,IF(ADRYr2!$AM16=CA$4,ADRYr2!$AN16,0))))*(INDEX(avoidedcosttbl2,$H16,CA$2)+(($H16-ROUNDDOWN($H16,0))*(INDEX(avoidedcosttbl2,ROUNDUP($H16,0),CA$2)-(INDEX(avoidedcosttbl2,ROUNDDOWN($H16,0),CA$2)))))*ADRYr2!P16*ADRYr2!Q16*ADRYr2!U16)</f>
        <v/>
      </c>
      <c r="CB16" s="28" t="str">
        <f>IF($G16="","",$G16*(IF(ADRYr2!$AI16=CB$4,ADRYr2!$AJ16,IF(ADRYr2!$AK16=CB$4,ADRYr2!$AL16,IF(ADRYr2!$AM16=CB$4,ADRYr2!$AN16,0))))*(INDEX(avoidedcosttbl2,$H16,CB$2)+(($H16-ROUNDDOWN($H16,0))*(INDEX(avoidedcosttbl2,ROUNDUP($H16,0),CB$2)-(INDEX(avoidedcosttbl2,ROUNDDOWN($H16,0),CB$2)))))*ADRYr2!P16*ADRYr2!Q16*ADRYr2!U16)</f>
        <v/>
      </c>
      <c r="CC16" s="28" t="str">
        <f>IF($G16="","",$G16*(IF(ADRYr2!$AI16=CC$4,ADRYr2!$AJ16,IF(ADRYr2!$AK16=CC$4,ADRYr2!$AL16,IF(ADRYr2!$AM16=CC$4,ADRYr2!$AN16,0))))*(INDEX(avoidedcosttbl2,$H16,CC$2)+(($H16-ROUNDDOWN($H16,0))*(INDEX(avoidedcosttbl2,ROUNDUP($H16,0),CC$2)-(INDEX(avoidedcosttbl2,ROUNDDOWN($H16,0),CC$2)))))*ADRYr2!P16*ADRYr2!Q16*ADRYr2!U16)</f>
        <v/>
      </c>
      <c r="CD16" s="28" t="str">
        <f>IF($G16="","",$G16*(IF(ADRYr2!$AI16=CD$4,ADRYr2!$AJ16,IF(ADRYr2!$AK16=CD$4,ADRYr2!$AL16,IF(ADRYr2!$AM16=CD$4,ADRYr2!$AN16,0))))*(INDEX(avoidedcosttbl2,$H16,CD$2)+(($H16-ROUNDDOWN($H16,0))*(INDEX(avoidedcosttbl2,ROUNDUP($H16,0),CD$2)-(INDEX(avoidedcosttbl2,ROUNDDOWN($H16,0),CD$2)))))*ADRYr2!P16*ADRYr2!Q16*ADRYr2!U16)</f>
        <v/>
      </c>
      <c r="CE16" s="28" t="str">
        <f>IF($G16="","",$G16*(IF(ADRYr2!$AI16=CE$4,ADRYr2!$AJ16,IF(ADRYr2!$AK16=CE$4,ADRYr2!$AL16,IF(ADRYr2!$AM16=CE$4,ADRYr2!$AN16,0))))*(INDEX(avoidedcosttbl2,$H16,CE$2)+(($H16-ROUNDDOWN($H16,0))*(INDEX(avoidedcosttbl2,ROUNDUP($H16,0),CE$2)-(INDEX(avoidedcosttbl2,ROUNDDOWN($H16,0),CE$2)))))*ADRYr2!P16*ADRYr2!Q16*ADRYr2!U16)</f>
        <v/>
      </c>
      <c r="CF16" s="41" t="str">
        <f t="shared" si="38"/>
        <v/>
      </c>
      <c r="CG16" s="30" t="str">
        <f t="shared" si="11"/>
        <v/>
      </c>
      <c r="CH16" s="30" t="str">
        <f>IF($G16="","",$G16*(IF(ADRYr2!$AI16=BY$4,ADRYr2!$AJ16,IF(ADRYr2!$AK16=BY$4,ADRYr2!$AL16,IF(ADRYr2!$AM16=BY$4,ADRYr2!$AN16,0))))*(INDEX(avoidedcosttbl2,$H16,CH$2)+(($H16-ROUNDDOWN($H16,0))*(INDEX(avoidedcosttbl2,ROUNDUP($H16,0),CH$2)-(INDEX(avoidedcosttbl2,ROUNDDOWN($H16,0),CH$2)))))*ADRYr2!P16*ADRYr2!Q16*ADRYr2!U16)</f>
        <v/>
      </c>
      <c r="CI16" s="30" t="str">
        <f>IF($G16="","",$G16*(IF(ADRYr2!$AI16=BZ$4,ADRYr2!$AJ16,IF(ADRYr2!$AK16=BZ$4,ADRYr2!$AL16,IF(ADRYr2!$AM16=BZ$4,ADRYr2!$AN16,0))))*(INDEX(avoidedcosttbl2,$H16,CI$2)+(($H16-ROUNDDOWN($H16,0))*(INDEX(avoidedcosttbl2,ROUNDUP($H16,0),CI$2)-(INDEX(avoidedcosttbl2,ROUNDDOWN($H16,0),CI$2)))))*ADRYr2!P16*ADRYr2!Q16*ADRYr2!U16)</f>
        <v/>
      </c>
      <c r="CJ16" s="30" t="str">
        <f>IF($G16="","",$G16*(IF(ADRYr2!$AI16=CA$4,ADRYr2!$AJ16,IF(ADRYr2!$AK16=CA$4,ADRYr2!$AL16,IF(ADRYr2!$AM16=CA$4,ADRYr2!$AN16,0))))*(INDEX(avoidedcosttbl2,$H16,CJ$2)+(($H16-ROUNDDOWN($H16,0))*(INDEX(avoidedcosttbl2,ROUNDUP($H16,0),CJ$2)-(INDEX(avoidedcosttbl2,ROUNDDOWN($H16,0),CJ$2)))))*ADRYr2!P16*ADRYr2!Q16*ADRYr2!U16)</f>
        <v/>
      </c>
      <c r="CK16" s="30" t="str">
        <f>IF($G16="","",$G16*(IF(ADRYr2!$AI16=CB$4,ADRYr2!$AJ16,IF(ADRYr2!$AK16=CB$4,ADRYr2!$AL16,IF(ADRYr2!$AM16=CB$4,ADRYr2!$AN16,0))))*(INDEX(avoidedcosttbl2,$H16,CK$2)+(($H16-ROUNDDOWN($H16,0))*(INDEX(avoidedcosttbl2,ROUNDUP($H16,0),CK$2)-(INDEX(avoidedcosttbl2,ROUNDDOWN($H16,0),CK$2)))))*ADRYr2!P16*ADRYr2!Q16*ADRYr2!U16)</f>
        <v/>
      </c>
      <c r="CL16" s="30" t="str">
        <f>IF($G16="","",$G16*(IF(ADRYr2!$AI16=CC$4,ADRYr2!$AJ16,IF(ADRYr2!$AK16=CC$4,ADRYr2!$AL16,IF(ADRYr2!$AM16=CC$4,ADRYr2!$AN16,0))))*(INDEX(avoidedcosttbl2,$H16,CL$2)+(($H16-ROUNDDOWN($H16,0))*(INDEX(avoidedcosttbl2,ROUNDUP($H16,0),CL$2)-(INDEX(avoidedcosttbl2,ROUNDDOWN($H16,0),CL$2)))))*ADRYr2!P16*ADRYr2!Q16*ADRYr2!U16)</f>
        <v/>
      </c>
      <c r="CM16" s="30" t="str">
        <f>IF($G16="","",$G16*(IF(ADRYr2!$AI16=CD$4,ADRYr2!$AJ16,IF(ADRYr2!$AK16=CD$4,ADRYr2!$AL16,IF(ADRYr2!$AM16=CD$4,ADRYr2!$AN16,0))))*(INDEX(avoidedcosttbl2,$H16,CM$2)+(($H16-ROUNDDOWN($H16,0))*(INDEX(avoidedcosttbl2,ROUNDUP($H16,0),CM$2)-(INDEX(avoidedcosttbl2,ROUNDDOWN($H16,0),CM$2)))))*ADRYr2!P16*ADRYr2!Q16*ADRYr2!U16)</f>
        <v/>
      </c>
      <c r="CN16" s="30" t="str">
        <f>IF($G16="","",$G16*(IF(ADRYr2!$AI16=CE$4,ADRYr2!$AJ16,IF(ADRYr2!$AK16=CE$4,ADRYr2!$AL16,IF(ADRYr2!$AM16=CE$4,ADRYr2!$AN16,0))))*(INDEX(avoidedcosttbl2,$H16,CN$2)+(($H16-ROUNDDOWN($H16,0))*(INDEX(avoidedcosttbl2,ROUNDUP($H16,0),CN$2)-(INDEX(avoidedcosttbl2,ROUNDDOWN($H16,0),CN$2)))))*ADRYr2!P16*ADRYr2!Q16*ADRYr2!U16)</f>
        <v/>
      </c>
      <c r="CO16" s="220" t="str">
        <f t="shared" si="39"/>
        <v/>
      </c>
      <c r="CP16" s="220" t="str">
        <f t="shared" si="40"/>
        <v/>
      </c>
      <c r="CQ16" s="157" t="str">
        <f>IF($G16="","",$G16*(IF(ADRYr2!$AI16=CQ$4,ADRYr2!$AJ16,IF(ADRYr2!$AK16=CQ$4,ADRYr2!$AL16,IF(ADRYr2!$AM16=CQ$4,ADRYr2!$AN16,0))))*(INDEX(avoidedcosttbl2,$H16,CQ$2)+(($H16-ROUNDDOWN($H16,0))*(INDEX(avoidedcosttbl2,ROUNDUP($H16,0),CQ$2)-(INDEX(avoidedcosttbl2,ROUNDDOWN($H16,0),CQ$2)))))*ADRYr2!$P16*ADRYr2!$Q16*ADRYr2!$U16)</f>
        <v/>
      </c>
      <c r="CR16" s="28" t="str">
        <f>IF($G16="","",G16*(IF(ADRYr2!$AI16=CR$4,ADRYr2!$AJ16,IF(ADRYr2!$AK16=CR$4,ADRYr2!$AL16,IF(ADRYr2!$AM16=CR$4,ADRYr2!$AN16,0))))*(INDEX(avoidedcosttbl2,$H16,CR$2)+(($H16-ROUNDDOWN($H16,0))*(INDEX(avoidedcosttbl2,ROUNDUP($H16,0),CR$2)-(INDEX(avoidedcosttbl2,ROUNDDOWN($H16,0),CR$2)))))*ADRYr2!$P16*ADRYr2!$Q16*ADRYr2!$U16)</f>
        <v/>
      </c>
      <c r="CS16" s="28" t="str">
        <f>IF($G16="","",G16*(IF(ADRYr2!$AI16=CS$4,ADRYr2!$AJ16,IF(ADRYr2!$AK16=CS$4,ADRYr2!$AL16,IF(ADRYr2!$AM16=CS$4,ADRYr2!$AN16,0))))*(INDEX(avoidedcosttbl2,$H16,CS$2)+(($H16-ROUNDDOWN($H16,0))*(INDEX(avoidedcosttbl2,ROUNDUP($H16,0),CS$2)-(INDEX(avoidedcosttbl2,ROUNDDOWN($H16,0),CS$2)))))*ADRYr2!$P16*ADRYr2!$Q16*ADRYr2!$U16)</f>
        <v/>
      </c>
      <c r="CT16" s="28" t="str">
        <f t="shared" si="12"/>
        <v/>
      </c>
      <c r="CU16" s="28" t="str">
        <f>IF($G16="","",G16*(IF(ADRYr2!$AI16=CU$4,ADRYr2!$AJ16,IF(ADRYr2!$AK16=CU$4,ADRYr2!$AL16,IF(ADRYr2!$AM16=CU$4,ADRYr2!$AN16,0))))*(INDEX(avoidedcosttbl2,$H16,CU$2)+(($H16-ROUNDDOWN($H16,0))*(INDEX(avoidedcosttbl2,ROUNDUP($H16,0),CU$2)-(INDEX(avoidedcosttbl2,ROUNDDOWN($H16,0),CU$2)))))*ADRYr2!$P16*ADRYr2!$Q16*ADRYr2!$U16)</f>
        <v/>
      </c>
      <c r="CV16" s="28" t="str">
        <f>IF($G16="","",G16*(IF(ADRYr2!$AI16=CV$4,ADRYr2!$AJ16,IF(ADRYr2!$AK16=CV$4,ADRYr2!$AL16,IF(ADRYr2!$AM16=CV$4,ADRYr2!$AN16,0))))*(INDEX(avoidedcosttbl2,$H16,CV$2)+(($H16-ROUNDDOWN($H16,0))*(INDEX(avoidedcosttbl2,ROUNDUP($H16,0),CV$2)-(INDEX(avoidedcosttbl2,ROUNDDOWN($H16,0),CV$2)))))*ADRYr2!$P16*ADRYr2!$Q16*ADRYr2!$U16)</f>
        <v/>
      </c>
      <c r="CW16" s="28" t="str">
        <f>IF($G16="","",G16*(IF(ADRYr2!$AI16=CW$4,ADRYr2!$AJ16,IF(ADRYr2!$AK16=CW$4,ADRYr2!$AL16,IF(ADRYr2!$AM16=CW$4,ADRYr2!$AN16,0))))*(INDEX(avoidedcosttbl2,$H16,CW$2)+(($H16-ROUNDDOWN($H16,0))*(INDEX(avoidedcosttbl2,ROUNDUP($H16,0),CW$2)-(INDEX(avoidedcosttbl2,ROUNDDOWN($H16,0),CW$2)))))*ADRYr2!$P16*ADRYr2!$Q16*ADRYr2!$U16)</f>
        <v/>
      </c>
      <c r="CX16" s="28" t="str">
        <f>IF($G16="","",G16*(IF(ADRYr2!$AI16=CX$4,ADRYr2!$AJ16,IF(ADRYr2!$AK16=CX$4,ADRYr2!$AL16,IF(ADRYr2!$AM16=CX$4,ADRYr2!$AN16,0))))*(INDEX(avoidedcosttbl2,$H16,CX$2)+(($H16-ROUNDDOWN($H16,0))*(INDEX(avoidedcosttbl2,ROUNDUP($H16,0),CX$2)-(INDEX(avoidedcosttbl2,ROUNDDOWN($H16,0),CX$2)))))*ADRYr2!$P16*ADRYr2!$Q16*ADRYr2!$U16)</f>
        <v/>
      </c>
      <c r="CY16" s="28" t="str">
        <f t="shared" si="13"/>
        <v/>
      </c>
      <c r="CZ16" s="32" t="str">
        <f t="shared" si="14"/>
        <v/>
      </c>
      <c r="DA16" s="84" t="str">
        <f t="shared" si="41"/>
        <v/>
      </c>
      <c r="DB16" s="81" t="str">
        <f>IF(NEIadder="Yes",IF($G16="","",INDEX(Lookups!$G$70:$G$71,MATCH($A16,Lookups!$E$70:$E$71,0))*(SUM(CP16:CX16,BX16))),"")</f>
        <v/>
      </c>
      <c r="DC16" s="263" t="str">
        <f t="shared" si="15"/>
        <v/>
      </c>
      <c r="DD16" s="166" t="str">
        <f t="shared" si="16"/>
        <v/>
      </c>
      <c r="DE16" s="82">
        <f t="shared" si="42"/>
        <v>0</v>
      </c>
      <c r="DF16" s="615" t="str">
        <f>IF($G16="","",(1+WntPeakEnergyLL)*(INDEX(avoidedcosttbl2,$H16,DF$2)+(($H16-ROUNDDOWN($H16,0))*(INDEX(avoidedcosttbl2,ROUNDUP($H16,0),DF$2)-(INDEX(avoidedcosttbl2,ROUNDDOWN($H16,0),DF$2)))))*$P16*1000*ADRYr2!Z16)</f>
        <v/>
      </c>
      <c r="DG16" s="615" t="str">
        <f>IF($G16="","",(1+WntOffPeakEnergyLL)*(INDEX(avoidedcosttbl2,$H16,DG$2)+(($H16-ROUNDDOWN($H16,0))*(INDEX(avoidedcosttbl2,ROUNDUP($H16,0),DG$2)-(INDEX(avoidedcosttbl2,ROUNDDOWN($H16,0),DG$2)))))*$P16*1000*ADRYr2!AA16)</f>
        <v/>
      </c>
      <c r="DH16" s="615" t="str">
        <f>IF($G16="","",(1+SumPeakEnergyLL)*(INDEX(avoidedcosttbl2,$H16,DH$2)+(($H16-ROUNDDOWN($H16,0))*(INDEX(avoidedcosttbl2,ROUNDUP($H16,0),DH$2)-(INDEX(avoidedcosttbl2,ROUNDDOWN($H16,0),DH$2)))))*$P16*1000*ADRYr2!AB16)</f>
        <v/>
      </c>
      <c r="DI16" s="615" t="str">
        <f>IF($G16="","",(1+SumOffPeakEnergyLL)*(INDEX(avoidedcosttbl2,$H16,DI$2)+(($H16-ROUNDDOWN($H16,0))*(INDEX(avoidedcosttbl2,ROUNDUP($H16,0),DI$2)-(INDEX(avoidedcosttbl2,ROUNDDOWN($H16,0),DI$2)))))*$P16*1000*ADRYr2!AC16)</f>
        <v/>
      </c>
      <c r="DJ16" s="29" t="str">
        <f t="shared" si="43"/>
        <v/>
      </c>
      <c r="DK16" s="161" t="str">
        <f t="shared" si="44"/>
        <v/>
      </c>
      <c r="DL16" s="1189" t="str">
        <f t="shared" si="45"/>
        <v/>
      </c>
      <c r="DM16" s="1189" t="str">
        <f t="shared" si="46"/>
        <v/>
      </c>
      <c r="DN16" s="43" t="str">
        <f t="shared" si="47"/>
        <v/>
      </c>
      <c r="DO16" s="966" t="str">
        <f>IF($G16="","",ADRYr2!AQ16)</f>
        <v/>
      </c>
      <c r="DP16" s="968" t="str">
        <f>IF($G16="","",ADRYr2!AR16)</f>
        <v/>
      </c>
      <c r="DQ16" s="970" t="str">
        <f>IF($G16="","",IF($DP16="Yes",COLUMN(AESC!$L$10),IF($DP16="No","Using AvoidedDemand tab",IF($DP16="Mixed",COLUMN(AESC!$N$10)))))</f>
        <v/>
      </c>
      <c r="DR16" s="970" t="str">
        <f>IF($G16="","",IF($DP16="Yes",COLUMN(AESC!$P$10),IF($DP16="No","Using AvoidedDemand tab",IF($DP16="Mixed",COLUMN(AESC!$R$10)))))</f>
        <v/>
      </c>
      <c r="DS16" s="970" t="str">
        <f>IF($G16="","",IF($DP16="Yes",COLUMN(AESC!$S$10),IF($DP16="No",COLUMN(AESC!$T$10),IF($DP16="Mixed",COLUMN(AESC!$U$10)))))</f>
        <v/>
      </c>
      <c r="DT16" s="970" t="str">
        <f t="shared" si="48"/>
        <v/>
      </c>
      <c r="DU16" s="970" t="str">
        <f>IF($G16="","",ADRYr2!AS16)</f>
        <v/>
      </c>
      <c r="DV16" s="971" t="str">
        <f>IF($G16="","",ADRYr2!AT16)</f>
        <v/>
      </c>
      <c r="DW16" s="1162" t="str">
        <f>IF($G16="","",INDEX(AvoidedEnergy!$H$4:$H$10,MATCH($DO16,AvoidedEnergy!$A$4:$A$10,0)))</f>
        <v/>
      </c>
    </row>
    <row r="17" spans="1:127">
      <c r="A17" s="160" t="str">
        <f>IF(ADRYr2!$B17=0,"",ADRYr2!A17)</f>
        <v>B - Low-Income</v>
      </c>
      <c r="B17" s="9" t="str">
        <f>IF(ADRYr2!$B17=0,"",ADRYr2!B17)</f>
        <v>Home Energy Assistance</v>
      </c>
      <c r="C17" s="9" t="str">
        <f>IF(ADRYr2!$B17=0,"",ADRYr2!C17)</f>
        <v>Res Demand Response</v>
      </c>
      <c r="D17" s="9" t="str">
        <f>IF(ADRYr2!$B17=0,"",ADRYr2!D17)</f>
        <v>Direct Load Control Targeted Dispatch Upfront/Annual Incentive Summer</v>
      </c>
      <c r="E17" s="9">
        <f>IF(ADRYr2!$B17=0,"",ADRYr2!E17)</f>
        <v>0</v>
      </c>
      <c r="F17" s="11" t="str">
        <f>IF(ADRYr2!$B17=0,"",ADRYr2!F17)</f>
        <v>Behavior</v>
      </c>
      <c r="G17" s="12" t="str">
        <f>IF(ADRYr2!$G17&lt;&gt;0,ADRYr2!G17,"")</f>
        <v/>
      </c>
      <c r="H17" s="960" t="str">
        <f>IF($G17="","",ROUND(ADRYr2!H17,0))</f>
        <v/>
      </c>
      <c r="I17" s="47" t="str">
        <f>IF($G17="","",ADRYr2!I17*ADRYr2!P17*G17)</f>
        <v/>
      </c>
      <c r="J17" s="47" t="str">
        <f>IF($G17="","",ADRYr2!J17*G17)</f>
        <v/>
      </c>
      <c r="K17" s="47" t="str">
        <f t="shared" si="17"/>
        <v/>
      </c>
      <c r="L17" s="27" t="str">
        <f>IF($G17="","",ADRYr2!V17*G17/1000)</f>
        <v/>
      </c>
      <c r="M17" s="27" t="str">
        <f>IF($G17="","",L17*ADRYr2!$Q17*ADRYr2!$R17)</f>
        <v/>
      </c>
      <c r="N17" s="27" t="str">
        <f t="shared" si="18"/>
        <v/>
      </c>
      <c r="O17" s="27" t="str">
        <f t="shared" si="19"/>
        <v/>
      </c>
      <c r="P17" s="27" t="str">
        <f>IF($G17="","",M17*ADRYr2!P17)</f>
        <v/>
      </c>
      <c r="Q17" s="27" t="str">
        <f t="shared" si="20"/>
        <v/>
      </c>
      <c r="R17" s="27" t="str">
        <f>IF($G17="","",$Q17*ADRYr2!Z17)</f>
        <v/>
      </c>
      <c r="S17" s="27" t="str">
        <f>IF($G17="","",$Q17*ADRYr2!AA17)</f>
        <v/>
      </c>
      <c r="T17" s="27" t="str">
        <f>IF($G17="","",$Q17*ADRYr2!AB17)</f>
        <v/>
      </c>
      <c r="U17" s="27" t="str">
        <f>IF($G17="","",$Q17*ADRYr2!AC17)</f>
        <v/>
      </c>
      <c r="V17" s="27" t="str">
        <f>IF($G17="","",G17*ADRYr2!$AD17*ADRYr2!$P17*ADRYr2!$Q17)</f>
        <v/>
      </c>
      <c r="W17" s="27" t="str">
        <f>IF($G17="","",$G17*ADRYr2!$AD17*ADRYr2!$AF17*ADRYr2!Q17*ADRYr2!$S17)</f>
        <v/>
      </c>
      <c r="X17" s="27" t="str">
        <f>IF($G17="","",$G17*ADRYr2!$AD17*ADRYr2!$AF17*ADRYr2!P17*ADRYr2!Q17*ADRYr2!$S17)</f>
        <v/>
      </c>
      <c r="Y17" s="27" t="str">
        <f>IF($G17="","",$G17*ADRYr2!$AD17*ADRYr2!$AE17*ADRYr2!Q17*ADRYr2!$T17)</f>
        <v/>
      </c>
      <c r="Z17" s="27" t="str">
        <f>IF($G17="","",$G17*ADRYr2!$AD17*ADRYr2!$AE17*ADRYr2!P17*ADRYr2!Q17*ADRYr2!$T17)</f>
        <v/>
      </c>
      <c r="AA17" s="45" t="str">
        <f>IF($G17="","",$G17*ADRYr2!$Q17*ADRYr2!$U17*(IF(IFERROR(SEARCH("NG", ADRYr2!$AI17),0),ADRYr2!$AJ17,0)+IF(IFERROR(SEARCH("NG", ADRYr2!$AK17),0),ADRYr2!$AL17,0)+IF(IFERROR(SEARCH("NG", ADRYr2!$AM17),0),ADRYr2!$AN17,0)))</f>
        <v/>
      </c>
      <c r="AB17" s="45" t="str">
        <f t="shared" si="21"/>
        <v/>
      </c>
      <c r="AC17" s="45">
        <f>IF($G17="",0,AA17*ADRYr2!$P17)</f>
        <v>0</v>
      </c>
      <c r="AD17" s="45" t="str">
        <f t="shared" si="22"/>
        <v/>
      </c>
      <c r="AE17" s="45" t="str">
        <f>IF($G17="","",$G17*ADRYr2!$Q17*ADRYr2!$U17*(IF(IFERROR(SEARCH("Oil", ADRYr2!$AI17), 0),ADRYr2!$AJ17,0)+IF(IFERROR(SEARCH("Oil", ADRYr2!$AK17), 0),ADRYr2!$AL17,0)+IF(IFERROR(SEARCH("Oil", ADRYr2!$AM17), 0),ADRYr2!$AN17,0)))</f>
        <v/>
      </c>
      <c r="AF17" s="45" t="str">
        <f t="shared" si="23"/>
        <v/>
      </c>
      <c r="AG17" s="45">
        <f>IF($G17="",0,AE17*ADRYr2!$P17)</f>
        <v>0</v>
      </c>
      <c r="AH17" s="45" t="str">
        <f t="shared" si="24"/>
        <v/>
      </c>
      <c r="AI17" s="45" t="str">
        <f>IF($G17="","",$G17*ADRYr2!$Q17*ADRYr2!$U17*(IF(ADRYr2!$AI17=Lookups!$E$116,ADRYr2!$AJ17,IF(ADRYr2!$AK17=Lookups!$E$116,ADRYr2!$AL17,IF(ADRYr2!$AM17=Lookups!$E$116,ADRYr2!$AN17,0)))))</f>
        <v/>
      </c>
      <c r="AJ17" s="45" t="str">
        <f t="shared" si="25"/>
        <v/>
      </c>
      <c r="AK17" s="45">
        <f>IF($G17="",0,AI17*ADRYr2!$P17)</f>
        <v>0</v>
      </c>
      <c r="AL17" s="45" t="str">
        <f t="shared" si="26"/>
        <v/>
      </c>
      <c r="AM17" s="45" t="str">
        <f>IF($G17="","",$G17*ADRYr2!$Q17*ADRYr2!$U17*(IF(ADRYr2!$AI17=Lookups!$E$115,ADRYr2!$AJ17,IF(ADRYr2!$AK17=Lookups!$E$115,ADRYr2!$AL17,IF(ADRYr2!$AM17=Lookups!$E$115,ADRYr2!$AN17,0)))))</f>
        <v/>
      </c>
      <c r="AN17" s="45" t="str">
        <f t="shared" si="27"/>
        <v/>
      </c>
      <c r="AO17" s="45">
        <f>IF($G17="",0,AM17*ADRYr2!$P17)</f>
        <v>0</v>
      </c>
      <c r="AP17" s="45" t="str">
        <f t="shared" si="28"/>
        <v/>
      </c>
      <c r="AQ17" s="45" t="str">
        <f>IF($G17="","",$G17*ADRYr2!$Q17*ADRYr2!$U17*(IF(ADRYr2!$AI17=Lookups!$E$117,ADRYr2!$AJ17,IF(ADRYr2!$AK17=Lookups!$E$117,ADRYr2!$AL17,IF(ADRYr2!$AM17=Lookups!$E$117,ADRYr2!$AN17,0)))))</f>
        <v/>
      </c>
      <c r="AR17" s="45" t="str">
        <f t="shared" si="29"/>
        <v/>
      </c>
      <c r="AS17" s="45" t="str">
        <f>IF($G17="","",AQ17*ADRYr2!$P17)</f>
        <v/>
      </c>
      <c r="AT17" s="45" t="str">
        <f t="shared" si="30"/>
        <v/>
      </c>
      <c r="AU17" s="45" t="str">
        <f>IF($G17="","",$G17*ADRYr2!$Q17*ADRYr2!$U17*(IF(ADRYr2!$AI17=Lookups!$E$118,ADRYr2!$AJ17,IF(ADRYr2!$AK17=Lookups!$E$118,ADRYr2!$AL17,IF(ADRYr2!$AM17=Lookups!$E$118,ADRYr2!$AN17,0)))))</f>
        <v/>
      </c>
      <c r="AV17" s="45" t="str">
        <f t="shared" si="31"/>
        <v/>
      </c>
      <c r="AW17" s="45" t="str">
        <f>IF($G17="","",AU17*ADRYr2!$P17)</f>
        <v/>
      </c>
      <c r="AX17" s="45" t="str">
        <f t="shared" si="32"/>
        <v/>
      </c>
      <c r="AY17" s="45">
        <f t="shared" si="33"/>
        <v>0</v>
      </c>
      <c r="AZ17" s="45">
        <f t="shared" si="33"/>
        <v>0</v>
      </c>
      <c r="BA17" s="101" t="str">
        <f>IF($G17="","",$G17*ADRYr2!$P17*ADRYr2!$Q17*ADRYr2!$U17*ADRYr2!AO17)</f>
        <v/>
      </c>
      <c r="BB17" s="102" t="str">
        <f>IF($G17="","",$G17*ADRYr2!$P17*ADRYr2!$Q17*ADRYr2!$U17*ADRYr2!AP17)</f>
        <v/>
      </c>
      <c r="BC17" s="100" t="str">
        <f t="shared" si="34"/>
        <v/>
      </c>
      <c r="BD17" s="961"/>
      <c r="BE17" s="961"/>
      <c r="BF17" s="961"/>
      <c r="BG17" s="961"/>
      <c r="BH17" s="962" t="str">
        <f t="shared" si="3"/>
        <v/>
      </c>
      <c r="BI17" s="961"/>
      <c r="BJ17" s="961"/>
      <c r="BK17" s="961"/>
      <c r="BL17" s="961"/>
      <c r="BM17" s="30" t="str">
        <f t="shared" si="4"/>
        <v/>
      </c>
      <c r="BN17" s="963" t="str">
        <f t="shared" si="5"/>
        <v/>
      </c>
      <c r="BO17" s="31" t="str">
        <f t="shared" si="35"/>
        <v/>
      </c>
      <c r="BP17" s="964" t="str">
        <f t="shared" si="6"/>
        <v/>
      </c>
      <c r="BQ17" s="28" t="str">
        <f t="shared" si="7"/>
        <v/>
      </c>
      <c r="BR17" s="964" t="str">
        <f t="shared" si="8"/>
        <v/>
      </c>
      <c r="BS17" s="964" t="str">
        <f t="shared" si="9"/>
        <v/>
      </c>
      <c r="BT17" s="28" t="str">
        <f t="shared" si="10"/>
        <v/>
      </c>
      <c r="BU17" s="28" t="str">
        <f t="shared" si="10"/>
        <v/>
      </c>
      <c r="BV17" s="28" t="str">
        <f t="shared" si="10"/>
        <v/>
      </c>
      <c r="BW17" s="29" t="str">
        <f t="shared" si="36"/>
        <v/>
      </c>
      <c r="BX17" s="29" t="str">
        <f t="shared" si="37"/>
        <v/>
      </c>
      <c r="BY17" s="28" t="str">
        <f>IF($G17="","",$G17*(IF(ADRYr2!$AI17=BY$4,ADRYr2!$AJ17,IF(ADRYr2!$AK17=BY$4,ADRYr2!$AL17,IF(ADRYr2!$AM17=BY$4,ADRYr2!$AN17,0))))*(INDEX(avoidedcosttbl2,$H17,BY$2)+(($H17-ROUNDDOWN($H17,0))*(INDEX(avoidedcosttbl2,ROUNDUP($H17,0),BY$2)-(INDEX(avoidedcosttbl2,ROUNDDOWN($H17,0),BY$2)))))*ADRYr2!P17*ADRYr2!Q17*ADRYr2!U17)</f>
        <v/>
      </c>
      <c r="BZ17" s="28" t="str">
        <f>IF($G17="","",$G17*(IF(ADRYr2!$AI17=BZ$4,ADRYr2!$AJ17,IF(ADRYr2!$AK17=BZ$4,ADRYr2!$AL17,IF(ADRYr2!$AM17=BZ$4,ADRYr2!$AN17,0))))*(INDEX(avoidedcosttbl2,$H17,BZ$2)+(($H17-ROUNDDOWN($H17,0))*(INDEX(avoidedcosttbl2,ROUNDUP($H17,0),BZ$2)-(INDEX(avoidedcosttbl2,ROUNDDOWN($H17,0),BZ$2)))))*ADRYr2!P17*ADRYr2!Q17*ADRYr2!U17)</f>
        <v/>
      </c>
      <c r="CA17" s="28" t="str">
        <f>IF($G17="","",$G17*(IF(ADRYr2!$AI17=CA$4,ADRYr2!$AJ17,IF(ADRYr2!$AK17=CA$4,ADRYr2!$AL17,IF(ADRYr2!$AM17=CA$4,ADRYr2!$AN17,0))))*(INDEX(avoidedcosttbl2,$H17,CA$2)+(($H17-ROUNDDOWN($H17,0))*(INDEX(avoidedcosttbl2,ROUNDUP($H17,0),CA$2)-(INDEX(avoidedcosttbl2,ROUNDDOWN($H17,0),CA$2)))))*ADRYr2!P17*ADRYr2!Q17*ADRYr2!U17)</f>
        <v/>
      </c>
      <c r="CB17" s="28" t="str">
        <f>IF($G17="","",$G17*(IF(ADRYr2!$AI17=CB$4,ADRYr2!$AJ17,IF(ADRYr2!$AK17=CB$4,ADRYr2!$AL17,IF(ADRYr2!$AM17=CB$4,ADRYr2!$AN17,0))))*(INDEX(avoidedcosttbl2,$H17,CB$2)+(($H17-ROUNDDOWN($H17,0))*(INDEX(avoidedcosttbl2,ROUNDUP($H17,0),CB$2)-(INDEX(avoidedcosttbl2,ROUNDDOWN($H17,0),CB$2)))))*ADRYr2!P17*ADRYr2!Q17*ADRYr2!U17)</f>
        <v/>
      </c>
      <c r="CC17" s="28" t="str">
        <f>IF($G17="","",$G17*(IF(ADRYr2!$AI17=CC$4,ADRYr2!$AJ17,IF(ADRYr2!$AK17=CC$4,ADRYr2!$AL17,IF(ADRYr2!$AM17=CC$4,ADRYr2!$AN17,0))))*(INDEX(avoidedcosttbl2,$H17,CC$2)+(($H17-ROUNDDOWN($H17,0))*(INDEX(avoidedcosttbl2,ROUNDUP($H17,0),CC$2)-(INDEX(avoidedcosttbl2,ROUNDDOWN($H17,0),CC$2)))))*ADRYr2!P17*ADRYr2!Q17*ADRYr2!U17)</f>
        <v/>
      </c>
      <c r="CD17" s="28" t="str">
        <f>IF($G17="","",$G17*(IF(ADRYr2!$AI17=CD$4,ADRYr2!$AJ17,IF(ADRYr2!$AK17=CD$4,ADRYr2!$AL17,IF(ADRYr2!$AM17=CD$4,ADRYr2!$AN17,0))))*(INDEX(avoidedcosttbl2,$H17,CD$2)+(($H17-ROUNDDOWN($H17,0))*(INDEX(avoidedcosttbl2,ROUNDUP($H17,0),CD$2)-(INDEX(avoidedcosttbl2,ROUNDDOWN($H17,0),CD$2)))))*ADRYr2!P17*ADRYr2!Q17*ADRYr2!U17)</f>
        <v/>
      </c>
      <c r="CE17" s="28" t="str">
        <f>IF($G17="","",$G17*(IF(ADRYr2!$AI17=CE$4,ADRYr2!$AJ17,IF(ADRYr2!$AK17=CE$4,ADRYr2!$AL17,IF(ADRYr2!$AM17=CE$4,ADRYr2!$AN17,0))))*(INDEX(avoidedcosttbl2,$H17,CE$2)+(($H17-ROUNDDOWN($H17,0))*(INDEX(avoidedcosttbl2,ROUNDUP($H17,0),CE$2)-(INDEX(avoidedcosttbl2,ROUNDDOWN($H17,0),CE$2)))))*ADRYr2!P17*ADRYr2!Q17*ADRYr2!U17)</f>
        <v/>
      </c>
      <c r="CF17" s="41" t="str">
        <f t="shared" si="38"/>
        <v/>
      </c>
      <c r="CG17" s="30" t="str">
        <f t="shared" si="11"/>
        <v/>
      </c>
      <c r="CH17" s="30" t="str">
        <f>IF($G17="","",$G17*(IF(ADRYr2!$AI17=BY$4,ADRYr2!$AJ17,IF(ADRYr2!$AK17=BY$4,ADRYr2!$AL17,IF(ADRYr2!$AM17=BY$4,ADRYr2!$AN17,0))))*(INDEX(avoidedcosttbl2,$H17,CH$2)+(($H17-ROUNDDOWN($H17,0))*(INDEX(avoidedcosttbl2,ROUNDUP($H17,0),CH$2)-(INDEX(avoidedcosttbl2,ROUNDDOWN($H17,0),CH$2)))))*ADRYr2!P17*ADRYr2!Q17*ADRYr2!U17)</f>
        <v/>
      </c>
      <c r="CI17" s="30" t="str">
        <f>IF($G17="","",$G17*(IF(ADRYr2!$AI17=BZ$4,ADRYr2!$AJ17,IF(ADRYr2!$AK17=BZ$4,ADRYr2!$AL17,IF(ADRYr2!$AM17=BZ$4,ADRYr2!$AN17,0))))*(INDEX(avoidedcosttbl2,$H17,CI$2)+(($H17-ROUNDDOWN($H17,0))*(INDEX(avoidedcosttbl2,ROUNDUP($H17,0),CI$2)-(INDEX(avoidedcosttbl2,ROUNDDOWN($H17,0),CI$2)))))*ADRYr2!P17*ADRYr2!Q17*ADRYr2!U17)</f>
        <v/>
      </c>
      <c r="CJ17" s="30" t="str">
        <f>IF($G17="","",$G17*(IF(ADRYr2!$AI17=CA$4,ADRYr2!$AJ17,IF(ADRYr2!$AK17=CA$4,ADRYr2!$AL17,IF(ADRYr2!$AM17=CA$4,ADRYr2!$AN17,0))))*(INDEX(avoidedcosttbl2,$H17,CJ$2)+(($H17-ROUNDDOWN($H17,0))*(INDEX(avoidedcosttbl2,ROUNDUP($H17,0),CJ$2)-(INDEX(avoidedcosttbl2,ROUNDDOWN($H17,0),CJ$2)))))*ADRYr2!P17*ADRYr2!Q17*ADRYr2!U17)</f>
        <v/>
      </c>
      <c r="CK17" s="30" t="str">
        <f>IF($G17="","",$G17*(IF(ADRYr2!$AI17=CB$4,ADRYr2!$AJ17,IF(ADRYr2!$AK17=CB$4,ADRYr2!$AL17,IF(ADRYr2!$AM17=CB$4,ADRYr2!$AN17,0))))*(INDEX(avoidedcosttbl2,$H17,CK$2)+(($H17-ROUNDDOWN($H17,0))*(INDEX(avoidedcosttbl2,ROUNDUP($H17,0),CK$2)-(INDEX(avoidedcosttbl2,ROUNDDOWN($H17,0),CK$2)))))*ADRYr2!P17*ADRYr2!Q17*ADRYr2!U17)</f>
        <v/>
      </c>
      <c r="CL17" s="30" t="str">
        <f>IF($G17="","",$G17*(IF(ADRYr2!$AI17=CC$4,ADRYr2!$AJ17,IF(ADRYr2!$AK17=CC$4,ADRYr2!$AL17,IF(ADRYr2!$AM17=CC$4,ADRYr2!$AN17,0))))*(INDEX(avoidedcosttbl2,$H17,CL$2)+(($H17-ROUNDDOWN($H17,0))*(INDEX(avoidedcosttbl2,ROUNDUP($H17,0),CL$2)-(INDEX(avoidedcosttbl2,ROUNDDOWN($H17,0),CL$2)))))*ADRYr2!P17*ADRYr2!Q17*ADRYr2!U17)</f>
        <v/>
      </c>
      <c r="CM17" s="30" t="str">
        <f>IF($G17="","",$G17*(IF(ADRYr2!$AI17=CD$4,ADRYr2!$AJ17,IF(ADRYr2!$AK17=CD$4,ADRYr2!$AL17,IF(ADRYr2!$AM17=CD$4,ADRYr2!$AN17,0))))*(INDEX(avoidedcosttbl2,$H17,CM$2)+(($H17-ROUNDDOWN($H17,0))*(INDEX(avoidedcosttbl2,ROUNDUP($H17,0),CM$2)-(INDEX(avoidedcosttbl2,ROUNDDOWN($H17,0),CM$2)))))*ADRYr2!P17*ADRYr2!Q17*ADRYr2!U17)</f>
        <v/>
      </c>
      <c r="CN17" s="30" t="str">
        <f>IF($G17="","",$G17*(IF(ADRYr2!$AI17=CE$4,ADRYr2!$AJ17,IF(ADRYr2!$AK17=CE$4,ADRYr2!$AL17,IF(ADRYr2!$AM17=CE$4,ADRYr2!$AN17,0))))*(INDEX(avoidedcosttbl2,$H17,CN$2)+(($H17-ROUNDDOWN($H17,0))*(INDEX(avoidedcosttbl2,ROUNDUP($H17,0),CN$2)-(INDEX(avoidedcosttbl2,ROUNDDOWN($H17,0),CN$2)))))*ADRYr2!P17*ADRYr2!Q17*ADRYr2!U17)</f>
        <v/>
      </c>
      <c r="CO17" s="220" t="str">
        <f t="shared" si="39"/>
        <v/>
      </c>
      <c r="CP17" s="220" t="str">
        <f t="shared" si="40"/>
        <v/>
      </c>
      <c r="CQ17" s="157" t="str">
        <f>IF($G17="","",$G17*(IF(ADRYr2!$AI17=CQ$4,ADRYr2!$AJ17,IF(ADRYr2!$AK17=CQ$4,ADRYr2!$AL17,IF(ADRYr2!$AM17=CQ$4,ADRYr2!$AN17,0))))*(INDEX(avoidedcosttbl2,$H17,CQ$2)+(($H17-ROUNDDOWN($H17,0))*(INDEX(avoidedcosttbl2,ROUNDUP($H17,0),CQ$2)-(INDEX(avoidedcosttbl2,ROUNDDOWN($H17,0),CQ$2)))))*ADRYr2!$P17*ADRYr2!$Q17*ADRYr2!$U17)</f>
        <v/>
      </c>
      <c r="CR17" s="28" t="str">
        <f>IF($G17="","",G17*(IF(ADRYr2!$AI17=CR$4,ADRYr2!$AJ17,IF(ADRYr2!$AK17=CR$4,ADRYr2!$AL17,IF(ADRYr2!$AM17=CR$4,ADRYr2!$AN17,0))))*(INDEX(avoidedcosttbl2,$H17,CR$2)+(($H17-ROUNDDOWN($H17,0))*(INDEX(avoidedcosttbl2,ROUNDUP($H17,0),CR$2)-(INDEX(avoidedcosttbl2,ROUNDDOWN($H17,0),CR$2)))))*ADRYr2!$P17*ADRYr2!$Q17*ADRYr2!$U17)</f>
        <v/>
      </c>
      <c r="CS17" s="28" t="str">
        <f>IF($G17="","",G17*(IF(ADRYr2!$AI17=CS$4,ADRYr2!$AJ17,IF(ADRYr2!$AK17=CS$4,ADRYr2!$AL17,IF(ADRYr2!$AM17=CS$4,ADRYr2!$AN17,0))))*(INDEX(avoidedcosttbl2,$H17,CS$2)+(($H17-ROUNDDOWN($H17,0))*(INDEX(avoidedcosttbl2,ROUNDUP($H17,0),CS$2)-(INDEX(avoidedcosttbl2,ROUNDDOWN($H17,0),CS$2)))))*ADRYr2!$P17*ADRYr2!$Q17*ADRYr2!$U17)</f>
        <v/>
      </c>
      <c r="CT17" s="28" t="str">
        <f t="shared" si="12"/>
        <v/>
      </c>
      <c r="CU17" s="28" t="str">
        <f>IF($G17="","",G17*(IF(ADRYr2!$AI17=CU$4,ADRYr2!$AJ17,IF(ADRYr2!$AK17=CU$4,ADRYr2!$AL17,IF(ADRYr2!$AM17=CU$4,ADRYr2!$AN17,0))))*(INDEX(avoidedcosttbl2,$H17,CU$2)+(($H17-ROUNDDOWN($H17,0))*(INDEX(avoidedcosttbl2,ROUNDUP($H17,0),CU$2)-(INDEX(avoidedcosttbl2,ROUNDDOWN($H17,0),CU$2)))))*ADRYr2!$P17*ADRYr2!$Q17*ADRYr2!$U17)</f>
        <v/>
      </c>
      <c r="CV17" s="28" t="str">
        <f>IF($G17="","",G17*(IF(ADRYr2!$AI17=CV$4,ADRYr2!$AJ17,IF(ADRYr2!$AK17=CV$4,ADRYr2!$AL17,IF(ADRYr2!$AM17=CV$4,ADRYr2!$AN17,0))))*(INDEX(avoidedcosttbl2,$H17,CV$2)+(($H17-ROUNDDOWN($H17,0))*(INDEX(avoidedcosttbl2,ROUNDUP($H17,0),CV$2)-(INDEX(avoidedcosttbl2,ROUNDDOWN($H17,0),CV$2)))))*ADRYr2!$P17*ADRYr2!$Q17*ADRYr2!$U17)</f>
        <v/>
      </c>
      <c r="CW17" s="28" t="str">
        <f>IF($G17="","",G17*(IF(ADRYr2!$AI17=CW$4,ADRYr2!$AJ17,IF(ADRYr2!$AK17=CW$4,ADRYr2!$AL17,IF(ADRYr2!$AM17=CW$4,ADRYr2!$AN17,0))))*(INDEX(avoidedcosttbl2,$H17,CW$2)+(($H17-ROUNDDOWN($H17,0))*(INDEX(avoidedcosttbl2,ROUNDUP($H17,0),CW$2)-(INDEX(avoidedcosttbl2,ROUNDDOWN($H17,0),CW$2)))))*ADRYr2!$P17*ADRYr2!$Q17*ADRYr2!$U17)</f>
        <v/>
      </c>
      <c r="CX17" s="28" t="str">
        <f>IF($G17="","",G17*(IF(ADRYr2!$AI17=CX$4,ADRYr2!$AJ17,IF(ADRYr2!$AK17=CX$4,ADRYr2!$AL17,IF(ADRYr2!$AM17=CX$4,ADRYr2!$AN17,0))))*(INDEX(avoidedcosttbl2,$H17,CX$2)+(($H17-ROUNDDOWN($H17,0))*(INDEX(avoidedcosttbl2,ROUNDUP($H17,0),CX$2)-(INDEX(avoidedcosttbl2,ROUNDDOWN($H17,0),CX$2)))))*ADRYr2!$P17*ADRYr2!$Q17*ADRYr2!$U17)</f>
        <v/>
      </c>
      <c r="CY17" s="28" t="str">
        <f t="shared" si="13"/>
        <v/>
      </c>
      <c r="CZ17" s="32" t="str">
        <f t="shared" si="14"/>
        <v/>
      </c>
      <c r="DA17" s="84" t="str">
        <f t="shared" si="41"/>
        <v/>
      </c>
      <c r="DB17" s="81" t="str">
        <f>IF(NEIadder="Yes",IF($G17="","",INDEX(Lookups!$G$70:$G$71,MATCH($A17,Lookups!$E$70:$E$71,0))*(SUM(CP17:CX17,BX17))),"")</f>
        <v/>
      </c>
      <c r="DC17" s="263" t="str">
        <f t="shared" si="15"/>
        <v/>
      </c>
      <c r="DD17" s="166" t="str">
        <f t="shared" si="16"/>
        <v/>
      </c>
      <c r="DE17" s="82">
        <f t="shared" si="42"/>
        <v>0</v>
      </c>
      <c r="DF17" s="615" t="str">
        <f>IF($G17="","",(1+WntPeakEnergyLL)*(INDEX(avoidedcosttbl2,$H17,DF$2)+(($H17-ROUNDDOWN($H17,0))*(INDEX(avoidedcosttbl2,ROUNDUP($H17,0),DF$2)-(INDEX(avoidedcosttbl2,ROUNDDOWN($H17,0),DF$2)))))*$P17*1000*ADRYr2!Z17)</f>
        <v/>
      </c>
      <c r="DG17" s="615" t="str">
        <f>IF($G17="","",(1+WntOffPeakEnergyLL)*(INDEX(avoidedcosttbl2,$H17,DG$2)+(($H17-ROUNDDOWN($H17,0))*(INDEX(avoidedcosttbl2,ROUNDUP($H17,0),DG$2)-(INDEX(avoidedcosttbl2,ROUNDDOWN($H17,0),DG$2)))))*$P17*1000*ADRYr2!AA17)</f>
        <v/>
      </c>
      <c r="DH17" s="615" t="str">
        <f>IF($G17="","",(1+SumPeakEnergyLL)*(INDEX(avoidedcosttbl2,$H17,DH$2)+(($H17-ROUNDDOWN($H17,0))*(INDEX(avoidedcosttbl2,ROUNDUP($H17,0),DH$2)-(INDEX(avoidedcosttbl2,ROUNDDOWN($H17,0),DH$2)))))*$P17*1000*ADRYr2!AB17)</f>
        <v/>
      </c>
      <c r="DI17" s="615" t="str">
        <f>IF($G17="","",(1+SumOffPeakEnergyLL)*(INDEX(avoidedcosttbl2,$H17,DI$2)+(($H17-ROUNDDOWN($H17,0))*(INDEX(avoidedcosttbl2,ROUNDUP($H17,0),DI$2)-(INDEX(avoidedcosttbl2,ROUNDDOWN($H17,0),DI$2)))))*$P17*1000*ADRYr2!AC17)</f>
        <v/>
      </c>
      <c r="DJ17" s="29" t="str">
        <f t="shared" si="43"/>
        <v/>
      </c>
      <c r="DK17" s="161" t="str">
        <f t="shared" si="44"/>
        <v/>
      </c>
      <c r="DL17" s="1189" t="str">
        <f t="shared" si="45"/>
        <v/>
      </c>
      <c r="DM17" s="1189" t="str">
        <f t="shared" si="46"/>
        <v/>
      </c>
      <c r="DN17" s="43" t="str">
        <f t="shared" si="47"/>
        <v/>
      </c>
      <c r="DO17" s="966" t="str">
        <f>IF($G17="","",ADRYr2!AQ17)</f>
        <v/>
      </c>
      <c r="DP17" s="968" t="str">
        <f>IF($G17="","",ADRYr2!AR17)</f>
        <v/>
      </c>
      <c r="DQ17" s="970" t="str">
        <f>IF($G17="","",IF($DP17="Yes",COLUMN(AESC!$L$10),IF($DP17="No","Using AvoidedDemand tab",IF($DP17="Mixed",COLUMN(AESC!$N$10)))))</f>
        <v/>
      </c>
      <c r="DR17" s="970" t="str">
        <f>IF($G17="","",IF($DP17="Yes",COLUMN(AESC!$P$10),IF($DP17="No","Using AvoidedDemand tab",IF($DP17="Mixed",COLUMN(AESC!$R$10)))))</f>
        <v/>
      </c>
      <c r="DS17" s="970" t="str">
        <f>IF($G17="","",IF($DP17="Yes",COLUMN(AESC!$S$10),IF($DP17="No",COLUMN(AESC!$T$10),IF($DP17="Mixed",COLUMN(AESC!$U$10)))))</f>
        <v/>
      </c>
      <c r="DT17" s="970" t="str">
        <f t="shared" si="48"/>
        <v/>
      </c>
      <c r="DU17" s="970" t="str">
        <f>IF($G17="","",ADRYr2!AS17)</f>
        <v/>
      </c>
      <c r="DV17" s="971" t="str">
        <f>IF($G17="","",ADRYr2!AT17)</f>
        <v/>
      </c>
      <c r="DW17" s="1162" t="str">
        <f>IF($G17="","",INDEX(AvoidedEnergy!$H$4:$H$10,MATCH($DO17,AvoidedEnergy!$A$4:$A$10,0)))</f>
        <v/>
      </c>
    </row>
    <row r="18" spans="1:127">
      <c r="A18" s="160" t="str">
        <f>IF(ADRYr2!$B18=0,"",ADRYr2!A18)</f>
        <v>B - Low-Income</v>
      </c>
      <c r="B18" s="9" t="str">
        <f>IF(ADRYr2!$B18=0,"",ADRYr2!B18)</f>
        <v>Home Energy Assistance</v>
      </c>
      <c r="C18" s="9" t="str">
        <f>IF(ADRYr2!$B18=0,"",ADRYr2!C18)</f>
        <v>Res Demand Response</v>
      </c>
      <c r="D18" s="9" t="str">
        <f>IF(ADRYr2!$B18=0,"",ADRYr2!D18)</f>
        <v>Behavior DR</v>
      </c>
      <c r="E18" s="9">
        <f>IF(ADRYr2!$B18=0,"",ADRYr2!E18)</f>
        <v>0</v>
      </c>
      <c r="F18" s="11" t="str">
        <f>IF(ADRYr2!$B18=0,"",ADRYr2!F18)</f>
        <v>Behavior</v>
      </c>
      <c r="G18" s="12" t="str">
        <f>IF(ADRYr2!$G18&lt;&gt;0,ADRYr2!G18,"")</f>
        <v/>
      </c>
      <c r="H18" s="960" t="str">
        <f>IF($G18="","",ROUND(ADRYr2!H18,0))</f>
        <v/>
      </c>
      <c r="I18" s="47" t="str">
        <f>IF($G18="","",ADRYr2!I18*ADRYr2!P18*G18)</f>
        <v/>
      </c>
      <c r="J18" s="47" t="str">
        <f>IF($G18="","",ADRYr2!J18*G18)</f>
        <v/>
      </c>
      <c r="K18" s="47" t="str">
        <f t="shared" si="17"/>
        <v/>
      </c>
      <c r="L18" s="27" t="str">
        <f>IF($G18="","",ADRYr2!V18*G18/1000)</f>
        <v/>
      </c>
      <c r="M18" s="27" t="str">
        <f>IF($G18="","",L18*ADRYr2!$Q18*ADRYr2!$R18)</f>
        <v/>
      </c>
      <c r="N18" s="27" t="str">
        <f t="shared" si="18"/>
        <v/>
      </c>
      <c r="O18" s="27" t="str">
        <f t="shared" si="19"/>
        <v/>
      </c>
      <c r="P18" s="27" t="str">
        <f>IF($G18="","",M18*ADRYr2!P18)</f>
        <v/>
      </c>
      <c r="Q18" s="27" t="str">
        <f t="shared" si="20"/>
        <v/>
      </c>
      <c r="R18" s="27" t="str">
        <f>IF($G18="","",$Q18*ADRYr2!Z18)</f>
        <v/>
      </c>
      <c r="S18" s="27" t="str">
        <f>IF($G18="","",$Q18*ADRYr2!AA18)</f>
        <v/>
      </c>
      <c r="T18" s="27" t="str">
        <f>IF($G18="","",$Q18*ADRYr2!AB18)</f>
        <v/>
      </c>
      <c r="U18" s="27" t="str">
        <f>IF($G18="","",$Q18*ADRYr2!AC18)</f>
        <v/>
      </c>
      <c r="V18" s="27" t="str">
        <f>IF($G18="","",G18*ADRYr2!$AD18*ADRYr2!$P18*ADRYr2!$Q18)</f>
        <v/>
      </c>
      <c r="W18" s="27" t="str">
        <f>IF($G18="","",$G18*ADRYr2!$AD18*ADRYr2!$AF18*ADRYr2!Q18*ADRYr2!$S18)</f>
        <v/>
      </c>
      <c r="X18" s="27" t="str">
        <f>IF($G18="","",$G18*ADRYr2!$AD18*ADRYr2!$AF18*ADRYr2!P18*ADRYr2!Q18*ADRYr2!$S18)</f>
        <v/>
      </c>
      <c r="Y18" s="27" t="str">
        <f>IF($G18="","",$G18*ADRYr2!$AD18*ADRYr2!$AE18*ADRYr2!Q18*ADRYr2!$T18)</f>
        <v/>
      </c>
      <c r="Z18" s="27" t="str">
        <f>IF($G18="","",$G18*ADRYr2!$AD18*ADRYr2!$AE18*ADRYr2!P18*ADRYr2!Q18*ADRYr2!$T18)</f>
        <v/>
      </c>
      <c r="AA18" s="45" t="str">
        <f>IF($G18="","",$G18*ADRYr2!$Q18*ADRYr2!$U18*(IF(IFERROR(SEARCH("NG", ADRYr2!$AI18),0),ADRYr2!$AJ18,0)+IF(IFERROR(SEARCH("NG", ADRYr2!$AK18),0),ADRYr2!$AL18,0)+IF(IFERROR(SEARCH("NG", ADRYr2!$AM18),0),ADRYr2!$AN18,0)))</f>
        <v/>
      </c>
      <c r="AB18" s="45" t="str">
        <f t="shared" si="21"/>
        <v/>
      </c>
      <c r="AC18" s="45">
        <f>IF($G18="",0,AA18*ADRYr2!$P18)</f>
        <v>0</v>
      </c>
      <c r="AD18" s="45" t="str">
        <f t="shared" si="22"/>
        <v/>
      </c>
      <c r="AE18" s="45" t="str">
        <f>IF($G18="","",$G18*ADRYr2!$Q18*ADRYr2!$U18*(IF(IFERROR(SEARCH("Oil", ADRYr2!$AI18), 0),ADRYr2!$AJ18,0)+IF(IFERROR(SEARCH("Oil", ADRYr2!$AK18), 0),ADRYr2!$AL18,0)+IF(IFERROR(SEARCH("Oil", ADRYr2!$AM18), 0),ADRYr2!$AN18,0)))</f>
        <v/>
      </c>
      <c r="AF18" s="45" t="str">
        <f t="shared" si="23"/>
        <v/>
      </c>
      <c r="AG18" s="45">
        <f>IF($G18="",0,AE18*ADRYr2!$P18)</f>
        <v>0</v>
      </c>
      <c r="AH18" s="45" t="str">
        <f t="shared" si="24"/>
        <v/>
      </c>
      <c r="AI18" s="45" t="str">
        <f>IF($G18="","",$G18*ADRYr2!$Q18*ADRYr2!$U18*(IF(ADRYr2!$AI18=Lookups!$E$116,ADRYr2!$AJ18,IF(ADRYr2!$AK18=Lookups!$E$116,ADRYr2!$AL18,IF(ADRYr2!$AM18=Lookups!$E$116,ADRYr2!$AN18,0)))))</f>
        <v/>
      </c>
      <c r="AJ18" s="45" t="str">
        <f t="shared" si="25"/>
        <v/>
      </c>
      <c r="AK18" s="45">
        <f>IF($G18="",0,AI18*ADRYr2!$P18)</f>
        <v>0</v>
      </c>
      <c r="AL18" s="45" t="str">
        <f t="shared" si="26"/>
        <v/>
      </c>
      <c r="AM18" s="45" t="str">
        <f>IF($G18="","",$G18*ADRYr2!$Q18*ADRYr2!$U18*(IF(ADRYr2!$AI18=Lookups!$E$115,ADRYr2!$AJ18,IF(ADRYr2!$AK18=Lookups!$E$115,ADRYr2!$AL18,IF(ADRYr2!$AM18=Lookups!$E$115,ADRYr2!$AN18,0)))))</f>
        <v/>
      </c>
      <c r="AN18" s="45" t="str">
        <f t="shared" si="27"/>
        <v/>
      </c>
      <c r="AO18" s="45">
        <f>IF($G18="",0,AM18*ADRYr2!$P18)</f>
        <v>0</v>
      </c>
      <c r="AP18" s="45" t="str">
        <f t="shared" si="28"/>
        <v/>
      </c>
      <c r="AQ18" s="45" t="str">
        <f>IF($G18="","",$G18*ADRYr2!$Q18*ADRYr2!$U18*(IF(ADRYr2!$AI18=Lookups!$E$117,ADRYr2!$AJ18,IF(ADRYr2!$AK18=Lookups!$E$117,ADRYr2!$AL18,IF(ADRYr2!$AM18=Lookups!$E$117,ADRYr2!$AN18,0)))))</f>
        <v/>
      </c>
      <c r="AR18" s="45" t="str">
        <f t="shared" si="29"/>
        <v/>
      </c>
      <c r="AS18" s="45" t="str">
        <f>IF($G18="","",AQ18*ADRYr2!$P18)</f>
        <v/>
      </c>
      <c r="AT18" s="45" t="str">
        <f t="shared" si="30"/>
        <v/>
      </c>
      <c r="AU18" s="45" t="str">
        <f>IF($G18="","",$G18*ADRYr2!$Q18*ADRYr2!$U18*(IF(ADRYr2!$AI18=Lookups!$E$118,ADRYr2!$AJ18,IF(ADRYr2!$AK18=Lookups!$E$118,ADRYr2!$AL18,IF(ADRYr2!$AM18=Lookups!$E$118,ADRYr2!$AN18,0)))))</f>
        <v/>
      </c>
      <c r="AV18" s="45" t="str">
        <f t="shared" si="31"/>
        <v/>
      </c>
      <c r="AW18" s="45" t="str">
        <f>IF($G18="","",AU18*ADRYr2!$P18)</f>
        <v/>
      </c>
      <c r="AX18" s="45" t="str">
        <f t="shared" si="32"/>
        <v/>
      </c>
      <c r="AY18" s="45">
        <f t="shared" si="33"/>
        <v>0</v>
      </c>
      <c r="AZ18" s="45">
        <f t="shared" si="33"/>
        <v>0</v>
      </c>
      <c r="BA18" s="101" t="str">
        <f>IF($G18="","",$G18*ADRYr2!$P18*ADRYr2!$Q18*ADRYr2!$U18*ADRYr2!AO18)</f>
        <v/>
      </c>
      <c r="BB18" s="102" t="str">
        <f>IF($G18="","",$G18*ADRYr2!$P18*ADRYr2!$Q18*ADRYr2!$U18*ADRYr2!AP18)</f>
        <v/>
      </c>
      <c r="BC18" s="100" t="str">
        <f t="shared" si="34"/>
        <v/>
      </c>
      <c r="BD18" s="961"/>
      <c r="BE18" s="961"/>
      <c r="BF18" s="961"/>
      <c r="BG18" s="961"/>
      <c r="BH18" s="962" t="str">
        <f t="shared" si="3"/>
        <v/>
      </c>
      <c r="BI18" s="961"/>
      <c r="BJ18" s="961"/>
      <c r="BK18" s="961"/>
      <c r="BL18" s="961"/>
      <c r="BM18" s="30" t="str">
        <f t="shared" si="4"/>
        <v/>
      </c>
      <c r="BN18" s="963" t="str">
        <f t="shared" si="5"/>
        <v/>
      </c>
      <c r="BO18" s="31" t="str">
        <f t="shared" si="35"/>
        <v/>
      </c>
      <c r="BP18" s="964" t="str">
        <f t="shared" si="6"/>
        <v/>
      </c>
      <c r="BQ18" s="28" t="str">
        <f t="shared" si="7"/>
        <v/>
      </c>
      <c r="BR18" s="964" t="str">
        <f t="shared" si="8"/>
        <v/>
      </c>
      <c r="BS18" s="964" t="str">
        <f t="shared" si="9"/>
        <v/>
      </c>
      <c r="BT18" s="28" t="str">
        <f t="shared" si="10"/>
        <v/>
      </c>
      <c r="BU18" s="28" t="str">
        <f t="shared" si="10"/>
        <v/>
      </c>
      <c r="BV18" s="28" t="str">
        <f t="shared" si="10"/>
        <v/>
      </c>
      <c r="BW18" s="29" t="str">
        <f t="shared" si="36"/>
        <v/>
      </c>
      <c r="BX18" s="29" t="str">
        <f t="shared" si="37"/>
        <v/>
      </c>
      <c r="BY18" s="28" t="str">
        <f>IF($G18="","",$G18*(IF(ADRYr2!$AI18=BY$4,ADRYr2!$AJ18,IF(ADRYr2!$AK18=BY$4,ADRYr2!$AL18,IF(ADRYr2!$AM18=BY$4,ADRYr2!$AN18,0))))*(INDEX(avoidedcosttbl2,$H18,BY$2)+(($H18-ROUNDDOWN($H18,0))*(INDEX(avoidedcosttbl2,ROUNDUP($H18,0),BY$2)-(INDEX(avoidedcosttbl2,ROUNDDOWN($H18,0),BY$2)))))*ADRYr2!P18*ADRYr2!Q18*ADRYr2!U18)</f>
        <v/>
      </c>
      <c r="BZ18" s="28" t="str">
        <f>IF($G18="","",$G18*(IF(ADRYr2!$AI18=BZ$4,ADRYr2!$AJ18,IF(ADRYr2!$AK18=BZ$4,ADRYr2!$AL18,IF(ADRYr2!$AM18=BZ$4,ADRYr2!$AN18,0))))*(INDEX(avoidedcosttbl2,$H18,BZ$2)+(($H18-ROUNDDOWN($H18,0))*(INDEX(avoidedcosttbl2,ROUNDUP($H18,0),BZ$2)-(INDEX(avoidedcosttbl2,ROUNDDOWN($H18,0),BZ$2)))))*ADRYr2!P18*ADRYr2!Q18*ADRYr2!U18)</f>
        <v/>
      </c>
      <c r="CA18" s="28" t="str">
        <f>IF($G18="","",$G18*(IF(ADRYr2!$AI18=CA$4,ADRYr2!$AJ18,IF(ADRYr2!$AK18=CA$4,ADRYr2!$AL18,IF(ADRYr2!$AM18=CA$4,ADRYr2!$AN18,0))))*(INDEX(avoidedcosttbl2,$H18,CA$2)+(($H18-ROUNDDOWN($H18,0))*(INDEX(avoidedcosttbl2,ROUNDUP($H18,0),CA$2)-(INDEX(avoidedcosttbl2,ROUNDDOWN($H18,0),CA$2)))))*ADRYr2!P18*ADRYr2!Q18*ADRYr2!U18)</f>
        <v/>
      </c>
      <c r="CB18" s="28" t="str">
        <f>IF($G18="","",$G18*(IF(ADRYr2!$AI18=CB$4,ADRYr2!$AJ18,IF(ADRYr2!$AK18=CB$4,ADRYr2!$AL18,IF(ADRYr2!$AM18=CB$4,ADRYr2!$AN18,0))))*(INDEX(avoidedcosttbl2,$H18,CB$2)+(($H18-ROUNDDOWN($H18,0))*(INDEX(avoidedcosttbl2,ROUNDUP($H18,0),CB$2)-(INDEX(avoidedcosttbl2,ROUNDDOWN($H18,0),CB$2)))))*ADRYr2!P18*ADRYr2!Q18*ADRYr2!U18)</f>
        <v/>
      </c>
      <c r="CC18" s="28" t="str">
        <f>IF($G18="","",$G18*(IF(ADRYr2!$AI18=CC$4,ADRYr2!$AJ18,IF(ADRYr2!$AK18=CC$4,ADRYr2!$AL18,IF(ADRYr2!$AM18=CC$4,ADRYr2!$AN18,0))))*(INDEX(avoidedcosttbl2,$H18,CC$2)+(($H18-ROUNDDOWN($H18,0))*(INDEX(avoidedcosttbl2,ROUNDUP($H18,0),CC$2)-(INDEX(avoidedcosttbl2,ROUNDDOWN($H18,0),CC$2)))))*ADRYr2!P18*ADRYr2!Q18*ADRYr2!U18)</f>
        <v/>
      </c>
      <c r="CD18" s="28" t="str">
        <f>IF($G18="","",$G18*(IF(ADRYr2!$AI18=CD$4,ADRYr2!$AJ18,IF(ADRYr2!$AK18=CD$4,ADRYr2!$AL18,IF(ADRYr2!$AM18=CD$4,ADRYr2!$AN18,0))))*(INDEX(avoidedcosttbl2,$H18,CD$2)+(($H18-ROUNDDOWN($H18,0))*(INDEX(avoidedcosttbl2,ROUNDUP($H18,0),CD$2)-(INDEX(avoidedcosttbl2,ROUNDDOWN($H18,0),CD$2)))))*ADRYr2!P18*ADRYr2!Q18*ADRYr2!U18)</f>
        <v/>
      </c>
      <c r="CE18" s="28" t="str">
        <f>IF($G18="","",$G18*(IF(ADRYr2!$AI18=CE$4,ADRYr2!$AJ18,IF(ADRYr2!$AK18=CE$4,ADRYr2!$AL18,IF(ADRYr2!$AM18=CE$4,ADRYr2!$AN18,0))))*(INDEX(avoidedcosttbl2,$H18,CE$2)+(($H18-ROUNDDOWN($H18,0))*(INDEX(avoidedcosttbl2,ROUNDUP($H18,0),CE$2)-(INDEX(avoidedcosttbl2,ROUNDDOWN($H18,0),CE$2)))))*ADRYr2!P18*ADRYr2!Q18*ADRYr2!U18)</f>
        <v/>
      </c>
      <c r="CF18" s="41" t="str">
        <f t="shared" si="38"/>
        <v/>
      </c>
      <c r="CG18" s="30" t="str">
        <f t="shared" si="11"/>
        <v/>
      </c>
      <c r="CH18" s="30" t="str">
        <f>IF($G18="","",$G18*(IF(ADRYr2!$AI18=BY$4,ADRYr2!$AJ18,IF(ADRYr2!$AK18=BY$4,ADRYr2!$AL18,IF(ADRYr2!$AM18=BY$4,ADRYr2!$AN18,0))))*(INDEX(avoidedcosttbl2,$H18,CH$2)+(($H18-ROUNDDOWN($H18,0))*(INDEX(avoidedcosttbl2,ROUNDUP($H18,0),CH$2)-(INDEX(avoidedcosttbl2,ROUNDDOWN($H18,0),CH$2)))))*ADRYr2!P18*ADRYr2!Q18*ADRYr2!U18)</f>
        <v/>
      </c>
      <c r="CI18" s="30" t="str">
        <f>IF($G18="","",$G18*(IF(ADRYr2!$AI18=BZ$4,ADRYr2!$AJ18,IF(ADRYr2!$AK18=BZ$4,ADRYr2!$AL18,IF(ADRYr2!$AM18=BZ$4,ADRYr2!$AN18,0))))*(INDEX(avoidedcosttbl2,$H18,CI$2)+(($H18-ROUNDDOWN($H18,0))*(INDEX(avoidedcosttbl2,ROUNDUP($H18,0),CI$2)-(INDEX(avoidedcosttbl2,ROUNDDOWN($H18,0),CI$2)))))*ADRYr2!P18*ADRYr2!Q18*ADRYr2!U18)</f>
        <v/>
      </c>
      <c r="CJ18" s="30" t="str">
        <f>IF($G18="","",$G18*(IF(ADRYr2!$AI18=CA$4,ADRYr2!$AJ18,IF(ADRYr2!$AK18=CA$4,ADRYr2!$AL18,IF(ADRYr2!$AM18=CA$4,ADRYr2!$AN18,0))))*(INDEX(avoidedcosttbl2,$H18,CJ$2)+(($H18-ROUNDDOWN($H18,0))*(INDEX(avoidedcosttbl2,ROUNDUP($H18,0),CJ$2)-(INDEX(avoidedcosttbl2,ROUNDDOWN($H18,0),CJ$2)))))*ADRYr2!P18*ADRYr2!Q18*ADRYr2!U18)</f>
        <v/>
      </c>
      <c r="CK18" s="30" t="str">
        <f>IF($G18="","",$G18*(IF(ADRYr2!$AI18=CB$4,ADRYr2!$AJ18,IF(ADRYr2!$AK18=CB$4,ADRYr2!$AL18,IF(ADRYr2!$AM18=CB$4,ADRYr2!$AN18,0))))*(INDEX(avoidedcosttbl2,$H18,CK$2)+(($H18-ROUNDDOWN($H18,0))*(INDEX(avoidedcosttbl2,ROUNDUP($H18,0),CK$2)-(INDEX(avoidedcosttbl2,ROUNDDOWN($H18,0),CK$2)))))*ADRYr2!P18*ADRYr2!Q18*ADRYr2!U18)</f>
        <v/>
      </c>
      <c r="CL18" s="30" t="str">
        <f>IF($G18="","",$G18*(IF(ADRYr2!$AI18=CC$4,ADRYr2!$AJ18,IF(ADRYr2!$AK18=CC$4,ADRYr2!$AL18,IF(ADRYr2!$AM18=CC$4,ADRYr2!$AN18,0))))*(INDEX(avoidedcosttbl2,$H18,CL$2)+(($H18-ROUNDDOWN($H18,0))*(INDEX(avoidedcosttbl2,ROUNDUP($H18,0),CL$2)-(INDEX(avoidedcosttbl2,ROUNDDOWN($H18,0),CL$2)))))*ADRYr2!P18*ADRYr2!Q18*ADRYr2!U18)</f>
        <v/>
      </c>
      <c r="CM18" s="30" t="str">
        <f>IF($G18="","",$G18*(IF(ADRYr2!$AI18=CD$4,ADRYr2!$AJ18,IF(ADRYr2!$AK18=CD$4,ADRYr2!$AL18,IF(ADRYr2!$AM18=CD$4,ADRYr2!$AN18,0))))*(INDEX(avoidedcosttbl2,$H18,CM$2)+(($H18-ROUNDDOWN($H18,0))*(INDEX(avoidedcosttbl2,ROUNDUP($H18,0),CM$2)-(INDEX(avoidedcosttbl2,ROUNDDOWN($H18,0),CM$2)))))*ADRYr2!P18*ADRYr2!Q18*ADRYr2!U18)</f>
        <v/>
      </c>
      <c r="CN18" s="30" t="str">
        <f>IF($G18="","",$G18*(IF(ADRYr2!$AI18=CE$4,ADRYr2!$AJ18,IF(ADRYr2!$AK18=CE$4,ADRYr2!$AL18,IF(ADRYr2!$AM18=CE$4,ADRYr2!$AN18,0))))*(INDEX(avoidedcosttbl2,$H18,CN$2)+(($H18-ROUNDDOWN($H18,0))*(INDEX(avoidedcosttbl2,ROUNDUP($H18,0),CN$2)-(INDEX(avoidedcosttbl2,ROUNDDOWN($H18,0),CN$2)))))*ADRYr2!P18*ADRYr2!Q18*ADRYr2!U18)</f>
        <v/>
      </c>
      <c r="CO18" s="220" t="str">
        <f t="shared" si="39"/>
        <v/>
      </c>
      <c r="CP18" s="220" t="str">
        <f t="shared" si="40"/>
        <v/>
      </c>
      <c r="CQ18" s="157" t="str">
        <f>IF($G18="","",$G18*(IF(ADRYr2!$AI18=CQ$4,ADRYr2!$AJ18,IF(ADRYr2!$AK18=CQ$4,ADRYr2!$AL18,IF(ADRYr2!$AM18=CQ$4,ADRYr2!$AN18,0))))*(INDEX(avoidedcosttbl2,$H18,CQ$2)+(($H18-ROUNDDOWN($H18,0))*(INDEX(avoidedcosttbl2,ROUNDUP($H18,0),CQ$2)-(INDEX(avoidedcosttbl2,ROUNDDOWN($H18,0),CQ$2)))))*ADRYr2!$P18*ADRYr2!$Q18*ADRYr2!$U18)</f>
        <v/>
      </c>
      <c r="CR18" s="28" t="str">
        <f>IF($G18="","",G18*(IF(ADRYr2!$AI18=CR$4,ADRYr2!$AJ18,IF(ADRYr2!$AK18=CR$4,ADRYr2!$AL18,IF(ADRYr2!$AM18=CR$4,ADRYr2!$AN18,0))))*(INDEX(avoidedcosttbl2,$H18,CR$2)+(($H18-ROUNDDOWN($H18,0))*(INDEX(avoidedcosttbl2,ROUNDUP($H18,0),CR$2)-(INDEX(avoidedcosttbl2,ROUNDDOWN($H18,0),CR$2)))))*ADRYr2!$P18*ADRYr2!$Q18*ADRYr2!$U18)</f>
        <v/>
      </c>
      <c r="CS18" s="28" t="str">
        <f>IF($G18="","",G18*(IF(ADRYr2!$AI18=CS$4,ADRYr2!$AJ18,IF(ADRYr2!$AK18=CS$4,ADRYr2!$AL18,IF(ADRYr2!$AM18=CS$4,ADRYr2!$AN18,0))))*(INDEX(avoidedcosttbl2,$H18,CS$2)+(($H18-ROUNDDOWN($H18,0))*(INDEX(avoidedcosttbl2,ROUNDUP($H18,0),CS$2)-(INDEX(avoidedcosttbl2,ROUNDDOWN($H18,0),CS$2)))))*ADRYr2!$P18*ADRYr2!$Q18*ADRYr2!$U18)</f>
        <v/>
      </c>
      <c r="CT18" s="28" t="str">
        <f t="shared" si="12"/>
        <v/>
      </c>
      <c r="CU18" s="28" t="str">
        <f>IF($G18="","",G18*(IF(ADRYr2!$AI18=CU$4,ADRYr2!$AJ18,IF(ADRYr2!$AK18=CU$4,ADRYr2!$AL18,IF(ADRYr2!$AM18=CU$4,ADRYr2!$AN18,0))))*(INDEX(avoidedcosttbl2,$H18,CU$2)+(($H18-ROUNDDOWN($H18,0))*(INDEX(avoidedcosttbl2,ROUNDUP($H18,0),CU$2)-(INDEX(avoidedcosttbl2,ROUNDDOWN($H18,0),CU$2)))))*ADRYr2!$P18*ADRYr2!$Q18*ADRYr2!$U18)</f>
        <v/>
      </c>
      <c r="CV18" s="28" t="str">
        <f>IF($G18="","",G18*(IF(ADRYr2!$AI18=CV$4,ADRYr2!$AJ18,IF(ADRYr2!$AK18=CV$4,ADRYr2!$AL18,IF(ADRYr2!$AM18=CV$4,ADRYr2!$AN18,0))))*(INDEX(avoidedcosttbl2,$H18,CV$2)+(($H18-ROUNDDOWN($H18,0))*(INDEX(avoidedcosttbl2,ROUNDUP($H18,0),CV$2)-(INDEX(avoidedcosttbl2,ROUNDDOWN($H18,0),CV$2)))))*ADRYr2!$P18*ADRYr2!$Q18*ADRYr2!$U18)</f>
        <v/>
      </c>
      <c r="CW18" s="28" t="str">
        <f>IF($G18="","",G18*(IF(ADRYr2!$AI18=CW$4,ADRYr2!$AJ18,IF(ADRYr2!$AK18=CW$4,ADRYr2!$AL18,IF(ADRYr2!$AM18=CW$4,ADRYr2!$AN18,0))))*(INDEX(avoidedcosttbl2,$H18,CW$2)+(($H18-ROUNDDOWN($H18,0))*(INDEX(avoidedcosttbl2,ROUNDUP($H18,0),CW$2)-(INDEX(avoidedcosttbl2,ROUNDDOWN($H18,0),CW$2)))))*ADRYr2!$P18*ADRYr2!$Q18*ADRYr2!$U18)</f>
        <v/>
      </c>
      <c r="CX18" s="28" t="str">
        <f>IF($G18="","",G18*(IF(ADRYr2!$AI18=CX$4,ADRYr2!$AJ18,IF(ADRYr2!$AK18=CX$4,ADRYr2!$AL18,IF(ADRYr2!$AM18=CX$4,ADRYr2!$AN18,0))))*(INDEX(avoidedcosttbl2,$H18,CX$2)+(($H18-ROUNDDOWN($H18,0))*(INDEX(avoidedcosttbl2,ROUNDUP($H18,0),CX$2)-(INDEX(avoidedcosttbl2,ROUNDDOWN($H18,0),CX$2)))))*ADRYr2!$P18*ADRYr2!$Q18*ADRYr2!$U18)</f>
        <v/>
      </c>
      <c r="CY18" s="28" t="str">
        <f t="shared" si="13"/>
        <v/>
      </c>
      <c r="CZ18" s="32" t="str">
        <f t="shared" si="14"/>
        <v/>
      </c>
      <c r="DA18" s="84" t="str">
        <f t="shared" si="41"/>
        <v/>
      </c>
      <c r="DB18" s="81" t="str">
        <f>IF(NEIadder="Yes",IF($G18="","",INDEX(Lookups!$G$70:$G$71,MATCH($A18,Lookups!$E$70:$E$71,0))*(SUM(CP18:CX18,BX18))),"")</f>
        <v/>
      </c>
      <c r="DC18" s="263" t="str">
        <f t="shared" si="15"/>
        <v/>
      </c>
      <c r="DD18" s="166" t="str">
        <f t="shared" si="16"/>
        <v/>
      </c>
      <c r="DE18" s="82">
        <f t="shared" si="42"/>
        <v>0</v>
      </c>
      <c r="DF18" s="615" t="str">
        <f>IF($G18="","",(1+WntPeakEnergyLL)*(INDEX(avoidedcosttbl2,$H18,DF$2)+(($H18-ROUNDDOWN($H18,0))*(INDEX(avoidedcosttbl2,ROUNDUP($H18,0),DF$2)-(INDEX(avoidedcosttbl2,ROUNDDOWN($H18,0),DF$2)))))*$P18*1000*ADRYr2!Z18)</f>
        <v/>
      </c>
      <c r="DG18" s="615" t="str">
        <f>IF($G18="","",(1+WntOffPeakEnergyLL)*(INDEX(avoidedcosttbl2,$H18,DG$2)+(($H18-ROUNDDOWN($H18,0))*(INDEX(avoidedcosttbl2,ROUNDUP($H18,0),DG$2)-(INDEX(avoidedcosttbl2,ROUNDDOWN($H18,0),DG$2)))))*$P18*1000*ADRYr2!AA18)</f>
        <v/>
      </c>
      <c r="DH18" s="615" t="str">
        <f>IF($G18="","",(1+SumPeakEnergyLL)*(INDEX(avoidedcosttbl2,$H18,DH$2)+(($H18-ROUNDDOWN($H18,0))*(INDEX(avoidedcosttbl2,ROUNDUP($H18,0),DH$2)-(INDEX(avoidedcosttbl2,ROUNDDOWN($H18,0),DH$2)))))*$P18*1000*ADRYr2!AB18)</f>
        <v/>
      </c>
      <c r="DI18" s="615" t="str">
        <f>IF($G18="","",(1+SumOffPeakEnergyLL)*(INDEX(avoidedcosttbl2,$H18,DI$2)+(($H18-ROUNDDOWN($H18,0))*(INDEX(avoidedcosttbl2,ROUNDUP($H18,0),DI$2)-(INDEX(avoidedcosttbl2,ROUNDDOWN($H18,0),DI$2)))))*$P18*1000*ADRYr2!AC18)</f>
        <v/>
      </c>
      <c r="DJ18" s="29" t="str">
        <f t="shared" si="43"/>
        <v/>
      </c>
      <c r="DK18" s="161" t="str">
        <f t="shared" si="44"/>
        <v/>
      </c>
      <c r="DL18" s="1189" t="str">
        <f t="shared" si="45"/>
        <v/>
      </c>
      <c r="DM18" s="1189" t="str">
        <f t="shared" si="46"/>
        <v/>
      </c>
      <c r="DN18" s="43" t="str">
        <f t="shared" si="47"/>
        <v/>
      </c>
      <c r="DO18" s="966" t="str">
        <f>IF($G18="","",ADRYr2!AQ18)</f>
        <v/>
      </c>
      <c r="DP18" s="968" t="str">
        <f>IF($G18="","",ADRYr2!AR18)</f>
        <v/>
      </c>
      <c r="DQ18" s="970" t="str">
        <f>IF($G18="","",IF($DP18="Yes",COLUMN(AESC!$L$10),IF($DP18="No","Using AvoidedDemand tab",IF($DP18="Mixed",COLUMN(AESC!$N$10)))))</f>
        <v/>
      </c>
      <c r="DR18" s="970" t="str">
        <f>IF($G18="","",IF($DP18="Yes",COLUMN(AESC!$P$10),IF($DP18="No","Using AvoidedDemand tab",IF($DP18="Mixed",COLUMN(AESC!$R$10)))))</f>
        <v/>
      </c>
      <c r="DS18" s="970" t="str">
        <f>IF($G18="","",IF($DP18="Yes",COLUMN(AESC!$S$10),IF($DP18="No",COLUMN(AESC!$T$10),IF($DP18="Mixed",COLUMN(AESC!$U$10)))))</f>
        <v/>
      </c>
      <c r="DT18" s="970" t="str">
        <f t="shared" si="48"/>
        <v/>
      </c>
      <c r="DU18" s="970" t="str">
        <f>IF($G18="","",ADRYr2!AS18)</f>
        <v/>
      </c>
      <c r="DV18" s="971" t="str">
        <f>IF($G18="","",ADRYr2!AT18)</f>
        <v/>
      </c>
      <c r="DW18" s="1162" t="str">
        <f>IF($G18="","",INDEX(AvoidedEnergy!$H$4:$H$10,MATCH($DO18,AvoidedEnergy!$A$4:$A$10,0)))</f>
        <v/>
      </c>
    </row>
    <row r="19" spans="1:127">
      <c r="A19" s="160" t="str">
        <f>IF(ADRYr2!$B19=0,"",ADRYr2!A19)</f>
        <v>B - Low-Income</v>
      </c>
      <c r="B19" s="9" t="str">
        <f>IF(ADRYr2!$B19=0,"",ADRYr2!B19)</f>
        <v>Home Energy Assistance</v>
      </c>
      <c r="C19" s="9" t="str">
        <f>IF(ADRYr2!$B19=0,"",ADRYr2!C19)</f>
        <v>Res Demand Response</v>
      </c>
      <c r="D19" s="9" t="str">
        <f>IF(ADRYr2!$B19=0,"",ADRYr2!D19)</f>
        <v>Storage Daily Dispatch Upfront Incentive (savings) Summer</v>
      </c>
      <c r="E19" s="9">
        <f>IF(ADRYr2!$B19=0,"",ADRYr2!E19)</f>
        <v>0</v>
      </c>
      <c r="F19" s="11" t="str">
        <f>IF(ADRYr2!$B19=0,"",ADRYr2!F19)</f>
        <v>Behavior</v>
      </c>
      <c r="G19" s="12" t="str">
        <f>IF(ADRYr2!$G19&lt;&gt;0,ADRYr2!G19,"")</f>
        <v/>
      </c>
      <c r="H19" s="960" t="str">
        <f>IF($G19="","",ROUND(ADRYr2!H19,0))</f>
        <v/>
      </c>
      <c r="I19" s="47" t="str">
        <f>IF($G19="","",ADRYr2!I19*ADRYr2!P19*G19)</f>
        <v/>
      </c>
      <c r="J19" s="47" t="str">
        <f>IF($G19="","",ADRYr2!J19*G19)</f>
        <v/>
      </c>
      <c r="K19" s="47" t="str">
        <f t="shared" si="17"/>
        <v/>
      </c>
      <c r="L19" s="27" t="str">
        <f>IF($G19="","",ADRYr2!V19*G19/1000)</f>
        <v/>
      </c>
      <c r="M19" s="27" t="str">
        <f>IF($G19="","",L19*ADRYr2!$Q19*ADRYr2!$R19)</f>
        <v/>
      </c>
      <c r="N19" s="27" t="str">
        <f t="shared" si="18"/>
        <v/>
      </c>
      <c r="O19" s="27" t="str">
        <f t="shared" si="19"/>
        <v/>
      </c>
      <c r="P19" s="27" t="str">
        <f>IF($G19="","",M19*ADRYr2!P19)</f>
        <v/>
      </c>
      <c r="Q19" s="27" t="str">
        <f t="shared" si="20"/>
        <v/>
      </c>
      <c r="R19" s="27" t="str">
        <f>IF($G19="","",$Q19*ADRYr2!Z19)</f>
        <v/>
      </c>
      <c r="S19" s="27" t="str">
        <f>IF($G19="","",$Q19*ADRYr2!AA19)</f>
        <v/>
      </c>
      <c r="T19" s="27" t="str">
        <f>IF($G19="","",$Q19*ADRYr2!AB19)</f>
        <v/>
      </c>
      <c r="U19" s="27" t="str">
        <f>IF($G19="","",$Q19*ADRYr2!AC19)</f>
        <v/>
      </c>
      <c r="V19" s="27" t="str">
        <f>IF($G19="","",G19*ADRYr2!$AD19*ADRYr2!$P19*ADRYr2!$Q19)</f>
        <v/>
      </c>
      <c r="W19" s="27" t="str">
        <f>IF($G19="","",$G19*ADRYr2!$AD19*ADRYr2!$AF19*ADRYr2!Q19*ADRYr2!$S19)</f>
        <v/>
      </c>
      <c r="X19" s="27" t="str">
        <f>IF($G19="","",$G19*ADRYr2!$AD19*ADRYr2!$AF19*ADRYr2!P19*ADRYr2!Q19*ADRYr2!$S19)</f>
        <v/>
      </c>
      <c r="Y19" s="27" t="str">
        <f>IF($G19="","",$G19*ADRYr2!$AD19*ADRYr2!$AE19*ADRYr2!Q19*ADRYr2!$T19)</f>
        <v/>
      </c>
      <c r="Z19" s="27" t="str">
        <f>IF($G19="","",$G19*ADRYr2!$AD19*ADRYr2!$AE19*ADRYr2!P19*ADRYr2!Q19*ADRYr2!$T19)</f>
        <v/>
      </c>
      <c r="AA19" s="45" t="str">
        <f>IF($G19="","",$G19*ADRYr2!$Q19*ADRYr2!$U19*(IF(IFERROR(SEARCH("NG", ADRYr2!$AI19),0),ADRYr2!$AJ19,0)+IF(IFERROR(SEARCH("NG", ADRYr2!$AK19),0),ADRYr2!$AL19,0)+IF(IFERROR(SEARCH("NG", ADRYr2!$AM19),0),ADRYr2!$AN19,0)))</f>
        <v/>
      </c>
      <c r="AB19" s="45" t="str">
        <f t="shared" si="21"/>
        <v/>
      </c>
      <c r="AC19" s="45">
        <f>IF($G19="",0,AA19*ADRYr2!$P19)</f>
        <v>0</v>
      </c>
      <c r="AD19" s="45" t="str">
        <f t="shared" si="22"/>
        <v/>
      </c>
      <c r="AE19" s="45" t="str">
        <f>IF($G19="","",$G19*ADRYr2!$Q19*ADRYr2!$U19*(IF(IFERROR(SEARCH("Oil", ADRYr2!$AI19), 0),ADRYr2!$AJ19,0)+IF(IFERROR(SEARCH("Oil", ADRYr2!$AK19), 0),ADRYr2!$AL19,0)+IF(IFERROR(SEARCH("Oil", ADRYr2!$AM19), 0),ADRYr2!$AN19,0)))</f>
        <v/>
      </c>
      <c r="AF19" s="45" t="str">
        <f t="shared" si="23"/>
        <v/>
      </c>
      <c r="AG19" s="45">
        <f>IF($G19="",0,AE19*ADRYr2!$P19)</f>
        <v>0</v>
      </c>
      <c r="AH19" s="45" t="str">
        <f t="shared" si="24"/>
        <v/>
      </c>
      <c r="AI19" s="45" t="str">
        <f>IF($G19="","",$G19*ADRYr2!$Q19*ADRYr2!$U19*(IF(ADRYr2!$AI19=Lookups!$E$116,ADRYr2!$AJ19,IF(ADRYr2!$AK19=Lookups!$E$116,ADRYr2!$AL19,IF(ADRYr2!$AM19=Lookups!$E$116,ADRYr2!$AN19,0)))))</f>
        <v/>
      </c>
      <c r="AJ19" s="45" t="str">
        <f t="shared" si="25"/>
        <v/>
      </c>
      <c r="AK19" s="45">
        <f>IF($G19="",0,AI19*ADRYr2!$P19)</f>
        <v>0</v>
      </c>
      <c r="AL19" s="45" t="str">
        <f t="shared" si="26"/>
        <v/>
      </c>
      <c r="AM19" s="45" t="str">
        <f>IF($G19="","",$G19*ADRYr2!$Q19*ADRYr2!$U19*(IF(ADRYr2!$AI19=Lookups!$E$115,ADRYr2!$AJ19,IF(ADRYr2!$AK19=Lookups!$E$115,ADRYr2!$AL19,IF(ADRYr2!$AM19=Lookups!$E$115,ADRYr2!$AN19,0)))))</f>
        <v/>
      </c>
      <c r="AN19" s="45" t="str">
        <f t="shared" si="27"/>
        <v/>
      </c>
      <c r="AO19" s="45">
        <f>IF($G19="",0,AM19*ADRYr2!$P19)</f>
        <v>0</v>
      </c>
      <c r="AP19" s="45" t="str">
        <f t="shared" si="28"/>
        <v/>
      </c>
      <c r="AQ19" s="45" t="str">
        <f>IF($G19="","",$G19*ADRYr2!$Q19*ADRYr2!$U19*(IF(ADRYr2!$AI19=Lookups!$E$117,ADRYr2!$AJ19,IF(ADRYr2!$AK19=Lookups!$E$117,ADRYr2!$AL19,IF(ADRYr2!$AM19=Lookups!$E$117,ADRYr2!$AN19,0)))))</f>
        <v/>
      </c>
      <c r="AR19" s="45" t="str">
        <f t="shared" si="29"/>
        <v/>
      </c>
      <c r="AS19" s="45" t="str">
        <f>IF($G19="","",AQ19*ADRYr2!$P19)</f>
        <v/>
      </c>
      <c r="AT19" s="45" t="str">
        <f t="shared" si="30"/>
        <v/>
      </c>
      <c r="AU19" s="45" t="str">
        <f>IF($G19="","",$G19*ADRYr2!$Q19*ADRYr2!$U19*(IF(ADRYr2!$AI19=Lookups!$E$118,ADRYr2!$AJ19,IF(ADRYr2!$AK19=Lookups!$E$118,ADRYr2!$AL19,IF(ADRYr2!$AM19=Lookups!$E$118,ADRYr2!$AN19,0)))))</f>
        <v/>
      </c>
      <c r="AV19" s="45" t="str">
        <f t="shared" si="31"/>
        <v/>
      </c>
      <c r="AW19" s="45" t="str">
        <f>IF($G19="","",AU19*ADRYr2!$P19)</f>
        <v/>
      </c>
      <c r="AX19" s="45" t="str">
        <f t="shared" si="32"/>
        <v/>
      </c>
      <c r="AY19" s="45">
        <f t="shared" si="33"/>
        <v>0</v>
      </c>
      <c r="AZ19" s="45">
        <f t="shared" si="33"/>
        <v>0</v>
      </c>
      <c r="BA19" s="101" t="str">
        <f>IF($G19="","",$G19*ADRYr2!$P19*ADRYr2!$Q19*ADRYr2!$U19*ADRYr2!AO19)</f>
        <v/>
      </c>
      <c r="BB19" s="102" t="str">
        <f>IF($G19="","",$G19*ADRYr2!$P19*ADRYr2!$Q19*ADRYr2!$U19*ADRYr2!AP19)</f>
        <v/>
      </c>
      <c r="BC19" s="100" t="str">
        <f t="shared" si="34"/>
        <v/>
      </c>
      <c r="BD19" s="961"/>
      <c r="BE19" s="961"/>
      <c r="BF19" s="961"/>
      <c r="BG19" s="961"/>
      <c r="BH19" s="962" t="str">
        <f t="shared" si="3"/>
        <v/>
      </c>
      <c r="BI19" s="961"/>
      <c r="BJ19" s="961"/>
      <c r="BK19" s="961"/>
      <c r="BL19" s="961"/>
      <c r="BM19" s="30" t="str">
        <f t="shared" si="4"/>
        <v/>
      </c>
      <c r="BN19" s="963" t="str">
        <f t="shared" si="5"/>
        <v/>
      </c>
      <c r="BO19" s="31" t="str">
        <f t="shared" si="35"/>
        <v/>
      </c>
      <c r="BP19" s="964" t="str">
        <f t="shared" si="6"/>
        <v/>
      </c>
      <c r="BQ19" s="28" t="str">
        <f t="shared" si="7"/>
        <v/>
      </c>
      <c r="BR19" s="964" t="str">
        <f t="shared" si="8"/>
        <v/>
      </c>
      <c r="BS19" s="964" t="str">
        <f t="shared" si="9"/>
        <v/>
      </c>
      <c r="BT19" s="28" t="str">
        <f t="shared" si="10"/>
        <v/>
      </c>
      <c r="BU19" s="28" t="str">
        <f t="shared" si="10"/>
        <v/>
      </c>
      <c r="BV19" s="28" t="str">
        <f t="shared" si="10"/>
        <v/>
      </c>
      <c r="BW19" s="29" t="str">
        <f t="shared" si="36"/>
        <v/>
      </c>
      <c r="BX19" s="29" t="str">
        <f t="shared" si="37"/>
        <v/>
      </c>
      <c r="BY19" s="28" t="str">
        <f>IF($G19="","",$G19*(IF(ADRYr2!$AI19=BY$4,ADRYr2!$AJ19,IF(ADRYr2!$AK19=BY$4,ADRYr2!$AL19,IF(ADRYr2!$AM19=BY$4,ADRYr2!$AN19,0))))*(INDEX(avoidedcosttbl2,$H19,BY$2)+(($H19-ROUNDDOWN($H19,0))*(INDEX(avoidedcosttbl2,ROUNDUP($H19,0),BY$2)-(INDEX(avoidedcosttbl2,ROUNDDOWN($H19,0),BY$2)))))*ADRYr2!P19*ADRYr2!Q19*ADRYr2!U19)</f>
        <v/>
      </c>
      <c r="BZ19" s="28" t="str">
        <f>IF($G19="","",$G19*(IF(ADRYr2!$AI19=BZ$4,ADRYr2!$AJ19,IF(ADRYr2!$AK19=BZ$4,ADRYr2!$AL19,IF(ADRYr2!$AM19=BZ$4,ADRYr2!$AN19,0))))*(INDEX(avoidedcosttbl2,$H19,BZ$2)+(($H19-ROUNDDOWN($H19,0))*(INDEX(avoidedcosttbl2,ROUNDUP($H19,0),BZ$2)-(INDEX(avoidedcosttbl2,ROUNDDOWN($H19,0),BZ$2)))))*ADRYr2!P19*ADRYr2!Q19*ADRYr2!U19)</f>
        <v/>
      </c>
      <c r="CA19" s="28" t="str">
        <f>IF($G19="","",$G19*(IF(ADRYr2!$AI19=CA$4,ADRYr2!$AJ19,IF(ADRYr2!$AK19=CA$4,ADRYr2!$AL19,IF(ADRYr2!$AM19=CA$4,ADRYr2!$AN19,0))))*(INDEX(avoidedcosttbl2,$H19,CA$2)+(($H19-ROUNDDOWN($H19,0))*(INDEX(avoidedcosttbl2,ROUNDUP($H19,0),CA$2)-(INDEX(avoidedcosttbl2,ROUNDDOWN($H19,0),CA$2)))))*ADRYr2!P19*ADRYr2!Q19*ADRYr2!U19)</f>
        <v/>
      </c>
      <c r="CB19" s="28" t="str">
        <f>IF($G19="","",$G19*(IF(ADRYr2!$AI19=CB$4,ADRYr2!$AJ19,IF(ADRYr2!$AK19=CB$4,ADRYr2!$AL19,IF(ADRYr2!$AM19=CB$4,ADRYr2!$AN19,0))))*(INDEX(avoidedcosttbl2,$H19,CB$2)+(($H19-ROUNDDOWN($H19,0))*(INDEX(avoidedcosttbl2,ROUNDUP($H19,0),CB$2)-(INDEX(avoidedcosttbl2,ROUNDDOWN($H19,0),CB$2)))))*ADRYr2!P19*ADRYr2!Q19*ADRYr2!U19)</f>
        <v/>
      </c>
      <c r="CC19" s="28" t="str">
        <f>IF($G19="","",$G19*(IF(ADRYr2!$AI19=CC$4,ADRYr2!$AJ19,IF(ADRYr2!$AK19=CC$4,ADRYr2!$AL19,IF(ADRYr2!$AM19=CC$4,ADRYr2!$AN19,0))))*(INDEX(avoidedcosttbl2,$H19,CC$2)+(($H19-ROUNDDOWN($H19,0))*(INDEX(avoidedcosttbl2,ROUNDUP($H19,0),CC$2)-(INDEX(avoidedcosttbl2,ROUNDDOWN($H19,0),CC$2)))))*ADRYr2!P19*ADRYr2!Q19*ADRYr2!U19)</f>
        <v/>
      </c>
      <c r="CD19" s="28" t="str">
        <f>IF($G19="","",$G19*(IF(ADRYr2!$AI19=CD$4,ADRYr2!$AJ19,IF(ADRYr2!$AK19=CD$4,ADRYr2!$AL19,IF(ADRYr2!$AM19=CD$4,ADRYr2!$AN19,0))))*(INDEX(avoidedcosttbl2,$H19,CD$2)+(($H19-ROUNDDOWN($H19,0))*(INDEX(avoidedcosttbl2,ROUNDUP($H19,0),CD$2)-(INDEX(avoidedcosttbl2,ROUNDDOWN($H19,0),CD$2)))))*ADRYr2!P19*ADRYr2!Q19*ADRYr2!U19)</f>
        <v/>
      </c>
      <c r="CE19" s="28" t="str">
        <f>IF($G19="","",$G19*(IF(ADRYr2!$AI19=CE$4,ADRYr2!$AJ19,IF(ADRYr2!$AK19=CE$4,ADRYr2!$AL19,IF(ADRYr2!$AM19=CE$4,ADRYr2!$AN19,0))))*(INDEX(avoidedcosttbl2,$H19,CE$2)+(($H19-ROUNDDOWN($H19,0))*(INDEX(avoidedcosttbl2,ROUNDUP($H19,0),CE$2)-(INDEX(avoidedcosttbl2,ROUNDDOWN($H19,0),CE$2)))))*ADRYr2!P19*ADRYr2!Q19*ADRYr2!U19)</f>
        <v/>
      </c>
      <c r="CF19" s="41" t="str">
        <f t="shared" si="38"/>
        <v/>
      </c>
      <c r="CG19" s="30" t="str">
        <f t="shared" si="11"/>
        <v/>
      </c>
      <c r="CH19" s="30" t="str">
        <f>IF($G19="","",$G19*(IF(ADRYr2!$AI19=BY$4,ADRYr2!$AJ19,IF(ADRYr2!$AK19=BY$4,ADRYr2!$AL19,IF(ADRYr2!$AM19=BY$4,ADRYr2!$AN19,0))))*(INDEX(avoidedcosttbl2,$H19,CH$2)+(($H19-ROUNDDOWN($H19,0))*(INDEX(avoidedcosttbl2,ROUNDUP($H19,0),CH$2)-(INDEX(avoidedcosttbl2,ROUNDDOWN($H19,0),CH$2)))))*ADRYr2!P19*ADRYr2!Q19*ADRYr2!U19)</f>
        <v/>
      </c>
      <c r="CI19" s="30" t="str">
        <f>IF($G19="","",$G19*(IF(ADRYr2!$AI19=BZ$4,ADRYr2!$AJ19,IF(ADRYr2!$AK19=BZ$4,ADRYr2!$AL19,IF(ADRYr2!$AM19=BZ$4,ADRYr2!$AN19,0))))*(INDEX(avoidedcosttbl2,$H19,CI$2)+(($H19-ROUNDDOWN($H19,0))*(INDEX(avoidedcosttbl2,ROUNDUP($H19,0),CI$2)-(INDEX(avoidedcosttbl2,ROUNDDOWN($H19,0),CI$2)))))*ADRYr2!P19*ADRYr2!Q19*ADRYr2!U19)</f>
        <v/>
      </c>
      <c r="CJ19" s="30" t="str">
        <f>IF($G19="","",$G19*(IF(ADRYr2!$AI19=CA$4,ADRYr2!$AJ19,IF(ADRYr2!$AK19=CA$4,ADRYr2!$AL19,IF(ADRYr2!$AM19=CA$4,ADRYr2!$AN19,0))))*(INDEX(avoidedcosttbl2,$H19,CJ$2)+(($H19-ROUNDDOWN($H19,0))*(INDEX(avoidedcosttbl2,ROUNDUP($H19,0),CJ$2)-(INDEX(avoidedcosttbl2,ROUNDDOWN($H19,0),CJ$2)))))*ADRYr2!P19*ADRYr2!Q19*ADRYr2!U19)</f>
        <v/>
      </c>
      <c r="CK19" s="30" t="str">
        <f>IF($G19="","",$G19*(IF(ADRYr2!$AI19=CB$4,ADRYr2!$AJ19,IF(ADRYr2!$AK19=CB$4,ADRYr2!$AL19,IF(ADRYr2!$AM19=CB$4,ADRYr2!$AN19,0))))*(INDEX(avoidedcosttbl2,$H19,CK$2)+(($H19-ROUNDDOWN($H19,0))*(INDEX(avoidedcosttbl2,ROUNDUP($H19,0),CK$2)-(INDEX(avoidedcosttbl2,ROUNDDOWN($H19,0),CK$2)))))*ADRYr2!P19*ADRYr2!Q19*ADRYr2!U19)</f>
        <v/>
      </c>
      <c r="CL19" s="30" t="str">
        <f>IF($G19="","",$G19*(IF(ADRYr2!$AI19=CC$4,ADRYr2!$AJ19,IF(ADRYr2!$AK19=CC$4,ADRYr2!$AL19,IF(ADRYr2!$AM19=CC$4,ADRYr2!$AN19,0))))*(INDEX(avoidedcosttbl2,$H19,CL$2)+(($H19-ROUNDDOWN($H19,0))*(INDEX(avoidedcosttbl2,ROUNDUP($H19,0),CL$2)-(INDEX(avoidedcosttbl2,ROUNDDOWN($H19,0),CL$2)))))*ADRYr2!P19*ADRYr2!Q19*ADRYr2!U19)</f>
        <v/>
      </c>
      <c r="CM19" s="30" t="str">
        <f>IF($G19="","",$G19*(IF(ADRYr2!$AI19=CD$4,ADRYr2!$AJ19,IF(ADRYr2!$AK19=CD$4,ADRYr2!$AL19,IF(ADRYr2!$AM19=CD$4,ADRYr2!$AN19,0))))*(INDEX(avoidedcosttbl2,$H19,CM$2)+(($H19-ROUNDDOWN($H19,0))*(INDEX(avoidedcosttbl2,ROUNDUP($H19,0),CM$2)-(INDEX(avoidedcosttbl2,ROUNDDOWN($H19,0),CM$2)))))*ADRYr2!P19*ADRYr2!Q19*ADRYr2!U19)</f>
        <v/>
      </c>
      <c r="CN19" s="30" t="str">
        <f>IF($G19="","",$G19*(IF(ADRYr2!$AI19=CE$4,ADRYr2!$AJ19,IF(ADRYr2!$AK19=CE$4,ADRYr2!$AL19,IF(ADRYr2!$AM19=CE$4,ADRYr2!$AN19,0))))*(INDEX(avoidedcosttbl2,$H19,CN$2)+(($H19-ROUNDDOWN($H19,0))*(INDEX(avoidedcosttbl2,ROUNDUP($H19,0),CN$2)-(INDEX(avoidedcosttbl2,ROUNDDOWN($H19,0),CN$2)))))*ADRYr2!P19*ADRYr2!Q19*ADRYr2!U19)</f>
        <v/>
      </c>
      <c r="CO19" s="220" t="str">
        <f t="shared" si="39"/>
        <v/>
      </c>
      <c r="CP19" s="220" t="str">
        <f t="shared" si="40"/>
        <v/>
      </c>
      <c r="CQ19" s="157" t="str">
        <f>IF($G19="","",$G19*(IF(ADRYr2!$AI19=CQ$4,ADRYr2!$AJ19,IF(ADRYr2!$AK19=CQ$4,ADRYr2!$AL19,IF(ADRYr2!$AM19=CQ$4,ADRYr2!$AN19,0))))*(INDEX(avoidedcosttbl2,$H19,CQ$2)+(($H19-ROUNDDOWN($H19,0))*(INDEX(avoidedcosttbl2,ROUNDUP($H19,0),CQ$2)-(INDEX(avoidedcosttbl2,ROUNDDOWN($H19,0),CQ$2)))))*ADRYr2!$P19*ADRYr2!$Q19*ADRYr2!$U19)</f>
        <v/>
      </c>
      <c r="CR19" s="28" t="str">
        <f>IF($G19="","",G19*(IF(ADRYr2!$AI19=CR$4,ADRYr2!$AJ19,IF(ADRYr2!$AK19=CR$4,ADRYr2!$AL19,IF(ADRYr2!$AM19=CR$4,ADRYr2!$AN19,0))))*(INDEX(avoidedcosttbl2,$H19,CR$2)+(($H19-ROUNDDOWN($H19,0))*(INDEX(avoidedcosttbl2,ROUNDUP($H19,0),CR$2)-(INDEX(avoidedcosttbl2,ROUNDDOWN($H19,0),CR$2)))))*ADRYr2!$P19*ADRYr2!$Q19*ADRYr2!$U19)</f>
        <v/>
      </c>
      <c r="CS19" s="28" t="str">
        <f>IF($G19="","",G19*(IF(ADRYr2!$AI19=CS$4,ADRYr2!$AJ19,IF(ADRYr2!$AK19=CS$4,ADRYr2!$AL19,IF(ADRYr2!$AM19=CS$4,ADRYr2!$AN19,0))))*(INDEX(avoidedcosttbl2,$H19,CS$2)+(($H19-ROUNDDOWN($H19,0))*(INDEX(avoidedcosttbl2,ROUNDUP($H19,0),CS$2)-(INDEX(avoidedcosttbl2,ROUNDDOWN($H19,0),CS$2)))))*ADRYr2!$P19*ADRYr2!$Q19*ADRYr2!$U19)</f>
        <v/>
      </c>
      <c r="CT19" s="28" t="str">
        <f t="shared" si="12"/>
        <v/>
      </c>
      <c r="CU19" s="28" t="str">
        <f>IF($G19="","",G19*(IF(ADRYr2!$AI19=CU$4,ADRYr2!$AJ19,IF(ADRYr2!$AK19=CU$4,ADRYr2!$AL19,IF(ADRYr2!$AM19=CU$4,ADRYr2!$AN19,0))))*(INDEX(avoidedcosttbl2,$H19,CU$2)+(($H19-ROUNDDOWN($H19,0))*(INDEX(avoidedcosttbl2,ROUNDUP($H19,0),CU$2)-(INDEX(avoidedcosttbl2,ROUNDDOWN($H19,0),CU$2)))))*ADRYr2!$P19*ADRYr2!$Q19*ADRYr2!$U19)</f>
        <v/>
      </c>
      <c r="CV19" s="28" t="str">
        <f>IF($G19="","",G19*(IF(ADRYr2!$AI19=CV$4,ADRYr2!$AJ19,IF(ADRYr2!$AK19=CV$4,ADRYr2!$AL19,IF(ADRYr2!$AM19=CV$4,ADRYr2!$AN19,0))))*(INDEX(avoidedcosttbl2,$H19,CV$2)+(($H19-ROUNDDOWN($H19,0))*(INDEX(avoidedcosttbl2,ROUNDUP($H19,0),CV$2)-(INDEX(avoidedcosttbl2,ROUNDDOWN($H19,0),CV$2)))))*ADRYr2!$P19*ADRYr2!$Q19*ADRYr2!$U19)</f>
        <v/>
      </c>
      <c r="CW19" s="28" t="str">
        <f>IF($G19="","",G19*(IF(ADRYr2!$AI19=CW$4,ADRYr2!$AJ19,IF(ADRYr2!$AK19=CW$4,ADRYr2!$AL19,IF(ADRYr2!$AM19=CW$4,ADRYr2!$AN19,0))))*(INDEX(avoidedcosttbl2,$H19,CW$2)+(($H19-ROUNDDOWN($H19,0))*(INDEX(avoidedcosttbl2,ROUNDUP($H19,0),CW$2)-(INDEX(avoidedcosttbl2,ROUNDDOWN($H19,0),CW$2)))))*ADRYr2!$P19*ADRYr2!$Q19*ADRYr2!$U19)</f>
        <v/>
      </c>
      <c r="CX19" s="28" t="str">
        <f>IF($G19="","",G19*(IF(ADRYr2!$AI19=CX$4,ADRYr2!$AJ19,IF(ADRYr2!$AK19=CX$4,ADRYr2!$AL19,IF(ADRYr2!$AM19=CX$4,ADRYr2!$AN19,0))))*(INDEX(avoidedcosttbl2,$H19,CX$2)+(($H19-ROUNDDOWN($H19,0))*(INDEX(avoidedcosttbl2,ROUNDUP($H19,0),CX$2)-(INDEX(avoidedcosttbl2,ROUNDDOWN($H19,0),CX$2)))))*ADRYr2!$P19*ADRYr2!$Q19*ADRYr2!$U19)</f>
        <v/>
      </c>
      <c r="CY19" s="28" t="str">
        <f t="shared" si="13"/>
        <v/>
      </c>
      <c r="CZ19" s="32" t="str">
        <f t="shared" si="14"/>
        <v/>
      </c>
      <c r="DA19" s="84" t="str">
        <f t="shared" si="41"/>
        <v/>
      </c>
      <c r="DB19" s="81" t="str">
        <f>IF(NEIadder="Yes",IF($G19="","",INDEX(Lookups!$G$70:$G$71,MATCH($A19,Lookups!$E$70:$E$71,0))*(SUM(CP19:CX19,BX19))),"")</f>
        <v/>
      </c>
      <c r="DC19" s="263" t="str">
        <f t="shared" si="15"/>
        <v/>
      </c>
      <c r="DD19" s="166" t="str">
        <f t="shared" si="16"/>
        <v/>
      </c>
      <c r="DE19" s="82">
        <f t="shared" si="42"/>
        <v>0</v>
      </c>
      <c r="DF19" s="615" t="str">
        <f>IF($G19="","",(1+WntPeakEnergyLL)*(INDEX(avoidedcosttbl2,$H19,DF$2)+(($H19-ROUNDDOWN($H19,0))*(INDEX(avoidedcosttbl2,ROUNDUP($H19,0),DF$2)-(INDEX(avoidedcosttbl2,ROUNDDOWN($H19,0),DF$2)))))*$P19*1000*ADRYr2!Z19)</f>
        <v/>
      </c>
      <c r="DG19" s="615" t="str">
        <f>IF($G19="","",(1+WntOffPeakEnergyLL)*(INDEX(avoidedcosttbl2,$H19,DG$2)+(($H19-ROUNDDOWN($H19,0))*(INDEX(avoidedcosttbl2,ROUNDUP($H19,0),DG$2)-(INDEX(avoidedcosttbl2,ROUNDDOWN($H19,0),DG$2)))))*$P19*1000*ADRYr2!AA19)</f>
        <v/>
      </c>
      <c r="DH19" s="615" t="str">
        <f>IF($G19="","",(1+SumPeakEnergyLL)*(INDEX(avoidedcosttbl2,$H19,DH$2)+(($H19-ROUNDDOWN($H19,0))*(INDEX(avoidedcosttbl2,ROUNDUP($H19,0),DH$2)-(INDEX(avoidedcosttbl2,ROUNDDOWN($H19,0),DH$2)))))*$P19*1000*ADRYr2!AB19)</f>
        <v/>
      </c>
      <c r="DI19" s="615" t="str">
        <f>IF($G19="","",(1+SumOffPeakEnergyLL)*(INDEX(avoidedcosttbl2,$H19,DI$2)+(($H19-ROUNDDOWN($H19,0))*(INDEX(avoidedcosttbl2,ROUNDUP($H19,0),DI$2)-(INDEX(avoidedcosttbl2,ROUNDDOWN($H19,0),DI$2)))))*$P19*1000*ADRYr2!AC19)</f>
        <v/>
      </c>
      <c r="DJ19" s="29" t="str">
        <f t="shared" si="43"/>
        <v/>
      </c>
      <c r="DK19" s="161" t="str">
        <f t="shared" si="44"/>
        <v/>
      </c>
      <c r="DL19" s="1189" t="str">
        <f t="shared" si="45"/>
        <v/>
      </c>
      <c r="DM19" s="1189" t="str">
        <f t="shared" si="46"/>
        <v/>
      </c>
      <c r="DN19" s="43" t="str">
        <f t="shared" si="47"/>
        <v/>
      </c>
      <c r="DO19" s="966" t="str">
        <f>IF($G19="","",ADRYr2!AQ19)</f>
        <v/>
      </c>
      <c r="DP19" s="968" t="str">
        <f>IF($G19="","",ADRYr2!AR19)</f>
        <v/>
      </c>
      <c r="DQ19" s="970" t="str">
        <f>IF($G19="","",IF($DP19="Yes",COLUMN(AESC!$L$10),IF($DP19="No","Using AvoidedDemand tab",IF($DP19="Mixed",COLUMN(AESC!$N$10)))))</f>
        <v/>
      </c>
      <c r="DR19" s="970" t="str">
        <f>IF($G19="","",IF($DP19="Yes",COLUMN(AESC!$P$10),IF($DP19="No","Using AvoidedDemand tab",IF($DP19="Mixed",COLUMN(AESC!$R$10)))))</f>
        <v/>
      </c>
      <c r="DS19" s="970" t="str">
        <f>IF($G19="","",IF($DP19="Yes",COLUMN(AESC!$S$10),IF($DP19="No",COLUMN(AESC!$T$10),IF($DP19="Mixed",COLUMN(AESC!$U$10)))))</f>
        <v/>
      </c>
      <c r="DT19" s="970" t="str">
        <f t="shared" si="48"/>
        <v/>
      </c>
      <c r="DU19" s="970" t="str">
        <f>IF($G19="","",ADRYr2!AS19)</f>
        <v/>
      </c>
      <c r="DV19" s="971" t="str">
        <f>IF($G19="","",ADRYr2!AT19)</f>
        <v/>
      </c>
      <c r="DW19" s="1162" t="str">
        <f>IF($G19="","",INDEX(AvoidedEnergy!$H$4:$H$10,MATCH($DO19,AvoidedEnergy!$A$4:$A$10,0)))</f>
        <v/>
      </c>
    </row>
    <row r="20" spans="1:127">
      <c r="A20" s="160" t="str">
        <f>IF(ADRYr2!$B20=0,"",ADRYr2!A20)</f>
        <v>B - Low-Income</v>
      </c>
      <c r="B20" s="9" t="str">
        <f>IF(ADRYr2!$B20=0,"",ADRYr2!B20)</f>
        <v>Home Energy Assistance</v>
      </c>
      <c r="C20" s="9" t="str">
        <f>IF(ADRYr2!$B20=0,"",ADRYr2!C20)</f>
        <v>Res Demand Response</v>
      </c>
      <c r="D20" s="9" t="str">
        <f>IF(ADRYr2!$B20=0,"",ADRYr2!D20)</f>
        <v>Storage Daily Dispatch Upfront Incentive (consumption) Summer</v>
      </c>
      <c r="E20" s="9">
        <f>IF(ADRYr2!$B20=0,"",ADRYr2!E20)</f>
        <v>0</v>
      </c>
      <c r="F20" s="11" t="str">
        <f>IF(ADRYr2!$B20=0,"",ADRYr2!F20)</f>
        <v>Behavior</v>
      </c>
      <c r="G20" s="12" t="str">
        <f>IF(ADRYr2!$G20&lt;&gt;0,ADRYr2!G20,"")</f>
        <v/>
      </c>
      <c r="H20" s="960" t="str">
        <f>IF($G20="","",ROUND(ADRYr2!H20,0))</f>
        <v/>
      </c>
      <c r="I20" s="47" t="str">
        <f>IF($G20="","",ADRYr2!I20*ADRYr2!P20*G20)</f>
        <v/>
      </c>
      <c r="J20" s="47" t="str">
        <f>IF($G20="","",ADRYr2!J20*G20)</f>
        <v/>
      </c>
      <c r="K20" s="47" t="str">
        <f t="shared" si="17"/>
        <v/>
      </c>
      <c r="L20" s="27" t="str">
        <f>IF($G20="","",ADRYr2!V20*G20/1000)</f>
        <v/>
      </c>
      <c r="M20" s="27" t="str">
        <f>IF($G20="","",L20*ADRYr2!$Q20*ADRYr2!$R20)</f>
        <v/>
      </c>
      <c r="N20" s="27" t="str">
        <f t="shared" si="18"/>
        <v/>
      </c>
      <c r="O20" s="27" t="str">
        <f t="shared" si="19"/>
        <v/>
      </c>
      <c r="P20" s="27" t="str">
        <f>IF($G20="","",M20*ADRYr2!P20)</f>
        <v/>
      </c>
      <c r="Q20" s="27" t="str">
        <f t="shared" si="20"/>
        <v/>
      </c>
      <c r="R20" s="27" t="str">
        <f>IF($G20="","",$Q20*ADRYr2!Z20)</f>
        <v/>
      </c>
      <c r="S20" s="27" t="str">
        <f>IF($G20="","",$Q20*ADRYr2!AA20)</f>
        <v/>
      </c>
      <c r="T20" s="27" t="str">
        <f>IF($G20="","",$Q20*ADRYr2!AB20)</f>
        <v/>
      </c>
      <c r="U20" s="27" t="str">
        <f>IF($G20="","",$Q20*ADRYr2!AC20)</f>
        <v/>
      </c>
      <c r="V20" s="27" t="str">
        <f>IF($G20="","",G20*ADRYr2!$AD20*ADRYr2!$P20*ADRYr2!$Q20)</f>
        <v/>
      </c>
      <c r="W20" s="27" t="str">
        <f>IF($G20="","",$G20*ADRYr2!$AD20*ADRYr2!$AF20*ADRYr2!Q20*ADRYr2!$S20)</f>
        <v/>
      </c>
      <c r="X20" s="27" t="str">
        <f>IF($G20="","",$G20*ADRYr2!$AD20*ADRYr2!$AF20*ADRYr2!P20*ADRYr2!Q20*ADRYr2!$S20)</f>
        <v/>
      </c>
      <c r="Y20" s="27" t="str">
        <f>IF($G20="","",$G20*ADRYr2!$AD20*ADRYr2!$AE20*ADRYr2!Q20*ADRYr2!$T20)</f>
        <v/>
      </c>
      <c r="Z20" s="27" t="str">
        <f>IF($G20="","",$G20*ADRYr2!$AD20*ADRYr2!$AE20*ADRYr2!P20*ADRYr2!Q20*ADRYr2!$T20)</f>
        <v/>
      </c>
      <c r="AA20" s="45" t="str">
        <f>IF($G20="","",$G20*ADRYr2!$Q20*ADRYr2!$U20*(IF(IFERROR(SEARCH("NG", ADRYr2!$AI20),0),ADRYr2!$AJ20,0)+IF(IFERROR(SEARCH("NG", ADRYr2!$AK20),0),ADRYr2!$AL20,0)+IF(IFERROR(SEARCH("NG", ADRYr2!$AM20),0),ADRYr2!$AN20,0)))</f>
        <v/>
      </c>
      <c r="AB20" s="45" t="str">
        <f t="shared" si="21"/>
        <v/>
      </c>
      <c r="AC20" s="45">
        <f>IF($G20="",0,AA20*ADRYr2!$P20)</f>
        <v>0</v>
      </c>
      <c r="AD20" s="45" t="str">
        <f t="shared" si="22"/>
        <v/>
      </c>
      <c r="AE20" s="45" t="str">
        <f>IF($G20="","",$G20*ADRYr2!$Q20*ADRYr2!$U20*(IF(IFERROR(SEARCH("Oil", ADRYr2!$AI20), 0),ADRYr2!$AJ20,0)+IF(IFERROR(SEARCH("Oil", ADRYr2!$AK20), 0),ADRYr2!$AL20,0)+IF(IFERROR(SEARCH("Oil", ADRYr2!$AM20), 0),ADRYr2!$AN20,0)))</f>
        <v/>
      </c>
      <c r="AF20" s="45" t="str">
        <f t="shared" si="23"/>
        <v/>
      </c>
      <c r="AG20" s="45">
        <f>IF($G20="",0,AE20*ADRYr2!$P20)</f>
        <v>0</v>
      </c>
      <c r="AH20" s="45" t="str">
        <f t="shared" si="24"/>
        <v/>
      </c>
      <c r="AI20" s="45" t="str">
        <f>IF($G20="","",$G20*ADRYr2!$Q20*ADRYr2!$U20*(IF(ADRYr2!$AI20=Lookups!$E$116,ADRYr2!$AJ20,IF(ADRYr2!$AK20=Lookups!$E$116,ADRYr2!$AL20,IF(ADRYr2!$AM20=Lookups!$E$116,ADRYr2!$AN20,0)))))</f>
        <v/>
      </c>
      <c r="AJ20" s="45" t="str">
        <f t="shared" si="25"/>
        <v/>
      </c>
      <c r="AK20" s="45">
        <f>IF($G20="",0,AI20*ADRYr2!$P20)</f>
        <v>0</v>
      </c>
      <c r="AL20" s="45" t="str">
        <f t="shared" si="26"/>
        <v/>
      </c>
      <c r="AM20" s="45" t="str">
        <f>IF($G20="","",$G20*ADRYr2!$Q20*ADRYr2!$U20*(IF(ADRYr2!$AI20=Lookups!$E$115,ADRYr2!$AJ20,IF(ADRYr2!$AK20=Lookups!$E$115,ADRYr2!$AL20,IF(ADRYr2!$AM20=Lookups!$E$115,ADRYr2!$AN20,0)))))</f>
        <v/>
      </c>
      <c r="AN20" s="45" t="str">
        <f t="shared" si="27"/>
        <v/>
      </c>
      <c r="AO20" s="45">
        <f>IF($G20="",0,AM20*ADRYr2!$P20)</f>
        <v>0</v>
      </c>
      <c r="AP20" s="45" t="str">
        <f t="shared" si="28"/>
        <v/>
      </c>
      <c r="AQ20" s="45" t="str">
        <f>IF($G20="","",$G20*ADRYr2!$Q20*ADRYr2!$U20*(IF(ADRYr2!$AI20=Lookups!$E$117,ADRYr2!$AJ20,IF(ADRYr2!$AK20=Lookups!$E$117,ADRYr2!$AL20,IF(ADRYr2!$AM20=Lookups!$E$117,ADRYr2!$AN20,0)))))</f>
        <v/>
      </c>
      <c r="AR20" s="45" t="str">
        <f t="shared" si="29"/>
        <v/>
      </c>
      <c r="AS20" s="45" t="str">
        <f>IF($G20="","",AQ20*ADRYr2!$P20)</f>
        <v/>
      </c>
      <c r="AT20" s="45" t="str">
        <f t="shared" si="30"/>
        <v/>
      </c>
      <c r="AU20" s="45" t="str">
        <f>IF($G20="","",$G20*ADRYr2!$Q20*ADRYr2!$U20*(IF(ADRYr2!$AI20=Lookups!$E$118,ADRYr2!$AJ20,IF(ADRYr2!$AK20=Lookups!$E$118,ADRYr2!$AL20,IF(ADRYr2!$AM20=Lookups!$E$118,ADRYr2!$AN20,0)))))</f>
        <v/>
      </c>
      <c r="AV20" s="45" t="str">
        <f t="shared" si="31"/>
        <v/>
      </c>
      <c r="AW20" s="45" t="str">
        <f>IF($G20="","",AU20*ADRYr2!$P20)</f>
        <v/>
      </c>
      <c r="AX20" s="45" t="str">
        <f t="shared" si="32"/>
        <v/>
      </c>
      <c r="AY20" s="45">
        <f t="shared" si="33"/>
        <v>0</v>
      </c>
      <c r="AZ20" s="45">
        <f t="shared" si="33"/>
        <v>0</v>
      </c>
      <c r="BA20" s="101" t="str">
        <f>IF($G20="","",$G20*ADRYr2!$P20*ADRYr2!$Q20*ADRYr2!$U20*ADRYr2!AO20)</f>
        <v/>
      </c>
      <c r="BB20" s="102" t="str">
        <f>IF($G20="","",$G20*ADRYr2!$P20*ADRYr2!$Q20*ADRYr2!$U20*ADRYr2!AP20)</f>
        <v/>
      </c>
      <c r="BC20" s="100" t="str">
        <f t="shared" si="34"/>
        <v/>
      </c>
      <c r="BD20" s="961"/>
      <c r="BE20" s="961"/>
      <c r="BF20" s="961"/>
      <c r="BG20" s="961"/>
      <c r="BH20" s="962" t="str">
        <f t="shared" si="3"/>
        <v/>
      </c>
      <c r="BI20" s="961"/>
      <c r="BJ20" s="961"/>
      <c r="BK20" s="961"/>
      <c r="BL20" s="961"/>
      <c r="BM20" s="30" t="str">
        <f t="shared" si="4"/>
        <v/>
      </c>
      <c r="BN20" s="963" t="str">
        <f t="shared" si="5"/>
        <v/>
      </c>
      <c r="BO20" s="31" t="str">
        <f t="shared" si="35"/>
        <v/>
      </c>
      <c r="BP20" s="964" t="str">
        <f t="shared" si="6"/>
        <v/>
      </c>
      <c r="BQ20" s="28" t="str">
        <f t="shared" si="7"/>
        <v/>
      </c>
      <c r="BR20" s="964" t="str">
        <f t="shared" si="8"/>
        <v/>
      </c>
      <c r="BS20" s="964" t="str">
        <f t="shared" si="9"/>
        <v/>
      </c>
      <c r="BT20" s="28" t="str">
        <f t="shared" si="10"/>
        <v/>
      </c>
      <c r="BU20" s="28" t="str">
        <f t="shared" si="10"/>
        <v/>
      </c>
      <c r="BV20" s="28" t="str">
        <f t="shared" si="10"/>
        <v/>
      </c>
      <c r="BW20" s="29" t="str">
        <f t="shared" si="36"/>
        <v/>
      </c>
      <c r="BX20" s="29" t="str">
        <f t="shared" si="37"/>
        <v/>
      </c>
      <c r="BY20" s="28" t="str">
        <f>IF($G20="","",$G20*(IF(ADRYr2!$AI20=BY$4,ADRYr2!$AJ20,IF(ADRYr2!$AK20=BY$4,ADRYr2!$AL20,IF(ADRYr2!$AM20=BY$4,ADRYr2!$AN20,0))))*(INDEX(avoidedcosttbl2,$H20,BY$2)+(($H20-ROUNDDOWN($H20,0))*(INDEX(avoidedcosttbl2,ROUNDUP($H20,0),BY$2)-(INDEX(avoidedcosttbl2,ROUNDDOWN($H20,0),BY$2)))))*ADRYr2!P20*ADRYr2!Q20*ADRYr2!U20)</f>
        <v/>
      </c>
      <c r="BZ20" s="28" t="str">
        <f>IF($G20="","",$G20*(IF(ADRYr2!$AI20=BZ$4,ADRYr2!$AJ20,IF(ADRYr2!$AK20=BZ$4,ADRYr2!$AL20,IF(ADRYr2!$AM20=BZ$4,ADRYr2!$AN20,0))))*(INDEX(avoidedcosttbl2,$H20,BZ$2)+(($H20-ROUNDDOWN($H20,0))*(INDEX(avoidedcosttbl2,ROUNDUP($H20,0),BZ$2)-(INDEX(avoidedcosttbl2,ROUNDDOWN($H20,0),BZ$2)))))*ADRYr2!P20*ADRYr2!Q20*ADRYr2!U20)</f>
        <v/>
      </c>
      <c r="CA20" s="28" t="str">
        <f>IF($G20="","",$G20*(IF(ADRYr2!$AI20=CA$4,ADRYr2!$AJ20,IF(ADRYr2!$AK20=CA$4,ADRYr2!$AL20,IF(ADRYr2!$AM20=CA$4,ADRYr2!$AN20,0))))*(INDEX(avoidedcosttbl2,$H20,CA$2)+(($H20-ROUNDDOWN($H20,0))*(INDEX(avoidedcosttbl2,ROUNDUP($H20,0),CA$2)-(INDEX(avoidedcosttbl2,ROUNDDOWN($H20,0),CA$2)))))*ADRYr2!P20*ADRYr2!Q20*ADRYr2!U20)</f>
        <v/>
      </c>
      <c r="CB20" s="28" t="str">
        <f>IF($G20="","",$G20*(IF(ADRYr2!$AI20=CB$4,ADRYr2!$AJ20,IF(ADRYr2!$AK20=CB$4,ADRYr2!$AL20,IF(ADRYr2!$AM20=CB$4,ADRYr2!$AN20,0))))*(INDEX(avoidedcosttbl2,$H20,CB$2)+(($H20-ROUNDDOWN($H20,0))*(INDEX(avoidedcosttbl2,ROUNDUP($H20,0),CB$2)-(INDEX(avoidedcosttbl2,ROUNDDOWN($H20,0),CB$2)))))*ADRYr2!P20*ADRYr2!Q20*ADRYr2!U20)</f>
        <v/>
      </c>
      <c r="CC20" s="28" t="str">
        <f>IF($G20="","",$G20*(IF(ADRYr2!$AI20=CC$4,ADRYr2!$AJ20,IF(ADRYr2!$AK20=CC$4,ADRYr2!$AL20,IF(ADRYr2!$AM20=CC$4,ADRYr2!$AN20,0))))*(INDEX(avoidedcosttbl2,$H20,CC$2)+(($H20-ROUNDDOWN($H20,0))*(INDEX(avoidedcosttbl2,ROUNDUP($H20,0),CC$2)-(INDEX(avoidedcosttbl2,ROUNDDOWN($H20,0),CC$2)))))*ADRYr2!P20*ADRYr2!Q20*ADRYr2!U20)</f>
        <v/>
      </c>
      <c r="CD20" s="28" t="str">
        <f>IF($G20="","",$G20*(IF(ADRYr2!$AI20=CD$4,ADRYr2!$AJ20,IF(ADRYr2!$AK20=CD$4,ADRYr2!$AL20,IF(ADRYr2!$AM20=CD$4,ADRYr2!$AN20,0))))*(INDEX(avoidedcosttbl2,$H20,CD$2)+(($H20-ROUNDDOWN($H20,0))*(INDEX(avoidedcosttbl2,ROUNDUP($H20,0),CD$2)-(INDEX(avoidedcosttbl2,ROUNDDOWN($H20,0),CD$2)))))*ADRYr2!P20*ADRYr2!Q20*ADRYr2!U20)</f>
        <v/>
      </c>
      <c r="CE20" s="28" t="str">
        <f>IF($G20="","",$G20*(IF(ADRYr2!$AI20=CE$4,ADRYr2!$AJ20,IF(ADRYr2!$AK20=CE$4,ADRYr2!$AL20,IF(ADRYr2!$AM20=CE$4,ADRYr2!$AN20,0))))*(INDEX(avoidedcosttbl2,$H20,CE$2)+(($H20-ROUNDDOWN($H20,0))*(INDEX(avoidedcosttbl2,ROUNDUP($H20,0),CE$2)-(INDEX(avoidedcosttbl2,ROUNDDOWN($H20,0),CE$2)))))*ADRYr2!P20*ADRYr2!Q20*ADRYr2!U20)</f>
        <v/>
      </c>
      <c r="CF20" s="41" t="str">
        <f t="shared" si="38"/>
        <v/>
      </c>
      <c r="CG20" s="30" t="str">
        <f t="shared" si="11"/>
        <v/>
      </c>
      <c r="CH20" s="30" t="str">
        <f>IF($G20="","",$G20*(IF(ADRYr2!$AI20=BY$4,ADRYr2!$AJ20,IF(ADRYr2!$AK20=BY$4,ADRYr2!$AL20,IF(ADRYr2!$AM20=BY$4,ADRYr2!$AN20,0))))*(INDEX(avoidedcosttbl2,$H20,CH$2)+(($H20-ROUNDDOWN($H20,0))*(INDEX(avoidedcosttbl2,ROUNDUP($H20,0),CH$2)-(INDEX(avoidedcosttbl2,ROUNDDOWN($H20,0),CH$2)))))*ADRYr2!P20*ADRYr2!Q20*ADRYr2!U20)</f>
        <v/>
      </c>
      <c r="CI20" s="30" t="str">
        <f>IF($G20="","",$G20*(IF(ADRYr2!$AI20=BZ$4,ADRYr2!$AJ20,IF(ADRYr2!$AK20=BZ$4,ADRYr2!$AL20,IF(ADRYr2!$AM20=BZ$4,ADRYr2!$AN20,0))))*(INDEX(avoidedcosttbl2,$H20,CI$2)+(($H20-ROUNDDOWN($H20,0))*(INDEX(avoidedcosttbl2,ROUNDUP($H20,0),CI$2)-(INDEX(avoidedcosttbl2,ROUNDDOWN($H20,0),CI$2)))))*ADRYr2!P20*ADRYr2!Q20*ADRYr2!U20)</f>
        <v/>
      </c>
      <c r="CJ20" s="30" t="str">
        <f>IF($G20="","",$G20*(IF(ADRYr2!$AI20=CA$4,ADRYr2!$AJ20,IF(ADRYr2!$AK20=CA$4,ADRYr2!$AL20,IF(ADRYr2!$AM20=CA$4,ADRYr2!$AN20,0))))*(INDEX(avoidedcosttbl2,$H20,CJ$2)+(($H20-ROUNDDOWN($H20,0))*(INDEX(avoidedcosttbl2,ROUNDUP($H20,0),CJ$2)-(INDEX(avoidedcosttbl2,ROUNDDOWN($H20,0),CJ$2)))))*ADRYr2!P20*ADRYr2!Q20*ADRYr2!U20)</f>
        <v/>
      </c>
      <c r="CK20" s="30" t="str">
        <f>IF($G20="","",$G20*(IF(ADRYr2!$AI20=CB$4,ADRYr2!$AJ20,IF(ADRYr2!$AK20=CB$4,ADRYr2!$AL20,IF(ADRYr2!$AM20=CB$4,ADRYr2!$AN20,0))))*(INDEX(avoidedcosttbl2,$H20,CK$2)+(($H20-ROUNDDOWN($H20,0))*(INDEX(avoidedcosttbl2,ROUNDUP($H20,0),CK$2)-(INDEX(avoidedcosttbl2,ROUNDDOWN($H20,0),CK$2)))))*ADRYr2!P20*ADRYr2!Q20*ADRYr2!U20)</f>
        <v/>
      </c>
      <c r="CL20" s="30" t="str">
        <f>IF($G20="","",$G20*(IF(ADRYr2!$AI20=CC$4,ADRYr2!$AJ20,IF(ADRYr2!$AK20=CC$4,ADRYr2!$AL20,IF(ADRYr2!$AM20=CC$4,ADRYr2!$AN20,0))))*(INDEX(avoidedcosttbl2,$H20,CL$2)+(($H20-ROUNDDOWN($H20,0))*(INDEX(avoidedcosttbl2,ROUNDUP($H20,0),CL$2)-(INDEX(avoidedcosttbl2,ROUNDDOWN($H20,0),CL$2)))))*ADRYr2!P20*ADRYr2!Q20*ADRYr2!U20)</f>
        <v/>
      </c>
      <c r="CM20" s="30" t="str">
        <f>IF($G20="","",$G20*(IF(ADRYr2!$AI20=CD$4,ADRYr2!$AJ20,IF(ADRYr2!$AK20=CD$4,ADRYr2!$AL20,IF(ADRYr2!$AM20=CD$4,ADRYr2!$AN20,0))))*(INDEX(avoidedcosttbl2,$H20,CM$2)+(($H20-ROUNDDOWN($H20,0))*(INDEX(avoidedcosttbl2,ROUNDUP($H20,0),CM$2)-(INDEX(avoidedcosttbl2,ROUNDDOWN($H20,0),CM$2)))))*ADRYr2!P20*ADRYr2!Q20*ADRYr2!U20)</f>
        <v/>
      </c>
      <c r="CN20" s="30" t="str">
        <f>IF($G20="","",$G20*(IF(ADRYr2!$AI20=CE$4,ADRYr2!$AJ20,IF(ADRYr2!$AK20=CE$4,ADRYr2!$AL20,IF(ADRYr2!$AM20=CE$4,ADRYr2!$AN20,0))))*(INDEX(avoidedcosttbl2,$H20,CN$2)+(($H20-ROUNDDOWN($H20,0))*(INDEX(avoidedcosttbl2,ROUNDUP($H20,0),CN$2)-(INDEX(avoidedcosttbl2,ROUNDDOWN($H20,0),CN$2)))))*ADRYr2!P20*ADRYr2!Q20*ADRYr2!U20)</f>
        <v/>
      </c>
      <c r="CO20" s="220" t="str">
        <f t="shared" si="39"/>
        <v/>
      </c>
      <c r="CP20" s="220" t="str">
        <f t="shared" si="40"/>
        <v/>
      </c>
      <c r="CQ20" s="157" t="str">
        <f>IF($G20="","",$G20*(IF(ADRYr2!$AI20=CQ$4,ADRYr2!$AJ20,IF(ADRYr2!$AK20=CQ$4,ADRYr2!$AL20,IF(ADRYr2!$AM20=CQ$4,ADRYr2!$AN20,0))))*(INDEX(avoidedcosttbl2,$H20,CQ$2)+(($H20-ROUNDDOWN($H20,0))*(INDEX(avoidedcosttbl2,ROUNDUP($H20,0),CQ$2)-(INDEX(avoidedcosttbl2,ROUNDDOWN($H20,0),CQ$2)))))*ADRYr2!$P20*ADRYr2!$Q20*ADRYr2!$U20)</f>
        <v/>
      </c>
      <c r="CR20" s="28" t="str">
        <f>IF($G20="","",G20*(IF(ADRYr2!$AI20=CR$4,ADRYr2!$AJ20,IF(ADRYr2!$AK20=CR$4,ADRYr2!$AL20,IF(ADRYr2!$AM20=CR$4,ADRYr2!$AN20,0))))*(INDEX(avoidedcosttbl2,$H20,CR$2)+(($H20-ROUNDDOWN($H20,0))*(INDEX(avoidedcosttbl2,ROUNDUP($H20,0),CR$2)-(INDEX(avoidedcosttbl2,ROUNDDOWN($H20,0),CR$2)))))*ADRYr2!$P20*ADRYr2!$Q20*ADRYr2!$U20)</f>
        <v/>
      </c>
      <c r="CS20" s="28" t="str">
        <f>IF($G20="","",G20*(IF(ADRYr2!$AI20=CS$4,ADRYr2!$AJ20,IF(ADRYr2!$AK20=CS$4,ADRYr2!$AL20,IF(ADRYr2!$AM20=CS$4,ADRYr2!$AN20,0))))*(INDEX(avoidedcosttbl2,$H20,CS$2)+(($H20-ROUNDDOWN($H20,0))*(INDEX(avoidedcosttbl2,ROUNDUP($H20,0),CS$2)-(INDEX(avoidedcosttbl2,ROUNDDOWN($H20,0),CS$2)))))*ADRYr2!$P20*ADRYr2!$Q20*ADRYr2!$U20)</f>
        <v/>
      </c>
      <c r="CT20" s="28" t="str">
        <f t="shared" si="12"/>
        <v/>
      </c>
      <c r="CU20" s="28" t="str">
        <f>IF($G20="","",G20*(IF(ADRYr2!$AI20=CU$4,ADRYr2!$AJ20,IF(ADRYr2!$AK20=CU$4,ADRYr2!$AL20,IF(ADRYr2!$AM20=CU$4,ADRYr2!$AN20,0))))*(INDEX(avoidedcosttbl2,$H20,CU$2)+(($H20-ROUNDDOWN($H20,0))*(INDEX(avoidedcosttbl2,ROUNDUP($H20,0),CU$2)-(INDEX(avoidedcosttbl2,ROUNDDOWN($H20,0),CU$2)))))*ADRYr2!$P20*ADRYr2!$Q20*ADRYr2!$U20)</f>
        <v/>
      </c>
      <c r="CV20" s="28" t="str">
        <f>IF($G20="","",G20*(IF(ADRYr2!$AI20=CV$4,ADRYr2!$AJ20,IF(ADRYr2!$AK20=CV$4,ADRYr2!$AL20,IF(ADRYr2!$AM20=CV$4,ADRYr2!$AN20,0))))*(INDEX(avoidedcosttbl2,$H20,CV$2)+(($H20-ROUNDDOWN($H20,0))*(INDEX(avoidedcosttbl2,ROUNDUP($H20,0),CV$2)-(INDEX(avoidedcosttbl2,ROUNDDOWN($H20,0),CV$2)))))*ADRYr2!$P20*ADRYr2!$Q20*ADRYr2!$U20)</f>
        <v/>
      </c>
      <c r="CW20" s="28" t="str">
        <f>IF($G20="","",G20*(IF(ADRYr2!$AI20=CW$4,ADRYr2!$AJ20,IF(ADRYr2!$AK20=CW$4,ADRYr2!$AL20,IF(ADRYr2!$AM20=CW$4,ADRYr2!$AN20,0))))*(INDEX(avoidedcosttbl2,$H20,CW$2)+(($H20-ROUNDDOWN($H20,0))*(INDEX(avoidedcosttbl2,ROUNDUP($H20,0),CW$2)-(INDEX(avoidedcosttbl2,ROUNDDOWN($H20,0),CW$2)))))*ADRYr2!$P20*ADRYr2!$Q20*ADRYr2!$U20)</f>
        <v/>
      </c>
      <c r="CX20" s="28" t="str">
        <f>IF($G20="","",G20*(IF(ADRYr2!$AI20=CX$4,ADRYr2!$AJ20,IF(ADRYr2!$AK20=CX$4,ADRYr2!$AL20,IF(ADRYr2!$AM20=CX$4,ADRYr2!$AN20,0))))*(INDEX(avoidedcosttbl2,$H20,CX$2)+(($H20-ROUNDDOWN($H20,0))*(INDEX(avoidedcosttbl2,ROUNDUP($H20,0),CX$2)-(INDEX(avoidedcosttbl2,ROUNDDOWN($H20,0),CX$2)))))*ADRYr2!$P20*ADRYr2!$Q20*ADRYr2!$U20)</f>
        <v/>
      </c>
      <c r="CY20" s="28" t="str">
        <f t="shared" si="13"/>
        <v/>
      </c>
      <c r="CZ20" s="32" t="str">
        <f t="shared" si="14"/>
        <v/>
      </c>
      <c r="DA20" s="84" t="str">
        <f t="shared" si="41"/>
        <v/>
      </c>
      <c r="DB20" s="81" t="str">
        <f>IF(NEIadder="Yes",IF($G20="","",INDEX(Lookups!$G$70:$G$71,MATCH($A20,Lookups!$E$70:$E$71,0))*(SUM(CP20:CX20,BX20))),"")</f>
        <v/>
      </c>
      <c r="DC20" s="263" t="str">
        <f t="shared" si="15"/>
        <v/>
      </c>
      <c r="DD20" s="166" t="str">
        <f t="shared" si="16"/>
        <v/>
      </c>
      <c r="DE20" s="82">
        <f t="shared" si="42"/>
        <v>0</v>
      </c>
      <c r="DF20" s="615" t="str">
        <f>IF($G20="","",(1+WntPeakEnergyLL)*(INDEX(avoidedcosttbl2,$H20,DF$2)+(($H20-ROUNDDOWN($H20,0))*(INDEX(avoidedcosttbl2,ROUNDUP($H20,0),DF$2)-(INDEX(avoidedcosttbl2,ROUNDDOWN($H20,0),DF$2)))))*$P20*1000*ADRYr2!Z20)</f>
        <v/>
      </c>
      <c r="DG20" s="615" t="str">
        <f>IF($G20="","",(1+WntOffPeakEnergyLL)*(INDEX(avoidedcosttbl2,$H20,DG$2)+(($H20-ROUNDDOWN($H20,0))*(INDEX(avoidedcosttbl2,ROUNDUP($H20,0),DG$2)-(INDEX(avoidedcosttbl2,ROUNDDOWN($H20,0),DG$2)))))*$P20*1000*ADRYr2!AA20)</f>
        <v/>
      </c>
      <c r="DH20" s="615" t="str">
        <f>IF($G20="","",(1+SumPeakEnergyLL)*(INDEX(avoidedcosttbl2,$H20,DH$2)+(($H20-ROUNDDOWN($H20,0))*(INDEX(avoidedcosttbl2,ROUNDUP($H20,0),DH$2)-(INDEX(avoidedcosttbl2,ROUNDDOWN($H20,0),DH$2)))))*$P20*1000*ADRYr2!AB20)</f>
        <v/>
      </c>
      <c r="DI20" s="615" t="str">
        <f>IF($G20="","",(1+SumOffPeakEnergyLL)*(INDEX(avoidedcosttbl2,$H20,DI$2)+(($H20-ROUNDDOWN($H20,0))*(INDEX(avoidedcosttbl2,ROUNDUP($H20,0),DI$2)-(INDEX(avoidedcosttbl2,ROUNDDOWN($H20,0),DI$2)))))*$P20*1000*ADRYr2!AC20)</f>
        <v/>
      </c>
      <c r="DJ20" s="29" t="str">
        <f t="shared" si="43"/>
        <v/>
      </c>
      <c r="DK20" s="161" t="str">
        <f t="shared" si="44"/>
        <v/>
      </c>
      <c r="DL20" s="1189" t="str">
        <f t="shared" si="45"/>
        <v/>
      </c>
      <c r="DM20" s="1189" t="str">
        <f t="shared" si="46"/>
        <v/>
      </c>
      <c r="DN20" s="43" t="str">
        <f t="shared" si="47"/>
        <v/>
      </c>
      <c r="DO20" s="966" t="str">
        <f>IF($G20="","",ADRYr2!AQ20)</f>
        <v/>
      </c>
      <c r="DP20" s="968" t="str">
        <f>IF($G20="","",ADRYr2!AR20)</f>
        <v/>
      </c>
      <c r="DQ20" s="970" t="str">
        <f>IF($G20="","",IF($DP20="Yes",COLUMN(AESC!$L$10),IF($DP20="No","Using AvoidedDemand tab",IF($DP20="Mixed",COLUMN(AESC!$N$10)))))</f>
        <v/>
      </c>
      <c r="DR20" s="970" t="str">
        <f>IF($G20="","",IF($DP20="Yes",COLUMN(AESC!$P$10),IF($DP20="No","Using AvoidedDemand tab",IF($DP20="Mixed",COLUMN(AESC!$R$10)))))</f>
        <v/>
      </c>
      <c r="DS20" s="970" t="str">
        <f>IF($G20="","",IF($DP20="Yes",COLUMN(AESC!$S$10),IF($DP20="No",COLUMN(AESC!$T$10),IF($DP20="Mixed",COLUMN(AESC!$U$10)))))</f>
        <v/>
      </c>
      <c r="DT20" s="970" t="str">
        <f t="shared" si="48"/>
        <v/>
      </c>
      <c r="DU20" s="970" t="str">
        <f>IF($G20="","",ADRYr2!AS20)</f>
        <v/>
      </c>
      <c r="DV20" s="971" t="str">
        <f>IF($G20="","",ADRYr2!AT20)</f>
        <v/>
      </c>
      <c r="DW20" s="1162" t="str">
        <f>IF($G20="","",INDEX(AvoidedEnergy!$H$4:$H$10,MATCH($DO20,AvoidedEnergy!$A$4:$A$10,0)))</f>
        <v/>
      </c>
    </row>
    <row r="21" spans="1:127">
      <c r="A21" s="160" t="str">
        <f>IF(ADRYr2!$B21=0,"",ADRYr2!A21)</f>
        <v>B - Low-Income</v>
      </c>
      <c r="B21" s="9" t="str">
        <f>IF(ADRYr2!$B21=0,"",ADRYr2!B21)</f>
        <v>Home Energy Assistance</v>
      </c>
      <c r="C21" s="9" t="str">
        <f>IF(ADRYr2!$B21=0,"",ADRYr2!C21)</f>
        <v>Res Demand Response</v>
      </c>
      <c r="D21" s="9" t="str">
        <f>IF(ADRYr2!$B21=0,"",ADRYr2!D21)</f>
        <v>Storage Daily Dispatch Upfront Incentive (savings) Winter</v>
      </c>
      <c r="E21" s="9">
        <f>IF(ADRYr2!$B21=0,"",ADRYr2!E21)</f>
        <v>0</v>
      </c>
      <c r="F21" s="11" t="str">
        <f>IF(ADRYr2!$B21=0,"",ADRYr2!F21)</f>
        <v>Behavior</v>
      </c>
      <c r="G21" s="12" t="str">
        <f>IF(ADRYr2!$G21&lt;&gt;0,ADRYr2!G21,"")</f>
        <v/>
      </c>
      <c r="H21" s="960" t="str">
        <f>IF($G21="","",ROUND(ADRYr2!H21,0))</f>
        <v/>
      </c>
      <c r="I21" s="47" t="str">
        <f>IF($G21="","",ADRYr2!I21*ADRYr2!P21*G21)</f>
        <v/>
      </c>
      <c r="J21" s="47" t="str">
        <f>IF($G21="","",ADRYr2!J21*G21)</f>
        <v/>
      </c>
      <c r="K21" s="47" t="str">
        <f t="shared" si="17"/>
        <v/>
      </c>
      <c r="L21" s="27" t="str">
        <f>IF($G21="","",ADRYr2!V21*G21/1000)</f>
        <v/>
      </c>
      <c r="M21" s="27" t="str">
        <f>IF($G21="","",L21*ADRYr2!$Q21*ADRYr2!$R21)</f>
        <v/>
      </c>
      <c r="N21" s="27" t="str">
        <f t="shared" si="18"/>
        <v/>
      </c>
      <c r="O21" s="27" t="str">
        <f t="shared" si="19"/>
        <v/>
      </c>
      <c r="P21" s="27" t="str">
        <f>IF($G21="","",M21*ADRYr2!P21)</f>
        <v/>
      </c>
      <c r="Q21" s="27" t="str">
        <f t="shared" si="20"/>
        <v/>
      </c>
      <c r="R21" s="27" t="str">
        <f>IF($G21="","",$Q21*ADRYr2!Z21)</f>
        <v/>
      </c>
      <c r="S21" s="27" t="str">
        <f>IF($G21="","",$Q21*ADRYr2!AA21)</f>
        <v/>
      </c>
      <c r="T21" s="27" t="str">
        <f>IF($G21="","",$Q21*ADRYr2!AB21)</f>
        <v/>
      </c>
      <c r="U21" s="27" t="str">
        <f>IF($G21="","",$Q21*ADRYr2!AC21)</f>
        <v/>
      </c>
      <c r="V21" s="27" t="str">
        <f>IF($G21="","",G21*ADRYr2!$AD21*ADRYr2!$P21*ADRYr2!$Q21)</f>
        <v/>
      </c>
      <c r="W21" s="27" t="str">
        <f>IF($G21="","",$G21*ADRYr2!$AD21*ADRYr2!$AF21*ADRYr2!Q21*ADRYr2!$S21)</f>
        <v/>
      </c>
      <c r="X21" s="27" t="str">
        <f>IF($G21="","",$G21*ADRYr2!$AD21*ADRYr2!$AF21*ADRYr2!P21*ADRYr2!Q21*ADRYr2!$S21)</f>
        <v/>
      </c>
      <c r="Y21" s="27" t="str">
        <f>IF($G21="","",$G21*ADRYr2!$AD21*ADRYr2!$AE21*ADRYr2!Q21*ADRYr2!$T21)</f>
        <v/>
      </c>
      <c r="Z21" s="27" t="str">
        <f>IF($G21="","",$G21*ADRYr2!$AD21*ADRYr2!$AE21*ADRYr2!P21*ADRYr2!Q21*ADRYr2!$T21)</f>
        <v/>
      </c>
      <c r="AA21" s="45" t="str">
        <f>IF($G21="","",$G21*ADRYr2!$Q21*ADRYr2!$U21*(IF(IFERROR(SEARCH("NG", ADRYr2!$AI21),0),ADRYr2!$AJ21,0)+IF(IFERROR(SEARCH("NG", ADRYr2!$AK21),0),ADRYr2!$AL21,0)+IF(IFERROR(SEARCH("NG", ADRYr2!$AM21),0),ADRYr2!$AN21,0)))</f>
        <v/>
      </c>
      <c r="AB21" s="45" t="str">
        <f t="shared" si="21"/>
        <v/>
      </c>
      <c r="AC21" s="45">
        <f>IF($G21="",0,AA21*ADRYr2!$P21)</f>
        <v>0</v>
      </c>
      <c r="AD21" s="45" t="str">
        <f t="shared" si="22"/>
        <v/>
      </c>
      <c r="AE21" s="45" t="str">
        <f>IF($G21="","",$G21*ADRYr2!$Q21*ADRYr2!$U21*(IF(IFERROR(SEARCH("Oil", ADRYr2!$AI21), 0),ADRYr2!$AJ21,0)+IF(IFERROR(SEARCH("Oil", ADRYr2!$AK21), 0),ADRYr2!$AL21,0)+IF(IFERROR(SEARCH("Oil", ADRYr2!$AM21), 0),ADRYr2!$AN21,0)))</f>
        <v/>
      </c>
      <c r="AF21" s="45" t="str">
        <f t="shared" si="23"/>
        <v/>
      </c>
      <c r="AG21" s="45">
        <f>IF($G21="",0,AE21*ADRYr2!$P21)</f>
        <v>0</v>
      </c>
      <c r="AH21" s="45" t="str">
        <f t="shared" si="24"/>
        <v/>
      </c>
      <c r="AI21" s="45" t="str">
        <f>IF($G21="","",$G21*ADRYr2!$Q21*ADRYr2!$U21*(IF(ADRYr2!$AI21=Lookups!$E$116,ADRYr2!$AJ21,IF(ADRYr2!$AK21=Lookups!$E$116,ADRYr2!$AL21,IF(ADRYr2!$AM21=Lookups!$E$116,ADRYr2!$AN21,0)))))</f>
        <v/>
      </c>
      <c r="AJ21" s="45" t="str">
        <f t="shared" si="25"/>
        <v/>
      </c>
      <c r="AK21" s="45">
        <f>IF($G21="",0,AI21*ADRYr2!$P21)</f>
        <v>0</v>
      </c>
      <c r="AL21" s="45" t="str">
        <f t="shared" si="26"/>
        <v/>
      </c>
      <c r="AM21" s="45" t="str">
        <f>IF($G21="","",$G21*ADRYr2!$Q21*ADRYr2!$U21*(IF(ADRYr2!$AI21=Lookups!$E$115,ADRYr2!$AJ21,IF(ADRYr2!$AK21=Lookups!$E$115,ADRYr2!$AL21,IF(ADRYr2!$AM21=Lookups!$E$115,ADRYr2!$AN21,0)))))</f>
        <v/>
      </c>
      <c r="AN21" s="45" t="str">
        <f t="shared" si="27"/>
        <v/>
      </c>
      <c r="AO21" s="45">
        <f>IF($G21="",0,AM21*ADRYr2!$P21)</f>
        <v>0</v>
      </c>
      <c r="AP21" s="45" t="str">
        <f t="shared" si="28"/>
        <v/>
      </c>
      <c r="AQ21" s="45" t="str">
        <f>IF($G21="","",$G21*ADRYr2!$Q21*ADRYr2!$U21*(IF(ADRYr2!$AI21=Lookups!$E$117,ADRYr2!$AJ21,IF(ADRYr2!$AK21=Lookups!$E$117,ADRYr2!$AL21,IF(ADRYr2!$AM21=Lookups!$E$117,ADRYr2!$AN21,0)))))</f>
        <v/>
      </c>
      <c r="AR21" s="45" t="str">
        <f t="shared" si="29"/>
        <v/>
      </c>
      <c r="AS21" s="45" t="str">
        <f>IF($G21="","",AQ21*ADRYr2!$P21)</f>
        <v/>
      </c>
      <c r="AT21" s="45" t="str">
        <f t="shared" si="30"/>
        <v/>
      </c>
      <c r="AU21" s="45" t="str">
        <f>IF($G21="","",$G21*ADRYr2!$Q21*ADRYr2!$U21*(IF(ADRYr2!$AI21=Lookups!$E$118,ADRYr2!$AJ21,IF(ADRYr2!$AK21=Lookups!$E$118,ADRYr2!$AL21,IF(ADRYr2!$AM21=Lookups!$E$118,ADRYr2!$AN21,0)))))</f>
        <v/>
      </c>
      <c r="AV21" s="45" t="str">
        <f t="shared" si="31"/>
        <v/>
      </c>
      <c r="AW21" s="45" t="str">
        <f>IF($G21="","",AU21*ADRYr2!$P21)</f>
        <v/>
      </c>
      <c r="AX21" s="45" t="str">
        <f t="shared" si="32"/>
        <v/>
      </c>
      <c r="AY21" s="45">
        <f t="shared" si="33"/>
        <v>0</v>
      </c>
      <c r="AZ21" s="45">
        <f t="shared" si="33"/>
        <v>0</v>
      </c>
      <c r="BA21" s="101" t="str">
        <f>IF($G21="","",$G21*ADRYr2!$P21*ADRYr2!$Q21*ADRYr2!$U21*ADRYr2!AO21)</f>
        <v/>
      </c>
      <c r="BB21" s="102" t="str">
        <f>IF($G21="","",$G21*ADRYr2!$P21*ADRYr2!$Q21*ADRYr2!$U21*ADRYr2!AP21)</f>
        <v/>
      </c>
      <c r="BC21" s="100" t="str">
        <f t="shared" si="34"/>
        <v/>
      </c>
      <c r="BD21" s="961"/>
      <c r="BE21" s="961"/>
      <c r="BF21" s="961"/>
      <c r="BG21" s="961"/>
      <c r="BH21" s="962" t="str">
        <f t="shared" si="3"/>
        <v/>
      </c>
      <c r="BI21" s="961"/>
      <c r="BJ21" s="961"/>
      <c r="BK21" s="961"/>
      <c r="BL21" s="961"/>
      <c r="BM21" s="30" t="str">
        <f t="shared" si="4"/>
        <v/>
      </c>
      <c r="BN21" s="963" t="str">
        <f t="shared" si="5"/>
        <v/>
      </c>
      <c r="BO21" s="31" t="str">
        <f t="shared" si="35"/>
        <v/>
      </c>
      <c r="BP21" s="964" t="str">
        <f t="shared" si="6"/>
        <v/>
      </c>
      <c r="BQ21" s="28" t="str">
        <f t="shared" si="7"/>
        <v/>
      </c>
      <c r="BR21" s="964" t="str">
        <f t="shared" si="8"/>
        <v/>
      </c>
      <c r="BS21" s="964" t="str">
        <f t="shared" si="9"/>
        <v/>
      </c>
      <c r="BT21" s="28" t="str">
        <f t="shared" si="10"/>
        <v/>
      </c>
      <c r="BU21" s="28" t="str">
        <f t="shared" si="10"/>
        <v/>
      </c>
      <c r="BV21" s="28" t="str">
        <f t="shared" si="10"/>
        <v/>
      </c>
      <c r="BW21" s="29" t="str">
        <f t="shared" si="36"/>
        <v/>
      </c>
      <c r="BX21" s="29" t="str">
        <f t="shared" si="37"/>
        <v/>
      </c>
      <c r="BY21" s="28" t="str">
        <f>IF($G21="","",$G21*(IF(ADRYr2!$AI21=BY$4,ADRYr2!$AJ21,IF(ADRYr2!$AK21=BY$4,ADRYr2!$AL21,IF(ADRYr2!$AM21=BY$4,ADRYr2!$AN21,0))))*(INDEX(avoidedcosttbl2,$H21,BY$2)+(($H21-ROUNDDOWN($H21,0))*(INDEX(avoidedcosttbl2,ROUNDUP($H21,0),BY$2)-(INDEX(avoidedcosttbl2,ROUNDDOWN($H21,0),BY$2)))))*ADRYr2!P21*ADRYr2!Q21*ADRYr2!U21)</f>
        <v/>
      </c>
      <c r="BZ21" s="28" t="str">
        <f>IF($G21="","",$G21*(IF(ADRYr2!$AI21=BZ$4,ADRYr2!$AJ21,IF(ADRYr2!$AK21=BZ$4,ADRYr2!$AL21,IF(ADRYr2!$AM21=BZ$4,ADRYr2!$AN21,0))))*(INDEX(avoidedcosttbl2,$H21,BZ$2)+(($H21-ROUNDDOWN($H21,0))*(INDEX(avoidedcosttbl2,ROUNDUP($H21,0),BZ$2)-(INDEX(avoidedcosttbl2,ROUNDDOWN($H21,0),BZ$2)))))*ADRYr2!P21*ADRYr2!Q21*ADRYr2!U21)</f>
        <v/>
      </c>
      <c r="CA21" s="28" t="str">
        <f>IF($G21="","",$G21*(IF(ADRYr2!$AI21=CA$4,ADRYr2!$AJ21,IF(ADRYr2!$AK21=CA$4,ADRYr2!$AL21,IF(ADRYr2!$AM21=CA$4,ADRYr2!$AN21,0))))*(INDEX(avoidedcosttbl2,$H21,CA$2)+(($H21-ROUNDDOWN($H21,0))*(INDEX(avoidedcosttbl2,ROUNDUP($H21,0),CA$2)-(INDEX(avoidedcosttbl2,ROUNDDOWN($H21,0),CA$2)))))*ADRYr2!P21*ADRYr2!Q21*ADRYr2!U21)</f>
        <v/>
      </c>
      <c r="CB21" s="28" t="str">
        <f>IF($G21="","",$G21*(IF(ADRYr2!$AI21=CB$4,ADRYr2!$AJ21,IF(ADRYr2!$AK21=CB$4,ADRYr2!$AL21,IF(ADRYr2!$AM21=CB$4,ADRYr2!$AN21,0))))*(INDEX(avoidedcosttbl2,$H21,CB$2)+(($H21-ROUNDDOWN($H21,0))*(INDEX(avoidedcosttbl2,ROUNDUP($H21,0),CB$2)-(INDEX(avoidedcosttbl2,ROUNDDOWN($H21,0),CB$2)))))*ADRYr2!P21*ADRYr2!Q21*ADRYr2!U21)</f>
        <v/>
      </c>
      <c r="CC21" s="28" t="str">
        <f>IF($G21="","",$G21*(IF(ADRYr2!$AI21=CC$4,ADRYr2!$AJ21,IF(ADRYr2!$AK21=CC$4,ADRYr2!$AL21,IF(ADRYr2!$AM21=CC$4,ADRYr2!$AN21,0))))*(INDEX(avoidedcosttbl2,$H21,CC$2)+(($H21-ROUNDDOWN($H21,0))*(INDEX(avoidedcosttbl2,ROUNDUP($H21,0),CC$2)-(INDEX(avoidedcosttbl2,ROUNDDOWN($H21,0),CC$2)))))*ADRYr2!P21*ADRYr2!Q21*ADRYr2!U21)</f>
        <v/>
      </c>
      <c r="CD21" s="28" t="str">
        <f>IF($G21="","",$G21*(IF(ADRYr2!$AI21=CD$4,ADRYr2!$AJ21,IF(ADRYr2!$AK21=CD$4,ADRYr2!$AL21,IF(ADRYr2!$AM21=CD$4,ADRYr2!$AN21,0))))*(INDEX(avoidedcosttbl2,$H21,CD$2)+(($H21-ROUNDDOWN($H21,0))*(INDEX(avoidedcosttbl2,ROUNDUP($H21,0),CD$2)-(INDEX(avoidedcosttbl2,ROUNDDOWN($H21,0),CD$2)))))*ADRYr2!P21*ADRYr2!Q21*ADRYr2!U21)</f>
        <v/>
      </c>
      <c r="CE21" s="28" t="str">
        <f>IF($G21="","",$G21*(IF(ADRYr2!$AI21=CE$4,ADRYr2!$AJ21,IF(ADRYr2!$AK21=CE$4,ADRYr2!$AL21,IF(ADRYr2!$AM21=CE$4,ADRYr2!$AN21,0))))*(INDEX(avoidedcosttbl2,$H21,CE$2)+(($H21-ROUNDDOWN($H21,0))*(INDEX(avoidedcosttbl2,ROUNDUP($H21,0),CE$2)-(INDEX(avoidedcosttbl2,ROUNDDOWN($H21,0),CE$2)))))*ADRYr2!P21*ADRYr2!Q21*ADRYr2!U21)</f>
        <v/>
      </c>
      <c r="CF21" s="41" t="str">
        <f t="shared" si="38"/>
        <v/>
      </c>
      <c r="CG21" s="30" t="str">
        <f t="shared" si="11"/>
        <v/>
      </c>
      <c r="CH21" s="30" t="str">
        <f>IF($G21="","",$G21*(IF(ADRYr2!$AI21=BY$4,ADRYr2!$AJ21,IF(ADRYr2!$AK21=BY$4,ADRYr2!$AL21,IF(ADRYr2!$AM21=BY$4,ADRYr2!$AN21,0))))*(INDEX(avoidedcosttbl2,$H21,CH$2)+(($H21-ROUNDDOWN($H21,0))*(INDEX(avoidedcosttbl2,ROUNDUP($H21,0),CH$2)-(INDEX(avoidedcosttbl2,ROUNDDOWN($H21,0),CH$2)))))*ADRYr2!P21*ADRYr2!Q21*ADRYr2!U21)</f>
        <v/>
      </c>
      <c r="CI21" s="30" t="str">
        <f>IF($G21="","",$G21*(IF(ADRYr2!$AI21=BZ$4,ADRYr2!$AJ21,IF(ADRYr2!$AK21=BZ$4,ADRYr2!$AL21,IF(ADRYr2!$AM21=BZ$4,ADRYr2!$AN21,0))))*(INDEX(avoidedcosttbl2,$H21,CI$2)+(($H21-ROUNDDOWN($H21,0))*(INDEX(avoidedcosttbl2,ROUNDUP($H21,0),CI$2)-(INDEX(avoidedcosttbl2,ROUNDDOWN($H21,0),CI$2)))))*ADRYr2!P21*ADRYr2!Q21*ADRYr2!U21)</f>
        <v/>
      </c>
      <c r="CJ21" s="30" t="str">
        <f>IF($G21="","",$G21*(IF(ADRYr2!$AI21=CA$4,ADRYr2!$AJ21,IF(ADRYr2!$AK21=CA$4,ADRYr2!$AL21,IF(ADRYr2!$AM21=CA$4,ADRYr2!$AN21,0))))*(INDEX(avoidedcosttbl2,$H21,CJ$2)+(($H21-ROUNDDOWN($H21,0))*(INDEX(avoidedcosttbl2,ROUNDUP($H21,0),CJ$2)-(INDEX(avoidedcosttbl2,ROUNDDOWN($H21,0),CJ$2)))))*ADRYr2!P21*ADRYr2!Q21*ADRYr2!U21)</f>
        <v/>
      </c>
      <c r="CK21" s="30" t="str">
        <f>IF($G21="","",$G21*(IF(ADRYr2!$AI21=CB$4,ADRYr2!$AJ21,IF(ADRYr2!$AK21=CB$4,ADRYr2!$AL21,IF(ADRYr2!$AM21=CB$4,ADRYr2!$AN21,0))))*(INDEX(avoidedcosttbl2,$H21,CK$2)+(($H21-ROUNDDOWN($H21,0))*(INDEX(avoidedcosttbl2,ROUNDUP($H21,0),CK$2)-(INDEX(avoidedcosttbl2,ROUNDDOWN($H21,0),CK$2)))))*ADRYr2!P21*ADRYr2!Q21*ADRYr2!U21)</f>
        <v/>
      </c>
      <c r="CL21" s="30" t="str">
        <f>IF($G21="","",$G21*(IF(ADRYr2!$AI21=CC$4,ADRYr2!$AJ21,IF(ADRYr2!$AK21=CC$4,ADRYr2!$AL21,IF(ADRYr2!$AM21=CC$4,ADRYr2!$AN21,0))))*(INDEX(avoidedcosttbl2,$H21,CL$2)+(($H21-ROUNDDOWN($H21,0))*(INDEX(avoidedcosttbl2,ROUNDUP($H21,0),CL$2)-(INDEX(avoidedcosttbl2,ROUNDDOWN($H21,0),CL$2)))))*ADRYr2!P21*ADRYr2!Q21*ADRYr2!U21)</f>
        <v/>
      </c>
      <c r="CM21" s="30" t="str">
        <f>IF($G21="","",$G21*(IF(ADRYr2!$AI21=CD$4,ADRYr2!$AJ21,IF(ADRYr2!$AK21=CD$4,ADRYr2!$AL21,IF(ADRYr2!$AM21=CD$4,ADRYr2!$AN21,0))))*(INDEX(avoidedcosttbl2,$H21,CM$2)+(($H21-ROUNDDOWN($H21,0))*(INDEX(avoidedcosttbl2,ROUNDUP($H21,0),CM$2)-(INDEX(avoidedcosttbl2,ROUNDDOWN($H21,0),CM$2)))))*ADRYr2!P21*ADRYr2!Q21*ADRYr2!U21)</f>
        <v/>
      </c>
      <c r="CN21" s="30" t="str">
        <f>IF($G21="","",$G21*(IF(ADRYr2!$AI21=CE$4,ADRYr2!$AJ21,IF(ADRYr2!$AK21=CE$4,ADRYr2!$AL21,IF(ADRYr2!$AM21=CE$4,ADRYr2!$AN21,0))))*(INDEX(avoidedcosttbl2,$H21,CN$2)+(($H21-ROUNDDOWN($H21,0))*(INDEX(avoidedcosttbl2,ROUNDUP($H21,0),CN$2)-(INDEX(avoidedcosttbl2,ROUNDDOWN($H21,0),CN$2)))))*ADRYr2!P21*ADRYr2!Q21*ADRYr2!U21)</f>
        <v/>
      </c>
      <c r="CO21" s="220" t="str">
        <f t="shared" si="39"/>
        <v/>
      </c>
      <c r="CP21" s="220" t="str">
        <f t="shared" si="40"/>
        <v/>
      </c>
      <c r="CQ21" s="157" t="str">
        <f>IF($G21="","",$G21*(IF(ADRYr2!$AI21=CQ$4,ADRYr2!$AJ21,IF(ADRYr2!$AK21=CQ$4,ADRYr2!$AL21,IF(ADRYr2!$AM21=CQ$4,ADRYr2!$AN21,0))))*(INDEX(avoidedcosttbl2,$H21,CQ$2)+(($H21-ROUNDDOWN($H21,0))*(INDEX(avoidedcosttbl2,ROUNDUP($H21,0),CQ$2)-(INDEX(avoidedcosttbl2,ROUNDDOWN($H21,0),CQ$2)))))*ADRYr2!$P21*ADRYr2!$Q21*ADRYr2!$U21)</f>
        <v/>
      </c>
      <c r="CR21" s="28" t="str">
        <f>IF($G21="","",G21*(IF(ADRYr2!$AI21=CR$4,ADRYr2!$AJ21,IF(ADRYr2!$AK21=CR$4,ADRYr2!$AL21,IF(ADRYr2!$AM21=CR$4,ADRYr2!$AN21,0))))*(INDEX(avoidedcosttbl2,$H21,CR$2)+(($H21-ROUNDDOWN($H21,0))*(INDEX(avoidedcosttbl2,ROUNDUP($H21,0),CR$2)-(INDEX(avoidedcosttbl2,ROUNDDOWN($H21,0),CR$2)))))*ADRYr2!$P21*ADRYr2!$Q21*ADRYr2!$U21)</f>
        <v/>
      </c>
      <c r="CS21" s="28" t="str">
        <f>IF($G21="","",G21*(IF(ADRYr2!$AI21=CS$4,ADRYr2!$AJ21,IF(ADRYr2!$AK21=CS$4,ADRYr2!$AL21,IF(ADRYr2!$AM21=CS$4,ADRYr2!$AN21,0))))*(INDEX(avoidedcosttbl2,$H21,CS$2)+(($H21-ROUNDDOWN($H21,0))*(INDEX(avoidedcosttbl2,ROUNDUP($H21,0),CS$2)-(INDEX(avoidedcosttbl2,ROUNDDOWN($H21,0),CS$2)))))*ADRYr2!$P21*ADRYr2!$Q21*ADRYr2!$U21)</f>
        <v/>
      </c>
      <c r="CT21" s="28" t="str">
        <f t="shared" si="12"/>
        <v/>
      </c>
      <c r="CU21" s="28" t="str">
        <f>IF($G21="","",G21*(IF(ADRYr2!$AI21=CU$4,ADRYr2!$AJ21,IF(ADRYr2!$AK21=CU$4,ADRYr2!$AL21,IF(ADRYr2!$AM21=CU$4,ADRYr2!$AN21,0))))*(INDEX(avoidedcosttbl2,$H21,CU$2)+(($H21-ROUNDDOWN($H21,0))*(INDEX(avoidedcosttbl2,ROUNDUP($H21,0),CU$2)-(INDEX(avoidedcosttbl2,ROUNDDOWN($H21,0),CU$2)))))*ADRYr2!$P21*ADRYr2!$Q21*ADRYr2!$U21)</f>
        <v/>
      </c>
      <c r="CV21" s="28" t="str">
        <f>IF($G21="","",G21*(IF(ADRYr2!$AI21=CV$4,ADRYr2!$AJ21,IF(ADRYr2!$AK21=CV$4,ADRYr2!$AL21,IF(ADRYr2!$AM21=CV$4,ADRYr2!$AN21,0))))*(INDEX(avoidedcosttbl2,$H21,CV$2)+(($H21-ROUNDDOWN($H21,0))*(INDEX(avoidedcosttbl2,ROUNDUP($H21,0),CV$2)-(INDEX(avoidedcosttbl2,ROUNDDOWN($H21,0),CV$2)))))*ADRYr2!$P21*ADRYr2!$Q21*ADRYr2!$U21)</f>
        <v/>
      </c>
      <c r="CW21" s="28" t="str">
        <f>IF($G21="","",G21*(IF(ADRYr2!$AI21=CW$4,ADRYr2!$AJ21,IF(ADRYr2!$AK21=CW$4,ADRYr2!$AL21,IF(ADRYr2!$AM21=CW$4,ADRYr2!$AN21,0))))*(INDEX(avoidedcosttbl2,$H21,CW$2)+(($H21-ROUNDDOWN($H21,0))*(INDEX(avoidedcosttbl2,ROUNDUP($H21,0),CW$2)-(INDEX(avoidedcosttbl2,ROUNDDOWN($H21,0),CW$2)))))*ADRYr2!$P21*ADRYr2!$Q21*ADRYr2!$U21)</f>
        <v/>
      </c>
      <c r="CX21" s="28" t="str">
        <f>IF($G21="","",G21*(IF(ADRYr2!$AI21=CX$4,ADRYr2!$AJ21,IF(ADRYr2!$AK21=CX$4,ADRYr2!$AL21,IF(ADRYr2!$AM21=CX$4,ADRYr2!$AN21,0))))*(INDEX(avoidedcosttbl2,$H21,CX$2)+(($H21-ROUNDDOWN($H21,0))*(INDEX(avoidedcosttbl2,ROUNDUP($H21,0),CX$2)-(INDEX(avoidedcosttbl2,ROUNDDOWN($H21,0),CX$2)))))*ADRYr2!$P21*ADRYr2!$Q21*ADRYr2!$U21)</f>
        <v/>
      </c>
      <c r="CY21" s="28" t="str">
        <f t="shared" si="13"/>
        <v/>
      </c>
      <c r="CZ21" s="32" t="str">
        <f t="shared" si="14"/>
        <v/>
      </c>
      <c r="DA21" s="84" t="str">
        <f t="shared" si="41"/>
        <v/>
      </c>
      <c r="DB21" s="81" t="str">
        <f>IF(NEIadder="Yes",IF($G21="","",INDEX(Lookups!$G$70:$G$71,MATCH($A21,Lookups!$E$70:$E$71,0))*(SUM(CP21:CX21,BX21))),"")</f>
        <v/>
      </c>
      <c r="DC21" s="263" t="str">
        <f t="shared" si="15"/>
        <v/>
      </c>
      <c r="DD21" s="166" t="str">
        <f t="shared" si="16"/>
        <v/>
      </c>
      <c r="DE21" s="82">
        <f t="shared" si="42"/>
        <v>0</v>
      </c>
      <c r="DF21" s="615" t="str">
        <f>IF($G21="","",(1+WntPeakEnergyLL)*(INDEX(avoidedcosttbl2,$H21,DF$2)+(($H21-ROUNDDOWN($H21,0))*(INDEX(avoidedcosttbl2,ROUNDUP($H21,0),DF$2)-(INDEX(avoidedcosttbl2,ROUNDDOWN($H21,0),DF$2)))))*$P21*1000*ADRYr2!Z21)</f>
        <v/>
      </c>
      <c r="DG21" s="615" t="str">
        <f>IF($G21="","",(1+WntOffPeakEnergyLL)*(INDEX(avoidedcosttbl2,$H21,DG$2)+(($H21-ROUNDDOWN($H21,0))*(INDEX(avoidedcosttbl2,ROUNDUP($H21,0),DG$2)-(INDEX(avoidedcosttbl2,ROUNDDOWN($H21,0),DG$2)))))*$P21*1000*ADRYr2!AA21)</f>
        <v/>
      </c>
      <c r="DH21" s="615" t="str">
        <f>IF($G21="","",(1+SumPeakEnergyLL)*(INDEX(avoidedcosttbl2,$H21,DH$2)+(($H21-ROUNDDOWN($H21,0))*(INDEX(avoidedcosttbl2,ROUNDUP($H21,0),DH$2)-(INDEX(avoidedcosttbl2,ROUNDDOWN($H21,0),DH$2)))))*$P21*1000*ADRYr2!AB21)</f>
        <v/>
      </c>
      <c r="DI21" s="615" t="str">
        <f>IF($G21="","",(1+SumOffPeakEnergyLL)*(INDEX(avoidedcosttbl2,$H21,DI$2)+(($H21-ROUNDDOWN($H21,0))*(INDEX(avoidedcosttbl2,ROUNDUP($H21,0),DI$2)-(INDEX(avoidedcosttbl2,ROUNDDOWN($H21,0),DI$2)))))*$P21*1000*ADRYr2!AC21)</f>
        <v/>
      </c>
      <c r="DJ21" s="29" t="str">
        <f t="shared" si="43"/>
        <v/>
      </c>
      <c r="DK21" s="161" t="str">
        <f t="shared" si="44"/>
        <v/>
      </c>
      <c r="DL21" s="1189" t="str">
        <f t="shared" si="45"/>
        <v/>
      </c>
      <c r="DM21" s="1189" t="str">
        <f t="shared" si="46"/>
        <v/>
      </c>
      <c r="DN21" s="43" t="str">
        <f t="shared" si="47"/>
        <v/>
      </c>
      <c r="DO21" s="966" t="str">
        <f>IF($G21="","",ADRYr2!AQ21)</f>
        <v/>
      </c>
      <c r="DP21" s="968" t="str">
        <f>IF($G21="","",ADRYr2!AR21)</f>
        <v/>
      </c>
      <c r="DQ21" s="970" t="str">
        <f>IF($G21="","",IF($DP21="Yes",COLUMN(AESC!$L$10),IF($DP21="No","Using AvoidedDemand tab",IF($DP21="Mixed",COLUMN(AESC!$N$10)))))</f>
        <v/>
      </c>
      <c r="DR21" s="970" t="str">
        <f>IF($G21="","",IF($DP21="Yes",COLUMN(AESC!$P$10),IF($DP21="No","Using AvoidedDemand tab",IF($DP21="Mixed",COLUMN(AESC!$R$10)))))</f>
        <v/>
      </c>
      <c r="DS21" s="970" t="str">
        <f>IF($G21="","",IF($DP21="Yes",COLUMN(AESC!$S$10),IF($DP21="No",COLUMN(AESC!$T$10),IF($DP21="Mixed",COLUMN(AESC!$U$10)))))</f>
        <v/>
      </c>
      <c r="DT21" s="970" t="str">
        <f t="shared" si="48"/>
        <v/>
      </c>
      <c r="DU21" s="970" t="str">
        <f>IF($G21="","",ADRYr2!AS21)</f>
        <v/>
      </c>
      <c r="DV21" s="971" t="str">
        <f>IF($G21="","",ADRYr2!AT21)</f>
        <v/>
      </c>
      <c r="DW21" s="1162" t="str">
        <f>IF($G21="","",INDEX(AvoidedEnergy!$H$4:$H$10,MATCH($DO21,AvoidedEnergy!$A$4:$A$10,0)))</f>
        <v/>
      </c>
    </row>
    <row r="22" spans="1:127">
      <c r="A22" s="160" t="str">
        <f>IF(ADRYr2!$B22=0,"",ADRYr2!A22)</f>
        <v>B - Low-Income</v>
      </c>
      <c r="B22" s="9" t="str">
        <f>IF(ADRYr2!$B22=0,"",ADRYr2!B22)</f>
        <v>Home Energy Assistance</v>
      </c>
      <c r="C22" s="9" t="str">
        <f>IF(ADRYr2!$B22=0,"",ADRYr2!C22)</f>
        <v>Res Demand Response</v>
      </c>
      <c r="D22" s="9" t="str">
        <f>IF(ADRYr2!$B22=0,"",ADRYr2!D22)</f>
        <v>Storage Daily Dispatch Upfront Incentive (consumption) Winter</v>
      </c>
      <c r="E22" s="9">
        <f>IF(ADRYr2!$B22=0,"",ADRYr2!E22)</f>
        <v>0</v>
      </c>
      <c r="F22" s="11" t="str">
        <f>IF(ADRYr2!$B22=0,"",ADRYr2!F22)</f>
        <v>Behavior</v>
      </c>
      <c r="G22" s="12" t="str">
        <f>IF(ADRYr2!$G22&lt;&gt;0,ADRYr2!G22,"")</f>
        <v/>
      </c>
      <c r="H22" s="960" t="str">
        <f>IF($G22="","",ROUND(ADRYr2!H22,0))</f>
        <v/>
      </c>
      <c r="I22" s="47" t="str">
        <f>IF($G22="","",ADRYr2!I22*ADRYr2!P22*G22)</f>
        <v/>
      </c>
      <c r="J22" s="47" t="str">
        <f>IF($G22="","",ADRYr2!J22*G22)</f>
        <v/>
      </c>
      <c r="K22" s="47" t="str">
        <f t="shared" si="17"/>
        <v/>
      </c>
      <c r="L22" s="27" t="str">
        <f>IF($G22="","",ADRYr2!V22*G22/1000)</f>
        <v/>
      </c>
      <c r="M22" s="27" t="str">
        <f>IF($G22="","",L22*ADRYr2!$Q22*ADRYr2!$R22)</f>
        <v/>
      </c>
      <c r="N22" s="27" t="str">
        <f t="shared" si="18"/>
        <v/>
      </c>
      <c r="O22" s="27" t="str">
        <f t="shared" si="19"/>
        <v/>
      </c>
      <c r="P22" s="27" t="str">
        <f>IF($G22="","",M22*ADRYr2!P22)</f>
        <v/>
      </c>
      <c r="Q22" s="27" t="str">
        <f t="shared" si="20"/>
        <v/>
      </c>
      <c r="R22" s="27" t="str">
        <f>IF($G22="","",$Q22*ADRYr2!Z22)</f>
        <v/>
      </c>
      <c r="S22" s="27" t="str">
        <f>IF($G22="","",$Q22*ADRYr2!AA22)</f>
        <v/>
      </c>
      <c r="T22" s="27" t="str">
        <f>IF($G22="","",$Q22*ADRYr2!AB22)</f>
        <v/>
      </c>
      <c r="U22" s="27" t="str">
        <f>IF($G22="","",$Q22*ADRYr2!AC22)</f>
        <v/>
      </c>
      <c r="V22" s="27" t="str">
        <f>IF($G22="","",G22*ADRYr2!$AD22*ADRYr2!$P22*ADRYr2!$Q22)</f>
        <v/>
      </c>
      <c r="W22" s="27" t="str">
        <f>IF($G22="","",$G22*ADRYr2!$AD22*ADRYr2!$AF22*ADRYr2!Q22*ADRYr2!$S22)</f>
        <v/>
      </c>
      <c r="X22" s="27" t="str">
        <f>IF($G22="","",$G22*ADRYr2!$AD22*ADRYr2!$AF22*ADRYr2!P22*ADRYr2!Q22*ADRYr2!$S22)</f>
        <v/>
      </c>
      <c r="Y22" s="27" t="str">
        <f>IF($G22="","",$G22*ADRYr2!$AD22*ADRYr2!$AE22*ADRYr2!Q22*ADRYr2!$T22)</f>
        <v/>
      </c>
      <c r="Z22" s="27" t="str">
        <f>IF($G22="","",$G22*ADRYr2!$AD22*ADRYr2!$AE22*ADRYr2!P22*ADRYr2!Q22*ADRYr2!$T22)</f>
        <v/>
      </c>
      <c r="AA22" s="45" t="str">
        <f>IF($G22="","",$G22*ADRYr2!$Q22*ADRYr2!$U22*(IF(IFERROR(SEARCH("NG", ADRYr2!$AI22),0),ADRYr2!$AJ22,0)+IF(IFERROR(SEARCH("NG", ADRYr2!$AK22),0),ADRYr2!$AL22,0)+IF(IFERROR(SEARCH("NG", ADRYr2!$AM22),0),ADRYr2!$AN22,0)))</f>
        <v/>
      </c>
      <c r="AB22" s="45" t="str">
        <f t="shared" si="21"/>
        <v/>
      </c>
      <c r="AC22" s="45">
        <f>IF($G22="",0,AA22*ADRYr2!$P22)</f>
        <v>0</v>
      </c>
      <c r="AD22" s="45" t="str">
        <f t="shared" si="22"/>
        <v/>
      </c>
      <c r="AE22" s="45" t="str">
        <f>IF($G22="","",$G22*ADRYr2!$Q22*ADRYr2!$U22*(IF(IFERROR(SEARCH("Oil", ADRYr2!$AI22), 0),ADRYr2!$AJ22,0)+IF(IFERROR(SEARCH("Oil", ADRYr2!$AK22), 0),ADRYr2!$AL22,0)+IF(IFERROR(SEARCH("Oil", ADRYr2!$AM22), 0),ADRYr2!$AN22,0)))</f>
        <v/>
      </c>
      <c r="AF22" s="45" t="str">
        <f t="shared" si="23"/>
        <v/>
      </c>
      <c r="AG22" s="45">
        <f>IF($G22="",0,AE22*ADRYr2!$P22)</f>
        <v>0</v>
      </c>
      <c r="AH22" s="45" t="str">
        <f t="shared" si="24"/>
        <v/>
      </c>
      <c r="AI22" s="45" t="str">
        <f>IF($G22="","",$G22*ADRYr2!$Q22*ADRYr2!$U22*(IF(ADRYr2!$AI22=Lookups!$E$116,ADRYr2!$AJ22,IF(ADRYr2!$AK22=Lookups!$E$116,ADRYr2!$AL22,IF(ADRYr2!$AM22=Lookups!$E$116,ADRYr2!$AN22,0)))))</f>
        <v/>
      </c>
      <c r="AJ22" s="45" t="str">
        <f t="shared" si="25"/>
        <v/>
      </c>
      <c r="AK22" s="45">
        <f>IF($G22="",0,AI22*ADRYr2!$P22)</f>
        <v>0</v>
      </c>
      <c r="AL22" s="45" t="str">
        <f t="shared" si="26"/>
        <v/>
      </c>
      <c r="AM22" s="45" t="str">
        <f>IF($G22="","",$G22*ADRYr2!$Q22*ADRYr2!$U22*(IF(ADRYr2!$AI22=Lookups!$E$115,ADRYr2!$AJ22,IF(ADRYr2!$AK22=Lookups!$E$115,ADRYr2!$AL22,IF(ADRYr2!$AM22=Lookups!$E$115,ADRYr2!$AN22,0)))))</f>
        <v/>
      </c>
      <c r="AN22" s="45" t="str">
        <f t="shared" si="27"/>
        <v/>
      </c>
      <c r="AO22" s="45">
        <f>IF($G22="",0,AM22*ADRYr2!$P22)</f>
        <v>0</v>
      </c>
      <c r="AP22" s="45" t="str">
        <f t="shared" si="28"/>
        <v/>
      </c>
      <c r="AQ22" s="45" t="str">
        <f>IF($G22="","",$G22*ADRYr2!$Q22*ADRYr2!$U22*(IF(ADRYr2!$AI22=Lookups!$E$117,ADRYr2!$AJ22,IF(ADRYr2!$AK22=Lookups!$E$117,ADRYr2!$AL22,IF(ADRYr2!$AM22=Lookups!$E$117,ADRYr2!$AN22,0)))))</f>
        <v/>
      </c>
      <c r="AR22" s="45" t="str">
        <f t="shared" si="29"/>
        <v/>
      </c>
      <c r="AS22" s="45" t="str">
        <f>IF($G22="","",AQ22*ADRYr2!$P22)</f>
        <v/>
      </c>
      <c r="AT22" s="45" t="str">
        <f t="shared" si="30"/>
        <v/>
      </c>
      <c r="AU22" s="45" t="str">
        <f>IF($G22="","",$G22*ADRYr2!$Q22*ADRYr2!$U22*(IF(ADRYr2!$AI22=Lookups!$E$118,ADRYr2!$AJ22,IF(ADRYr2!$AK22=Lookups!$E$118,ADRYr2!$AL22,IF(ADRYr2!$AM22=Lookups!$E$118,ADRYr2!$AN22,0)))))</f>
        <v/>
      </c>
      <c r="AV22" s="45" t="str">
        <f t="shared" si="31"/>
        <v/>
      </c>
      <c r="AW22" s="45" t="str">
        <f>IF($G22="","",AU22*ADRYr2!$P22)</f>
        <v/>
      </c>
      <c r="AX22" s="45" t="str">
        <f t="shared" si="32"/>
        <v/>
      </c>
      <c r="AY22" s="45">
        <f t="shared" ref="AY22:AZ50" si="49">SUM(AC22,AG22,AK22,AO22,AS22,AW22)</f>
        <v>0</v>
      </c>
      <c r="AZ22" s="45">
        <f t="shared" si="49"/>
        <v>0</v>
      </c>
      <c r="BA22" s="101" t="str">
        <f>IF($G22="","",$G22*ADRYr2!$P22*ADRYr2!$Q22*ADRYr2!$U22*ADRYr2!AO22)</f>
        <v/>
      </c>
      <c r="BB22" s="102" t="str">
        <f>IF($G22="","",$G22*ADRYr2!$P22*ADRYr2!$Q22*ADRYr2!$U22*ADRYr2!AP22)</f>
        <v/>
      </c>
      <c r="BC22" s="100" t="str">
        <f t="shared" si="34"/>
        <v/>
      </c>
      <c r="BD22" s="961"/>
      <c r="BE22" s="961"/>
      <c r="BF22" s="961"/>
      <c r="BG22" s="961"/>
      <c r="BH22" s="962" t="str">
        <f t="shared" si="3"/>
        <v/>
      </c>
      <c r="BI22" s="961"/>
      <c r="BJ22" s="961"/>
      <c r="BK22" s="961"/>
      <c r="BL22" s="961"/>
      <c r="BM22" s="30" t="str">
        <f t="shared" si="4"/>
        <v/>
      </c>
      <c r="BN22" s="963" t="str">
        <f t="shared" si="5"/>
        <v/>
      </c>
      <c r="BO22" s="31" t="str">
        <f t="shared" si="35"/>
        <v/>
      </c>
      <c r="BP22" s="964" t="str">
        <f t="shared" si="6"/>
        <v/>
      </c>
      <c r="BQ22" s="28" t="str">
        <f t="shared" si="7"/>
        <v/>
      </c>
      <c r="BR22" s="964" t="str">
        <f t="shared" si="8"/>
        <v/>
      </c>
      <c r="BS22" s="964" t="str">
        <f t="shared" si="9"/>
        <v/>
      </c>
      <c r="BT22" s="28" t="str">
        <f t="shared" si="10"/>
        <v/>
      </c>
      <c r="BU22" s="28" t="str">
        <f t="shared" si="10"/>
        <v/>
      </c>
      <c r="BV22" s="28" t="str">
        <f t="shared" si="10"/>
        <v/>
      </c>
      <c r="BW22" s="29" t="str">
        <f t="shared" si="36"/>
        <v/>
      </c>
      <c r="BX22" s="29" t="str">
        <f t="shared" si="37"/>
        <v/>
      </c>
      <c r="BY22" s="28" t="str">
        <f>IF($G22="","",$G22*(IF(ADRYr2!$AI22=BY$4,ADRYr2!$AJ22,IF(ADRYr2!$AK22=BY$4,ADRYr2!$AL22,IF(ADRYr2!$AM22=BY$4,ADRYr2!$AN22,0))))*(INDEX(avoidedcosttbl2,$H22,BY$2)+(($H22-ROUNDDOWN($H22,0))*(INDEX(avoidedcosttbl2,ROUNDUP($H22,0),BY$2)-(INDEX(avoidedcosttbl2,ROUNDDOWN($H22,0),BY$2)))))*ADRYr2!P22*ADRYr2!Q22*ADRYr2!U22)</f>
        <v/>
      </c>
      <c r="BZ22" s="28" t="str">
        <f>IF($G22="","",$G22*(IF(ADRYr2!$AI22=BZ$4,ADRYr2!$AJ22,IF(ADRYr2!$AK22=BZ$4,ADRYr2!$AL22,IF(ADRYr2!$AM22=BZ$4,ADRYr2!$AN22,0))))*(INDEX(avoidedcosttbl2,$H22,BZ$2)+(($H22-ROUNDDOWN($H22,0))*(INDEX(avoidedcosttbl2,ROUNDUP($H22,0),BZ$2)-(INDEX(avoidedcosttbl2,ROUNDDOWN($H22,0),BZ$2)))))*ADRYr2!P22*ADRYr2!Q22*ADRYr2!U22)</f>
        <v/>
      </c>
      <c r="CA22" s="28" t="str">
        <f>IF($G22="","",$G22*(IF(ADRYr2!$AI22=CA$4,ADRYr2!$AJ22,IF(ADRYr2!$AK22=CA$4,ADRYr2!$AL22,IF(ADRYr2!$AM22=CA$4,ADRYr2!$AN22,0))))*(INDEX(avoidedcosttbl2,$H22,CA$2)+(($H22-ROUNDDOWN($H22,0))*(INDEX(avoidedcosttbl2,ROUNDUP($H22,0),CA$2)-(INDEX(avoidedcosttbl2,ROUNDDOWN($H22,0),CA$2)))))*ADRYr2!P22*ADRYr2!Q22*ADRYr2!U22)</f>
        <v/>
      </c>
      <c r="CB22" s="28" t="str">
        <f>IF($G22="","",$G22*(IF(ADRYr2!$AI22=CB$4,ADRYr2!$AJ22,IF(ADRYr2!$AK22=CB$4,ADRYr2!$AL22,IF(ADRYr2!$AM22=CB$4,ADRYr2!$AN22,0))))*(INDEX(avoidedcosttbl2,$H22,CB$2)+(($H22-ROUNDDOWN($H22,0))*(INDEX(avoidedcosttbl2,ROUNDUP($H22,0),CB$2)-(INDEX(avoidedcosttbl2,ROUNDDOWN($H22,0),CB$2)))))*ADRYr2!P22*ADRYr2!Q22*ADRYr2!U22)</f>
        <v/>
      </c>
      <c r="CC22" s="28" t="str">
        <f>IF($G22="","",$G22*(IF(ADRYr2!$AI22=CC$4,ADRYr2!$AJ22,IF(ADRYr2!$AK22=CC$4,ADRYr2!$AL22,IF(ADRYr2!$AM22=CC$4,ADRYr2!$AN22,0))))*(INDEX(avoidedcosttbl2,$H22,CC$2)+(($H22-ROUNDDOWN($H22,0))*(INDEX(avoidedcosttbl2,ROUNDUP($H22,0),CC$2)-(INDEX(avoidedcosttbl2,ROUNDDOWN($H22,0),CC$2)))))*ADRYr2!P22*ADRYr2!Q22*ADRYr2!U22)</f>
        <v/>
      </c>
      <c r="CD22" s="28" t="str">
        <f>IF($G22="","",$G22*(IF(ADRYr2!$AI22=CD$4,ADRYr2!$AJ22,IF(ADRYr2!$AK22=CD$4,ADRYr2!$AL22,IF(ADRYr2!$AM22=CD$4,ADRYr2!$AN22,0))))*(INDEX(avoidedcosttbl2,$H22,CD$2)+(($H22-ROUNDDOWN($H22,0))*(INDEX(avoidedcosttbl2,ROUNDUP($H22,0),CD$2)-(INDEX(avoidedcosttbl2,ROUNDDOWN($H22,0),CD$2)))))*ADRYr2!P22*ADRYr2!Q22*ADRYr2!U22)</f>
        <v/>
      </c>
      <c r="CE22" s="28" t="str">
        <f>IF($G22="","",$G22*(IF(ADRYr2!$AI22=CE$4,ADRYr2!$AJ22,IF(ADRYr2!$AK22=CE$4,ADRYr2!$AL22,IF(ADRYr2!$AM22=CE$4,ADRYr2!$AN22,0))))*(INDEX(avoidedcosttbl2,$H22,CE$2)+(($H22-ROUNDDOWN($H22,0))*(INDEX(avoidedcosttbl2,ROUNDUP($H22,0),CE$2)-(INDEX(avoidedcosttbl2,ROUNDDOWN($H22,0),CE$2)))))*ADRYr2!P22*ADRYr2!Q22*ADRYr2!U22)</f>
        <v/>
      </c>
      <c r="CF22" s="41" t="str">
        <f t="shared" si="38"/>
        <v/>
      </c>
      <c r="CG22" s="30" t="str">
        <f t="shared" si="11"/>
        <v/>
      </c>
      <c r="CH22" s="30" t="str">
        <f>IF($G22="","",$G22*(IF(ADRYr2!$AI22=BY$4,ADRYr2!$AJ22,IF(ADRYr2!$AK22=BY$4,ADRYr2!$AL22,IF(ADRYr2!$AM22=BY$4,ADRYr2!$AN22,0))))*(INDEX(avoidedcosttbl2,$H22,CH$2)+(($H22-ROUNDDOWN($H22,0))*(INDEX(avoidedcosttbl2,ROUNDUP($H22,0),CH$2)-(INDEX(avoidedcosttbl2,ROUNDDOWN($H22,0),CH$2)))))*ADRYr2!P22*ADRYr2!Q22*ADRYr2!U22)</f>
        <v/>
      </c>
      <c r="CI22" s="30" t="str">
        <f>IF($G22="","",$G22*(IF(ADRYr2!$AI22=BZ$4,ADRYr2!$AJ22,IF(ADRYr2!$AK22=BZ$4,ADRYr2!$AL22,IF(ADRYr2!$AM22=BZ$4,ADRYr2!$AN22,0))))*(INDEX(avoidedcosttbl2,$H22,CI$2)+(($H22-ROUNDDOWN($H22,0))*(INDEX(avoidedcosttbl2,ROUNDUP($H22,0),CI$2)-(INDEX(avoidedcosttbl2,ROUNDDOWN($H22,0),CI$2)))))*ADRYr2!P22*ADRYr2!Q22*ADRYr2!U22)</f>
        <v/>
      </c>
      <c r="CJ22" s="30" t="str">
        <f>IF($G22="","",$G22*(IF(ADRYr2!$AI22=CA$4,ADRYr2!$AJ22,IF(ADRYr2!$AK22=CA$4,ADRYr2!$AL22,IF(ADRYr2!$AM22=CA$4,ADRYr2!$AN22,0))))*(INDEX(avoidedcosttbl2,$H22,CJ$2)+(($H22-ROUNDDOWN($H22,0))*(INDEX(avoidedcosttbl2,ROUNDUP($H22,0),CJ$2)-(INDEX(avoidedcosttbl2,ROUNDDOWN($H22,0),CJ$2)))))*ADRYr2!P22*ADRYr2!Q22*ADRYr2!U22)</f>
        <v/>
      </c>
      <c r="CK22" s="30" t="str">
        <f>IF($G22="","",$G22*(IF(ADRYr2!$AI22=CB$4,ADRYr2!$AJ22,IF(ADRYr2!$AK22=CB$4,ADRYr2!$AL22,IF(ADRYr2!$AM22=CB$4,ADRYr2!$AN22,0))))*(INDEX(avoidedcosttbl2,$H22,CK$2)+(($H22-ROUNDDOWN($H22,0))*(INDEX(avoidedcosttbl2,ROUNDUP($H22,0),CK$2)-(INDEX(avoidedcosttbl2,ROUNDDOWN($H22,0),CK$2)))))*ADRYr2!P22*ADRYr2!Q22*ADRYr2!U22)</f>
        <v/>
      </c>
      <c r="CL22" s="30" t="str">
        <f>IF($G22="","",$G22*(IF(ADRYr2!$AI22=CC$4,ADRYr2!$AJ22,IF(ADRYr2!$AK22=CC$4,ADRYr2!$AL22,IF(ADRYr2!$AM22=CC$4,ADRYr2!$AN22,0))))*(INDEX(avoidedcosttbl2,$H22,CL$2)+(($H22-ROUNDDOWN($H22,0))*(INDEX(avoidedcosttbl2,ROUNDUP($H22,0),CL$2)-(INDEX(avoidedcosttbl2,ROUNDDOWN($H22,0),CL$2)))))*ADRYr2!P22*ADRYr2!Q22*ADRYr2!U22)</f>
        <v/>
      </c>
      <c r="CM22" s="30" t="str">
        <f>IF($G22="","",$G22*(IF(ADRYr2!$AI22=CD$4,ADRYr2!$AJ22,IF(ADRYr2!$AK22=CD$4,ADRYr2!$AL22,IF(ADRYr2!$AM22=CD$4,ADRYr2!$AN22,0))))*(INDEX(avoidedcosttbl2,$H22,CM$2)+(($H22-ROUNDDOWN($H22,0))*(INDEX(avoidedcosttbl2,ROUNDUP($H22,0),CM$2)-(INDEX(avoidedcosttbl2,ROUNDDOWN($H22,0),CM$2)))))*ADRYr2!P22*ADRYr2!Q22*ADRYr2!U22)</f>
        <v/>
      </c>
      <c r="CN22" s="30" t="str">
        <f>IF($G22="","",$G22*(IF(ADRYr2!$AI22=CE$4,ADRYr2!$AJ22,IF(ADRYr2!$AK22=CE$4,ADRYr2!$AL22,IF(ADRYr2!$AM22=CE$4,ADRYr2!$AN22,0))))*(INDEX(avoidedcosttbl2,$H22,CN$2)+(($H22-ROUNDDOWN($H22,0))*(INDEX(avoidedcosttbl2,ROUNDUP($H22,0),CN$2)-(INDEX(avoidedcosttbl2,ROUNDDOWN($H22,0),CN$2)))))*ADRYr2!P22*ADRYr2!Q22*ADRYr2!U22)</f>
        <v/>
      </c>
      <c r="CO22" s="220" t="str">
        <f t="shared" si="39"/>
        <v/>
      </c>
      <c r="CP22" s="220" t="str">
        <f t="shared" si="40"/>
        <v/>
      </c>
      <c r="CQ22" s="157" t="str">
        <f>IF($G22="","",$G22*(IF(ADRYr2!$AI22=CQ$4,ADRYr2!$AJ22,IF(ADRYr2!$AK22=CQ$4,ADRYr2!$AL22,IF(ADRYr2!$AM22=CQ$4,ADRYr2!$AN22,0))))*(INDEX(avoidedcosttbl2,$H22,CQ$2)+(($H22-ROUNDDOWN($H22,0))*(INDEX(avoidedcosttbl2,ROUNDUP($H22,0),CQ$2)-(INDEX(avoidedcosttbl2,ROUNDDOWN($H22,0),CQ$2)))))*ADRYr2!$P22*ADRYr2!$Q22*ADRYr2!$U22)</f>
        <v/>
      </c>
      <c r="CR22" s="28" t="str">
        <f>IF($G22="","",G22*(IF(ADRYr2!$AI22=CR$4,ADRYr2!$AJ22,IF(ADRYr2!$AK22=CR$4,ADRYr2!$AL22,IF(ADRYr2!$AM22=CR$4,ADRYr2!$AN22,0))))*(INDEX(avoidedcosttbl2,$H22,CR$2)+(($H22-ROUNDDOWN($H22,0))*(INDEX(avoidedcosttbl2,ROUNDUP($H22,0),CR$2)-(INDEX(avoidedcosttbl2,ROUNDDOWN($H22,0),CR$2)))))*ADRYr2!$P22*ADRYr2!$Q22*ADRYr2!$U22)</f>
        <v/>
      </c>
      <c r="CS22" s="28" t="str">
        <f>IF($G22="","",G22*(IF(ADRYr2!$AI22=CS$4,ADRYr2!$AJ22,IF(ADRYr2!$AK22=CS$4,ADRYr2!$AL22,IF(ADRYr2!$AM22=CS$4,ADRYr2!$AN22,0))))*(INDEX(avoidedcosttbl2,$H22,CS$2)+(($H22-ROUNDDOWN($H22,0))*(INDEX(avoidedcosttbl2,ROUNDUP($H22,0),CS$2)-(INDEX(avoidedcosttbl2,ROUNDDOWN($H22,0),CS$2)))))*ADRYr2!$P22*ADRYr2!$Q22*ADRYr2!$U22)</f>
        <v/>
      </c>
      <c r="CT22" s="28" t="str">
        <f t="shared" si="12"/>
        <v/>
      </c>
      <c r="CU22" s="28" t="str">
        <f>IF($G22="","",G22*(IF(ADRYr2!$AI22=CU$4,ADRYr2!$AJ22,IF(ADRYr2!$AK22=CU$4,ADRYr2!$AL22,IF(ADRYr2!$AM22=CU$4,ADRYr2!$AN22,0))))*(INDEX(avoidedcosttbl2,$H22,CU$2)+(($H22-ROUNDDOWN($H22,0))*(INDEX(avoidedcosttbl2,ROUNDUP($H22,0),CU$2)-(INDEX(avoidedcosttbl2,ROUNDDOWN($H22,0),CU$2)))))*ADRYr2!$P22*ADRYr2!$Q22*ADRYr2!$U22)</f>
        <v/>
      </c>
      <c r="CV22" s="28" t="str">
        <f>IF($G22="","",G22*(IF(ADRYr2!$AI22=CV$4,ADRYr2!$AJ22,IF(ADRYr2!$AK22=CV$4,ADRYr2!$AL22,IF(ADRYr2!$AM22=CV$4,ADRYr2!$AN22,0))))*(INDEX(avoidedcosttbl2,$H22,CV$2)+(($H22-ROUNDDOWN($H22,0))*(INDEX(avoidedcosttbl2,ROUNDUP($H22,0),CV$2)-(INDEX(avoidedcosttbl2,ROUNDDOWN($H22,0),CV$2)))))*ADRYr2!$P22*ADRYr2!$Q22*ADRYr2!$U22)</f>
        <v/>
      </c>
      <c r="CW22" s="28" t="str">
        <f>IF($G22="","",G22*(IF(ADRYr2!$AI22=CW$4,ADRYr2!$AJ22,IF(ADRYr2!$AK22=CW$4,ADRYr2!$AL22,IF(ADRYr2!$AM22=CW$4,ADRYr2!$AN22,0))))*(INDEX(avoidedcosttbl2,$H22,CW$2)+(($H22-ROUNDDOWN($H22,0))*(INDEX(avoidedcosttbl2,ROUNDUP($H22,0),CW$2)-(INDEX(avoidedcosttbl2,ROUNDDOWN($H22,0),CW$2)))))*ADRYr2!$P22*ADRYr2!$Q22*ADRYr2!$U22)</f>
        <v/>
      </c>
      <c r="CX22" s="28" t="str">
        <f>IF($G22="","",G22*(IF(ADRYr2!$AI22=CX$4,ADRYr2!$AJ22,IF(ADRYr2!$AK22=CX$4,ADRYr2!$AL22,IF(ADRYr2!$AM22=CX$4,ADRYr2!$AN22,0))))*(INDEX(avoidedcosttbl2,$H22,CX$2)+(($H22-ROUNDDOWN($H22,0))*(INDEX(avoidedcosttbl2,ROUNDUP($H22,0),CX$2)-(INDEX(avoidedcosttbl2,ROUNDDOWN($H22,0),CX$2)))))*ADRYr2!$P22*ADRYr2!$Q22*ADRYr2!$U22)</f>
        <v/>
      </c>
      <c r="CY22" s="28" t="str">
        <f t="shared" si="13"/>
        <v/>
      </c>
      <c r="CZ22" s="32" t="str">
        <f t="shared" si="14"/>
        <v/>
      </c>
      <c r="DA22" s="84" t="str">
        <f t="shared" si="41"/>
        <v/>
      </c>
      <c r="DB22" s="81" t="str">
        <f>IF(NEIadder="Yes",IF($G22="","",INDEX(Lookups!$G$70:$G$71,MATCH($A22,Lookups!$E$70:$E$71,0))*(SUM(CP22:CX22,BX22))),"")</f>
        <v/>
      </c>
      <c r="DC22" s="263" t="str">
        <f t="shared" si="15"/>
        <v/>
      </c>
      <c r="DD22" s="166" t="str">
        <f t="shared" si="16"/>
        <v/>
      </c>
      <c r="DE22" s="82">
        <f t="shared" si="42"/>
        <v>0</v>
      </c>
      <c r="DF22" s="615" t="str">
        <f>IF($G22="","",(1+WntPeakEnergyLL)*(INDEX(avoidedcosttbl2,$H22,DF$2)+(($H22-ROUNDDOWN($H22,0))*(INDEX(avoidedcosttbl2,ROUNDUP($H22,0),DF$2)-(INDEX(avoidedcosttbl2,ROUNDDOWN($H22,0),DF$2)))))*$P22*1000*ADRYr2!Z22)</f>
        <v/>
      </c>
      <c r="DG22" s="615" t="str">
        <f>IF($G22="","",(1+WntOffPeakEnergyLL)*(INDEX(avoidedcosttbl2,$H22,DG$2)+(($H22-ROUNDDOWN($H22,0))*(INDEX(avoidedcosttbl2,ROUNDUP($H22,0),DG$2)-(INDEX(avoidedcosttbl2,ROUNDDOWN($H22,0),DG$2)))))*$P22*1000*ADRYr2!AA22)</f>
        <v/>
      </c>
      <c r="DH22" s="615" t="str">
        <f>IF($G22="","",(1+SumPeakEnergyLL)*(INDEX(avoidedcosttbl2,$H22,DH$2)+(($H22-ROUNDDOWN($H22,0))*(INDEX(avoidedcosttbl2,ROUNDUP($H22,0),DH$2)-(INDEX(avoidedcosttbl2,ROUNDDOWN($H22,0),DH$2)))))*$P22*1000*ADRYr2!AB22)</f>
        <v/>
      </c>
      <c r="DI22" s="615" t="str">
        <f>IF($G22="","",(1+SumOffPeakEnergyLL)*(INDEX(avoidedcosttbl2,$H22,DI$2)+(($H22-ROUNDDOWN($H22,0))*(INDEX(avoidedcosttbl2,ROUNDUP($H22,0),DI$2)-(INDEX(avoidedcosttbl2,ROUNDDOWN($H22,0),DI$2)))))*$P22*1000*ADRYr2!AC22)</f>
        <v/>
      </c>
      <c r="DJ22" s="29" t="str">
        <f t="shared" si="43"/>
        <v/>
      </c>
      <c r="DK22" s="161" t="str">
        <f t="shared" si="44"/>
        <v/>
      </c>
      <c r="DL22" s="1189" t="str">
        <f t="shared" si="45"/>
        <v/>
      </c>
      <c r="DM22" s="1189" t="str">
        <f t="shared" si="46"/>
        <v/>
      </c>
      <c r="DN22" s="43" t="str">
        <f t="shared" si="47"/>
        <v/>
      </c>
      <c r="DO22" s="966" t="str">
        <f>IF($G22="","",ADRYr2!AQ22)</f>
        <v/>
      </c>
      <c r="DP22" s="968" t="str">
        <f>IF($G22="","",ADRYr2!AR22)</f>
        <v/>
      </c>
      <c r="DQ22" s="970" t="str">
        <f>IF($G22="","",IF($DP22="Yes",COLUMN(AESC!$L$10),IF($DP22="No","Using AvoidedDemand tab",IF($DP22="Mixed",COLUMN(AESC!$N$10)))))</f>
        <v/>
      </c>
      <c r="DR22" s="970" t="str">
        <f>IF($G22="","",IF($DP22="Yes",COLUMN(AESC!$P$10),IF($DP22="No","Using AvoidedDemand tab",IF($DP22="Mixed",COLUMN(AESC!$R$10)))))</f>
        <v/>
      </c>
      <c r="DS22" s="970" t="str">
        <f>IF($G22="","",IF($DP22="Yes",COLUMN(AESC!$S$10),IF($DP22="No",COLUMN(AESC!$T$10),IF($DP22="Mixed",COLUMN(AESC!$U$10)))))</f>
        <v/>
      </c>
      <c r="DT22" s="970" t="str">
        <f t="shared" si="48"/>
        <v/>
      </c>
      <c r="DU22" s="970" t="str">
        <f>IF($G22="","",ADRYr2!AS22)</f>
        <v/>
      </c>
      <c r="DV22" s="971" t="str">
        <f>IF($G22="","",ADRYr2!AT22)</f>
        <v/>
      </c>
      <c r="DW22" s="1162" t="str">
        <f>IF($G22="","",INDEX(AvoidedEnergy!$H$4:$H$10,MATCH($DO22,AvoidedEnergy!$A$4:$A$10,0)))</f>
        <v/>
      </c>
    </row>
    <row r="23" spans="1:127">
      <c r="A23" s="160" t="str">
        <f>IF(ADRYr2!$B23=0,"",ADRYr2!A23)</f>
        <v>B - Low-Income</v>
      </c>
      <c r="B23" s="9" t="str">
        <f>IF(ADRYr2!$B23=0,"",ADRYr2!B23)</f>
        <v>Home Energy Assistance</v>
      </c>
      <c r="C23" s="9" t="str">
        <f>IF(ADRYr2!$B23=0,"",ADRYr2!C23)</f>
        <v>Res Demand Response</v>
      </c>
      <c r="D23" s="9" t="str">
        <f>IF(ADRYr2!$B23=0,"",ADRYr2!D23)</f>
        <v>Storage Daily Dispatch P4P (savings) Summer</v>
      </c>
      <c r="E23" s="9">
        <f>IF(ADRYr2!$B23=0,"",ADRYr2!E23)</f>
        <v>0</v>
      </c>
      <c r="F23" s="11" t="str">
        <f>IF(ADRYr2!$B23=0,"",ADRYr2!F23)</f>
        <v>Behavior</v>
      </c>
      <c r="G23" s="12" t="str">
        <f>IF(ADRYr2!$G23&lt;&gt;0,ADRYr2!G23,"")</f>
        <v/>
      </c>
      <c r="H23" s="960" t="str">
        <f>IF($G23="","",ROUND(ADRYr2!H23,0))</f>
        <v/>
      </c>
      <c r="I23" s="47" t="str">
        <f>IF($G23="","",ADRYr2!I23*ADRYr2!P23*G23)</f>
        <v/>
      </c>
      <c r="J23" s="47" t="str">
        <f>IF($G23="","",ADRYr2!J23*G23)</f>
        <v/>
      </c>
      <c r="K23" s="47" t="str">
        <f t="shared" si="17"/>
        <v/>
      </c>
      <c r="L23" s="27" t="str">
        <f>IF($G23="","",ADRYr2!V23*G23/1000)</f>
        <v/>
      </c>
      <c r="M23" s="27" t="str">
        <f>IF($G23="","",L23*ADRYr2!$Q23*ADRYr2!$R23)</f>
        <v/>
      </c>
      <c r="N23" s="27" t="str">
        <f t="shared" si="18"/>
        <v/>
      </c>
      <c r="O23" s="27" t="str">
        <f t="shared" si="19"/>
        <v/>
      </c>
      <c r="P23" s="27" t="str">
        <f>IF($G23="","",M23*ADRYr2!P23)</f>
        <v/>
      </c>
      <c r="Q23" s="27" t="str">
        <f t="shared" si="20"/>
        <v/>
      </c>
      <c r="R23" s="27" t="str">
        <f>IF($G23="","",$Q23*ADRYr2!Z23)</f>
        <v/>
      </c>
      <c r="S23" s="27" t="str">
        <f>IF($G23="","",$Q23*ADRYr2!AA23)</f>
        <v/>
      </c>
      <c r="T23" s="27" t="str">
        <f>IF($G23="","",$Q23*ADRYr2!AB23)</f>
        <v/>
      </c>
      <c r="U23" s="27" t="str">
        <f>IF($G23="","",$Q23*ADRYr2!AC23)</f>
        <v/>
      </c>
      <c r="V23" s="27" t="str">
        <f>IF($G23="","",G23*ADRYr2!$AD23*ADRYr2!$P23*ADRYr2!$Q23)</f>
        <v/>
      </c>
      <c r="W23" s="27" t="str">
        <f>IF($G23="","",$G23*ADRYr2!$AD23*ADRYr2!$AF23*ADRYr2!Q23*ADRYr2!$S23)</f>
        <v/>
      </c>
      <c r="X23" s="27" t="str">
        <f>IF($G23="","",$G23*ADRYr2!$AD23*ADRYr2!$AF23*ADRYr2!P23*ADRYr2!Q23*ADRYr2!$S23)</f>
        <v/>
      </c>
      <c r="Y23" s="27" t="str">
        <f>IF($G23="","",$G23*ADRYr2!$AD23*ADRYr2!$AE23*ADRYr2!Q23*ADRYr2!$T23)</f>
        <v/>
      </c>
      <c r="Z23" s="27" t="str">
        <f>IF($G23="","",$G23*ADRYr2!$AD23*ADRYr2!$AE23*ADRYr2!P23*ADRYr2!Q23*ADRYr2!$T23)</f>
        <v/>
      </c>
      <c r="AA23" s="45" t="str">
        <f>IF($G23="","",$G23*ADRYr2!$Q23*ADRYr2!$U23*(IF(IFERROR(SEARCH("NG", ADRYr2!$AI23),0),ADRYr2!$AJ23,0)+IF(IFERROR(SEARCH("NG", ADRYr2!$AK23),0),ADRYr2!$AL23,0)+IF(IFERROR(SEARCH("NG", ADRYr2!$AM23),0),ADRYr2!$AN23,0)))</f>
        <v/>
      </c>
      <c r="AB23" s="45" t="str">
        <f t="shared" si="21"/>
        <v/>
      </c>
      <c r="AC23" s="45">
        <f>IF($G23="",0,AA23*ADRYr2!$P23)</f>
        <v>0</v>
      </c>
      <c r="AD23" s="45" t="str">
        <f t="shared" si="22"/>
        <v/>
      </c>
      <c r="AE23" s="45" t="str">
        <f>IF($G23="","",$G23*ADRYr2!$Q23*ADRYr2!$U23*(IF(IFERROR(SEARCH("Oil", ADRYr2!$AI23), 0),ADRYr2!$AJ23,0)+IF(IFERROR(SEARCH("Oil", ADRYr2!$AK23), 0),ADRYr2!$AL23,0)+IF(IFERROR(SEARCH("Oil", ADRYr2!$AM23), 0),ADRYr2!$AN23,0)))</f>
        <v/>
      </c>
      <c r="AF23" s="45" t="str">
        <f t="shared" si="23"/>
        <v/>
      </c>
      <c r="AG23" s="45">
        <f>IF($G23="",0,AE23*ADRYr2!$P23)</f>
        <v>0</v>
      </c>
      <c r="AH23" s="45" t="str">
        <f t="shared" si="24"/>
        <v/>
      </c>
      <c r="AI23" s="45" t="str">
        <f>IF($G23="","",$G23*ADRYr2!$Q23*ADRYr2!$U23*(IF(ADRYr2!$AI23=Lookups!$E$116,ADRYr2!$AJ23,IF(ADRYr2!$AK23=Lookups!$E$116,ADRYr2!$AL23,IF(ADRYr2!$AM23=Lookups!$E$116,ADRYr2!$AN23,0)))))</f>
        <v/>
      </c>
      <c r="AJ23" s="45" t="str">
        <f t="shared" si="25"/>
        <v/>
      </c>
      <c r="AK23" s="45">
        <f>IF($G23="",0,AI23*ADRYr2!$P23)</f>
        <v>0</v>
      </c>
      <c r="AL23" s="45" t="str">
        <f t="shared" si="26"/>
        <v/>
      </c>
      <c r="AM23" s="45" t="str">
        <f>IF($G23="","",$G23*ADRYr2!$Q23*ADRYr2!$U23*(IF(ADRYr2!$AI23=Lookups!$E$115,ADRYr2!$AJ23,IF(ADRYr2!$AK23=Lookups!$E$115,ADRYr2!$AL23,IF(ADRYr2!$AM23=Lookups!$E$115,ADRYr2!$AN23,0)))))</f>
        <v/>
      </c>
      <c r="AN23" s="45" t="str">
        <f t="shared" si="27"/>
        <v/>
      </c>
      <c r="AO23" s="45">
        <f>IF($G23="",0,AM23*ADRYr2!$P23)</f>
        <v>0</v>
      </c>
      <c r="AP23" s="45" t="str">
        <f t="shared" si="28"/>
        <v/>
      </c>
      <c r="AQ23" s="45" t="str">
        <f>IF($G23="","",$G23*ADRYr2!$Q23*ADRYr2!$U23*(IF(ADRYr2!$AI23=Lookups!$E$117,ADRYr2!$AJ23,IF(ADRYr2!$AK23=Lookups!$E$117,ADRYr2!$AL23,IF(ADRYr2!$AM23=Lookups!$E$117,ADRYr2!$AN23,0)))))</f>
        <v/>
      </c>
      <c r="AR23" s="45" t="str">
        <f t="shared" si="29"/>
        <v/>
      </c>
      <c r="AS23" s="45" t="str">
        <f>IF($G23="","",AQ23*ADRYr2!$P23)</f>
        <v/>
      </c>
      <c r="AT23" s="45" t="str">
        <f t="shared" si="30"/>
        <v/>
      </c>
      <c r="AU23" s="45" t="str">
        <f>IF($G23="","",$G23*ADRYr2!$Q23*ADRYr2!$U23*(IF(ADRYr2!$AI23=Lookups!$E$118,ADRYr2!$AJ23,IF(ADRYr2!$AK23=Lookups!$E$118,ADRYr2!$AL23,IF(ADRYr2!$AM23=Lookups!$E$118,ADRYr2!$AN23,0)))))</f>
        <v/>
      </c>
      <c r="AV23" s="45" t="str">
        <f t="shared" si="31"/>
        <v/>
      </c>
      <c r="AW23" s="45" t="str">
        <f>IF($G23="","",AU23*ADRYr2!$P23)</f>
        <v/>
      </c>
      <c r="AX23" s="45" t="str">
        <f t="shared" si="32"/>
        <v/>
      </c>
      <c r="AY23" s="45">
        <f t="shared" si="49"/>
        <v>0</v>
      </c>
      <c r="AZ23" s="45">
        <f t="shared" si="49"/>
        <v>0</v>
      </c>
      <c r="BA23" s="101" t="str">
        <f>IF($G23="","",$G23*ADRYr2!$P23*ADRYr2!$Q23*ADRYr2!$U23*ADRYr2!AO23)</f>
        <v/>
      </c>
      <c r="BB23" s="102" t="str">
        <f>IF($G23="","",$G23*ADRYr2!$P23*ADRYr2!$Q23*ADRYr2!$U23*ADRYr2!AP23)</f>
        <v/>
      </c>
      <c r="BC23" s="100" t="str">
        <f t="shared" si="34"/>
        <v/>
      </c>
      <c r="BD23" s="961"/>
      <c r="BE23" s="961"/>
      <c r="BF23" s="961"/>
      <c r="BG23" s="961"/>
      <c r="BH23" s="962" t="str">
        <f t="shared" si="3"/>
        <v/>
      </c>
      <c r="BI23" s="961"/>
      <c r="BJ23" s="961"/>
      <c r="BK23" s="961"/>
      <c r="BL23" s="961"/>
      <c r="BM23" s="30" t="str">
        <f t="shared" si="4"/>
        <v/>
      </c>
      <c r="BN23" s="963" t="str">
        <f t="shared" si="5"/>
        <v/>
      </c>
      <c r="BO23" s="31" t="str">
        <f t="shared" si="35"/>
        <v/>
      </c>
      <c r="BP23" s="964" t="str">
        <f t="shared" si="6"/>
        <v/>
      </c>
      <c r="BQ23" s="28" t="str">
        <f t="shared" si="7"/>
        <v/>
      </c>
      <c r="BR23" s="964" t="str">
        <f t="shared" si="8"/>
        <v/>
      </c>
      <c r="BS23" s="964" t="str">
        <f t="shared" si="9"/>
        <v/>
      </c>
      <c r="BT23" s="28" t="str">
        <f t="shared" si="10"/>
        <v/>
      </c>
      <c r="BU23" s="28" t="str">
        <f t="shared" si="10"/>
        <v/>
      </c>
      <c r="BV23" s="28" t="str">
        <f t="shared" si="10"/>
        <v/>
      </c>
      <c r="BW23" s="29" t="str">
        <f t="shared" si="36"/>
        <v/>
      </c>
      <c r="BX23" s="29" t="str">
        <f t="shared" si="37"/>
        <v/>
      </c>
      <c r="BY23" s="28" t="str">
        <f>IF($G23="","",$G23*(IF(ADRYr2!$AI23=BY$4,ADRYr2!$AJ23,IF(ADRYr2!$AK23=BY$4,ADRYr2!$AL23,IF(ADRYr2!$AM23=BY$4,ADRYr2!$AN23,0))))*(INDEX(avoidedcosttbl2,$H23,BY$2)+(($H23-ROUNDDOWN($H23,0))*(INDEX(avoidedcosttbl2,ROUNDUP($H23,0),BY$2)-(INDEX(avoidedcosttbl2,ROUNDDOWN($H23,0),BY$2)))))*ADRYr2!P23*ADRYr2!Q23*ADRYr2!U23)</f>
        <v/>
      </c>
      <c r="BZ23" s="28" t="str">
        <f>IF($G23="","",$G23*(IF(ADRYr2!$AI23=BZ$4,ADRYr2!$AJ23,IF(ADRYr2!$AK23=BZ$4,ADRYr2!$AL23,IF(ADRYr2!$AM23=BZ$4,ADRYr2!$AN23,0))))*(INDEX(avoidedcosttbl2,$H23,BZ$2)+(($H23-ROUNDDOWN($H23,0))*(INDEX(avoidedcosttbl2,ROUNDUP($H23,0),BZ$2)-(INDEX(avoidedcosttbl2,ROUNDDOWN($H23,0),BZ$2)))))*ADRYr2!P23*ADRYr2!Q23*ADRYr2!U23)</f>
        <v/>
      </c>
      <c r="CA23" s="28" t="str">
        <f>IF($G23="","",$G23*(IF(ADRYr2!$AI23=CA$4,ADRYr2!$AJ23,IF(ADRYr2!$AK23=CA$4,ADRYr2!$AL23,IF(ADRYr2!$AM23=CA$4,ADRYr2!$AN23,0))))*(INDEX(avoidedcosttbl2,$H23,CA$2)+(($H23-ROUNDDOWN($H23,0))*(INDEX(avoidedcosttbl2,ROUNDUP($H23,0),CA$2)-(INDEX(avoidedcosttbl2,ROUNDDOWN($H23,0),CA$2)))))*ADRYr2!P23*ADRYr2!Q23*ADRYr2!U23)</f>
        <v/>
      </c>
      <c r="CB23" s="28" t="str">
        <f>IF($G23="","",$G23*(IF(ADRYr2!$AI23=CB$4,ADRYr2!$AJ23,IF(ADRYr2!$AK23=CB$4,ADRYr2!$AL23,IF(ADRYr2!$AM23=CB$4,ADRYr2!$AN23,0))))*(INDEX(avoidedcosttbl2,$H23,CB$2)+(($H23-ROUNDDOWN($H23,0))*(INDEX(avoidedcosttbl2,ROUNDUP($H23,0),CB$2)-(INDEX(avoidedcosttbl2,ROUNDDOWN($H23,0),CB$2)))))*ADRYr2!P23*ADRYr2!Q23*ADRYr2!U23)</f>
        <v/>
      </c>
      <c r="CC23" s="28" t="str">
        <f>IF($G23="","",$G23*(IF(ADRYr2!$AI23=CC$4,ADRYr2!$AJ23,IF(ADRYr2!$AK23=CC$4,ADRYr2!$AL23,IF(ADRYr2!$AM23=CC$4,ADRYr2!$AN23,0))))*(INDEX(avoidedcosttbl2,$H23,CC$2)+(($H23-ROUNDDOWN($H23,0))*(INDEX(avoidedcosttbl2,ROUNDUP($H23,0),CC$2)-(INDEX(avoidedcosttbl2,ROUNDDOWN($H23,0),CC$2)))))*ADRYr2!P23*ADRYr2!Q23*ADRYr2!U23)</f>
        <v/>
      </c>
      <c r="CD23" s="28" t="str">
        <f>IF($G23="","",$G23*(IF(ADRYr2!$AI23=CD$4,ADRYr2!$AJ23,IF(ADRYr2!$AK23=CD$4,ADRYr2!$AL23,IF(ADRYr2!$AM23=CD$4,ADRYr2!$AN23,0))))*(INDEX(avoidedcosttbl2,$H23,CD$2)+(($H23-ROUNDDOWN($H23,0))*(INDEX(avoidedcosttbl2,ROUNDUP($H23,0),CD$2)-(INDEX(avoidedcosttbl2,ROUNDDOWN($H23,0),CD$2)))))*ADRYr2!P23*ADRYr2!Q23*ADRYr2!U23)</f>
        <v/>
      </c>
      <c r="CE23" s="28" t="str">
        <f>IF($G23="","",$G23*(IF(ADRYr2!$AI23=CE$4,ADRYr2!$AJ23,IF(ADRYr2!$AK23=CE$4,ADRYr2!$AL23,IF(ADRYr2!$AM23=CE$4,ADRYr2!$AN23,0))))*(INDEX(avoidedcosttbl2,$H23,CE$2)+(($H23-ROUNDDOWN($H23,0))*(INDEX(avoidedcosttbl2,ROUNDUP($H23,0),CE$2)-(INDEX(avoidedcosttbl2,ROUNDDOWN($H23,0),CE$2)))))*ADRYr2!P23*ADRYr2!Q23*ADRYr2!U23)</f>
        <v/>
      </c>
      <c r="CF23" s="41" t="str">
        <f t="shared" si="38"/>
        <v/>
      </c>
      <c r="CG23" s="30" t="str">
        <f t="shared" si="11"/>
        <v/>
      </c>
      <c r="CH23" s="30" t="str">
        <f>IF($G23="","",$G23*(IF(ADRYr2!$AI23=BY$4,ADRYr2!$AJ23,IF(ADRYr2!$AK23=BY$4,ADRYr2!$AL23,IF(ADRYr2!$AM23=BY$4,ADRYr2!$AN23,0))))*(INDEX(avoidedcosttbl2,$H23,CH$2)+(($H23-ROUNDDOWN($H23,0))*(INDEX(avoidedcosttbl2,ROUNDUP($H23,0),CH$2)-(INDEX(avoidedcosttbl2,ROUNDDOWN($H23,0),CH$2)))))*ADRYr2!P23*ADRYr2!Q23*ADRYr2!U23)</f>
        <v/>
      </c>
      <c r="CI23" s="30" t="str">
        <f>IF($G23="","",$G23*(IF(ADRYr2!$AI23=BZ$4,ADRYr2!$AJ23,IF(ADRYr2!$AK23=BZ$4,ADRYr2!$AL23,IF(ADRYr2!$AM23=BZ$4,ADRYr2!$AN23,0))))*(INDEX(avoidedcosttbl2,$H23,CI$2)+(($H23-ROUNDDOWN($H23,0))*(INDEX(avoidedcosttbl2,ROUNDUP($H23,0),CI$2)-(INDEX(avoidedcosttbl2,ROUNDDOWN($H23,0),CI$2)))))*ADRYr2!P23*ADRYr2!Q23*ADRYr2!U23)</f>
        <v/>
      </c>
      <c r="CJ23" s="30" t="str">
        <f>IF($G23="","",$G23*(IF(ADRYr2!$AI23=CA$4,ADRYr2!$AJ23,IF(ADRYr2!$AK23=CA$4,ADRYr2!$AL23,IF(ADRYr2!$AM23=CA$4,ADRYr2!$AN23,0))))*(INDEX(avoidedcosttbl2,$H23,CJ$2)+(($H23-ROUNDDOWN($H23,0))*(INDEX(avoidedcosttbl2,ROUNDUP($H23,0),CJ$2)-(INDEX(avoidedcosttbl2,ROUNDDOWN($H23,0),CJ$2)))))*ADRYr2!P23*ADRYr2!Q23*ADRYr2!U23)</f>
        <v/>
      </c>
      <c r="CK23" s="30" t="str">
        <f>IF($G23="","",$G23*(IF(ADRYr2!$AI23=CB$4,ADRYr2!$AJ23,IF(ADRYr2!$AK23=CB$4,ADRYr2!$AL23,IF(ADRYr2!$AM23=CB$4,ADRYr2!$AN23,0))))*(INDEX(avoidedcosttbl2,$H23,CK$2)+(($H23-ROUNDDOWN($H23,0))*(INDEX(avoidedcosttbl2,ROUNDUP($H23,0),CK$2)-(INDEX(avoidedcosttbl2,ROUNDDOWN($H23,0),CK$2)))))*ADRYr2!P23*ADRYr2!Q23*ADRYr2!U23)</f>
        <v/>
      </c>
      <c r="CL23" s="30" t="str">
        <f>IF($G23="","",$G23*(IF(ADRYr2!$AI23=CC$4,ADRYr2!$AJ23,IF(ADRYr2!$AK23=CC$4,ADRYr2!$AL23,IF(ADRYr2!$AM23=CC$4,ADRYr2!$AN23,0))))*(INDEX(avoidedcosttbl2,$H23,CL$2)+(($H23-ROUNDDOWN($H23,0))*(INDEX(avoidedcosttbl2,ROUNDUP($H23,0),CL$2)-(INDEX(avoidedcosttbl2,ROUNDDOWN($H23,0),CL$2)))))*ADRYr2!P23*ADRYr2!Q23*ADRYr2!U23)</f>
        <v/>
      </c>
      <c r="CM23" s="30" t="str">
        <f>IF($G23="","",$G23*(IF(ADRYr2!$AI23=CD$4,ADRYr2!$AJ23,IF(ADRYr2!$AK23=CD$4,ADRYr2!$AL23,IF(ADRYr2!$AM23=CD$4,ADRYr2!$AN23,0))))*(INDEX(avoidedcosttbl2,$H23,CM$2)+(($H23-ROUNDDOWN($H23,0))*(INDEX(avoidedcosttbl2,ROUNDUP($H23,0),CM$2)-(INDEX(avoidedcosttbl2,ROUNDDOWN($H23,0),CM$2)))))*ADRYr2!P23*ADRYr2!Q23*ADRYr2!U23)</f>
        <v/>
      </c>
      <c r="CN23" s="30" t="str">
        <f>IF($G23="","",$G23*(IF(ADRYr2!$AI23=CE$4,ADRYr2!$AJ23,IF(ADRYr2!$AK23=CE$4,ADRYr2!$AL23,IF(ADRYr2!$AM23=CE$4,ADRYr2!$AN23,0))))*(INDEX(avoidedcosttbl2,$H23,CN$2)+(($H23-ROUNDDOWN($H23,0))*(INDEX(avoidedcosttbl2,ROUNDUP($H23,0),CN$2)-(INDEX(avoidedcosttbl2,ROUNDDOWN($H23,0),CN$2)))))*ADRYr2!P23*ADRYr2!Q23*ADRYr2!U23)</f>
        <v/>
      </c>
      <c r="CO23" s="220" t="str">
        <f t="shared" si="39"/>
        <v/>
      </c>
      <c r="CP23" s="220" t="str">
        <f t="shared" si="40"/>
        <v/>
      </c>
      <c r="CQ23" s="157" t="str">
        <f>IF($G23="","",$G23*(IF(ADRYr2!$AI23=CQ$4,ADRYr2!$AJ23,IF(ADRYr2!$AK23=CQ$4,ADRYr2!$AL23,IF(ADRYr2!$AM23=CQ$4,ADRYr2!$AN23,0))))*(INDEX(avoidedcosttbl2,$H23,CQ$2)+(($H23-ROUNDDOWN($H23,0))*(INDEX(avoidedcosttbl2,ROUNDUP($H23,0),CQ$2)-(INDEX(avoidedcosttbl2,ROUNDDOWN($H23,0),CQ$2)))))*ADRYr2!$P23*ADRYr2!$Q23*ADRYr2!$U23)</f>
        <v/>
      </c>
      <c r="CR23" s="28" t="str">
        <f>IF($G23="","",G23*(IF(ADRYr2!$AI23=CR$4,ADRYr2!$AJ23,IF(ADRYr2!$AK23=CR$4,ADRYr2!$AL23,IF(ADRYr2!$AM23=CR$4,ADRYr2!$AN23,0))))*(INDEX(avoidedcosttbl2,$H23,CR$2)+(($H23-ROUNDDOWN($H23,0))*(INDEX(avoidedcosttbl2,ROUNDUP($H23,0),CR$2)-(INDEX(avoidedcosttbl2,ROUNDDOWN($H23,0),CR$2)))))*ADRYr2!$P23*ADRYr2!$Q23*ADRYr2!$U23)</f>
        <v/>
      </c>
      <c r="CS23" s="28" t="str">
        <f>IF($G23="","",G23*(IF(ADRYr2!$AI23=CS$4,ADRYr2!$AJ23,IF(ADRYr2!$AK23=CS$4,ADRYr2!$AL23,IF(ADRYr2!$AM23=CS$4,ADRYr2!$AN23,0))))*(INDEX(avoidedcosttbl2,$H23,CS$2)+(($H23-ROUNDDOWN($H23,0))*(INDEX(avoidedcosttbl2,ROUNDUP($H23,0),CS$2)-(INDEX(avoidedcosttbl2,ROUNDDOWN($H23,0),CS$2)))))*ADRYr2!$P23*ADRYr2!$Q23*ADRYr2!$U23)</f>
        <v/>
      </c>
      <c r="CT23" s="28" t="str">
        <f t="shared" si="12"/>
        <v/>
      </c>
      <c r="CU23" s="28" t="str">
        <f>IF($G23="","",G23*(IF(ADRYr2!$AI23=CU$4,ADRYr2!$AJ23,IF(ADRYr2!$AK23=CU$4,ADRYr2!$AL23,IF(ADRYr2!$AM23=CU$4,ADRYr2!$AN23,0))))*(INDEX(avoidedcosttbl2,$H23,CU$2)+(($H23-ROUNDDOWN($H23,0))*(INDEX(avoidedcosttbl2,ROUNDUP($H23,0),CU$2)-(INDEX(avoidedcosttbl2,ROUNDDOWN($H23,0),CU$2)))))*ADRYr2!$P23*ADRYr2!$Q23*ADRYr2!$U23)</f>
        <v/>
      </c>
      <c r="CV23" s="28" t="str">
        <f>IF($G23="","",G23*(IF(ADRYr2!$AI23=CV$4,ADRYr2!$AJ23,IF(ADRYr2!$AK23=CV$4,ADRYr2!$AL23,IF(ADRYr2!$AM23=CV$4,ADRYr2!$AN23,0))))*(INDEX(avoidedcosttbl2,$H23,CV$2)+(($H23-ROUNDDOWN($H23,0))*(INDEX(avoidedcosttbl2,ROUNDUP($H23,0),CV$2)-(INDEX(avoidedcosttbl2,ROUNDDOWN($H23,0),CV$2)))))*ADRYr2!$P23*ADRYr2!$Q23*ADRYr2!$U23)</f>
        <v/>
      </c>
      <c r="CW23" s="28" t="str">
        <f>IF($G23="","",G23*(IF(ADRYr2!$AI23=CW$4,ADRYr2!$AJ23,IF(ADRYr2!$AK23=CW$4,ADRYr2!$AL23,IF(ADRYr2!$AM23=CW$4,ADRYr2!$AN23,0))))*(INDEX(avoidedcosttbl2,$H23,CW$2)+(($H23-ROUNDDOWN($H23,0))*(INDEX(avoidedcosttbl2,ROUNDUP($H23,0),CW$2)-(INDEX(avoidedcosttbl2,ROUNDDOWN($H23,0),CW$2)))))*ADRYr2!$P23*ADRYr2!$Q23*ADRYr2!$U23)</f>
        <v/>
      </c>
      <c r="CX23" s="28" t="str">
        <f>IF($G23="","",G23*(IF(ADRYr2!$AI23=CX$4,ADRYr2!$AJ23,IF(ADRYr2!$AK23=CX$4,ADRYr2!$AL23,IF(ADRYr2!$AM23=CX$4,ADRYr2!$AN23,0))))*(INDEX(avoidedcosttbl2,$H23,CX$2)+(($H23-ROUNDDOWN($H23,0))*(INDEX(avoidedcosttbl2,ROUNDUP($H23,0),CX$2)-(INDEX(avoidedcosttbl2,ROUNDDOWN($H23,0),CX$2)))))*ADRYr2!$P23*ADRYr2!$Q23*ADRYr2!$U23)</f>
        <v/>
      </c>
      <c r="CY23" s="28" t="str">
        <f t="shared" si="13"/>
        <v/>
      </c>
      <c r="CZ23" s="32" t="str">
        <f t="shared" si="14"/>
        <v/>
      </c>
      <c r="DA23" s="84" t="str">
        <f t="shared" si="41"/>
        <v/>
      </c>
      <c r="DB23" s="81" t="str">
        <f>IF(NEIadder="Yes",IF($G23="","",INDEX(Lookups!$G$70:$G$71,MATCH($A23,Lookups!$E$70:$E$71,0))*(SUM(CP23:CX23,BX23))),"")</f>
        <v/>
      </c>
      <c r="DC23" s="263" t="str">
        <f t="shared" si="15"/>
        <v/>
      </c>
      <c r="DD23" s="166" t="str">
        <f t="shared" si="16"/>
        <v/>
      </c>
      <c r="DE23" s="82">
        <f t="shared" si="42"/>
        <v>0</v>
      </c>
      <c r="DF23" s="615" t="str">
        <f>IF($G23="","",(1+WntPeakEnergyLL)*(INDEX(avoidedcosttbl2,$H23,DF$2)+(($H23-ROUNDDOWN($H23,0))*(INDEX(avoidedcosttbl2,ROUNDUP($H23,0),DF$2)-(INDEX(avoidedcosttbl2,ROUNDDOWN($H23,0),DF$2)))))*$P23*1000*ADRYr2!Z23)</f>
        <v/>
      </c>
      <c r="DG23" s="615" t="str">
        <f>IF($G23="","",(1+WntOffPeakEnergyLL)*(INDEX(avoidedcosttbl2,$H23,DG$2)+(($H23-ROUNDDOWN($H23,0))*(INDEX(avoidedcosttbl2,ROUNDUP($H23,0),DG$2)-(INDEX(avoidedcosttbl2,ROUNDDOWN($H23,0),DG$2)))))*$P23*1000*ADRYr2!AA23)</f>
        <v/>
      </c>
      <c r="DH23" s="615" t="str">
        <f>IF($G23="","",(1+SumPeakEnergyLL)*(INDEX(avoidedcosttbl2,$H23,DH$2)+(($H23-ROUNDDOWN($H23,0))*(INDEX(avoidedcosttbl2,ROUNDUP($H23,0),DH$2)-(INDEX(avoidedcosttbl2,ROUNDDOWN($H23,0),DH$2)))))*$P23*1000*ADRYr2!AB23)</f>
        <v/>
      </c>
      <c r="DI23" s="615" t="str">
        <f>IF($G23="","",(1+SumOffPeakEnergyLL)*(INDEX(avoidedcosttbl2,$H23,DI$2)+(($H23-ROUNDDOWN($H23,0))*(INDEX(avoidedcosttbl2,ROUNDUP($H23,0),DI$2)-(INDEX(avoidedcosttbl2,ROUNDDOWN($H23,0),DI$2)))))*$P23*1000*ADRYr2!AC23)</f>
        <v/>
      </c>
      <c r="DJ23" s="29" t="str">
        <f t="shared" si="43"/>
        <v/>
      </c>
      <c r="DK23" s="161" t="str">
        <f t="shared" si="44"/>
        <v/>
      </c>
      <c r="DL23" s="1189" t="str">
        <f t="shared" si="45"/>
        <v/>
      </c>
      <c r="DM23" s="1189" t="str">
        <f t="shared" si="46"/>
        <v/>
      </c>
      <c r="DN23" s="43" t="str">
        <f t="shared" si="47"/>
        <v/>
      </c>
      <c r="DO23" s="966" t="str">
        <f>IF($G23="","",ADRYr2!AQ23)</f>
        <v/>
      </c>
      <c r="DP23" s="968" t="str">
        <f>IF($G23="","",ADRYr2!AR23)</f>
        <v/>
      </c>
      <c r="DQ23" s="970" t="str">
        <f>IF($G23="","",IF($DP23="Yes",COLUMN(AESC!$L$10),IF($DP23="No","Using AvoidedDemand tab",IF($DP23="Mixed",COLUMN(AESC!$N$10)))))</f>
        <v/>
      </c>
      <c r="DR23" s="970" t="str">
        <f>IF($G23="","",IF($DP23="Yes",COLUMN(AESC!$P$10),IF($DP23="No","Using AvoidedDemand tab",IF($DP23="Mixed",COLUMN(AESC!$R$10)))))</f>
        <v/>
      </c>
      <c r="DS23" s="970" t="str">
        <f>IF($G23="","",IF($DP23="Yes",COLUMN(AESC!$S$10),IF($DP23="No",COLUMN(AESC!$T$10),IF($DP23="Mixed",COLUMN(AESC!$U$10)))))</f>
        <v/>
      </c>
      <c r="DT23" s="970" t="str">
        <f t="shared" si="48"/>
        <v/>
      </c>
      <c r="DU23" s="970" t="str">
        <f>IF($G23="","",ADRYr2!AS23)</f>
        <v/>
      </c>
      <c r="DV23" s="971" t="str">
        <f>IF($G23="","",ADRYr2!AT23)</f>
        <v/>
      </c>
      <c r="DW23" s="1162" t="str">
        <f>IF($G23="","",INDEX(AvoidedEnergy!$H$4:$H$10,MATCH($DO23,AvoidedEnergy!$A$4:$A$10,0)))</f>
        <v/>
      </c>
    </row>
    <row r="24" spans="1:127">
      <c r="A24" s="160" t="str">
        <f>IF(ADRYr2!$B24=0,"",ADRYr2!A24)</f>
        <v>B - Low-Income</v>
      </c>
      <c r="B24" s="9" t="str">
        <f>IF(ADRYr2!$B24=0,"",ADRYr2!B24)</f>
        <v>Home Energy Assistance</v>
      </c>
      <c r="C24" s="9" t="str">
        <f>IF(ADRYr2!$B24=0,"",ADRYr2!C24)</f>
        <v>Res Demand Response</v>
      </c>
      <c r="D24" s="9" t="str">
        <f>IF(ADRYr2!$B24=0,"",ADRYr2!D24)</f>
        <v>Storage Daily Dispatch P4P (consumption) Summer</v>
      </c>
      <c r="E24" s="9">
        <f>IF(ADRYr2!$B24=0,"",ADRYr2!E24)</f>
        <v>0</v>
      </c>
      <c r="F24" s="11" t="str">
        <f>IF(ADRYr2!$B24=0,"",ADRYr2!F24)</f>
        <v>Behavior</v>
      </c>
      <c r="G24" s="12" t="str">
        <f>IF(ADRYr2!$G24&lt;&gt;0,ADRYr2!G24,"")</f>
        <v/>
      </c>
      <c r="H24" s="960" t="str">
        <f>IF($G24="","",ROUND(ADRYr2!H24,0))</f>
        <v/>
      </c>
      <c r="I24" s="47" t="str">
        <f>IF($G24="","",ADRYr2!I24*ADRYr2!P24*G24)</f>
        <v/>
      </c>
      <c r="J24" s="47" t="str">
        <f>IF($G24="","",ADRYr2!J24*G24)</f>
        <v/>
      </c>
      <c r="K24" s="47" t="str">
        <f t="shared" si="17"/>
        <v/>
      </c>
      <c r="L24" s="27" t="str">
        <f>IF($G24="","",ADRYr2!V24*G24/1000)</f>
        <v/>
      </c>
      <c r="M24" s="27" t="str">
        <f>IF($G24="","",L24*ADRYr2!$Q24*ADRYr2!$R24)</f>
        <v/>
      </c>
      <c r="N24" s="27" t="str">
        <f t="shared" si="18"/>
        <v/>
      </c>
      <c r="O24" s="27" t="str">
        <f t="shared" si="19"/>
        <v/>
      </c>
      <c r="P24" s="27" t="str">
        <f>IF($G24="","",M24*ADRYr2!P24)</f>
        <v/>
      </c>
      <c r="Q24" s="27" t="str">
        <f t="shared" si="20"/>
        <v/>
      </c>
      <c r="R24" s="27" t="str">
        <f>IF($G24="","",$Q24*ADRYr2!Z24)</f>
        <v/>
      </c>
      <c r="S24" s="27" t="str">
        <f>IF($G24="","",$Q24*ADRYr2!AA24)</f>
        <v/>
      </c>
      <c r="T24" s="27" t="str">
        <f>IF($G24="","",$Q24*ADRYr2!AB24)</f>
        <v/>
      </c>
      <c r="U24" s="27" t="str">
        <f>IF($G24="","",$Q24*ADRYr2!AC24)</f>
        <v/>
      </c>
      <c r="V24" s="27" t="str">
        <f>IF($G24="","",G24*ADRYr2!$AD24*ADRYr2!$P24*ADRYr2!$Q24)</f>
        <v/>
      </c>
      <c r="W24" s="27" t="str">
        <f>IF($G24="","",$G24*ADRYr2!$AD24*ADRYr2!$AF24*ADRYr2!Q24*ADRYr2!$S24)</f>
        <v/>
      </c>
      <c r="X24" s="27" t="str">
        <f>IF($G24="","",$G24*ADRYr2!$AD24*ADRYr2!$AF24*ADRYr2!P24*ADRYr2!Q24*ADRYr2!$S24)</f>
        <v/>
      </c>
      <c r="Y24" s="27" t="str">
        <f>IF($G24="","",$G24*ADRYr2!$AD24*ADRYr2!$AE24*ADRYr2!Q24*ADRYr2!$T24)</f>
        <v/>
      </c>
      <c r="Z24" s="27" t="str">
        <f>IF($G24="","",$G24*ADRYr2!$AD24*ADRYr2!$AE24*ADRYr2!P24*ADRYr2!Q24*ADRYr2!$T24)</f>
        <v/>
      </c>
      <c r="AA24" s="45" t="str">
        <f>IF($G24="","",$G24*ADRYr2!$Q24*ADRYr2!$U24*(IF(IFERROR(SEARCH("NG", ADRYr2!$AI24),0),ADRYr2!$AJ24,0)+IF(IFERROR(SEARCH("NG", ADRYr2!$AK24),0),ADRYr2!$AL24,0)+IF(IFERROR(SEARCH("NG", ADRYr2!$AM24),0),ADRYr2!$AN24,0)))</f>
        <v/>
      </c>
      <c r="AB24" s="45" t="str">
        <f t="shared" si="21"/>
        <v/>
      </c>
      <c r="AC24" s="45">
        <f>IF($G24="",0,AA24*ADRYr2!$P24)</f>
        <v>0</v>
      </c>
      <c r="AD24" s="45" t="str">
        <f t="shared" si="22"/>
        <v/>
      </c>
      <c r="AE24" s="45" t="str">
        <f>IF($G24="","",$G24*ADRYr2!$Q24*ADRYr2!$U24*(IF(IFERROR(SEARCH("Oil", ADRYr2!$AI24), 0),ADRYr2!$AJ24,0)+IF(IFERROR(SEARCH("Oil", ADRYr2!$AK24), 0),ADRYr2!$AL24,0)+IF(IFERROR(SEARCH("Oil", ADRYr2!$AM24), 0),ADRYr2!$AN24,0)))</f>
        <v/>
      </c>
      <c r="AF24" s="45" t="str">
        <f t="shared" si="23"/>
        <v/>
      </c>
      <c r="AG24" s="45">
        <f>IF($G24="",0,AE24*ADRYr2!$P24)</f>
        <v>0</v>
      </c>
      <c r="AH24" s="45" t="str">
        <f t="shared" si="24"/>
        <v/>
      </c>
      <c r="AI24" s="45" t="str">
        <f>IF($G24="","",$G24*ADRYr2!$Q24*ADRYr2!$U24*(IF(ADRYr2!$AI24=Lookups!$E$116,ADRYr2!$AJ24,IF(ADRYr2!$AK24=Lookups!$E$116,ADRYr2!$AL24,IF(ADRYr2!$AM24=Lookups!$E$116,ADRYr2!$AN24,0)))))</f>
        <v/>
      </c>
      <c r="AJ24" s="45" t="str">
        <f t="shared" si="25"/>
        <v/>
      </c>
      <c r="AK24" s="45">
        <f>IF($G24="",0,AI24*ADRYr2!$P24)</f>
        <v>0</v>
      </c>
      <c r="AL24" s="45" t="str">
        <f t="shared" si="26"/>
        <v/>
      </c>
      <c r="AM24" s="45" t="str">
        <f>IF($G24="","",$G24*ADRYr2!$Q24*ADRYr2!$U24*(IF(ADRYr2!$AI24=Lookups!$E$115,ADRYr2!$AJ24,IF(ADRYr2!$AK24=Lookups!$E$115,ADRYr2!$AL24,IF(ADRYr2!$AM24=Lookups!$E$115,ADRYr2!$AN24,0)))))</f>
        <v/>
      </c>
      <c r="AN24" s="45" t="str">
        <f t="shared" si="27"/>
        <v/>
      </c>
      <c r="AO24" s="45">
        <f>IF($G24="",0,AM24*ADRYr2!$P24)</f>
        <v>0</v>
      </c>
      <c r="AP24" s="45" t="str">
        <f t="shared" si="28"/>
        <v/>
      </c>
      <c r="AQ24" s="45" t="str">
        <f>IF($G24="","",$G24*ADRYr2!$Q24*ADRYr2!$U24*(IF(ADRYr2!$AI24=Lookups!$E$117,ADRYr2!$AJ24,IF(ADRYr2!$AK24=Lookups!$E$117,ADRYr2!$AL24,IF(ADRYr2!$AM24=Lookups!$E$117,ADRYr2!$AN24,0)))))</f>
        <v/>
      </c>
      <c r="AR24" s="45" t="str">
        <f t="shared" si="29"/>
        <v/>
      </c>
      <c r="AS24" s="45" t="str">
        <f>IF($G24="","",AQ24*ADRYr2!$P24)</f>
        <v/>
      </c>
      <c r="AT24" s="45" t="str">
        <f t="shared" si="30"/>
        <v/>
      </c>
      <c r="AU24" s="45" t="str">
        <f>IF($G24="","",$G24*ADRYr2!$Q24*ADRYr2!$U24*(IF(ADRYr2!$AI24=Lookups!$E$118,ADRYr2!$AJ24,IF(ADRYr2!$AK24=Lookups!$E$118,ADRYr2!$AL24,IF(ADRYr2!$AM24=Lookups!$E$118,ADRYr2!$AN24,0)))))</f>
        <v/>
      </c>
      <c r="AV24" s="45" t="str">
        <f t="shared" si="31"/>
        <v/>
      </c>
      <c r="AW24" s="45" t="str">
        <f>IF($G24="","",AU24*ADRYr2!$P24)</f>
        <v/>
      </c>
      <c r="AX24" s="45" t="str">
        <f t="shared" si="32"/>
        <v/>
      </c>
      <c r="AY24" s="45">
        <f t="shared" si="49"/>
        <v>0</v>
      </c>
      <c r="AZ24" s="45">
        <f t="shared" si="49"/>
        <v>0</v>
      </c>
      <c r="BA24" s="101" t="str">
        <f>IF($G24="","",$G24*ADRYr2!$P24*ADRYr2!$Q24*ADRYr2!$U24*ADRYr2!AO24)</f>
        <v/>
      </c>
      <c r="BB24" s="102" t="str">
        <f>IF($G24="","",$G24*ADRYr2!$P24*ADRYr2!$Q24*ADRYr2!$U24*ADRYr2!AP24)</f>
        <v/>
      </c>
      <c r="BC24" s="100" t="str">
        <f t="shared" si="34"/>
        <v/>
      </c>
      <c r="BD24" s="961"/>
      <c r="BE24" s="961"/>
      <c r="BF24" s="961"/>
      <c r="BG24" s="961"/>
      <c r="BH24" s="962" t="str">
        <f t="shared" si="3"/>
        <v/>
      </c>
      <c r="BI24" s="961"/>
      <c r="BJ24" s="961"/>
      <c r="BK24" s="961"/>
      <c r="BL24" s="961"/>
      <c r="BM24" s="30" t="str">
        <f t="shared" si="4"/>
        <v/>
      </c>
      <c r="BN24" s="963" t="str">
        <f t="shared" si="5"/>
        <v/>
      </c>
      <c r="BO24" s="31" t="str">
        <f t="shared" si="35"/>
        <v/>
      </c>
      <c r="BP24" s="964" t="str">
        <f t="shared" si="6"/>
        <v/>
      </c>
      <c r="BQ24" s="28" t="str">
        <f t="shared" si="7"/>
        <v/>
      </c>
      <c r="BR24" s="964" t="str">
        <f t="shared" si="8"/>
        <v/>
      </c>
      <c r="BS24" s="964" t="str">
        <f t="shared" si="9"/>
        <v/>
      </c>
      <c r="BT24" s="28" t="str">
        <f t="shared" si="10"/>
        <v/>
      </c>
      <c r="BU24" s="28" t="str">
        <f t="shared" si="10"/>
        <v/>
      </c>
      <c r="BV24" s="28" t="str">
        <f t="shared" si="10"/>
        <v/>
      </c>
      <c r="BW24" s="29" t="str">
        <f t="shared" si="36"/>
        <v/>
      </c>
      <c r="BX24" s="29" t="str">
        <f t="shared" si="37"/>
        <v/>
      </c>
      <c r="BY24" s="28" t="str">
        <f>IF($G24="","",$G24*(IF(ADRYr2!$AI24=BY$4,ADRYr2!$AJ24,IF(ADRYr2!$AK24=BY$4,ADRYr2!$AL24,IF(ADRYr2!$AM24=BY$4,ADRYr2!$AN24,0))))*(INDEX(avoidedcosttbl2,$H24,BY$2)+(($H24-ROUNDDOWN($H24,0))*(INDEX(avoidedcosttbl2,ROUNDUP($H24,0),BY$2)-(INDEX(avoidedcosttbl2,ROUNDDOWN($H24,0),BY$2)))))*ADRYr2!P24*ADRYr2!Q24*ADRYr2!U24)</f>
        <v/>
      </c>
      <c r="BZ24" s="28" t="str">
        <f>IF($G24="","",$G24*(IF(ADRYr2!$AI24=BZ$4,ADRYr2!$AJ24,IF(ADRYr2!$AK24=BZ$4,ADRYr2!$AL24,IF(ADRYr2!$AM24=BZ$4,ADRYr2!$AN24,0))))*(INDEX(avoidedcosttbl2,$H24,BZ$2)+(($H24-ROUNDDOWN($H24,0))*(INDEX(avoidedcosttbl2,ROUNDUP($H24,0),BZ$2)-(INDEX(avoidedcosttbl2,ROUNDDOWN($H24,0),BZ$2)))))*ADRYr2!P24*ADRYr2!Q24*ADRYr2!U24)</f>
        <v/>
      </c>
      <c r="CA24" s="28" t="str">
        <f>IF($G24="","",$G24*(IF(ADRYr2!$AI24=CA$4,ADRYr2!$AJ24,IF(ADRYr2!$AK24=CA$4,ADRYr2!$AL24,IF(ADRYr2!$AM24=CA$4,ADRYr2!$AN24,0))))*(INDEX(avoidedcosttbl2,$H24,CA$2)+(($H24-ROUNDDOWN($H24,0))*(INDEX(avoidedcosttbl2,ROUNDUP($H24,0),CA$2)-(INDEX(avoidedcosttbl2,ROUNDDOWN($H24,0),CA$2)))))*ADRYr2!P24*ADRYr2!Q24*ADRYr2!U24)</f>
        <v/>
      </c>
      <c r="CB24" s="28" t="str">
        <f>IF($G24="","",$G24*(IF(ADRYr2!$AI24=CB$4,ADRYr2!$AJ24,IF(ADRYr2!$AK24=CB$4,ADRYr2!$AL24,IF(ADRYr2!$AM24=CB$4,ADRYr2!$AN24,0))))*(INDEX(avoidedcosttbl2,$H24,CB$2)+(($H24-ROUNDDOWN($H24,0))*(INDEX(avoidedcosttbl2,ROUNDUP($H24,0),CB$2)-(INDEX(avoidedcosttbl2,ROUNDDOWN($H24,0),CB$2)))))*ADRYr2!P24*ADRYr2!Q24*ADRYr2!U24)</f>
        <v/>
      </c>
      <c r="CC24" s="28" t="str">
        <f>IF($G24="","",$G24*(IF(ADRYr2!$AI24=CC$4,ADRYr2!$AJ24,IF(ADRYr2!$AK24=CC$4,ADRYr2!$AL24,IF(ADRYr2!$AM24=CC$4,ADRYr2!$AN24,0))))*(INDEX(avoidedcosttbl2,$H24,CC$2)+(($H24-ROUNDDOWN($H24,0))*(INDEX(avoidedcosttbl2,ROUNDUP($H24,0),CC$2)-(INDEX(avoidedcosttbl2,ROUNDDOWN($H24,0),CC$2)))))*ADRYr2!P24*ADRYr2!Q24*ADRYr2!U24)</f>
        <v/>
      </c>
      <c r="CD24" s="28" t="str">
        <f>IF($G24="","",$G24*(IF(ADRYr2!$AI24=CD$4,ADRYr2!$AJ24,IF(ADRYr2!$AK24=CD$4,ADRYr2!$AL24,IF(ADRYr2!$AM24=CD$4,ADRYr2!$AN24,0))))*(INDEX(avoidedcosttbl2,$H24,CD$2)+(($H24-ROUNDDOWN($H24,0))*(INDEX(avoidedcosttbl2,ROUNDUP($H24,0),CD$2)-(INDEX(avoidedcosttbl2,ROUNDDOWN($H24,0),CD$2)))))*ADRYr2!P24*ADRYr2!Q24*ADRYr2!U24)</f>
        <v/>
      </c>
      <c r="CE24" s="28" t="str">
        <f>IF($G24="","",$G24*(IF(ADRYr2!$AI24=CE$4,ADRYr2!$AJ24,IF(ADRYr2!$AK24=CE$4,ADRYr2!$AL24,IF(ADRYr2!$AM24=CE$4,ADRYr2!$AN24,0))))*(INDEX(avoidedcosttbl2,$H24,CE$2)+(($H24-ROUNDDOWN($H24,0))*(INDEX(avoidedcosttbl2,ROUNDUP($H24,0),CE$2)-(INDEX(avoidedcosttbl2,ROUNDDOWN($H24,0),CE$2)))))*ADRYr2!P24*ADRYr2!Q24*ADRYr2!U24)</f>
        <v/>
      </c>
      <c r="CF24" s="41" t="str">
        <f t="shared" si="38"/>
        <v/>
      </c>
      <c r="CG24" s="30" t="str">
        <f t="shared" si="11"/>
        <v/>
      </c>
      <c r="CH24" s="30" t="str">
        <f>IF($G24="","",$G24*(IF(ADRYr2!$AI24=BY$4,ADRYr2!$AJ24,IF(ADRYr2!$AK24=BY$4,ADRYr2!$AL24,IF(ADRYr2!$AM24=BY$4,ADRYr2!$AN24,0))))*(INDEX(avoidedcosttbl2,$H24,CH$2)+(($H24-ROUNDDOWN($H24,0))*(INDEX(avoidedcosttbl2,ROUNDUP($H24,0),CH$2)-(INDEX(avoidedcosttbl2,ROUNDDOWN($H24,0),CH$2)))))*ADRYr2!P24*ADRYr2!Q24*ADRYr2!U24)</f>
        <v/>
      </c>
      <c r="CI24" s="30" t="str">
        <f>IF($G24="","",$G24*(IF(ADRYr2!$AI24=BZ$4,ADRYr2!$AJ24,IF(ADRYr2!$AK24=BZ$4,ADRYr2!$AL24,IF(ADRYr2!$AM24=BZ$4,ADRYr2!$AN24,0))))*(INDEX(avoidedcosttbl2,$H24,CI$2)+(($H24-ROUNDDOWN($H24,0))*(INDEX(avoidedcosttbl2,ROUNDUP($H24,0),CI$2)-(INDEX(avoidedcosttbl2,ROUNDDOWN($H24,0),CI$2)))))*ADRYr2!P24*ADRYr2!Q24*ADRYr2!U24)</f>
        <v/>
      </c>
      <c r="CJ24" s="30" t="str">
        <f>IF($G24="","",$G24*(IF(ADRYr2!$AI24=CA$4,ADRYr2!$AJ24,IF(ADRYr2!$AK24=CA$4,ADRYr2!$AL24,IF(ADRYr2!$AM24=CA$4,ADRYr2!$AN24,0))))*(INDEX(avoidedcosttbl2,$H24,CJ$2)+(($H24-ROUNDDOWN($H24,0))*(INDEX(avoidedcosttbl2,ROUNDUP($H24,0),CJ$2)-(INDEX(avoidedcosttbl2,ROUNDDOWN($H24,0),CJ$2)))))*ADRYr2!P24*ADRYr2!Q24*ADRYr2!U24)</f>
        <v/>
      </c>
      <c r="CK24" s="30" t="str">
        <f>IF($G24="","",$G24*(IF(ADRYr2!$AI24=CB$4,ADRYr2!$AJ24,IF(ADRYr2!$AK24=CB$4,ADRYr2!$AL24,IF(ADRYr2!$AM24=CB$4,ADRYr2!$AN24,0))))*(INDEX(avoidedcosttbl2,$H24,CK$2)+(($H24-ROUNDDOWN($H24,0))*(INDEX(avoidedcosttbl2,ROUNDUP($H24,0),CK$2)-(INDEX(avoidedcosttbl2,ROUNDDOWN($H24,0),CK$2)))))*ADRYr2!P24*ADRYr2!Q24*ADRYr2!U24)</f>
        <v/>
      </c>
      <c r="CL24" s="30" t="str">
        <f>IF($G24="","",$G24*(IF(ADRYr2!$AI24=CC$4,ADRYr2!$AJ24,IF(ADRYr2!$AK24=CC$4,ADRYr2!$AL24,IF(ADRYr2!$AM24=CC$4,ADRYr2!$AN24,0))))*(INDEX(avoidedcosttbl2,$H24,CL$2)+(($H24-ROUNDDOWN($H24,0))*(INDEX(avoidedcosttbl2,ROUNDUP($H24,0),CL$2)-(INDEX(avoidedcosttbl2,ROUNDDOWN($H24,0),CL$2)))))*ADRYr2!P24*ADRYr2!Q24*ADRYr2!U24)</f>
        <v/>
      </c>
      <c r="CM24" s="30" t="str">
        <f>IF($G24="","",$G24*(IF(ADRYr2!$AI24=CD$4,ADRYr2!$AJ24,IF(ADRYr2!$AK24=CD$4,ADRYr2!$AL24,IF(ADRYr2!$AM24=CD$4,ADRYr2!$AN24,0))))*(INDEX(avoidedcosttbl2,$H24,CM$2)+(($H24-ROUNDDOWN($H24,0))*(INDEX(avoidedcosttbl2,ROUNDUP($H24,0),CM$2)-(INDEX(avoidedcosttbl2,ROUNDDOWN($H24,0),CM$2)))))*ADRYr2!P24*ADRYr2!Q24*ADRYr2!U24)</f>
        <v/>
      </c>
      <c r="CN24" s="30" t="str">
        <f>IF($G24="","",$G24*(IF(ADRYr2!$AI24=CE$4,ADRYr2!$AJ24,IF(ADRYr2!$AK24=CE$4,ADRYr2!$AL24,IF(ADRYr2!$AM24=CE$4,ADRYr2!$AN24,0))))*(INDEX(avoidedcosttbl2,$H24,CN$2)+(($H24-ROUNDDOWN($H24,0))*(INDEX(avoidedcosttbl2,ROUNDUP($H24,0),CN$2)-(INDEX(avoidedcosttbl2,ROUNDDOWN($H24,0),CN$2)))))*ADRYr2!P24*ADRYr2!Q24*ADRYr2!U24)</f>
        <v/>
      </c>
      <c r="CO24" s="220" t="str">
        <f t="shared" si="39"/>
        <v/>
      </c>
      <c r="CP24" s="220" t="str">
        <f t="shared" si="40"/>
        <v/>
      </c>
      <c r="CQ24" s="157" t="str">
        <f>IF($G24="","",$G24*(IF(ADRYr2!$AI24=CQ$4,ADRYr2!$AJ24,IF(ADRYr2!$AK24=CQ$4,ADRYr2!$AL24,IF(ADRYr2!$AM24=CQ$4,ADRYr2!$AN24,0))))*(INDEX(avoidedcosttbl2,$H24,CQ$2)+(($H24-ROUNDDOWN($H24,0))*(INDEX(avoidedcosttbl2,ROUNDUP($H24,0),CQ$2)-(INDEX(avoidedcosttbl2,ROUNDDOWN($H24,0),CQ$2)))))*ADRYr2!$P24*ADRYr2!$Q24*ADRYr2!$U24)</f>
        <v/>
      </c>
      <c r="CR24" s="28" t="str">
        <f>IF($G24="","",G24*(IF(ADRYr2!$AI24=CR$4,ADRYr2!$AJ24,IF(ADRYr2!$AK24=CR$4,ADRYr2!$AL24,IF(ADRYr2!$AM24=CR$4,ADRYr2!$AN24,0))))*(INDEX(avoidedcosttbl2,$H24,CR$2)+(($H24-ROUNDDOWN($H24,0))*(INDEX(avoidedcosttbl2,ROUNDUP($H24,0),CR$2)-(INDEX(avoidedcosttbl2,ROUNDDOWN($H24,0),CR$2)))))*ADRYr2!$P24*ADRYr2!$Q24*ADRYr2!$U24)</f>
        <v/>
      </c>
      <c r="CS24" s="28" t="str">
        <f>IF($G24="","",G24*(IF(ADRYr2!$AI24=CS$4,ADRYr2!$AJ24,IF(ADRYr2!$AK24=CS$4,ADRYr2!$AL24,IF(ADRYr2!$AM24=CS$4,ADRYr2!$AN24,0))))*(INDEX(avoidedcosttbl2,$H24,CS$2)+(($H24-ROUNDDOWN($H24,0))*(INDEX(avoidedcosttbl2,ROUNDUP($H24,0),CS$2)-(INDEX(avoidedcosttbl2,ROUNDDOWN($H24,0),CS$2)))))*ADRYr2!$P24*ADRYr2!$Q24*ADRYr2!$U24)</f>
        <v/>
      </c>
      <c r="CT24" s="28" t="str">
        <f t="shared" si="12"/>
        <v/>
      </c>
      <c r="CU24" s="28" t="str">
        <f>IF($G24="","",G24*(IF(ADRYr2!$AI24=CU$4,ADRYr2!$AJ24,IF(ADRYr2!$AK24=CU$4,ADRYr2!$AL24,IF(ADRYr2!$AM24=CU$4,ADRYr2!$AN24,0))))*(INDEX(avoidedcosttbl2,$H24,CU$2)+(($H24-ROUNDDOWN($H24,0))*(INDEX(avoidedcosttbl2,ROUNDUP($H24,0),CU$2)-(INDEX(avoidedcosttbl2,ROUNDDOWN($H24,0),CU$2)))))*ADRYr2!$P24*ADRYr2!$Q24*ADRYr2!$U24)</f>
        <v/>
      </c>
      <c r="CV24" s="28" t="str">
        <f>IF($G24="","",G24*(IF(ADRYr2!$AI24=CV$4,ADRYr2!$AJ24,IF(ADRYr2!$AK24=CV$4,ADRYr2!$AL24,IF(ADRYr2!$AM24=CV$4,ADRYr2!$AN24,0))))*(INDEX(avoidedcosttbl2,$H24,CV$2)+(($H24-ROUNDDOWN($H24,0))*(INDEX(avoidedcosttbl2,ROUNDUP($H24,0),CV$2)-(INDEX(avoidedcosttbl2,ROUNDDOWN($H24,0),CV$2)))))*ADRYr2!$P24*ADRYr2!$Q24*ADRYr2!$U24)</f>
        <v/>
      </c>
      <c r="CW24" s="28" t="str">
        <f>IF($G24="","",G24*(IF(ADRYr2!$AI24=CW$4,ADRYr2!$AJ24,IF(ADRYr2!$AK24=CW$4,ADRYr2!$AL24,IF(ADRYr2!$AM24=CW$4,ADRYr2!$AN24,0))))*(INDEX(avoidedcosttbl2,$H24,CW$2)+(($H24-ROUNDDOWN($H24,0))*(INDEX(avoidedcosttbl2,ROUNDUP($H24,0),CW$2)-(INDEX(avoidedcosttbl2,ROUNDDOWN($H24,0),CW$2)))))*ADRYr2!$P24*ADRYr2!$Q24*ADRYr2!$U24)</f>
        <v/>
      </c>
      <c r="CX24" s="28" t="str">
        <f>IF($G24="","",G24*(IF(ADRYr2!$AI24=CX$4,ADRYr2!$AJ24,IF(ADRYr2!$AK24=CX$4,ADRYr2!$AL24,IF(ADRYr2!$AM24=CX$4,ADRYr2!$AN24,0))))*(INDEX(avoidedcosttbl2,$H24,CX$2)+(($H24-ROUNDDOWN($H24,0))*(INDEX(avoidedcosttbl2,ROUNDUP($H24,0),CX$2)-(INDEX(avoidedcosttbl2,ROUNDDOWN($H24,0),CX$2)))))*ADRYr2!$P24*ADRYr2!$Q24*ADRYr2!$U24)</f>
        <v/>
      </c>
      <c r="CY24" s="28" t="str">
        <f t="shared" si="13"/>
        <v/>
      </c>
      <c r="CZ24" s="32" t="str">
        <f t="shared" si="14"/>
        <v/>
      </c>
      <c r="DA24" s="84" t="str">
        <f t="shared" si="41"/>
        <v/>
      </c>
      <c r="DB24" s="81" t="str">
        <f>IF(NEIadder="Yes",IF($G24="","",INDEX(Lookups!$G$70:$G$71,MATCH($A24,Lookups!$E$70:$E$71,0))*(SUM(CP24:CX24,BX24))),"")</f>
        <v/>
      </c>
      <c r="DC24" s="263" t="str">
        <f t="shared" si="15"/>
        <v/>
      </c>
      <c r="DD24" s="166" t="str">
        <f t="shared" si="16"/>
        <v/>
      </c>
      <c r="DE24" s="82">
        <f t="shared" si="42"/>
        <v>0</v>
      </c>
      <c r="DF24" s="615" t="str">
        <f>IF($G24="","",(1+WntPeakEnergyLL)*(INDEX(avoidedcosttbl2,$H24,DF$2)+(($H24-ROUNDDOWN($H24,0))*(INDEX(avoidedcosttbl2,ROUNDUP($H24,0),DF$2)-(INDEX(avoidedcosttbl2,ROUNDDOWN($H24,0),DF$2)))))*$P24*1000*ADRYr2!Z24)</f>
        <v/>
      </c>
      <c r="DG24" s="615" t="str">
        <f>IF($G24="","",(1+WntOffPeakEnergyLL)*(INDEX(avoidedcosttbl2,$H24,DG$2)+(($H24-ROUNDDOWN($H24,0))*(INDEX(avoidedcosttbl2,ROUNDUP($H24,0),DG$2)-(INDEX(avoidedcosttbl2,ROUNDDOWN($H24,0),DG$2)))))*$P24*1000*ADRYr2!AA24)</f>
        <v/>
      </c>
      <c r="DH24" s="615" t="str">
        <f>IF($G24="","",(1+SumPeakEnergyLL)*(INDEX(avoidedcosttbl2,$H24,DH$2)+(($H24-ROUNDDOWN($H24,0))*(INDEX(avoidedcosttbl2,ROUNDUP($H24,0),DH$2)-(INDEX(avoidedcosttbl2,ROUNDDOWN($H24,0),DH$2)))))*$P24*1000*ADRYr2!AB24)</f>
        <v/>
      </c>
      <c r="DI24" s="615" t="str">
        <f>IF($G24="","",(1+SumOffPeakEnergyLL)*(INDEX(avoidedcosttbl2,$H24,DI$2)+(($H24-ROUNDDOWN($H24,0))*(INDEX(avoidedcosttbl2,ROUNDUP($H24,0),DI$2)-(INDEX(avoidedcosttbl2,ROUNDDOWN($H24,0),DI$2)))))*$P24*1000*ADRYr2!AC24)</f>
        <v/>
      </c>
      <c r="DJ24" s="29" t="str">
        <f t="shared" si="43"/>
        <v/>
      </c>
      <c r="DK24" s="161" t="str">
        <f t="shared" si="44"/>
        <v/>
      </c>
      <c r="DL24" s="1189" t="str">
        <f t="shared" si="45"/>
        <v/>
      </c>
      <c r="DM24" s="1189" t="str">
        <f t="shared" si="46"/>
        <v/>
      </c>
      <c r="DN24" s="43" t="str">
        <f t="shared" si="47"/>
        <v/>
      </c>
      <c r="DO24" s="966" t="str">
        <f>IF($G24="","",ADRYr2!AQ24)</f>
        <v/>
      </c>
      <c r="DP24" s="968" t="str">
        <f>IF($G24="","",ADRYr2!AR24)</f>
        <v/>
      </c>
      <c r="DQ24" s="970" t="str">
        <f>IF($G24="","",IF($DP24="Yes",COLUMN(AESC!$L$10),IF($DP24="No","Using AvoidedDemand tab",IF($DP24="Mixed",COLUMN(AESC!$N$10)))))</f>
        <v/>
      </c>
      <c r="DR24" s="970" t="str">
        <f>IF($G24="","",IF($DP24="Yes",COLUMN(AESC!$P$10),IF($DP24="No","Using AvoidedDemand tab",IF($DP24="Mixed",COLUMN(AESC!$R$10)))))</f>
        <v/>
      </c>
      <c r="DS24" s="970" t="str">
        <f>IF($G24="","",IF($DP24="Yes",COLUMN(AESC!$S$10),IF($DP24="No",COLUMN(AESC!$T$10),IF($DP24="Mixed",COLUMN(AESC!$U$10)))))</f>
        <v/>
      </c>
      <c r="DT24" s="970" t="str">
        <f t="shared" si="48"/>
        <v/>
      </c>
      <c r="DU24" s="970" t="str">
        <f>IF($G24="","",ADRYr2!AS24)</f>
        <v/>
      </c>
      <c r="DV24" s="971" t="str">
        <f>IF($G24="","",ADRYr2!AT24)</f>
        <v/>
      </c>
      <c r="DW24" s="1162" t="str">
        <f>IF($G24="","",INDEX(AvoidedEnergy!$H$4:$H$10,MATCH($DO24,AvoidedEnergy!$A$4:$A$10,0)))</f>
        <v/>
      </c>
    </row>
    <row r="25" spans="1:127">
      <c r="A25" s="160" t="str">
        <f>IF(ADRYr2!$B25=0,"",ADRYr2!A25)</f>
        <v>B - Low-Income</v>
      </c>
      <c r="B25" s="9" t="str">
        <f>IF(ADRYr2!$B25=0,"",ADRYr2!B25)</f>
        <v>Home Energy Assistance</v>
      </c>
      <c r="C25" s="9" t="str">
        <f>IF(ADRYr2!$B25=0,"",ADRYr2!C25)</f>
        <v>Res Demand Response</v>
      </c>
      <c r="D25" s="9" t="str">
        <f>IF(ADRYr2!$B25=0,"",ADRYr2!D25)</f>
        <v>Storage Targeted Dispatch P4P (savings) Winter</v>
      </c>
      <c r="E25" s="9">
        <f>IF(ADRYr2!$B25=0,"",ADRYr2!E25)</f>
        <v>0</v>
      </c>
      <c r="F25" s="11" t="str">
        <f>IF(ADRYr2!$B25=0,"",ADRYr2!F25)</f>
        <v>Behavior</v>
      </c>
      <c r="G25" s="12" t="str">
        <f>IF(ADRYr2!$G25&lt;&gt;0,ADRYr2!G25,"")</f>
        <v/>
      </c>
      <c r="H25" s="960" t="str">
        <f>IF($G25="","",ROUND(ADRYr2!H25,0))</f>
        <v/>
      </c>
      <c r="I25" s="47" t="str">
        <f>IF($G25="","",ADRYr2!I25*ADRYr2!P25*G25)</f>
        <v/>
      </c>
      <c r="J25" s="47" t="str">
        <f>IF($G25="","",ADRYr2!J25*G25)</f>
        <v/>
      </c>
      <c r="K25" s="47" t="str">
        <f t="shared" si="17"/>
        <v/>
      </c>
      <c r="L25" s="27" t="str">
        <f>IF($G25="","",ADRYr2!V25*G25/1000)</f>
        <v/>
      </c>
      <c r="M25" s="27" t="str">
        <f>IF($G25="","",L25*ADRYr2!$Q25*ADRYr2!$R25)</f>
        <v/>
      </c>
      <c r="N25" s="27" t="str">
        <f t="shared" si="18"/>
        <v/>
      </c>
      <c r="O25" s="27" t="str">
        <f t="shared" si="19"/>
        <v/>
      </c>
      <c r="P25" s="27" t="str">
        <f>IF($G25="","",M25*ADRYr2!P25)</f>
        <v/>
      </c>
      <c r="Q25" s="27" t="str">
        <f t="shared" si="20"/>
        <v/>
      </c>
      <c r="R25" s="27" t="str">
        <f>IF($G25="","",$Q25*ADRYr2!Z25)</f>
        <v/>
      </c>
      <c r="S25" s="27" t="str">
        <f>IF($G25="","",$Q25*ADRYr2!AA25)</f>
        <v/>
      </c>
      <c r="T25" s="27" t="str">
        <f>IF($G25="","",$Q25*ADRYr2!AB25)</f>
        <v/>
      </c>
      <c r="U25" s="27" t="str">
        <f>IF($G25="","",$Q25*ADRYr2!AC25)</f>
        <v/>
      </c>
      <c r="V25" s="27" t="str">
        <f>IF($G25="","",G25*ADRYr2!$AD25*ADRYr2!$P25*ADRYr2!$Q25)</f>
        <v/>
      </c>
      <c r="W25" s="27" t="str">
        <f>IF($G25="","",$G25*ADRYr2!$AD25*ADRYr2!$AF25*ADRYr2!Q25*ADRYr2!$S25)</f>
        <v/>
      </c>
      <c r="X25" s="27" t="str">
        <f>IF($G25="","",$G25*ADRYr2!$AD25*ADRYr2!$AF25*ADRYr2!P25*ADRYr2!Q25*ADRYr2!$S25)</f>
        <v/>
      </c>
      <c r="Y25" s="27" t="str">
        <f>IF($G25="","",$G25*ADRYr2!$AD25*ADRYr2!$AE25*ADRYr2!Q25*ADRYr2!$T25)</f>
        <v/>
      </c>
      <c r="Z25" s="27" t="str">
        <f>IF($G25="","",$G25*ADRYr2!$AD25*ADRYr2!$AE25*ADRYr2!P25*ADRYr2!Q25*ADRYr2!$T25)</f>
        <v/>
      </c>
      <c r="AA25" s="45" t="str">
        <f>IF($G25="","",$G25*ADRYr2!$Q25*ADRYr2!$U25*(IF(IFERROR(SEARCH("NG", ADRYr2!$AI25),0),ADRYr2!$AJ25,0)+IF(IFERROR(SEARCH("NG", ADRYr2!$AK25),0),ADRYr2!$AL25,0)+IF(IFERROR(SEARCH("NG", ADRYr2!$AM25),0),ADRYr2!$AN25,0)))</f>
        <v/>
      </c>
      <c r="AB25" s="45" t="str">
        <f t="shared" si="21"/>
        <v/>
      </c>
      <c r="AC25" s="45">
        <f>IF($G25="",0,AA25*ADRYr2!$P25)</f>
        <v>0</v>
      </c>
      <c r="AD25" s="45" t="str">
        <f t="shared" si="22"/>
        <v/>
      </c>
      <c r="AE25" s="45" t="str">
        <f>IF($G25="","",$G25*ADRYr2!$Q25*ADRYr2!$U25*(IF(IFERROR(SEARCH("Oil", ADRYr2!$AI25), 0),ADRYr2!$AJ25,0)+IF(IFERROR(SEARCH("Oil", ADRYr2!$AK25), 0),ADRYr2!$AL25,0)+IF(IFERROR(SEARCH("Oil", ADRYr2!$AM25), 0),ADRYr2!$AN25,0)))</f>
        <v/>
      </c>
      <c r="AF25" s="45" t="str">
        <f t="shared" si="23"/>
        <v/>
      </c>
      <c r="AG25" s="45">
        <f>IF($G25="",0,AE25*ADRYr2!$P25)</f>
        <v>0</v>
      </c>
      <c r="AH25" s="45" t="str">
        <f t="shared" si="24"/>
        <v/>
      </c>
      <c r="AI25" s="45" t="str">
        <f>IF($G25="","",$G25*ADRYr2!$Q25*ADRYr2!$U25*(IF(ADRYr2!$AI25=Lookups!$E$116,ADRYr2!$AJ25,IF(ADRYr2!$AK25=Lookups!$E$116,ADRYr2!$AL25,IF(ADRYr2!$AM25=Lookups!$E$116,ADRYr2!$AN25,0)))))</f>
        <v/>
      </c>
      <c r="AJ25" s="45" t="str">
        <f t="shared" si="25"/>
        <v/>
      </c>
      <c r="AK25" s="45">
        <f>IF($G25="",0,AI25*ADRYr2!$P25)</f>
        <v>0</v>
      </c>
      <c r="AL25" s="45" t="str">
        <f t="shared" si="26"/>
        <v/>
      </c>
      <c r="AM25" s="45" t="str">
        <f>IF($G25="","",$G25*ADRYr2!$Q25*ADRYr2!$U25*(IF(ADRYr2!$AI25=Lookups!$E$115,ADRYr2!$AJ25,IF(ADRYr2!$AK25=Lookups!$E$115,ADRYr2!$AL25,IF(ADRYr2!$AM25=Lookups!$E$115,ADRYr2!$AN25,0)))))</f>
        <v/>
      </c>
      <c r="AN25" s="45" t="str">
        <f t="shared" si="27"/>
        <v/>
      </c>
      <c r="AO25" s="45">
        <f>IF($G25="",0,AM25*ADRYr2!$P25)</f>
        <v>0</v>
      </c>
      <c r="AP25" s="45" t="str">
        <f t="shared" si="28"/>
        <v/>
      </c>
      <c r="AQ25" s="45" t="str">
        <f>IF($G25="","",$G25*ADRYr2!$Q25*ADRYr2!$U25*(IF(ADRYr2!$AI25=Lookups!$E$117,ADRYr2!$AJ25,IF(ADRYr2!$AK25=Lookups!$E$117,ADRYr2!$AL25,IF(ADRYr2!$AM25=Lookups!$E$117,ADRYr2!$AN25,0)))))</f>
        <v/>
      </c>
      <c r="AR25" s="45" t="str">
        <f t="shared" si="29"/>
        <v/>
      </c>
      <c r="AS25" s="45" t="str">
        <f>IF($G25="","",AQ25*ADRYr2!$P25)</f>
        <v/>
      </c>
      <c r="AT25" s="45" t="str">
        <f t="shared" si="30"/>
        <v/>
      </c>
      <c r="AU25" s="45" t="str">
        <f>IF($G25="","",$G25*ADRYr2!$Q25*ADRYr2!$U25*(IF(ADRYr2!$AI25=Lookups!$E$118,ADRYr2!$AJ25,IF(ADRYr2!$AK25=Lookups!$E$118,ADRYr2!$AL25,IF(ADRYr2!$AM25=Lookups!$E$118,ADRYr2!$AN25,0)))))</f>
        <v/>
      </c>
      <c r="AV25" s="45" t="str">
        <f t="shared" si="31"/>
        <v/>
      </c>
      <c r="AW25" s="45" t="str">
        <f>IF($G25="","",AU25*ADRYr2!$P25)</f>
        <v/>
      </c>
      <c r="AX25" s="45" t="str">
        <f t="shared" si="32"/>
        <v/>
      </c>
      <c r="AY25" s="45">
        <f t="shared" si="49"/>
        <v>0</v>
      </c>
      <c r="AZ25" s="45">
        <f t="shared" si="49"/>
        <v>0</v>
      </c>
      <c r="BA25" s="101" t="str">
        <f>IF($G25="","",$G25*ADRYr2!$P25*ADRYr2!$Q25*ADRYr2!$U25*ADRYr2!AO25)</f>
        <v/>
      </c>
      <c r="BB25" s="102" t="str">
        <f>IF($G25="","",$G25*ADRYr2!$P25*ADRYr2!$Q25*ADRYr2!$U25*ADRYr2!AP25)</f>
        <v/>
      </c>
      <c r="BC25" s="100" t="str">
        <f t="shared" si="34"/>
        <v/>
      </c>
      <c r="BD25" s="961"/>
      <c r="BE25" s="961"/>
      <c r="BF25" s="961"/>
      <c r="BG25" s="961"/>
      <c r="BH25" s="962" t="str">
        <f t="shared" si="3"/>
        <v/>
      </c>
      <c r="BI25" s="961"/>
      <c r="BJ25" s="961"/>
      <c r="BK25" s="961"/>
      <c r="BL25" s="961"/>
      <c r="BM25" s="30" t="str">
        <f t="shared" si="4"/>
        <v/>
      </c>
      <c r="BN25" s="963" t="str">
        <f t="shared" si="5"/>
        <v/>
      </c>
      <c r="BO25" s="31" t="str">
        <f t="shared" si="35"/>
        <v/>
      </c>
      <c r="BP25" s="964" t="str">
        <f t="shared" si="6"/>
        <v/>
      </c>
      <c r="BQ25" s="28" t="str">
        <f t="shared" si="7"/>
        <v/>
      </c>
      <c r="BR25" s="964" t="str">
        <f t="shared" si="8"/>
        <v/>
      </c>
      <c r="BS25" s="964" t="str">
        <f t="shared" si="9"/>
        <v/>
      </c>
      <c r="BT25" s="28" t="str">
        <f t="shared" ref="BT25:BV44" si="50">IF($G25="","",(INDEX(avoidedcosttbl2,$H25,BT$2)+(($H25-ROUNDDOWN($H25,0))*(INDEX(avoidedcosttbl2,ROUNDUP($H25,0),BT$2)-(INDEX(avoidedcosttbl2,ROUNDDOWN($H25,0),BT$2)))))*$Z25)</f>
        <v/>
      </c>
      <c r="BU25" s="28" t="str">
        <f t="shared" si="50"/>
        <v/>
      </c>
      <c r="BV25" s="28" t="str">
        <f t="shared" si="50"/>
        <v/>
      </c>
      <c r="BW25" s="29" t="str">
        <f t="shared" si="36"/>
        <v/>
      </c>
      <c r="BX25" s="29" t="str">
        <f t="shared" si="37"/>
        <v/>
      </c>
      <c r="BY25" s="28" t="str">
        <f>IF($G25="","",$G25*(IF(ADRYr2!$AI25=BY$4,ADRYr2!$AJ25,IF(ADRYr2!$AK25=BY$4,ADRYr2!$AL25,IF(ADRYr2!$AM25=BY$4,ADRYr2!$AN25,0))))*(INDEX(avoidedcosttbl2,$H25,BY$2)+(($H25-ROUNDDOWN($H25,0))*(INDEX(avoidedcosttbl2,ROUNDUP($H25,0),BY$2)-(INDEX(avoidedcosttbl2,ROUNDDOWN($H25,0),BY$2)))))*ADRYr2!P25*ADRYr2!Q25*ADRYr2!U25)</f>
        <v/>
      </c>
      <c r="BZ25" s="28" t="str">
        <f>IF($G25="","",$G25*(IF(ADRYr2!$AI25=BZ$4,ADRYr2!$AJ25,IF(ADRYr2!$AK25=BZ$4,ADRYr2!$AL25,IF(ADRYr2!$AM25=BZ$4,ADRYr2!$AN25,0))))*(INDEX(avoidedcosttbl2,$H25,BZ$2)+(($H25-ROUNDDOWN($H25,0))*(INDEX(avoidedcosttbl2,ROUNDUP($H25,0),BZ$2)-(INDEX(avoidedcosttbl2,ROUNDDOWN($H25,0),BZ$2)))))*ADRYr2!P25*ADRYr2!Q25*ADRYr2!U25)</f>
        <v/>
      </c>
      <c r="CA25" s="28" t="str">
        <f>IF($G25="","",$G25*(IF(ADRYr2!$AI25=CA$4,ADRYr2!$AJ25,IF(ADRYr2!$AK25=CA$4,ADRYr2!$AL25,IF(ADRYr2!$AM25=CA$4,ADRYr2!$AN25,0))))*(INDEX(avoidedcosttbl2,$H25,CA$2)+(($H25-ROUNDDOWN($H25,0))*(INDEX(avoidedcosttbl2,ROUNDUP($H25,0),CA$2)-(INDEX(avoidedcosttbl2,ROUNDDOWN($H25,0),CA$2)))))*ADRYr2!P25*ADRYr2!Q25*ADRYr2!U25)</f>
        <v/>
      </c>
      <c r="CB25" s="28" t="str">
        <f>IF($G25="","",$G25*(IF(ADRYr2!$AI25=CB$4,ADRYr2!$AJ25,IF(ADRYr2!$AK25=CB$4,ADRYr2!$AL25,IF(ADRYr2!$AM25=CB$4,ADRYr2!$AN25,0))))*(INDEX(avoidedcosttbl2,$H25,CB$2)+(($H25-ROUNDDOWN($H25,0))*(INDEX(avoidedcosttbl2,ROUNDUP($H25,0),CB$2)-(INDEX(avoidedcosttbl2,ROUNDDOWN($H25,0),CB$2)))))*ADRYr2!P25*ADRYr2!Q25*ADRYr2!U25)</f>
        <v/>
      </c>
      <c r="CC25" s="28" t="str">
        <f>IF($G25="","",$G25*(IF(ADRYr2!$AI25=CC$4,ADRYr2!$AJ25,IF(ADRYr2!$AK25=CC$4,ADRYr2!$AL25,IF(ADRYr2!$AM25=CC$4,ADRYr2!$AN25,0))))*(INDEX(avoidedcosttbl2,$H25,CC$2)+(($H25-ROUNDDOWN($H25,0))*(INDEX(avoidedcosttbl2,ROUNDUP($H25,0),CC$2)-(INDEX(avoidedcosttbl2,ROUNDDOWN($H25,0),CC$2)))))*ADRYr2!P25*ADRYr2!Q25*ADRYr2!U25)</f>
        <v/>
      </c>
      <c r="CD25" s="28" t="str">
        <f>IF($G25="","",$G25*(IF(ADRYr2!$AI25=CD$4,ADRYr2!$AJ25,IF(ADRYr2!$AK25=CD$4,ADRYr2!$AL25,IF(ADRYr2!$AM25=CD$4,ADRYr2!$AN25,0))))*(INDEX(avoidedcosttbl2,$H25,CD$2)+(($H25-ROUNDDOWN($H25,0))*(INDEX(avoidedcosttbl2,ROUNDUP($H25,0),CD$2)-(INDEX(avoidedcosttbl2,ROUNDDOWN($H25,0),CD$2)))))*ADRYr2!P25*ADRYr2!Q25*ADRYr2!U25)</f>
        <v/>
      </c>
      <c r="CE25" s="28" t="str">
        <f>IF($G25="","",$G25*(IF(ADRYr2!$AI25=CE$4,ADRYr2!$AJ25,IF(ADRYr2!$AK25=CE$4,ADRYr2!$AL25,IF(ADRYr2!$AM25=CE$4,ADRYr2!$AN25,0))))*(INDEX(avoidedcosttbl2,$H25,CE$2)+(($H25-ROUNDDOWN($H25,0))*(INDEX(avoidedcosttbl2,ROUNDUP($H25,0),CE$2)-(INDEX(avoidedcosttbl2,ROUNDDOWN($H25,0),CE$2)))))*ADRYr2!P25*ADRYr2!Q25*ADRYr2!U25)</f>
        <v/>
      </c>
      <c r="CF25" s="41" t="str">
        <f t="shared" si="38"/>
        <v/>
      </c>
      <c r="CG25" s="30" t="str">
        <f t="shared" si="11"/>
        <v/>
      </c>
      <c r="CH25" s="30" t="str">
        <f>IF($G25="","",$G25*(IF(ADRYr2!$AI25=BY$4,ADRYr2!$AJ25,IF(ADRYr2!$AK25=BY$4,ADRYr2!$AL25,IF(ADRYr2!$AM25=BY$4,ADRYr2!$AN25,0))))*(INDEX(avoidedcosttbl2,$H25,CH$2)+(($H25-ROUNDDOWN($H25,0))*(INDEX(avoidedcosttbl2,ROUNDUP($H25,0),CH$2)-(INDEX(avoidedcosttbl2,ROUNDDOWN($H25,0),CH$2)))))*ADRYr2!P25*ADRYr2!Q25*ADRYr2!U25)</f>
        <v/>
      </c>
      <c r="CI25" s="30" t="str">
        <f>IF($G25="","",$G25*(IF(ADRYr2!$AI25=BZ$4,ADRYr2!$AJ25,IF(ADRYr2!$AK25=BZ$4,ADRYr2!$AL25,IF(ADRYr2!$AM25=BZ$4,ADRYr2!$AN25,0))))*(INDEX(avoidedcosttbl2,$H25,CI$2)+(($H25-ROUNDDOWN($H25,0))*(INDEX(avoidedcosttbl2,ROUNDUP($H25,0),CI$2)-(INDEX(avoidedcosttbl2,ROUNDDOWN($H25,0),CI$2)))))*ADRYr2!P25*ADRYr2!Q25*ADRYr2!U25)</f>
        <v/>
      </c>
      <c r="CJ25" s="30" t="str">
        <f>IF($G25="","",$G25*(IF(ADRYr2!$AI25=CA$4,ADRYr2!$AJ25,IF(ADRYr2!$AK25=CA$4,ADRYr2!$AL25,IF(ADRYr2!$AM25=CA$4,ADRYr2!$AN25,0))))*(INDEX(avoidedcosttbl2,$H25,CJ$2)+(($H25-ROUNDDOWN($H25,0))*(INDEX(avoidedcosttbl2,ROUNDUP($H25,0),CJ$2)-(INDEX(avoidedcosttbl2,ROUNDDOWN($H25,0),CJ$2)))))*ADRYr2!P25*ADRYr2!Q25*ADRYr2!U25)</f>
        <v/>
      </c>
      <c r="CK25" s="30" t="str">
        <f>IF($G25="","",$G25*(IF(ADRYr2!$AI25=CB$4,ADRYr2!$AJ25,IF(ADRYr2!$AK25=CB$4,ADRYr2!$AL25,IF(ADRYr2!$AM25=CB$4,ADRYr2!$AN25,0))))*(INDEX(avoidedcosttbl2,$H25,CK$2)+(($H25-ROUNDDOWN($H25,0))*(INDEX(avoidedcosttbl2,ROUNDUP($H25,0),CK$2)-(INDEX(avoidedcosttbl2,ROUNDDOWN($H25,0),CK$2)))))*ADRYr2!P25*ADRYr2!Q25*ADRYr2!U25)</f>
        <v/>
      </c>
      <c r="CL25" s="30" t="str">
        <f>IF($G25="","",$G25*(IF(ADRYr2!$AI25=CC$4,ADRYr2!$AJ25,IF(ADRYr2!$AK25=CC$4,ADRYr2!$AL25,IF(ADRYr2!$AM25=CC$4,ADRYr2!$AN25,0))))*(INDEX(avoidedcosttbl2,$H25,CL$2)+(($H25-ROUNDDOWN($H25,0))*(INDEX(avoidedcosttbl2,ROUNDUP($H25,0),CL$2)-(INDEX(avoidedcosttbl2,ROUNDDOWN($H25,0),CL$2)))))*ADRYr2!P25*ADRYr2!Q25*ADRYr2!U25)</f>
        <v/>
      </c>
      <c r="CM25" s="30" t="str">
        <f>IF($G25="","",$G25*(IF(ADRYr2!$AI25=CD$4,ADRYr2!$AJ25,IF(ADRYr2!$AK25=CD$4,ADRYr2!$AL25,IF(ADRYr2!$AM25=CD$4,ADRYr2!$AN25,0))))*(INDEX(avoidedcosttbl2,$H25,CM$2)+(($H25-ROUNDDOWN($H25,0))*(INDEX(avoidedcosttbl2,ROUNDUP($H25,0),CM$2)-(INDEX(avoidedcosttbl2,ROUNDDOWN($H25,0),CM$2)))))*ADRYr2!P25*ADRYr2!Q25*ADRYr2!U25)</f>
        <v/>
      </c>
      <c r="CN25" s="30" t="str">
        <f>IF($G25="","",$G25*(IF(ADRYr2!$AI25=CE$4,ADRYr2!$AJ25,IF(ADRYr2!$AK25=CE$4,ADRYr2!$AL25,IF(ADRYr2!$AM25=CE$4,ADRYr2!$AN25,0))))*(INDEX(avoidedcosttbl2,$H25,CN$2)+(($H25-ROUNDDOWN($H25,0))*(INDEX(avoidedcosttbl2,ROUNDUP($H25,0),CN$2)-(INDEX(avoidedcosttbl2,ROUNDDOWN($H25,0),CN$2)))))*ADRYr2!P25*ADRYr2!Q25*ADRYr2!U25)</f>
        <v/>
      </c>
      <c r="CO25" s="220" t="str">
        <f t="shared" si="39"/>
        <v/>
      </c>
      <c r="CP25" s="220" t="str">
        <f t="shared" si="40"/>
        <v/>
      </c>
      <c r="CQ25" s="157" t="str">
        <f>IF($G25="","",$G25*(IF(ADRYr2!$AI25=CQ$4,ADRYr2!$AJ25,IF(ADRYr2!$AK25=CQ$4,ADRYr2!$AL25,IF(ADRYr2!$AM25=CQ$4,ADRYr2!$AN25,0))))*(INDEX(avoidedcosttbl2,$H25,CQ$2)+(($H25-ROUNDDOWN($H25,0))*(INDEX(avoidedcosttbl2,ROUNDUP($H25,0),CQ$2)-(INDEX(avoidedcosttbl2,ROUNDDOWN($H25,0),CQ$2)))))*ADRYr2!$P25*ADRYr2!$Q25*ADRYr2!$U25)</f>
        <v/>
      </c>
      <c r="CR25" s="28" t="str">
        <f>IF($G25="","",G25*(IF(ADRYr2!$AI25=CR$4,ADRYr2!$AJ25,IF(ADRYr2!$AK25=CR$4,ADRYr2!$AL25,IF(ADRYr2!$AM25=CR$4,ADRYr2!$AN25,0))))*(INDEX(avoidedcosttbl2,$H25,CR$2)+(($H25-ROUNDDOWN($H25,0))*(INDEX(avoidedcosttbl2,ROUNDUP($H25,0),CR$2)-(INDEX(avoidedcosttbl2,ROUNDDOWN($H25,0),CR$2)))))*ADRYr2!$P25*ADRYr2!$Q25*ADRYr2!$U25)</f>
        <v/>
      </c>
      <c r="CS25" s="28" t="str">
        <f>IF($G25="","",G25*(IF(ADRYr2!$AI25=CS$4,ADRYr2!$AJ25,IF(ADRYr2!$AK25=CS$4,ADRYr2!$AL25,IF(ADRYr2!$AM25=CS$4,ADRYr2!$AN25,0))))*(INDEX(avoidedcosttbl2,$H25,CS$2)+(($H25-ROUNDDOWN($H25,0))*(INDEX(avoidedcosttbl2,ROUNDUP($H25,0),CS$2)-(INDEX(avoidedcosttbl2,ROUNDDOWN($H25,0),CS$2)))))*ADRYr2!$P25*ADRYr2!$Q25*ADRYr2!$U25)</f>
        <v/>
      </c>
      <c r="CT25" s="28" t="str">
        <f t="shared" si="12"/>
        <v/>
      </c>
      <c r="CU25" s="28" t="str">
        <f>IF($G25="","",G25*(IF(ADRYr2!$AI25=CU$4,ADRYr2!$AJ25,IF(ADRYr2!$AK25=CU$4,ADRYr2!$AL25,IF(ADRYr2!$AM25=CU$4,ADRYr2!$AN25,0))))*(INDEX(avoidedcosttbl2,$H25,CU$2)+(($H25-ROUNDDOWN($H25,0))*(INDEX(avoidedcosttbl2,ROUNDUP($H25,0),CU$2)-(INDEX(avoidedcosttbl2,ROUNDDOWN($H25,0),CU$2)))))*ADRYr2!$P25*ADRYr2!$Q25*ADRYr2!$U25)</f>
        <v/>
      </c>
      <c r="CV25" s="28" t="str">
        <f>IF($G25="","",G25*(IF(ADRYr2!$AI25=CV$4,ADRYr2!$AJ25,IF(ADRYr2!$AK25=CV$4,ADRYr2!$AL25,IF(ADRYr2!$AM25=CV$4,ADRYr2!$AN25,0))))*(INDEX(avoidedcosttbl2,$H25,CV$2)+(($H25-ROUNDDOWN($H25,0))*(INDEX(avoidedcosttbl2,ROUNDUP($H25,0),CV$2)-(INDEX(avoidedcosttbl2,ROUNDDOWN($H25,0),CV$2)))))*ADRYr2!$P25*ADRYr2!$Q25*ADRYr2!$U25)</f>
        <v/>
      </c>
      <c r="CW25" s="28" t="str">
        <f>IF($G25="","",G25*(IF(ADRYr2!$AI25=CW$4,ADRYr2!$AJ25,IF(ADRYr2!$AK25=CW$4,ADRYr2!$AL25,IF(ADRYr2!$AM25=CW$4,ADRYr2!$AN25,0))))*(INDEX(avoidedcosttbl2,$H25,CW$2)+(($H25-ROUNDDOWN($H25,0))*(INDEX(avoidedcosttbl2,ROUNDUP($H25,0),CW$2)-(INDEX(avoidedcosttbl2,ROUNDDOWN($H25,0),CW$2)))))*ADRYr2!$P25*ADRYr2!$Q25*ADRYr2!$U25)</f>
        <v/>
      </c>
      <c r="CX25" s="28" t="str">
        <f>IF($G25="","",G25*(IF(ADRYr2!$AI25=CX$4,ADRYr2!$AJ25,IF(ADRYr2!$AK25=CX$4,ADRYr2!$AL25,IF(ADRYr2!$AM25=CX$4,ADRYr2!$AN25,0))))*(INDEX(avoidedcosttbl2,$H25,CX$2)+(($H25-ROUNDDOWN($H25,0))*(INDEX(avoidedcosttbl2,ROUNDUP($H25,0),CX$2)-(INDEX(avoidedcosttbl2,ROUNDDOWN($H25,0),CX$2)))))*ADRYr2!$P25*ADRYr2!$Q25*ADRYr2!$U25)</f>
        <v/>
      </c>
      <c r="CY25" s="28" t="str">
        <f t="shared" si="13"/>
        <v/>
      </c>
      <c r="CZ25" s="32" t="str">
        <f t="shared" si="14"/>
        <v/>
      </c>
      <c r="DA25" s="84" t="str">
        <f t="shared" si="41"/>
        <v/>
      </c>
      <c r="DB25" s="81" t="str">
        <f>IF(NEIadder="Yes",IF($G25="","",INDEX(Lookups!$G$70:$G$71,MATCH($A25,Lookups!$E$70:$E$71,0))*(SUM(CP25:CX25,BX25))),"")</f>
        <v/>
      </c>
      <c r="DC25" s="263" t="str">
        <f t="shared" si="15"/>
        <v/>
      </c>
      <c r="DD25" s="166" t="str">
        <f t="shared" si="16"/>
        <v/>
      </c>
      <c r="DE25" s="82">
        <f t="shared" si="42"/>
        <v>0</v>
      </c>
      <c r="DF25" s="615" t="str">
        <f>IF($G25="","",(1+WntPeakEnergyLL)*(INDEX(avoidedcosttbl2,$H25,DF$2)+(($H25-ROUNDDOWN($H25,0))*(INDEX(avoidedcosttbl2,ROUNDUP($H25,0),DF$2)-(INDEX(avoidedcosttbl2,ROUNDDOWN($H25,0),DF$2)))))*$P25*1000*ADRYr2!Z25)</f>
        <v/>
      </c>
      <c r="DG25" s="615" t="str">
        <f>IF($G25="","",(1+WntOffPeakEnergyLL)*(INDEX(avoidedcosttbl2,$H25,DG$2)+(($H25-ROUNDDOWN($H25,0))*(INDEX(avoidedcosttbl2,ROUNDUP($H25,0),DG$2)-(INDEX(avoidedcosttbl2,ROUNDDOWN($H25,0),DG$2)))))*$P25*1000*ADRYr2!AA25)</f>
        <v/>
      </c>
      <c r="DH25" s="615" t="str">
        <f>IF($G25="","",(1+SumPeakEnergyLL)*(INDEX(avoidedcosttbl2,$H25,DH$2)+(($H25-ROUNDDOWN($H25,0))*(INDEX(avoidedcosttbl2,ROUNDUP($H25,0),DH$2)-(INDEX(avoidedcosttbl2,ROUNDDOWN($H25,0),DH$2)))))*$P25*1000*ADRYr2!AB25)</f>
        <v/>
      </c>
      <c r="DI25" s="615" t="str">
        <f>IF($G25="","",(1+SumOffPeakEnergyLL)*(INDEX(avoidedcosttbl2,$H25,DI$2)+(($H25-ROUNDDOWN($H25,0))*(INDEX(avoidedcosttbl2,ROUNDUP($H25,0),DI$2)-(INDEX(avoidedcosttbl2,ROUNDDOWN($H25,0),DI$2)))))*$P25*1000*ADRYr2!AC25)</f>
        <v/>
      </c>
      <c r="DJ25" s="29" t="str">
        <f t="shared" si="43"/>
        <v/>
      </c>
      <c r="DK25" s="161" t="str">
        <f t="shared" si="44"/>
        <v/>
      </c>
      <c r="DL25" s="1189" t="str">
        <f t="shared" si="45"/>
        <v/>
      </c>
      <c r="DM25" s="1189" t="str">
        <f t="shared" si="46"/>
        <v/>
      </c>
      <c r="DN25" s="43" t="str">
        <f t="shared" si="47"/>
        <v/>
      </c>
      <c r="DO25" s="966" t="str">
        <f>IF($G25="","",ADRYr2!AQ25)</f>
        <v/>
      </c>
      <c r="DP25" s="968" t="str">
        <f>IF($G25="","",ADRYr2!AR25)</f>
        <v/>
      </c>
      <c r="DQ25" s="970" t="str">
        <f>IF($G25="","",IF($DP25="Yes",COLUMN(AESC!$L$10),IF($DP25="No","Using AvoidedDemand tab",IF($DP25="Mixed",COLUMN(AESC!$N$10)))))</f>
        <v/>
      </c>
      <c r="DR25" s="970" t="str">
        <f>IF($G25="","",IF($DP25="Yes",COLUMN(AESC!$P$10),IF($DP25="No","Using AvoidedDemand tab",IF($DP25="Mixed",COLUMN(AESC!$R$10)))))</f>
        <v/>
      </c>
      <c r="DS25" s="970" t="str">
        <f>IF($G25="","",IF($DP25="Yes",COLUMN(AESC!$S$10),IF($DP25="No",COLUMN(AESC!$T$10),IF($DP25="Mixed",COLUMN(AESC!$U$10)))))</f>
        <v/>
      </c>
      <c r="DT25" s="970" t="str">
        <f t="shared" si="48"/>
        <v/>
      </c>
      <c r="DU25" s="970" t="str">
        <f>IF($G25="","",ADRYr2!AS25)</f>
        <v/>
      </c>
      <c r="DV25" s="971" t="str">
        <f>IF($G25="","",ADRYr2!AT25)</f>
        <v/>
      </c>
      <c r="DW25" s="1162" t="str">
        <f>IF($G25="","",INDEX(AvoidedEnergy!$H$4:$H$10,MATCH($DO25,AvoidedEnergy!$A$4:$A$10,0)))</f>
        <v/>
      </c>
    </row>
    <row r="26" spans="1:127">
      <c r="A26" s="160" t="str">
        <f>IF(ADRYr2!$B26=0,"",ADRYr2!A26)</f>
        <v>B - Low-Income</v>
      </c>
      <c r="B26" s="9" t="str">
        <f>IF(ADRYr2!$B26=0,"",ADRYr2!B26)</f>
        <v>Home Energy Assistance</v>
      </c>
      <c r="C26" s="9" t="str">
        <f>IF(ADRYr2!$B26=0,"",ADRYr2!C26)</f>
        <v>Res Demand Response</v>
      </c>
      <c r="D26" s="9" t="str">
        <f>IF(ADRYr2!$B26=0,"",ADRYr2!D26)</f>
        <v>Storage Targeted Dispatch P4P (consumption) Winter</v>
      </c>
      <c r="E26" s="9">
        <f>IF(ADRYr2!$B26=0,"",ADRYr2!E26)</f>
        <v>0</v>
      </c>
      <c r="F26" s="11" t="str">
        <f>IF(ADRYr2!$B26=0,"",ADRYr2!F26)</f>
        <v>Behavior</v>
      </c>
      <c r="G26" s="12" t="str">
        <f>IF(ADRYr2!$G26&lt;&gt;0,ADRYr2!G26,"")</f>
        <v/>
      </c>
      <c r="H26" s="960" t="str">
        <f>IF($G26="","",ROUND(ADRYr2!H26,0))</f>
        <v/>
      </c>
      <c r="I26" s="47" t="str">
        <f>IF($G26="","",ADRYr2!I26*ADRYr2!P26*G26)</f>
        <v/>
      </c>
      <c r="J26" s="47" t="str">
        <f>IF($G26="","",ADRYr2!J26*G26)</f>
        <v/>
      </c>
      <c r="K26" s="47" t="str">
        <f t="shared" si="17"/>
        <v/>
      </c>
      <c r="L26" s="27" t="str">
        <f>IF($G26="","",ADRYr2!V26*G26/1000)</f>
        <v/>
      </c>
      <c r="M26" s="27" t="str">
        <f>IF($G26="","",L26*ADRYr2!$Q26*ADRYr2!$R26)</f>
        <v/>
      </c>
      <c r="N26" s="27" t="str">
        <f t="shared" si="18"/>
        <v/>
      </c>
      <c r="O26" s="27" t="str">
        <f t="shared" si="19"/>
        <v/>
      </c>
      <c r="P26" s="27" t="str">
        <f>IF($G26="","",M26*ADRYr2!P26)</f>
        <v/>
      </c>
      <c r="Q26" s="27" t="str">
        <f t="shared" si="20"/>
        <v/>
      </c>
      <c r="R26" s="27" t="str">
        <f>IF($G26="","",$Q26*ADRYr2!Z26)</f>
        <v/>
      </c>
      <c r="S26" s="27" t="str">
        <f>IF($G26="","",$Q26*ADRYr2!AA26)</f>
        <v/>
      </c>
      <c r="T26" s="27" t="str">
        <f>IF($G26="","",$Q26*ADRYr2!AB26)</f>
        <v/>
      </c>
      <c r="U26" s="27" t="str">
        <f>IF($G26="","",$Q26*ADRYr2!AC26)</f>
        <v/>
      </c>
      <c r="V26" s="27" t="str">
        <f>IF($G26="","",G26*ADRYr2!$AD26*ADRYr2!$P26*ADRYr2!$Q26)</f>
        <v/>
      </c>
      <c r="W26" s="27" t="str">
        <f>IF($G26="","",$G26*ADRYr2!$AD26*ADRYr2!$AF26*ADRYr2!Q26*ADRYr2!$S26)</f>
        <v/>
      </c>
      <c r="X26" s="27" t="str">
        <f>IF($G26="","",$G26*ADRYr2!$AD26*ADRYr2!$AF26*ADRYr2!P26*ADRYr2!Q26*ADRYr2!$S26)</f>
        <v/>
      </c>
      <c r="Y26" s="27" t="str">
        <f>IF($G26="","",$G26*ADRYr2!$AD26*ADRYr2!$AE26*ADRYr2!Q26*ADRYr2!$T26)</f>
        <v/>
      </c>
      <c r="Z26" s="27" t="str">
        <f>IF($G26="","",$G26*ADRYr2!$AD26*ADRYr2!$AE26*ADRYr2!P26*ADRYr2!Q26*ADRYr2!$T26)</f>
        <v/>
      </c>
      <c r="AA26" s="45" t="str">
        <f>IF($G26="","",$G26*ADRYr2!$Q26*ADRYr2!$U26*(IF(IFERROR(SEARCH("NG", ADRYr2!$AI26),0),ADRYr2!$AJ26,0)+IF(IFERROR(SEARCH("NG", ADRYr2!$AK26),0),ADRYr2!$AL26,0)+IF(IFERROR(SEARCH("NG", ADRYr2!$AM26),0),ADRYr2!$AN26,0)))</f>
        <v/>
      </c>
      <c r="AB26" s="45" t="str">
        <f t="shared" si="21"/>
        <v/>
      </c>
      <c r="AC26" s="45">
        <f>IF($G26="",0,AA26*ADRYr2!$P26)</f>
        <v>0</v>
      </c>
      <c r="AD26" s="45" t="str">
        <f t="shared" si="22"/>
        <v/>
      </c>
      <c r="AE26" s="45" t="str">
        <f>IF($G26="","",$G26*ADRYr2!$Q26*ADRYr2!$U26*(IF(IFERROR(SEARCH("Oil", ADRYr2!$AI26), 0),ADRYr2!$AJ26,0)+IF(IFERROR(SEARCH("Oil", ADRYr2!$AK26), 0),ADRYr2!$AL26,0)+IF(IFERROR(SEARCH("Oil", ADRYr2!$AM26), 0),ADRYr2!$AN26,0)))</f>
        <v/>
      </c>
      <c r="AF26" s="45" t="str">
        <f t="shared" si="23"/>
        <v/>
      </c>
      <c r="AG26" s="45">
        <f>IF($G26="",0,AE26*ADRYr2!$P26)</f>
        <v>0</v>
      </c>
      <c r="AH26" s="45" t="str">
        <f t="shared" si="24"/>
        <v/>
      </c>
      <c r="AI26" s="45" t="str">
        <f>IF($G26="","",$G26*ADRYr2!$Q26*ADRYr2!$U26*(IF(ADRYr2!$AI26=Lookups!$E$116,ADRYr2!$AJ26,IF(ADRYr2!$AK26=Lookups!$E$116,ADRYr2!$AL26,IF(ADRYr2!$AM26=Lookups!$E$116,ADRYr2!$AN26,0)))))</f>
        <v/>
      </c>
      <c r="AJ26" s="45" t="str">
        <f t="shared" si="25"/>
        <v/>
      </c>
      <c r="AK26" s="45">
        <f>IF($G26="",0,AI26*ADRYr2!$P26)</f>
        <v>0</v>
      </c>
      <c r="AL26" s="45" t="str">
        <f t="shared" si="26"/>
        <v/>
      </c>
      <c r="AM26" s="45" t="str">
        <f>IF($G26="","",$G26*ADRYr2!$Q26*ADRYr2!$U26*(IF(ADRYr2!$AI26=Lookups!$E$115,ADRYr2!$AJ26,IF(ADRYr2!$AK26=Lookups!$E$115,ADRYr2!$AL26,IF(ADRYr2!$AM26=Lookups!$E$115,ADRYr2!$AN26,0)))))</f>
        <v/>
      </c>
      <c r="AN26" s="45" t="str">
        <f t="shared" si="27"/>
        <v/>
      </c>
      <c r="AO26" s="45">
        <f>IF($G26="",0,AM26*ADRYr2!$P26)</f>
        <v>0</v>
      </c>
      <c r="AP26" s="45" t="str">
        <f t="shared" si="28"/>
        <v/>
      </c>
      <c r="AQ26" s="45" t="str">
        <f>IF($G26="","",$G26*ADRYr2!$Q26*ADRYr2!$U26*(IF(ADRYr2!$AI26=Lookups!$E$117,ADRYr2!$AJ26,IF(ADRYr2!$AK26=Lookups!$E$117,ADRYr2!$AL26,IF(ADRYr2!$AM26=Lookups!$E$117,ADRYr2!$AN26,0)))))</f>
        <v/>
      </c>
      <c r="AR26" s="45" t="str">
        <f t="shared" si="29"/>
        <v/>
      </c>
      <c r="AS26" s="45" t="str">
        <f>IF($G26="","",AQ26*ADRYr2!$P26)</f>
        <v/>
      </c>
      <c r="AT26" s="45" t="str">
        <f t="shared" si="30"/>
        <v/>
      </c>
      <c r="AU26" s="45" t="str">
        <f>IF($G26="","",$G26*ADRYr2!$Q26*ADRYr2!$U26*(IF(ADRYr2!$AI26=Lookups!$E$118,ADRYr2!$AJ26,IF(ADRYr2!$AK26=Lookups!$E$118,ADRYr2!$AL26,IF(ADRYr2!$AM26=Lookups!$E$118,ADRYr2!$AN26,0)))))</f>
        <v/>
      </c>
      <c r="AV26" s="45" t="str">
        <f t="shared" si="31"/>
        <v/>
      </c>
      <c r="AW26" s="45" t="str">
        <f>IF($G26="","",AU26*ADRYr2!$P26)</f>
        <v/>
      </c>
      <c r="AX26" s="45" t="str">
        <f t="shared" si="32"/>
        <v/>
      </c>
      <c r="AY26" s="45">
        <f t="shared" si="49"/>
        <v>0</v>
      </c>
      <c r="AZ26" s="45">
        <f t="shared" si="49"/>
        <v>0</v>
      </c>
      <c r="BA26" s="101" t="str">
        <f>IF($G26="","",$G26*ADRYr2!$P26*ADRYr2!$Q26*ADRYr2!$U26*ADRYr2!AO26)</f>
        <v/>
      </c>
      <c r="BB26" s="102" t="str">
        <f>IF($G26="","",$G26*ADRYr2!$P26*ADRYr2!$Q26*ADRYr2!$U26*ADRYr2!AP26)</f>
        <v/>
      </c>
      <c r="BC26" s="100" t="str">
        <f t="shared" si="34"/>
        <v/>
      </c>
      <c r="BD26" s="961"/>
      <c r="BE26" s="961"/>
      <c r="BF26" s="961"/>
      <c r="BG26" s="961"/>
      <c r="BH26" s="962" t="str">
        <f t="shared" si="3"/>
        <v/>
      </c>
      <c r="BI26" s="961"/>
      <c r="BJ26" s="961"/>
      <c r="BK26" s="961"/>
      <c r="BL26" s="961"/>
      <c r="BM26" s="30" t="str">
        <f t="shared" si="4"/>
        <v/>
      </c>
      <c r="BN26" s="963" t="str">
        <f t="shared" si="5"/>
        <v/>
      </c>
      <c r="BO26" s="31" t="str">
        <f t="shared" si="35"/>
        <v/>
      </c>
      <c r="BP26" s="964" t="str">
        <f t="shared" si="6"/>
        <v/>
      </c>
      <c r="BQ26" s="28" t="str">
        <f t="shared" si="7"/>
        <v/>
      </c>
      <c r="BR26" s="964" t="str">
        <f t="shared" si="8"/>
        <v/>
      </c>
      <c r="BS26" s="964" t="str">
        <f t="shared" si="9"/>
        <v/>
      </c>
      <c r="BT26" s="28" t="str">
        <f t="shared" si="50"/>
        <v/>
      </c>
      <c r="BU26" s="28" t="str">
        <f t="shared" si="50"/>
        <v/>
      </c>
      <c r="BV26" s="28" t="str">
        <f t="shared" si="50"/>
        <v/>
      </c>
      <c r="BW26" s="29" t="str">
        <f t="shared" si="36"/>
        <v/>
      </c>
      <c r="BX26" s="29" t="str">
        <f t="shared" si="37"/>
        <v/>
      </c>
      <c r="BY26" s="28" t="str">
        <f>IF($G26="","",$G26*(IF(ADRYr2!$AI26=BY$4,ADRYr2!$AJ26,IF(ADRYr2!$AK26=BY$4,ADRYr2!$AL26,IF(ADRYr2!$AM26=BY$4,ADRYr2!$AN26,0))))*(INDEX(avoidedcosttbl2,$H26,BY$2)+(($H26-ROUNDDOWN($H26,0))*(INDEX(avoidedcosttbl2,ROUNDUP($H26,0),BY$2)-(INDEX(avoidedcosttbl2,ROUNDDOWN($H26,0),BY$2)))))*ADRYr2!P26*ADRYr2!Q26*ADRYr2!U26)</f>
        <v/>
      </c>
      <c r="BZ26" s="28" t="str">
        <f>IF($G26="","",$G26*(IF(ADRYr2!$AI26=BZ$4,ADRYr2!$AJ26,IF(ADRYr2!$AK26=BZ$4,ADRYr2!$AL26,IF(ADRYr2!$AM26=BZ$4,ADRYr2!$AN26,0))))*(INDEX(avoidedcosttbl2,$H26,BZ$2)+(($H26-ROUNDDOWN($H26,0))*(INDEX(avoidedcosttbl2,ROUNDUP($H26,0),BZ$2)-(INDEX(avoidedcosttbl2,ROUNDDOWN($H26,0),BZ$2)))))*ADRYr2!P26*ADRYr2!Q26*ADRYr2!U26)</f>
        <v/>
      </c>
      <c r="CA26" s="28" t="str">
        <f>IF($G26="","",$G26*(IF(ADRYr2!$AI26=CA$4,ADRYr2!$AJ26,IF(ADRYr2!$AK26=CA$4,ADRYr2!$AL26,IF(ADRYr2!$AM26=CA$4,ADRYr2!$AN26,0))))*(INDEX(avoidedcosttbl2,$H26,CA$2)+(($H26-ROUNDDOWN($H26,0))*(INDEX(avoidedcosttbl2,ROUNDUP($H26,0),CA$2)-(INDEX(avoidedcosttbl2,ROUNDDOWN($H26,0),CA$2)))))*ADRYr2!P26*ADRYr2!Q26*ADRYr2!U26)</f>
        <v/>
      </c>
      <c r="CB26" s="28" t="str">
        <f>IF($G26="","",$G26*(IF(ADRYr2!$AI26=CB$4,ADRYr2!$AJ26,IF(ADRYr2!$AK26=CB$4,ADRYr2!$AL26,IF(ADRYr2!$AM26=CB$4,ADRYr2!$AN26,0))))*(INDEX(avoidedcosttbl2,$H26,CB$2)+(($H26-ROUNDDOWN($H26,0))*(INDEX(avoidedcosttbl2,ROUNDUP($H26,0),CB$2)-(INDEX(avoidedcosttbl2,ROUNDDOWN($H26,0),CB$2)))))*ADRYr2!P26*ADRYr2!Q26*ADRYr2!U26)</f>
        <v/>
      </c>
      <c r="CC26" s="28" t="str">
        <f>IF($G26="","",$G26*(IF(ADRYr2!$AI26=CC$4,ADRYr2!$AJ26,IF(ADRYr2!$AK26=CC$4,ADRYr2!$AL26,IF(ADRYr2!$AM26=CC$4,ADRYr2!$AN26,0))))*(INDEX(avoidedcosttbl2,$H26,CC$2)+(($H26-ROUNDDOWN($H26,0))*(INDEX(avoidedcosttbl2,ROUNDUP($H26,0),CC$2)-(INDEX(avoidedcosttbl2,ROUNDDOWN($H26,0),CC$2)))))*ADRYr2!P26*ADRYr2!Q26*ADRYr2!U26)</f>
        <v/>
      </c>
      <c r="CD26" s="28" t="str">
        <f>IF($G26="","",$G26*(IF(ADRYr2!$AI26=CD$4,ADRYr2!$AJ26,IF(ADRYr2!$AK26=CD$4,ADRYr2!$AL26,IF(ADRYr2!$AM26=CD$4,ADRYr2!$AN26,0))))*(INDEX(avoidedcosttbl2,$H26,CD$2)+(($H26-ROUNDDOWN($H26,0))*(INDEX(avoidedcosttbl2,ROUNDUP($H26,0),CD$2)-(INDEX(avoidedcosttbl2,ROUNDDOWN($H26,0),CD$2)))))*ADRYr2!P26*ADRYr2!Q26*ADRYr2!U26)</f>
        <v/>
      </c>
      <c r="CE26" s="28" t="str">
        <f>IF($G26="","",$G26*(IF(ADRYr2!$AI26=CE$4,ADRYr2!$AJ26,IF(ADRYr2!$AK26=CE$4,ADRYr2!$AL26,IF(ADRYr2!$AM26=CE$4,ADRYr2!$AN26,0))))*(INDEX(avoidedcosttbl2,$H26,CE$2)+(($H26-ROUNDDOWN($H26,0))*(INDEX(avoidedcosttbl2,ROUNDUP($H26,0),CE$2)-(INDEX(avoidedcosttbl2,ROUNDDOWN($H26,0),CE$2)))))*ADRYr2!P26*ADRYr2!Q26*ADRYr2!U26)</f>
        <v/>
      </c>
      <c r="CF26" s="41" t="str">
        <f t="shared" si="38"/>
        <v/>
      </c>
      <c r="CG26" s="30" t="str">
        <f t="shared" si="11"/>
        <v/>
      </c>
      <c r="CH26" s="30" t="str">
        <f>IF($G26="","",$G26*(IF(ADRYr2!$AI26=BY$4,ADRYr2!$AJ26,IF(ADRYr2!$AK26=BY$4,ADRYr2!$AL26,IF(ADRYr2!$AM26=BY$4,ADRYr2!$AN26,0))))*(INDEX(avoidedcosttbl2,$H26,CH$2)+(($H26-ROUNDDOWN($H26,0))*(INDEX(avoidedcosttbl2,ROUNDUP($H26,0),CH$2)-(INDEX(avoidedcosttbl2,ROUNDDOWN($H26,0),CH$2)))))*ADRYr2!P26*ADRYr2!Q26*ADRYr2!U26)</f>
        <v/>
      </c>
      <c r="CI26" s="30" t="str">
        <f>IF($G26="","",$G26*(IF(ADRYr2!$AI26=BZ$4,ADRYr2!$AJ26,IF(ADRYr2!$AK26=BZ$4,ADRYr2!$AL26,IF(ADRYr2!$AM26=BZ$4,ADRYr2!$AN26,0))))*(INDEX(avoidedcosttbl2,$H26,CI$2)+(($H26-ROUNDDOWN($H26,0))*(INDEX(avoidedcosttbl2,ROUNDUP($H26,0),CI$2)-(INDEX(avoidedcosttbl2,ROUNDDOWN($H26,0),CI$2)))))*ADRYr2!P26*ADRYr2!Q26*ADRYr2!U26)</f>
        <v/>
      </c>
      <c r="CJ26" s="30" t="str">
        <f>IF($G26="","",$G26*(IF(ADRYr2!$AI26=CA$4,ADRYr2!$AJ26,IF(ADRYr2!$AK26=CA$4,ADRYr2!$AL26,IF(ADRYr2!$AM26=CA$4,ADRYr2!$AN26,0))))*(INDEX(avoidedcosttbl2,$H26,CJ$2)+(($H26-ROUNDDOWN($H26,0))*(INDEX(avoidedcosttbl2,ROUNDUP($H26,0),CJ$2)-(INDEX(avoidedcosttbl2,ROUNDDOWN($H26,0),CJ$2)))))*ADRYr2!P26*ADRYr2!Q26*ADRYr2!U26)</f>
        <v/>
      </c>
      <c r="CK26" s="30" t="str">
        <f>IF($G26="","",$G26*(IF(ADRYr2!$AI26=CB$4,ADRYr2!$AJ26,IF(ADRYr2!$AK26=CB$4,ADRYr2!$AL26,IF(ADRYr2!$AM26=CB$4,ADRYr2!$AN26,0))))*(INDEX(avoidedcosttbl2,$H26,CK$2)+(($H26-ROUNDDOWN($H26,0))*(INDEX(avoidedcosttbl2,ROUNDUP($H26,0),CK$2)-(INDEX(avoidedcosttbl2,ROUNDDOWN($H26,0),CK$2)))))*ADRYr2!P26*ADRYr2!Q26*ADRYr2!U26)</f>
        <v/>
      </c>
      <c r="CL26" s="30" t="str">
        <f>IF($G26="","",$G26*(IF(ADRYr2!$AI26=CC$4,ADRYr2!$AJ26,IF(ADRYr2!$AK26=CC$4,ADRYr2!$AL26,IF(ADRYr2!$AM26=CC$4,ADRYr2!$AN26,0))))*(INDEX(avoidedcosttbl2,$H26,CL$2)+(($H26-ROUNDDOWN($H26,0))*(INDEX(avoidedcosttbl2,ROUNDUP($H26,0),CL$2)-(INDEX(avoidedcosttbl2,ROUNDDOWN($H26,0),CL$2)))))*ADRYr2!P26*ADRYr2!Q26*ADRYr2!U26)</f>
        <v/>
      </c>
      <c r="CM26" s="30" t="str">
        <f>IF($G26="","",$G26*(IF(ADRYr2!$AI26=CD$4,ADRYr2!$AJ26,IF(ADRYr2!$AK26=CD$4,ADRYr2!$AL26,IF(ADRYr2!$AM26=CD$4,ADRYr2!$AN26,0))))*(INDEX(avoidedcosttbl2,$H26,CM$2)+(($H26-ROUNDDOWN($H26,0))*(INDEX(avoidedcosttbl2,ROUNDUP($H26,0),CM$2)-(INDEX(avoidedcosttbl2,ROUNDDOWN($H26,0),CM$2)))))*ADRYr2!P26*ADRYr2!Q26*ADRYr2!U26)</f>
        <v/>
      </c>
      <c r="CN26" s="30" t="str">
        <f>IF($G26="","",$G26*(IF(ADRYr2!$AI26=CE$4,ADRYr2!$AJ26,IF(ADRYr2!$AK26=CE$4,ADRYr2!$AL26,IF(ADRYr2!$AM26=CE$4,ADRYr2!$AN26,0))))*(INDEX(avoidedcosttbl2,$H26,CN$2)+(($H26-ROUNDDOWN($H26,0))*(INDEX(avoidedcosttbl2,ROUNDUP($H26,0),CN$2)-(INDEX(avoidedcosttbl2,ROUNDDOWN($H26,0),CN$2)))))*ADRYr2!P26*ADRYr2!Q26*ADRYr2!U26)</f>
        <v/>
      </c>
      <c r="CO26" s="220" t="str">
        <f t="shared" si="39"/>
        <v/>
      </c>
      <c r="CP26" s="220" t="str">
        <f t="shared" si="40"/>
        <v/>
      </c>
      <c r="CQ26" s="157" t="str">
        <f>IF($G26="","",$G26*(IF(ADRYr2!$AI26=CQ$4,ADRYr2!$AJ26,IF(ADRYr2!$AK26=CQ$4,ADRYr2!$AL26,IF(ADRYr2!$AM26=CQ$4,ADRYr2!$AN26,0))))*(INDEX(avoidedcosttbl2,$H26,CQ$2)+(($H26-ROUNDDOWN($H26,0))*(INDEX(avoidedcosttbl2,ROUNDUP($H26,0),CQ$2)-(INDEX(avoidedcosttbl2,ROUNDDOWN($H26,0),CQ$2)))))*ADRYr2!$P26*ADRYr2!$Q26*ADRYr2!$U26)</f>
        <v/>
      </c>
      <c r="CR26" s="28" t="str">
        <f>IF($G26="","",G26*(IF(ADRYr2!$AI26=CR$4,ADRYr2!$AJ26,IF(ADRYr2!$AK26=CR$4,ADRYr2!$AL26,IF(ADRYr2!$AM26=CR$4,ADRYr2!$AN26,0))))*(INDEX(avoidedcosttbl2,$H26,CR$2)+(($H26-ROUNDDOWN($H26,0))*(INDEX(avoidedcosttbl2,ROUNDUP($H26,0),CR$2)-(INDEX(avoidedcosttbl2,ROUNDDOWN($H26,0),CR$2)))))*ADRYr2!$P26*ADRYr2!$Q26*ADRYr2!$U26)</f>
        <v/>
      </c>
      <c r="CS26" s="28" t="str">
        <f>IF($G26="","",G26*(IF(ADRYr2!$AI26=CS$4,ADRYr2!$AJ26,IF(ADRYr2!$AK26=CS$4,ADRYr2!$AL26,IF(ADRYr2!$AM26=CS$4,ADRYr2!$AN26,0))))*(INDEX(avoidedcosttbl2,$H26,CS$2)+(($H26-ROUNDDOWN($H26,0))*(INDEX(avoidedcosttbl2,ROUNDUP($H26,0),CS$2)-(INDEX(avoidedcosttbl2,ROUNDDOWN($H26,0),CS$2)))))*ADRYr2!$P26*ADRYr2!$Q26*ADRYr2!$U26)</f>
        <v/>
      </c>
      <c r="CT26" s="28" t="str">
        <f t="shared" si="12"/>
        <v/>
      </c>
      <c r="CU26" s="28" t="str">
        <f>IF($G26="","",G26*(IF(ADRYr2!$AI26=CU$4,ADRYr2!$AJ26,IF(ADRYr2!$AK26=CU$4,ADRYr2!$AL26,IF(ADRYr2!$AM26=CU$4,ADRYr2!$AN26,0))))*(INDEX(avoidedcosttbl2,$H26,CU$2)+(($H26-ROUNDDOWN($H26,0))*(INDEX(avoidedcosttbl2,ROUNDUP($H26,0),CU$2)-(INDEX(avoidedcosttbl2,ROUNDDOWN($H26,0),CU$2)))))*ADRYr2!$P26*ADRYr2!$Q26*ADRYr2!$U26)</f>
        <v/>
      </c>
      <c r="CV26" s="28" t="str">
        <f>IF($G26="","",G26*(IF(ADRYr2!$AI26=CV$4,ADRYr2!$AJ26,IF(ADRYr2!$AK26=CV$4,ADRYr2!$AL26,IF(ADRYr2!$AM26=CV$4,ADRYr2!$AN26,0))))*(INDEX(avoidedcosttbl2,$H26,CV$2)+(($H26-ROUNDDOWN($H26,0))*(INDEX(avoidedcosttbl2,ROUNDUP($H26,0),CV$2)-(INDEX(avoidedcosttbl2,ROUNDDOWN($H26,0),CV$2)))))*ADRYr2!$P26*ADRYr2!$Q26*ADRYr2!$U26)</f>
        <v/>
      </c>
      <c r="CW26" s="28" t="str">
        <f>IF($G26="","",G26*(IF(ADRYr2!$AI26=CW$4,ADRYr2!$AJ26,IF(ADRYr2!$AK26=CW$4,ADRYr2!$AL26,IF(ADRYr2!$AM26=CW$4,ADRYr2!$AN26,0))))*(INDEX(avoidedcosttbl2,$H26,CW$2)+(($H26-ROUNDDOWN($H26,0))*(INDEX(avoidedcosttbl2,ROUNDUP($H26,0),CW$2)-(INDEX(avoidedcosttbl2,ROUNDDOWN($H26,0),CW$2)))))*ADRYr2!$P26*ADRYr2!$Q26*ADRYr2!$U26)</f>
        <v/>
      </c>
      <c r="CX26" s="28" t="str">
        <f>IF($G26="","",G26*(IF(ADRYr2!$AI26=CX$4,ADRYr2!$AJ26,IF(ADRYr2!$AK26=CX$4,ADRYr2!$AL26,IF(ADRYr2!$AM26=CX$4,ADRYr2!$AN26,0))))*(INDEX(avoidedcosttbl2,$H26,CX$2)+(($H26-ROUNDDOWN($H26,0))*(INDEX(avoidedcosttbl2,ROUNDUP($H26,0),CX$2)-(INDEX(avoidedcosttbl2,ROUNDDOWN($H26,0),CX$2)))))*ADRYr2!$P26*ADRYr2!$Q26*ADRYr2!$U26)</f>
        <v/>
      </c>
      <c r="CY26" s="28" t="str">
        <f t="shared" si="13"/>
        <v/>
      </c>
      <c r="CZ26" s="32" t="str">
        <f t="shared" si="14"/>
        <v/>
      </c>
      <c r="DA26" s="84" t="str">
        <f t="shared" si="41"/>
        <v/>
      </c>
      <c r="DB26" s="81" t="str">
        <f>IF(NEIadder="Yes",IF($G26="","",INDEX(Lookups!$G$70:$G$71,MATCH($A26,Lookups!$E$70:$E$71,0))*(SUM(CP26:CX26,BX26))),"")</f>
        <v/>
      </c>
      <c r="DC26" s="263" t="str">
        <f t="shared" si="15"/>
        <v/>
      </c>
      <c r="DD26" s="166" t="str">
        <f t="shared" si="16"/>
        <v/>
      </c>
      <c r="DE26" s="82">
        <f t="shared" si="42"/>
        <v>0</v>
      </c>
      <c r="DF26" s="615" t="str">
        <f>IF($G26="","",(1+WntPeakEnergyLL)*(INDEX(avoidedcosttbl2,$H26,DF$2)+(($H26-ROUNDDOWN($H26,0))*(INDEX(avoidedcosttbl2,ROUNDUP($H26,0),DF$2)-(INDEX(avoidedcosttbl2,ROUNDDOWN($H26,0),DF$2)))))*$P26*1000*ADRYr2!Z26)</f>
        <v/>
      </c>
      <c r="DG26" s="615" t="str">
        <f>IF($G26="","",(1+WntOffPeakEnergyLL)*(INDEX(avoidedcosttbl2,$H26,DG$2)+(($H26-ROUNDDOWN($H26,0))*(INDEX(avoidedcosttbl2,ROUNDUP($H26,0),DG$2)-(INDEX(avoidedcosttbl2,ROUNDDOWN($H26,0),DG$2)))))*$P26*1000*ADRYr2!AA26)</f>
        <v/>
      </c>
      <c r="DH26" s="615" t="str">
        <f>IF($G26="","",(1+SumPeakEnergyLL)*(INDEX(avoidedcosttbl2,$H26,DH$2)+(($H26-ROUNDDOWN($H26,0))*(INDEX(avoidedcosttbl2,ROUNDUP($H26,0),DH$2)-(INDEX(avoidedcosttbl2,ROUNDDOWN($H26,0),DH$2)))))*$P26*1000*ADRYr2!AB26)</f>
        <v/>
      </c>
      <c r="DI26" s="615" t="str">
        <f>IF($G26="","",(1+SumOffPeakEnergyLL)*(INDEX(avoidedcosttbl2,$H26,DI$2)+(($H26-ROUNDDOWN($H26,0))*(INDEX(avoidedcosttbl2,ROUNDUP($H26,0),DI$2)-(INDEX(avoidedcosttbl2,ROUNDDOWN($H26,0),DI$2)))))*$P26*1000*ADRYr2!AC26)</f>
        <v/>
      </c>
      <c r="DJ26" s="29" t="str">
        <f t="shared" si="43"/>
        <v/>
      </c>
      <c r="DK26" s="161" t="str">
        <f t="shared" si="44"/>
        <v/>
      </c>
      <c r="DL26" s="1189" t="str">
        <f t="shared" si="45"/>
        <v/>
      </c>
      <c r="DM26" s="1189" t="str">
        <f t="shared" si="46"/>
        <v/>
      </c>
      <c r="DN26" s="43" t="str">
        <f t="shared" si="47"/>
        <v/>
      </c>
      <c r="DO26" s="966" t="str">
        <f>IF($G26="","",ADRYr2!AQ26)</f>
        <v/>
      </c>
      <c r="DP26" s="968" t="str">
        <f>IF($G26="","",ADRYr2!AR26)</f>
        <v/>
      </c>
      <c r="DQ26" s="970" t="str">
        <f>IF($G26="","",IF($DP26="Yes",COLUMN(AESC!$L$10),IF($DP26="No","Using AvoidedDemand tab",IF($DP26="Mixed",COLUMN(AESC!$N$10)))))</f>
        <v/>
      </c>
      <c r="DR26" s="970" t="str">
        <f>IF($G26="","",IF($DP26="Yes",COLUMN(AESC!$P$10),IF($DP26="No","Using AvoidedDemand tab",IF($DP26="Mixed",COLUMN(AESC!$R$10)))))</f>
        <v/>
      </c>
      <c r="DS26" s="970" t="str">
        <f>IF($G26="","",IF($DP26="Yes",COLUMN(AESC!$S$10),IF($DP26="No",COLUMN(AESC!$T$10),IF($DP26="Mixed",COLUMN(AESC!$U$10)))))</f>
        <v/>
      </c>
      <c r="DT26" s="970" t="str">
        <f t="shared" si="48"/>
        <v/>
      </c>
      <c r="DU26" s="970" t="str">
        <f>IF($G26="","",ADRYr2!AS26)</f>
        <v/>
      </c>
      <c r="DV26" s="971" t="str">
        <f>IF($G26="","",ADRYr2!AT26)</f>
        <v/>
      </c>
      <c r="DW26" s="1162" t="str">
        <f>IF($G26="","",INDEX(AvoidedEnergy!$H$4:$H$10,MATCH($DO26,AvoidedEnergy!$A$4:$A$10,0)))</f>
        <v/>
      </c>
    </row>
    <row r="27" spans="1:127">
      <c r="A27" s="160" t="str">
        <f>IF(ADRYr2!$B27=0,"",ADRYr2!A27)</f>
        <v>B - Low-Income</v>
      </c>
      <c r="B27" s="9" t="str">
        <f>IF(ADRYr2!$B27=0,"",ADRYr2!B27)</f>
        <v>Home Energy Assistance</v>
      </c>
      <c r="C27" s="9" t="str">
        <f>IF(ADRYr2!$B27=0,"",ADRYr2!C27)</f>
        <v>Res Demand Response</v>
      </c>
      <c r="D27" s="9" t="str">
        <f>IF(ADRYr2!$B27=0,"",ADRYr2!D27)</f>
        <v>EV Load Management Summer</v>
      </c>
      <c r="E27" s="9">
        <f>IF(ADRYr2!$B27=0,"",ADRYr2!E27)</f>
        <v>0</v>
      </c>
      <c r="F27" s="11" t="str">
        <f>IF(ADRYr2!$B27=0,"",ADRYr2!F27)</f>
        <v>Behavior</v>
      </c>
      <c r="G27" s="12" t="str">
        <f>IF(ADRYr2!$G27&lt;&gt;0,ADRYr2!G27,"")</f>
        <v/>
      </c>
      <c r="H27" s="960" t="str">
        <f>IF($G27="","",ROUND(ADRYr2!H27,0))</f>
        <v/>
      </c>
      <c r="I27" s="47" t="str">
        <f>IF($G27="","",ADRYr2!I27*ADRYr2!P27*G27)</f>
        <v/>
      </c>
      <c r="J27" s="47" t="str">
        <f>IF($G27="","",ADRYr2!J27*G27)</f>
        <v/>
      </c>
      <c r="K27" s="47" t="str">
        <f t="shared" si="17"/>
        <v/>
      </c>
      <c r="L27" s="27" t="str">
        <f>IF($G27="","",ADRYr2!V27*G27/1000)</f>
        <v/>
      </c>
      <c r="M27" s="27" t="str">
        <f>IF($G27="","",L27*ADRYr2!$Q27*ADRYr2!$R27)</f>
        <v/>
      </c>
      <c r="N27" s="27" t="str">
        <f t="shared" si="18"/>
        <v/>
      </c>
      <c r="O27" s="27" t="str">
        <f t="shared" si="19"/>
        <v/>
      </c>
      <c r="P27" s="27" t="str">
        <f>IF($G27="","",M27*ADRYr2!P27)</f>
        <v/>
      </c>
      <c r="Q27" s="27" t="str">
        <f t="shared" si="20"/>
        <v/>
      </c>
      <c r="R27" s="27" t="str">
        <f>IF($G27="","",$Q27*ADRYr2!Z27)</f>
        <v/>
      </c>
      <c r="S27" s="27" t="str">
        <f>IF($G27="","",$Q27*ADRYr2!AA27)</f>
        <v/>
      </c>
      <c r="T27" s="27" t="str">
        <f>IF($G27="","",$Q27*ADRYr2!AB27)</f>
        <v/>
      </c>
      <c r="U27" s="27" t="str">
        <f>IF($G27="","",$Q27*ADRYr2!AC27)</f>
        <v/>
      </c>
      <c r="V27" s="27" t="str">
        <f>IF($G27="","",G27*ADRYr2!$AD27*ADRYr2!$P27*ADRYr2!$Q27)</f>
        <v/>
      </c>
      <c r="W27" s="27" t="str">
        <f>IF($G27="","",$G27*ADRYr2!$AD27*ADRYr2!$AF27*ADRYr2!Q27*ADRYr2!$S27)</f>
        <v/>
      </c>
      <c r="X27" s="27" t="str">
        <f>IF($G27="","",$G27*ADRYr2!$AD27*ADRYr2!$AF27*ADRYr2!P27*ADRYr2!Q27*ADRYr2!$S27)</f>
        <v/>
      </c>
      <c r="Y27" s="27" t="str">
        <f>IF($G27="","",$G27*ADRYr2!$AD27*ADRYr2!$AE27*ADRYr2!Q27*ADRYr2!$T27)</f>
        <v/>
      </c>
      <c r="Z27" s="27" t="str">
        <f>IF($G27="","",$G27*ADRYr2!$AD27*ADRYr2!$AE27*ADRYr2!P27*ADRYr2!Q27*ADRYr2!$T27)</f>
        <v/>
      </c>
      <c r="AA27" s="45" t="str">
        <f>IF($G27="","",$G27*ADRYr2!$Q27*ADRYr2!$U27*(IF(IFERROR(SEARCH("NG", ADRYr2!$AI27),0),ADRYr2!$AJ27,0)+IF(IFERROR(SEARCH("NG", ADRYr2!$AK27),0),ADRYr2!$AL27,0)+IF(IFERROR(SEARCH("NG", ADRYr2!$AM27),0),ADRYr2!$AN27,0)))</f>
        <v/>
      </c>
      <c r="AB27" s="45" t="str">
        <f t="shared" si="21"/>
        <v/>
      </c>
      <c r="AC27" s="45">
        <f>IF($G27="",0,AA27*ADRYr2!$P27)</f>
        <v>0</v>
      </c>
      <c r="AD27" s="45" t="str">
        <f t="shared" si="22"/>
        <v/>
      </c>
      <c r="AE27" s="45" t="str">
        <f>IF($G27="","",$G27*ADRYr2!$Q27*ADRYr2!$U27*(IF(IFERROR(SEARCH("Oil", ADRYr2!$AI27), 0),ADRYr2!$AJ27,0)+IF(IFERROR(SEARCH("Oil", ADRYr2!$AK27), 0),ADRYr2!$AL27,0)+IF(IFERROR(SEARCH("Oil", ADRYr2!$AM27), 0),ADRYr2!$AN27,0)))</f>
        <v/>
      </c>
      <c r="AF27" s="45" t="str">
        <f t="shared" si="23"/>
        <v/>
      </c>
      <c r="AG27" s="45">
        <f>IF($G27="",0,AE27*ADRYr2!$P27)</f>
        <v>0</v>
      </c>
      <c r="AH27" s="45" t="str">
        <f t="shared" si="24"/>
        <v/>
      </c>
      <c r="AI27" s="45" t="str">
        <f>IF($G27="","",$G27*ADRYr2!$Q27*ADRYr2!$U27*(IF(ADRYr2!$AI27=Lookups!$E$116,ADRYr2!$AJ27,IF(ADRYr2!$AK27=Lookups!$E$116,ADRYr2!$AL27,IF(ADRYr2!$AM27=Lookups!$E$116,ADRYr2!$AN27,0)))))</f>
        <v/>
      </c>
      <c r="AJ27" s="45" t="str">
        <f t="shared" si="25"/>
        <v/>
      </c>
      <c r="AK27" s="45">
        <f>IF($G27="",0,AI27*ADRYr2!$P27)</f>
        <v>0</v>
      </c>
      <c r="AL27" s="45" t="str">
        <f t="shared" si="26"/>
        <v/>
      </c>
      <c r="AM27" s="45" t="str">
        <f>IF($G27="","",$G27*ADRYr2!$Q27*ADRYr2!$U27*(IF(ADRYr2!$AI27=Lookups!$E$115,ADRYr2!$AJ27,IF(ADRYr2!$AK27=Lookups!$E$115,ADRYr2!$AL27,IF(ADRYr2!$AM27=Lookups!$E$115,ADRYr2!$AN27,0)))))</f>
        <v/>
      </c>
      <c r="AN27" s="45" t="str">
        <f t="shared" si="27"/>
        <v/>
      </c>
      <c r="AO27" s="45">
        <f>IF($G27="",0,AM27*ADRYr2!$P27)</f>
        <v>0</v>
      </c>
      <c r="AP27" s="45" t="str">
        <f t="shared" si="28"/>
        <v/>
      </c>
      <c r="AQ27" s="45" t="str">
        <f>IF($G27="","",$G27*ADRYr2!$Q27*ADRYr2!$U27*(IF(ADRYr2!$AI27=Lookups!$E$117,ADRYr2!$AJ27,IF(ADRYr2!$AK27=Lookups!$E$117,ADRYr2!$AL27,IF(ADRYr2!$AM27=Lookups!$E$117,ADRYr2!$AN27,0)))))</f>
        <v/>
      </c>
      <c r="AR27" s="45" t="str">
        <f t="shared" si="29"/>
        <v/>
      </c>
      <c r="AS27" s="45" t="str">
        <f>IF($G27="","",AQ27*ADRYr2!$P27)</f>
        <v/>
      </c>
      <c r="AT27" s="45" t="str">
        <f t="shared" si="30"/>
        <v/>
      </c>
      <c r="AU27" s="45" t="str">
        <f>IF($G27="","",$G27*ADRYr2!$Q27*ADRYr2!$U27*(IF(ADRYr2!$AI27=Lookups!$E$118,ADRYr2!$AJ27,IF(ADRYr2!$AK27=Lookups!$E$118,ADRYr2!$AL27,IF(ADRYr2!$AM27=Lookups!$E$118,ADRYr2!$AN27,0)))))</f>
        <v/>
      </c>
      <c r="AV27" s="45" t="str">
        <f t="shared" si="31"/>
        <v/>
      </c>
      <c r="AW27" s="45" t="str">
        <f>IF($G27="","",AU27*ADRYr2!$P27)</f>
        <v/>
      </c>
      <c r="AX27" s="45" t="str">
        <f t="shared" si="32"/>
        <v/>
      </c>
      <c r="AY27" s="45">
        <f t="shared" si="49"/>
        <v>0</v>
      </c>
      <c r="AZ27" s="45">
        <f t="shared" si="49"/>
        <v>0</v>
      </c>
      <c r="BA27" s="101" t="str">
        <f>IF($G27="","",$G27*ADRYr2!$P27*ADRYr2!$Q27*ADRYr2!$U27*ADRYr2!AO27)</f>
        <v/>
      </c>
      <c r="BB27" s="102" t="str">
        <f>IF($G27="","",$G27*ADRYr2!$P27*ADRYr2!$Q27*ADRYr2!$U27*ADRYr2!AP27)</f>
        <v/>
      </c>
      <c r="BC27" s="100" t="str">
        <f t="shared" si="34"/>
        <v/>
      </c>
      <c r="BD27" s="961"/>
      <c r="BE27" s="961"/>
      <c r="BF27" s="961"/>
      <c r="BG27" s="961"/>
      <c r="BH27" s="962" t="str">
        <f t="shared" si="3"/>
        <v/>
      </c>
      <c r="BI27" s="961"/>
      <c r="BJ27" s="961"/>
      <c r="BK27" s="961"/>
      <c r="BL27" s="961"/>
      <c r="BM27" s="30" t="str">
        <f t="shared" si="4"/>
        <v/>
      </c>
      <c r="BN27" s="963" t="str">
        <f t="shared" si="5"/>
        <v/>
      </c>
      <c r="BO27" s="31" t="str">
        <f t="shared" si="35"/>
        <v/>
      </c>
      <c r="BP27" s="964" t="str">
        <f t="shared" si="6"/>
        <v/>
      </c>
      <c r="BQ27" s="28" t="str">
        <f t="shared" si="7"/>
        <v/>
      </c>
      <c r="BR27" s="964" t="str">
        <f t="shared" si="8"/>
        <v/>
      </c>
      <c r="BS27" s="964" t="str">
        <f t="shared" si="9"/>
        <v/>
      </c>
      <c r="BT27" s="28" t="str">
        <f t="shared" si="50"/>
        <v/>
      </c>
      <c r="BU27" s="28" t="str">
        <f t="shared" si="50"/>
        <v/>
      </c>
      <c r="BV27" s="28" t="str">
        <f t="shared" si="50"/>
        <v/>
      </c>
      <c r="BW27" s="29" t="str">
        <f t="shared" si="36"/>
        <v/>
      </c>
      <c r="BX27" s="29" t="str">
        <f t="shared" si="37"/>
        <v/>
      </c>
      <c r="BY27" s="28" t="str">
        <f>IF($G27="","",$G27*(IF(ADRYr2!$AI27=BY$4,ADRYr2!$AJ27,IF(ADRYr2!$AK27=BY$4,ADRYr2!$AL27,IF(ADRYr2!$AM27=BY$4,ADRYr2!$AN27,0))))*(INDEX(avoidedcosttbl2,$H27,BY$2)+(($H27-ROUNDDOWN($H27,0))*(INDEX(avoidedcosttbl2,ROUNDUP($H27,0),BY$2)-(INDEX(avoidedcosttbl2,ROUNDDOWN($H27,0),BY$2)))))*ADRYr2!P27*ADRYr2!Q27*ADRYr2!U27)</f>
        <v/>
      </c>
      <c r="BZ27" s="28" t="str">
        <f>IF($G27="","",$G27*(IF(ADRYr2!$AI27=BZ$4,ADRYr2!$AJ27,IF(ADRYr2!$AK27=BZ$4,ADRYr2!$AL27,IF(ADRYr2!$AM27=BZ$4,ADRYr2!$AN27,0))))*(INDEX(avoidedcosttbl2,$H27,BZ$2)+(($H27-ROUNDDOWN($H27,0))*(INDEX(avoidedcosttbl2,ROUNDUP($H27,0),BZ$2)-(INDEX(avoidedcosttbl2,ROUNDDOWN($H27,0),BZ$2)))))*ADRYr2!P27*ADRYr2!Q27*ADRYr2!U27)</f>
        <v/>
      </c>
      <c r="CA27" s="28" t="str">
        <f>IF($G27="","",$G27*(IF(ADRYr2!$AI27=CA$4,ADRYr2!$AJ27,IF(ADRYr2!$AK27=CA$4,ADRYr2!$AL27,IF(ADRYr2!$AM27=CA$4,ADRYr2!$AN27,0))))*(INDEX(avoidedcosttbl2,$H27,CA$2)+(($H27-ROUNDDOWN($H27,0))*(INDEX(avoidedcosttbl2,ROUNDUP($H27,0),CA$2)-(INDEX(avoidedcosttbl2,ROUNDDOWN($H27,0),CA$2)))))*ADRYr2!P27*ADRYr2!Q27*ADRYr2!U27)</f>
        <v/>
      </c>
      <c r="CB27" s="28" t="str">
        <f>IF($G27="","",$G27*(IF(ADRYr2!$AI27=CB$4,ADRYr2!$AJ27,IF(ADRYr2!$AK27=CB$4,ADRYr2!$AL27,IF(ADRYr2!$AM27=CB$4,ADRYr2!$AN27,0))))*(INDEX(avoidedcosttbl2,$H27,CB$2)+(($H27-ROUNDDOWN($H27,0))*(INDEX(avoidedcosttbl2,ROUNDUP($H27,0),CB$2)-(INDEX(avoidedcosttbl2,ROUNDDOWN($H27,0),CB$2)))))*ADRYr2!P27*ADRYr2!Q27*ADRYr2!U27)</f>
        <v/>
      </c>
      <c r="CC27" s="28" t="str">
        <f>IF($G27="","",$G27*(IF(ADRYr2!$AI27=CC$4,ADRYr2!$AJ27,IF(ADRYr2!$AK27=CC$4,ADRYr2!$AL27,IF(ADRYr2!$AM27=CC$4,ADRYr2!$AN27,0))))*(INDEX(avoidedcosttbl2,$H27,CC$2)+(($H27-ROUNDDOWN($H27,0))*(INDEX(avoidedcosttbl2,ROUNDUP($H27,0),CC$2)-(INDEX(avoidedcosttbl2,ROUNDDOWN($H27,0),CC$2)))))*ADRYr2!P27*ADRYr2!Q27*ADRYr2!U27)</f>
        <v/>
      </c>
      <c r="CD27" s="28" t="str">
        <f>IF($G27="","",$G27*(IF(ADRYr2!$AI27=CD$4,ADRYr2!$AJ27,IF(ADRYr2!$AK27=CD$4,ADRYr2!$AL27,IF(ADRYr2!$AM27=CD$4,ADRYr2!$AN27,0))))*(INDEX(avoidedcosttbl2,$H27,CD$2)+(($H27-ROUNDDOWN($H27,0))*(INDEX(avoidedcosttbl2,ROUNDUP($H27,0),CD$2)-(INDEX(avoidedcosttbl2,ROUNDDOWN($H27,0),CD$2)))))*ADRYr2!P27*ADRYr2!Q27*ADRYr2!U27)</f>
        <v/>
      </c>
      <c r="CE27" s="28" t="str">
        <f>IF($G27="","",$G27*(IF(ADRYr2!$AI27=CE$4,ADRYr2!$AJ27,IF(ADRYr2!$AK27=CE$4,ADRYr2!$AL27,IF(ADRYr2!$AM27=CE$4,ADRYr2!$AN27,0))))*(INDEX(avoidedcosttbl2,$H27,CE$2)+(($H27-ROUNDDOWN($H27,0))*(INDEX(avoidedcosttbl2,ROUNDUP($H27,0),CE$2)-(INDEX(avoidedcosttbl2,ROUNDDOWN($H27,0),CE$2)))))*ADRYr2!P27*ADRYr2!Q27*ADRYr2!U27)</f>
        <v/>
      </c>
      <c r="CF27" s="41" t="str">
        <f t="shared" si="38"/>
        <v/>
      </c>
      <c r="CG27" s="30" t="str">
        <f t="shared" si="11"/>
        <v/>
      </c>
      <c r="CH27" s="30" t="str">
        <f>IF($G27="","",$G27*(IF(ADRYr2!$AI27=BY$4,ADRYr2!$AJ27,IF(ADRYr2!$AK27=BY$4,ADRYr2!$AL27,IF(ADRYr2!$AM27=BY$4,ADRYr2!$AN27,0))))*(INDEX(avoidedcosttbl2,$H27,CH$2)+(($H27-ROUNDDOWN($H27,0))*(INDEX(avoidedcosttbl2,ROUNDUP($H27,0),CH$2)-(INDEX(avoidedcosttbl2,ROUNDDOWN($H27,0),CH$2)))))*ADRYr2!P27*ADRYr2!Q27*ADRYr2!U27)</f>
        <v/>
      </c>
      <c r="CI27" s="30" t="str">
        <f>IF($G27="","",$G27*(IF(ADRYr2!$AI27=BZ$4,ADRYr2!$AJ27,IF(ADRYr2!$AK27=BZ$4,ADRYr2!$AL27,IF(ADRYr2!$AM27=BZ$4,ADRYr2!$AN27,0))))*(INDEX(avoidedcosttbl2,$H27,CI$2)+(($H27-ROUNDDOWN($H27,0))*(INDEX(avoidedcosttbl2,ROUNDUP($H27,0),CI$2)-(INDEX(avoidedcosttbl2,ROUNDDOWN($H27,0),CI$2)))))*ADRYr2!P27*ADRYr2!Q27*ADRYr2!U27)</f>
        <v/>
      </c>
      <c r="CJ27" s="30" t="str">
        <f>IF($G27="","",$G27*(IF(ADRYr2!$AI27=CA$4,ADRYr2!$AJ27,IF(ADRYr2!$AK27=CA$4,ADRYr2!$AL27,IF(ADRYr2!$AM27=CA$4,ADRYr2!$AN27,0))))*(INDEX(avoidedcosttbl2,$H27,CJ$2)+(($H27-ROUNDDOWN($H27,0))*(INDEX(avoidedcosttbl2,ROUNDUP($H27,0),CJ$2)-(INDEX(avoidedcosttbl2,ROUNDDOWN($H27,0),CJ$2)))))*ADRYr2!P27*ADRYr2!Q27*ADRYr2!U27)</f>
        <v/>
      </c>
      <c r="CK27" s="30" t="str">
        <f>IF($G27="","",$G27*(IF(ADRYr2!$AI27=CB$4,ADRYr2!$AJ27,IF(ADRYr2!$AK27=CB$4,ADRYr2!$AL27,IF(ADRYr2!$AM27=CB$4,ADRYr2!$AN27,0))))*(INDEX(avoidedcosttbl2,$H27,CK$2)+(($H27-ROUNDDOWN($H27,0))*(INDEX(avoidedcosttbl2,ROUNDUP($H27,0),CK$2)-(INDEX(avoidedcosttbl2,ROUNDDOWN($H27,0),CK$2)))))*ADRYr2!P27*ADRYr2!Q27*ADRYr2!U27)</f>
        <v/>
      </c>
      <c r="CL27" s="30" t="str">
        <f>IF($G27="","",$G27*(IF(ADRYr2!$AI27=CC$4,ADRYr2!$AJ27,IF(ADRYr2!$AK27=CC$4,ADRYr2!$AL27,IF(ADRYr2!$AM27=CC$4,ADRYr2!$AN27,0))))*(INDEX(avoidedcosttbl2,$H27,CL$2)+(($H27-ROUNDDOWN($H27,0))*(INDEX(avoidedcosttbl2,ROUNDUP($H27,0),CL$2)-(INDEX(avoidedcosttbl2,ROUNDDOWN($H27,0),CL$2)))))*ADRYr2!P27*ADRYr2!Q27*ADRYr2!U27)</f>
        <v/>
      </c>
      <c r="CM27" s="30" t="str">
        <f>IF($G27="","",$G27*(IF(ADRYr2!$AI27=CD$4,ADRYr2!$AJ27,IF(ADRYr2!$AK27=CD$4,ADRYr2!$AL27,IF(ADRYr2!$AM27=CD$4,ADRYr2!$AN27,0))))*(INDEX(avoidedcosttbl2,$H27,CM$2)+(($H27-ROUNDDOWN($H27,0))*(INDEX(avoidedcosttbl2,ROUNDUP($H27,0),CM$2)-(INDEX(avoidedcosttbl2,ROUNDDOWN($H27,0),CM$2)))))*ADRYr2!P27*ADRYr2!Q27*ADRYr2!U27)</f>
        <v/>
      </c>
      <c r="CN27" s="30" t="str">
        <f>IF($G27="","",$G27*(IF(ADRYr2!$AI27=CE$4,ADRYr2!$AJ27,IF(ADRYr2!$AK27=CE$4,ADRYr2!$AL27,IF(ADRYr2!$AM27=CE$4,ADRYr2!$AN27,0))))*(INDEX(avoidedcosttbl2,$H27,CN$2)+(($H27-ROUNDDOWN($H27,0))*(INDEX(avoidedcosttbl2,ROUNDUP($H27,0),CN$2)-(INDEX(avoidedcosttbl2,ROUNDDOWN($H27,0),CN$2)))))*ADRYr2!P27*ADRYr2!Q27*ADRYr2!U27)</f>
        <v/>
      </c>
      <c r="CO27" s="220" t="str">
        <f t="shared" si="39"/>
        <v/>
      </c>
      <c r="CP27" s="220" t="str">
        <f t="shared" si="40"/>
        <v/>
      </c>
      <c r="CQ27" s="157" t="str">
        <f>IF($G27="","",$G27*(IF(ADRYr2!$AI27=CQ$4,ADRYr2!$AJ27,IF(ADRYr2!$AK27=CQ$4,ADRYr2!$AL27,IF(ADRYr2!$AM27=CQ$4,ADRYr2!$AN27,0))))*(INDEX(avoidedcosttbl2,$H27,CQ$2)+(($H27-ROUNDDOWN($H27,0))*(INDEX(avoidedcosttbl2,ROUNDUP($H27,0),CQ$2)-(INDEX(avoidedcosttbl2,ROUNDDOWN($H27,0),CQ$2)))))*ADRYr2!$P27*ADRYr2!$Q27*ADRYr2!$U27)</f>
        <v/>
      </c>
      <c r="CR27" s="28" t="str">
        <f>IF($G27="","",G27*(IF(ADRYr2!$AI27=CR$4,ADRYr2!$AJ27,IF(ADRYr2!$AK27=CR$4,ADRYr2!$AL27,IF(ADRYr2!$AM27=CR$4,ADRYr2!$AN27,0))))*(INDEX(avoidedcosttbl2,$H27,CR$2)+(($H27-ROUNDDOWN($H27,0))*(INDEX(avoidedcosttbl2,ROUNDUP($H27,0),CR$2)-(INDEX(avoidedcosttbl2,ROUNDDOWN($H27,0),CR$2)))))*ADRYr2!$P27*ADRYr2!$Q27*ADRYr2!$U27)</f>
        <v/>
      </c>
      <c r="CS27" s="28" t="str">
        <f>IF($G27="","",G27*(IF(ADRYr2!$AI27=CS$4,ADRYr2!$AJ27,IF(ADRYr2!$AK27=CS$4,ADRYr2!$AL27,IF(ADRYr2!$AM27=CS$4,ADRYr2!$AN27,0))))*(INDEX(avoidedcosttbl2,$H27,CS$2)+(($H27-ROUNDDOWN($H27,0))*(INDEX(avoidedcosttbl2,ROUNDUP($H27,0),CS$2)-(INDEX(avoidedcosttbl2,ROUNDDOWN($H27,0),CS$2)))))*ADRYr2!$P27*ADRYr2!$Q27*ADRYr2!$U27)</f>
        <v/>
      </c>
      <c r="CT27" s="28" t="str">
        <f t="shared" si="12"/>
        <v/>
      </c>
      <c r="CU27" s="28" t="str">
        <f>IF($G27="","",G27*(IF(ADRYr2!$AI27=CU$4,ADRYr2!$AJ27,IF(ADRYr2!$AK27=CU$4,ADRYr2!$AL27,IF(ADRYr2!$AM27=CU$4,ADRYr2!$AN27,0))))*(INDEX(avoidedcosttbl2,$H27,CU$2)+(($H27-ROUNDDOWN($H27,0))*(INDEX(avoidedcosttbl2,ROUNDUP($H27,0),CU$2)-(INDEX(avoidedcosttbl2,ROUNDDOWN($H27,0),CU$2)))))*ADRYr2!$P27*ADRYr2!$Q27*ADRYr2!$U27)</f>
        <v/>
      </c>
      <c r="CV27" s="28" t="str">
        <f>IF($G27="","",G27*(IF(ADRYr2!$AI27=CV$4,ADRYr2!$AJ27,IF(ADRYr2!$AK27=CV$4,ADRYr2!$AL27,IF(ADRYr2!$AM27=CV$4,ADRYr2!$AN27,0))))*(INDEX(avoidedcosttbl2,$H27,CV$2)+(($H27-ROUNDDOWN($H27,0))*(INDEX(avoidedcosttbl2,ROUNDUP($H27,0),CV$2)-(INDEX(avoidedcosttbl2,ROUNDDOWN($H27,0),CV$2)))))*ADRYr2!$P27*ADRYr2!$Q27*ADRYr2!$U27)</f>
        <v/>
      </c>
      <c r="CW27" s="28" t="str">
        <f>IF($G27="","",G27*(IF(ADRYr2!$AI27=CW$4,ADRYr2!$AJ27,IF(ADRYr2!$AK27=CW$4,ADRYr2!$AL27,IF(ADRYr2!$AM27=CW$4,ADRYr2!$AN27,0))))*(INDEX(avoidedcosttbl2,$H27,CW$2)+(($H27-ROUNDDOWN($H27,0))*(INDEX(avoidedcosttbl2,ROUNDUP($H27,0),CW$2)-(INDEX(avoidedcosttbl2,ROUNDDOWN($H27,0),CW$2)))))*ADRYr2!$P27*ADRYr2!$Q27*ADRYr2!$U27)</f>
        <v/>
      </c>
      <c r="CX27" s="28" t="str">
        <f>IF($G27="","",G27*(IF(ADRYr2!$AI27=CX$4,ADRYr2!$AJ27,IF(ADRYr2!$AK27=CX$4,ADRYr2!$AL27,IF(ADRYr2!$AM27=CX$4,ADRYr2!$AN27,0))))*(INDEX(avoidedcosttbl2,$H27,CX$2)+(($H27-ROUNDDOWN($H27,0))*(INDEX(avoidedcosttbl2,ROUNDUP($H27,0),CX$2)-(INDEX(avoidedcosttbl2,ROUNDDOWN($H27,0),CX$2)))))*ADRYr2!$P27*ADRYr2!$Q27*ADRYr2!$U27)</f>
        <v/>
      </c>
      <c r="CY27" s="28" t="str">
        <f t="shared" si="13"/>
        <v/>
      </c>
      <c r="CZ27" s="32" t="str">
        <f t="shared" si="14"/>
        <v/>
      </c>
      <c r="DA27" s="84" t="str">
        <f t="shared" si="41"/>
        <v/>
      </c>
      <c r="DB27" s="81" t="str">
        <f>IF(NEIadder="Yes",IF($G27="","",INDEX(Lookups!$G$70:$G$71,MATCH($A27,Lookups!$E$70:$E$71,0))*(SUM(CP27:CX27,BX27))),"")</f>
        <v/>
      </c>
      <c r="DC27" s="263" t="str">
        <f t="shared" si="15"/>
        <v/>
      </c>
      <c r="DD27" s="166" t="str">
        <f t="shared" si="16"/>
        <v/>
      </c>
      <c r="DE27" s="82">
        <f t="shared" si="42"/>
        <v>0</v>
      </c>
      <c r="DF27" s="615" t="str">
        <f>IF($G27="","",(1+WntPeakEnergyLL)*(INDEX(avoidedcosttbl2,$H27,DF$2)+(($H27-ROUNDDOWN($H27,0))*(INDEX(avoidedcosttbl2,ROUNDUP($H27,0),DF$2)-(INDEX(avoidedcosttbl2,ROUNDDOWN($H27,0),DF$2)))))*$P27*1000*ADRYr2!Z27)</f>
        <v/>
      </c>
      <c r="DG27" s="615" t="str">
        <f>IF($G27="","",(1+WntOffPeakEnergyLL)*(INDEX(avoidedcosttbl2,$H27,DG$2)+(($H27-ROUNDDOWN($H27,0))*(INDEX(avoidedcosttbl2,ROUNDUP($H27,0),DG$2)-(INDEX(avoidedcosttbl2,ROUNDDOWN($H27,0),DG$2)))))*$P27*1000*ADRYr2!AA27)</f>
        <v/>
      </c>
      <c r="DH27" s="615" t="str">
        <f>IF($G27="","",(1+SumPeakEnergyLL)*(INDEX(avoidedcosttbl2,$H27,DH$2)+(($H27-ROUNDDOWN($H27,0))*(INDEX(avoidedcosttbl2,ROUNDUP($H27,0),DH$2)-(INDEX(avoidedcosttbl2,ROUNDDOWN($H27,0),DH$2)))))*$P27*1000*ADRYr2!AB27)</f>
        <v/>
      </c>
      <c r="DI27" s="615" t="str">
        <f>IF($G27="","",(1+SumOffPeakEnergyLL)*(INDEX(avoidedcosttbl2,$H27,DI$2)+(($H27-ROUNDDOWN($H27,0))*(INDEX(avoidedcosttbl2,ROUNDUP($H27,0),DI$2)-(INDEX(avoidedcosttbl2,ROUNDDOWN($H27,0),DI$2)))))*$P27*1000*ADRYr2!AC27)</f>
        <v/>
      </c>
      <c r="DJ27" s="29" t="str">
        <f t="shared" si="43"/>
        <v/>
      </c>
      <c r="DK27" s="161" t="str">
        <f t="shared" si="44"/>
        <v/>
      </c>
      <c r="DL27" s="1189" t="str">
        <f t="shared" si="45"/>
        <v/>
      </c>
      <c r="DM27" s="1189" t="str">
        <f t="shared" si="46"/>
        <v/>
      </c>
      <c r="DN27" s="43" t="str">
        <f t="shared" si="47"/>
        <v/>
      </c>
      <c r="DO27" s="966" t="str">
        <f>IF($G27="","",ADRYr2!AQ27)</f>
        <v/>
      </c>
      <c r="DP27" s="968" t="str">
        <f>IF($G27="","",ADRYr2!AR27)</f>
        <v/>
      </c>
      <c r="DQ27" s="970" t="str">
        <f>IF($G27="","",IF($DP27="Yes",COLUMN(AESC!$L$10),IF($DP27="No","Using AvoidedDemand tab",IF($DP27="Mixed",COLUMN(AESC!$N$10)))))</f>
        <v/>
      </c>
      <c r="DR27" s="970" t="str">
        <f>IF($G27="","",IF($DP27="Yes",COLUMN(AESC!$P$10),IF($DP27="No","Using AvoidedDemand tab",IF($DP27="Mixed",COLUMN(AESC!$R$10)))))</f>
        <v/>
      </c>
      <c r="DS27" s="970" t="str">
        <f>IF($G27="","",IF($DP27="Yes",COLUMN(AESC!$S$10),IF($DP27="No",COLUMN(AESC!$T$10),IF($DP27="Mixed",COLUMN(AESC!$U$10)))))</f>
        <v/>
      </c>
      <c r="DT27" s="970" t="str">
        <f t="shared" si="48"/>
        <v/>
      </c>
      <c r="DU27" s="970" t="str">
        <f>IF($G27="","",ADRYr2!AS27)</f>
        <v/>
      </c>
      <c r="DV27" s="971" t="str">
        <f>IF($G27="","",ADRYr2!AT27)</f>
        <v/>
      </c>
      <c r="DW27" s="1162" t="str">
        <f>IF($G27="","",INDEX(AvoidedEnergy!$H$4:$H$10,MATCH($DO27,AvoidedEnergy!$A$4:$A$10,0)))</f>
        <v/>
      </c>
    </row>
    <row r="28" spans="1:127">
      <c r="A28" s="160" t="str">
        <f>IF(ADRYr2!$B28=0,"",ADRYr2!A28)</f>
        <v>B - Low-Income</v>
      </c>
      <c r="B28" s="9" t="str">
        <f>IF(ADRYr2!$B28=0,"",ADRYr2!B28)</f>
        <v>Home Energy Assistance</v>
      </c>
      <c r="C28" s="9" t="str">
        <f>IF(ADRYr2!$B28=0,"",ADRYr2!C28)</f>
        <v>Res Demand Response</v>
      </c>
      <c r="D28" s="9" t="str">
        <f>IF(ADRYr2!$B28=0,"",ADRYr2!D28)</f>
        <v>EV Load Management Winter</v>
      </c>
      <c r="E28" s="9">
        <f>IF(ADRYr2!$B28=0,"",ADRYr2!E28)</f>
        <v>0</v>
      </c>
      <c r="F28" s="11" t="str">
        <f>IF(ADRYr2!$B28=0,"",ADRYr2!F28)</f>
        <v>Behavior</v>
      </c>
      <c r="G28" s="12" t="str">
        <f>IF(ADRYr2!$G28&lt;&gt;0,ADRYr2!G28,"")</f>
        <v/>
      </c>
      <c r="H28" s="960" t="str">
        <f>IF($G28="","",ROUND(ADRYr2!H28,0))</f>
        <v/>
      </c>
      <c r="I28" s="47" t="str">
        <f>IF($G28="","",ADRYr2!I28*ADRYr2!P28*G28)</f>
        <v/>
      </c>
      <c r="J28" s="47" t="str">
        <f>IF($G28="","",ADRYr2!J28*G28)</f>
        <v/>
      </c>
      <c r="K28" s="47" t="str">
        <f t="shared" si="17"/>
        <v/>
      </c>
      <c r="L28" s="27" t="str">
        <f>IF($G28="","",ADRYr2!V28*G28/1000)</f>
        <v/>
      </c>
      <c r="M28" s="27" t="str">
        <f>IF($G28="","",L28*ADRYr2!$Q28*ADRYr2!$R28)</f>
        <v/>
      </c>
      <c r="N28" s="27" t="str">
        <f t="shared" si="18"/>
        <v/>
      </c>
      <c r="O28" s="27" t="str">
        <f t="shared" si="19"/>
        <v/>
      </c>
      <c r="P28" s="27" t="str">
        <f>IF($G28="","",M28*ADRYr2!P28)</f>
        <v/>
      </c>
      <c r="Q28" s="27" t="str">
        <f t="shared" si="20"/>
        <v/>
      </c>
      <c r="R28" s="27" t="str">
        <f>IF($G28="","",$Q28*ADRYr2!Z28)</f>
        <v/>
      </c>
      <c r="S28" s="27" t="str">
        <f>IF($G28="","",$Q28*ADRYr2!AA28)</f>
        <v/>
      </c>
      <c r="T28" s="27" t="str">
        <f>IF($G28="","",$Q28*ADRYr2!AB28)</f>
        <v/>
      </c>
      <c r="U28" s="27" t="str">
        <f>IF($G28="","",$Q28*ADRYr2!AC28)</f>
        <v/>
      </c>
      <c r="V28" s="27" t="str">
        <f>IF($G28="","",G28*ADRYr2!$AD28*ADRYr2!$P28*ADRYr2!$Q28)</f>
        <v/>
      </c>
      <c r="W28" s="27" t="str">
        <f>IF($G28="","",$G28*ADRYr2!$AD28*ADRYr2!$AF28*ADRYr2!Q28*ADRYr2!$S28)</f>
        <v/>
      </c>
      <c r="X28" s="27" t="str">
        <f>IF($G28="","",$G28*ADRYr2!$AD28*ADRYr2!$AF28*ADRYr2!P28*ADRYr2!Q28*ADRYr2!$S28)</f>
        <v/>
      </c>
      <c r="Y28" s="27" t="str">
        <f>IF($G28="","",$G28*ADRYr2!$AD28*ADRYr2!$AE28*ADRYr2!Q28*ADRYr2!$T28)</f>
        <v/>
      </c>
      <c r="Z28" s="27" t="str">
        <f>IF($G28="","",$G28*ADRYr2!$AD28*ADRYr2!$AE28*ADRYr2!P28*ADRYr2!Q28*ADRYr2!$T28)</f>
        <v/>
      </c>
      <c r="AA28" s="45" t="str">
        <f>IF($G28="","",$G28*ADRYr2!$Q28*ADRYr2!$U28*(IF(IFERROR(SEARCH("NG", ADRYr2!$AI28),0),ADRYr2!$AJ28,0)+IF(IFERROR(SEARCH("NG", ADRYr2!$AK28),0),ADRYr2!$AL28,0)+IF(IFERROR(SEARCH("NG", ADRYr2!$AM28),0),ADRYr2!$AN28,0)))</f>
        <v/>
      </c>
      <c r="AB28" s="45" t="str">
        <f t="shared" si="21"/>
        <v/>
      </c>
      <c r="AC28" s="45">
        <f>IF($G28="",0,AA28*ADRYr2!$P28)</f>
        <v>0</v>
      </c>
      <c r="AD28" s="45" t="str">
        <f t="shared" si="22"/>
        <v/>
      </c>
      <c r="AE28" s="45" t="str">
        <f>IF($G28="","",$G28*ADRYr2!$Q28*ADRYr2!$U28*(IF(IFERROR(SEARCH("Oil", ADRYr2!$AI28), 0),ADRYr2!$AJ28,0)+IF(IFERROR(SEARCH("Oil", ADRYr2!$AK28), 0),ADRYr2!$AL28,0)+IF(IFERROR(SEARCH("Oil", ADRYr2!$AM28), 0),ADRYr2!$AN28,0)))</f>
        <v/>
      </c>
      <c r="AF28" s="45" t="str">
        <f t="shared" si="23"/>
        <v/>
      </c>
      <c r="AG28" s="45">
        <f>IF($G28="",0,AE28*ADRYr2!$P28)</f>
        <v>0</v>
      </c>
      <c r="AH28" s="45" t="str">
        <f t="shared" si="24"/>
        <v/>
      </c>
      <c r="AI28" s="45" t="str">
        <f>IF($G28="","",$G28*ADRYr2!$Q28*ADRYr2!$U28*(IF(ADRYr2!$AI28=Lookups!$E$116,ADRYr2!$AJ28,IF(ADRYr2!$AK28=Lookups!$E$116,ADRYr2!$AL28,IF(ADRYr2!$AM28=Lookups!$E$116,ADRYr2!$AN28,0)))))</f>
        <v/>
      </c>
      <c r="AJ28" s="45" t="str">
        <f t="shared" si="25"/>
        <v/>
      </c>
      <c r="AK28" s="45">
        <f>IF($G28="",0,AI28*ADRYr2!$P28)</f>
        <v>0</v>
      </c>
      <c r="AL28" s="45" t="str">
        <f t="shared" si="26"/>
        <v/>
      </c>
      <c r="AM28" s="45" t="str">
        <f>IF($G28="","",$G28*ADRYr2!$Q28*ADRYr2!$U28*(IF(ADRYr2!$AI28=Lookups!$E$115,ADRYr2!$AJ28,IF(ADRYr2!$AK28=Lookups!$E$115,ADRYr2!$AL28,IF(ADRYr2!$AM28=Lookups!$E$115,ADRYr2!$AN28,0)))))</f>
        <v/>
      </c>
      <c r="AN28" s="45" t="str">
        <f t="shared" si="27"/>
        <v/>
      </c>
      <c r="AO28" s="45">
        <f>IF($G28="",0,AM28*ADRYr2!$P28)</f>
        <v>0</v>
      </c>
      <c r="AP28" s="45" t="str">
        <f t="shared" si="28"/>
        <v/>
      </c>
      <c r="AQ28" s="45" t="str">
        <f>IF($G28="","",$G28*ADRYr2!$Q28*ADRYr2!$U28*(IF(ADRYr2!$AI28=Lookups!$E$117,ADRYr2!$AJ28,IF(ADRYr2!$AK28=Lookups!$E$117,ADRYr2!$AL28,IF(ADRYr2!$AM28=Lookups!$E$117,ADRYr2!$AN28,0)))))</f>
        <v/>
      </c>
      <c r="AR28" s="45" t="str">
        <f t="shared" si="29"/>
        <v/>
      </c>
      <c r="AS28" s="45" t="str">
        <f>IF($G28="","",AQ28*ADRYr2!$P28)</f>
        <v/>
      </c>
      <c r="AT28" s="45" t="str">
        <f t="shared" si="30"/>
        <v/>
      </c>
      <c r="AU28" s="45" t="str">
        <f>IF($G28="","",$G28*ADRYr2!$Q28*ADRYr2!$U28*(IF(ADRYr2!$AI28=Lookups!$E$118,ADRYr2!$AJ28,IF(ADRYr2!$AK28=Lookups!$E$118,ADRYr2!$AL28,IF(ADRYr2!$AM28=Lookups!$E$118,ADRYr2!$AN28,0)))))</f>
        <v/>
      </c>
      <c r="AV28" s="45" t="str">
        <f t="shared" si="31"/>
        <v/>
      </c>
      <c r="AW28" s="45" t="str">
        <f>IF($G28="","",AU28*ADRYr2!$P28)</f>
        <v/>
      </c>
      <c r="AX28" s="45" t="str">
        <f t="shared" si="32"/>
        <v/>
      </c>
      <c r="AY28" s="45">
        <f t="shared" si="49"/>
        <v>0</v>
      </c>
      <c r="AZ28" s="45">
        <f t="shared" si="49"/>
        <v>0</v>
      </c>
      <c r="BA28" s="101" t="str">
        <f>IF($G28="","",$G28*ADRYr2!$P28*ADRYr2!$Q28*ADRYr2!$U28*ADRYr2!AO28)</f>
        <v/>
      </c>
      <c r="BB28" s="102" t="str">
        <f>IF($G28="","",$G28*ADRYr2!$P28*ADRYr2!$Q28*ADRYr2!$U28*ADRYr2!AP28)</f>
        <v/>
      </c>
      <c r="BC28" s="100" t="str">
        <f t="shared" si="34"/>
        <v/>
      </c>
      <c r="BD28" s="961"/>
      <c r="BE28" s="961"/>
      <c r="BF28" s="961"/>
      <c r="BG28" s="961"/>
      <c r="BH28" s="962" t="str">
        <f t="shared" si="3"/>
        <v/>
      </c>
      <c r="BI28" s="961"/>
      <c r="BJ28" s="961"/>
      <c r="BK28" s="961"/>
      <c r="BL28" s="961"/>
      <c r="BM28" s="30" t="str">
        <f t="shared" si="4"/>
        <v/>
      </c>
      <c r="BN28" s="963" t="str">
        <f t="shared" si="5"/>
        <v/>
      </c>
      <c r="BO28" s="31" t="str">
        <f t="shared" si="35"/>
        <v/>
      </c>
      <c r="BP28" s="964" t="str">
        <f t="shared" si="6"/>
        <v/>
      </c>
      <c r="BQ28" s="28" t="str">
        <f t="shared" si="7"/>
        <v/>
      </c>
      <c r="BR28" s="964" t="str">
        <f t="shared" si="8"/>
        <v/>
      </c>
      <c r="BS28" s="964" t="str">
        <f t="shared" si="9"/>
        <v/>
      </c>
      <c r="BT28" s="28" t="str">
        <f t="shared" si="50"/>
        <v/>
      </c>
      <c r="BU28" s="28" t="str">
        <f t="shared" si="50"/>
        <v/>
      </c>
      <c r="BV28" s="28" t="str">
        <f t="shared" si="50"/>
        <v/>
      </c>
      <c r="BW28" s="29" t="str">
        <f t="shared" si="36"/>
        <v/>
      </c>
      <c r="BX28" s="29" t="str">
        <f t="shared" si="37"/>
        <v/>
      </c>
      <c r="BY28" s="28" t="str">
        <f>IF($G28="","",$G28*(IF(ADRYr2!$AI28=BY$4,ADRYr2!$AJ28,IF(ADRYr2!$AK28=BY$4,ADRYr2!$AL28,IF(ADRYr2!$AM28=BY$4,ADRYr2!$AN28,0))))*(INDEX(avoidedcosttbl2,$H28,BY$2)+(($H28-ROUNDDOWN($H28,0))*(INDEX(avoidedcosttbl2,ROUNDUP($H28,0),BY$2)-(INDEX(avoidedcosttbl2,ROUNDDOWN($H28,0),BY$2)))))*ADRYr2!P28*ADRYr2!Q28*ADRYr2!U28)</f>
        <v/>
      </c>
      <c r="BZ28" s="28" t="str">
        <f>IF($G28="","",$G28*(IF(ADRYr2!$AI28=BZ$4,ADRYr2!$AJ28,IF(ADRYr2!$AK28=BZ$4,ADRYr2!$AL28,IF(ADRYr2!$AM28=BZ$4,ADRYr2!$AN28,0))))*(INDEX(avoidedcosttbl2,$H28,BZ$2)+(($H28-ROUNDDOWN($H28,0))*(INDEX(avoidedcosttbl2,ROUNDUP($H28,0),BZ$2)-(INDEX(avoidedcosttbl2,ROUNDDOWN($H28,0),BZ$2)))))*ADRYr2!P28*ADRYr2!Q28*ADRYr2!U28)</f>
        <v/>
      </c>
      <c r="CA28" s="28" t="str">
        <f>IF($G28="","",$G28*(IF(ADRYr2!$AI28=CA$4,ADRYr2!$AJ28,IF(ADRYr2!$AK28=CA$4,ADRYr2!$AL28,IF(ADRYr2!$AM28=CA$4,ADRYr2!$AN28,0))))*(INDEX(avoidedcosttbl2,$H28,CA$2)+(($H28-ROUNDDOWN($H28,0))*(INDEX(avoidedcosttbl2,ROUNDUP($H28,0),CA$2)-(INDEX(avoidedcosttbl2,ROUNDDOWN($H28,0),CA$2)))))*ADRYr2!P28*ADRYr2!Q28*ADRYr2!U28)</f>
        <v/>
      </c>
      <c r="CB28" s="28" t="str">
        <f>IF($G28="","",$G28*(IF(ADRYr2!$AI28=CB$4,ADRYr2!$AJ28,IF(ADRYr2!$AK28=CB$4,ADRYr2!$AL28,IF(ADRYr2!$AM28=CB$4,ADRYr2!$AN28,0))))*(INDEX(avoidedcosttbl2,$H28,CB$2)+(($H28-ROUNDDOWN($H28,0))*(INDEX(avoidedcosttbl2,ROUNDUP($H28,0),CB$2)-(INDEX(avoidedcosttbl2,ROUNDDOWN($H28,0),CB$2)))))*ADRYr2!P28*ADRYr2!Q28*ADRYr2!U28)</f>
        <v/>
      </c>
      <c r="CC28" s="28" t="str">
        <f>IF($G28="","",$G28*(IF(ADRYr2!$AI28=CC$4,ADRYr2!$AJ28,IF(ADRYr2!$AK28=CC$4,ADRYr2!$AL28,IF(ADRYr2!$AM28=CC$4,ADRYr2!$AN28,0))))*(INDEX(avoidedcosttbl2,$H28,CC$2)+(($H28-ROUNDDOWN($H28,0))*(INDEX(avoidedcosttbl2,ROUNDUP($H28,0),CC$2)-(INDEX(avoidedcosttbl2,ROUNDDOWN($H28,0),CC$2)))))*ADRYr2!P28*ADRYr2!Q28*ADRYr2!U28)</f>
        <v/>
      </c>
      <c r="CD28" s="28" t="str">
        <f>IF($G28="","",$G28*(IF(ADRYr2!$AI28=CD$4,ADRYr2!$AJ28,IF(ADRYr2!$AK28=CD$4,ADRYr2!$AL28,IF(ADRYr2!$AM28=CD$4,ADRYr2!$AN28,0))))*(INDEX(avoidedcosttbl2,$H28,CD$2)+(($H28-ROUNDDOWN($H28,0))*(INDEX(avoidedcosttbl2,ROUNDUP($H28,0),CD$2)-(INDEX(avoidedcosttbl2,ROUNDDOWN($H28,0),CD$2)))))*ADRYr2!P28*ADRYr2!Q28*ADRYr2!U28)</f>
        <v/>
      </c>
      <c r="CE28" s="28" t="str">
        <f>IF($G28="","",$G28*(IF(ADRYr2!$AI28=CE$4,ADRYr2!$AJ28,IF(ADRYr2!$AK28=CE$4,ADRYr2!$AL28,IF(ADRYr2!$AM28=CE$4,ADRYr2!$AN28,0))))*(INDEX(avoidedcosttbl2,$H28,CE$2)+(($H28-ROUNDDOWN($H28,0))*(INDEX(avoidedcosttbl2,ROUNDUP($H28,0),CE$2)-(INDEX(avoidedcosttbl2,ROUNDDOWN($H28,0),CE$2)))))*ADRYr2!P28*ADRYr2!Q28*ADRYr2!U28)</f>
        <v/>
      </c>
      <c r="CF28" s="41" t="str">
        <f t="shared" si="38"/>
        <v/>
      </c>
      <c r="CG28" s="30" t="str">
        <f t="shared" si="11"/>
        <v/>
      </c>
      <c r="CH28" s="30" t="str">
        <f>IF($G28="","",$G28*(IF(ADRYr2!$AI28=BY$4,ADRYr2!$AJ28,IF(ADRYr2!$AK28=BY$4,ADRYr2!$AL28,IF(ADRYr2!$AM28=BY$4,ADRYr2!$AN28,0))))*(INDEX(avoidedcosttbl2,$H28,CH$2)+(($H28-ROUNDDOWN($H28,0))*(INDEX(avoidedcosttbl2,ROUNDUP($H28,0),CH$2)-(INDEX(avoidedcosttbl2,ROUNDDOWN($H28,0),CH$2)))))*ADRYr2!P28*ADRYr2!Q28*ADRYr2!U28)</f>
        <v/>
      </c>
      <c r="CI28" s="30" t="str">
        <f>IF($G28="","",$G28*(IF(ADRYr2!$AI28=BZ$4,ADRYr2!$AJ28,IF(ADRYr2!$AK28=BZ$4,ADRYr2!$AL28,IF(ADRYr2!$AM28=BZ$4,ADRYr2!$AN28,0))))*(INDEX(avoidedcosttbl2,$H28,CI$2)+(($H28-ROUNDDOWN($H28,0))*(INDEX(avoidedcosttbl2,ROUNDUP($H28,0),CI$2)-(INDEX(avoidedcosttbl2,ROUNDDOWN($H28,0),CI$2)))))*ADRYr2!P28*ADRYr2!Q28*ADRYr2!U28)</f>
        <v/>
      </c>
      <c r="CJ28" s="30" t="str">
        <f>IF($G28="","",$G28*(IF(ADRYr2!$AI28=CA$4,ADRYr2!$AJ28,IF(ADRYr2!$AK28=CA$4,ADRYr2!$AL28,IF(ADRYr2!$AM28=CA$4,ADRYr2!$AN28,0))))*(INDEX(avoidedcosttbl2,$H28,CJ$2)+(($H28-ROUNDDOWN($H28,0))*(INDEX(avoidedcosttbl2,ROUNDUP($H28,0),CJ$2)-(INDEX(avoidedcosttbl2,ROUNDDOWN($H28,0),CJ$2)))))*ADRYr2!P28*ADRYr2!Q28*ADRYr2!U28)</f>
        <v/>
      </c>
      <c r="CK28" s="30" t="str">
        <f>IF($G28="","",$G28*(IF(ADRYr2!$AI28=CB$4,ADRYr2!$AJ28,IF(ADRYr2!$AK28=CB$4,ADRYr2!$AL28,IF(ADRYr2!$AM28=CB$4,ADRYr2!$AN28,0))))*(INDEX(avoidedcosttbl2,$H28,CK$2)+(($H28-ROUNDDOWN($H28,0))*(INDEX(avoidedcosttbl2,ROUNDUP($H28,0),CK$2)-(INDEX(avoidedcosttbl2,ROUNDDOWN($H28,0),CK$2)))))*ADRYr2!P28*ADRYr2!Q28*ADRYr2!U28)</f>
        <v/>
      </c>
      <c r="CL28" s="30" t="str">
        <f>IF($G28="","",$G28*(IF(ADRYr2!$AI28=CC$4,ADRYr2!$AJ28,IF(ADRYr2!$AK28=CC$4,ADRYr2!$AL28,IF(ADRYr2!$AM28=CC$4,ADRYr2!$AN28,0))))*(INDEX(avoidedcosttbl2,$H28,CL$2)+(($H28-ROUNDDOWN($H28,0))*(INDEX(avoidedcosttbl2,ROUNDUP($H28,0),CL$2)-(INDEX(avoidedcosttbl2,ROUNDDOWN($H28,0),CL$2)))))*ADRYr2!P28*ADRYr2!Q28*ADRYr2!U28)</f>
        <v/>
      </c>
      <c r="CM28" s="30" t="str">
        <f>IF($G28="","",$G28*(IF(ADRYr2!$AI28=CD$4,ADRYr2!$AJ28,IF(ADRYr2!$AK28=CD$4,ADRYr2!$AL28,IF(ADRYr2!$AM28=CD$4,ADRYr2!$AN28,0))))*(INDEX(avoidedcosttbl2,$H28,CM$2)+(($H28-ROUNDDOWN($H28,0))*(INDEX(avoidedcosttbl2,ROUNDUP($H28,0),CM$2)-(INDEX(avoidedcosttbl2,ROUNDDOWN($H28,0),CM$2)))))*ADRYr2!P28*ADRYr2!Q28*ADRYr2!U28)</f>
        <v/>
      </c>
      <c r="CN28" s="30" t="str">
        <f>IF($G28="","",$G28*(IF(ADRYr2!$AI28=CE$4,ADRYr2!$AJ28,IF(ADRYr2!$AK28=CE$4,ADRYr2!$AL28,IF(ADRYr2!$AM28=CE$4,ADRYr2!$AN28,0))))*(INDEX(avoidedcosttbl2,$H28,CN$2)+(($H28-ROUNDDOWN($H28,0))*(INDEX(avoidedcosttbl2,ROUNDUP($H28,0),CN$2)-(INDEX(avoidedcosttbl2,ROUNDDOWN($H28,0),CN$2)))))*ADRYr2!P28*ADRYr2!Q28*ADRYr2!U28)</f>
        <v/>
      </c>
      <c r="CO28" s="220" t="str">
        <f t="shared" si="39"/>
        <v/>
      </c>
      <c r="CP28" s="220" t="str">
        <f t="shared" si="40"/>
        <v/>
      </c>
      <c r="CQ28" s="157" t="str">
        <f>IF($G28="","",$G28*(IF(ADRYr2!$AI28=CQ$4,ADRYr2!$AJ28,IF(ADRYr2!$AK28=CQ$4,ADRYr2!$AL28,IF(ADRYr2!$AM28=CQ$4,ADRYr2!$AN28,0))))*(INDEX(avoidedcosttbl2,$H28,CQ$2)+(($H28-ROUNDDOWN($H28,0))*(INDEX(avoidedcosttbl2,ROUNDUP($H28,0),CQ$2)-(INDEX(avoidedcosttbl2,ROUNDDOWN($H28,0),CQ$2)))))*ADRYr2!$P28*ADRYr2!$Q28*ADRYr2!$U28)</f>
        <v/>
      </c>
      <c r="CR28" s="28" t="str">
        <f>IF($G28="","",G28*(IF(ADRYr2!$AI28=CR$4,ADRYr2!$AJ28,IF(ADRYr2!$AK28=CR$4,ADRYr2!$AL28,IF(ADRYr2!$AM28=CR$4,ADRYr2!$AN28,0))))*(INDEX(avoidedcosttbl2,$H28,CR$2)+(($H28-ROUNDDOWN($H28,0))*(INDEX(avoidedcosttbl2,ROUNDUP($H28,0),CR$2)-(INDEX(avoidedcosttbl2,ROUNDDOWN($H28,0),CR$2)))))*ADRYr2!$P28*ADRYr2!$Q28*ADRYr2!$U28)</f>
        <v/>
      </c>
      <c r="CS28" s="28" t="str">
        <f>IF($G28="","",G28*(IF(ADRYr2!$AI28=CS$4,ADRYr2!$AJ28,IF(ADRYr2!$AK28=CS$4,ADRYr2!$AL28,IF(ADRYr2!$AM28=CS$4,ADRYr2!$AN28,0))))*(INDEX(avoidedcosttbl2,$H28,CS$2)+(($H28-ROUNDDOWN($H28,0))*(INDEX(avoidedcosttbl2,ROUNDUP($H28,0),CS$2)-(INDEX(avoidedcosttbl2,ROUNDDOWN($H28,0),CS$2)))))*ADRYr2!$P28*ADRYr2!$Q28*ADRYr2!$U28)</f>
        <v/>
      </c>
      <c r="CT28" s="28" t="str">
        <f t="shared" si="12"/>
        <v/>
      </c>
      <c r="CU28" s="28" t="str">
        <f>IF($G28="","",G28*(IF(ADRYr2!$AI28=CU$4,ADRYr2!$AJ28,IF(ADRYr2!$AK28=CU$4,ADRYr2!$AL28,IF(ADRYr2!$AM28=CU$4,ADRYr2!$AN28,0))))*(INDEX(avoidedcosttbl2,$H28,CU$2)+(($H28-ROUNDDOWN($H28,0))*(INDEX(avoidedcosttbl2,ROUNDUP($H28,0),CU$2)-(INDEX(avoidedcosttbl2,ROUNDDOWN($H28,0),CU$2)))))*ADRYr2!$P28*ADRYr2!$Q28*ADRYr2!$U28)</f>
        <v/>
      </c>
      <c r="CV28" s="28" t="str">
        <f>IF($G28="","",G28*(IF(ADRYr2!$AI28=CV$4,ADRYr2!$AJ28,IF(ADRYr2!$AK28=CV$4,ADRYr2!$AL28,IF(ADRYr2!$AM28=CV$4,ADRYr2!$AN28,0))))*(INDEX(avoidedcosttbl2,$H28,CV$2)+(($H28-ROUNDDOWN($H28,0))*(INDEX(avoidedcosttbl2,ROUNDUP($H28,0),CV$2)-(INDEX(avoidedcosttbl2,ROUNDDOWN($H28,0),CV$2)))))*ADRYr2!$P28*ADRYr2!$Q28*ADRYr2!$U28)</f>
        <v/>
      </c>
      <c r="CW28" s="28" t="str">
        <f>IF($G28="","",G28*(IF(ADRYr2!$AI28=CW$4,ADRYr2!$AJ28,IF(ADRYr2!$AK28=CW$4,ADRYr2!$AL28,IF(ADRYr2!$AM28=CW$4,ADRYr2!$AN28,0))))*(INDEX(avoidedcosttbl2,$H28,CW$2)+(($H28-ROUNDDOWN($H28,0))*(INDEX(avoidedcosttbl2,ROUNDUP($H28,0),CW$2)-(INDEX(avoidedcosttbl2,ROUNDDOWN($H28,0),CW$2)))))*ADRYr2!$P28*ADRYr2!$Q28*ADRYr2!$U28)</f>
        <v/>
      </c>
      <c r="CX28" s="28" t="str">
        <f>IF($G28="","",G28*(IF(ADRYr2!$AI28=CX$4,ADRYr2!$AJ28,IF(ADRYr2!$AK28=CX$4,ADRYr2!$AL28,IF(ADRYr2!$AM28=CX$4,ADRYr2!$AN28,0))))*(INDEX(avoidedcosttbl2,$H28,CX$2)+(($H28-ROUNDDOWN($H28,0))*(INDEX(avoidedcosttbl2,ROUNDUP($H28,0),CX$2)-(INDEX(avoidedcosttbl2,ROUNDDOWN($H28,0),CX$2)))))*ADRYr2!$P28*ADRYr2!$Q28*ADRYr2!$U28)</f>
        <v/>
      </c>
      <c r="CY28" s="28" t="str">
        <f t="shared" si="13"/>
        <v/>
      </c>
      <c r="CZ28" s="32" t="str">
        <f t="shared" si="14"/>
        <v/>
      </c>
      <c r="DA28" s="84" t="str">
        <f t="shared" si="41"/>
        <v/>
      </c>
      <c r="DB28" s="81" t="str">
        <f>IF(NEIadder="Yes",IF($G28="","",INDEX(Lookups!$G$70:$G$71,MATCH($A28,Lookups!$E$70:$E$71,0))*(SUM(CP28:CX28,BX28))),"")</f>
        <v/>
      </c>
      <c r="DC28" s="263" t="str">
        <f t="shared" si="15"/>
        <v/>
      </c>
      <c r="DD28" s="166" t="str">
        <f t="shared" si="16"/>
        <v/>
      </c>
      <c r="DE28" s="82">
        <f t="shared" si="42"/>
        <v>0</v>
      </c>
      <c r="DF28" s="615" t="str">
        <f>IF($G28="","",(1+WntPeakEnergyLL)*(INDEX(avoidedcosttbl2,$H28,DF$2)+(($H28-ROUNDDOWN($H28,0))*(INDEX(avoidedcosttbl2,ROUNDUP($H28,0),DF$2)-(INDEX(avoidedcosttbl2,ROUNDDOWN($H28,0),DF$2)))))*$P28*1000*ADRYr2!Z28)</f>
        <v/>
      </c>
      <c r="DG28" s="615" t="str">
        <f>IF($G28="","",(1+WntOffPeakEnergyLL)*(INDEX(avoidedcosttbl2,$H28,DG$2)+(($H28-ROUNDDOWN($H28,0))*(INDEX(avoidedcosttbl2,ROUNDUP($H28,0),DG$2)-(INDEX(avoidedcosttbl2,ROUNDDOWN($H28,0),DG$2)))))*$P28*1000*ADRYr2!AA28)</f>
        <v/>
      </c>
      <c r="DH28" s="615" t="str">
        <f>IF($G28="","",(1+SumPeakEnergyLL)*(INDEX(avoidedcosttbl2,$H28,DH$2)+(($H28-ROUNDDOWN($H28,0))*(INDEX(avoidedcosttbl2,ROUNDUP($H28,0),DH$2)-(INDEX(avoidedcosttbl2,ROUNDDOWN($H28,0),DH$2)))))*$P28*1000*ADRYr2!AB28)</f>
        <v/>
      </c>
      <c r="DI28" s="615" t="str">
        <f>IF($G28="","",(1+SumOffPeakEnergyLL)*(INDEX(avoidedcosttbl2,$H28,DI$2)+(($H28-ROUNDDOWN($H28,0))*(INDEX(avoidedcosttbl2,ROUNDUP($H28,0),DI$2)-(INDEX(avoidedcosttbl2,ROUNDDOWN($H28,0),DI$2)))))*$P28*1000*ADRYr2!AC28)</f>
        <v/>
      </c>
      <c r="DJ28" s="29" t="str">
        <f t="shared" si="43"/>
        <v/>
      </c>
      <c r="DK28" s="161" t="str">
        <f t="shared" si="44"/>
        <v/>
      </c>
      <c r="DL28" s="1189" t="str">
        <f t="shared" si="45"/>
        <v/>
      </c>
      <c r="DM28" s="1189" t="str">
        <f t="shared" si="46"/>
        <v/>
      </c>
      <c r="DN28" s="43" t="str">
        <f t="shared" si="47"/>
        <v/>
      </c>
      <c r="DO28" s="966" t="str">
        <f>IF($G28="","",ADRYr2!AQ28)</f>
        <v/>
      </c>
      <c r="DP28" s="968" t="str">
        <f>IF($G28="","",ADRYr2!AR28)</f>
        <v/>
      </c>
      <c r="DQ28" s="970" t="str">
        <f>IF($G28="","",IF($DP28="Yes",COLUMN(AESC!$L$10),IF($DP28="No","Using AvoidedDemand tab",IF($DP28="Mixed",COLUMN(AESC!$N$10)))))</f>
        <v/>
      </c>
      <c r="DR28" s="970" t="str">
        <f>IF($G28="","",IF($DP28="Yes",COLUMN(AESC!$P$10),IF($DP28="No","Using AvoidedDemand tab",IF($DP28="Mixed",COLUMN(AESC!$R$10)))))</f>
        <v/>
      </c>
      <c r="DS28" s="970" t="str">
        <f>IF($G28="","",IF($DP28="Yes",COLUMN(AESC!$S$10),IF($DP28="No",COLUMN(AESC!$T$10),IF($DP28="Mixed",COLUMN(AESC!$U$10)))))</f>
        <v/>
      </c>
      <c r="DT28" s="970" t="str">
        <f t="shared" si="48"/>
        <v/>
      </c>
      <c r="DU28" s="970" t="str">
        <f>IF($G28="","",ADRYr2!AS28)</f>
        <v/>
      </c>
      <c r="DV28" s="971" t="str">
        <f>IF($G28="","",ADRYr2!AT28)</f>
        <v/>
      </c>
      <c r="DW28" s="1162" t="str">
        <f>IF($G28="","",INDEX(AvoidedEnergy!$H$4:$H$10,MATCH($DO28,AvoidedEnergy!$A$4:$A$10,0)))</f>
        <v/>
      </c>
    </row>
    <row r="29" spans="1:127">
      <c r="A29" s="160" t="str">
        <f>IF(ADRYr2!$B29=0,"",ADRYr2!A29)</f>
        <v>C - Commercial &amp; Industrial</v>
      </c>
      <c r="B29" s="9" t="str">
        <f>IF(ADRYr2!$B29=0,"",ADRYr2!B29)</f>
        <v>C5 - C&amp;I Active Demand Response</v>
      </c>
      <c r="C29" s="9" t="str">
        <f>IF(ADRYr2!$B29=0,"",ADRYr2!C29)</f>
        <v>C5a - C&amp;I Active Demand Response</v>
      </c>
      <c r="D29" s="9" t="str">
        <f>IF(ADRYr2!$B29=0,"",ADRYr2!D29)</f>
        <v>Load Curtailment Targeted Dispatch P4P Summer</v>
      </c>
      <c r="E29" s="9" t="str">
        <f>IF(ADRYr2!$B29=0,"",ADRYr2!E29)</f>
        <v>E21C5a001</v>
      </c>
      <c r="F29" s="11" t="str">
        <f>IF(ADRYr2!$B29=0,"",ADRYr2!F29)</f>
        <v>Behavior</v>
      </c>
      <c r="G29" s="12">
        <f>IF(ADRYr2!$G29&lt;&gt;0,ADRYr2!G29,"")</f>
        <v>21</v>
      </c>
      <c r="H29" s="960">
        <f>IF($G29="","",ROUND(ADRYr2!H29,0))</f>
        <v>1</v>
      </c>
      <c r="I29" s="47">
        <f>IF($G29="","",ADRYr2!I29*ADRYr2!P29*G29)</f>
        <v>55125</v>
      </c>
      <c r="J29" s="47">
        <f>IF($G29="","",ADRYr2!J29*G29)</f>
        <v>55125</v>
      </c>
      <c r="K29" s="47">
        <f t="shared" si="17"/>
        <v>0</v>
      </c>
      <c r="L29" s="27">
        <f>IF($G29="","",ADRYr2!V29*G29/1000)</f>
        <v>0</v>
      </c>
      <c r="M29" s="27">
        <f>IF($G29="","",L29*ADRYr2!$Q29*ADRYr2!$R29)</f>
        <v>0</v>
      </c>
      <c r="N29" s="27">
        <f t="shared" si="18"/>
        <v>0</v>
      </c>
      <c r="O29" s="27">
        <f t="shared" si="19"/>
        <v>0</v>
      </c>
      <c r="P29" s="27">
        <f>IF($G29="","",M29*ADRYr2!P29)</f>
        <v>0</v>
      </c>
      <c r="Q29" s="27">
        <f t="shared" si="20"/>
        <v>0</v>
      </c>
      <c r="R29" s="27">
        <f>IF($G29="","",$Q29*ADRYr2!Z29)</f>
        <v>0</v>
      </c>
      <c r="S29" s="27">
        <f>IF($G29="","",$Q29*ADRYr2!AA29)</f>
        <v>0</v>
      </c>
      <c r="T29" s="27">
        <f>IF($G29="","",$Q29*ADRYr2!AB29)</f>
        <v>0</v>
      </c>
      <c r="U29" s="27">
        <f>IF($G29="","",$Q29*ADRYr2!AC29)</f>
        <v>0</v>
      </c>
      <c r="V29" s="27">
        <f>IF($G29="","",G29*ADRYr2!$AD29*ADRYr2!$P29*ADRYr2!$Q29)</f>
        <v>3349.5</v>
      </c>
      <c r="W29" s="27">
        <f>IF($G29="","",$G29*ADRYr2!$AD29*ADRYr2!$AF29*ADRYr2!Q29*ADRYr2!$S29)</f>
        <v>0</v>
      </c>
      <c r="X29" s="27">
        <f>IF($G29="","",$G29*ADRYr2!$AD29*ADRYr2!$AF29*ADRYr2!P29*ADRYr2!Q29*ADRYr2!$S29)</f>
        <v>0</v>
      </c>
      <c r="Y29" s="27">
        <f>IF($G29="","",$G29*ADRYr2!$AD29*ADRYr2!$AE29*ADRYr2!Q29*ADRYr2!$T29)</f>
        <v>3349.5</v>
      </c>
      <c r="Z29" s="27">
        <f>IF($G29="","",$G29*ADRYr2!$AD29*ADRYr2!$AE29*ADRYr2!P29*ADRYr2!Q29*ADRYr2!$T29)</f>
        <v>3349.5</v>
      </c>
      <c r="AA29" s="45">
        <f>IF($G29="","",$G29*ADRYr2!$Q29*ADRYr2!$U29*(IF(IFERROR(SEARCH("NG", ADRYr2!$AI29),0),ADRYr2!$AJ29,0)+IF(IFERROR(SEARCH("NG", ADRYr2!$AK29),0),ADRYr2!$AL29,0)+IF(IFERROR(SEARCH("NG", ADRYr2!$AM29),0),ADRYr2!$AN29,0)))</f>
        <v>0</v>
      </c>
      <c r="AB29" s="45">
        <f t="shared" si="21"/>
        <v>0</v>
      </c>
      <c r="AC29" s="45">
        <f>IF($G29="",0,AA29*ADRYr2!$P29)</f>
        <v>0</v>
      </c>
      <c r="AD29" s="45">
        <f t="shared" si="22"/>
        <v>0</v>
      </c>
      <c r="AE29" s="45">
        <f>IF($G29="","",$G29*ADRYr2!$Q29*ADRYr2!$U29*(IF(IFERROR(SEARCH("Oil", ADRYr2!$AI29), 0),ADRYr2!$AJ29,0)+IF(IFERROR(SEARCH("Oil", ADRYr2!$AK29), 0),ADRYr2!$AL29,0)+IF(IFERROR(SEARCH("Oil", ADRYr2!$AM29), 0),ADRYr2!$AN29,0)))</f>
        <v>0</v>
      </c>
      <c r="AF29" s="45">
        <f t="shared" si="23"/>
        <v>0</v>
      </c>
      <c r="AG29" s="45">
        <f>IF($G29="",0,AE29*ADRYr2!$P29)</f>
        <v>0</v>
      </c>
      <c r="AH29" s="45">
        <f t="shared" si="24"/>
        <v>0</v>
      </c>
      <c r="AI29" s="45">
        <f>IF($G29="","",$G29*ADRYr2!$Q29*ADRYr2!$U29*(IF(ADRYr2!$AI29=Lookups!$E$116,ADRYr2!$AJ29,IF(ADRYr2!$AK29=Lookups!$E$116,ADRYr2!$AL29,IF(ADRYr2!$AM29=Lookups!$E$116,ADRYr2!$AN29,0)))))</f>
        <v>0</v>
      </c>
      <c r="AJ29" s="45">
        <f t="shared" si="25"/>
        <v>0</v>
      </c>
      <c r="AK29" s="45">
        <f>IF($G29="",0,AI29*ADRYr2!$P29)</f>
        <v>0</v>
      </c>
      <c r="AL29" s="45">
        <f t="shared" si="26"/>
        <v>0</v>
      </c>
      <c r="AM29" s="45">
        <f>IF($G29="","",$G29*ADRYr2!$Q29*ADRYr2!$U29*(IF(ADRYr2!$AI29=Lookups!$E$115,ADRYr2!$AJ29,IF(ADRYr2!$AK29=Lookups!$E$115,ADRYr2!$AL29,IF(ADRYr2!$AM29=Lookups!$E$115,ADRYr2!$AN29,0)))))</f>
        <v>0</v>
      </c>
      <c r="AN29" s="45">
        <f t="shared" si="27"/>
        <v>0</v>
      </c>
      <c r="AO29" s="45">
        <f>IF($G29="",0,AM29*ADRYr2!$P29)</f>
        <v>0</v>
      </c>
      <c r="AP29" s="45">
        <f t="shared" si="28"/>
        <v>0</v>
      </c>
      <c r="AQ29" s="45">
        <f>IF($G29="","",$G29*ADRYr2!$Q29*ADRYr2!$U29*(IF(ADRYr2!$AI29=Lookups!$E$117,ADRYr2!$AJ29,IF(ADRYr2!$AK29=Lookups!$E$117,ADRYr2!$AL29,IF(ADRYr2!$AM29=Lookups!$E$117,ADRYr2!$AN29,0)))))</f>
        <v>0</v>
      </c>
      <c r="AR29" s="45">
        <f t="shared" si="29"/>
        <v>0</v>
      </c>
      <c r="AS29" s="45">
        <f>IF($G29="","",AQ29*ADRYr2!$P29)</f>
        <v>0</v>
      </c>
      <c r="AT29" s="45">
        <f t="shared" si="30"/>
        <v>0</v>
      </c>
      <c r="AU29" s="45">
        <f>IF($G29="","",$G29*ADRYr2!$Q29*ADRYr2!$U29*(IF(ADRYr2!$AI29=Lookups!$E$118,ADRYr2!$AJ29,IF(ADRYr2!$AK29=Lookups!$E$118,ADRYr2!$AL29,IF(ADRYr2!$AM29=Lookups!$E$118,ADRYr2!$AN29,0)))))</f>
        <v>0</v>
      </c>
      <c r="AV29" s="45">
        <f t="shared" si="31"/>
        <v>0</v>
      </c>
      <c r="AW29" s="45">
        <f>IF($G29="","",AU29*ADRYr2!$P29)</f>
        <v>0</v>
      </c>
      <c r="AX29" s="45">
        <f t="shared" si="32"/>
        <v>0</v>
      </c>
      <c r="AY29" s="45">
        <f t="shared" si="49"/>
        <v>0</v>
      </c>
      <c r="AZ29" s="45">
        <f t="shared" si="49"/>
        <v>0</v>
      </c>
      <c r="BA29" s="101">
        <f>IF($G29="","",$G29*ADRYr2!$P29*ADRYr2!$Q29*ADRYr2!$U29*ADRYr2!AO29)</f>
        <v>0</v>
      </c>
      <c r="BB29" s="102">
        <f>IF($G29="","",$G29*ADRYr2!$P29*ADRYr2!$Q29*ADRYr2!$U29*ADRYr2!AP29)</f>
        <v>0</v>
      </c>
      <c r="BC29" s="100">
        <f t="shared" si="34"/>
        <v>0</v>
      </c>
      <c r="BD29" s="961"/>
      <c r="BE29" s="961"/>
      <c r="BF29" s="961"/>
      <c r="BG29" s="961"/>
      <c r="BH29" s="962">
        <f t="shared" si="3"/>
        <v>0</v>
      </c>
      <c r="BI29" s="961"/>
      <c r="BJ29" s="961"/>
      <c r="BK29" s="961"/>
      <c r="BL29" s="961"/>
      <c r="BM29" s="30">
        <f t="shared" si="4"/>
        <v>0</v>
      </c>
      <c r="BN29" s="963">
        <f t="shared" si="5"/>
        <v>0</v>
      </c>
      <c r="BO29" s="31">
        <f t="shared" si="35"/>
        <v>0</v>
      </c>
      <c r="BP29" s="964">
        <f t="shared" si="6"/>
        <v>27023.822873003191</v>
      </c>
      <c r="BQ29" s="28">
        <f t="shared" si="7"/>
        <v>0</v>
      </c>
      <c r="BR29" s="964">
        <f t="shared" si="8"/>
        <v>11455.116003060744</v>
      </c>
      <c r="BS29" s="964">
        <f t="shared" si="9"/>
        <v>0</v>
      </c>
      <c r="BT29" s="28">
        <f t="shared" si="50"/>
        <v>352019.16206279298</v>
      </c>
      <c r="BU29" s="28">
        <f t="shared" si="50"/>
        <v>0</v>
      </c>
      <c r="BV29" s="28">
        <f t="shared" si="50"/>
        <v>427976.72694971657</v>
      </c>
      <c r="BW29" s="29">
        <f t="shared" si="36"/>
        <v>818474.82788857352</v>
      </c>
      <c r="BX29" s="29">
        <f t="shared" si="37"/>
        <v>818474.82788857352</v>
      </c>
      <c r="BY29" s="28">
        <f>IF($G29="","",$G29*(IF(ADRYr2!$AI29=BY$4,ADRYr2!$AJ29,IF(ADRYr2!$AK29=BY$4,ADRYr2!$AL29,IF(ADRYr2!$AM29=BY$4,ADRYr2!$AN29,0))))*(INDEX(avoidedcosttbl2,$H29,BY$2)+(($H29-ROUNDDOWN($H29,0))*(INDEX(avoidedcosttbl2,ROUNDUP($H29,0),BY$2)-(INDEX(avoidedcosttbl2,ROUNDDOWN($H29,0),BY$2)))))*ADRYr2!P29*ADRYr2!Q29*ADRYr2!U29)</f>
        <v>0</v>
      </c>
      <c r="BZ29" s="28">
        <f>IF($G29="","",$G29*(IF(ADRYr2!$AI29=BZ$4,ADRYr2!$AJ29,IF(ADRYr2!$AK29=BZ$4,ADRYr2!$AL29,IF(ADRYr2!$AM29=BZ$4,ADRYr2!$AN29,0))))*(INDEX(avoidedcosttbl2,$H29,BZ$2)+(($H29-ROUNDDOWN($H29,0))*(INDEX(avoidedcosttbl2,ROUNDUP($H29,0),BZ$2)-(INDEX(avoidedcosttbl2,ROUNDDOWN($H29,0),BZ$2)))))*ADRYr2!P29*ADRYr2!Q29*ADRYr2!U29)</f>
        <v>0</v>
      </c>
      <c r="CA29" s="28">
        <f>IF($G29="","",$G29*(IF(ADRYr2!$AI29=CA$4,ADRYr2!$AJ29,IF(ADRYr2!$AK29=CA$4,ADRYr2!$AL29,IF(ADRYr2!$AM29=CA$4,ADRYr2!$AN29,0))))*(INDEX(avoidedcosttbl2,$H29,CA$2)+(($H29-ROUNDDOWN($H29,0))*(INDEX(avoidedcosttbl2,ROUNDUP($H29,0),CA$2)-(INDEX(avoidedcosttbl2,ROUNDDOWN($H29,0),CA$2)))))*ADRYr2!P29*ADRYr2!Q29*ADRYr2!U29)</f>
        <v>0</v>
      </c>
      <c r="CB29" s="28">
        <f>IF($G29="","",$G29*(IF(ADRYr2!$AI29=CB$4,ADRYr2!$AJ29,IF(ADRYr2!$AK29=CB$4,ADRYr2!$AL29,IF(ADRYr2!$AM29=CB$4,ADRYr2!$AN29,0))))*(INDEX(avoidedcosttbl2,$H29,CB$2)+(($H29-ROUNDDOWN($H29,0))*(INDEX(avoidedcosttbl2,ROUNDUP($H29,0),CB$2)-(INDEX(avoidedcosttbl2,ROUNDDOWN($H29,0),CB$2)))))*ADRYr2!P29*ADRYr2!Q29*ADRYr2!U29)</f>
        <v>0</v>
      </c>
      <c r="CC29" s="28">
        <f>IF($G29="","",$G29*(IF(ADRYr2!$AI29=CC$4,ADRYr2!$AJ29,IF(ADRYr2!$AK29=CC$4,ADRYr2!$AL29,IF(ADRYr2!$AM29=CC$4,ADRYr2!$AN29,0))))*(INDEX(avoidedcosttbl2,$H29,CC$2)+(($H29-ROUNDDOWN($H29,0))*(INDEX(avoidedcosttbl2,ROUNDUP($H29,0),CC$2)-(INDEX(avoidedcosttbl2,ROUNDDOWN($H29,0),CC$2)))))*ADRYr2!P29*ADRYr2!Q29*ADRYr2!U29)</f>
        <v>0</v>
      </c>
      <c r="CD29" s="28">
        <f>IF($G29="","",$G29*(IF(ADRYr2!$AI29=CD$4,ADRYr2!$AJ29,IF(ADRYr2!$AK29=CD$4,ADRYr2!$AL29,IF(ADRYr2!$AM29=CD$4,ADRYr2!$AN29,0))))*(INDEX(avoidedcosttbl2,$H29,CD$2)+(($H29-ROUNDDOWN($H29,0))*(INDEX(avoidedcosttbl2,ROUNDUP($H29,0),CD$2)-(INDEX(avoidedcosttbl2,ROUNDDOWN($H29,0),CD$2)))))*ADRYr2!P29*ADRYr2!Q29*ADRYr2!U29)</f>
        <v>0</v>
      </c>
      <c r="CE29" s="28">
        <f>IF($G29="","",$G29*(IF(ADRYr2!$AI29=CE$4,ADRYr2!$AJ29,IF(ADRYr2!$AK29=CE$4,ADRYr2!$AL29,IF(ADRYr2!$AM29=CE$4,ADRYr2!$AN29,0))))*(INDEX(avoidedcosttbl2,$H29,CE$2)+(($H29-ROUNDDOWN($H29,0))*(INDEX(avoidedcosttbl2,ROUNDUP($H29,0),CE$2)-(INDEX(avoidedcosttbl2,ROUNDDOWN($H29,0),CE$2)))))*ADRYr2!P29*ADRYr2!Q29*ADRYr2!U29)</f>
        <v>0</v>
      </c>
      <c r="CF29" s="41">
        <f t="shared" si="38"/>
        <v>0</v>
      </c>
      <c r="CG29" s="30">
        <f t="shared" si="11"/>
        <v>0</v>
      </c>
      <c r="CH29" s="30">
        <f>IF($G29="","",$G29*(IF(ADRYr2!$AI29=BY$4,ADRYr2!$AJ29,IF(ADRYr2!$AK29=BY$4,ADRYr2!$AL29,IF(ADRYr2!$AM29=BY$4,ADRYr2!$AN29,0))))*(INDEX(avoidedcosttbl2,$H29,CH$2)+(($H29-ROUNDDOWN($H29,0))*(INDEX(avoidedcosttbl2,ROUNDUP($H29,0),CH$2)-(INDEX(avoidedcosttbl2,ROUNDDOWN($H29,0),CH$2)))))*ADRYr2!P29*ADRYr2!Q29*ADRYr2!U29)</f>
        <v>0</v>
      </c>
      <c r="CI29" s="30">
        <f>IF($G29="","",$G29*(IF(ADRYr2!$AI29=BZ$4,ADRYr2!$AJ29,IF(ADRYr2!$AK29=BZ$4,ADRYr2!$AL29,IF(ADRYr2!$AM29=BZ$4,ADRYr2!$AN29,0))))*(INDEX(avoidedcosttbl2,$H29,CI$2)+(($H29-ROUNDDOWN($H29,0))*(INDEX(avoidedcosttbl2,ROUNDUP($H29,0),CI$2)-(INDEX(avoidedcosttbl2,ROUNDDOWN($H29,0),CI$2)))))*ADRYr2!P29*ADRYr2!Q29*ADRYr2!U29)</f>
        <v>0</v>
      </c>
      <c r="CJ29" s="30">
        <f>IF($G29="","",$G29*(IF(ADRYr2!$AI29=CA$4,ADRYr2!$AJ29,IF(ADRYr2!$AK29=CA$4,ADRYr2!$AL29,IF(ADRYr2!$AM29=CA$4,ADRYr2!$AN29,0))))*(INDEX(avoidedcosttbl2,$H29,CJ$2)+(($H29-ROUNDDOWN($H29,0))*(INDEX(avoidedcosttbl2,ROUNDUP($H29,0),CJ$2)-(INDEX(avoidedcosttbl2,ROUNDDOWN($H29,0),CJ$2)))))*ADRYr2!P29*ADRYr2!Q29*ADRYr2!U29)</f>
        <v>0</v>
      </c>
      <c r="CK29" s="30">
        <f>IF($G29="","",$G29*(IF(ADRYr2!$AI29=CB$4,ADRYr2!$AJ29,IF(ADRYr2!$AK29=CB$4,ADRYr2!$AL29,IF(ADRYr2!$AM29=CB$4,ADRYr2!$AN29,0))))*(INDEX(avoidedcosttbl2,$H29,CK$2)+(($H29-ROUNDDOWN($H29,0))*(INDEX(avoidedcosttbl2,ROUNDUP($H29,0),CK$2)-(INDEX(avoidedcosttbl2,ROUNDDOWN($H29,0),CK$2)))))*ADRYr2!P29*ADRYr2!Q29*ADRYr2!U29)</f>
        <v>0</v>
      </c>
      <c r="CL29" s="30">
        <f>IF($G29="","",$G29*(IF(ADRYr2!$AI29=CC$4,ADRYr2!$AJ29,IF(ADRYr2!$AK29=CC$4,ADRYr2!$AL29,IF(ADRYr2!$AM29=CC$4,ADRYr2!$AN29,0))))*(INDEX(avoidedcosttbl2,$H29,CL$2)+(($H29-ROUNDDOWN($H29,0))*(INDEX(avoidedcosttbl2,ROUNDUP($H29,0),CL$2)-(INDEX(avoidedcosttbl2,ROUNDDOWN($H29,0),CL$2)))))*ADRYr2!P29*ADRYr2!Q29*ADRYr2!U29)</f>
        <v>0</v>
      </c>
      <c r="CM29" s="30">
        <f>IF($G29="","",$G29*(IF(ADRYr2!$AI29=CD$4,ADRYr2!$AJ29,IF(ADRYr2!$AK29=CD$4,ADRYr2!$AL29,IF(ADRYr2!$AM29=CD$4,ADRYr2!$AN29,0))))*(INDEX(avoidedcosttbl2,$H29,CM$2)+(($H29-ROUNDDOWN($H29,0))*(INDEX(avoidedcosttbl2,ROUNDUP($H29,0),CM$2)-(INDEX(avoidedcosttbl2,ROUNDDOWN($H29,0),CM$2)))))*ADRYr2!P29*ADRYr2!Q29*ADRYr2!U29)</f>
        <v>0</v>
      </c>
      <c r="CN29" s="30">
        <f>IF($G29="","",$G29*(IF(ADRYr2!$AI29=CE$4,ADRYr2!$AJ29,IF(ADRYr2!$AK29=CE$4,ADRYr2!$AL29,IF(ADRYr2!$AM29=CE$4,ADRYr2!$AN29,0))))*(INDEX(avoidedcosttbl2,$H29,CN$2)+(($H29-ROUNDDOWN($H29,0))*(INDEX(avoidedcosttbl2,ROUNDUP($H29,0),CN$2)-(INDEX(avoidedcosttbl2,ROUNDDOWN($H29,0),CN$2)))))*ADRYr2!P29*ADRYr2!Q29*ADRYr2!U29)</f>
        <v>0</v>
      </c>
      <c r="CO29" s="220">
        <f t="shared" si="39"/>
        <v>0</v>
      </c>
      <c r="CP29" s="220">
        <f t="shared" si="40"/>
        <v>0</v>
      </c>
      <c r="CQ29" s="157">
        <f>IF($G29="","",$G29*(IF(ADRYr2!$AI29=CQ$4,ADRYr2!$AJ29,IF(ADRYr2!$AK29=CQ$4,ADRYr2!$AL29,IF(ADRYr2!$AM29=CQ$4,ADRYr2!$AN29,0))))*(INDEX(avoidedcosttbl2,$H29,CQ$2)+(($H29-ROUNDDOWN($H29,0))*(INDEX(avoidedcosttbl2,ROUNDUP($H29,0),CQ$2)-(INDEX(avoidedcosttbl2,ROUNDDOWN($H29,0),CQ$2)))))*ADRYr2!$P29*ADRYr2!$Q29*ADRYr2!$U29)</f>
        <v>0</v>
      </c>
      <c r="CR29" s="28">
        <f>IF($G29="","",G29*(IF(ADRYr2!$AI29=CR$4,ADRYr2!$AJ29,IF(ADRYr2!$AK29=CR$4,ADRYr2!$AL29,IF(ADRYr2!$AM29=CR$4,ADRYr2!$AN29,0))))*(INDEX(avoidedcosttbl2,$H29,CR$2)+(($H29-ROUNDDOWN($H29,0))*(INDEX(avoidedcosttbl2,ROUNDUP($H29,0),CR$2)-(INDEX(avoidedcosttbl2,ROUNDDOWN($H29,0),CR$2)))))*ADRYr2!$P29*ADRYr2!$Q29*ADRYr2!$U29)</f>
        <v>0</v>
      </c>
      <c r="CS29" s="28">
        <f>IF($G29="","",G29*(IF(ADRYr2!$AI29=CS$4,ADRYr2!$AJ29,IF(ADRYr2!$AK29=CS$4,ADRYr2!$AL29,IF(ADRYr2!$AM29=CS$4,ADRYr2!$AN29,0))))*(INDEX(avoidedcosttbl2,$H29,CS$2)+(($H29-ROUNDDOWN($H29,0))*(INDEX(avoidedcosttbl2,ROUNDUP($H29,0),CS$2)-(INDEX(avoidedcosttbl2,ROUNDDOWN($H29,0),CS$2)))))*ADRYr2!$P29*ADRYr2!$Q29*ADRYr2!$U29)</f>
        <v>0</v>
      </c>
      <c r="CT29" s="28">
        <f t="shared" si="12"/>
        <v>0</v>
      </c>
      <c r="CU29" s="28">
        <f>IF($G29="","",G29*(IF(ADRYr2!$AI29=CU$4,ADRYr2!$AJ29,IF(ADRYr2!$AK29=CU$4,ADRYr2!$AL29,IF(ADRYr2!$AM29=CU$4,ADRYr2!$AN29,0))))*(INDEX(avoidedcosttbl2,$H29,CU$2)+(($H29-ROUNDDOWN($H29,0))*(INDEX(avoidedcosttbl2,ROUNDUP($H29,0),CU$2)-(INDEX(avoidedcosttbl2,ROUNDDOWN($H29,0),CU$2)))))*ADRYr2!$P29*ADRYr2!$Q29*ADRYr2!$U29)</f>
        <v>0</v>
      </c>
      <c r="CV29" s="28">
        <f>IF($G29="","",G29*(IF(ADRYr2!$AI29=CV$4,ADRYr2!$AJ29,IF(ADRYr2!$AK29=CV$4,ADRYr2!$AL29,IF(ADRYr2!$AM29=CV$4,ADRYr2!$AN29,0))))*(INDEX(avoidedcosttbl2,$H29,CV$2)+(($H29-ROUNDDOWN($H29,0))*(INDEX(avoidedcosttbl2,ROUNDUP($H29,0),CV$2)-(INDEX(avoidedcosttbl2,ROUNDDOWN($H29,0),CV$2)))))*ADRYr2!$P29*ADRYr2!$Q29*ADRYr2!$U29)</f>
        <v>0</v>
      </c>
      <c r="CW29" s="28">
        <f>IF($G29="","",G29*(IF(ADRYr2!$AI29=CW$4,ADRYr2!$AJ29,IF(ADRYr2!$AK29=CW$4,ADRYr2!$AL29,IF(ADRYr2!$AM29=CW$4,ADRYr2!$AN29,0))))*(INDEX(avoidedcosttbl2,$H29,CW$2)+(($H29-ROUNDDOWN($H29,0))*(INDEX(avoidedcosttbl2,ROUNDUP($H29,0),CW$2)-(INDEX(avoidedcosttbl2,ROUNDDOWN($H29,0),CW$2)))))*ADRYr2!$P29*ADRYr2!$Q29*ADRYr2!$U29)</f>
        <v>0</v>
      </c>
      <c r="CX29" s="28">
        <f>IF($G29="","",G29*(IF(ADRYr2!$AI29=CX$4,ADRYr2!$AJ29,IF(ADRYr2!$AK29=CX$4,ADRYr2!$AL29,IF(ADRYr2!$AM29=CX$4,ADRYr2!$AN29,0))))*(INDEX(avoidedcosttbl2,$H29,CX$2)+(($H29-ROUNDDOWN($H29,0))*(INDEX(avoidedcosttbl2,ROUNDUP($H29,0),CX$2)-(INDEX(avoidedcosttbl2,ROUNDDOWN($H29,0),CX$2)))))*ADRYr2!$P29*ADRYr2!$Q29*ADRYr2!$U29)</f>
        <v>0</v>
      </c>
      <c r="CY29" s="28">
        <f t="shared" si="13"/>
        <v>0</v>
      </c>
      <c r="CZ29" s="32">
        <f t="shared" si="14"/>
        <v>0</v>
      </c>
      <c r="DA29" s="84">
        <f t="shared" si="41"/>
        <v>0</v>
      </c>
      <c r="DB29" s="81" t="str">
        <f>IF(NEIadder="Yes",IF($G29="","",INDEX(Lookups!$G$70:$G$71,MATCH($A29,Lookups!$E$70:$E$71,0))*(SUM(CP29:CX29,BX29))),"")</f>
        <v/>
      </c>
      <c r="DC29" s="263" t="str">
        <f t="shared" si="15"/>
        <v/>
      </c>
      <c r="DD29" s="166">
        <f t="shared" si="16"/>
        <v>0</v>
      </c>
      <c r="DE29" s="82">
        <f t="shared" si="42"/>
        <v>0</v>
      </c>
      <c r="DF29" s="615">
        <f>IF($G29="","",(1+WntPeakEnergyLL)*(INDEX(avoidedcosttbl2,$H29,DF$2)+(($H29-ROUNDDOWN($H29,0))*(INDEX(avoidedcosttbl2,ROUNDUP($H29,0),DF$2)-(INDEX(avoidedcosttbl2,ROUNDDOWN($H29,0),DF$2)))))*$P29*1000*ADRYr2!Z29)</f>
        <v>0</v>
      </c>
      <c r="DG29" s="615">
        <f>IF($G29="","",(1+WntOffPeakEnergyLL)*(INDEX(avoidedcosttbl2,$H29,DG$2)+(($H29-ROUNDDOWN($H29,0))*(INDEX(avoidedcosttbl2,ROUNDUP($H29,0),DG$2)-(INDEX(avoidedcosttbl2,ROUNDDOWN($H29,0),DG$2)))))*$P29*1000*ADRYr2!AA29)</f>
        <v>0</v>
      </c>
      <c r="DH29" s="615">
        <f>IF($G29="","",(1+SumPeakEnergyLL)*(INDEX(avoidedcosttbl2,$H29,DH$2)+(($H29-ROUNDDOWN($H29,0))*(INDEX(avoidedcosttbl2,ROUNDUP($H29,0),DH$2)-(INDEX(avoidedcosttbl2,ROUNDDOWN($H29,0),DH$2)))))*$P29*1000*ADRYr2!AB29)</f>
        <v>0</v>
      </c>
      <c r="DI29" s="615">
        <f>IF($G29="","",(1+SumOffPeakEnergyLL)*(INDEX(avoidedcosttbl2,$H29,DI$2)+(($H29-ROUNDDOWN($H29,0))*(INDEX(avoidedcosttbl2,ROUNDUP($H29,0),DI$2)-(INDEX(avoidedcosttbl2,ROUNDDOWN($H29,0),DI$2)))))*$P29*1000*ADRYr2!AC29)</f>
        <v>0</v>
      </c>
      <c r="DJ29" s="29">
        <f t="shared" si="43"/>
        <v>0</v>
      </c>
      <c r="DK29" s="161">
        <f t="shared" si="44"/>
        <v>818474.82788857352</v>
      </c>
      <c r="DL29" s="1189">
        <f t="shared" si="45"/>
        <v>818474.82788857352</v>
      </c>
      <c r="DM29" s="1189">
        <f t="shared" si="46"/>
        <v>818474.82788857352</v>
      </c>
      <c r="DN29" s="43">
        <f t="shared" si="47"/>
        <v>818474.82788857352</v>
      </c>
      <c r="DO29" s="966" t="str">
        <f>IF($G29="","",ADRYr2!AQ29)</f>
        <v>Top 20 All Hours</v>
      </c>
      <c r="DP29" s="968" t="str">
        <f>IF($G29="","",ADRYr2!AR29)</f>
        <v>No</v>
      </c>
      <c r="DQ29" s="970" t="str">
        <f>IF($G29="","",IF($DP29="Yes",COLUMN(AESC!$L$10),IF($DP29="No","Using AvoidedDemand tab",IF($DP29="Mixed",COLUMN(AESC!$N$10)))))</f>
        <v>Using AvoidedDemand tab</v>
      </c>
      <c r="DR29" s="970" t="str">
        <f>IF($G29="","",IF($DP29="Yes",COLUMN(AESC!$P$10),IF($DP29="No","Using AvoidedDemand tab",IF($DP29="Mixed",COLUMN(AESC!$R$10)))))</f>
        <v>Using AvoidedDemand tab</v>
      </c>
      <c r="DS29" s="970">
        <f>IF($G29="","",IF($DP29="Yes",COLUMN(AESC!$S$10),IF($DP29="No",COLUMN(AESC!$T$10),IF($DP29="Mixed",COLUMN(AESC!$U$10)))))</f>
        <v>20</v>
      </c>
      <c r="DT29" s="970" t="str">
        <f t="shared" si="48"/>
        <v>2025-Top 20 All Hours-1</v>
      </c>
      <c r="DU29" s="970" t="str">
        <f>IF($G29="","",ADRYr2!AS29)</f>
        <v>No</v>
      </c>
      <c r="DV29" s="971">
        <f>IF($G29="","",ADRYr2!AT29)</f>
        <v>0.1</v>
      </c>
      <c r="DW29" s="1162">
        <f>IF($G29="","",INDEX(AvoidedEnergy!$H$4:$H$10,MATCH($DO29,AvoidedEnergy!$A$4:$A$10,0)))</f>
        <v>0.09</v>
      </c>
    </row>
    <row r="30" spans="1:127">
      <c r="A30" s="160" t="str">
        <f>IF(ADRYr2!$B30=0,"",ADRYr2!A30)</f>
        <v>C - Commercial &amp; Industrial</v>
      </c>
      <c r="B30" s="9" t="str">
        <f>IF(ADRYr2!$B30=0,"",ADRYr2!B30)</f>
        <v>C5 - C&amp;I Active Demand Response</v>
      </c>
      <c r="C30" s="9" t="str">
        <f>IF(ADRYr2!$B30=0,"",ADRYr2!C30)</f>
        <v>C5a - C&amp;I Active Demand Response</v>
      </c>
      <c r="D30" s="9" t="str">
        <f>IF(ADRYr2!$B30=0,"",ADRYr2!D30)</f>
        <v>Load Curtailment Targeted Dispatch P4P Winter</v>
      </c>
      <c r="E30" s="9">
        <f>IF(ADRYr2!$B30=0,"",ADRYr2!E30)</f>
        <v>0</v>
      </c>
      <c r="F30" s="11" t="str">
        <f>IF(ADRYr2!$B30=0,"",ADRYr2!F30)</f>
        <v>Behavior</v>
      </c>
      <c r="G30" s="12" t="str">
        <f>IF(ADRYr2!$G30&lt;&gt;0,ADRYr2!G30,"")</f>
        <v/>
      </c>
      <c r="H30" s="960" t="str">
        <f>IF($G30="","",ROUND(ADRYr2!H30,0))</f>
        <v/>
      </c>
      <c r="I30" s="47" t="str">
        <f>IF($G30="","",ADRYr2!I30*ADRYr2!P30*G30)</f>
        <v/>
      </c>
      <c r="J30" s="47" t="str">
        <f>IF($G30="","",ADRYr2!J30*G30)</f>
        <v/>
      </c>
      <c r="K30" s="47" t="str">
        <f t="shared" si="17"/>
        <v/>
      </c>
      <c r="L30" s="27" t="str">
        <f>IF($G30="","",ADRYr2!V30*G30/1000)</f>
        <v/>
      </c>
      <c r="M30" s="27" t="str">
        <f>IF($G30="","",L30*ADRYr2!$Q30*ADRYr2!$R30)</f>
        <v/>
      </c>
      <c r="N30" s="27" t="str">
        <f t="shared" si="18"/>
        <v/>
      </c>
      <c r="O30" s="27" t="str">
        <f t="shared" si="19"/>
        <v/>
      </c>
      <c r="P30" s="27" t="str">
        <f>IF($G30="","",M30*ADRYr2!P30)</f>
        <v/>
      </c>
      <c r="Q30" s="27" t="str">
        <f t="shared" si="20"/>
        <v/>
      </c>
      <c r="R30" s="27" t="str">
        <f>IF($G30="","",$Q30*ADRYr2!Z30)</f>
        <v/>
      </c>
      <c r="S30" s="27" t="str">
        <f>IF($G30="","",$Q30*ADRYr2!AA30)</f>
        <v/>
      </c>
      <c r="T30" s="27" t="str">
        <f>IF($G30="","",$Q30*ADRYr2!AB30)</f>
        <v/>
      </c>
      <c r="U30" s="27" t="str">
        <f>IF($G30="","",$Q30*ADRYr2!AC30)</f>
        <v/>
      </c>
      <c r="V30" s="27" t="str">
        <f>IF($G30="","",G30*ADRYr2!$AD30*ADRYr2!$P30*ADRYr2!$Q30)</f>
        <v/>
      </c>
      <c r="W30" s="27" t="str">
        <f>IF($G30="","",$G30*ADRYr2!$AD30*ADRYr2!$AF30*ADRYr2!Q30*ADRYr2!$S30)</f>
        <v/>
      </c>
      <c r="X30" s="27" t="str">
        <f>IF($G30="","",$G30*ADRYr2!$AD30*ADRYr2!$AF30*ADRYr2!P30*ADRYr2!Q30*ADRYr2!$S30)</f>
        <v/>
      </c>
      <c r="Y30" s="27" t="str">
        <f>IF($G30="","",$G30*ADRYr2!$AD30*ADRYr2!$AE30*ADRYr2!Q30*ADRYr2!$T30)</f>
        <v/>
      </c>
      <c r="Z30" s="27" t="str">
        <f>IF($G30="","",$G30*ADRYr2!$AD30*ADRYr2!$AE30*ADRYr2!P30*ADRYr2!Q30*ADRYr2!$T30)</f>
        <v/>
      </c>
      <c r="AA30" s="45" t="str">
        <f>IF($G30="","",$G30*ADRYr2!$Q30*ADRYr2!$U30*(IF(IFERROR(SEARCH("NG", ADRYr2!$AI30),0),ADRYr2!$AJ30,0)+IF(IFERROR(SEARCH("NG", ADRYr2!$AK30),0),ADRYr2!$AL30,0)+IF(IFERROR(SEARCH("NG", ADRYr2!$AM30),0),ADRYr2!$AN30,0)))</f>
        <v/>
      </c>
      <c r="AB30" s="45" t="str">
        <f t="shared" si="21"/>
        <v/>
      </c>
      <c r="AC30" s="45">
        <f>IF($G30="",0,AA30*ADRYr2!$P30)</f>
        <v>0</v>
      </c>
      <c r="AD30" s="45" t="str">
        <f t="shared" si="22"/>
        <v/>
      </c>
      <c r="AE30" s="45" t="str">
        <f>IF($G30="","",$G30*ADRYr2!$Q30*ADRYr2!$U30*(IF(IFERROR(SEARCH("Oil", ADRYr2!$AI30), 0),ADRYr2!$AJ30,0)+IF(IFERROR(SEARCH("Oil", ADRYr2!$AK30), 0),ADRYr2!$AL30,0)+IF(IFERROR(SEARCH("Oil", ADRYr2!$AM30), 0),ADRYr2!$AN30,0)))</f>
        <v/>
      </c>
      <c r="AF30" s="45" t="str">
        <f t="shared" si="23"/>
        <v/>
      </c>
      <c r="AG30" s="45">
        <f>IF($G30="",0,AE30*ADRYr2!$P30)</f>
        <v>0</v>
      </c>
      <c r="AH30" s="45" t="str">
        <f t="shared" si="24"/>
        <v/>
      </c>
      <c r="AI30" s="45" t="str">
        <f>IF($G30="","",$G30*ADRYr2!$Q30*ADRYr2!$U30*(IF(ADRYr2!$AI30=Lookups!$E$116,ADRYr2!$AJ30,IF(ADRYr2!$AK30=Lookups!$E$116,ADRYr2!$AL30,IF(ADRYr2!$AM30=Lookups!$E$116,ADRYr2!$AN30,0)))))</f>
        <v/>
      </c>
      <c r="AJ30" s="45" t="str">
        <f t="shared" si="25"/>
        <v/>
      </c>
      <c r="AK30" s="45">
        <f>IF($G30="",0,AI30*ADRYr2!$P30)</f>
        <v>0</v>
      </c>
      <c r="AL30" s="45" t="str">
        <f t="shared" si="26"/>
        <v/>
      </c>
      <c r="AM30" s="45" t="str">
        <f>IF($G30="","",$G30*ADRYr2!$Q30*ADRYr2!$U30*(IF(ADRYr2!$AI30=Lookups!$E$115,ADRYr2!$AJ30,IF(ADRYr2!$AK30=Lookups!$E$115,ADRYr2!$AL30,IF(ADRYr2!$AM30=Lookups!$E$115,ADRYr2!$AN30,0)))))</f>
        <v/>
      </c>
      <c r="AN30" s="45" t="str">
        <f t="shared" si="27"/>
        <v/>
      </c>
      <c r="AO30" s="45">
        <f>IF($G30="",0,AM30*ADRYr2!$P30)</f>
        <v>0</v>
      </c>
      <c r="AP30" s="45" t="str">
        <f t="shared" si="28"/>
        <v/>
      </c>
      <c r="AQ30" s="45" t="str">
        <f>IF($G30="","",$G30*ADRYr2!$Q30*ADRYr2!$U30*(IF(ADRYr2!$AI30=Lookups!$E$117,ADRYr2!$AJ30,IF(ADRYr2!$AK30=Lookups!$E$117,ADRYr2!$AL30,IF(ADRYr2!$AM30=Lookups!$E$117,ADRYr2!$AN30,0)))))</f>
        <v/>
      </c>
      <c r="AR30" s="45" t="str">
        <f t="shared" si="29"/>
        <v/>
      </c>
      <c r="AS30" s="45" t="str">
        <f>IF($G30="","",AQ30*ADRYr2!$P30)</f>
        <v/>
      </c>
      <c r="AT30" s="45" t="str">
        <f t="shared" si="30"/>
        <v/>
      </c>
      <c r="AU30" s="45" t="str">
        <f>IF($G30="","",$G30*ADRYr2!$Q30*ADRYr2!$U30*(IF(ADRYr2!$AI30=Lookups!$E$118,ADRYr2!$AJ30,IF(ADRYr2!$AK30=Lookups!$E$118,ADRYr2!$AL30,IF(ADRYr2!$AM30=Lookups!$E$118,ADRYr2!$AN30,0)))))</f>
        <v/>
      </c>
      <c r="AV30" s="45" t="str">
        <f t="shared" si="31"/>
        <v/>
      </c>
      <c r="AW30" s="45" t="str">
        <f>IF($G30="","",AU30*ADRYr2!$P30)</f>
        <v/>
      </c>
      <c r="AX30" s="45" t="str">
        <f t="shared" si="32"/>
        <v/>
      </c>
      <c r="AY30" s="45">
        <f t="shared" si="49"/>
        <v>0</v>
      </c>
      <c r="AZ30" s="45">
        <f t="shared" si="49"/>
        <v>0</v>
      </c>
      <c r="BA30" s="101" t="str">
        <f>IF($G30="","",$G30*ADRYr2!$P30*ADRYr2!$Q30*ADRYr2!$U30*ADRYr2!AO30)</f>
        <v/>
      </c>
      <c r="BB30" s="102" t="str">
        <f>IF($G30="","",$G30*ADRYr2!$P30*ADRYr2!$Q30*ADRYr2!$U30*ADRYr2!AP30)</f>
        <v/>
      </c>
      <c r="BC30" s="100" t="str">
        <f t="shared" si="34"/>
        <v/>
      </c>
      <c r="BD30" s="961"/>
      <c r="BE30" s="961"/>
      <c r="BF30" s="961"/>
      <c r="BG30" s="961"/>
      <c r="BH30" s="962" t="str">
        <f t="shared" si="3"/>
        <v/>
      </c>
      <c r="BI30" s="961"/>
      <c r="BJ30" s="961"/>
      <c r="BK30" s="961"/>
      <c r="BL30" s="961"/>
      <c r="BM30" s="30" t="str">
        <f t="shared" si="4"/>
        <v/>
      </c>
      <c r="BN30" s="963" t="str">
        <f t="shared" si="5"/>
        <v/>
      </c>
      <c r="BO30" s="31" t="str">
        <f t="shared" si="35"/>
        <v/>
      </c>
      <c r="BP30" s="964" t="str">
        <f t="shared" si="6"/>
        <v/>
      </c>
      <c r="BQ30" s="28" t="str">
        <f t="shared" si="7"/>
        <v/>
      </c>
      <c r="BR30" s="964" t="str">
        <f t="shared" si="8"/>
        <v/>
      </c>
      <c r="BS30" s="964" t="str">
        <f t="shared" si="9"/>
        <v/>
      </c>
      <c r="BT30" s="28" t="str">
        <f t="shared" si="50"/>
        <v/>
      </c>
      <c r="BU30" s="28" t="str">
        <f t="shared" si="50"/>
        <v/>
      </c>
      <c r="BV30" s="28" t="str">
        <f t="shared" si="50"/>
        <v/>
      </c>
      <c r="BW30" s="29" t="str">
        <f t="shared" si="36"/>
        <v/>
      </c>
      <c r="BX30" s="29" t="str">
        <f t="shared" si="37"/>
        <v/>
      </c>
      <c r="BY30" s="28" t="str">
        <f>IF($G30="","",$G30*(IF(ADRYr2!$AI30=BY$4,ADRYr2!$AJ30,IF(ADRYr2!$AK30=BY$4,ADRYr2!$AL30,IF(ADRYr2!$AM30=BY$4,ADRYr2!$AN30,0))))*(INDEX(avoidedcosttbl2,$H30,BY$2)+(($H30-ROUNDDOWN($H30,0))*(INDEX(avoidedcosttbl2,ROUNDUP($H30,0),BY$2)-(INDEX(avoidedcosttbl2,ROUNDDOWN($H30,0),BY$2)))))*ADRYr2!P30*ADRYr2!Q30*ADRYr2!U30)</f>
        <v/>
      </c>
      <c r="BZ30" s="28" t="str">
        <f>IF($G30="","",$G30*(IF(ADRYr2!$AI30=BZ$4,ADRYr2!$AJ30,IF(ADRYr2!$AK30=BZ$4,ADRYr2!$AL30,IF(ADRYr2!$AM30=BZ$4,ADRYr2!$AN30,0))))*(INDEX(avoidedcosttbl2,$H30,BZ$2)+(($H30-ROUNDDOWN($H30,0))*(INDEX(avoidedcosttbl2,ROUNDUP($H30,0),BZ$2)-(INDEX(avoidedcosttbl2,ROUNDDOWN($H30,0),BZ$2)))))*ADRYr2!P30*ADRYr2!Q30*ADRYr2!U30)</f>
        <v/>
      </c>
      <c r="CA30" s="28" t="str">
        <f>IF($G30="","",$G30*(IF(ADRYr2!$AI30=CA$4,ADRYr2!$AJ30,IF(ADRYr2!$AK30=CA$4,ADRYr2!$AL30,IF(ADRYr2!$AM30=CA$4,ADRYr2!$AN30,0))))*(INDEX(avoidedcosttbl2,$H30,CA$2)+(($H30-ROUNDDOWN($H30,0))*(INDEX(avoidedcosttbl2,ROUNDUP($H30,0),CA$2)-(INDEX(avoidedcosttbl2,ROUNDDOWN($H30,0),CA$2)))))*ADRYr2!P30*ADRYr2!Q30*ADRYr2!U30)</f>
        <v/>
      </c>
      <c r="CB30" s="28" t="str">
        <f>IF($G30="","",$G30*(IF(ADRYr2!$AI30=CB$4,ADRYr2!$AJ30,IF(ADRYr2!$AK30=CB$4,ADRYr2!$AL30,IF(ADRYr2!$AM30=CB$4,ADRYr2!$AN30,0))))*(INDEX(avoidedcosttbl2,$H30,CB$2)+(($H30-ROUNDDOWN($H30,0))*(INDEX(avoidedcosttbl2,ROUNDUP($H30,0),CB$2)-(INDEX(avoidedcosttbl2,ROUNDDOWN($H30,0),CB$2)))))*ADRYr2!P30*ADRYr2!Q30*ADRYr2!U30)</f>
        <v/>
      </c>
      <c r="CC30" s="28" t="str">
        <f>IF($G30="","",$G30*(IF(ADRYr2!$AI30=CC$4,ADRYr2!$AJ30,IF(ADRYr2!$AK30=CC$4,ADRYr2!$AL30,IF(ADRYr2!$AM30=CC$4,ADRYr2!$AN30,0))))*(INDEX(avoidedcosttbl2,$H30,CC$2)+(($H30-ROUNDDOWN($H30,0))*(INDEX(avoidedcosttbl2,ROUNDUP($H30,0),CC$2)-(INDEX(avoidedcosttbl2,ROUNDDOWN($H30,0),CC$2)))))*ADRYr2!P30*ADRYr2!Q30*ADRYr2!U30)</f>
        <v/>
      </c>
      <c r="CD30" s="28" t="str">
        <f>IF($G30="","",$G30*(IF(ADRYr2!$AI30=CD$4,ADRYr2!$AJ30,IF(ADRYr2!$AK30=CD$4,ADRYr2!$AL30,IF(ADRYr2!$AM30=CD$4,ADRYr2!$AN30,0))))*(INDEX(avoidedcosttbl2,$H30,CD$2)+(($H30-ROUNDDOWN($H30,0))*(INDEX(avoidedcosttbl2,ROUNDUP($H30,0),CD$2)-(INDEX(avoidedcosttbl2,ROUNDDOWN($H30,0),CD$2)))))*ADRYr2!P30*ADRYr2!Q30*ADRYr2!U30)</f>
        <v/>
      </c>
      <c r="CE30" s="28" t="str">
        <f>IF($G30="","",$G30*(IF(ADRYr2!$AI30=CE$4,ADRYr2!$AJ30,IF(ADRYr2!$AK30=CE$4,ADRYr2!$AL30,IF(ADRYr2!$AM30=CE$4,ADRYr2!$AN30,0))))*(INDEX(avoidedcosttbl2,$H30,CE$2)+(($H30-ROUNDDOWN($H30,0))*(INDEX(avoidedcosttbl2,ROUNDUP($H30,0),CE$2)-(INDEX(avoidedcosttbl2,ROUNDDOWN($H30,0),CE$2)))))*ADRYr2!P30*ADRYr2!Q30*ADRYr2!U30)</f>
        <v/>
      </c>
      <c r="CF30" s="41" t="str">
        <f t="shared" si="38"/>
        <v/>
      </c>
      <c r="CG30" s="30" t="str">
        <f t="shared" si="11"/>
        <v/>
      </c>
      <c r="CH30" s="30" t="str">
        <f>IF($G30="","",$G30*(IF(ADRYr2!$AI30=BY$4,ADRYr2!$AJ30,IF(ADRYr2!$AK30=BY$4,ADRYr2!$AL30,IF(ADRYr2!$AM30=BY$4,ADRYr2!$AN30,0))))*(INDEX(avoidedcosttbl2,$H30,CH$2)+(($H30-ROUNDDOWN($H30,0))*(INDEX(avoidedcosttbl2,ROUNDUP($H30,0),CH$2)-(INDEX(avoidedcosttbl2,ROUNDDOWN($H30,0),CH$2)))))*ADRYr2!P30*ADRYr2!Q30*ADRYr2!U30)</f>
        <v/>
      </c>
      <c r="CI30" s="30" t="str">
        <f>IF($G30="","",$G30*(IF(ADRYr2!$AI30=BZ$4,ADRYr2!$AJ30,IF(ADRYr2!$AK30=BZ$4,ADRYr2!$AL30,IF(ADRYr2!$AM30=BZ$4,ADRYr2!$AN30,0))))*(INDEX(avoidedcosttbl2,$H30,CI$2)+(($H30-ROUNDDOWN($H30,0))*(INDEX(avoidedcosttbl2,ROUNDUP($H30,0),CI$2)-(INDEX(avoidedcosttbl2,ROUNDDOWN($H30,0),CI$2)))))*ADRYr2!P30*ADRYr2!Q30*ADRYr2!U30)</f>
        <v/>
      </c>
      <c r="CJ30" s="30" t="str">
        <f>IF($G30="","",$G30*(IF(ADRYr2!$AI30=CA$4,ADRYr2!$AJ30,IF(ADRYr2!$AK30=CA$4,ADRYr2!$AL30,IF(ADRYr2!$AM30=CA$4,ADRYr2!$AN30,0))))*(INDEX(avoidedcosttbl2,$H30,CJ$2)+(($H30-ROUNDDOWN($H30,0))*(INDEX(avoidedcosttbl2,ROUNDUP($H30,0),CJ$2)-(INDEX(avoidedcosttbl2,ROUNDDOWN($H30,0),CJ$2)))))*ADRYr2!P30*ADRYr2!Q30*ADRYr2!U30)</f>
        <v/>
      </c>
      <c r="CK30" s="30" t="str">
        <f>IF($G30="","",$G30*(IF(ADRYr2!$AI30=CB$4,ADRYr2!$AJ30,IF(ADRYr2!$AK30=CB$4,ADRYr2!$AL30,IF(ADRYr2!$AM30=CB$4,ADRYr2!$AN30,0))))*(INDEX(avoidedcosttbl2,$H30,CK$2)+(($H30-ROUNDDOWN($H30,0))*(INDEX(avoidedcosttbl2,ROUNDUP($H30,0),CK$2)-(INDEX(avoidedcosttbl2,ROUNDDOWN($H30,0),CK$2)))))*ADRYr2!P30*ADRYr2!Q30*ADRYr2!U30)</f>
        <v/>
      </c>
      <c r="CL30" s="30" t="str">
        <f>IF($G30="","",$G30*(IF(ADRYr2!$AI30=CC$4,ADRYr2!$AJ30,IF(ADRYr2!$AK30=CC$4,ADRYr2!$AL30,IF(ADRYr2!$AM30=CC$4,ADRYr2!$AN30,0))))*(INDEX(avoidedcosttbl2,$H30,CL$2)+(($H30-ROUNDDOWN($H30,0))*(INDEX(avoidedcosttbl2,ROUNDUP($H30,0),CL$2)-(INDEX(avoidedcosttbl2,ROUNDDOWN($H30,0),CL$2)))))*ADRYr2!P30*ADRYr2!Q30*ADRYr2!U30)</f>
        <v/>
      </c>
      <c r="CM30" s="30" t="str">
        <f>IF($G30="","",$G30*(IF(ADRYr2!$AI30=CD$4,ADRYr2!$AJ30,IF(ADRYr2!$AK30=CD$4,ADRYr2!$AL30,IF(ADRYr2!$AM30=CD$4,ADRYr2!$AN30,0))))*(INDEX(avoidedcosttbl2,$H30,CM$2)+(($H30-ROUNDDOWN($H30,0))*(INDEX(avoidedcosttbl2,ROUNDUP($H30,0),CM$2)-(INDEX(avoidedcosttbl2,ROUNDDOWN($H30,0),CM$2)))))*ADRYr2!P30*ADRYr2!Q30*ADRYr2!U30)</f>
        <v/>
      </c>
      <c r="CN30" s="30" t="str">
        <f>IF($G30="","",$G30*(IF(ADRYr2!$AI30=CE$4,ADRYr2!$AJ30,IF(ADRYr2!$AK30=CE$4,ADRYr2!$AL30,IF(ADRYr2!$AM30=CE$4,ADRYr2!$AN30,0))))*(INDEX(avoidedcosttbl2,$H30,CN$2)+(($H30-ROUNDDOWN($H30,0))*(INDEX(avoidedcosttbl2,ROUNDUP($H30,0),CN$2)-(INDEX(avoidedcosttbl2,ROUNDDOWN($H30,0),CN$2)))))*ADRYr2!P30*ADRYr2!Q30*ADRYr2!U30)</f>
        <v/>
      </c>
      <c r="CO30" s="220" t="str">
        <f t="shared" si="39"/>
        <v/>
      </c>
      <c r="CP30" s="220" t="str">
        <f t="shared" si="40"/>
        <v/>
      </c>
      <c r="CQ30" s="157" t="str">
        <f>IF($G30="","",$G30*(IF(ADRYr2!$AI30=CQ$4,ADRYr2!$AJ30,IF(ADRYr2!$AK30=CQ$4,ADRYr2!$AL30,IF(ADRYr2!$AM30=CQ$4,ADRYr2!$AN30,0))))*(INDEX(avoidedcosttbl2,$H30,CQ$2)+(($H30-ROUNDDOWN($H30,0))*(INDEX(avoidedcosttbl2,ROUNDUP($H30,0),CQ$2)-(INDEX(avoidedcosttbl2,ROUNDDOWN($H30,0),CQ$2)))))*ADRYr2!$P30*ADRYr2!$Q30*ADRYr2!$U30)</f>
        <v/>
      </c>
      <c r="CR30" s="28" t="str">
        <f>IF($G30="","",G30*(IF(ADRYr2!$AI30=CR$4,ADRYr2!$AJ30,IF(ADRYr2!$AK30=CR$4,ADRYr2!$AL30,IF(ADRYr2!$AM30=CR$4,ADRYr2!$AN30,0))))*(INDEX(avoidedcosttbl2,$H30,CR$2)+(($H30-ROUNDDOWN($H30,0))*(INDEX(avoidedcosttbl2,ROUNDUP($H30,0),CR$2)-(INDEX(avoidedcosttbl2,ROUNDDOWN($H30,0),CR$2)))))*ADRYr2!$P30*ADRYr2!$Q30*ADRYr2!$U30)</f>
        <v/>
      </c>
      <c r="CS30" s="28" t="str">
        <f>IF($G30="","",G30*(IF(ADRYr2!$AI30=CS$4,ADRYr2!$AJ30,IF(ADRYr2!$AK30=CS$4,ADRYr2!$AL30,IF(ADRYr2!$AM30=CS$4,ADRYr2!$AN30,0))))*(INDEX(avoidedcosttbl2,$H30,CS$2)+(($H30-ROUNDDOWN($H30,0))*(INDEX(avoidedcosttbl2,ROUNDUP($H30,0),CS$2)-(INDEX(avoidedcosttbl2,ROUNDDOWN($H30,0),CS$2)))))*ADRYr2!$P30*ADRYr2!$Q30*ADRYr2!$U30)</f>
        <v/>
      </c>
      <c r="CT30" s="28" t="str">
        <f t="shared" si="12"/>
        <v/>
      </c>
      <c r="CU30" s="28" t="str">
        <f>IF($G30="","",G30*(IF(ADRYr2!$AI30=CU$4,ADRYr2!$AJ30,IF(ADRYr2!$AK30=CU$4,ADRYr2!$AL30,IF(ADRYr2!$AM30=CU$4,ADRYr2!$AN30,0))))*(INDEX(avoidedcosttbl2,$H30,CU$2)+(($H30-ROUNDDOWN($H30,0))*(INDEX(avoidedcosttbl2,ROUNDUP($H30,0),CU$2)-(INDEX(avoidedcosttbl2,ROUNDDOWN($H30,0),CU$2)))))*ADRYr2!$P30*ADRYr2!$Q30*ADRYr2!$U30)</f>
        <v/>
      </c>
      <c r="CV30" s="28" t="str">
        <f>IF($G30="","",G30*(IF(ADRYr2!$AI30=CV$4,ADRYr2!$AJ30,IF(ADRYr2!$AK30=CV$4,ADRYr2!$AL30,IF(ADRYr2!$AM30=CV$4,ADRYr2!$AN30,0))))*(INDEX(avoidedcosttbl2,$H30,CV$2)+(($H30-ROUNDDOWN($H30,0))*(INDEX(avoidedcosttbl2,ROUNDUP($H30,0),CV$2)-(INDEX(avoidedcosttbl2,ROUNDDOWN($H30,0),CV$2)))))*ADRYr2!$P30*ADRYr2!$Q30*ADRYr2!$U30)</f>
        <v/>
      </c>
      <c r="CW30" s="28" t="str">
        <f>IF($G30="","",G30*(IF(ADRYr2!$AI30=CW$4,ADRYr2!$AJ30,IF(ADRYr2!$AK30=CW$4,ADRYr2!$AL30,IF(ADRYr2!$AM30=CW$4,ADRYr2!$AN30,0))))*(INDEX(avoidedcosttbl2,$H30,CW$2)+(($H30-ROUNDDOWN($H30,0))*(INDEX(avoidedcosttbl2,ROUNDUP($H30,0),CW$2)-(INDEX(avoidedcosttbl2,ROUNDDOWN($H30,0),CW$2)))))*ADRYr2!$P30*ADRYr2!$Q30*ADRYr2!$U30)</f>
        <v/>
      </c>
      <c r="CX30" s="28" t="str">
        <f>IF($G30="","",G30*(IF(ADRYr2!$AI30=CX$4,ADRYr2!$AJ30,IF(ADRYr2!$AK30=CX$4,ADRYr2!$AL30,IF(ADRYr2!$AM30=CX$4,ADRYr2!$AN30,0))))*(INDEX(avoidedcosttbl2,$H30,CX$2)+(($H30-ROUNDDOWN($H30,0))*(INDEX(avoidedcosttbl2,ROUNDUP($H30,0),CX$2)-(INDEX(avoidedcosttbl2,ROUNDDOWN($H30,0),CX$2)))))*ADRYr2!$P30*ADRYr2!$Q30*ADRYr2!$U30)</f>
        <v/>
      </c>
      <c r="CY30" s="28" t="str">
        <f t="shared" si="13"/>
        <v/>
      </c>
      <c r="CZ30" s="32" t="str">
        <f t="shared" si="14"/>
        <v/>
      </c>
      <c r="DA30" s="84" t="str">
        <f t="shared" si="41"/>
        <v/>
      </c>
      <c r="DB30" s="81" t="str">
        <f>IF(NEIadder="Yes",IF($G30="","",INDEX(Lookups!$G$70:$G$71,MATCH($A30,Lookups!$E$70:$E$71,0))*(SUM(CP30:CX30,BX30))),"")</f>
        <v/>
      </c>
      <c r="DC30" s="263" t="str">
        <f t="shared" si="15"/>
        <v/>
      </c>
      <c r="DD30" s="166" t="str">
        <f t="shared" si="16"/>
        <v/>
      </c>
      <c r="DE30" s="82">
        <f t="shared" si="42"/>
        <v>0</v>
      </c>
      <c r="DF30" s="615" t="str">
        <f>IF($G30="","",(1+WntPeakEnergyLL)*(INDEX(avoidedcosttbl2,$H30,DF$2)+(($H30-ROUNDDOWN($H30,0))*(INDEX(avoidedcosttbl2,ROUNDUP($H30,0),DF$2)-(INDEX(avoidedcosttbl2,ROUNDDOWN($H30,0),DF$2)))))*$P30*1000*ADRYr2!Z30)</f>
        <v/>
      </c>
      <c r="DG30" s="615" t="str">
        <f>IF($G30="","",(1+WntOffPeakEnergyLL)*(INDEX(avoidedcosttbl2,$H30,DG$2)+(($H30-ROUNDDOWN($H30,0))*(INDEX(avoidedcosttbl2,ROUNDUP($H30,0),DG$2)-(INDEX(avoidedcosttbl2,ROUNDDOWN($H30,0),DG$2)))))*$P30*1000*ADRYr2!AA30)</f>
        <v/>
      </c>
      <c r="DH30" s="615" t="str">
        <f>IF($G30="","",(1+SumPeakEnergyLL)*(INDEX(avoidedcosttbl2,$H30,DH$2)+(($H30-ROUNDDOWN($H30,0))*(INDEX(avoidedcosttbl2,ROUNDUP($H30,0),DH$2)-(INDEX(avoidedcosttbl2,ROUNDDOWN($H30,0),DH$2)))))*$P30*1000*ADRYr2!AB30)</f>
        <v/>
      </c>
      <c r="DI30" s="615" t="str">
        <f>IF($G30="","",(1+SumOffPeakEnergyLL)*(INDEX(avoidedcosttbl2,$H30,DI$2)+(($H30-ROUNDDOWN($H30,0))*(INDEX(avoidedcosttbl2,ROUNDUP($H30,0),DI$2)-(INDEX(avoidedcosttbl2,ROUNDDOWN($H30,0),DI$2)))))*$P30*1000*ADRYr2!AC30)</f>
        <v/>
      </c>
      <c r="DJ30" s="29" t="str">
        <f t="shared" si="43"/>
        <v/>
      </c>
      <c r="DK30" s="161" t="str">
        <f t="shared" si="44"/>
        <v/>
      </c>
      <c r="DL30" s="1189" t="str">
        <f t="shared" si="45"/>
        <v/>
      </c>
      <c r="DM30" s="1189" t="str">
        <f t="shared" si="46"/>
        <v/>
      </c>
      <c r="DN30" s="43" t="str">
        <f t="shared" si="47"/>
        <v/>
      </c>
      <c r="DO30" s="966" t="str">
        <f>IF($G30="","",ADRYr2!AQ30)</f>
        <v/>
      </c>
      <c r="DP30" s="968" t="str">
        <f>IF($G30="","",ADRYr2!AR30)</f>
        <v/>
      </c>
      <c r="DQ30" s="970" t="str">
        <f>IF($G30="","",IF($DP30="Yes",COLUMN(AESC!$L$10),IF($DP30="No","Using AvoidedDemand tab",IF($DP30="Mixed",COLUMN(AESC!$N$10)))))</f>
        <v/>
      </c>
      <c r="DR30" s="970" t="str">
        <f>IF($G30="","",IF($DP30="Yes",COLUMN(AESC!$P$10),IF($DP30="No","Using AvoidedDemand tab",IF($DP30="Mixed",COLUMN(AESC!$R$10)))))</f>
        <v/>
      </c>
      <c r="DS30" s="970" t="str">
        <f>IF($G30="","",IF($DP30="Yes",COLUMN(AESC!$S$10),IF($DP30="No",COLUMN(AESC!$T$10),IF($DP30="Mixed",COLUMN(AESC!$U$10)))))</f>
        <v/>
      </c>
      <c r="DT30" s="970" t="str">
        <f t="shared" si="48"/>
        <v/>
      </c>
      <c r="DU30" s="970" t="str">
        <f>IF($G30="","",ADRYr2!AS30)</f>
        <v/>
      </c>
      <c r="DV30" s="971" t="str">
        <f>IF($G30="","",ADRYr2!AT30)</f>
        <v/>
      </c>
      <c r="DW30" s="1162" t="str">
        <f>IF($G30="","",INDEX(AvoidedEnergy!$H$4:$H$10,MATCH($DO30,AvoidedEnergy!$A$4:$A$10,0)))</f>
        <v/>
      </c>
    </row>
    <row r="31" spans="1:127">
      <c r="A31" s="160" t="str">
        <f>IF(ADRYr2!$B31=0,"",ADRYr2!A31)</f>
        <v>C - Commercial &amp; Industrial</v>
      </c>
      <c r="B31" s="9" t="str">
        <f>IF(ADRYr2!$B31=0,"",ADRYr2!B31)</f>
        <v>C5 - C&amp;I Active Demand Response</v>
      </c>
      <c r="C31" s="9" t="str">
        <f>IF(ADRYr2!$B31=0,"",ADRYr2!C31)</f>
        <v>C5a - C&amp;I Active Demand Response</v>
      </c>
      <c r="D31" s="9" t="str">
        <f>IF(ADRYr2!$B31=0,"",ADRYr2!D31)</f>
        <v>Storage Daily Dispatch Upfront Incentive (savings) Summer</v>
      </c>
      <c r="E31" s="9">
        <f>IF(ADRYr2!$B31=0,"",ADRYr2!E31)</f>
        <v>0</v>
      </c>
      <c r="F31" s="11" t="str">
        <f>IF(ADRYr2!$B31=0,"",ADRYr2!F31)</f>
        <v>Behavior</v>
      </c>
      <c r="G31" s="12" t="str">
        <f>IF(ADRYr2!$G31&lt;&gt;0,ADRYr2!G31,"")</f>
        <v/>
      </c>
      <c r="H31" s="960" t="str">
        <f>IF($G31="","",ROUND(ADRYr2!H31,0))</f>
        <v/>
      </c>
      <c r="I31" s="47" t="str">
        <f>IF($G31="","",ADRYr2!I31*ADRYr2!P31*G31)</f>
        <v/>
      </c>
      <c r="J31" s="47" t="str">
        <f>IF($G31="","",ADRYr2!J31*G31)</f>
        <v/>
      </c>
      <c r="K31" s="47" t="str">
        <f t="shared" si="17"/>
        <v/>
      </c>
      <c r="L31" s="27" t="str">
        <f>IF($G31="","",ADRYr2!V31*G31/1000)</f>
        <v/>
      </c>
      <c r="M31" s="27" t="str">
        <f>IF($G31="","",L31*ADRYr2!$Q31*ADRYr2!$R31)</f>
        <v/>
      </c>
      <c r="N31" s="27" t="str">
        <f t="shared" si="18"/>
        <v/>
      </c>
      <c r="O31" s="27" t="str">
        <f t="shared" si="19"/>
        <v/>
      </c>
      <c r="P31" s="27" t="str">
        <f>IF($G31="","",M31*ADRYr2!P31)</f>
        <v/>
      </c>
      <c r="Q31" s="27" t="str">
        <f t="shared" si="20"/>
        <v/>
      </c>
      <c r="R31" s="27" t="str">
        <f>IF($G31="","",$Q31*ADRYr2!Z31)</f>
        <v/>
      </c>
      <c r="S31" s="27" t="str">
        <f>IF($G31="","",$Q31*ADRYr2!AA31)</f>
        <v/>
      </c>
      <c r="T31" s="27" t="str">
        <f>IF($G31="","",$Q31*ADRYr2!AB31)</f>
        <v/>
      </c>
      <c r="U31" s="27" t="str">
        <f>IF($G31="","",$Q31*ADRYr2!AC31)</f>
        <v/>
      </c>
      <c r="V31" s="27" t="str">
        <f>IF($G31="","",G31*ADRYr2!$AD31*ADRYr2!$P31*ADRYr2!$Q31)</f>
        <v/>
      </c>
      <c r="W31" s="27" t="str">
        <f>IF($G31="","",$G31*ADRYr2!$AD31*ADRYr2!$AF31*ADRYr2!Q31*ADRYr2!$S31)</f>
        <v/>
      </c>
      <c r="X31" s="27" t="str">
        <f>IF($G31="","",$G31*ADRYr2!$AD31*ADRYr2!$AF31*ADRYr2!P31*ADRYr2!Q31*ADRYr2!$S31)</f>
        <v/>
      </c>
      <c r="Y31" s="27" t="str">
        <f>IF($G31="","",$G31*ADRYr2!$AD31*ADRYr2!$AE31*ADRYr2!Q31*ADRYr2!$T31)</f>
        <v/>
      </c>
      <c r="Z31" s="27" t="str">
        <f>IF($G31="","",$G31*ADRYr2!$AD31*ADRYr2!$AE31*ADRYr2!P31*ADRYr2!Q31*ADRYr2!$T31)</f>
        <v/>
      </c>
      <c r="AA31" s="45" t="str">
        <f>IF($G31="","",$G31*ADRYr2!$Q31*ADRYr2!$U31*(IF(IFERROR(SEARCH("NG", ADRYr2!$AI31),0),ADRYr2!$AJ31,0)+IF(IFERROR(SEARCH("NG", ADRYr2!$AK31),0),ADRYr2!$AL31,0)+IF(IFERROR(SEARCH("NG", ADRYr2!$AM31),0),ADRYr2!$AN31,0)))</f>
        <v/>
      </c>
      <c r="AB31" s="45" t="str">
        <f t="shared" si="21"/>
        <v/>
      </c>
      <c r="AC31" s="45">
        <f>IF($G31="",0,AA31*ADRYr2!$P31)</f>
        <v>0</v>
      </c>
      <c r="AD31" s="45" t="str">
        <f t="shared" si="22"/>
        <v/>
      </c>
      <c r="AE31" s="45" t="str">
        <f>IF($G31="","",$G31*ADRYr2!$Q31*ADRYr2!$U31*(IF(IFERROR(SEARCH("Oil", ADRYr2!$AI31), 0),ADRYr2!$AJ31,0)+IF(IFERROR(SEARCH("Oil", ADRYr2!$AK31), 0),ADRYr2!$AL31,0)+IF(IFERROR(SEARCH("Oil", ADRYr2!$AM31), 0),ADRYr2!$AN31,0)))</f>
        <v/>
      </c>
      <c r="AF31" s="45" t="str">
        <f t="shared" si="23"/>
        <v/>
      </c>
      <c r="AG31" s="45">
        <f>IF($G31="",0,AE31*ADRYr2!$P31)</f>
        <v>0</v>
      </c>
      <c r="AH31" s="45" t="str">
        <f t="shared" si="24"/>
        <v/>
      </c>
      <c r="AI31" s="45" t="str">
        <f>IF($G31="","",$G31*ADRYr2!$Q31*ADRYr2!$U31*(IF(ADRYr2!$AI31=Lookups!$E$116,ADRYr2!$AJ31,IF(ADRYr2!$AK31=Lookups!$E$116,ADRYr2!$AL31,IF(ADRYr2!$AM31=Lookups!$E$116,ADRYr2!$AN31,0)))))</f>
        <v/>
      </c>
      <c r="AJ31" s="45" t="str">
        <f t="shared" si="25"/>
        <v/>
      </c>
      <c r="AK31" s="45">
        <f>IF($G31="",0,AI31*ADRYr2!$P31)</f>
        <v>0</v>
      </c>
      <c r="AL31" s="45" t="str">
        <f t="shared" si="26"/>
        <v/>
      </c>
      <c r="AM31" s="45" t="str">
        <f>IF($G31="","",$G31*ADRYr2!$Q31*ADRYr2!$U31*(IF(ADRYr2!$AI31=Lookups!$E$115,ADRYr2!$AJ31,IF(ADRYr2!$AK31=Lookups!$E$115,ADRYr2!$AL31,IF(ADRYr2!$AM31=Lookups!$E$115,ADRYr2!$AN31,0)))))</f>
        <v/>
      </c>
      <c r="AN31" s="45" t="str">
        <f t="shared" si="27"/>
        <v/>
      </c>
      <c r="AO31" s="45">
        <f>IF($G31="",0,AM31*ADRYr2!$P31)</f>
        <v>0</v>
      </c>
      <c r="AP31" s="45" t="str">
        <f t="shared" si="28"/>
        <v/>
      </c>
      <c r="AQ31" s="45" t="str">
        <f>IF($G31="","",$G31*ADRYr2!$Q31*ADRYr2!$U31*(IF(ADRYr2!$AI31=Lookups!$E$117,ADRYr2!$AJ31,IF(ADRYr2!$AK31=Lookups!$E$117,ADRYr2!$AL31,IF(ADRYr2!$AM31=Lookups!$E$117,ADRYr2!$AN31,0)))))</f>
        <v/>
      </c>
      <c r="AR31" s="45" t="str">
        <f t="shared" si="29"/>
        <v/>
      </c>
      <c r="AS31" s="45" t="str">
        <f>IF($G31="","",AQ31*ADRYr2!$P31)</f>
        <v/>
      </c>
      <c r="AT31" s="45" t="str">
        <f t="shared" si="30"/>
        <v/>
      </c>
      <c r="AU31" s="45" t="str">
        <f>IF($G31="","",$G31*ADRYr2!$Q31*ADRYr2!$U31*(IF(ADRYr2!$AI31=Lookups!$E$118,ADRYr2!$AJ31,IF(ADRYr2!$AK31=Lookups!$E$118,ADRYr2!$AL31,IF(ADRYr2!$AM31=Lookups!$E$118,ADRYr2!$AN31,0)))))</f>
        <v/>
      </c>
      <c r="AV31" s="45" t="str">
        <f t="shared" si="31"/>
        <v/>
      </c>
      <c r="AW31" s="45" t="str">
        <f>IF($G31="","",AU31*ADRYr2!$P31)</f>
        <v/>
      </c>
      <c r="AX31" s="45" t="str">
        <f t="shared" si="32"/>
        <v/>
      </c>
      <c r="AY31" s="45">
        <f t="shared" si="49"/>
        <v>0</v>
      </c>
      <c r="AZ31" s="45">
        <f t="shared" si="49"/>
        <v>0</v>
      </c>
      <c r="BA31" s="101" t="str">
        <f>IF($G31="","",$G31*ADRYr2!$P31*ADRYr2!$Q31*ADRYr2!$U31*ADRYr2!AO31)</f>
        <v/>
      </c>
      <c r="BB31" s="102" t="str">
        <f>IF($G31="","",$G31*ADRYr2!$P31*ADRYr2!$Q31*ADRYr2!$U31*ADRYr2!AP31)</f>
        <v/>
      </c>
      <c r="BC31" s="100" t="str">
        <f t="shared" si="34"/>
        <v/>
      </c>
      <c r="BD31" s="961"/>
      <c r="BE31" s="961"/>
      <c r="BF31" s="961"/>
      <c r="BG31" s="961"/>
      <c r="BH31" s="962" t="str">
        <f t="shared" si="3"/>
        <v/>
      </c>
      <c r="BI31" s="961"/>
      <c r="BJ31" s="961"/>
      <c r="BK31" s="961"/>
      <c r="BL31" s="961"/>
      <c r="BM31" s="30" t="str">
        <f t="shared" si="4"/>
        <v/>
      </c>
      <c r="BN31" s="963" t="str">
        <f t="shared" si="5"/>
        <v/>
      </c>
      <c r="BO31" s="31" t="str">
        <f t="shared" si="35"/>
        <v/>
      </c>
      <c r="BP31" s="964" t="str">
        <f t="shared" si="6"/>
        <v/>
      </c>
      <c r="BQ31" s="28" t="str">
        <f t="shared" si="7"/>
        <v/>
      </c>
      <c r="BR31" s="964" t="str">
        <f t="shared" si="8"/>
        <v/>
      </c>
      <c r="BS31" s="964" t="str">
        <f t="shared" si="9"/>
        <v/>
      </c>
      <c r="BT31" s="28" t="str">
        <f t="shared" si="50"/>
        <v/>
      </c>
      <c r="BU31" s="28" t="str">
        <f t="shared" si="50"/>
        <v/>
      </c>
      <c r="BV31" s="28" t="str">
        <f t="shared" si="50"/>
        <v/>
      </c>
      <c r="BW31" s="29" t="str">
        <f t="shared" si="36"/>
        <v/>
      </c>
      <c r="BX31" s="29" t="str">
        <f t="shared" si="37"/>
        <v/>
      </c>
      <c r="BY31" s="28" t="str">
        <f>IF($G31="","",$G31*(IF(ADRYr2!$AI31=BY$4,ADRYr2!$AJ31,IF(ADRYr2!$AK31=BY$4,ADRYr2!$AL31,IF(ADRYr2!$AM31=BY$4,ADRYr2!$AN31,0))))*(INDEX(avoidedcosttbl2,$H31,BY$2)+(($H31-ROUNDDOWN($H31,0))*(INDEX(avoidedcosttbl2,ROUNDUP($H31,0),BY$2)-(INDEX(avoidedcosttbl2,ROUNDDOWN($H31,0),BY$2)))))*ADRYr2!P31*ADRYr2!Q31*ADRYr2!U31)</f>
        <v/>
      </c>
      <c r="BZ31" s="28" t="str">
        <f>IF($G31="","",$G31*(IF(ADRYr2!$AI31=BZ$4,ADRYr2!$AJ31,IF(ADRYr2!$AK31=BZ$4,ADRYr2!$AL31,IF(ADRYr2!$AM31=BZ$4,ADRYr2!$AN31,0))))*(INDEX(avoidedcosttbl2,$H31,BZ$2)+(($H31-ROUNDDOWN($H31,0))*(INDEX(avoidedcosttbl2,ROUNDUP($H31,0),BZ$2)-(INDEX(avoidedcosttbl2,ROUNDDOWN($H31,0),BZ$2)))))*ADRYr2!P31*ADRYr2!Q31*ADRYr2!U31)</f>
        <v/>
      </c>
      <c r="CA31" s="28" t="str">
        <f>IF($G31="","",$G31*(IF(ADRYr2!$AI31=CA$4,ADRYr2!$AJ31,IF(ADRYr2!$AK31=CA$4,ADRYr2!$AL31,IF(ADRYr2!$AM31=CA$4,ADRYr2!$AN31,0))))*(INDEX(avoidedcosttbl2,$H31,CA$2)+(($H31-ROUNDDOWN($H31,0))*(INDEX(avoidedcosttbl2,ROUNDUP($H31,0),CA$2)-(INDEX(avoidedcosttbl2,ROUNDDOWN($H31,0),CA$2)))))*ADRYr2!P31*ADRYr2!Q31*ADRYr2!U31)</f>
        <v/>
      </c>
      <c r="CB31" s="28" t="str">
        <f>IF($G31="","",$G31*(IF(ADRYr2!$AI31=CB$4,ADRYr2!$AJ31,IF(ADRYr2!$AK31=CB$4,ADRYr2!$AL31,IF(ADRYr2!$AM31=CB$4,ADRYr2!$AN31,0))))*(INDEX(avoidedcosttbl2,$H31,CB$2)+(($H31-ROUNDDOWN($H31,0))*(INDEX(avoidedcosttbl2,ROUNDUP($H31,0),CB$2)-(INDEX(avoidedcosttbl2,ROUNDDOWN($H31,0),CB$2)))))*ADRYr2!P31*ADRYr2!Q31*ADRYr2!U31)</f>
        <v/>
      </c>
      <c r="CC31" s="28" t="str">
        <f>IF($G31="","",$G31*(IF(ADRYr2!$AI31=CC$4,ADRYr2!$AJ31,IF(ADRYr2!$AK31=CC$4,ADRYr2!$AL31,IF(ADRYr2!$AM31=CC$4,ADRYr2!$AN31,0))))*(INDEX(avoidedcosttbl2,$H31,CC$2)+(($H31-ROUNDDOWN($H31,0))*(INDEX(avoidedcosttbl2,ROUNDUP($H31,0),CC$2)-(INDEX(avoidedcosttbl2,ROUNDDOWN($H31,0),CC$2)))))*ADRYr2!P31*ADRYr2!Q31*ADRYr2!U31)</f>
        <v/>
      </c>
      <c r="CD31" s="28" t="str">
        <f>IF($G31="","",$G31*(IF(ADRYr2!$AI31=CD$4,ADRYr2!$AJ31,IF(ADRYr2!$AK31=CD$4,ADRYr2!$AL31,IF(ADRYr2!$AM31=CD$4,ADRYr2!$AN31,0))))*(INDEX(avoidedcosttbl2,$H31,CD$2)+(($H31-ROUNDDOWN($H31,0))*(INDEX(avoidedcosttbl2,ROUNDUP($H31,0),CD$2)-(INDEX(avoidedcosttbl2,ROUNDDOWN($H31,0),CD$2)))))*ADRYr2!P31*ADRYr2!Q31*ADRYr2!U31)</f>
        <v/>
      </c>
      <c r="CE31" s="28" t="str">
        <f>IF($G31="","",$G31*(IF(ADRYr2!$AI31=CE$4,ADRYr2!$AJ31,IF(ADRYr2!$AK31=CE$4,ADRYr2!$AL31,IF(ADRYr2!$AM31=CE$4,ADRYr2!$AN31,0))))*(INDEX(avoidedcosttbl2,$H31,CE$2)+(($H31-ROUNDDOWN($H31,0))*(INDEX(avoidedcosttbl2,ROUNDUP($H31,0),CE$2)-(INDEX(avoidedcosttbl2,ROUNDDOWN($H31,0),CE$2)))))*ADRYr2!P31*ADRYr2!Q31*ADRYr2!U31)</f>
        <v/>
      </c>
      <c r="CF31" s="41" t="str">
        <f t="shared" si="38"/>
        <v/>
      </c>
      <c r="CG31" s="30" t="str">
        <f t="shared" si="11"/>
        <v/>
      </c>
      <c r="CH31" s="30" t="str">
        <f>IF($G31="","",$G31*(IF(ADRYr2!$AI31=BY$4,ADRYr2!$AJ31,IF(ADRYr2!$AK31=BY$4,ADRYr2!$AL31,IF(ADRYr2!$AM31=BY$4,ADRYr2!$AN31,0))))*(INDEX(avoidedcosttbl2,$H31,CH$2)+(($H31-ROUNDDOWN($H31,0))*(INDEX(avoidedcosttbl2,ROUNDUP($H31,0),CH$2)-(INDEX(avoidedcosttbl2,ROUNDDOWN($H31,0),CH$2)))))*ADRYr2!P31*ADRYr2!Q31*ADRYr2!U31)</f>
        <v/>
      </c>
      <c r="CI31" s="30" t="str">
        <f>IF($G31="","",$G31*(IF(ADRYr2!$AI31=BZ$4,ADRYr2!$AJ31,IF(ADRYr2!$AK31=BZ$4,ADRYr2!$AL31,IF(ADRYr2!$AM31=BZ$4,ADRYr2!$AN31,0))))*(INDEX(avoidedcosttbl2,$H31,CI$2)+(($H31-ROUNDDOWN($H31,0))*(INDEX(avoidedcosttbl2,ROUNDUP($H31,0),CI$2)-(INDEX(avoidedcosttbl2,ROUNDDOWN($H31,0),CI$2)))))*ADRYr2!P31*ADRYr2!Q31*ADRYr2!U31)</f>
        <v/>
      </c>
      <c r="CJ31" s="30" t="str">
        <f>IF($G31="","",$G31*(IF(ADRYr2!$AI31=CA$4,ADRYr2!$AJ31,IF(ADRYr2!$AK31=CA$4,ADRYr2!$AL31,IF(ADRYr2!$AM31=CA$4,ADRYr2!$AN31,0))))*(INDEX(avoidedcosttbl2,$H31,CJ$2)+(($H31-ROUNDDOWN($H31,0))*(INDEX(avoidedcosttbl2,ROUNDUP($H31,0),CJ$2)-(INDEX(avoidedcosttbl2,ROUNDDOWN($H31,0),CJ$2)))))*ADRYr2!P31*ADRYr2!Q31*ADRYr2!U31)</f>
        <v/>
      </c>
      <c r="CK31" s="30" t="str">
        <f>IF($G31="","",$G31*(IF(ADRYr2!$AI31=CB$4,ADRYr2!$AJ31,IF(ADRYr2!$AK31=CB$4,ADRYr2!$AL31,IF(ADRYr2!$AM31=CB$4,ADRYr2!$AN31,0))))*(INDEX(avoidedcosttbl2,$H31,CK$2)+(($H31-ROUNDDOWN($H31,0))*(INDEX(avoidedcosttbl2,ROUNDUP($H31,0),CK$2)-(INDEX(avoidedcosttbl2,ROUNDDOWN($H31,0),CK$2)))))*ADRYr2!P31*ADRYr2!Q31*ADRYr2!U31)</f>
        <v/>
      </c>
      <c r="CL31" s="30" t="str">
        <f>IF($G31="","",$G31*(IF(ADRYr2!$AI31=CC$4,ADRYr2!$AJ31,IF(ADRYr2!$AK31=CC$4,ADRYr2!$AL31,IF(ADRYr2!$AM31=CC$4,ADRYr2!$AN31,0))))*(INDEX(avoidedcosttbl2,$H31,CL$2)+(($H31-ROUNDDOWN($H31,0))*(INDEX(avoidedcosttbl2,ROUNDUP($H31,0),CL$2)-(INDEX(avoidedcosttbl2,ROUNDDOWN($H31,0),CL$2)))))*ADRYr2!P31*ADRYr2!Q31*ADRYr2!U31)</f>
        <v/>
      </c>
      <c r="CM31" s="30" t="str">
        <f>IF($G31="","",$G31*(IF(ADRYr2!$AI31=CD$4,ADRYr2!$AJ31,IF(ADRYr2!$AK31=CD$4,ADRYr2!$AL31,IF(ADRYr2!$AM31=CD$4,ADRYr2!$AN31,0))))*(INDEX(avoidedcosttbl2,$H31,CM$2)+(($H31-ROUNDDOWN($H31,0))*(INDEX(avoidedcosttbl2,ROUNDUP($H31,0),CM$2)-(INDEX(avoidedcosttbl2,ROUNDDOWN($H31,0),CM$2)))))*ADRYr2!P31*ADRYr2!Q31*ADRYr2!U31)</f>
        <v/>
      </c>
      <c r="CN31" s="30" t="str">
        <f>IF($G31="","",$G31*(IF(ADRYr2!$AI31=CE$4,ADRYr2!$AJ31,IF(ADRYr2!$AK31=CE$4,ADRYr2!$AL31,IF(ADRYr2!$AM31=CE$4,ADRYr2!$AN31,0))))*(INDEX(avoidedcosttbl2,$H31,CN$2)+(($H31-ROUNDDOWN($H31,0))*(INDEX(avoidedcosttbl2,ROUNDUP($H31,0),CN$2)-(INDEX(avoidedcosttbl2,ROUNDDOWN($H31,0),CN$2)))))*ADRYr2!P31*ADRYr2!Q31*ADRYr2!U31)</f>
        <v/>
      </c>
      <c r="CO31" s="220" t="str">
        <f t="shared" si="39"/>
        <v/>
      </c>
      <c r="CP31" s="220" t="str">
        <f t="shared" si="40"/>
        <v/>
      </c>
      <c r="CQ31" s="157" t="str">
        <f>IF($G31="","",$G31*(IF(ADRYr2!$AI31=CQ$4,ADRYr2!$AJ31,IF(ADRYr2!$AK31=CQ$4,ADRYr2!$AL31,IF(ADRYr2!$AM31=CQ$4,ADRYr2!$AN31,0))))*(INDEX(avoidedcosttbl2,$H31,CQ$2)+(($H31-ROUNDDOWN($H31,0))*(INDEX(avoidedcosttbl2,ROUNDUP($H31,0),CQ$2)-(INDEX(avoidedcosttbl2,ROUNDDOWN($H31,0),CQ$2)))))*ADRYr2!$P31*ADRYr2!$Q31*ADRYr2!$U31)</f>
        <v/>
      </c>
      <c r="CR31" s="28" t="str">
        <f>IF($G31="","",G31*(IF(ADRYr2!$AI31=CR$4,ADRYr2!$AJ31,IF(ADRYr2!$AK31=CR$4,ADRYr2!$AL31,IF(ADRYr2!$AM31=CR$4,ADRYr2!$AN31,0))))*(INDEX(avoidedcosttbl2,$H31,CR$2)+(($H31-ROUNDDOWN($H31,0))*(INDEX(avoidedcosttbl2,ROUNDUP($H31,0),CR$2)-(INDEX(avoidedcosttbl2,ROUNDDOWN($H31,0),CR$2)))))*ADRYr2!$P31*ADRYr2!$Q31*ADRYr2!$U31)</f>
        <v/>
      </c>
      <c r="CS31" s="28" t="str">
        <f>IF($G31="","",G31*(IF(ADRYr2!$AI31=CS$4,ADRYr2!$AJ31,IF(ADRYr2!$AK31=CS$4,ADRYr2!$AL31,IF(ADRYr2!$AM31=CS$4,ADRYr2!$AN31,0))))*(INDEX(avoidedcosttbl2,$H31,CS$2)+(($H31-ROUNDDOWN($H31,0))*(INDEX(avoidedcosttbl2,ROUNDUP($H31,0),CS$2)-(INDEX(avoidedcosttbl2,ROUNDDOWN($H31,0),CS$2)))))*ADRYr2!$P31*ADRYr2!$Q31*ADRYr2!$U31)</f>
        <v/>
      </c>
      <c r="CT31" s="28" t="str">
        <f t="shared" si="12"/>
        <v/>
      </c>
      <c r="CU31" s="28" t="str">
        <f>IF($G31="","",G31*(IF(ADRYr2!$AI31=CU$4,ADRYr2!$AJ31,IF(ADRYr2!$AK31=CU$4,ADRYr2!$AL31,IF(ADRYr2!$AM31=CU$4,ADRYr2!$AN31,0))))*(INDEX(avoidedcosttbl2,$H31,CU$2)+(($H31-ROUNDDOWN($H31,0))*(INDEX(avoidedcosttbl2,ROUNDUP($H31,0),CU$2)-(INDEX(avoidedcosttbl2,ROUNDDOWN($H31,0),CU$2)))))*ADRYr2!$P31*ADRYr2!$Q31*ADRYr2!$U31)</f>
        <v/>
      </c>
      <c r="CV31" s="28" t="str">
        <f>IF($G31="","",G31*(IF(ADRYr2!$AI31=CV$4,ADRYr2!$AJ31,IF(ADRYr2!$AK31=CV$4,ADRYr2!$AL31,IF(ADRYr2!$AM31=CV$4,ADRYr2!$AN31,0))))*(INDEX(avoidedcosttbl2,$H31,CV$2)+(($H31-ROUNDDOWN($H31,0))*(INDEX(avoidedcosttbl2,ROUNDUP($H31,0),CV$2)-(INDEX(avoidedcosttbl2,ROUNDDOWN($H31,0),CV$2)))))*ADRYr2!$P31*ADRYr2!$Q31*ADRYr2!$U31)</f>
        <v/>
      </c>
      <c r="CW31" s="28" t="str">
        <f>IF($G31="","",G31*(IF(ADRYr2!$AI31=CW$4,ADRYr2!$AJ31,IF(ADRYr2!$AK31=CW$4,ADRYr2!$AL31,IF(ADRYr2!$AM31=CW$4,ADRYr2!$AN31,0))))*(INDEX(avoidedcosttbl2,$H31,CW$2)+(($H31-ROUNDDOWN($H31,0))*(INDEX(avoidedcosttbl2,ROUNDUP($H31,0),CW$2)-(INDEX(avoidedcosttbl2,ROUNDDOWN($H31,0),CW$2)))))*ADRYr2!$P31*ADRYr2!$Q31*ADRYr2!$U31)</f>
        <v/>
      </c>
      <c r="CX31" s="28" t="str">
        <f>IF($G31="","",G31*(IF(ADRYr2!$AI31=CX$4,ADRYr2!$AJ31,IF(ADRYr2!$AK31=CX$4,ADRYr2!$AL31,IF(ADRYr2!$AM31=CX$4,ADRYr2!$AN31,0))))*(INDEX(avoidedcosttbl2,$H31,CX$2)+(($H31-ROUNDDOWN($H31,0))*(INDEX(avoidedcosttbl2,ROUNDUP($H31,0),CX$2)-(INDEX(avoidedcosttbl2,ROUNDDOWN($H31,0),CX$2)))))*ADRYr2!$P31*ADRYr2!$Q31*ADRYr2!$U31)</f>
        <v/>
      </c>
      <c r="CY31" s="28" t="str">
        <f t="shared" si="13"/>
        <v/>
      </c>
      <c r="CZ31" s="32" t="str">
        <f t="shared" si="14"/>
        <v/>
      </c>
      <c r="DA31" s="84" t="str">
        <f t="shared" si="41"/>
        <v/>
      </c>
      <c r="DB31" s="81" t="str">
        <f>IF(NEIadder="Yes",IF($G31="","",INDEX(Lookups!$G$70:$G$71,MATCH($A31,Lookups!$E$70:$E$71,0))*(SUM(CP31:CX31,BX31))),"")</f>
        <v/>
      </c>
      <c r="DC31" s="263" t="str">
        <f t="shared" si="15"/>
        <v/>
      </c>
      <c r="DD31" s="166" t="str">
        <f t="shared" si="16"/>
        <v/>
      </c>
      <c r="DE31" s="82">
        <f t="shared" si="42"/>
        <v>0</v>
      </c>
      <c r="DF31" s="615" t="str">
        <f>IF($G31="","",(1+WntPeakEnergyLL)*(INDEX(avoidedcosttbl2,$H31,DF$2)+(($H31-ROUNDDOWN($H31,0))*(INDEX(avoidedcosttbl2,ROUNDUP($H31,0),DF$2)-(INDEX(avoidedcosttbl2,ROUNDDOWN($H31,0),DF$2)))))*$P31*1000*ADRYr2!Z31)</f>
        <v/>
      </c>
      <c r="DG31" s="615" t="str">
        <f>IF($G31="","",(1+WntOffPeakEnergyLL)*(INDEX(avoidedcosttbl2,$H31,DG$2)+(($H31-ROUNDDOWN($H31,0))*(INDEX(avoidedcosttbl2,ROUNDUP($H31,0),DG$2)-(INDEX(avoidedcosttbl2,ROUNDDOWN($H31,0),DG$2)))))*$P31*1000*ADRYr2!AA31)</f>
        <v/>
      </c>
      <c r="DH31" s="615" t="str">
        <f>IF($G31="","",(1+SumPeakEnergyLL)*(INDEX(avoidedcosttbl2,$H31,DH$2)+(($H31-ROUNDDOWN($H31,0))*(INDEX(avoidedcosttbl2,ROUNDUP($H31,0),DH$2)-(INDEX(avoidedcosttbl2,ROUNDDOWN($H31,0),DH$2)))))*$P31*1000*ADRYr2!AB31)</f>
        <v/>
      </c>
      <c r="DI31" s="615" t="str">
        <f>IF($G31="","",(1+SumOffPeakEnergyLL)*(INDEX(avoidedcosttbl2,$H31,DI$2)+(($H31-ROUNDDOWN($H31,0))*(INDEX(avoidedcosttbl2,ROUNDUP($H31,0),DI$2)-(INDEX(avoidedcosttbl2,ROUNDDOWN($H31,0),DI$2)))))*$P31*1000*ADRYr2!AC31)</f>
        <v/>
      </c>
      <c r="DJ31" s="29" t="str">
        <f t="shared" si="43"/>
        <v/>
      </c>
      <c r="DK31" s="161" t="str">
        <f t="shared" si="44"/>
        <v/>
      </c>
      <c r="DL31" s="1189" t="str">
        <f t="shared" si="45"/>
        <v/>
      </c>
      <c r="DM31" s="1189" t="str">
        <f t="shared" si="46"/>
        <v/>
      </c>
      <c r="DN31" s="43" t="str">
        <f t="shared" si="47"/>
        <v/>
      </c>
      <c r="DO31" s="966" t="str">
        <f>IF($G31="","",ADRYr2!AQ31)</f>
        <v/>
      </c>
      <c r="DP31" s="968" t="str">
        <f>IF($G31="","",ADRYr2!AR31)</f>
        <v/>
      </c>
      <c r="DQ31" s="970" t="str">
        <f>IF($G31="","",IF($DP31="Yes",COLUMN(AESC!$L$10),IF($DP31="No","Using AvoidedDemand tab",IF($DP31="Mixed",COLUMN(AESC!$N$10)))))</f>
        <v/>
      </c>
      <c r="DR31" s="970" t="str">
        <f>IF($G31="","",IF($DP31="Yes",COLUMN(AESC!$P$10),IF($DP31="No","Using AvoidedDemand tab",IF($DP31="Mixed",COLUMN(AESC!$R$10)))))</f>
        <v/>
      </c>
      <c r="DS31" s="970" t="str">
        <f>IF($G31="","",IF($DP31="Yes",COLUMN(AESC!$S$10),IF($DP31="No",COLUMN(AESC!$T$10),IF($DP31="Mixed",COLUMN(AESC!$U$10)))))</f>
        <v/>
      </c>
      <c r="DT31" s="970" t="str">
        <f t="shared" si="48"/>
        <v/>
      </c>
      <c r="DU31" s="970" t="str">
        <f>IF($G31="","",ADRYr2!AS31)</f>
        <v/>
      </c>
      <c r="DV31" s="971" t="str">
        <f>IF($G31="","",ADRYr2!AT31)</f>
        <v/>
      </c>
      <c r="DW31" s="1162" t="str">
        <f>IF($G31="","",INDEX(AvoidedEnergy!$H$4:$H$10,MATCH($DO31,AvoidedEnergy!$A$4:$A$10,0)))</f>
        <v/>
      </c>
    </row>
    <row r="32" spans="1:127">
      <c r="A32" s="160" t="str">
        <f>IF(ADRYr2!$B32=0,"",ADRYr2!A32)</f>
        <v>C - Commercial &amp; Industrial</v>
      </c>
      <c r="B32" s="9" t="str">
        <f>IF(ADRYr2!$B32=0,"",ADRYr2!B32)</f>
        <v>C5 - C&amp;I Active Demand Response</v>
      </c>
      <c r="C32" s="9" t="str">
        <f>IF(ADRYr2!$B32=0,"",ADRYr2!C32)</f>
        <v>C5a - C&amp;I Active Demand Response</v>
      </c>
      <c r="D32" s="9" t="str">
        <f>IF(ADRYr2!$B32=0,"",ADRYr2!D32)</f>
        <v>Storage Daily Dispatch Upfront Incentive (consumption) Summer</v>
      </c>
      <c r="E32" s="9">
        <f>IF(ADRYr2!$B32=0,"",ADRYr2!E32)</f>
        <v>0</v>
      </c>
      <c r="F32" s="11" t="str">
        <f>IF(ADRYr2!$B32=0,"",ADRYr2!F32)</f>
        <v>Behavior</v>
      </c>
      <c r="G32" s="12" t="str">
        <f>IF(ADRYr2!$G32&lt;&gt;0,ADRYr2!G32,"")</f>
        <v/>
      </c>
      <c r="H32" s="960" t="str">
        <f>IF($G32="","",ROUND(ADRYr2!H32,0))</f>
        <v/>
      </c>
      <c r="I32" s="47" t="str">
        <f>IF($G32="","",ADRYr2!I32*ADRYr2!P32*G32)</f>
        <v/>
      </c>
      <c r="J32" s="47" t="str">
        <f>IF($G32="","",ADRYr2!J32*G32)</f>
        <v/>
      </c>
      <c r="K32" s="47" t="str">
        <f t="shared" si="17"/>
        <v/>
      </c>
      <c r="L32" s="27" t="str">
        <f>IF($G32="","",ADRYr2!V32*G32/1000)</f>
        <v/>
      </c>
      <c r="M32" s="27" t="str">
        <f>IF($G32="","",L32*ADRYr2!$Q32*ADRYr2!$R32)</f>
        <v/>
      </c>
      <c r="N32" s="27" t="str">
        <f t="shared" si="18"/>
        <v/>
      </c>
      <c r="O32" s="27" t="str">
        <f t="shared" si="19"/>
        <v/>
      </c>
      <c r="P32" s="27" t="str">
        <f>IF($G32="","",M32*ADRYr2!P32)</f>
        <v/>
      </c>
      <c r="Q32" s="27" t="str">
        <f t="shared" si="20"/>
        <v/>
      </c>
      <c r="R32" s="27" t="str">
        <f>IF($G32="","",$Q32*ADRYr2!Z32)</f>
        <v/>
      </c>
      <c r="S32" s="27" t="str">
        <f>IF($G32="","",$Q32*ADRYr2!AA32)</f>
        <v/>
      </c>
      <c r="T32" s="27" t="str">
        <f>IF($G32="","",$Q32*ADRYr2!AB32)</f>
        <v/>
      </c>
      <c r="U32" s="27" t="str">
        <f>IF($G32="","",$Q32*ADRYr2!AC32)</f>
        <v/>
      </c>
      <c r="V32" s="27" t="str">
        <f>IF($G32="","",G32*ADRYr2!$AD32*ADRYr2!$P32*ADRYr2!$Q32)</f>
        <v/>
      </c>
      <c r="W32" s="27" t="str">
        <f>IF($G32="","",$G32*ADRYr2!$AD32*ADRYr2!$AF32*ADRYr2!Q32*ADRYr2!$S32)</f>
        <v/>
      </c>
      <c r="X32" s="27" t="str">
        <f>IF($G32="","",$G32*ADRYr2!$AD32*ADRYr2!$AF32*ADRYr2!P32*ADRYr2!Q32*ADRYr2!$S32)</f>
        <v/>
      </c>
      <c r="Y32" s="27" t="str">
        <f>IF($G32="","",$G32*ADRYr2!$AD32*ADRYr2!$AE32*ADRYr2!Q32*ADRYr2!$T32)</f>
        <v/>
      </c>
      <c r="Z32" s="27" t="str">
        <f>IF($G32="","",$G32*ADRYr2!$AD32*ADRYr2!$AE32*ADRYr2!P32*ADRYr2!Q32*ADRYr2!$T32)</f>
        <v/>
      </c>
      <c r="AA32" s="45" t="str">
        <f>IF($G32="","",$G32*ADRYr2!$Q32*ADRYr2!$U32*(IF(IFERROR(SEARCH("NG", ADRYr2!$AI32),0),ADRYr2!$AJ32,0)+IF(IFERROR(SEARCH("NG", ADRYr2!$AK32),0),ADRYr2!$AL32,0)+IF(IFERROR(SEARCH("NG", ADRYr2!$AM32),0),ADRYr2!$AN32,0)))</f>
        <v/>
      </c>
      <c r="AB32" s="45" t="str">
        <f t="shared" si="21"/>
        <v/>
      </c>
      <c r="AC32" s="45">
        <f>IF($G32="",0,AA32*ADRYr2!$P32)</f>
        <v>0</v>
      </c>
      <c r="AD32" s="45" t="str">
        <f t="shared" si="22"/>
        <v/>
      </c>
      <c r="AE32" s="45" t="str">
        <f>IF($G32="","",$G32*ADRYr2!$Q32*ADRYr2!$U32*(IF(IFERROR(SEARCH("Oil", ADRYr2!$AI32), 0),ADRYr2!$AJ32,0)+IF(IFERROR(SEARCH("Oil", ADRYr2!$AK32), 0),ADRYr2!$AL32,0)+IF(IFERROR(SEARCH("Oil", ADRYr2!$AM32), 0),ADRYr2!$AN32,0)))</f>
        <v/>
      </c>
      <c r="AF32" s="45" t="str">
        <f t="shared" si="23"/>
        <v/>
      </c>
      <c r="AG32" s="45">
        <f>IF($G32="",0,AE32*ADRYr2!$P32)</f>
        <v>0</v>
      </c>
      <c r="AH32" s="45" t="str">
        <f t="shared" si="24"/>
        <v/>
      </c>
      <c r="AI32" s="45" t="str">
        <f>IF($G32="","",$G32*ADRYr2!$Q32*ADRYr2!$U32*(IF(ADRYr2!$AI32=Lookups!$E$116,ADRYr2!$AJ32,IF(ADRYr2!$AK32=Lookups!$E$116,ADRYr2!$AL32,IF(ADRYr2!$AM32=Lookups!$E$116,ADRYr2!$AN32,0)))))</f>
        <v/>
      </c>
      <c r="AJ32" s="45" t="str">
        <f t="shared" si="25"/>
        <v/>
      </c>
      <c r="AK32" s="45">
        <f>IF($G32="",0,AI32*ADRYr2!$P32)</f>
        <v>0</v>
      </c>
      <c r="AL32" s="45" t="str">
        <f t="shared" si="26"/>
        <v/>
      </c>
      <c r="AM32" s="45" t="str">
        <f>IF($G32="","",$G32*ADRYr2!$Q32*ADRYr2!$U32*(IF(ADRYr2!$AI32=Lookups!$E$115,ADRYr2!$AJ32,IF(ADRYr2!$AK32=Lookups!$E$115,ADRYr2!$AL32,IF(ADRYr2!$AM32=Lookups!$E$115,ADRYr2!$AN32,0)))))</f>
        <v/>
      </c>
      <c r="AN32" s="45" t="str">
        <f t="shared" si="27"/>
        <v/>
      </c>
      <c r="AO32" s="45">
        <f>IF($G32="",0,AM32*ADRYr2!$P32)</f>
        <v>0</v>
      </c>
      <c r="AP32" s="45" t="str">
        <f t="shared" si="28"/>
        <v/>
      </c>
      <c r="AQ32" s="45" t="str">
        <f>IF($G32="","",$G32*ADRYr2!$Q32*ADRYr2!$U32*(IF(ADRYr2!$AI32=Lookups!$E$117,ADRYr2!$AJ32,IF(ADRYr2!$AK32=Lookups!$E$117,ADRYr2!$AL32,IF(ADRYr2!$AM32=Lookups!$E$117,ADRYr2!$AN32,0)))))</f>
        <v/>
      </c>
      <c r="AR32" s="45" t="str">
        <f t="shared" si="29"/>
        <v/>
      </c>
      <c r="AS32" s="45" t="str">
        <f>IF($G32="","",AQ32*ADRYr2!$P32)</f>
        <v/>
      </c>
      <c r="AT32" s="45" t="str">
        <f t="shared" si="30"/>
        <v/>
      </c>
      <c r="AU32" s="45" t="str">
        <f>IF($G32="","",$G32*ADRYr2!$Q32*ADRYr2!$U32*(IF(ADRYr2!$AI32=Lookups!$E$118,ADRYr2!$AJ32,IF(ADRYr2!$AK32=Lookups!$E$118,ADRYr2!$AL32,IF(ADRYr2!$AM32=Lookups!$E$118,ADRYr2!$AN32,0)))))</f>
        <v/>
      </c>
      <c r="AV32" s="45" t="str">
        <f t="shared" si="31"/>
        <v/>
      </c>
      <c r="AW32" s="45" t="str">
        <f>IF($G32="","",AU32*ADRYr2!$P32)</f>
        <v/>
      </c>
      <c r="AX32" s="45" t="str">
        <f t="shared" si="32"/>
        <v/>
      </c>
      <c r="AY32" s="45">
        <f t="shared" si="49"/>
        <v>0</v>
      </c>
      <c r="AZ32" s="45">
        <f t="shared" si="49"/>
        <v>0</v>
      </c>
      <c r="BA32" s="101" t="str">
        <f>IF($G32="","",$G32*ADRYr2!$P32*ADRYr2!$Q32*ADRYr2!$U32*ADRYr2!AO32)</f>
        <v/>
      </c>
      <c r="BB32" s="102" t="str">
        <f>IF($G32="","",$G32*ADRYr2!$P32*ADRYr2!$Q32*ADRYr2!$U32*ADRYr2!AP32)</f>
        <v/>
      </c>
      <c r="BC32" s="100" t="str">
        <f t="shared" si="34"/>
        <v/>
      </c>
      <c r="BD32" s="961"/>
      <c r="BE32" s="961"/>
      <c r="BF32" s="961"/>
      <c r="BG32" s="961"/>
      <c r="BH32" s="962" t="str">
        <f t="shared" si="3"/>
        <v/>
      </c>
      <c r="BI32" s="961"/>
      <c r="BJ32" s="961"/>
      <c r="BK32" s="961"/>
      <c r="BL32" s="961"/>
      <c r="BM32" s="30" t="str">
        <f t="shared" si="4"/>
        <v/>
      </c>
      <c r="BN32" s="963" t="str">
        <f t="shared" si="5"/>
        <v/>
      </c>
      <c r="BO32" s="31" t="str">
        <f t="shared" si="35"/>
        <v/>
      </c>
      <c r="BP32" s="964" t="str">
        <f t="shared" si="6"/>
        <v/>
      </c>
      <c r="BQ32" s="28" t="str">
        <f t="shared" si="7"/>
        <v/>
      </c>
      <c r="BR32" s="964" t="str">
        <f t="shared" si="8"/>
        <v/>
      </c>
      <c r="BS32" s="964" t="str">
        <f t="shared" si="9"/>
        <v/>
      </c>
      <c r="BT32" s="28" t="str">
        <f t="shared" si="50"/>
        <v/>
      </c>
      <c r="BU32" s="28" t="str">
        <f t="shared" si="50"/>
        <v/>
      </c>
      <c r="BV32" s="28" t="str">
        <f t="shared" si="50"/>
        <v/>
      </c>
      <c r="BW32" s="29" t="str">
        <f t="shared" si="36"/>
        <v/>
      </c>
      <c r="BX32" s="29" t="str">
        <f t="shared" si="37"/>
        <v/>
      </c>
      <c r="BY32" s="28" t="str">
        <f>IF($G32="","",$G32*(IF(ADRYr2!$AI32=BY$4,ADRYr2!$AJ32,IF(ADRYr2!$AK32=BY$4,ADRYr2!$AL32,IF(ADRYr2!$AM32=BY$4,ADRYr2!$AN32,0))))*(INDEX(avoidedcosttbl2,$H32,BY$2)+(($H32-ROUNDDOWN($H32,0))*(INDEX(avoidedcosttbl2,ROUNDUP($H32,0),BY$2)-(INDEX(avoidedcosttbl2,ROUNDDOWN($H32,0),BY$2)))))*ADRYr2!P32*ADRYr2!Q32*ADRYr2!U32)</f>
        <v/>
      </c>
      <c r="BZ32" s="28" t="str">
        <f>IF($G32="","",$G32*(IF(ADRYr2!$AI32=BZ$4,ADRYr2!$AJ32,IF(ADRYr2!$AK32=BZ$4,ADRYr2!$AL32,IF(ADRYr2!$AM32=BZ$4,ADRYr2!$AN32,0))))*(INDEX(avoidedcosttbl2,$H32,BZ$2)+(($H32-ROUNDDOWN($H32,0))*(INDEX(avoidedcosttbl2,ROUNDUP($H32,0),BZ$2)-(INDEX(avoidedcosttbl2,ROUNDDOWN($H32,0),BZ$2)))))*ADRYr2!P32*ADRYr2!Q32*ADRYr2!U32)</f>
        <v/>
      </c>
      <c r="CA32" s="28" t="str">
        <f>IF($G32="","",$G32*(IF(ADRYr2!$AI32=CA$4,ADRYr2!$AJ32,IF(ADRYr2!$AK32=CA$4,ADRYr2!$AL32,IF(ADRYr2!$AM32=CA$4,ADRYr2!$AN32,0))))*(INDEX(avoidedcosttbl2,$H32,CA$2)+(($H32-ROUNDDOWN($H32,0))*(INDEX(avoidedcosttbl2,ROUNDUP($H32,0),CA$2)-(INDEX(avoidedcosttbl2,ROUNDDOWN($H32,0),CA$2)))))*ADRYr2!P32*ADRYr2!Q32*ADRYr2!U32)</f>
        <v/>
      </c>
      <c r="CB32" s="28" t="str">
        <f>IF($G32="","",$G32*(IF(ADRYr2!$AI32=CB$4,ADRYr2!$AJ32,IF(ADRYr2!$AK32=CB$4,ADRYr2!$AL32,IF(ADRYr2!$AM32=CB$4,ADRYr2!$AN32,0))))*(INDEX(avoidedcosttbl2,$H32,CB$2)+(($H32-ROUNDDOWN($H32,0))*(INDEX(avoidedcosttbl2,ROUNDUP($H32,0),CB$2)-(INDEX(avoidedcosttbl2,ROUNDDOWN($H32,0),CB$2)))))*ADRYr2!P32*ADRYr2!Q32*ADRYr2!U32)</f>
        <v/>
      </c>
      <c r="CC32" s="28" t="str">
        <f>IF($G32="","",$G32*(IF(ADRYr2!$AI32=CC$4,ADRYr2!$AJ32,IF(ADRYr2!$AK32=CC$4,ADRYr2!$AL32,IF(ADRYr2!$AM32=CC$4,ADRYr2!$AN32,0))))*(INDEX(avoidedcosttbl2,$H32,CC$2)+(($H32-ROUNDDOWN($H32,0))*(INDEX(avoidedcosttbl2,ROUNDUP($H32,0),CC$2)-(INDEX(avoidedcosttbl2,ROUNDDOWN($H32,0),CC$2)))))*ADRYr2!P32*ADRYr2!Q32*ADRYr2!U32)</f>
        <v/>
      </c>
      <c r="CD32" s="28" t="str">
        <f>IF($G32="","",$G32*(IF(ADRYr2!$AI32=CD$4,ADRYr2!$AJ32,IF(ADRYr2!$AK32=CD$4,ADRYr2!$AL32,IF(ADRYr2!$AM32=CD$4,ADRYr2!$AN32,0))))*(INDEX(avoidedcosttbl2,$H32,CD$2)+(($H32-ROUNDDOWN($H32,0))*(INDEX(avoidedcosttbl2,ROUNDUP($H32,0),CD$2)-(INDEX(avoidedcosttbl2,ROUNDDOWN($H32,0),CD$2)))))*ADRYr2!P32*ADRYr2!Q32*ADRYr2!U32)</f>
        <v/>
      </c>
      <c r="CE32" s="28" t="str">
        <f>IF($G32="","",$G32*(IF(ADRYr2!$AI32=CE$4,ADRYr2!$AJ32,IF(ADRYr2!$AK32=CE$4,ADRYr2!$AL32,IF(ADRYr2!$AM32=CE$4,ADRYr2!$AN32,0))))*(INDEX(avoidedcosttbl2,$H32,CE$2)+(($H32-ROUNDDOWN($H32,0))*(INDEX(avoidedcosttbl2,ROUNDUP($H32,0),CE$2)-(INDEX(avoidedcosttbl2,ROUNDDOWN($H32,0),CE$2)))))*ADRYr2!P32*ADRYr2!Q32*ADRYr2!U32)</f>
        <v/>
      </c>
      <c r="CF32" s="41" t="str">
        <f t="shared" si="38"/>
        <v/>
      </c>
      <c r="CG32" s="30" t="str">
        <f t="shared" si="11"/>
        <v/>
      </c>
      <c r="CH32" s="30" t="str">
        <f>IF($G32="","",$G32*(IF(ADRYr2!$AI32=BY$4,ADRYr2!$AJ32,IF(ADRYr2!$AK32=BY$4,ADRYr2!$AL32,IF(ADRYr2!$AM32=BY$4,ADRYr2!$AN32,0))))*(INDEX(avoidedcosttbl2,$H32,CH$2)+(($H32-ROUNDDOWN($H32,0))*(INDEX(avoidedcosttbl2,ROUNDUP($H32,0),CH$2)-(INDEX(avoidedcosttbl2,ROUNDDOWN($H32,0),CH$2)))))*ADRYr2!P32*ADRYr2!Q32*ADRYr2!U32)</f>
        <v/>
      </c>
      <c r="CI32" s="30" t="str">
        <f>IF($G32="","",$G32*(IF(ADRYr2!$AI32=BZ$4,ADRYr2!$AJ32,IF(ADRYr2!$AK32=BZ$4,ADRYr2!$AL32,IF(ADRYr2!$AM32=BZ$4,ADRYr2!$AN32,0))))*(INDEX(avoidedcosttbl2,$H32,CI$2)+(($H32-ROUNDDOWN($H32,0))*(INDEX(avoidedcosttbl2,ROUNDUP($H32,0),CI$2)-(INDEX(avoidedcosttbl2,ROUNDDOWN($H32,0),CI$2)))))*ADRYr2!P32*ADRYr2!Q32*ADRYr2!U32)</f>
        <v/>
      </c>
      <c r="CJ32" s="30" t="str">
        <f>IF($G32="","",$G32*(IF(ADRYr2!$AI32=CA$4,ADRYr2!$AJ32,IF(ADRYr2!$AK32=CA$4,ADRYr2!$AL32,IF(ADRYr2!$AM32=CA$4,ADRYr2!$AN32,0))))*(INDEX(avoidedcosttbl2,$H32,CJ$2)+(($H32-ROUNDDOWN($H32,0))*(INDEX(avoidedcosttbl2,ROUNDUP($H32,0),CJ$2)-(INDEX(avoidedcosttbl2,ROUNDDOWN($H32,0),CJ$2)))))*ADRYr2!P32*ADRYr2!Q32*ADRYr2!U32)</f>
        <v/>
      </c>
      <c r="CK32" s="30" t="str">
        <f>IF($G32="","",$G32*(IF(ADRYr2!$AI32=CB$4,ADRYr2!$AJ32,IF(ADRYr2!$AK32=CB$4,ADRYr2!$AL32,IF(ADRYr2!$AM32=CB$4,ADRYr2!$AN32,0))))*(INDEX(avoidedcosttbl2,$H32,CK$2)+(($H32-ROUNDDOWN($H32,0))*(INDEX(avoidedcosttbl2,ROUNDUP($H32,0),CK$2)-(INDEX(avoidedcosttbl2,ROUNDDOWN($H32,0),CK$2)))))*ADRYr2!P32*ADRYr2!Q32*ADRYr2!U32)</f>
        <v/>
      </c>
      <c r="CL32" s="30" t="str">
        <f>IF($G32="","",$G32*(IF(ADRYr2!$AI32=CC$4,ADRYr2!$AJ32,IF(ADRYr2!$AK32=CC$4,ADRYr2!$AL32,IF(ADRYr2!$AM32=CC$4,ADRYr2!$AN32,0))))*(INDEX(avoidedcosttbl2,$H32,CL$2)+(($H32-ROUNDDOWN($H32,0))*(INDEX(avoidedcosttbl2,ROUNDUP($H32,0),CL$2)-(INDEX(avoidedcosttbl2,ROUNDDOWN($H32,0),CL$2)))))*ADRYr2!P32*ADRYr2!Q32*ADRYr2!U32)</f>
        <v/>
      </c>
      <c r="CM32" s="30" t="str">
        <f>IF($G32="","",$G32*(IF(ADRYr2!$AI32=CD$4,ADRYr2!$AJ32,IF(ADRYr2!$AK32=CD$4,ADRYr2!$AL32,IF(ADRYr2!$AM32=CD$4,ADRYr2!$AN32,0))))*(INDEX(avoidedcosttbl2,$H32,CM$2)+(($H32-ROUNDDOWN($H32,0))*(INDEX(avoidedcosttbl2,ROUNDUP($H32,0),CM$2)-(INDEX(avoidedcosttbl2,ROUNDDOWN($H32,0),CM$2)))))*ADRYr2!P32*ADRYr2!Q32*ADRYr2!U32)</f>
        <v/>
      </c>
      <c r="CN32" s="30" t="str">
        <f>IF($G32="","",$G32*(IF(ADRYr2!$AI32=CE$4,ADRYr2!$AJ32,IF(ADRYr2!$AK32=CE$4,ADRYr2!$AL32,IF(ADRYr2!$AM32=CE$4,ADRYr2!$AN32,0))))*(INDEX(avoidedcosttbl2,$H32,CN$2)+(($H32-ROUNDDOWN($H32,0))*(INDEX(avoidedcosttbl2,ROUNDUP($H32,0),CN$2)-(INDEX(avoidedcosttbl2,ROUNDDOWN($H32,0),CN$2)))))*ADRYr2!P32*ADRYr2!Q32*ADRYr2!U32)</f>
        <v/>
      </c>
      <c r="CO32" s="220" t="str">
        <f t="shared" si="39"/>
        <v/>
      </c>
      <c r="CP32" s="220" t="str">
        <f t="shared" si="40"/>
        <v/>
      </c>
      <c r="CQ32" s="157" t="str">
        <f>IF($G32="","",$G32*(IF(ADRYr2!$AI32=CQ$4,ADRYr2!$AJ32,IF(ADRYr2!$AK32=CQ$4,ADRYr2!$AL32,IF(ADRYr2!$AM32=CQ$4,ADRYr2!$AN32,0))))*(INDEX(avoidedcosttbl2,$H32,CQ$2)+(($H32-ROUNDDOWN($H32,0))*(INDEX(avoidedcosttbl2,ROUNDUP($H32,0),CQ$2)-(INDEX(avoidedcosttbl2,ROUNDDOWN($H32,0),CQ$2)))))*ADRYr2!$P32*ADRYr2!$Q32*ADRYr2!$U32)</f>
        <v/>
      </c>
      <c r="CR32" s="28" t="str">
        <f>IF($G32="","",G32*(IF(ADRYr2!$AI32=CR$4,ADRYr2!$AJ32,IF(ADRYr2!$AK32=CR$4,ADRYr2!$AL32,IF(ADRYr2!$AM32=CR$4,ADRYr2!$AN32,0))))*(INDEX(avoidedcosttbl2,$H32,CR$2)+(($H32-ROUNDDOWN($H32,0))*(INDEX(avoidedcosttbl2,ROUNDUP($H32,0),CR$2)-(INDEX(avoidedcosttbl2,ROUNDDOWN($H32,0),CR$2)))))*ADRYr2!$P32*ADRYr2!$Q32*ADRYr2!$U32)</f>
        <v/>
      </c>
      <c r="CS32" s="28" t="str">
        <f>IF($G32="","",G32*(IF(ADRYr2!$AI32=CS$4,ADRYr2!$AJ32,IF(ADRYr2!$AK32=CS$4,ADRYr2!$AL32,IF(ADRYr2!$AM32=CS$4,ADRYr2!$AN32,0))))*(INDEX(avoidedcosttbl2,$H32,CS$2)+(($H32-ROUNDDOWN($H32,0))*(INDEX(avoidedcosttbl2,ROUNDUP($H32,0),CS$2)-(INDEX(avoidedcosttbl2,ROUNDDOWN($H32,0),CS$2)))))*ADRYr2!$P32*ADRYr2!$Q32*ADRYr2!$U32)</f>
        <v/>
      </c>
      <c r="CT32" s="28" t="str">
        <f t="shared" si="12"/>
        <v/>
      </c>
      <c r="CU32" s="28" t="str">
        <f>IF($G32="","",G32*(IF(ADRYr2!$AI32=CU$4,ADRYr2!$AJ32,IF(ADRYr2!$AK32=CU$4,ADRYr2!$AL32,IF(ADRYr2!$AM32=CU$4,ADRYr2!$AN32,0))))*(INDEX(avoidedcosttbl2,$H32,CU$2)+(($H32-ROUNDDOWN($H32,0))*(INDEX(avoidedcosttbl2,ROUNDUP($H32,0),CU$2)-(INDEX(avoidedcosttbl2,ROUNDDOWN($H32,0),CU$2)))))*ADRYr2!$P32*ADRYr2!$Q32*ADRYr2!$U32)</f>
        <v/>
      </c>
      <c r="CV32" s="28" t="str">
        <f>IF($G32="","",G32*(IF(ADRYr2!$AI32=CV$4,ADRYr2!$AJ32,IF(ADRYr2!$AK32=CV$4,ADRYr2!$AL32,IF(ADRYr2!$AM32=CV$4,ADRYr2!$AN32,0))))*(INDEX(avoidedcosttbl2,$H32,CV$2)+(($H32-ROUNDDOWN($H32,0))*(INDEX(avoidedcosttbl2,ROUNDUP($H32,0),CV$2)-(INDEX(avoidedcosttbl2,ROUNDDOWN($H32,0),CV$2)))))*ADRYr2!$P32*ADRYr2!$Q32*ADRYr2!$U32)</f>
        <v/>
      </c>
      <c r="CW32" s="28" t="str">
        <f>IF($G32="","",G32*(IF(ADRYr2!$AI32=CW$4,ADRYr2!$AJ32,IF(ADRYr2!$AK32=CW$4,ADRYr2!$AL32,IF(ADRYr2!$AM32=CW$4,ADRYr2!$AN32,0))))*(INDEX(avoidedcosttbl2,$H32,CW$2)+(($H32-ROUNDDOWN($H32,0))*(INDEX(avoidedcosttbl2,ROUNDUP($H32,0),CW$2)-(INDEX(avoidedcosttbl2,ROUNDDOWN($H32,0),CW$2)))))*ADRYr2!$P32*ADRYr2!$Q32*ADRYr2!$U32)</f>
        <v/>
      </c>
      <c r="CX32" s="28" t="str">
        <f>IF($G32="","",G32*(IF(ADRYr2!$AI32=CX$4,ADRYr2!$AJ32,IF(ADRYr2!$AK32=CX$4,ADRYr2!$AL32,IF(ADRYr2!$AM32=CX$4,ADRYr2!$AN32,0))))*(INDEX(avoidedcosttbl2,$H32,CX$2)+(($H32-ROUNDDOWN($H32,0))*(INDEX(avoidedcosttbl2,ROUNDUP($H32,0),CX$2)-(INDEX(avoidedcosttbl2,ROUNDDOWN($H32,0),CX$2)))))*ADRYr2!$P32*ADRYr2!$Q32*ADRYr2!$U32)</f>
        <v/>
      </c>
      <c r="CY32" s="28" t="str">
        <f t="shared" si="13"/>
        <v/>
      </c>
      <c r="CZ32" s="32" t="str">
        <f t="shared" si="14"/>
        <v/>
      </c>
      <c r="DA32" s="84" t="str">
        <f t="shared" si="41"/>
        <v/>
      </c>
      <c r="DB32" s="81" t="str">
        <f>IF(NEIadder="Yes",IF($G32="","",INDEX(Lookups!$G$70:$G$71,MATCH($A32,Lookups!$E$70:$E$71,0))*(SUM(CP32:CX32,BX32))),"")</f>
        <v/>
      </c>
      <c r="DC32" s="263" t="str">
        <f t="shared" si="15"/>
        <v/>
      </c>
      <c r="DD32" s="166" t="str">
        <f t="shared" si="16"/>
        <v/>
      </c>
      <c r="DE32" s="82">
        <f t="shared" si="42"/>
        <v>0</v>
      </c>
      <c r="DF32" s="615" t="str">
        <f>IF($G32="","",(1+WntPeakEnergyLL)*(INDEX(avoidedcosttbl2,$H32,DF$2)+(($H32-ROUNDDOWN($H32,0))*(INDEX(avoidedcosttbl2,ROUNDUP($H32,0),DF$2)-(INDEX(avoidedcosttbl2,ROUNDDOWN($H32,0),DF$2)))))*$P32*1000*ADRYr2!Z32)</f>
        <v/>
      </c>
      <c r="DG32" s="615" t="str">
        <f>IF($G32="","",(1+WntOffPeakEnergyLL)*(INDEX(avoidedcosttbl2,$H32,DG$2)+(($H32-ROUNDDOWN($H32,0))*(INDEX(avoidedcosttbl2,ROUNDUP($H32,0),DG$2)-(INDEX(avoidedcosttbl2,ROUNDDOWN($H32,0),DG$2)))))*$P32*1000*ADRYr2!AA32)</f>
        <v/>
      </c>
      <c r="DH32" s="615" t="str">
        <f>IF($G32="","",(1+SumPeakEnergyLL)*(INDEX(avoidedcosttbl2,$H32,DH$2)+(($H32-ROUNDDOWN($H32,0))*(INDEX(avoidedcosttbl2,ROUNDUP($H32,0),DH$2)-(INDEX(avoidedcosttbl2,ROUNDDOWN($H32,0),DH$2)))))*$P32*1000*ADRYr2!AB32)</f>
        <v/>
      </c>
      <c r="DI32" s="615" t="str">
        <f>IF($G32="","",(1+SumOffPeakEnergyLL)*(INDEX(avoidedcosttbl2,$H32,DI$2)+(($H32-ROUNDDOWN($H32,0))*(INDEX(avoidedcosttbl2,ROUNDUP($H32,0),DI$2)-(INDEX(avoidedcosttbl2,ROUNDDOWN($H32,0),DI$2)))))*$P32*1000*ADRYr2!AC32)</f>
        <v/>
      </c>
      <c r="DJ32" s="29" t="str">
        <f t="shared" si="43"/>
        <v/>
      </c>
      <c r="DK32" s="161" t="str">
        <f t="shared" si="44"/>
        <v/>
      </c>
      <c r="DL32" s="1189" t="str">
        <f t="shared" si="45"/>
        <v/>
      </c>
      <c r="DM32" s="1189" t="str">
        <f t="shared" si="46"/>
        <v/>
      </c>
      <c r="DN32" s="43" t="str">
        <f t="shared" si="47"/>
        <v/>
      </c>
      <c r="DO32" s="966" t="str">
        <f>IF($G32="","",ADRYr2!AQ32)</f>
        <v/>
      </c>
      <c r="DP32" s="968" t="str">
        <f>IF($G32="","",ADRYr2!AR32)</f>
        <v/>
      </c>
      <c r="DQ32" s="970" t="str">
        <f>IF($G32="","",IF($DP32="Yes",COLUMN(AESC!$L$10),IF($DP32="No","Using AvoidedDemand tab",IF($DP32="Mixed",COLUMN(AESC!$N$10)))))</f>
        <v/>
      </c>
      <c r="DR32" s="970" t="str">
        <f>IF($G32="","",IF($DP32="Yes",COLUMN(AESC!$P$10),IF($DP32="No","Using AvoidedDemand tab",IF($DP32="Mixed",COLUMN(AESC!$R$10)))))</f>
        <v/>
      </c>
      <c r="DS32" s="970" t="str">
        <f>IF($G32="","",IF($DP32="Yes",COLUMN(AESC!$S$10),IF($DP32="No",COLUMN(AESC!$T$10),IF($DP32="Mixed",COLUMN(AESC!$U$10)))))</f>
        <v/>
      </c>
      <c r="DT32" s="970" t="str">
        <f t="shared" si="48"/>
        <v/>
      </c>
      <c r="DU32" s="970" t="str">
        <f>IF($G32="","",ADRYr2!AS32)</f>
        <v/>
      </c>
      <c r="DV32" s="971" t="str">
        <f>IF($G32="","",ADRYr2!AT32)</f>
        <v/>
      </c>
      <c r="DW32" s="1162" t="str">
        <f>IF($G32="","",INDEX(AvoidedEnergy!$H$4:$H$10,MATCH($DO32,AvoidedEnergy!$A$4:$A$10,0)))</f>
        <v/>
      </c>
    </row>
    <row r="33" spans="1:127">
      <c r="A33" s="160" t="str">
        <f>IF(ADRYr2!$B33=0,"",ADRYr2!A33)</f>
        <v>C - Commercial &amp; Industrial</v>
      </c>
      <c r="B33" s="9" t="str">
        <f>IF(ADRYr2!$B33=0,"",ADRYr2!B33)</f>
        <v>C5 - C&amp;I Active Demand Response</v>
      </c>
      <c r="C33" s="9" t="str">
        <f>IF(ADRYr2!$B33=0,"",ADRYr2!C33)</f>
        <v>C5a - C&amp;I Active Demand Response</v>
      </c>
      <c r="D33" s="9" t="str">
        <f>IF(ADRYr2!$B33=0,"",ADRYr2!D33)</f>
        <v>Storage Daily Dispatch Upfront Incentive (savings) Winter</v>
      </c>
      <c r="E33" s="9">
        <f>IF(ADRYr2!$B33=0,"",ADRYr2!E33)</f>
        <v>0</v>
      </c>
      <c r="F33" s="11" t="str">
        <f>IF(ADRYr2!$B33=0,"",ADRYr2!F33)</f>
        <v>Behavior</v>
      </c>
      <c r="G33" s="12" t="str">
        <f>IF(ADRYr2!$G33&lt;&gt;0,ADRYr2!G33,"")</f>
        <v/>
      </c>
      <c r="H33" s="960" t="str">
        <f>IF($G33="","",ROUND(ADRYr2!H33,0))</f>
        <v/>
      </c>
      <c r="I33" s="47" t="str">
        <f>IF($G33="","",ADRYr2!I33*ADRYr2!P33*G33)</f>
        <v/>
      </c>
      <c r="J33" s="47" t="str">
        <f>IF($G33="","",ADRYr2!J33*G33)</f>
        <v/>
      </c>
      <c r="K33" s="47" t="str">
        <f t="shared" si="17"/>
        <v/>
      </c>
      <c r="L33" s="27" t="str">
        <f>IF($G33="","",ADRYr2!V33*G33/1000)</f>
        <v/>
      </c>
      <c r="M33" s="27" t="str">
        <f>IF($G33="","",L33*ADRYr2!$Q33*ADRYr2!$R33)</f>
        <v/>
      </c>
      <c r="N33" s="27" t="str">
        <f t="shared" si="18"/>
        <v/>
      </c>
      <c r="O33" s="27" t="str">
        <f t="shared" si="19"/>
        <v/>
      </c>
      <c r="P33" s="27" t="str">
        <f>IF($G33="","",M33*ADRYr2!P33)</f>
        <v/>
      </c>
      <c r="Q33" s="27" t="str">
        <f t="shared" si="20"/>
        <v/>
      </c>
      <c r="R33" s="27" t="str">
        <f>IF($G33="","",$Q33*ADRYr2!Z33)</f>
        <v/>
      </c>
      <c r="S33" s="27" t="str">
        <f>IF($G33="","",$Q33*ADRYr2!AA33)</f>
        <v/>
      </c>
      <c r="T33" s="27" t="str">
        <f>IF($G33="","",$Q33*ADRYr2!AB33)</f>
        <v/>
      </c>
      <c r="U33" s="27" t="str">
        <f>IF($G33="","",$Q33*ADRYr2!AC33)</f>
        <v/>
      </c>
      <c r="V33" s="27" t="str">
        <f>IF($G33="","",G33*ADRYr2!$AD33*ADRYr2!$P33*ADRYr2!$Q33)</f>
        <v/>
      </c>
      <c r="W33" s="27" t="str">
        <f>IF($G33="","",$G33*ADRYr2!$AD33*ADRYr2!$AF33*ADRYr2!Q33*ADRYr2!$S33)</f>
        <v/>
      </c>
      <c r="X33" s="27" t="str">
        <f>IF($G33="","",$G33*ADRYr2!$AD33*ADRYr2!$AF33*ADRYr2!P33*ADRYr2!Q33*ADRYr2!$S33)</f>
        <v/>
      </c>
      <c r="Y33" s="27" t="str">
        <f>IF($G33="","",$G33*ADRYr2!$AD33*ADRYr2!$AE33*ADRYr2!Q33*ADRYr2!$T33)</f>
        <v/>
      </c>
      <c r="Z33" s="27" t="str">
        <f>IF($G33="","",$G33*ADRYr2!$AD33*ADRYr2!$AE33*ADRYr2!P33*ADRYr2!Q33*ADRYr2!$T33)</f>
        <v/>
      </c>
      <c r="AA33" s="45" t="str">
        <f>IF($G33="","",$G33*ADRYr2!$Q33*ADRYr2!$U33*(IF(IFERROR(SEARCH("NG", ADRYr2!$AI33),0),ADRYr2!$AJ33,0)+IF(IFERROR(SEARCH("NG", ADRYr2!$AK33),0),ADRYr2!$AL33,0)+IF(IFERROR(SEARCH("NG", ADRYr2!$AM33),0),ADRYr2!$AN33,0)))</f>
        <v/>
      </c>
      <c r="AB33" s="45" t="str">
        <f t="shared" si="21"/>
        <v/>
      </c>
      <c r="AC33" s="45">
        <f>IF($G33="",0,AA33*ADRYr2!$P33)</f>
        <v>0</v>
      </c>
      <c r="AD33" s="45" t="str">
        <f t="shared" si="22"/>
        <v/>
      </c>
      <c r="AE33" s="45" t="str">
        <f>IF($G33="","",$G33*ADRYr2!$Q33*ADRYr2!$U33*(IF(IFERROR(SEARCH("Oil", ADRYr2!$AI33), 0),ADRYr2!$AJ33,0)+IF(IFERROR(SEARCH("Oil", ADRYr2!$AK33), 0),ADRYr2!$AL33,0)+IF(IFERROR(SEARCH("Oil", ADRYr2!$AM33), 0),ADRYr2!$AN33,0)))</f>
        <v/>
      </c>
      <c r="AF33" s="45" t="str">
        <f t="shared" si="23"/>
        <v/>
      </c>
      <c r="AG33" s="45">
        <f>IF($G33="",0,AE33*ADRYr2!$P33)</f>
        <v>0</v>
      </c>
      <c r="AH33" s="45" t="str">
        <f t="shared" si="24"/>
        <v/>
      </c>
      <c r="AI33" s="45" t="str">
        <f>IF($G33="","",$G33*ADRYr2!$Q33*ADRYr2!$U33*(IF(ADRYr2!$AI33=Lookups!$E$116,ADRYr2!$AJ33,IF(ADRYr2!$AK33=Lookups!$E$116,ADRYr2!$AL33,IF(ADRYr2!$AM33=Lookups!$E$116,ADRYr2!$AN33,0)))))</f>
        <v/>
      </c>
      <c r="AJ33" s="45" t="str">
        <f t="shared" si="25"/>
        <v/>
      </c>
      <c r="AK33" s="45">
        <f>IF($G33="",0,AI33*ADRYr2!$P33)</f>
        <v>0</v>
      </c>
      <c r="AL33" s="45" t="str">
        <f t="shared" si="26"/>
        <v/>
      </c>
      <c r="AM33" s="45" t="str">
        <f>IF($G33="","",$G33*ADRYr2!$Q33*ADRYr2!$U33*(IF(ADRYr2!$AI33=Lookups!$E$115,ADRYr2!$AJ33,IF(ADRYr2!$AK33=Lookups!$E$115,ADRYr2!$AL33,IF(ADRYr2!$AM33=Lookups!$E$115,ADRYr2!$AN33,0)))))</f>
        <v/>
      </c>
      <c r="AN33" s="45" t="str">
        <f t="shared" si="27"/>
        <v/>
      </c>
      <c r="AO33" s="45">
        <f>IF($G33="",0,AM33*ADRYr2!$P33)</f>
        <v>0</v>
      </c>
      <c r="AP33" s="45" t="str">
        <f t="shared" si="28"/>
        <v/>
      </c>
      <c r="AQ33" s="45" t="str">
        <f>IF($G33="","",$G33*ADRYr2!$Q33*ADRYr2!$U33*(IF(ADRYr2!$AI33=Lookups!$E$117,ADRYr2!$AJ33,IF(ADRYr2!$AK33=Lookups!$E$117,ADRYr2!$AL33,IF(ADRYr2!$AM33=Lookups!$E$117,ADRYr2!$AN33,0)))))</f>
        <v/>
      </c>
      <c r="AR33" s="45" t="str">
        <f t="shared" si="29"/>
        <v/>
      </c>
      <c r="AS33" s="45" t="str">
        <f>IF($G33="","",AQ33*ADRYr2!$P33)</f>
        <v/>
      </c>
      <c r="AT33" s="45" t="str">
        <f t="shared" si="30"/>
        <v/>
      </c>
      <c r="AU33" s="45" t="str">
        <f>IF($G33="","",$G33*ADRYr2!$Q33*ADRYr2!$U33*(IF(ADRYr2!$AI33=Lookups!$E$118,ADRYr2!$AJ33,IF(ADRYr2!$AK33=Lookups!$E$118,ADRYr2!$AL33,IF(ADRYr2!$AM33=Lookups!$E$118,ADRYr2!$AN33,0)))))</f>
        <v/>
      </c>
      <c r="AV33" s="45" t="str">
        <f t="shared" si="31"/>
        <v/>
      </c>
      <c r="AW33" s="45" t="str">
        <f>IF($G33="","",AU33*ADRYr2!$P33)</f>
        <v/>
      </c>
      <c r="AX33" s="45" t="str">
        <f t="shared" si="32"/>
        <v/>
      </c>
      <c r="AY33" s="45">
        <f t="shared" si="49"/>
        <v>0</v>
      </c>
      <c r="AZ33" s="45">
        <f t="shared" si="49"/>
        <v>0</v>
      </c>
      <c r="BA33" s="101" t="str">
        <f>IF($G33="","",$G33*ADRYr2!$P33*ADRYr2!$Q33*ADRYr2!$U33*ADRYr2!AO33)</f>
        <v/>
      </c>
      <c r="BB33" s="102" t="str">
        <f>IF($G33="","",$G33*ADRYr2!$P33*ADRYr2!$Q33*ADRYr2!$U33*ADRYr2!AP33)</f>
        <v/>
      </c>
      <c r="BC33" s="100" t="str">
        <f t="shared" si="34"/>
        <v/>
      </c>
      <c r="BD33" s="961"/>
      <c r="BE33" s="961"/>
      <c r="BF33" s="961"/>
      <c r="BG33" s="961"/>
      <c r="BH33" s="962" t="str">
        <f t="shared" si="3"/>
        <v/>
      </c>
      <c r="BI33" s="961"/>
      <c r="BJ33" s="961"/>
      <c r="BK33" s="961"/>
      <c r="BL33" s="961"/>
      <c r="BM33" s="30" t="str">
        <f t="shared" si="4"/>
        <v/>
      </c>
      <c r="BN33" s="963" t="str">
        <f t="shared" si="5"/>
        <v/>
      </c>
      <c r="BO33" s="31" t="str">
        <f t="shared" si="35"/>
        <v/>
      </c>
      <c r="BP33" s="964" t="str">
        <f t="shared" si="6"/>
        <v/>
      </c>
      <c r="BQ33" s="28" t="str">
        <f t="shared" si="7"/>
        <v/>
      </c>
      <c r="BR33" s="964" t="str">
        <f t="shared" si="8"/>
        <v/>
      </c>
      <c r="BS33" s="964" t="str">
        <f t="shared" si="9"/>
        <v/>
      </c>
      <c r="BT33" s="28" t="str">
        <f t="shared" si="50"/>
        <v/>
      </c>
      <c r="BU33" s="28" t="str">
        <f t="shared" si="50"/>
        <v/>
      </c>
      <c r="BV33" s="28" t="str">
        <f t="shared" si="50"/>
        <v/>
      </c>
      <c r="BW33" s="29" t="str">
        <f t="shared" si="36"/>
        <v/>
      </c>
      <c r="BX33" s="29" t="str">
        <f t="shared" si="37"/>
        <v/>
      </c>
      <c r="BY33" s="28" t="str">
        <f>IF($G33="","",$G33*(IF(ADRYr2!$AI33=BY$4,ADRYr2!$AJ33,IF(ADRYr2!$AK33=BY$4,ADRYr2!$AL33,IF(ADRYr2!$AM33=BY$4,ADRYr2!$AN33,0))))*(INDEX(avoidedcosttbl2,$H33,BY$2)+(($H33-ROUNDDOWN($H33,0))*(INDEX(avoidedcosttbl2,ROUNDUP($H33,0),BY$2)-(INDEX(avoidedcosttbl2,ROUNDDOWN($H33,0),BY$2)))))*ADRYr2!P33*ADRYr2!Q33*ADRYr2!U33)</f>
        <v/>
      </c>
      <c r="BZ33" s="28" t="str">
        <f>IF($G33="","",$G33*(IF(ADRYr2!$AI33=BZ$4,ADRYr2!$AJ33,IF(ADRYr2!$AK33=BZ$4,ADRYr2!$AL33,IF(ADRYr2!$AM33=BZ$4,ADRYr2!$AN33,0))))*(INDEX(avoidedcosttbl2,$H33,BZ$2)+(($H33-ROUNDDOWN($H33,0))*(INDEX(avoidedcosttbl2,ROUNDUP($H33,0),BZ$2)-(INDEX(avoidedcosttbl2,ROUNDDOWN($H33,0),BZ$2)))))*ADRYr2!P33*ADRYr2!Q33*ADRYr2!U33)</f>
        <v/>
      </c>
      <c r="CA33" s="28" t="str">
        <f>IF($G33="","",$G33*(IF(ADRYr2!$AI33=CA$4,ADRYr2!$AJ33,IF(ADRYr2!$AK33=CA$4,ADRYr2!$AL33,IF(ADRYr2!$AM33=CA$4,ADRYr2!$AN33,0))))*(INDEX(avoidedcosttbl2,$H33,CA$2)+(($H33-ROUNDDOWN($H33,0))*(INDEX(avoidedcosttbl2,ROUNDUP($H33,0),CA$2)-(INDEX(avoidedcosttbl2,ROUNDDOWN($H33,0),CA$2)))))*ADRYr2!P33*ADRYr2!Q33*ADRYr2!U33)</f>
        <v/>
      </c>
      <c r="CB33" s="28" t="str">
        <f>IF($G33="","",$G33*(IF(ADRYr2!$AI33=CB$4,ADRYr2!$AJ33,IF(ADRYr2!$AK33=CB$4,ADRYr2!$AL33,IF(ADRYr2!$AM33=CB$4,ADRYr2!$AN33,0))))*(INDEX(avoidedcosttbl2,$H33,CB$2)+(($H33-ROUNDDOWN($H33,0))*(INDEX(avoidedcosttbl2,ROUNDUP($H33,0),CB$2)-(INDEX(avoidedcosttbl2,ROUNDDOWN($H33,0),CB$2)))))*ADRYr2!P33*ADRYr2!Q33*ADRYr2!U33)</f>
        <v/>
      </c>
      <c r="CC33" s="28" t="str">
        <f>IF($G33="","",$G33*(IF(ADRYr2!$AI33=CC$4,ADRYr2!$AJ33,IF(ADRYr2!$AK33=CC$4,ADRYr2!$AL33,IF(ADRYr2!$AM33=CC$4,ADRYr2!$AN33,0))))*(INDEX(avoidedcosttbl2,$H33,CC$2)+(($H33-ROUNDDOWN($H33,0))*(INDEX(avoidedcosttbl2,ROUNDUP($H33,0),CC$2)-(INDEX(avoidedcosttbl2,ROUNDDOWN($H33,0),CC$2)))))*ADRYr2!P33*ADRYr2!Q33*ADRYr2!U33)</f>
        <v/>
      </c>
      <c r="CD33" s="28" t="str">
        <f>IF($G33="","",$G33*(IF(ADRYr2!$AI33=CD$4,ADRYr2!$AJ33,IF(ADRYr2!$AK33=CD$4,ADRYr2!$AL33,IF(ADRYr2!$AM33=CD$4,ADRYr2!$AN33,0))))*(INDEX(avoidedcosttbl2,$H33,CD$2)+(($H33-ROUNDDOWN($H33,0))*(INDEX(avoidedcosttbl2,ROUNDUP($H33,0),CD$2)-(INDEX(avoidedcosttbl2,ROUNDDOWN($H33,0),CD$2)))))*ADRYr2!P33*ADRYr2!Q33*ADRYr2!U33)</f>
        <v/>
      </c>
      <c r="CE33" s="28" t="str">
        <f>IF($G33="","",$G33*(IF(ADRYr2!$AI33=CE$4,ADRYr2!$AJ33,IF(ADRYr2!$AK33=CE$4,ADRYr2!$AL33,IF(ADRYr2!$AM33=CE$4,ADRYr2!$AN33,0))))*(INDEX(avoidedcosttbl2,$H33,CE$2)+(($H33-ROUNDDOWN($H33,0))*(INDEX(avoidedcosttbl2,ROUNDUP($H33,0),CE$2)-(INDEX(avoidedcosttbl2,ROUNDDOWN($H33,0),CE$2)))))*ADRYr2!P33*ADRYr2!Q33*ADRYr2!U33)</f>
        <v/>
      </c>
      <c r="CF33" s="41" t="str">
        <f t="shared" si="38"/>
        <v/>
      </c>
      <c r="CG33" s="30" t="str">
        <f t="shared" si="11"/>
        <v/>
      </c>
      <c r="CH33" s="30" t="str">
        <f>IF($G33="","",$G33*(IF(ADRYr2!$AI33=BY$4,ADRYr2!$AJ33,IF(ADRYr2!$AK33=BY$4,ADRYr2!$AL33,IF(ADRYr2!$AM33=BY$4,ADRYr2!$AN33,0))))*(INDEX(avoidedcosttbl2,$H33,CH$2)+(($H33-ROUNDDOWN($H33,0))*(INDEX(avoidedcosttbl2,ROUNDUP($H33,0),CH$2)-(INDEX(avoidedcosttbl2,ROUNDDOWN($H33,0),CH$2)))))*ADRYr2!P33*ADRYr2!Q33*ADRYr2!U33)</f>
        <v/>
      </c>
      <c r="CI33" s="30" t="str">
        <f>IF($G33="","",$G33*(IF(ADRYr2!$AI33=BZ$4,ADRYr2!$AJ33,IF(ADRYr2!$AK33=BZ$4,ADRYr2!$AL33,IF(ADRYr2!$AM33=BZ$4,ADRYr2!$AN33,0))))*(INDEX(avoidedcosttbl2,$H33,CI$2)+(($H33-ROUNDDOWN($H33,0))*(INDEX(avoidedcosttbl2,ROUNDUP($H33,0),CI$2)-(INDEX(avoidedcosttbl2,ROUNDDOWN($H33,0),CI$2)))))*ADRYr2!P33*ADRYr2!Q33*ADRYr2!U33)</f>
        <v/>
      </c>
      <c r="CJ33" s="30" t="str">
        <f>IF($G33="","",$G33*(IF(ADRYr2!$AI33=CA$4,ADRYr2!$AJ33,IF(ADRYr2!$AK33=CA$4,ADRYr2!$AL33,IF(ADRYr2!$AM33=CA$4,ADRYr2!$AN33,0))))*(INDEX(avoidedcosttbl2,$H33,CJ$2)+(($H33-ROUNDDOWN($H33,0))*(INDEX(avoidedcosttbl2,ROUNDUP($H33,0),CJ$2)-(INDEX(avoidedcosttbl2,ROUNDDOWN($H33,0),CJ$2)))))*ADRYr2!P33*ADRYr2!Q33*ADRYr2!U33)</f>
        <v/>
      </c>
      <c r="CK33" s="30" t="str">
        <f>IF($G33="","",$G33*(IF(ADRYr2!$AI33=CB$4,ADRYr2!$AJ33,IF(ADRYr2!$AK33=CB$4,ADRYr2!$AL33,IF(ADRYr2!$AM33=CB$4,ADRYr2!$AN33,0))))*(INDEX(avoidedcosttbl2,$H33,CK$2)+(($H33-ROUNDDOWN($H33,0))*(INDEX(avoidedcosttbl2,ROUNDUP($H33,0),CK$2)-(INDEX(avoidedcosttbl2,ROUNDDOWN($H33,0),CK$2)))))*ADRYr2!P33*ADRYr2!Q33*ADRYr2!U33)</f>
        <v/>
      </c>
      <c r="CL33" s="30" t="str">
        <f>IF($G33="","",$G33*(IF(ADRYr2!$AI33=CC$4,ADRYr2!$AJ33,IF(ADRYr2!$AK33=CC$4,ADRYr2!$AL33,IF(ADRYr2!$AM33=CC$4,ADRYr2!$AN33,0))))*(INDEX(avoidedcosttbl2,$H33,CL$2)+(($H33-ROUNDDOWN($H33,0))*(INDEX(avoidedcosttbl2,ROUNDUP($H33,0),CL$2)-(INDEX(avoidedcosttbl2,ROUNDDOWN($H33,0),CL$2)))))*ADRYr2!P33*ADRYr2!Q33*ADRYr2!U33)</f>
        <v/>
      </c>
      <c r="CM33" s="30" t="str">
        <f>IF($G33="","",$G33*(IF(ADRYr2!$AI33=CD$4,ADRYr2!$AJ33,IF(ADRYr2!$AK33=CD$4,ADRYr2!$AL33,IF(ADRYr2!$AM33=CD$4,ADRYr2!$AN33,0))))*(INDEX(avoidedcosttbl2,$H33,CM$2)+(($H33-ROUNDDOWN($H33,0))*(INDEX(avoidedcosttbl2,ROUNDUP($H33,0),CM$2)-(INDEX(avoidedcosttbl2,ROUNDDOWN($H33,0),CM$2)))))*ADRYr2!P33*ADRYr2!Q33*ADRYr2!U33)</f>
        <v/>
      </c>
      <c r="CN33" s="30" t="str">
        <f>IF($G33="","",$G33*(IF(ADRYr2!$AI33=CE$4,ADRYr2!$AJ33,IF(ADRYr2!$AK33=CE$4,ADRYr2!$AL33,IF(ADRYr2!$AM33=CE$4,ADRYr2!$AN33,0))))*(INDEX(avoidedcosttbl2,$H33,CN$2)+(($H33-ROUNDDOWN($H33,0))*(INDEX(avoidedcosttbl2,ROUNDUP($H33,0),CN$2)-(INDEX(avoidedcosttbl2,ROUNDDOWN($H33,0),CN$2)))))*ADRYr2!P33*ADRYr2!Q33*ADRYr2!U33)</f>
        <v/>
      </c>
      <c r="CO33" s="220" t="str">
        <f t="shared" si="39"/>
        <v/>
      </c>
      <c r="CP33" s="220" t="str">
        <f t="shared" si="40"/>
        <v/>
      </c>
      <c r="CQ33" s="157" t="str">
        <f>IF($G33="","",$G33*(IF(ADRYr2!$AI33=CQ$4,ADRYr2!$AJ33,IF(ADRYr2!$AK33=CQ$4,ADRYr2!$AL33,IF(ADRYr2!$AM33=CQ$4,ADRYr2!$AN33,0))))*(INDEX(avoidedcosttbl2,$H33,CQ$2)+(($H33-ROUNDDOWN($H33,0))*(INDEX(avoidedcosttbl2,ROUNDUP($H33,0),CQ$2)-(INDEX(avoidedcosttbl2,ROUNDDOWN($H33,0),CQ$2)))))*ADRYr2!$P33*ADRYr2!$Q33*ADRYr2!$U33)</f>
        <v/>
      </c>
      <c r="CR33" s="28" t="str">
        <f>IF($G33="","",G33*(IF(ADRYr2!$AI33=CR$4,ADRYr2!$AJ33,IF(ADRYr2!$AK33=CR$4,ADRYr2!$AL33,IF(ADRYr2!$AM33=CR$4,ADRYr2!$AN33,0))))*(INDEX(avoidedcosttbl2,$H33,CR$2)+(($H33-ROUNDDOWN($H33,0))*(INDEX(avoidedcosttbl2,ROUNDUP($H33,0),CR$2)-(INDEX(avoidedcosttbl2,ROUNDDOWN($H33,0),CR$2)))))*ADRYr2!$P33*ADRYr2!$Q33*ADRYr2!$U33)</f>
        <v/>
      </c>
      <c r="CS33" s="28" t="str">
        <f>IF($G33="","",G33*(IF(ADRYr2!$AI33=CS$4,ADRYr2!$AJ33,IF(ADRYr2!$AK33=CS$4,ADRYr2!$AL33,IF(ADRYr2!$AM33=CS$4,ADRYr2!$AN33,0))))*(INDEX(avoidedcosttbl2,$H33,CS$2)+(($H33-ROUNDDOWN($H33,0))*(INDEX(avoidedcosttbl2,ROUNDUP($H33,0),CS$2)-(INDEX(avoidedcosttbl2,ROUNDDOWN($H33,0),CS$2)))))*ADRYr2!$P33*ADRYr2!$Q33*ADRYr2!$U33)</f>
        <v/>
      </c>
      <c r="CT33" s="28" t="str">
        <f t="shared" si="12"/>
        <v/>
      </c>
      <c r="CU33" s="28" t="str">
        <f>IF($G33="","",G33*(IF(ADRYr2!$AI33=CU$4,ADRYr2!$AJ33,IF(ADRYr2!$AK33=CU$4,ADRYr2!$AL33,IF(ADRYr2!$AM33=CU$4,ADRYr2!$AN33,0))))*(INDEX(avoidedcosttbl2,$H33,CU$2)+(($H33-ROUNDDOWN($H33,0))*(INDEX(avoidedcosttbl2,ROUNDUP($H33,0),CU$2)-(INDEX(avoidedcosttbl2,ROUNDDOWN($H33,0),CU$2)))))*ADRYr2!$P33*ADRYr2!$Q33*ADRYr2!$U33)</f>
        <v/>
      </c>
      <c r="CV33" s="28" t="str">
        <f>IF($G33="","",G33*(IF(ADRYr2!$AI33=CV$4,ADRYr2!$AJ33,IF(ADRYr2!$AK33=CV$4,ADRYr2!$AL33,IF(ADRYr2!$AM33=CV$4,ADRYr2!$AN33,0))))*(INDEX(avoidedcosttbl2,$H33,CV$2)+(($H33-ROUNDDOWN($H33,0))*(INDEX(avoidedcosttbl2,ROUNDUP($H33,0),CV$2)-(INDEX(avoidedcosttbl2,ROUNDDOWN($H33,0),CV$2)))))*ADRYr2!$P33*ADRYr2!$Q33*ADRYr2!$U33)</f>
        <v/>
      </c>
      <c r="CW33" s="28" t="str">
        <f>IF($G33="","",G33*(IF(ADRYr2!$AI33=CW$4,ADRYr2!$AJ33,IF(ADRYr2!$AK33=CW$4,ADRYr2!$AL33,IF(ADRYr2!$AM33=CW$4,ADRYr2!$AN33,0))))*(INDEX(avoidedcosttbl2,$H33,CW$2)+(($H33-ROUNDDOWN($H33,0))*(INDEX(avoidedcosttbl2,ROUNDUP($H33,0),CW$2)-(INDEX(avoidedcosttbl2,ROUNDDOWN($H33,0),CW$2)))))*ADRYr2!$P33*ADRYr2!$Q33*ADRYr2!$U33)</f>
        <v/>
      </c>
      <c r="CX33" s="28" t="str">
        <f>IF($G33="","",G33*(IF(ADRYr2!$AI33=CX$4,ADRYr2!$AJ33,IF(ADRYr2!$AK33=CX$4,ADRYr2!$AL33,IF(ADRYr2!$AM33=CX$4,ADRYr2!$AN33,0))))*(INDEX(avoidedcosttbl2,$H33,CX$2)+(($H33-ROUNDDOWN($H33,0))*(INDEX(avoidedcosttbl2,ROUNDUP($H33,0),CX$2)-(INDEX(avoidedcosttbl2,ROUNDDOWN($H33,0),CX$2)))))*ADRYr2!$P33*ADRYr2!$Q33*ADRYr2!$U33)</f>
        <v/>
      </c>
      <c r="CY33" s="28" t="str">
        <f t="shared" si="13"/>
        <v/>
      </c>
      <c r="CZ33" s="32" t="str">
        <f t="shared" si="14"/>
        <v/>
      </c>
      <c r="DA33" s="84" t="str">
        <f t="shared" si="41"/>
        <v/>
      </c>
      <c r="DB33" s="81" t="str">
        <f>IF(NEIadder="Yes",IF($G33="","",INDEX(Lookups!$G$70:$G$71,MATCH($A33,Lookups!$E$70:$E$71,0))*(SUM(CP33:CX33,BX33))),"")</f>
        <v/>
      </c>
      <c r="DC33" s="263" t="str">
        <f t="shared" si="15"/>
        <v/>
      </c>
      <c r="DD33" s="166" t="str">
        <f t="shared" si="16"/>
        <v/>
      </c>
      <c r="DE33" s="82">
        <f t="shared" si="42"/>
        <v>0</v>
      </c>
      <c r="DF33" s="615" t="str">
        <f>IF($G33="","",(1+WntPeakEnergyLL)*(INDEX(avoidedcosttbl2,$H33,DF$2)+(($H33-ROUNDDOWN($H33,0))*(INDEX(avoidedcosttbl2,ROUNDUP($H33,0),DF$2)-(INDEX(avoidedcosttbl2,ROUNDDOWN($H33,0),DF$2)))))*$P33*1000*ADRYr2!Z33)</f>
        <v/>
      </c>
      <c r="DG33" s="615" t="str">
        <f>IF($G33="","",(1+WntOffPeakEnergyLL)*(INDEX(avoidedcosttbl2,$H33,DG$2)+(($H33-ROUNDDOWN($H33,0))*(INDEX(avoidedcosttbl2,ROUNDUP($H33,0),DG$2)-(INDEX(avoidedcosttbl2,ROUNDDOWN($H33,0),DG$2)))))*$P33*1000*ADRYr2!AA33)</f>
        <v/>
      </c>
      <c r="DH33" s="615" t="str">
        <f>IF($G33="","",(1+SumPeakEnergyLL)*(INDEX(avoidedcosttbl2,$H33,DH$2)+(($H33-ROUNDDOWN($H33,0))*(INDEX(avoidedcosttbl2,ROUNDUP($H33,0),DH$2)-(INDEX(avoidedcosttbl2,ROUNDDOWN($H33,0),DH$2)))))*$P33*1000*ADRYr2!AB33)</f>
        <v/>
      </c>
      <c r="DI33" s="615" t="str">
        <f>IF($G33="","",(1+SumOffPeakEnergyLL)*(INDEX(avoidedcosttbl2,$H33,DI$2)+(($H33-ROUNDDOWN($H33,0))*(INDEX(avoidedcosttbl2,ROUNDUP($H33,0),DI$2)-(INDEX(avoidedcosttbl2,ROUNDDOWN($H33,0),DI$2)))))*$P33*1000*ADRYr2!AC33)</f>
        <v/>
      </c>
      <c r="DJ33" s="29" t="str">
        <f t="shared" si="43"/>
        <v/>
      </c>
      <c r="DK33" s="161" t="str">
        <f t="shared" si="44"/>
        <v/>
      </c>
      <c r="DL33" s="1189" t="str">
        <f t="shared" si="45"/>
        <v/>
      </c>
      <c r="DM33" s="1189" t="str">
        <f t="shared" si="46"/>
        <v/>
      </c>
      <c r="DN33" s="43" t="str">
        <f t="shared" si="47"/>
        <v/>
      </c>
      <c r="DO33" s="966" t="str">
        <f>IF($G33="","",ADRYr2!AQ33)</f>
        <v/>
      </c>
      <c r="DP33" s="968" t="str">
        <f>IF($G33="","",ADRYr2!AR33)</f>
        <v/>
      </c>
      <c r="DQ33" s="970" t="str">
        <f>IF($G33="","",IF($DP33="Yes",COLUMN(AESC!$L$10),IF($DP33="No","Using AvoidedDemand tab",IF($DP33="Mixed",COLUMN(AESC!$N$10)))))</f>
        <v/>
      </c>
      <c r="DR33" s="970" t="str">
        <f>IF($G33="","",IF($DP33="Yes",COLUMN(AESC!$P$10),IF($DP33="No","Using AvoidedDemand tab",IF($DP33="Mixed",COLUMN(AESC!$R$10)))))</f>
        <v/>
      </c>
      <c r="DS33" s="970" t="str">
        <f>IF($G33="","",IF($DP33="Yes",COLUMN(AESC!$S$10),IF($DP33="No",COLUMN(AESC!$T$10),IF($DP33="Mixed",COLUMN(AESC!$U$10)))))</f>
        <v/>
      </c>
      <c r="DT33" s="970" t="str">
        <f t="shared" si="48"/>
        <v/>
      </c>
      <c r="DU33" s="970" t="str">
        <f>IF($G33="","",ADRYr2!AS33)</f>
        <v/>
      </c>
      <c r="DV33" s="971" t="str">
        <f>IF($G33="","",ADRYr2!AT33)</f>
        <v/>
      </c>
      <c r="DW33" s="1162" t="str">
        <f>IF($G33="","",INDEX(AvoidedEnergy!$H$4:$H$10,MATCH($DO33,AvoidedEnergy!$A$4:$A$10,0)))</f>
        <v/>
      </c>
    </row>
    <row r="34" spans="1:127">
      <c r="A34" s="160" t="str">
        <f>IF(ADRYr2!$B34=0,"",ADRYr2!A34)</f>
        <v>C - Commercial &amp; Industrial</v>
      </c>
      <c r="B34" s="9" t="str">
        <f>IF(ADRYr2!$B34=0,"",ADRYr2!B34)</f>
        <v>C5 - C&amp;I Active Demand Response</v>
      </c>
      <c r="C34" s="9" t="str">
        <f>IF(ADRYr2!$B34=0,"",ADRYr2!C34)</f>
        <v>C5a - C&amp;I Active Demand Response</v>
      </c>
      <c r="D34" s="9" t="str">
        <f>IF(ADRYr2!$B34=0,"",ADRYr2!D34)</f>
        <v>Storage Daily Dispatch Upfront Incentive (consumption) Winter</v>
      </c>
      <c r="E34" s="9">
        <f>IF(ADRYr2!$B34=0,"",ADRYr2!E34)</f>
        <v>0</v>
      </c>
      <c r="F34" s="11" t="str">
        <f>IF(ADRYr2!$B34=0,"",ADRYr2!F34)</f>
        <v>Behavior</v>
      </c>
      <c r="G34" s="12" t="str">
        <f>IF(ADRYr2!$G34&lt;&gt;0,ADRYr2!G34,"")</f>
        <v/>
      </c>
      <c r="H34" s="960" t="str">
        <f>IF($G34="","",ROUND(ADRYr2!H34,0))</f>
        <v/>
      </c>
      <c r="I34" s="47" t="str">
        <f>IF($G34="","",ADRYr2!I34*ADRYr2!P34*G34)</f>
        <v/>
      </c>
      <c r="J34" s="47" t="str">
        <f>IF($G34="","",ADRYr2!J34*G34)</f>
        <v/>
      </c>
      <c r="K34" s="47" t="str">
        <f t="shared" si="17"/>
        <v/>
      </c>
      <c r="L34" s="27" t="str">
        <f>IF($G34="","",ADRYr2!V34*G34/1000)</f>
        <v/>
      </c>
      <c r="M34" s="27" t="str">
        <f>IF($G34="","",L34*ADRYr2!$Q34*ADRYr2!$R34)</f>
        <v/>
      </c>
      <c r="N34" s="27" t="str">
        <f t="shared" si="18"/>
        <v/>
      </c>
      <c r="O34" s="27" t="str">
        <f t="shared" si="19"/>
        <v/>
      </c>
      <c r="P34" s="27" t="str">
        <f>IF($G34="","",M34*ADRYr2!P34)</f>
        <v/>
      </c>
      <c r="Q34" s="27" t="str">
        <f t="shared" si="20"/>
        <v/>
      </c>
      <c r="R34" s="27" t="str">
        <f>IF($G34="","",$Q34*ADRYr2!Z34)</f>
        <v/>
      </c>
      <c r="S34" s="27" t="str">
        <f>IF($G34="","",$Q34*ADRYr2!AA34)</f>
        <v/>
      </c>
      <c r="T34" s="27" t="str">
        <f>IF($G34="","",$Q34*ADRYr2!AB34)</f>
        <v/>
      </c>
      <c r="U34" s="27" t="str">
        <f>IF($G34="","",$Q34*ADRYr2!AC34)</f>
        <v/>
      </c>
      <c r="V34" s="27" t="str">
        <f>IF($G34="","",G34*ADRYr2!$AD34*ADRYr2!$P34*ADRYr2!$Q34)</f>
        <v/>
      </c>
      <c r="W34" s="27" t="str">
        <f>IF($G34="","",$G34*ADRYr2!$AD34*ADRYr2!$AF34*ADRYr2!Q34*ADRYr2!$S34)</f>
        <v/>
      </c>
      <c r="X34" s="27" t="str">
        <f>IF($G34="","",$G34*ADRYr2!$AD34*ADRYr2!$AF34*ADRYr2!P34*ADRYr2!Q34*ADRYr2!$S34)</f>
        <v/>
      </c>
      <c r="Y34" s="27" t="str">
        <f>IF($G34="","",$G34*ADRYr2!$AD34*ADRYr2!$AE34*ADRYr2!Q34*ADRYr2!$T34)</f>
        <v/>
      </c>
      <c r="Z34" s="27" t="str">
        <f>IF($G34="","",$G34*ADRYr2!$AD34*ADRYr2!$AE34*ADRYr2!P34*ADRYr2!Q34*ADRYr2!$T34)</f>
        <v/>
      </c>
      <c r="AA34" s="45" t="str">
        <f>IF($G34="","",$G34*ADRYr2!$Q34*ADRYr2!$U34*(IF(IFERROR(SEARCH("NG", ADRYr2!$AI34),0),ADRYr2!$AJ34,0)+IF(IFERROR(SEARCH("NG", ADRYr2!$AK34),0),ADRYr2!$AL34,0)+IF(IFERROR(SEARCH("NG", ADRYr2!$AM34),0),ADRYr2!$AN34,0)))</f>
        <v/>
      </c>
      <c r="AB34" s="45" t="str">
        <f t="shared" si="21"/>
        <v/>
      </c>
      <c r="AC34" s="45">
        <f>IF($G34="",0,AA34*ADRYr2!$P34)</f>
        <v>0</v>
      </c>
      <c r="AD34" s="45" t="str">
        <f t="shared" si="22"/>
        <v/>
      </c>
      <c r="AE34" s="45" t="str">
        <f>IF($G34="","",$G34*ADRYr2!$Q34*ADRYr2!$U34*(IF(IFERROR(SEARCH("Oil", ADRYr2!$AI34), 0),ADRYr2!$AJ34,0)+IF(IFERROR(SEARCH("Oil", ADRYr2!$AK34), 0),ADRYr2!$AL34,0)+IF(IFERROR(SEARCH("Oil", ADRYr2!$AM34), 0),ADRYr2!$AN34,0)))</f>
        <v/>
      </c>
      <c r="AF34" s="45" t="str">
        <f t="shared" si="23"/>
        <v/>
      </c>
      <c r="AG34" s="45">
        <f>IF($G34="",0,AE34*ADRYr2!$P34)</f>
        <v>0</v>
      </c>
      <c r="AH34" s="45" t="str">
        <f t="shared" si="24"/>
        <v/>
      </c>
      <c r="AI34" s="45" t="str">
        <f>IF($G34="","",$G34*ADRYr2!$Q34*ADRYr2!$U34*(IF(ADRYr2!$AI34=Lookups!$E$116,ADRYr2!$AJ34,IF(ADRYr2!$AK34=Lookups!$E$116,ADRYr2!$AL34,IF(ADRYr2!$AM34=Lookups!$E$116,ADRYr2!$AN34,0)))))</f>
        <v/>
      </c>
      <c r="AJ34" s="45" t="str">
        <f t="shared" si="25"/>
        <v/>
      </c>
      <c r="AK34" s="45">
        <f>IF($G34="",0,AI34*ADRYr2!$P34)</f>
        <v>0</v>
      </c>
      <c r="AL34" s="45" t="str">
        <f t="shared" si="26"/>
        <v/>
      </c>
      <c r="AM34" s="45" t="str">
        <f>IF($G34="","",$G34*ADRYr2!$Q34*ADRYr2!$U34*(IF(ADRYr2!$AI34=Lookups!$E$115,ADRYr2!$AJ34,IF(ADRYr2!$AK34=Lookups!$E$115,ADRYr2!$AL34,IF(ADRYr2!$AM34=Lookups!$E$115,ADRYr2!$AN34,0)))))</f>
        <v/>
      </c>
      <c r="AN34" s="45" t="str">
        <f t="shared" si="27"/>
        <v/>
      </c>
      <c r="AO34" s="45">
        <f>IF($G34="",0,AM34*ADRYr2!$P34)</f>
        <v>0</v>
      </c>
      <c r="AP34" s="45" t="str">
        <f t="shared" si="28"/>
        <v/>
      </c>
      <c r="AQ34" s="45" t="str">
        <f>IF($G34="","",$G34*ADRYr2!$Q34*ADRYr2!$U34*(IF(ADRYr2!$AI34=Lookups!$E$117,ADRYr2!$AJ34,IF(ADRYr2!$AK34=Lookups!$E$117,ADRYr2!$AL34,IF(ADRYr2!$AM34=Lookups!$E$117,ADRYr2!$AN34,0)))))</f>
        <v/>
      </c>
      <c r="AR34" s="45" t="str">
        <f t="shared" si="29"/>
        <v/>
      </c>
      <c r="AS34" s="45" t="str">
        <f>IF($G34="","",AQ34*ADRYr2!$P34)</f>
        <v/>
      </c>
      <c r="AT34" s="45" t="str">
        <f t="shared" si="30"/>
        <v/>
      </c>
      <c r="AU34" s="45" t="str">
        <f>IF($G34="","",$G34*ADRYr2!$Q34*ADRYr2!$U34*(IF(ADRYr2!$AI34=Lookups!$E$118,ADRYr2!$AJ34,IF(ADRYr2!$AK34=Lookups!$E$118,ADRYr2!$AL34,IF(ADRYr2!$AM34=Lookups!$E$118,ADRYr2!$AN34,0)))))</f>
        <v/>
      </c>
      <c r="AV34" s="45" t="str">
        <f t="shared" si="31"/>
        <v/>
      </c>
      <c r="AW34" s="45" t="str">
        <f>IF($G34="","",AU34*ADRYr2!$P34)</f>
        <v/>
      </c>
      <c r="AX34" s="45" t="str">
        <f t="shared" si="32"/>
        <v/>
      </c>
      <c r="AY34" s="45">
        <f t="shared" si="49"/>
        <v>0</v>
      </c>
      <c r="AZ34" s="45">
        <f t="shared" si="49"/>
        <v>0</v>
      </c>
      <c r="BA34" s="101" t="str">
        <f>IF($G34="","",$G34*ADRYr2!$P34*ADRYr2!$Q34*ADRYr2!$U34*ADRYr2!AO34)</f>
        <v/>
      </c>
      <c r="BB34" s="102" t="str">
        <f>IF($G34="","",$G34*ADRYr2!$P34*ADRYr2!$Q34*ADRYr2!$U34*ADRYr2!AP34)</f>
        <v/>
      </c>
      <c r="BC34" s="100" t="str">
        <f t="shared" si="34"/>
        <v/>
      </c>
      <c r="BD34" s="961"/>
      <c r="BE34" s="961"/>
      <c r="BF34" s="961"/>
      <c r="BG34" s="961"/>
      <c r="BH34" s="962" t="str">
        <f t="shared" si="3"/>
        <v/>
      </c>
      <c r="BI34" s="961"/>
      <c r="BJ34" s="961"/>
      <c r="BK34" s="961"/>
      <c r="BL34" s="961"/>
      <c r="BM34" s="30" t="str">
        <f t="shared" si="4"/>
        <v/>
      </c>
      <c r="BN34" s="963" t="str">
        <f t="shared" si="5"/>
        <v/>
      </c>
      <c r="BO34" s="31" t="str">
        <f t="shared" si="35"/>
        <v/>
      </c>
      <c r="BP34" s="964" t="str">
        <f t="shared" si="6"/>
        <v/>
      </c>
      <c r="BQ34" s="28" t="str">
        <f t="shared" si="7"/>
        <v/>
      </c>
      <c r="BR34" s="964" t="str">
        <f t="shared" si="8"/>
        <v/>
      </c>
      <c r="BS34" s="964" t="str">
        <f t="shared" si="9"/>
        <v/>
      </c>
      <c r="BT34" s="28" t="str">
        <f t="shared" si="50"/>
        <v/>
      </c>
      <c r="BU34" s="28" t="str">
        <f t="shared" si="50"/>
        <v/>
      </c>
      <c r="BV34" s="28" t="str">
        <f t="shared" si="50"/>
        <v/>
      </c>
      <c r="BW34" s="29" t="str">
        <f t="shared" si="36"/>
        <v/>
      </c>
      <c r="BX34" s="29" t="str">
        <f t="shared" si="37"/>
        <v/>
      </c>
      <c r="BY34" s="28" t="str">
        <f>IF($G34="","",$G34*(IF(ADRYr2!$AI34=BY$4,ADRYr2!$AJ34,IF(ADRYr2!$AK34=BY$4,ADRYr2!$AL34,IF(ADRYr2!$AM34=BY$4,ADRYr2!$AN34,0))))*(INDEX(avoidedcosttbl2,$H34,BY$2)+(($H34-ROUNDDOWN($H34,0))*(INDEX(avoidedcosttbl2,ROUNDUP($H34,0),BY$2)-(INDEX(avoidedcosttbl2,ROUNDDOWN($H34,0),BY$2)))))*ADRYr2!P34*ADRYr2!Q34*ADRYr2!U34)</f>
        <v/>
      </c>
      <c r="BZ34" s="28" t="str">
        <f>IF($G34="","",$G34*(IF(ADRYr2!$AI34=BZ$4,ADRYr2!$AJ34,IF(ADRYr2!$AK34=BZ$4,ADRYr2!$AL34,IF(ADRYr2!$AM34=BZ$4,ADRYr2!$AN34,0))))*(INDEX(avoidedcosttbl2,$H34,BZ$2)+(($H34-ROUNDDOWN($H34,0))*(INDEX(avoidedcosttbl2,ROUNDUP($H34,0),BZ$2)-(INDEX(avoidedcosttbl2,ROUNDDOWN($H34,0),BZ$2)))))*ADRYr2!P34*ADRYr2!Q34*ADRYr2!U34)</f>
        <v/>
      </c>
      <c r="CA34" s="28" t="str">
        <f>IF($G34="","",$G34*(IF(ADRYr2!$AI34=CA$4,ADRYr2!$AJ34,IF(ADRYr2!$AK34=CA$4,ADRYr2!$AL34,IF(ADRYr2!$AM34=CA$4,ADRYr2!$AN34,0))))*(INDEX(avoidedcosttbl2,$H34,CA$2)+(($H34-ROUNDDOWN($H34,0))*(INDEX(avoidedcosttbl2,ROUNDUP($H34,0),CA$2)-(INDEX(avoidedcosttbl2,ROUNDDOWN($H34,0),CA$2)))))*ADRYr2!P34*ADRYr2!Q34*ADRYr2!U34)</f>
        <v/>
      </c>
      <c r="CB34" s="28" t="str">
        <f>IF($G34="","",$G34*(IF(ADRYr2!$AI34=CB$4,ADRYr2!$AJ34,IF(ADRYr2!$AK34=CB$4,ADRYr2!$AL34,IF(ADRYr2!$AM34=CB$4,ADRYr2!$AN34,0))))*(INDEX(avoidedcosttbl2,$H34,CB$2)+(($H34-ROUNDDOWN($H34,0))*(INDEX(avoidedcosttbl2,ROUNDUP($H34,0),CB$2)-(INDEX(avoidedcosttbl2,ROUNDDOWN($H34,0),CB$2)))))*ADRYr2!P34*ADRYr2!Q34*ADRYr2!U34)</f>
        <v/>
      </c>
      <c r="CC34" s="28" t="str">
        <f>IF($G34="","",$G34*(IF(ADRYr2!$AI34=CC$4,ADRYr2!$AJ34,IF(ADRYr2!$AK34=CC$4,ADRYr2!$AL34,IF(ADRYr2!$AM34=CC$4,ADRYr2!$AN34,0))))*(INDEX(avoidedcosttbl2,$H34,CC$2)+(($H34-ROUNDDOWN($H34,0))*(INDEX(avoidedcosttbl2,ROUNDUP($H34,0),CC$2)-(INDEX(avoidedcosttbl2,ROUNDDOWN($H34,0),CC$2)))))*ADRYr2!P34*ADRYr2!Q34*ADRYr2!U34)</f>
        <v/>
      </c>
      <c r="CD34" s="28" t="str">
        <f>IF($G34="","",$G34*(IF(ADRYr2!$AI34=CD$4,ADRYr2!$AJ34,IF(ADRYr2!$AK34=CD$4,ADRYr2!$AL34,IF(ADRYr2!$AM34=CD$4,ADRYr2!$AN34,0))))*(INDEX(avoidedcosttbl2,$H34,CD$2)+(($H34-ROUNDDOWN($H34,0))*(INDEX(avoidedcosttbl2,ROUNDUP($H34,0),CD$2)-(INDEX(avoidedcosttbl2,ROUNDDOWN($H34,0),CD$2)))))*ADRYr2!P34*ADRYr2!Q34*ADRYr2!U34)</f>
        <v/>
      </c>
      <c r="CE34" s="28" t="str">
        <f>IF($G34="","",$G34*(IF(ADRYr2!$AI34=CE$4,ADRYr2!$AJ34,IF(ADRYr2!$AK34=CE$4,ADRYr2!$AL34,IF(ADRYr2!$AM34=CE$4,ADRYr2!$AN34,0))))*(INDEX(avoidedcosttbl2,$H34,CE$2)+(($H34-ROUNDDOWN($H34,0))*(INDEX(avoidedcosttbl2,ROUNDUP($H34,0),CE$2)-(INDEX(avoidedcosttbl2,ROUNDDOWN($H34,0),CE$2)))))*ADRYr2!P34*ADRYr2!Q34*ADRYr2!U34)</f>
        <v/>
      </c>
      <c r="CF34" s="41" t="str">
        <f t="shared" si="38"/>
        <v/>
      </c>
      <c r="CG34" s="30" t="str">
        <f t="shared" si="11"/>
        <v/>
      </c>
      <c r="CH34" s="30" t="str">
        <f>IF($G34="","",$G34*(IF(ADRYr2!$AI34=BY$4,ADRYr2!$AJ34,IF(ADRYr2!$AK34=BY$4,ADRYr2!$AL34,IF(ADRYr2!$AM34=BY$4,ADRYr2!$AN34,0))))*(INDEX(avoidedcosttbl2,$H34,CH$2)+(($H34-ROUNDDOWN($H34,0))*(INDEX(avoidedcosttbl2,ROUNDUP($H34,0),CH$2)-(INDEX(avoidedcosttbl2,ROUNDDOWN($H34,0),CH$2)))))*ADRYr2!P34*ADRYr2!Q34*ADRYr2!U34)</f>
        <v/>
      </c>
      <c r="CI34" s="30" t="str">
        <f>IF($G34="","",$G34*(IF(ADRYr2!$AI34=BZ$4,ADRYr2!$AJ34,IF(ADRYr2!$AK34=BZ$4,ADRYr2!$AL34,IF(ADRYr2!$AM34=BZ$4,ADRYr2!$AN34,0))))*(INDEX(avoidedcosttbl2,$H34,CI$2)+(($H34-ROUNDDOWN($H34,0))*(INDEX(avoidedcosttbl2,ROUNDUP($H34,0),CI$2)-(INDEX(avoidedcosttbl2,ROUNDDOWN($H34,0),CI$2)))))*ADRYr2!P34*ADRYr2!Q34*ADRYr2!U34)</f>
        <v/>
      </c>
      <c r="CJ34" s="30" t="str">
        <f>IF($G34="","",$G34*(IF(ADRYr2!$AI34=CA$4,ADRYr2!$AJ34,IF(ADRYr2!$AK34=CA$4,ADRYr2!$AL34,IF(ADRYr2!$AM34=CA$4,ADRYr2!$AN34,0))))*(INDEX(avoidedcosttbl2,$H34,CJ$2)+(($H34-ROUNDDOWN($H34,0))*(INDEX(avoidedcosttbl2,ROUNDUP($H34,0),CJ$2)-(INDEX(avoidedcosttbl2,ROUNDDOWN($H34,0),CJ$2)))))*ADRYr2!P34*ADRYr2!Q34*ADRYr2!U34)</f>
        <v/>
      </c>
      <c r="CK34" s="30" t="str">
        <f>IF($G34="","",$G34*(IF(ADRYr2!$AI34=CB$4,ADRYr2!$AJ34,IF(ADRYr2!$AK34=CB$4,ADRYr2!$AL34,IF(ADRYr2!$AM34=CB$4,ADRYr2!$AN34,0))))*(INDEX(avoidedcosttbl2,$H34,CK$2)+(($H34-ROUNDDOWN($H34,0))*(INDEX(avoidedcosttbl2,ROUNDUP($H34,0),CK$2)-(INDEX(avoidedcosttbl2,ROUNDDOWN($H34,0),CK$2)))))*ADRYr2!P34*ADRYr2!Q34*ADRYr2!U34)</f>
        <v/>
      </c>
      <c r="CL34" s="30" t="str">
        <f>IF($G34="","",$G34*(IF(ADRYr2!$AI34=CC$4,ADRYr2!$AJ34,IF(ADRYr2!$AK34=CC$4,ADRYr2!$AL34,IF(ADRYr2!$AM34=CC$4,ADRYr2!$AN34,0))))*(INDEX(avoidedcosttbl2,$H34,CL$2)+(($H34-ROUNDDOWN($H34,0))*(INDEX(avoidedcosttbl2,ROUNDUP($H34,0),CL$2)-(INDEX(avoidedcosttbl2,ROUNDDOWN($H34,0),CL$2)))))*ADRYr2!P34*ADRYr2!Q34*ADRYr2!U34)</f>
        <v/>
      </c>
      <c r="CM34" s="30" t="str">
        <f>IF($G34="","",$G34*(IF(ADRYr2!$AI34=CD$4,ADRYr2!$AJ34,IF(ADRYr2!$AK34=CD$4,ADRYr2!$AL34,IF(ADRYr2!$AM34=CD$4,ADRYr2!$AN34,0))))*(INDEX(avoidedcosttbl2,$H34,CM$2)+(($H34-ROUNDDOWN($H34,0))*(INDEX(avoidedcosttbl2,ROUNDUP($H34,0),CM$2)-(INDEX(avoidedcosttbl2,ROUNDDOWN($H34,0),CM$2)))))*ADRYr2!P34*ADRYr2!Q34*ADRYr2!U34)</f>
        <v/>
      </c>
      <c r="CN34" s="30" t="str">
        <f>IF($G34="","",$G34*(IF(ADRYr2!$AI34=CE$4,ADRYr2!$AJ34,IF(ADRYr2!$AK34=CE$4,ADRYr2!$AL34,IF(ADRYr2!$AM34=CE$4,ADRYr2!$AN34,0))))*(INDEX(avoidedcosttbl2,$H34,CN$2)+(($H34-ROUNDDOWN($H34,0))*(INDEX(avoidedcosttbl2,ROUNDUP($H34,0),CN$2)-(INDEX(avoidedcosttbl2,ROUNDDOWN($H34,0),CN$2)))))*ADRYr2!P34*ADRYr2!Q34*ADRYr2!U34)</f>
        <v/>
      </c>
      <c r="CO34" s="220" t="str">
        <f t="shared" si="39"/>
        <v/>
      </c>
      <c r="CP34" s="220" t="str">
        <f t="shared" si="40"/>
        <v/>
      </c>
      <c r="CQ34" s="157" t="str">
        <f>IF($G34="","",$G34*(IF(ADRYr2!$AI34=CQ$4,ADRYr2!$AJ34,IF(ADRYr2!$AK34=CQ$4,ADRYr2!$AL34,IF(ADRYr2!$AM34=CQ$4,ADRYr2!$AN34,0))))*(INDEX(avoidedcosttbl2,$H34,CQ$2)+(($H34-ROUNDDOWN($H34,0))*(INDEX(avoidedcosttbl2,ROUNDUP($H34,0),CQ$2)-(INDEX(avoidedcosttbl2,ROUNDDOWN($H34,0),CQ$2)))))*ADRYr2!$P34*ADRYr2!$Q34*ADRYr2!$U34)</f>
        <v/>
      </c>
      <c r="CR34" s="28" t="str">
        <f>IF($G34="","",G34*(IF(ADRYr2!$AI34=CR$4,ADRYr2!$AJ34,IF(ADRYr2!$AK34=CR$4,ADRYr2!$AL34,IF(ADRYr2!$AM34=CR$4,ADRYr2!$AN34,0))))*(INDEX(avoidedcosttbl2,$H34,CR$2)+(($H34-ROUNDDOWN($H34,0))*(INDEX(avoidedcosttbl2,ROUNDUP($H34,0),CR$2)-(INDEX(avoidedcosttbl2,ROUNDDOWN($H34,0),CR$2)))))*ADRYr2!$P34*ADRYr2!$Q34*ADRYr2!$U34)</f>
        <v/>
      </c>
      <c r="CS34" s="28" t="str">
        <f>IF($G34="","",G34*(IF(ADRYr2!$AI34=CS$4,ADRYr2!$AJ34,IF(ADRYr2!$AK34=CS$4,ADRYr2!$AL34,IF(ADRYr2!$AM34=CS$4,ADRYr2!$AN34,0))))*(INDEX(avoidedcosttbl2,$H34,CS$2)+(($H34-ROUNDDOWN($H34,0))*(INDEX(avoidedcosttbl2,ROUNDUP($H34,0),CS$2)-(INDEX(avoidedcosttbl2,ROUNDDOWN($H34,0),CS$2)))))*ADRYr2!$P34*ADRYr2!$Q34*ADRYr2!$U34)</f>
        <v/>
      </c>
      <c r="CT34" s="28" t="str">
        <f t="shared" si="12"/>
        <v/>
      </c>
      <c r="CU34" s="28" t="str">
        <f>IF($G34="","",G34*(IF(ADRYr2!$AI34=CU$4,ADRYr2!$AJ34,IF(ADRYr2!$AK34=CU$4,ADRYr2!$AL34,IF(ADRYr2!$AM34=CU$4,ADRYr2!$AN34,0))))*(INDEX(avoidedcosttbl2,$H34,CU$2)+(($H34-ROUNDDOWN($H34,0))*(INDEX(avoidedcosttbl2,ROUNDUP($H34,0),CU$2)-(INDEX(avoidedcosttbl2,ROUNDDOWN($H34,0),CU$2)))))*ADRYr2!$P34*ADRYr2!$Q34*ADRYr2!$U34)</f>
        <v/>
      </c>
      <c r="CV34" s="28" t="str">
        <f>IF($G34="","",G34*(IF(ADRYr2!$AI34=CV$4,ADRYr2!$AJ34,IF(ADRYr2!$AK34=CV$4,ADRYr2!$AL34,IF(ADRYr2!$AM34=CV$4,ADRYr2!$AN34,0))))*(INDEX(avoidedcosttbl2,$H34,CV$2)+(($H34-ROUNDDOWN($H34,0))*(INDEX(avoidedcosttbl2,ROUNDUP($H34,0),CV$2)-(INDEX(avoidedcosttbl2,ROUNDDOWN($H34,0),CV$2)))))*ADRYr2!$P34*ADRYr2!$Q34*ADRYr2!$U34)</f>
        <v/>
      </c>
      <c r="CW34" s="28" t="str">
        <f>IF($G34="","",G34*(IF(ADRYr2!$AI34=CW$4,ADRYr2!$AJ34,IF(ADRYr2!$AK34=CW$4,ADRYr2!$AL34,IF(ADRYr2!$AM34=CW$4,ADRYr2!$AN34,0))))*(INDEX(avoidedcosttbl2,$H34,CW$2)+(($H34-ROUNDDOWN($H34,0))*(INDEX(avoidedcosttbl2,ROUNDUP($H34,0),CW$2)-(INDEX(avoidedcosttbl2,ROUNDDOWN($H34,0),CW$2)))))*ADRYr2!$P34*ADRYr2!$Q34*ADRYr2!$U34)</f>
        <v/>
      </c>
      <c r="CX34" s="28" t="str">
        <f>IF($G34="","",G34*(IF(ADRYr2!$AI34=CX$4,ADRYr2!$AJ34,IF(ADRYr2!$AK34=CX$4,ADRYr2!$AL34,IF(ADRYr2!$AM34=CX$4,ADRYr2!$AN34,0))))*(INDEX(avoidedcosttbl2,$H34,CX$2)+(($H34-ROUNDDOWN($H34,0))*(INDEX(avoidedcosttbl2,ROUNDUP($H34,0),CX$2)-(INDEX(avoidedcosttbl2,ROUNDDOWN($H34,0),CX$2)))))*ADRYr2!$P34*ADRYr2!$Q34*ADRYr2!$U34)</f>
        <v/>
      </c>
      <c r="CY34" s="28" t="str">
        <f t="shared" si="13"/>
        <v/>
      </c>
      <c r="CZ34" s="32" t="str">
        <f t="shared" si="14"/>
        <v/>
      </c>
      <c r="DA34" s="84" t="str">
        <f t="shared" si="41"/>
        <v/>
      </c>
      <c r="DB34" s="81" t="str">
        <f>IF(NEIadder="Yes",IF($G34="","",INDEX(Lookups!$G$70:$G$71,MATCH($A34,Lookups!$E$70:$E$71,0))*(SUM(CP34:CX34,BX34))),"")</f>
        <v/>
      </c>
      <c r="DC34" s="263" t="str">
        <f t="shared" si="15"/>
        <v/>
      </c>
      <c r="DD34" s="166" t="str">
        <f t="shared" si="16"/>
        <v/>
      </c>
      <c r="DE34" s="82">
        <f t="shared" si="42"/>
        <v>0</v>
      </c>
      <c r="DF34" s="615" t="str">
        <f>IF($G34="","",(1+WntPeakEnergyLL)*(INDEX(avoidedcosttbl2,$H34,DF$2)+(($H34-ROUNDDOWN($H34,0))*(INDEX(avoidedcosttbl2,ROUNDUP($H34,0),DF$2)-(INDEX(avoidedcosttbl2,ROUNDDOWN($H34,0),DF$2)))))*$P34*1000*ADRYr2!Z34)</f>
        <v/>
      </c>
      <c r="DG34" s="615" t="str">
        <f>IF($G34="","",(1+WntOffPeakEnergyLL)*(INDEX(avoidedcosttbl2,$H34,DG$2)+(($H34-ROUNDDOWN($H34,0))*(INDEX(avoidedcosttbl2,ROUNDUP($H34,0),DG$2)-(INDEX(avoidedcosttbl2,ROUNDDOWN($H34,0),DG$2)))))*$P34*1000*ADRYr2!AA34)</f>
        <v/>
      </c>
      <c r="DH34" s="615" t="str">
        <f>IF($G34="","",(1+SumPeakEnergyLL)*(INDEX(avoidedcosttbl2,$H34,DH$2)+(($H34-ROUNDDOWN($H34,0))*(INDEX(avoidedcosttbl2,ROUNDUP($H34,0),DH$2)-(INDEX(avoidedcosttbl2,ROUNDDOWN($H34,0),DH$2)))))*$P34*1000*ADRYr2!AB34)</f>
        <v/>
      </c>
      <c r="DI34" s="615" t="str">
        <f>IF($G34="","",(1+SumOffPeakEnergyLL)*(INDEX(avoidedcosttbl2,$H34,DI$2)+(($H34-ROUNDDOWN($H34,0))*(INDEX(avoidedcosttbl2,ROUNDUP($H34,0),DI$2)-(INDEX(avoidedcosttbl2,ROUNDDOWN($H34,0),DI$2)))))*$P34*1000*ADRYr2!AC34)</f>
        <v/>
      </c>
      <c r="DJ34" s="29" t="str">
        <f t="shared" si="43"/>
        <v/>
      </c>
      <c r="DK34" s="161" t="str">
        <f t="shared" si="44"/>
        <v/>
      </c>
      <c r="DL34" s="1189" t="str">
        <f t="shared" si="45"/>
        <v/>
      </c>
      <c r="DM34" s="1189" t="str">
        <f t="shared" si="46"/>
        <v/>
      </c>
      <c r="DN34" s="43" t="str">
        <f t="shared" si="47"/>
        <v/>
      </c>
      <c r="DO34" s="966" t="str">
        <f>IF($G34="","",ADRYr2!AQ34)</f>
        <v/>
      </c>
      <c r="DP34" s="968" t="str">
        <f>IF($G34="","",ADRYr2!AR34)</f>
        <v/>
      </c>
      <c r="DQ34" s="970" t="str">
        <f>IF($G34="","",IF($DP34="Yes",COLUMN(AESC!$L$10),IF($DP34="No","Using AvoidedDemand tab",IF($DP34="Mixed",COLUMN(AESC!$N$10)))))</f>
        <v/>
      </c>
      <c r="DR34" s="970" t="str">
        <f>IF($G34="","",IF($DP34="Yes",COLUMN(AESC!$P$10),IF($DP34="No","Using AvoidedDemand tab",IF($DP34="Mixed",COLUMN(AESC!$R$10)))))</f>
        <v/>
      </c>
      <c r="DS34" s="970" t="str">
        <f>IF($G34="","",IF($DP34="Yes",COLUMN(AESC!$S$10),IF($DP34="No",COLUMN(AESC!$T$10),IF($DP34="Mixed",COLUMN(AESC!$U$10)))))</f>
        <v/>
      </c>
      <c r="DT34" s="970" t="str">
        <f t="shared" si="48"/>
        <v/>
      </c>
      <c r="DU34" s="970" t="str">
        <f>IF($G34="","",ADRYr2!AS34)</f>
        <v/>
      </c>
      <c r="DV34" s="971" t="str">
        <f>IF($G34="","",ADRYr2!AT34)</f>
        <v/>
      </c>
      <c r="DW34" s="1162" t="str">
        <f>IF($G34="","",INDEX(AvoidedEnergy!$H$4:$H$10,MATCH($DO34,AvoidedEnergy!$A$4:$A$10,0)))</f>
        <v/>
      </c>
    </row>
    <row r="35" spans="1:127">
      <c r="A35" s="160" t="str">
        <f>IF(ADRYr2!$B35=0,"",ADRYr2!A35)</f>
        <v>C - Commercial &amp; Industrial</v>
      </c>
      <c r="B35" s="9" t="str">
        <f>IF(ADRYr2!$B35=0,"",ADRYr2!B35)</f>
        <v>C5 - C&amp;I Active Demand Response</v>
      </c>
      <c r="C35" s="9" t="str">
        <f>IF(ADRYr2!$B35=0,"",ADRYr2!C35)</f>
        <v>C5a - C&amp;I Active Demand Response</v>
      </c>
      <c r="D35" s="9" t="str">
        <f>IF(ADRYr2!$B35=0,"",ADRYr2!D35)</f>
        <v>Storage Daily Dispatch P4P (savings) Summer</v>
      </c>
      <c r="E35" s="9" t="str">
        <f>IF(ADRYr2!$B35=0,"",ADRYr2!E35)</f>
        <v>E21C5a002</v>
      </c>
      <c r="F35" s="11" t="str">
        <f>IF(ADRYr2!$B35=0,"",ADRYr2!F35)</f>
        <v>Behavior</v>
      </c>
      <c r="G35" s="12" t="str">
        <f>IF(ADRYr2!$G35&lt;&gt;0,ADRYr2!G35,"")</f>
        <v/>
      </c>
      <c r="H35" s="960" t="str">
        <f>IF($G35="","",ROUND(ADRYr2!H35,0))</f>
        <v/>
      </c>
      <c r="I35" s="47" t="str">
        <f>IF($G35="","",ADRYr2!I35*ADRYr2!P35*G35)</f>
        <v/>
      </c>
      <c r="J35" s="47" t="str">
        <f>IF($G35="","",ADRYr2!J35*G35)</f>
        <v/>
      </c>
      <c r="K35" s="47" t="str">
        <f t="shared" si="17"/>
        <v/>
      </c>
      <c r="L35" s="27" t="str">
        <f>IF($G35="","",ADRYr2!V35*G35/1000)</f>
        <v/>
      </c>
      <c r="M35" s="27" t="str">
        <f>IF($G35="","",L35*ADRYr2!$Q35*ADRYr2!$R35)</f>
        <v/>
      </c>
      <c r="N35" s="27" t="str">
        <f t="shared" si="18"/>
        <v/>
      </c>
      <c r="O35" s="27" t="str">
        <f t="shared" si="19"/>
        <v/>
      </c>
      <c r="P35" s="27" t="str">
        <f>IF($G35="","",M35*ADRYr2!P35)</f>
        <v/>
      </c>
      <c r="Q35" s="27" t="str">
        <f t="shared" si="20"/>
        <v/>
      </c>
      <c r="R35" s="27" t="str">
        <f>IF($G35="","",$Q35*ADRYr2!Z35)</f>
        <v/>
      </c>
      <c r="S35" s="27" t="str">
        <f>IF($G35="","",$Q35*ADRYr2!AA35)</f>
        <v/>
      </c>
      <c r="T35" s="27" t="str">
        <f>IF($G35="","",$Q35*ADRYr2!AB35)</f>
        <v/>
      </c>
      <c r="U35" s="27" t="str">
        <f>IF($G35="","",$Q35*ADRYr2!AC35)</f>
        <v/>
      </c>
      <c r="V35" s="27" t="str">
        <f>IF($G35="","",G35*ADRYr2!$AD35*ADRYr2!$P35*ADRYr2!$Q35)</f>
        <v/>
      </c>
      <c r="W35" s="27" t="str">
        <f>IF($G35="","",$G35*ADRYr2!$AD35*ADRYr2!$AF35*ADRYr2!Q35*ADRYr2!$S35)</f>
        <v/>
      </c>
      <c r="X35" s="27" t="str">
        <f>IF($G35="","",$G35*ADRYr2!$AD35*ADRYr2!$AF35*ADRYr2!P35*ADRYr2!Q35*ADRYr2!$S35)</f>
        <v/>
      </c>
      <c r="Y35" s="27" t="str">
        <f>IF($G35="","",$G35*ADRYr2!$AD35*ADRYr2!$AE35*ADRYr2!Q35*ADRYr2!$T35)</f>
        <v/>
      </c>
      <c r="Z35" s="27" t="str">
        <f>IF($G35="","",$G35*ADRYr2!$AD35*ADRYr2!$AE35*ADRYr2!P35*ADRYr2!Q35*ADRYr2!$T35)</f>
        <v/>
      </c>
      <c r="AA35" s="45" t="str">
        <f>IF($G35="","",$G35*ADRYr2!$Q35*ADRYr2!$U35*(IF(IFERROR(SEARCH("NG", ADRYr2!$AI35),0),ADRYr2!$AJ35,0)+IF(IFERROR(SEARCH("NG", ADRYr2!$AK35),0),ADRYr2!$AL35,0)+IF(IFERROR(SEARCH("NG", ADRYr2!$AM35),0),ADRYr2!$AN35,0)))</f>
        <v/>
      </c>
      <c r="AB35" s="45" t="str">
        <f t="shared" si="21"/>
        <v/>
      </c>
      <c r="AC35" s="45">
        <f>IF($G35="",0,AA35*ADRYr2!$P35)</f>
        <v>0</v>
      </c>
      <c r="AD35" s="45" t="str">
        <f t="shared" si="22"/>
        <v/>
      </c>
      <c r="AE35" s="45" t="str">
        <f>IF($G35="","",$G35*ADRYr2!$Q35*ADRYr2!$U35*(IF(IFERROR(SEARCH("Oil", ADRYr2!$AI35), 0),ADRYr2!$AJ35,0)+IF(IFERROR(SEARCH("Oil", ADRYr2!$AK35), 0),ADRYr2!$AL35,0)+IF(IFERROR(SEARCH("Oil", ADRYr2!$AM35), 0),ADRYr2!$AN35,0)))</f>
        <v/>
      </c>
      <c r="AF35" s="45" t="str">
        <f t="shared" si="23"/>
        <v/>
      </c>
      <c r="AG35" s="45">
        <f>IF($G35="",0,AE35*ADRYr2!$P35)</f>
        <v>0</v>
      </c>
      <c r="AH35" s="45" t="str">
        <f t="shared" si="24"/>
        <v/>
      </c>
      <c r="AI35" s="45" t="str">
        <f>IF($G35="","",$G35*ADRYr2!$Q35*ADRYr2!$U35*(IF(ADRYr2!$AI35=Lookups!$E$116,ADRYr2!$AJ35,IF(ADRYr2!$AK35=Lookups!$E$116,ADRYr2!$AL35,IF(ADRYr2!$AM35=Lookups!$E$116,ADRYr2!$AN35,0)))))</f>
        <v/>
      </c>
      <c r="AJ35" s="45" t="str">
        <f t="shared" si="25"/>
        <v/>
      </c>
      <c r="AK35" s="45">
        <f>IF($G35="",0,AI35*ADRYr2!$P35)</f>
        <v>0</v>
      </c>
      <c r="AL35" s="45" t="str">
        <f t="shared" si="26"/>
        <v/>
      </c>
      <c r="AM35" s="45" t="str">
        <f>IF($G35="","",$G35*ADRYr2!$Q35*ADRYr2!$U35*(IF(ADRYr2!$AI35=Lookups!$E$115,ADRYr2!$AJ35,IF(ADRYr2!$AK35=Lookups!$E$115,ADRYr2!$AL35,IF(ADRYr2!$AM35=Lookups!$E$115,ADRYr2!$AN35,0)))))</f>
        <v/>
      </c>
      <c r="AN35" s="45" t="str">
        <f t="shared" si="27"/>
        <v/>
      </c>
      <c r="AO35" s="45">
        <f>IF($G35="",0,AM35*ADRYr2!$P35)</f>
        <v>0</v>
      </c>
      <c r="AP35" s="45" t="str">
        <f t="shared" si="28"/>
        <v/>
      </c>
      <c r="AQ35" s="45" t="str">
        <f>IF($G35="","",$G35*ADRYr2!$Q35*ADRYr2!$U35*(IF(ADRYr2!$AI35=Lookups!$E$117,ADRYr2!$AJ35,IF(ADRYr2!$AK35=Lookups!$E$117,ADRYr2!$AL35,IF(ADRYr2!$AM35=Lookups!$E$117,ADRYr2!$AN35,0)))))</f>
        <v/>
      </c>
      <c r="AR35" s="45" t="str">
        <f t="shared" si="29"/>
        <v/>
      </c>
      <c r="AS35" s="45" t="str">
        <f>IF($G35="","",AQ35*ADRYr2!$P35)</f>
        <v/>
      </c>
      <c r="AT35" s="45" t="str">
        <f t="shared" si="30"/>
        <v/>
      </c>
      <c r="AU35" s="45" t="str">
        <f>IF($G35="","",$G35*ADRYr2!$Q35*ADRYr2!$U35*(IF(ADRYr2!$AI35=Lookups!$E$118,ADRYr2!$AJ35,IF(ADRYr2!$AK35=Lookups!$E$118,ADRYr2!$AL35,IF(ADRYr2!$AM35=Lookups!$E$118,ADRYr2!$AN35,0)))))</f>
        <v/>
      </c>
      <c r="AV35" s="45" t="str">
        <f t="shared" si="31"/>
        <v/>
      </c>
      <c r="AW35" s="45" t="str">
        <f>IF($G35="","",AU35*ADRYr2!$P35)</f>
        <v/>
      </c>
      <c r="AX35" s="45" t="str">
        <f t="shared" si="32"/>
        <v/>
      </c>
      <c r="AY35" s="45">
        <f t="shared" si="49"/>
        <v>0</v>
      </c>
      <c r="AZ35" s="45">
        <f t="shared" si="49"/>
        <v>0</v>
      </c>
      <c r="BA35" s="101" t="str">
        <f>IF($G35="","",$G35*ADRYr2!$P35*ADRYr2!$Q35*ADRYr2!$U35*ADRYr2!AO35)</f>
        <v/>
      </c>
      <c r="BB35" s="102" t="str">
        <f>IF($G35="","",$G35*ADRYr2!$P35*ADRYr2!$Q35*ADRYr2!$U35*ADRYr2!AP35)</f>
        <v/>
      </c>
      <c r="BC35" s="100" t="str">
        <f t="shared" si="34"/>
        <v/>
      </c>
      <c r="BD35" s="961"/>
      <c r="BE35" s="961"/>
      <c r="BF35" s="961"/>
      <c r="BG35" s="961"/>
      <c r="BH35" s="962" t="str">
        <f t="shared" si="3"/>
        <v/>
      </c>
      <c r="BI35" s="961"/>
      <c r="BJ35" s="961"/>
      <c r="BK35" s="961"/>
      <c r="BL35" s="961"/>
      <c r="BM35" s="30" t="str">
        <f t="shared" si="4"/>
        <v/>
      </c>
      <c r="BN35" s="963" t="str">
        <f t="shared" si="5"/>
        <v/>
      </c>
      <c r="BO35" s="31" t="str">
        <f t="shared" si="35"/>
        <v/>
      </c>
      <c r="BP35" s="964" t="str">
        <f t="shared" si="6"/>
        <v/>
      </c>
      <c r="BQ35" s="28" t="str">
        <f t="shared" si="7"/>
        <v/>
      </c>
      <c r="BR35" s="964" t="str">
        <f t="shared" si="8"/>
        <v/>
      </c>
      <c r="BS35" s="964" t="str">
        <f t="shared" si="9"/>
        <v/>
      </c>
      <c r="BT35" s="28" t="str">
        <f t="shared" si="50"/>
        <v/>
      </c>
      <c r="BU35" s="28" t="str">
        <f t="shared" si="50"/>
        <v/>
      </c>
      <c r="BV35" s="28" t="str">
        <f t="shared" si="50"/>
        <v/>
      </c>
      <c r="BW35" s="29" t="str">
        <f t="shared" si="36"/>
        <v/>
      </c>
      <c r="BX35" s="29" t="str">
        <f t="shared" si="37"/>
        <v/>
      </c>
      <c r="BY35" s="28" t="str">
        <f>IF($G35="","",$G35*(IF(ADRYr2!$AI35=BY$4,ADRYr2!$AJ35,IF(ADRYr2!$AK35=BY$4,ADRYr2!$AL35,IF(ADRYr2!$AM35=BY$4,ADRYr2!$AN35,0))))*(INDEX(avoidedcosttbl2,$H35,BY$2)+(($H35-ROUNDDOWN($H35,0))*(INDEX(avoidedcosttbl2,ROUNDUP($H35,0),BY$2)-(INDEX(avoidedcosttbl2,ROUNDDOWN($H35,0),BY$2)))))*ADRYr2!P35*ADRYr2!Q35*ADRYr2!U35)</f>
        <v/>
      </c>
      <c r="BZ35" s="28" t="str">
        <f>IF($G35="","",$G35*(IF(ADRYr2!$AI35=BZ$4,ADRYr2!$AJ35,IF(ADRYr2!$AK35=BZ$4,ADRYr2!$AL35,IF(ADRYr2!$AM35=BZ$4,ADRYr2!$AN35,0))))*(INDEX(avoidedcosttbl2,$H35,BZ$2)+(($H35-ROUNDDOWN($H35,0))*(INDEX(avoidedcosttbl2,ROUNDUP($H35,0),BZ$2)-(INDEX(avoidedcosttbl2,ROUNDDOWN($H35,0),BZ$2)))))*ADRYr2!P35*ADRYr2!Q35*ADRYr2!U35)</f>
        <v/>
      </c>
      <c r="CA35" s="28" t="str">
        <f>IF($G35="","",$G35*(IF(ADRYr2!$AI35=CA$4,ADRYr2!$AJ35,IF(ADRYr2!$AK35=CA$4,ADRYr2!$AL35,IF(ADRYr2!$AM35=CA$4,ADRYr2!$AN35,0))))*(INDEX(avoidedcosttbl2,$H35,CA$2)+(($H35-ROUNDDOWN($H35,0))*(INDEX(avoidedcosttbl2,ROUNDUP($H35,0),CA$2)-(INDEX(avoidedcosttbl2,ROUNDDOWN($H35,0),CA$2)))))*ADRYr2!P35*ADRYr2!Q35*ADRYr2!U35)</f>
        <v/>
      </c>
      <c r="CB35" s="28" t="str">
        <f>IF($G35="","",$G35*(IF(ADRYr2!$AI35=CB$4,ADRYr2!$AJ35,IF(ADRYr2!$AK35=CB$4,ADRYr2!$AL35,IF(ADRYr2!$AM35=CB$4,ADRYr2!$AN35,0))))*(INDEX(avoidedcosttbl2,$H35,CB$2)+(($H35-ROUNDDOWN($H35,0))*(INDEX(avoidedcosttbl2,ROUNDUP($H35,0),CB$2)-(INDEX(avoidedcosttbl2,ROUNDDOWN($H35,0),CB$2)))))*ADRYr2!P35*ADRYr2!Q35*ADRYr2!U35)</f>
        <v/>
      </c>
      <c r="CC35" s="28" t="str">
        <f>IF($G35="","",$G35*(IF(ADRYr2!$AI35=CC$4,ADRYr2!$AJ35,IF(ADRYr2!$AK35=CC$4,ADRYr2!$AL35,IF(ADRYr2!$AM35=CC$4,ADRYr2!$AN35,0))))*(INDEX(avoidedcosttbl2,$H35,CC$2)+(($H35-ROUNDDOWN($H35,0))*(INDEX(avoidedcosttbl2,ROUNDUP($H35,0),CC$2)-(INDEX(avoidedcosttbl2,ROUNDDOWN($H35,0),CC$2)))))*ADRYr2!P35*ADRYr2!Q35*ADRYr2!U35)</f>
        <v/>
      </c>
      <c r="CD35" s="28" t="str">
        <f>IF($G35="","",$G35*(IF(ADRYr2!$AI35=CD$4,ADRYr2!$AJ35,IF(ADRYr2!$AK35=CD$4,ADRYr2!$AL35,IF(ADRYr2!$AM35=CD$4,ADRYr2!$AN35,0))))*(INDEX(avoidedcosttbl2,$H35,CD$2)+(($H35-ROUNDDOWN($H35,0))*(INDEX(avoidedcosttbl2,ROUNDUP($H35,0),CD$2)-(INDEX(avoidedcosttbl2,ROUNDDOWN($H35,0),CD$2)))))*ADRYr2!P35*ADRYr2!Q35*ADRYr2!U35)</f>
        <v/>
      </c>
      <c r="CE35" s="28" t="str">
        <f>IF($G35="","",$G35*(IF(ADRYr2!$AI35=CE$4,ADRYr2!$AJ35,IF(ADRYr2!$AK35=CE$4,ADRYr2!$AL35,IF(ADRYr2!$AM35=CE$4,ADRYr2!$AN35,0))))*(INDEX(avoidedcosttbl2,$H35,CE$2)+(($H35-ROUNDDOWN($H35,0))*(INDEX(avoidedcosttbl2,ROUNDUP($H35,0),CE$2)-(INDEX(avoidedcosttbl2,ROUNDDOWN($H35,0),CE$2)))))*ADRYr2!P35*ADRYr2!Q35*ADRYr2!U35)</f>
        <v/>
      </c>
      <c r="CF35" s="41" t="str">
        <f t="shared" si="38"/>
        <v/>
      </c>
      <c r="CG35" s="30" t="str">
        <f t="shared" si="11"/>
        <v/>
      </c>
      <c r="CH35" s="30" t="str">
        <f>IF($G35="","",$G35*(IF(ADRYr2!$AI35=BY$4,ADRYr2!$AJ35,IF(ADRYr2!$AK35=BY$4,ADRYr2!$AL35,IF(ADRYr2!$AM35=BY$4,ADRYr2!$AN35,0))))*(INDEX(avoidedcosttbl2,$H35,CH$2)+(($H35-ROUNDDOWN($H35,0))*(INDEX(avoidedcosttbl2,ROUNDUP($H35,0),CH$2)-(INDEX(avoidedcosttbl2,ROUNDDOWN($H35,0),CH$2)))))*ADRYr2!P35*ADRYr2!Q35*ADRYr2!U35)</f>
        <v/>
      </c>
      <c r="CI35" s="30" t="str">
        <f>IF($G35="","",$G35*(IF(ADRYr2!$AI35=BZ$4,ADRYr2!$AJ35,IF(ADRYr2!$AK35=BZ$4,ADRYr2!$AL35,IF(ADRYr2!$AM35=BZ$4,ADRYr2!$AN35,0))))*(INDEX(avoidedcosttbl2,$H35,CI$2)+(($H35-ROUNDDOWN($H35,0))*(INDEX(avoidedcosttbl2,ROUNDUP($H35,0),CI$2)-(INDEX(avoidedcosttbl2,ROUNDDOWN($H35,0),CI$2)))))*ADRYr2!P35*ADRYr2!Q35*ADRYr2!U35)</f>
        <v/>
      </c>
      <c r="CJ35" s="30" t="str">
        <f>IF($G35="","",$G35*(IF(ADRYr2!$AI35=CA$4,ADRYr2!$AJ35,IF(ADRYr2!$AK35=CA$4,ADRYr2!$AL35,IF(ADRYr2!$AM35=CA$4,ADRYr2!$AN35,0))))*(INDEX(avoidedcosttbl2,$H35,CJ$2)+(($H35-ROUNDDOWN($H35,0))*(INDEX(avoidedcosttbl2,ROUNDUP($H35,0),CJ$2)-(INDEX(avoidedcosttbl2,ROUNDDOWN($H35,0),CJ$2)))))*ADRYr2!P35*ADRYr2!Q35*ADRYr2!U35)</f>
        <v/>
      </c>
      <c r="CK35" s="30" t="str">
        <f>IF($G35="","",$G35*(IF(ADRYr2!$AI35=CB$4,ADRYr2!$AJ35,IF(ADRYr2!$AK35=CB$4,ADRYr2!$AL35,IF(ADRYr2!$AM35=CB$4,ADRYr2!$AN35,0))))*(INDEX(avoidedcosttbl2,$H35,CK$2)+(($H35-ROUNDDOWN($H35,0))*(INDEX(avoidedcosttbl2,ROUNDUP($H35,0),CK$2)-(INDEX(avoidedcosttbl2,ROUNDDOWN($H35,0),CK$2)))))*ADRYr2!P35*ADRYr2!Q35*ADRYr2!U35)</f>
        <v/>
      </c>
      <c r="CL35" s="30" t="str">
        <f>IF($G35="","",$G35*(IF(ADRYr2!$AI35=CC$4,ADRYr2!$AJ35,IF(ADRYr2!$AK35=CC$4,ADRYr2!$AL35,IF(ADRYr2!$AM35=CC$4,ADRYr2!$AN35,0))))*(INDEX(avoidedcosttbl2,$H35,CL$2)+(($H35-ROUNDDOWN($H35,0))*(INDEX(avoidedcosttbl2,ROUNDUP($H35,0),CL$2)-(INDEX(avoidedcosttbl2,ROUNDDOWN($H35,0),CL$2)))))*ADRYr2!P35*ADRYr2!Q35*ADRYr2!U35)</f>
        <v/>
      </c>
      <c r="CM35" s="30" t="str">
        <f>IF($G35="","",$G35*(IF(ADRYr2!$AI35=CD$4,ADRYr2!$AJ35,IF(ADRYr2!$AK35=CD$4,ADRYr2!$AL35,IF(ADRYr2!$AM35=CD$4,ADRYr2!$AN35,0))))*(INDEX(avoidedcosttbl2,$H35,CM$2)+(($H35-ROUNDDOWN($H35,0))*(INDEX(avoidedcosttbl2,ROUNDUP($H35,0),CM$2)-(INDEX(avoidedcosttbl2,ROUNDDOWN($H35,0),CM$2)))))*ADRYr2!P35*ADRYr2!Q35*ADRYr2!U35)</f>
        <v/>
      </c>
      <c r="CN35" s="30" t="str">
        <f>IF($G35="","",$G35*(IF(ADRYr2!$AI35=CE$4,ADRYr2!$AJ35,IF(ADRYr2!$AK35=CE$4,ADRYr2!$AL35,IF(ADRYr2!$AM35=CE$4,ADRYr2!$AN35,0))))*(INDEX(avoidedcosttbl2,$H35,CN$2)+(($H35-ROUNDDOWN($H35,0))*(INDEX(avoidedcosttbl2,ROUNDUP($H35,0),CN$2)-(INDEX(avoidedcosttbl2,ROUNDDOWN($H35,0),CN$2)))))*ADRYr2!P35*ADRYr2!Q35*ADRYr2!U35)</f>
        <v/>
      </c>
      <c r="CO35" s="220" t="str">
        <f t="shared" si="39"/>
        <v/>
      </c>
      <c r="CP35" s="220" t="str">
        <f t="shared" si="40"/>
        <v/>
      </c>
      <c r="CQ35" s="157" t="str">
        <f>IF($G35="","",$G35*(IF(ADRYr2!$AI35=CQ$4,ADRYr2!$AJ35,IF(ADRYr2!$AK35=CQ$4,ADRYr2!$AL35,IF(ADRYr2!$AM35=CQ$4,ADRYr2!$AN35,0))))*(INDEX(avoidedcosttbl2,$H35,CQ$2)+(($H35-ROUNDDOWN($H35,0))*(INDEX(avoidedcosttbl2,ROUNDUP($H35,0),CQ$2)-(INDEX(avoidedcosttbl2,ROUNDDOWN($H35,0),CQ$2)))))*ADRYr2!$P35*ADRYr2!$Q35*ADRYr2!$U35)</f>
        <v/>
      </c>
      <c r="CR35" s="28" t="str">
        <f>IF($G35="","",G35*(IF(ADRYr2!$AI35=CR$4,ADRYr2!$AJ35,IF(ADRYr2!$AK35=CR$4,ADRYr2!$AL35,IF(ADRYr2!$AM35=CR$4,ADRYr2!$AN35,0))))*(INDEX(avoidedcosttbl2,$H35,CR$2)+(($H35-ROUNDDOWN($H35,0))*(INDEX(avoidedcosttbl2,ROUNDUP($H35,0),CR$2)-(INDEX(avoidedcosttbl2,ROUNDDOWN($H35,0),CR$2)))))*ADRYr2!$P35*ADRYr2!$Q35*ADRYr2!$U35)</f>
        <v/>
      </c>
      <c r="CS35" s="28" t="str">
        <f>IF($G35="","",G35*(IF(ADRYr2!$AI35=CS$4,ADRYr2!$AJ35,IF(ADRYr2!$AK35=CS$4,ADRYr2!$AL35,IF(ADRYr2!$AM35=CS$4,ADRYr2!$AN35,0))))*(INDEX(avoidedcosttbl2,$H35,CS$2)+(($H35-ROUNDDOWN($H35,0))*(INDEX(avoidedcosttbl2,ROUNDUP($H35,0),CS$2)-(INDEX(avoidedcosttbl2,ROUNDDOWN($H35,0),CS$2)))))*ADRYr2!$P35*ADRYr2!$Q35*ADRYr2!$U35)</f>
        <v/>
      </c>
      <c r="CT35" s="28" t="str">
        <f t="shared" si="12"/>
        <v/>
      </c>
      <c r="CU35" s="28" t="str">
        <f>IF($G35="","",G35*(IF(ADRYr2!$AI35=CU$4,ADRYr2!$AJ35,IF(ADRYr2!$AK35=CU$4,ADRYr2!$AL35,IF(ADRYr2!$AM35=CU$4,ADRYr2!$AN35,0))))*(INDEX(avoidedcosttbl2,$H35,CU$2)+(($H35-ROUNDDOWN($H35,0))*(INDEX(avoidedcosttbl2,ROUNDUP($H35,0),CU$2)-(INDEX(avoidedcosttbl2,ROUNDDOWN($H35,0),CU$2)))))*ADRYr2!$P35*ADRYr2!$Q35*ADRYr2!$U35)</f>
        <v/>
      </c>
      <c r="CV35" s="28" t="str">
        <f>IF($G35="","",G35*(IF(ADRYr2!$AI35=CV$4,ADRYr2!$AJ35,IF(ADRYr2!$AK35=CV$4,ADRYr2!$AL35,IF(ADRYr2!$AM35=CV$4,ADRYr2!$AN35,0))))*(INDEX(avoidedcosttbl2,$H35,CV$2)+(($H35-ROUNDDOWN($H35,0))*(INDEX(avoidedcosttbl2,ROUNDUP($H35,0),CV$2)-(INDEX(avoidedcosttbl2,ROUNDDOWN($H35,0),CV$2)))))*ADRYr2!$P35*ADRYr2!$Q35*ADRYr2!$U35)</f>
        <v/>
      </c>
      <c r="CW35" s="28" t="str">
        <f>IF($G35="","",G35*(IF(ADRYr2!$AI35=CW$4,ADRYr2!$AJ35,IF(ADRYr2!$AK35=CW$4,ADRYr2!$AL35,IF(ADRYr2!$AM35=CW$4,ADRYr2!$AN35,0))))*(INDEX(avoidedcosttbl2,$H35,CW$2)+(($H35-ROUNDDOWN($H35,0))*(INDEX(avoidedcosttbl2,ROUNDUP($H35,0),CW$2)-(INDEX(avoidedcosttbl2,ROUNDDOWN($H35,0),CW$2)))))*ADRYr2!$P35*ADRYr2!$Q35*ADRYr2!$U35)</f>
        <v/>
      </c>
      <c r="CX35" s="28" t="str">
        <f>IF($G35="","",G35*(IF(ADRYr2!$AI35=CX$4,ADRYr2!$AJ35,IF(ADRYr2!$AK35=CX$4,ADRYr2!$AL35,IF(ADRYr2!$AM35=CX$4,ADRYr2!$AN35,0))))*(INDEX(avoidedcosttbl2,$H35,CX$2)+(($H35-ROUNDDOWN($H35,0))*(INDEX(avoidedcosttbl2,ROUNDUP($H35,0),CX$2)-(INDEX(avoidedcosttbl2,ROUNDDOWN($H35,0),CX$2)))))*ADRYr2!$P35*ADRYr2!$Q35*ADRYr2!$U35)</f>
        <v/>
      </c>
      <c r="CY35" s="28" t="str">
        <f t="shared" si="13"/>
        <v/>
      </c>
      <c r="CZ35" s="32" t="str">
        <f t="shared" si="14"/>
        <v/>
      </c>
      <c r="DA35" s="84" t="str">
        <f t="shared" si="41"/>
        <v/>
      </c>
      <c r="DB35" s="81" t="str">
        <f>IF(NEIadder="Yes",IF($G35="","",INDEX(Lookups!$G$70:$G$71,MATCH($A35,Lookups!$E$70:$E$71,0))*(SUM(CP35:CX35,BX35))),"")</f>
        <v/>
      </c>
      <c r="DC35" s="263" t="str">
        <f t="shared" si="15"/>
        <v/>
      </c>
      <c r="DD35" s="166" t="str">
        <f t="shared" si="16"/>
        <v/>
      </c>
      <c r="DE35" s="82">
        <f t="shared" si="42"/>
        <v>0</v>
      </c>
      <c r="DF35" s="615" t="str">
        <f>IF($G35="","",(1+WntPeakEnergyLL)*(INDEX(avoidedcosttbl2,$H35,DF$2)+(($H35-ROUNDDOWN($H35,0))*(INDEX(avoidedcosttbl2,ROUNDUP($H35,0),DF$2)-(INDEX(avoidedcosttbl2,ROUNDDOWN($H35,0),DF$2)))))*$P35*1000*ADRYr2!Z35)</f>
        <v/>
      </c>
      <c r="DG35" s="615" t="str">
        <f>IF($G35="","",(1+WntOffPeakEnergyLL)*(INDEX(avoidedcosttbl2,$H35,DG$2)+(($H35-ROUNDDOWN($H35,0))*(INDEX(avoidedcosttbl2,ROUNDUP($H35,0),DG$2)-(INDEX(avoidedcosttbl2,ROUNDDOWN($H35,0),DG$2)))))*$P35*1000*ADRYr2!AA35)</f>
        <v/>
      </c>
      <c r="DH35" s="615" t="str">
        <f>IF($G35="","",(1+SumPeakEnergyLL)*(INDEX(avoidedcosttbl2,$H35,DH$2)+(($H35-ROUNDDOWN($H35,0))*(INDEX(avoidedcosttbl2,ROUNDUP($H35,0),DH$2)-(INDEX(avoidedcosttbl2,ROUNDDOWN($H35,0),DH$2)))))*$P35*1000*ADRYr2!AB35)</f>
        <v/>
      </c>
      <c r="DI35" s="615" t="str">
        <f>IF($G35="","",(1+SumOffPeakEnergyLL)*(INDEX(avoidedcosttbl2,$H35,DI$2)+(($H35-ROUNDDOWN($H35,0))*(INDEX(avoidedcosttbl2,ROUNDUP($H35,0),DI$2)-(INDEX(avoidedcosttbl2,ROUNDDOWN($H35,0),DI$2)))))*$P35*1000*ADRYr2!AC35)</f>
        <v/>
      </c>
      <c r="DJ35" s="29" t="str">
        <f t="shared" si="43"/>
        <v/>
      </c>
      <c r="DK35" s="161" t="str">
        <f t="shared" si="44"/>
        <v/>
      </c>
      <c r="DL35" s="1189" t="str">
        <f t="shared" si="45"/>
        <v/>
      </c>
      <c r="DM35" s="1189" t="str">
        <f t="shared" si="46"/>
        <v/>
      </c>
      <c r="DN35" s="43" t="str">
        <f t="shared" si="47"/>
        <v/>
      </c>
      <c r="DO35" s="966" t="str">
        <f>IF($G35="","",ADRYr2!AQ35)</f>
        <v/>
      </c>
      <c r="DP35" s="968" t="str">
        <f>IF($G35="","",ADRYr2!AR35)</f>
        <v/>
      </c>
      <c r="DQ35" s="970" t="str">
        <f>IF($G35="","",IF($DP35="Yes",COLUMN(AESC!$L$10),IF($DP35="No","Using AvoidedDemand tab",IF($DP35="Mixed",COLUMN(AESC!$N$10)))))</f>
        <v/>
      </c>
      <c r="DR35" s="970" t="str">
        <f>IF($G35="","",IF($DP35="Yes",COLUMN(AESC!$P$10),IF($DP35="No","Using AvoidedDemand tab",IF($DP35="Mixed",COLUMN(AESC!$R$10)))))</f>
        <v/>
      </c>
      <c r="DS35" s="970" t="str">
        <f>IF($G35="","",IF($DP35="Yes",COLUMN(AESC!$S$10),IF($DP35="No",COLUMN(AESC!$T$10),IF($DP35="Mixed",COLUMN(AESC!$U$10)))))</f>
        <v/>
      </c>
      <c r="DT35" s="970" t="str">
        <f t="shared" si="48"/>
        <v/>
      </c>
      <c r="DU35" s="970" t="str">
        <f>IF($G35="","",ADRYr2!AS35)</f>
        <v/>
      </c>
      <c r="DV35" s="971" t="str">
        <f>IF($G35="","",ADRYr2!AT35)</f>
        <v/>
      </c>
      <c r="DW35" s="1162" t="str">
        <f>IF($G35="","",INDEX(AvoidedEnergy!$H$4:$H$10,MATCH($DO35,AvoidedEnergy!$A$4:$A$10,0)))</f>
        <v/>
      </c>
    </row>
    <row r="36" spans="1:127">
      <c r="A36" s="160" t="str">
        <f>IF(ADRYr2!$B36=0,"",ADRYr2!A36)</f>
        <v>C - Commercial &amp; Industrial</v>
      </c>
      <c r="B36" s="9" t="str">
        <f>IF(ADRYr2!$B36=0,"",ADRYr2!B36)</f>
        <v>C5 - C&amp;I Active Demand Response</v>
      </c>
      <c r="C36" s="9" t="str">
        <f>IF(ADRYr2!$B36=0,"",ADRYr2!C36)</f>
        <v>C5a - C&amp;I Active Demand Response</v>
      </c>
      <c r="D36" s="9" t="str">
        <f>IF(ADRYr2!$B36=0,"",ADRYr2!D36)</f>
        <v>Storage Daily Dispatch P4P (consumption) Summer</v>
      </c>
      <c r="E36" s="9" t="str">
        <f>IF(ADRYr2!$B36=0,"",ADRYr2!E36)</f>
        <v>E21C5a003</v>
      </c>
      <c r="F36" s="11" t="str">
        <f>IF(ADRYr2!$B36=0,"",ADRYr2!F36)</f>
        <v>Behavior</v>
      </c>
      <c r="G36" s="12" t="str">
        <f>IF(ADRYr2!$G36&lt;&gt;0,ADRYr2!G36,"")</f>
        <v/>
      </c>
      <c r="H36" s="960" t="str">
        <f>IF($G36="","",ROUND(ADRYr2!H36,0))</f>
        <v/>
      </c>
      <c r="I36" s="47" t="str">
        <f>IF($G36="","",ADRYr2!I36*ADRYr2!P36*G36)</f>
        <v/>
      </c>
      <c r="J36" s="47" t="str">
        <f>IF($G36="","",ADRYr2!J36*G36)</f>
        <v/>
      </c>
      <c r="K36" s="47" t="str">
        <f t="shared" si="17"/>
        <v/>
      </c>
      <c r="L36" s="27" t="str">
        <f>IF($G36="","",ADRYr2!V36*G36/1000)</f>
        <v/>
      </c>
      <c r="M36" s="27" t="str">
        <f>IF($G36="","",L36*ADRYr2!$Q36*ADRYr2!$R36)</f>
        <v/>
      </c>
      <c r="N36" s="27" t="str">
        <f t="shared" si="18"/>
        <v/>
      </c>
      <c r="O36" s="27" t="str">
        <f t="shared" si="19"/>
        <v/>
      </c>
      <c r="P36" s="27" t="str">
        <f>IF($G36="","",M36*ADRYr2!P36)</f>
        <v/>
      </c>
      <c r="Q36" s="27" t="str">
        <f t="shared" si="20"/>
        <v/>
      </c>
      <c r="R36" s="27" t="str">
        <f>IF($G36="","",$Q36*ADRYr2!Z36)</f>
        <v/>
      </c>
      <c r="S36" s="27" t="str">
        <f>IF($G36="","",$Q36*ADRYr2!AA36)</f>
        <v/>
      </c>
      <c r="T36" s="27" t="str">
        <f>IF($G36="","",$Q36*ADRYr2!AB36)</f>
        <v/>
      </c>
      <c r="U36" s="27" t="str">
        <f>IF($G36="","",$Q36*ADRYr2!AC36)</f>
        <v/>
      </c>
      <c r="V36" s="27" t="str">
        <f>IF($G36="","",G36*ADRYr2!$AD36*ADRYr2!$P36*ADRYr2!$Q36)</f>
        <v/>
      </c>
      <c r="W36" s="27" t="str">
        <f>IF($G36="","",$G36*ADRYr2!$AD36*ADRYr2!$AF36*ADRYr2!Q36*ADRYr2!$S36)</f>
        <v/>
      </c>
      <c r="X36" s="27" t="str">
        <f>IF($G36="","",$G36*ADRYr2!$AD36*ADRYr2!$AF36*ADRYr2!P36*ADRYr2!Q36*ADRYr2!$S36)</f>
        <v/>
      </c>
      <c r="Y36" s="27" t="str">
        <f>IF($G36="","",$G36*ADRYr2!$AD36*ADRYr2!$AE36*ADRYr2!Q36*ADRYr2!$T36)</f>
        <v/>
      </c>
      <c r="Z36" s="27" t="str">
        <f>IF($G36="","",$G36*ADRYr2!$AD36*ADRYr2!$AE36*ADRYr2!P36*ADRYr2!Q36*ADRYr2!$T36)</f>
        <v/>
      </c>
      <c r="AA36" s="45" t="str">
        <f>IF($G36="","",$G36*ADRYr2!$Q36*ADRYr2!$U36*(IF(IFERROR(SEARCH("NG", ADRYr2!$AI36),0),ADRYr2!$AJ36,0)+IF(IFERROR(SEARCH("NG", ADRYr2!$AK36),0),ADRYr2!$AL36,0)+IF(IFERROR(SEARCH("NG", ADRYr2!$AM36),0),ADRYr2!$AN36,0)))</f>
        <v/>
      </c>
      <c r="AB36" s="45" t="str">
        <f t="shared" si="21"/>
        <v/>
      </c>
      <c r="AC36" s="45">
        <f>IF($G36="",0,AA36*ADRYr2!$P36)</f>
        <v>0</v>
      </c>
      <c r="AD36" s="45" t="str">
        <f t="shared" si="22"/>
        <v/>
      </c>
      <c r="AE36" s="45" t="str">
        <f>IF($G36="","",$G36*ADRYr2!$Q36*ADRYr2!$U36*(IF(IFERROR(SEARCH("Oil", ADRYr2!$AI36), 0),ADRYr2!$AJ36,0)+IF(IFERROR(SEARCH("Oil", ADRYr2!$AK36), 0),ADRYr2!$AL36,0)+IF(IFERROR(SEARCH("Oil", ADRYr2!$AM36), 0),ADRYr2!$AN36,0)))</f>
        <v/>
      </c>
      <c r="AF36" s="45" t="str">
        <f t="shared" si="23"/>
        <v/>
      </c>
      <c r="AG36" s="45">
        <f>IF($G36="",0,AE36*ADRYr2!$P36)</f>
        <v>0</v>
      </c>
      <c r="AH36" s="45" t="str">
        <f t="shared" si="24"/>
        <v/>
      </c>
      <c r="AI36" s="45" t="str">
        <f>IF($G36="","",$G36*ADRYr2!$Q36*ADRYr2!$U36*(IF(ADRYr2!$AI36=Lookups!$E$116,ADRYr2!$AJ36,IF(ADRYr2!$AK36=Lookups!$E$116,ADRYr2!$AL36,IF(ADRYr2!$AM36=Lookups!$E$116,ADRYr2!$AN36,0)))))</f>
        <v/>
      </c>
      <c r="AJ36" s="45" t="str">
        <f t="shared" si="25"/>
        <v/>
      </c>
      <c r="AK36" s="45">
        <f>IF($G36="",0,AI36*ADRYr2!$P36)</f>
        <v>0</v>
      </c>
      <c r="AL36" s="45" t="str">
        <f t="shared" si="26"/>
        <v/>
      </c>
      <c r="AM36" s="45" t="str">
        <f>IF($G36="","",$G36*ADRYr2!$Q36*ADRYr2!$U36*(IF(ADRYr2!$AI36=Lookups!$E$115,ADRYr2!$AJ36,IF(ADRYr2!$AK36=Lookups!$E$115,ADRYr2!$AL36,IF(ADRYr2!$AM36=Lookups!$E$115,ADRYr2!$AN36,0)))))</f>
        <v/>
      </c>
      <c r="AN36" s="45" t="str">
        <f t="shared" si="27"/>
        <v/>
      </c>
      <c r="AO36" s="45">
        <f>IF($G36="",0,AM36*ADRYr2!$P36)</f>
        <v>0</v>
      </c>
      <c r="AP36" s="45" t="str">
        <f t="shared" si="28"/>
        <v/>
      </c>
      <c r="AQ36" s="45" t="str">
        <f>IF($G36="","",$G36*ADRYr2!$Q36*ADRYr2!$U36*(IF(ADRYr2!$AI36=Lookups!$E$117,ADRYr2!$AJ36,IF(ADRYr2!$AK36=Lookups!$E$117,ADRYr2!$AL36,IF(ADRYr2!$AM36=Lookups!$E$117,ADRYr2!$AN36,0)))))</f>
        <v/>
      </c>
      <c r="AR36" s="45" t="str">
        <f t="shared" si="29"/>
        <v/>
      </c>
      <c r="AS36" s="45" t="str">
        <f>IF($G36="","",AQ36*ADRYr2!$P36)</f>
        <v/>
      </c>
      <c r="AT36" s="45" t="str">
        <f t="shared" si="30"/>
        <v/>
      </c>
      <c r="AU36" s="45" t="str">
        <f>IF($G36="","",$G36*ADRYr2!$Q36*ADRYr2!$U36*(IF(ADRYr2!$AI36=Lookups!$E$118,ADRYr2!$AJ36,IF(ADRYr2!$AK36=Lookups!$E$118,ADRYr2!$AL36,IF(ADRYr2!$AM36=Lookups!$E$118,ADRYr2!$AN36,0)))))</f>
        <v/>
      </c>
      <c r="AV36" s="45" t="str">
        <f t="shared" si="31"/>
        <v/>
      </c>
      <c r="AW36" s="45" t="str">
        <f>IF($G36="","",AU36*ADRYr2!$P36)</f>
        <v/>
      </c>
      <c r="AX36" s="45" t="str">
        <f t="shared" si="32"/>
        <v/>
      </c>
      <c r="AY36" s="45">
        <f t="shared" si="49"/>
        <v>0</v>
      </c>
      <c r="AZ36" s="45">
        <f t="shared" si="49"/>
        <v>0</v>
      </c>
      <c r="BA36" s="101" t="str">
        <f>IF($G36="","",$G36*ADRYr2!$P36*ADRYr2!$Q36*ADRYr2!$U36*ADRYr2!AO36)</f>
        <v/>
      </c>
      <c r="BB36" s="102" t="str">
        <f>IF($G36="","",$G36*ADRYr2!$P36*ADRYr2!$Q36*ADRYr2!$U36*ADRYr2!AP36)</f>
        <v/>
      </c>
      <c r="BC36" s="100" t="str">
        <f t="shared" si="34"/>
        <v/>
      </c>
      <c r="BD36" s="961"/>
      <c r="BE36" s="961"/>
      <c r="BF36" s="961"/>
      <c r="BG36" s="961"/>
      <c r="BH36" s="962" t="str">
        <f t="shared" si="3"/>
        <v/>
      </c>
      <c r="BI36" s="961"/>
      <c r="BJ36" s="961"/>
      <c r="BK36" s="961"/>
      <c r="BL36" s="961"/>
      <c r="BM36" s="30" t="str">
        <f t="shared" si="4"/>
        <v/>
      </c>
      <c r="BN36" s="963" t="str">
        <f t="shared" si="5"/>
        <v/>
      </c>
      <c r="BO36" s="31" t="str">
        <f t="shared" si="35"/>
        <v/>
      </c>
      <c r="BP36" s="964" t="str">
        <f t="shared" si="6"/>
        <v/>
      </c>
      <c r="BQ36" s="28" t="str">
        <f t="shared" si="7"/>
        <v/>
      </c>
      <c r="BR36" s="964" t="str">
        <f t="shared" si="8"/>
        <v/>
      </c>
      <c r="BS36" s="964" t="str">
        <f t="shared" si="9"/>
        <v/>
      </c>
      <c r="BT36" s="28" t="str">
        <f t="shared" si="50"/>
        <v/>
      </c>
      <c r="BU36" s="28" t="str">
        <f t="shared" si="50"/>
        <v/>
      </c>
      <c r="BV36" s="28" t="str">
        <f t="shared" si="50"/>
        <v/>
      </c>
      <c r="BW36" s="29" t="str">
        <f t="shared" si="36"/>
        <v/>
      </c>
      <c r="BX36" s="29" t="str">
        <f t="shared" si="37"/>
        <v/>
      </c>
      <c r="BY36" s="28" t="str">
        <f>IF($G36="","",$G36*(IF(ADRYr2!$AI36=BY$4,ADRYr2!$AJ36,IF(ADRYr2!$AK36=BY$4,ADRYr2!$AL36,IF(ADRYr2!$AM36=BY$4,ADRYr2!$AN36,0))))*(INDEX(avoidedcosttbl2,$H36,BY$2)+(($H36-ROUNDDOWN($H36,0))*(INDEX(avoidedcosttbl2,ROUNDUP($H36,0),BY$2)-(INDEX(avoidedcosttbl2,ROUNDDOWN($H36,0),BY$2)))))*ADRYr2!P36*ADRYr2!Q36*ADRYr2!U36)</f>
        <v/>
      </c>
      <c r="BZ36" s="28" t="str">
        <f>IF($G36="","",$G36*(IF(ADRYr2!$AI36=BZ$4,ADRYr2!$AJ36,IF(ADRYr2!$AK36=BZ$4,ADRYr2!$AL36,IF(ADRYr2!$AM36=BZ$4,ADRYr2!$AN36,0))))*(INDEX(avoidedcosttbl2,$H36,BZ$2)+(($H36-ROUNDDOWN($H36,0))*(INDEX(avoidedcosttbl2,ROUNDUP($H36,0),BZ$2)-(INDEX(avoidedcosttbl2,ROUNDDOWN($H36,0),BZ$2)))))*ADRYr2!P36*ADRYr2!Q36*ADRYr2!U36)</f>
        <v/>
      </c>
      <c r="CA36" s="28" t="str">
        <f>IF($G36="","",$G36*(IF(ADRYr2!$AI36=CA$4,ADRYr2!$AJ36,IF(ADRYr2!$AK36=CA$4,ADRYr2!$AL36,IF(ADRYr2!$AM36=CA$4,ADRYr2!$AN36,0))))*(INDEX(avoidedcosttbl2,$H36,CA$2)+(($H36-ROUNDDOWN($H36,0))*(INDEX(avoidedcosttbl2,ROUNDUP($H36,0),CA$2)-(INDEX(avoidedcosttbl2,ROUNDDOWN($H36,0),CA$2)))))*ADRYr2!P36*ADRYr2!Q36*ADRYr2!U36)</f>
        <v/>
      </c>
      <c r="CB36" s="28" t="str">
        <f>IF($G36="","",$G36*(IF(ADRYr2!$AI36=CB$4,ADRYr2!$AJ36,IF(ADRYr2!$AK36=CB$4,ADRYr2!$AL36,IF(ADRYr2!$AM36=CB$4,ADRYr2!$AN36,0))))*(INDEX(avoidedcosttbl2,$H36,CB$2)+(($H36-ROUNDDOWN($H36,0))*(INDEX(avoidedcosttbl2,ROUNDUP($H36,0),CB$2)-(INDEX(avoidedcosttbl2,ROUNDDOWN($H36,0),CB$2)))))*ADRYr2!P36*ADRYr2!Q36*ADRYr2!U36)</f>
        <v/>
      </c>
      <c r="CC36" s="28" t="str">
        <f>IF($G36="","",$G36*(IF(ADRYr2!$AI36=CC$4,ADRYr2!$AJ36,IF(ADRYr2!$AK36=CC$4,ADRYr2!$AL36,IF(ADRYr2!$AM36=CC$4,ADRYr2!$AN36,0))))*(INDEX(avoidedcosttbl2,$H36,CC$2)+(($H36-ROUNDDOWN($H36,0))*(INDEX(avoidedcosttbl2,ROUNDUP($H36,0),CC$2)-(INDEX(avoidedcosttbl2,ROUNDDOWN($H36,0),CC$2)))))*ADRYr2!P36*ADRYr2!Q36*ADRYr2!U36)</f>
        <v/>
      </c>
      <c r="CD36" s="28" t="str">
        <f>IF($G36="","",$G36*(IF(ADRYr2!$AI36=CD$4,ADRYr2!$AJ36,IF(ADRYr2!$AK36=CD$4,ADRYr2!$AL36,IF(ADRYr2!$AM36=CD$4,ADRYr2!$AN36,0))))*(INDEX(avoidedcosttbl2,$H36,CD$2)+(($H36-ROUNDDOWN($H36,0))*(INDEX(avoidedcosttbl2,ROUNDUP($H36,0),CD$2)-(INDEX(avoidedcosttbl2,ROUNDDOWN($H36,0),CD$2)))))*ADRYr2!P36*ADRYr2!Q36*ADRYr2!U36)</f>
        <v/>
      </c>
      <c r="CE36" s="28" t="str">
        <f>IF($G36="","",$G36*(IF(ADRYr2!$AI36=CE$4,ADRYr2!$AJ36,IF(ADRYr2!$AK36=CE$4,ADRYr2!$AL36,IF(ADRYr2!$AM36=CE$4,ADRYr2!$AN36,0))))*(INDEX(avoidedcosttbl2,$H36,CE$2)+(($H36-ROUNDDOWN($H36,0))*(INDEX(avoidedcosttbl2,ROUNDUP($H36,0),CE$2)-(INDEX(avoidedcosttbl2,ROUNDDOWN($H36,0),CE$2)))))*ADRYr2!P36*ADRYr2!Q36*ADRYr2!U36)</f>
        <v/>
      </c>
      <c r="CF36" s="41" t="str">
        <f t="shared" si="38"/>
        <v/>
      </c>
      <c r="CG36" s="30" t="str">
        <f t="shared" si="11"/>
        <v/>
      </c>
      <c r="CH36" s="30" t="str">
        <f>IF($G36="","",$G36*(IF(ADRYr2!$AI36=BY$4,ADRYr2!$AJ36,IF(ADRYr2!$AK36=BY$4,ADRYr2!$AL36,IF(ADRYr2!$AM36=BY$4,ADRYr2!$AN36,0))))*(INDEX(avoidedcosttbl2,$H36,CH$2)+(($H36-ROUNDDOWN($H36,0))*(INDEX(avoidedcosttbl2,ROUNDUP($H36,0),CH$2)-(INDEX(avoidedcosttbl2,ROUNDDOWN($H36,0),CH$2)))))*ADRYr2!P36*ADRYr2!Q36*ADRYr2!U36)</f>
        <v/>
      </c>
      <c r="CI36" s="30" t="str">
        <f>IF($G36="","",$G36*(IF(ADRYr2!$AI36=BZ$4,ADRYr2!$AJ36,IF(ADRYr2!$AK36=BZ$4,ADRYr2!$AL36,IF(ADRYr2!$AM36=BZ$4,ADRYr2!$AN36,0))))*(INDEX(avoidedcosttbl2,$H36,CI$2)+(($H36-ROUNDDOWN($H36,0))*(INDEX(avoidedcosttbl2,ROUNDUP($H36,0),CI$2)-(INDEX(avoidedcosttbl2,ROUNDDOWN($H36,0),CI$2)))))*ADRYr2!P36*ADRYr2!Q36*ADRYr2!U36)</f>
        <v/>
      </c>
      <c r="CJ36" s="30" t="str">
        <f>IF($G36="","",$G36*(IF(ADRYr2!$AI36=CA$4,ADRYr2!$AJ36,IF(ADRYr2!$AK36=CA$4,ADRYr2!$AL36,IF(ADRYr2!$AM36=CA$4,ADRYr2!$AN36,0))))*(INDEX(avoidedcosttbl2,$H36,CJ$2)+(($H36-ROUNDDOWN($H36,0))*(INDEX(avoidedcosttbl2,ROUNDUP($H36,0),CJ$2)-(INDEX(avoidedcosttbl2,ROUNDDOWN($H36,0),CJ$2)))))*ADRYr2!P36*ADRYr2!Q36*ADRYr2!U36)</f>
        <v/>
      </c>
      <c r="CK36" s="30" t="str">
        <f>IF($G36="","",$G36*(IF(ADRYr2!$AI36=CB$4,ADRYr2!$AJ36,IF(ADRYr2!$AK36=CB$4,ADRYr2!$AL36,IF(ADRYr2!$AM36=CB$4,ADRYr2!$AN36,0))))*(INDEX(avoidedcosttbl2,$H36,CK$2)+(($H36-ROUNDDOWN($H36,0))*(INDEX(avoidedcosttbl2,ROUNDUP($H36,0),CK$2)-(INDEX(avoidedcosttbl2,ROUNDDOWN($H36,0),CK$2)))))*ADRYr2!P36*ADRYr2!Q36*ADRYr2!U36)</f>
        <v/>
      </c>
      <c r="CL36" s="30" t="str">
        <f>IF($G36="","",$G36*(IF(ADRYr2!$AI36=CC$4,ADRYr2!$AJ36,IF(ADRYr2!$AK36=CC$4,ADRYr2!$AL36,IF(ADRYr2!$AM36=CC$4,ADRYr2!$AN36,0))))*(INDEX(avoidedcosttbl2,$H36,CL$2)+(($H36-ROUNDDOWN($H36,0))*(INDEX(avoidedcosttbl2,ROUNDUP($H36,0),CL$2)-(INDEX(avoidedcosttbl2,ROUNDDOWN($H36,0),CL$2)))))*ADRYr2!P36*ADRYr2!Q36*ADRYr2!U36)</f>
        <v/>
      </c>
      <c r="CM36" s="30" t="str">
        <f>IF($G36="","",$G36*(IF(ADRYr2!$AI36=CD$4,ADRYr2!$AJ36,IF(ADRYr2!$AK36=CD$4,ADRYr2!$AL36,IF(ADRYr2!$AM36=CD$4,ADRYr2!$AN36,0))))*(INDEX(avoidedcosttbl2,$H36,CM$2)+(($H36-ROUNDDOWN($H36,0))*(INDEX(avoidedcosttbl2,ROUNDUP($H36,0),CM$2)-(INDEX(avoidedcosttbl2,ROUNDDOWN($H36,0),CM$2)))))*ADRYr2!P36*ADRYr2!Q36*ADRYr2!U36)</f>
        <v/>
      </c>
      <c r="CN36" s="30" t="str">
        <f>IF($G36="","",$G36*(IF(ADRYr2!$AI36=CE$4,ADRYr2!$AJ36,IF(ADRYr2!$AK36=CE$4,ADRYr2!$AL36,IF(ADRYr2!$AM36=CE$4,ADRYr2!$AN36,0))))*(INDEX(avoidedcosttbl2,$H36,CN$2)+(($H36-ROUNDDOWN($H36,0))*(INDEX(avoidedcosttbl2,ROUNDUP($H36,0),CN$2)-(INDEX(avoidedcosttbl2,ROUNDDOWN($H36,0),CN$2)))))*ADRYr2!P36*ADRYr2!Q36*ADRYr2!U36)</f>
        <v/>
      </c>
      <c r="CO36" s="220" t="str">
        <f t="shared" si="39"/>
        <v/>
      </c>
      <c r="CP36" s="220" t="str">
        <f t="shared" si="40"/>
        <v/>
      </c>
      <c r="CQ36" s="157" t="str">
        <f>IF($G36="","",$G36*(IF(ADRYr2!$AI36=CQ$4,ADRYr2!$AJ36,IF(ADRYr2!$AK36=CQ$4,ADRYr2!$AL36,IF(ADRYr2!$AM36=CQ$4,ADRYr2!$AN36,0))))*(INDEX(avoidedcosttbl2,$H36,CQ$2)+(($H36-ROUNDDOWN($H36,0))*(INDEX(avoidedcosttbl2,ROUNDUP($H36,0),CQ$2)-(INDEX(avoidedcosttbl2,ROUNDDOWN($H36,0),CQ$2)))))*ADRYr2!$P36*ADRYr2!$Q36*ADRYr2!$U36)</f>
        <v/>
      </c>
      <c r="CR36" s="28" t="str">
        <f>IF($G36="","",G36*(IF(ADRYr2!$AI36=CR$4,ADRYr2!$AJ36,IF(ADRYr2!$AK36=CR$4,ADRYr2!$AL36,IF(ADRYr2!$AM36=CR$4,ADRYr2!$AN36,0))))*(INDEX(avoidedcosttbl2,$H36,CR$2)+(($H36-ROUNDDOWN($H36,0))*(INDEX(avoidedcosttbl2,ROUNDUP($H36,0),CR$2)-(INDEX(avoidedcosttbl2,ROUNDDOWN($H36,0),CR$2)))))*ADRYr2!$P36*ADRYr2!$Q36*ADRYr2!$U36)</f>
        <v/>
      </c>
      <c r="CS36" s="28" t="str">
        <f>IF($G36="","",G36*(IF(ADRYr2!$AI36=CS$4,ADRYr2!$AJ36,IF(ADRYr2!$AK36=CS$4,ADRYr2!$AL36,IF(ADRYr2!$AM36=CS$4,ADRYr2!$AN36,0))))*(INDEX(avoidedcosttbl2,$H36,CS$2)+(($H36-ROUNDDOWN($H36,0))*(INDEX(avoidedcosttbl2,ROUNDUP($H36,0),CS$2)-(INDEX(avoidedcosttbl2,ROUNDDOWN($H36,0),CS$2)))))*ADRYr2!$P36*ADRYr2!$Q36*ADRYr2!$U36)</f>
        <v/>
      </c>
      <c r="CT36" s="28" t="str">
        <f t="shared" si="12"/>
        <v/>
      </c>
      <c r="CU36" s="28" t="str">
        <f>IF($G36="","",G36*(IF(ADRYr2!$AI36=CU$4,ADRYr2!$AJ36,IF(ADRYr2!$AK36=CU$4,ADRYr2!$AL36,IF(ADRYr2!$AM36=CU$4,ADRYr2!$AN36,0))))*(INDEX(avoidedcosttbl2,$H36,CU$2)+(($H36-ROUNDDOWN($H36,0))*(INDEX(avoidedcosttbl2,ROUNDUP($H36,0),CU$2)-(INDEX(avoidedcosttbl2,ROUNDDOWN($H36,0),CU$2)))))*ADRYr2!$P36*ADRYr2!$Q36*ADRYr2!$U36)</f>
        <v/>
      </c>
      <c r="CV36" s="28" t="str">
        <f>IF($G36="","",G36*(IF(ADRYr2!$AI36=CV$4,ADRYr2!$AJ36,IF(ADRYr2!$AK36=CV$4,ADRYr2!$AL36,IF(ADRYr2!$AM36=CV$4,ADRYr2!$AN36,0))))*(INDEX(avoidedcosttbl2,$H36,CV$2)+(($H36-ROUNDDOWN($H36,0))*(INDEX(avoidedcosttbl2,ROUNDUP($H36,0),CV$2)-(INDEX(avoidedcosttbl2,ROUNDDOWN($H36,0),CV$2)))))*ADRYr2!$P36*ADRYr2!$Q36*ADRYr2!$U36)</f>
        <v/>
      </c>
      <c r="CW36" s="28" t="str">
        <f>IF($G36="","",G36*(IF(ADRYr2!$AI36=CW$4,ADRYr2!$AJ36,IF(ADRYr2!$AK36=CW$4,ADRYr2!$AL36,IF(ADRYr2!$AM36=CW$4,ADRYr2!$AN36,0))))*(INDEX(avoidedcosttbl2,$H36,CW$2)+(($H36-ROUNDDOWN($H36,0))*(INDEX(avoidedcosttbl2,ROUNDUP($H36,0),CW$2)-(INDEX(avoidedcosttbl2,ROUNDDOWN($H36,0),CW$2)))))*ADRYr2!$P36*ADRYr2!$Q36*ADRYr2!$U36)</f>
        <v/>
      </c>
      <c r="CX36" s="28" t="str">
        <f>IF($G36="","",G36*(IF(ADRYr2!$AI36=CX$4,ADRYr2!$AJ36,IF(ADRYr2!$AK36=CX$4,ADRYr2!$AL36,IF(ADRYr2!$AM36=CX$4,ADRYr2!$AN36,0))))*(INDEX(avoidedcosttbl2,$H36,CX$2)+(($H36-ROUNDDOWN($H36,0))*(INDEX(avoidedcosttbl2,ROUNDUP($H36,0),CX$2)-(INDEX(avoidedcosttbl2,ROUNDDOWN($H36,0),CX$2)))))*ADRYr2!$P36*ADRYr2!$Q36*ADRYr2!$U36)</f>
        <v/>
      </c>
      <c r="CY36" s="28" t="str">
        <f t="shared" si="13"/>
        <v/>
      </c>
      <c r="CZ36" s="32" t="str">
        <f t="shared" si="14"/>
        <v/>
      </c>
      <c r="DA36" s="84" t="str">
        <f t="shared" si="41"/>
        <v/>
      </c>
      <c r="DB36" s="81" t="str">
        <f>IF(NEIadder="Yes",IF($G36="","",INDEX(Lookups!$G$70:$G$71,MATCH($A36,Lookups!$E$70:$E$71,0))*(SUM(CP36:CX36,BX36))),"")</f>
        <v/>
      </c>
      <c r="DC36" s="263" t="str">
        <f t="shared" si="15"/>
        <v/>
      </c>
      <c r="DD36" s="166" t="str">
        <f t="shared" si="16"/>
        <v/>
      </c>
      <c r="DE36" s="82">
        <f t="shared" si="42"/>
        <v>0</v>
      </c>
      <c r="DF36" s="615" t="str">
        <f>IF($G36="","",(1+WntPeakEnergyLL)*(INDEX(avoidedcosttbl2,$H36,DF$2)+(($H36-ROUNDDOWN($H36,0))*(INDEX(avoidedcosttbl2,ROUNDUP($H36,0),DF$2)-(INDEX(avoidedcosttbl2,ROUNDDOWN($H36,0),DF$2)))))*$P36*1000*ADRYr2!Z36)</f>
        <v/>
      </c>
      <c r="DG36" s="615" t="str">
        <f>IF($G36="","",(1+WntOffPeakEnergyLL)*(INDEX(avoidedcosttbl2,$H36,DG$2)+(($H36-ROUNDDOWN($H36,0))*(INDEX(avoidedcosttbl2,ROUNDUP($H36,0),DG$2)-(INDEX(avoidedcosttbl2,ROUNDDOWN($H36,0),DG$2)))))*$P36*1000*ADRYr2!AA36)</f>
        <v/>
      </c>
      <c r="DH36" s="615" t="str">
        <f>IF($G36="","",(1+SumPeakEnergyLL)*(INDEX(avoidedcosttbl2,$H36,DH$2)+(($H36-ROUNDDOWN($H36,0))*(INDEX(avoidedcosttbl2,ROUNDUP($H36,0),DH$2)-(INDEX(avoidedcosttbl2,ROUNDDOWN($H36,0),DH$2)))))*$P36*1000*ADRYr2!AB36)</f>
        <v/>
      </c>
      <c r="DI36" s="615" t="str">
        <f>IF($G36="","",(1+SumOffPeakEnergyLL)*(INDEX(avoidedcosttbl2,$H36,DI$2)+(($H36-ROUNDDOWN($H36,0))*(INDEX(avoidedcosttbl2,ROUNDUP($H36,0),DI$2)-(INDEX(avoidedcosttbl2,ROUNDDOWN($H36,0),DI$2)))))*$P36*1000*ADRYr2!AC36)</f>
        <v/>
      </c>
      <c r="DJ36" s="29" t="str">
        <f t="shared" si="43"/>
        <v/>
      </c>
      <c r="DK36" s="161" t="str">
        <f t="shared" si="44"/>
        <v/>
      </c>
      <c r="DL36" s="1189" t="str">
        <f t="shared" si="45"/>
        <v/>
      </c>
      <c r="DM36" s="1189" t="str">
        <f t="shared" si="46"/>
        <v/>
      </c>
      <c r="DN36" s="43" t="str">
        <f t="shared" si="47"/>
        <v/>
      </c>
      <c r="DO36" s="966" t="str">
        <f>IF($G36="","",ADRYr2!AQ36)</f>
        <v/>
      </c>
      <c r="DP36" s="968" t="str">
        <f>IF($G36="","",ADRYr2!AR36)</f>
        <v/>
      </c>
      <c r="DQ36" s="970" t="str">
        <f>IF($G36="","",IF($DP36="Yes",COLUMN(AESC!$L$10),IF($DP36="No","Using AvoidedDemand tab",IF($DP36="Mixed",COLUMN(AESC!$N$10)))))</f>
        <v/>
      </c>
      <c r="DR36" s="970" t="str">
        <f>IF($G36="","",IF($DP36="Yes",COLUMN(AESC!$P$10),IF($DP36="No","Using AvoidedDemand tab",IF($DP36="Mixed",COLUMN(AESC!$R$10)))))</f>
        <v/>
      </c>
      <c r="DS36" s="970" t="str">
        <f>IF($G36="","",IF($DP36="Yes",COLUMN(AESC!$S$10),IF($DP36="No",COLUMN(AESC!$T$10),IF($DP36="Mixed",COLUMN(AESC!$U$10)))))</f>
        <v/>
      </c>
      <c r="DT36" s="970" t="str">
        <f t="shared" si="48"/>
        <v/>
      </c>
      <c r="DU36" s="970" t="str">
        <f>IF($G36="","",ADRYr2!AS36)</f>
        <v/>
      </c>
      <c r="DV36" s="971" t="str">
        <f>IF($G36="","",ADRYr2!AT36)</f>
        <v/>
      </c>
      <c r="DW36" s="1162" t="str">
        <f>IF($G36="","",INDEX(AvoidedEnergy!$H$4:$H$10,MATCH($DO36,AvoidedEnergy!$A$4:$A$10,0)))</f>
        <v/>
      </c>
    </row>
    <row r="37" spans="1:127">
      <c r="A37" s="160" t="str">
        <f>IF(ADRYr2!$B37=0,"",ADRYr2!A37)</f>
        <v>C - Commercial &amp; Industrial</v>
      </c>
      <c r="B37" s="9" t="str">
        <f>IF(ADRYr2!$B37=0,"",ADRYr2!B37)</f>
        <v>C5 - C&amp;I Active Demand Response</v>
      </c>
      <c r="C37" s="9" t="str">
        <f>IF(ADRYr2!$B37=0,"",ADRYr2!C37)</f>
        <v>C5a - C&amp;I Active Demand Response</v>
      </c>
      <c r="D37" s="9" t="str">
        <f>IF(ADRYr2!$B37=0,"",ADRYr2!D37)</f>
        <v>Storage Targeted Dispatch P4P (savings) Summer</v>
      </c>
      <c r="E37" s="9" t="str">
        <f>IF(ADRYr2!$B37=0,"",ADRYr2!E37)</f>
        <v>E21C5a004</v>
      </c>
      <c r="F37" s="11" t="str">
        <f>IF(ADRYr2!$B37=0,"",ADRYr2!F37)</f>
        <v>Behavior</v>
      </c>
      <c r="G37" s="12" t="str">
        <f>IF(ADRYr2!$G37&lt;&gt;0,ADRYr2!G37,"")</f>
        <v/>
      </c>
      <c r="H37" s="960" t="str">
        <f>IF($G37="","",ROUND(ADRYr2!H37,0))</f>
        <v/>
      </c>
      <c r="I37" s="47" t="str">
        <f>IF($G37="","",ADRYr2!I37*ADRYr2!P37*G37)</f>
        <v/>
      </c>
      <c r="J37" s="47" t="str">
        <f>IF($G37="","",ADRYr2!J37*G37)</f>
        <v/>
      </c>
      <c r="K37" s="47" t="str">
        <f t="shared" si="17"/>
        <v/>
      </c>
      <c r="L37" s="27" t="str">
        <f>IF($G37="","",ADRYr2!V37*G37/1000)</f>
        <v/>
      </c>
      <c r="M37" s="27" t="str">
        <f>IF($G37="","",L37*ADRYr2!$Q37*ADRYr2!$R37)</f>
        <v/>
      </c>
      <c r="N37" s="27" t="str">
        <f t="shared" si="18"/>
        <v/>
      </c>
      <c r="O37" s="27" t="str">
        <f t="shared" si="19"/>
        <v/>
      </c>
      <c r="P37" s="27" t="str">
        <f>IF($G37="","",M37*ADRYr2!P37)</f>
        <v/>
      </c>
      <c r="Q37" s="27" t="str">
        <f t="shared" si="20"/>
        <v/>
      </c>
      <c r="R37" s="27" t="str">
        <f>IF($G37="","",$Q37*ADRYr2!Z37)</f>
        <v/>
      </c>
      <c r="S37" s="27" t="str">
        <f>IF($G37="","",$Q37*ADRYr2!AA37)</f>
        <v/>
      </c>
      <c r="T37" s="27" t="str">
        <f>IF($G37="","",$Q37*ADRYr2!AB37)</f>
        <v/>
      </c>
      <c r="U37" s="27" t="str">
        <f>IF($G37="","",$Q37*ADRYr2!AC37)</f>
        <v/>
      </c>
      <c r="V37" s="27" t="str">
        <f>IF($G37="","",G37*ADRYr2!$AD37*ADRYr2!$P37*ADRYr2!$Q37)</f>
        <v/>
      </c>
      <c r="W37" s="27" t="str">
        <f>IF($G37="","",$G37*ADRYr2!$AD37*ADRYr2!$AF37*ADRYr2!Q37*ADRYr2!$S37)</f>
        <v/>
      </c>
      <c r="X37" s="27" t="str">
        <f>IF($G37="","",$G37*ADRYr2!$AD37*ADRYr2!$AF37*ADRYr2!P37*ADRYr2!Q37*ADRYr2!$S37)</f>
        <v/>
      </c>
      <c r="Y37" s="27" t="str">
        <f>IF($G37="","",$G37*ADRYr2!$AD37*ADRYr2!$AE37*ADRYr2!Q37*ADRYr2!$T37)</f>
        <v/>
      </c>
      <c r="Z37" s="27" t="str">
        <f>IF($G37="","",$G37*ADRYr2!$AD37*ADRYr2!$AE37*ADRYr2!P37*ADRYr2!Q37*ADRYr2!$T37)</f>
        <v/>
      </c>
      <c r="AA37" s="45" t="str">
        <f>IF($G37="","",$G37*ADRYr2!$Q37*ADRYr2!$U37*(IF(IFERROR(SEARCH("NG", ADRYr2!$AI37),0),ADRYr2!$AJ37,0)+IF(IFERROR(SEARCH("NG", ADRYr2!$AK37),0),ADRYr2!$AL37,0)+IF(IFERROR(SEARCH("NG", ADRYr2!$AM37),0),ADRYr2!$AN37,0)))</f>
        <v/>
      </c>
      <c r="AB37" s="45" t="str">
        <f t="shared" si="21"/>
        <v/>
      </c>
      <c r="AC37" s="45">
        <f>IF($G37="",0,AA37*ADRYr2!$P37)</f>
        <v>0</v>
      </c>
      <c r="AD37" s="45" t="str">
        <f t="shared" si="22"/>
        <v/>
      </c>
      <c r="AE37" s="45" t="str">
        <f>IF($G37="","",$G37*ADRYr2!$Q37*ADRYr2!$U37*(IF(IFERROR(SEARCH("Oil", ADRYr2!$AI37), 0),ADRYr2!$AJ37,0)+IF(IFERROR(SEARCH("Oil", ADRYr2!$AK37), 0),ADRYr2!$AL37,0)+IF(IFERROR(SEARCH("Oil", ADRYr2!$AM37), 0),ADRYr2!$AN37,0)))</f>
        <v/>
      </c>
      <c r="AF37" s="45" t="str">
        <f t="shared" si="23"/>
        <v/>
      </c>
      <c r="AG37" s="45">
        <f>IF($G37="",0,AE37*ADRYr2!$P37)</f>
        <v>0</v>
      </c>
      <c r="AH37" s="45" t="str">
        <f t="shared" si="24"/>
        <v/>
      </c>
      <c r="AI37" s="45" t="str">
        <f>IF($G37="","",$G37*ADRYr2!$Q37*ADRYr2!$U37*(IF(ADRYr2!$AI37=Lookups!$E$116,ADRYr2!$AJ37,IF(ADRYr2!$AK37=Lookups!$E$116,ADRYr2!$AL37,IF(ADRYr2!$AM37=Lookups!$E$116,ADRYr2!$AN37,0)))))</f>
        <v/>
      </c>
      <c r="AJ37" s="45" t="str">
        <f t="shared" si="25"/>
        <v/>
      </c>
      <c r="AK37" s="45">
        <f>IF($G37="",0,AI37*ADRYr2!$P37)</f>
        <v>0</v>
      </c>
      <c r="AL37" s="45" t="str">
        <f t="shared" si="26"/>
        <v/>
      </c>
      <c r="AM37" s="45" t="str">
        <f>IF($G37="","",$G37*ADRYr2!$Q37*ADRYr2!$U37*(IF(ADRYr2!$AI37=Lookups!$E$115,ADRYr2!$AJ37,IF(ADRYr2!$AK37=Lookups!$E$115,ADRYr2!$AL37,IF(ADRYr2!$AM37=Lookups!$E$115,ADRYr2!$AN37,0)))))</f>
        <v/>
      </c>
      <c r="AN37" s="45" t="str">
        <f t="shared" si="27"/>
        <v/>
      </c>
      <c r="AO37" s="45">
        <f>IF($G37="",0,AM37*ADRYr2!$P37)</f>
        <v>0</v>
      </c>
      <c r="AP37" s="45" t="str">
        <f t="shared" si="28"/>
        <v/>
      </c>
      <c r="AQ37" s="45" t="str">
        <f>IF($G37="","",$G37*ADRYr2!$Q37*ADRYr2!$U37*(IF(ADRYr2!$AI37=Lookups!$E$117,ADRYr2!$AJ37,IF(ADRYr2!$AK37=Lookups!$E$117,ADRYr2!$AL37,IF(ADRYr2!$AM37=Lookups!$E$117,ADRYr2!$AN37,0)))))</f>
        <v/>
      </c>
      <c r="AR37" s="45" t="str">
        <f t="shared" si="29"/>
        <v/>
      </c>
      <c r="AS37" s="45" t="str">
        <f>IF($G37="","",AQ37*ADRYr2!$P37)</f>
        <v/>
      </c>
      <c r="AT37" s="45" t="str">
        <f t="shared" si="30"/>
        <v/>
      </c>
      <c r="AU37" s="45" t="str">
        <f>IF($G37="","",$G37*ADRYr2!$Q37*ADRYr2!$U37*(IF(ADRYr2!$AI37=Lookups!$E$118,ADRYr2!$AJ37,IF(ADRYr2!$AK37=Lookups!$E$118,ADRYr2!$AL37,IF(ADRYr2!$AM37=Lookups!$E$118,ADRYr2!$AN37,0)))))</f>
        <v/>
      </c>
      <c r="AV37" s="45" t="str">
        <f t="shared" si="31"/>
        <v/>
      </c>
      <c r="AW37" s="45" t="str">
        <f>IF($G37="","",AU37*ADRYr2!$P37)</f>
        <v/>
      </c>
      <c r="AX37" s="45" t="str">
        <f t="shared" si="32"/>
        <v/>
      </c>
      <c r="AY37" s="45">
        <f t="shared" si="49"/>
        <v>0</v>
      </c>
      <c r="AZ37" s="45">
        <f t="shared" si="49"/>
        <v>0</v>
      </c>
      <c r="BA37" s="101" t="str">
        <f>IF($G37="","",$G37*ADRYr2!$P37*ADRYr2!$Q37*ADRYr2!$U37*ADRYr2!AO37)</f>
        <v/>
      </c>
      <c r="BB37" s="102" t="str">
        <f>IF($G37="","",$G37*ADRYr2!$P37*ADRYr2!$Q37*ADRYr2!$U37*ADRYr2!AP37)</f>
        <v/>
      </c>
      <c r="BC37" s="100" t="str">
        <f t="shared" si="34"/>
        <v/>
      </c>
      <c r="BD37" s="961"/>
      <c r="BE37" s="961"/>
      <c r="BF37" s="961"/>
      <c r="BG37" s="961"/>
      <c r="BH37" s="962" t="str">
        <f t="shared" si="3"/>
        <v/>
      </c>
      <c r="BI37" s="961"/>
      <c r="BJ37" s="961"/>
      <c r="BK37" s="961"/>
      <c r="BL37" s="961"/>
      <c r="BM37" s="30" t="str">
        <f t="shared" si="4"/>
        <v/>
      </c>
      <c r="BN37" s="963" t="str">
        <f t="shared" si="5"/>
        <v/>
      </c>
      <c r="BO37" s="31" t="str">
        <f t="shared" si="35"/>
        <v/>
      </c>
      <c r="BP37" s="964" t="str">
        <f t="shared" si="6"/>
        <v/>
      </c>
      <c r="BQ37" s="28" t="str">
        <f t="shared" si="7"/>
        <v/>
      </c>
      <c r="BR37" s="964" t="str">
        <f t="shared" si="8"/>
        <v/>
      </c>
      <c r="BS37" s="964" t="str">
        <f t="shared" si="9"/>
        <v/>
      </c>
      <c r="BT37" s="28" t="str">
        <f t="shared" si="50"/>
        <v/>
      </c>
      <c r="BU37" s="28" t="str">
        <f t="shared" si="50"/>
        <v/>
      </c>
      <c r="BV37" s="28" t="str">
        <f t="shared" si="50"/>
        <v/>
      </c>
      <c r="BW37" s="29" t="str">
        <f t="shared" si="36"/>
        <v/>
      </c>
      <c r="BX37" s="29" t="str">
        <f t="shared" si="37"/>
        <v/>
      </c>
      <c r="BY37" s="28" t="str">
        <f>IF($G37="","",$G37*(IF(ADRYr2!$AI37=BY$4,ADRYr2!$AJ37,IF(ADRYr2!$AK37=BY$4,ADRYr2!$AL37,IF(ADRYr2!$AM37=BY$4,ADRYr2!$AN37,0))))*(INDEX(avoidedcosttbl2,$H37,BY$2)+(($H37-ROUNDDOWN($H37,0))*(INDEX(avoidedcosttbl2,ROUNDUP($H37,0),BY$2)-(INDEX(avoidedcosttbl2,ROUNDDOWN($H37,0),BY$2)))))*ADRYr2!P37*ADRYr2!Q37*ADRYr2!U37)</f>
        <v/>
      </c>
      <c r="BZ37" s="28" t="str">
        <f>IF($G37="","",$G37*(IF(ADRYr2!$AI37=BZ$4,ADRYr2!$AJ37,IF(ADRYr2!$AK37=BZ$4,ADRYr2!$AL37,IF(ADRYr2!$AM37=BZ$4,ADRYr2!$AN37,0))))*(INDEX(avoidedcosttbl2,$H37,BZ$2)+(($H37-ROUNDDOWN($H37,0))*(INDEX(avoidedcosttbl2,ROUNDUP($H37,0),BZ$2)-(INDEX(avoidedcosttbl2,ROUNDDOWN($H37,0),BZ$2)))))*ADRYr2!P37*ADRYr2!Q37*ADRYr2!U37)</f>
        <v/>
      </c>
      <c r="CA37" s="28" t="str">
        <f>IF($G37="","",$G37*(IF(ADRYr2!$AI37=CA$4,ADRYr2!$AJ37,IF(ADRYr2!$AK37=CA$4,ADRYr2!$AL37,IF(ADRYr2!$AM37=CA$4,ADRYr2!$AN37,0))))*(INDEX(avoidedcosttbl2,$H37,CA$2)+(($H37-ROUNDDOWN($H37,0))*(INDEX(avoidedcosttbl2,ROUNDUP($H37,0),CA$2)-(INDEX(avoidedcosttbl2,ROUNDDOWN($H37,0),CA$2)))))*ADRYr2!P37*ADRYr2!Q37*ADRYr2!U37)</f>
        <v/>
      </c>
      <c r="CB37" s="28" t="str">
        <f>IF($G37="","",$G37*(IF(ADRYr2!$AI37=CB$4,ADRYr2!$AJ37,IF(ADRYr2!$AK37=CB$4,ADRYr2!$AL37,IF(ADRYr2!$AM37=CB$4,ADRYr2!$AN37,0))))*(INDEX(avoidedcosttbl2,$H37,CB$2)+(($H37-ROUNDDOWN($H37,0))*(INDEX(avoidedcosttbl2,ROUNDUP($H37,0),CB$2)-(INDEX(avoidedcosttbl2,ROUNDDOWN($H37,0),CB$2)))))*ADRYr2!P37*ADRYr2!Q37*ADRYr2!U37)</f>
        <v/>
      </c>
      <c r="CC37" s="28" t="str">
        <f>IF($G37="","",$G37*(IF(ADRYr2!$AI37=CC$4,ADRYr2!$AJ37,IF(ADRYr2!$AK37=CC$4,ADRYr2!$AL37,IF(ADRYr2!$AM37=CC$4,ADRYr2!$AN37,0))))*(INDEX(avoidedcosttbl2,$H37,CC$2)+(($H37-ROUNDDOWN($H37,0))*(INDEX(avoidedcosttbl2,ROUNDUP($H37,0),CC$2)-(INDEX(avoidedcosttbl2,ROUNDDOWN($H37,0),CC$2)))))*ADRYr2!P37*ADRYr2!Q37*ADRYr2!U37)</f>
        <v/>
      </c>
      <c r="CD37" s="28" t="str">
        <f>IF($G37="","",$G37*(IF(ADRYr2!$AI37=CD$4,ADRYr2!$AJ37,IF(ADRYr2!$AK37=CD$4,ADRYr2!$AL37,IF(ADRYr2!$AM37=CD$4,ADRYr2!$AN37,0))))*(INDEX(avoidedcosttbl2,$H37,CD$2)+(($H37-ROUNDDOWN($H37,0))*(INDEX(avoidedcosttbl2,ROUNDUP($H37,0),CD$2)-(INDEX(avoidedcosttbl2,ROUNDDOWN($H37,0),CD$2)))))*ADRYr2!P37*ADRYr2!Q37*ADRYr2!U37)</f>
        <v/>
      </c>
      <c r="CE37" s="28" t="str">
        <f>IF($G37="","",$G37*(IF(ADRYr2!$AI37=CE$4,ADRYr2!$AJ37,IF(ADRYr2!$AK37=CE$4,ADRYr2!$AL37,IF(ADRYr2!$AM37=CE$4,ADRYr2!$AN37,0))))*(INDEX(avoidedcosttbl2,$H37,CE$2)+(($H37-ROUNDDOWN($H37,0))*(INDEX(avoidedcosttbl2,ROUNDUP($H37,0),CE$2)-(INDEX(avoidedcosttbl2,ROUNDDOWN($H37,0),CE$2)))))*ADRYr2!P37*ADRYr2!Q37*ADRYr2!U37)</f>
        <v/>
      </c>
      <c r="CF37" s="41" t="str">
        <f t="shared" si="38"/>
        <v/>
      </c>
      <c r="CG37" s="30" t="str">
        <f t="shared" si="11"/>
        <v/>
      </c>
      <c r="CH37" s="30" t="str">
        <f>IF($G37="","",$G37*(IF(ADRYr2!$AI37=BY$4,ADRYr2!$AJ37,IF(ADRYr2!$AK37=BY$4,ADRYr2!$AL37,IF(ADRYr2!$AM37=BY$4,ADRYr2!$AN37,0))))*(INDEX(avoidedcosttbl2,$H37,CH$2)+(($H37-ROUNDDOWN($H37,0))*(INDEX(avoidedcosttbl2,ROUNDUP($H37,0),CH$2)-(INDEX(avoidedcosttbl2,ROUNDDOWN($H37,0),CH$2)))))*ADRYr2!P37*ADRYr2!Q37*ADRYr2!U37)</f>
        <v/>
      </c>
      <c r="CI37" s="30" t="str">
        <f>IF($G37="","",$G37*(IF(ADRYr2!$AI37=BZ$4,ADRYr2!$AJ37,IF(ADRYr2!$AK37=BZ$4,ADRYr2!$AL37,IF(ADRYr2!$AM37=BZ$4,ADRYr2!$AN37,0))))*(INDEX(avoidedcosttbl2,$H37,CI$2)+(($H37-ROUNDDOWN($H37,0))*(INDEX(avoidedcosttbl2,ROUNDUP($H37,0),CI$2)-(INDEX(avoidedcosttbl2,ROUNDDOWN($H37,0),CI$2)))))*ADRYr2!P37*ADRYr2!Q37*ADRYr2!U37)</f>
        <v/>
      </c>
      <c r="CJ37" s="30" t="str">
        <f>IF($G37="","",$G37*(IF(ADRYr2!$AI37=CA$4,ADRYr2!$AJ37,IF(ADRYr2!$AK37=CA$4,ADRYr2!$AL37,IF(ADRYr2!$AM37=CA$4,ADRYr2!$AN37,0))))*(INDEX(avoidedcosttbl2,$H37,CJ$2)+(($H37-ROUNDDOWN($H37,0))*(INDEX(avoidedcosttbl2,ROUNDUP($H37,0),CJ$2)-(INDEX(avoidedcosttbl2,ROUNDDOWN($H37,0),CJ$2)))))*ADRYr2!P37*ADRYr2!Q37*ADRYr2!U37)</f>
        <v/>
      </c>
      <c r="CK37" s="30" t="str">
        <f>IF($G37="","",$G37*(IF(ADRYr2!$AI37=CB$4,ADRYr2!$AJ37,IF(ADRYr2!$AK37=CB$4,ADRYr2!$AL37,IF(ADRYr2!$AM37=CB$4,ADRYr2!$AN37,0))))*(INDEX(avoidedcosttbl2,$H37,CK$2)+(($H37-ROUNDDOWN($H37,0))*(INDEX(avoidedcosttbl2,ROUNDUP($H37,0),CK$2)-(INDEX(avoidedcosttbl2,ROUNDDOWN($H37,0),CK$2)))))*ADRYr2!P37*ADRYr2!Q37*ADRYr2!U37)</f>
        <v/>
      </c>
      <c r="CL37" s="30" t="str">
        <f>IF($G37="","",$G37*(IF(ADRYr2!$AI37=CC$4,ADRYr2!$AJ37,IF(ADRYr2!$AK37=CC$4,ADRYr2!$AL37,IF(ADRYr2!$AM37=CC$4,ADRYr2!$AN37,0))))*(INDEX(avoidedcosttbl2,$H37,CL$2)+(($H37-ROUNDDOWN($H37,0))*(INDEX(avoidedcosttbl2,ROUNDUP($H37,0),CL$2)-(INDEX(avoidedcosttbl2,ROUNDDOWN($H37,0),CL$2)))))*ADRYr2!P37*ADRYr2!Q37*ADRYr2!U37)</f>
        <v/>
      </c>
      <c r="CM37" s="30" t="str">
        <f>IF($G37="","",$G37*(IF(ADRYr2!$AI37=CD$4,ADRYr2!$AJ37,IF(ADRYr2!$AK37=CD$4,ADRYr2!$AL37,IF(ADRYr2!$AM37=CD$4,ADRYr2!$AN37,0))))*(INDEX(avoidedcosttbl2,$H37,CM$2)+(($H37-ROUNDDOWN($H37,0))*(INDEX(avoidedcosttbl2,ROUNDUP($H37,0),CM$2)-(INDEX(avoidedcosttbl2,ROUNDDOWN($H37,0),CM$2)))))*ADRYr2!P37*ADRYr2!Q37*ADRYr2!U37)</f>
        <v/>
      </c>
      <c r="CN37" s="30" t="str">
        <f>IF($G37="","",$G37*(IF(ADRYr2!$AI37=CE$4,ADRYr2!$AJ37,IF(ADRYr2!$AK37=CE$4,ADRYr2!$AL37,IF(ADRYr2!$AM37=CE$4,ADRYr2!$AN37,0))))*(INDEX(avoidedcosttbl2,$H37,CN$2)+(($H37-ROUNDDOWN($H37,0))*(INDEX(avoidedcosttbl2,ROUNDUP($H37,0),CN$2)-(INDEX(avoidedcosttbl2,ROUNDDOWN($H37,0),CN$2)))))*ADRYr2!P37*ADRYr2!Q37*ADRYr2!U37)</f>
        <v/>
      </c>
      <c r="CO37" s="220" t="str">
        <f t="shared" si="39"/>
        <v/>
      </c>
      <c r="CP37" s="220" t="str">
        <f t="shared" si="40"/>
        <v/>
      </c>
      <c r="CQ37" s="157" t="str">
        <f>IF($G37="","",$G37*(IF(ADRYr2!$AI37=CQ$4,ADRYr2!$AJ37,IF(ADRYr2!$AK37=CQ$4,ADRYr2!$AL37,IF(ADRYr2!$AM37=CQ$4,ADRYr2!$AN37,0))))*(INDEX(avoidedcosttbl2,$H37,CQ$2)+(($H37-ROUNDDOWN($H37,0))*(INDEX(avoidedcosttbl2,ROUNDUP($H37,0),CQ$2)-(INDEX(avoidedcosttbl2,ROUNDDOWN($H37,0),CQ$2)))))*ADRYr2!$P37*ADRYr2!$Q37*ADRYr2!$U37)</f>
        <v/>
      </c>
      <c r="CR37" s="28" t="str">
        <f>IF($G37="","",G37*(IF(ADRYr2!$AI37=CR$4,ADRYr2!$AJ37,IF(ADRYr2!$AK37=CR$4,ADRYr2!$AL37,IF(ADRYr2!$AM37=CR$4,ADRYr2!$AN37,0))))*(INDEX(avoidedcosttbl2,$H37,CR$2)+(($H37-ROUNDDOWN($H37,0))*(INDEX(avoidedcosttbl2,ROUNDUP($H37,0),CR$2)-(INDEX(avoidedcosttbl2,ROUNDDOWN($H37,0),CR$2)))))*ADRYr2!$P37*ADRYr2!$Q37*ADRYr2!$U37)</f>
        <v/>
      </c>
      <c r="CS37" s="28" t="str">
        <f>IF($G37="","",G37*(IF(ADRYr2!$AI37=CS$4,ADRYr2!$AJ37,IF(ADRYr2!$AK37=CS$4,ADRYr2!$AL37,IF(ADRYr2!$AM37=CS$4,ADRYr2!$AN37,0))))*(INDEX(avoidedcosttbl2,$H37,CS$2)+(($H37-ROUNDDOWN($H37,0))*(INDEX(avoidedcosttbl2,ROUNDUP($H37,0),CS$2)-(INDEX(avoidedcosttbl2,ROUNDDOWN($H37,0),CS$2)))))*ADRYr2!$P37*ADRYr2!$Q37*ADRYr2!$U37)</f>
        <v/>
      </c>
      <c r="CT37" s="28" t="str">
        <f t="shared" si="12"/>
        <v/>
      </c>
      <c r="CU37" s="28" t="str">
        <f>IF($G37="","",G37*(IF(ADRYr2!$AI37=CU$4,ADRYr2!$AJ37,IF(ADRYr2!$AK37=CU$4,ADRYr2!$AL37,IF(ADRYr2!$AM37=CU$4,ADRYr2!$AN37,0))))*(INDEX(avoidedcosttbl2,$H37,CU$2)+(($H37-ROUNDDOWN($H37,0))*(INDEX(avoidedcosttbl2,ROUNDUP($H37,0),CU$2)-(INDEX(avoidedcosttbl2,ROUNDDOWN($H37,0),CU$2)))))*ADRYr2!$P37*ADRYr2!$Q37*ADRYr2!$U37)</f>
        <v/>
      </c>
      <c r="CV37" s="28" t="str">
        <f>IF($G37="","",G37*(IF(ADRYr2!$AI37=CV$4,ADRYr2!$AJ37,IF(ADRYr2!$AK37=CV$4,ADRYr2!$AL37,IF(ADRYr2!$AM37=CV$4,ADRYr2!$AN37,0))))*(INDEX(avoidedcosttbl2,$H37,CV$2)+(($H37-ROUNDDOWN($H37,0))*(INDEX(avoidedcosttbl2,ROUNDUP($H37,0),CV$2)-(INDEX(avoidedcosttbl2,ROUNDDOWN($H37,0),CV$2)))))*ADRYr2!$P37*ADRYr2!$Q37*ADRYr2!$U37)</f>
        <v/>
      </c>
      <c r="CW37" s="28" t="str">
        <f>IF($G37="","",G37*(IF(ADRYr2!$AI37=CW$4,ADRYr2!$AJ37,IF(ADRYr2!$AK37=CW$4,ADRYr2!$AL37,IF(ADRYr2!$AM37=CW$4,ADRYr2!$AN37,0))))*(INDEX(avoidedcosttbl2,$H37,CW$2)+(($H37-ROUNDDOWN($H37,0))*(INDEX(avoidedcosttbl2,ROUNDUP($H37,0),CW$2)-(INDEX(avoidedcosttbl2,ROUNDDOWN($H37,0),CW$2)))))*ADRYr2!$P37*ADRYr2!$Q37*ADRYr2!$U37)</f>
        <v/>
      </c>
      <c r="CX37" s="28" t="str">
        <f>IF($G37="","",G37*(IF(ADRYr2!$AI37=CX$4,ADRYr2!$AJ37,IF(ADRYr2!$AK37=CX$4,ADRYr2!$AL37,IF(ADRYr2!$AM37=CX$4,ADRYr2!$AN37,0))))*(INDEX(avoidedcosttbl2,$H37,CX$2)+(($H37-ROUNDDOWN($H37,0))*(INDEX(avoidedcosttbl2,ROUNDUP($H37,0),CX$2)-(INDEX(avoidedcosttbl2,ROUNDDOWN($H37,0),CX$2)))))*ADRYr2!$P37*ADRYr2!$Q37*ADRYr2!$U37)</f>
        <v/>
      </c>
      <c r="CY37" s="28" t="str">
        <f t="shared" si="13"/>
        <v/>
      </c>
      <c r="CZ37" s="32" t="str">
        <f t="shared" si="14"/>
        <v/>
      </c>
      <c r="DA37" s="84" t="str">
        <f t="shared" si="41"/>
        <v/>
      </c>
      <c r="DB37" s="81" t="str">
        <f>IF(NEIadder="Yes",IF($G37="","",INDEX(Lookups!$G$70:$G$71,MATCH($A37,Lookups!$E$70:$E$71,0))*(SUM(CP37:CX37,BX37))),"")</f>
        <v/>
      </c>
      <c r="DC37" s="263" t="str">
        <f t="shared" si="15"/>
        <v/>
      </c>
      <c r="DD37" s="166" t="str">
        <f t="shared" si="16"/>
        <v/>
      </c>
      <c r="DE37" s="82">
        <f t="shared" si="42"/>
        <v>0</v>
      </c>
      <c r="DF37" s="615" t="str">
        <f>IF($G37="","",(1+WntPeakEnergyLL)*(INDEX(avoidedcosttbl2,$H37,DF$2)+(($H37-ROUNDDOWN($H37,0))*(INDEX(avoidedcosttbl2,ROUNDUP($H37,0),DF$2)-(INDEX(avoidedcosttbl2,ROUNDDOWN($H37,0),DF$2)))))*$P37*1000*ADRYr2!Z37)</f>
        <v/>
      </c>
      <c r="DG37" s="615" t="str">
        <f>IF($G37="","",(1+WntOffPeakEnergyLL)*(INDEX(avoidedcosttbl2,$H37,DG$2)+(($H37-ROUNDDOWN($H37,0))*(INDEX(avoidedcosttbl2,ROUNDUP($H37,0),DG$2)-(INDEX(avoidedcosttbl2,ROUNDDOWN($H37,0),DG$2)))))*$P37*1000*ADRYr2!AA37)</f>
        <v/>
      </c>
      <c r="DH37" s="615" t="str">
        <f>IF($G37="","",(1+SumPeakEnergyLL)*(INDEX(avoidedcosttbl2,$H37,DH$2)+(($H37-ROUNDDOWN($H37,0))*(INDEX(avoidedcosttbl2,ROUNDUP($H37,0),DH$2)-(INDEX(avoidedcosttbl2,ROUNDDOWN($H37,0),DH$2)))))*$P37*1000*ADRYr2!AB37)</f>
        <v/>
      </c>
      <c r="DI37" s="615" t="str">
        <f>IF($G37="","",(1+SumOffPeakEnergyLL)*(INDEX(avoidedcosttbl2,$H37,DI$2)+(($H37-ROUNDDOWN($H37,0))*(INDEX(avoidedcosttbl2,ROUNDUP($H37,0),DI$2)-(INDEX(avoidedcosttbl2,ROUNDDOWN($H37,0),DI$2)))))*$P37*1000*ADRYr2!AC37)</f>
        <v/>
      </c>
      <c r="DJ37" s="29" t="str">
        <f t="shared" si="43"/>
        <v/>
      </c>
      <c r="DK37" s="161" t="str">
        <f t="shared" si="44"/>
        <v/>
      </c>
      <c r="DL37" s="1189" t="str">
        <f t="shared" si="45"/>
        <v/>
      </c>
      <c r="DM37" s="1189" t="str">
        <f t="shared" si="46"/>
        <v/>
      </c>
      <c r="DN37" s="43" t="str">
        <f t="shared" si="47"/>
        <v/>
      </c>
      <c r="DO37" s="966" t="str">
        <f>IF($G37="","",ADRYr2!AQ37)</f>
        <v/>
      </c>
      <c r="DP37" s="968" t="str">
        <f>IF($G37="","",ADRYr2!AR37)</f>
        <v/>
      </c>
      <c r="DQ37" s="970" t="str">
        <f>IF($G37="","",IF($DP37="Yes",COLUMN(AESC!$L$10),IF($DP37="No","Using AvoidedDemand tab",IF($DP37="Mixed",COLUMN(AESC!$N$10)))))</f>
        <v/>
      </c>
      <c r="DR37" s="970" t="str">
        <f>IF($G37="","",IF($DP37="Yes",COLUMN(AESC!$P$10),IF($DP37="No","Using AvoidedDemand tab",IF($DP37="Mixed",COLUMN(AESC!$R$10)))))</f>
        <v/>
      </c>
      <c r="DS37" s="970" t="str">
        <f>IF($G37="","",IF($DP37="Yes",COLUMN(AESC!$S$10),IF($DP37="No",COLUMN(AESC!$T$10),IF($DP37="Mixed",COLUMN(AESC!$U$10)))))</f>
        <v/>
      </c>
      <c r="DT37" s="970" t="str">
        <f t="shared" si="48"/>
        <v/>
      </c>
      <c r="DU37" s="970" t="str">
        <f>IF($G37="","",ADRYr2!AS37)</f>
        <v/>
      </c>
      <c r="DV37" s="971" t="str">
        <f>IF($G37="","",ADRYr2!AT37)</f>
        <v/>
      </c>
      <c r="DW37" s="1162" t="str">
        <f>IF($G37="","",INDEX(AvoidedEnergy!$H$4:$H$10,MATCH($DO37,AvoidedEnergy!$A$4:$A$10,0)))</f>
        <v/>
      </c>
    </row>
    <row r="38" spans="1:127">
      <c r="A38" s="160" t="str">
        <f>IF(ADRYr2!$B38=0,"",ADRYr2!A38)</f>
        <v>C - Commercial &amp; Industrial</v>
      </c>
      <c r="B38" s="9" t="str">
        <f>IF(ADRYr2!$B38=0,"",ADRYr2!B38)</f>
        <v>C5 - C&amp;I Active Demand Response</v>
      </c>
      <c r="C38" s="9" t="str">
        <f>IF(ADRYr2!$B38=0,"",ADRYr2!C38)</f>
        <v>C5a - C&amp;I Active Demand Response</v>
      </c>
      <c r="D38" s="9" t="str">
        <f>IF(ADRYr2!$B38=0,"",ADRYr2!D38)</f>
        <v>Storage Targeted Dispatch P4P (consumption) Summer</v>
      </c>
      <c r="E38" s="9" t="str">
        <f>IF(ADRYr2!$B38=0,"",ADRYr2!E38)</f>
        <v>E21C5a005</v>
      </c>
      <c r="F38" s="11" t="str">
        <f>IF(ADRYr2!$B38=0,"",ADRYr2!F38)</f>
        <v>Behavior</v>
      </c>
      <c r="G38" s="12" t="str">
        <f>IF(ADRYr2!$G38&lt;&gt;0,ADRYr2!G38,"")</f>
        <v/>
      </c>
      <c r="H38" s="960" t="str">
        <f>IF($G38="","",ROUND(ADRYr2!H38,0))</f>
        <v/>
      </c>
      <c r="I38" s="47" t="str">
        <f>IF($G38="","",ADRYr2!I38*ADRYr2!P38*G38)</f>
        <v/>
      </c>
      <c r="J38" s="47" t="str">
        <f>IF($G38="","",ADRYr2!J38*G38)</f>
        <v/>
      </c>
      <c r="K38" s="47" t="str">
        <f t="shared" si="17"/>
        <v/>
      </c>
      <c r="L38" s="27" t="str">
        <f>IF($G38="","",ADRYr2!V38*G38/1000)</f>
        <v/>
      </c>
      <c r="M38" s="27" t="str">
        <f>IF($G38="","",L38*ADRYr2!$Q38*ADRYr2!$R38)</f>
        <v/>
      </c>
      <c r="N38" s="27" t="str">
        <f t="shared" si="18"/>
        <v/>
      </c>
      <c r="O38" s="27" t="str">
        <f t="shared" si="19"/>
        <v/>
      </c>
      <c r="P38" s="27" t="str">
        <f>IF($G38="","",M38*ADRYr2!P38)</f>
        <v/>
      </c>
      <c r="Q38" s="27" t="str">
        <f t="shared" si="20"/>
        <v/>
      </c>
      <c r="R38" s="27" t="str">
        <f>IF($G38="","",$Q38*ADRYr2!Z38)</f>
        <v/>
      </c>
      <c r="S38" s="27" t="str">
        <f>IF($G38="","",$Q38*ADRYr2!AA38)</f>
        <v/>
      </c>
      <c r="T38" s="27" t="str">
        <f>IF($G38="","",$Q38*ADRYr2!AB38)</f>
        <v/>
      </c>
      <c r="U38" s="27" t="str">
        <f>IF($G38="","",$Q38*ADRYr2!AC38)</f>
        <v/>
      </c>
      <c r="V38" s="27" t="str">
        <f>IF($G38="","",G38*ADRYr2!$AD38*ADRYr2!$P38*ADRYr2!$Q38)</f>
        <v/>
      </c>
      <c r="W38" s="27" t="str">
        <f>IF($G38="","",$G38*ADRYr2!$AD38*ADRYr2!$AF38*ADRYr2!Q38*ADRYr2!$S38)</f>
        <v/>
      </c>
      <c r="X38" s="27" t="str">
        <f>IF($G38="","",$G38*ADRYr2!$AD38*ADRYr2!$AF38*ADRYr2!P38*ADRYr2!Q38*ADRYr2!$S38)</f>
        <v/>
      </c>
      <c r="Y38" s="27" t="str">
        <f>IF($G38="","",$G38*ADRYr2!$AD38*ADRYr2!$AE38*ADRYr2!Q38*ADRYr2!$T38)</f>
        <v/>
      </c>
      <c r="Z38" s="27" t="str">
        <f>IF($G38="","",$G38*ADRYr2!$AD38*ADRYr2!$AE38*ADRYr2!P38*ADRYr2!Q38*ADRYr2!$T38)</f>
        <v/>
      </c>
      <c r="AA38" s="45" t="str">
        <f>IF($G38="","",$G38*ADRYr2!$Q38*ADRYr2!$U38*(IF(IFERROR(SEARCH("NG", ADRYr2!$AI38),0),ADRYr2!$AJ38,0)+IF(IFERROR(SEARCH("NG", ADRYr2!$AK38),0),ADRYr2!$AL38,0)+IF(IFERROR(SEARCH("NG", ADRYr2!$AM38),0),ADRYr2!$AN38,0)))</f>
        <v/>
      </c>
      <c r="AB38" s="45" t="str">
        <f t="shared" si="21"/>
        <v/>
      </c>
      <c r="AC38" s="45">
        <f>IF($G38="",0,AA38*ADRYr2!$P38)</f>
        <v>0</v>
      </c>
      <c r="AD38" s="45" t="str">
        <f t="shared" si="22"/>
        <v/>
      </c>
      <c r="AE38" s="45" t="str">
        <f>IF($G38="","",$G38*ADRYr2!$Q38*ADRYr2!$U38*(IF(IFERROR(SEARCH("Oil", ADRYr2!$AI38), 0),ADRYr2!$AJ38,0)+IF(IFERROR(SEARCH("Oil", ADRYr2!$AK38), 0),ADRYr2!$AL38,0)+IF(IFERROR(SEARCH("Oil", ADRYr2!$AM38), 0),ADRYr2!$AN38,0)))</f>
        <v/>
      </c>
      <c r="AF38" s="45" t="str">
        <f t="shared" si="23"/>
        <v/>
      </c>
      <c r="AG38" s="45">
        <f>IF($G38="",0,AE38*ADRYr2!$P38)</f>
        <v>0</v>
      </c>
      <c r="AH38" s="45" t="str">
        <f t="shared" si="24"/>
        <v/>
      </c>
      <c r="AI38" s="45" t="str">
        <f>IF($G38="","",$G38*ADRYr2!$Q38*ADRYr2!$U38*(IF(ADRYr2!$AI38=Lookups!$E$116,ADRYr2!$AJ38,IF(ADRYr2!$AK38=Lookups!$E$116,ADRYr2!$AL38,IF(ADRYr2!$AM38=Lookups!$E$116,ADRYr2!$AN38,0)))))</f>
        <v/>
      </c>
      <c r="AJ38" s="45" t="str">
        <f t="shared" si="25"/>
        <v/>
      </c>
      <c r="AK38" s="45">
        <f>IF($G38="",0,AI38*ADRYr2!$P38)</f>
        <v>0</v>
      </c>
      <c r="AL38" s="45" t="str">
        <f t="shared" si="26"/>
        <v/>
      </c>
      <c r="AM38" s="45" t="str">
        <f>IF($G38="","",$G38*ADRYr2!$Q38*ADRYr2!$U38*(IF(ADRYr2!$AI38=Lookups!$E$115,ADRYr2!$AJ38,IF(ADRYr2!$AK38=Lookups!$E$115,ADRYr2!$AL38,IF(ADRYr2!$AM38=Lookups!$E$115,ADRYr2!$AN38,0)))))</f>
        <v/>
      </c>
      <c r="AN38" s="45" t="str">
        <f t="shared" si="27"/>
        <v/>
      </c>
      <c r="AO38" s="45">
        <f>IF($G38="",0,AM38*ADRYr2!$P38)</f>
        <v>0</v>
      </c>
      <c r="AP38" s="45" t="str">
        <f t="shared" si="28"/>
        <v/>
      </c>
      <c r="AQ38" s="45" t="str">
        <f>IF($G38="","",$G38*ADRYr2!$Q38*ADRYr2!$U38*(IF(ADRYr2!$AI38=Lookups!$E$117,ADRYr2!$AJ38,IF(ADRYr2!$AK38=Lookups!$E$117,ADRYr2!$AL38,IF(ADRYr2!$AM38=Lookups!$E$117,ADRYr2!$AN38,0)))))</f>
        <v/>
      </c>
      <c r="AR38" s="45" t="str">
        <f t="shared" si="29"/>
        <v/>
      </c>
      <c r="AS38" s="45" t="str">
        <f>IF($G38="","",AQ38*ADRYr2!$P38)</f>
        <v/>
      </c>
      <c r="AT38" s="45" t="str">
        <f t="shared" si="30"/>
        <v/>
      </c>
      <c r="AU38" s="45" t="str">
        <f>IF($G38="","",$G38*ADRYr2!$Q38*ADRYr2!$U38*(IF(ADRYr2!$AI38=Lookups!$E$118,ADRYr2!$AJ38,IF(ADRYr2!$AK38=Lookups!$E$118,ADRYr2!$AL38,IF(ADRYr2!$AM38=Lookups!$E$118,ADRYr2!$AN38,0)))))</f>
        <v/>
      </c>
      <c r="AV38" s="45" t="str">
        <f t="shared" si="31"/>
        <v/>
      </c>
      <c r="AW38" s="45" t="str">
        <f>IF($G38="","",AU38*ADRYr2!$P38)</f>
        <v/>
      </c>
      <c r="AX38" s="45" t="str">
        <f t="shared" si="32"/>
        <v/>
      </c>
      <c r="AY38" s="45">
        <f t="shared" si="49"/>
        <v>0</v>
      </c>
      <c r="AZ38" s="45">
        <f t="shared" si="49"/>
        <v>0</v>
      </c>
      <c r="BA38" s="101" t="str">
        <f>IF($G38="","",$G38*ADRYr2!$P38*ADRYr2!$Q38*ADRYr2!$U38*ADRYr2!AO38)</f>
        <v/>
      </c>
      <c r="BB38" s="102" t="str">
        <f>IF($G38="","",$G38*ADRYr2!$P38*ADRYr2!$Q38*ADRYr2!$U38*ADRYr2!AP38)</f>
        <v/>
      </c>
      <c r="BC38" s="100" t="str">
        <f t="shared" si="34"/>
        <v/>
      </c>
      <c r="BD38" s="961"/>
      <c r="BE38" s="961"/>
      <c r="BF38" s="961"/>
      <c r="BG38" s="961"/>
      <c r="BH38" s="962" t="str">
        <f t="shared" si="3"/>
        <v/>
      </c>
      <c r="BI38" s="961"/>
      <c r="BJ38" s="961"/>
      <c r="BK38" s="961"/>
      <c r="BL38" s="961"/>
      <c r="BM38" s="30" t="str">
        <f t="shared" si="4"/>
        <v/>
      </c>
      <c r="BN38" s="963" t="str">
        <f t="shared" si="5"/>
        <v/>
      </c>
      <c r="BO38" s="31" t="str">
        <f t="shared" si="35"/>
        <v/>
      </c>
      <c r="BP38" s="964" t="str">
        <f t="shared" si="6"/>
        <v/>
      </c>
      <c r="BQ38" s="28" t="str">
        <f t="shared" si="7"/>
        <v/>
      </c>
      <c r="BR38" s="964" t="str">
        <f t="shared" si="8"/>
        <v/>
      </c>
      <c r="BS38" s="964" t="str">
        <f t="shared" si="9"/>
        <v/>
      </c>
      <c r="BT38" s="28" t="str">
        <f t="shared" si="50"/>
        <v/>
      </c>
      <c r="BU38" s="28" t="str">
        <f t="shared" si="50"/>
        <v/>
      </c>
      <c r="BV38" s="28" t="str">
        <f t="shared" si="50"/>
        <v/>
      </c>
      <c r="BW38" s="29" t="str">
        <f t="shared" si="36"/>
        <v/>
      </c>
      <c r="BX38" s="29" t="str">
        <f t="shared" si="37"/>
        <v/>
      </c>
      <c r="BY38" s="28" t="str">
        <f>IF($G38="","",$G38*(IF(ADRYr2!$AI38=BY$4,ADRYr2!$AJ38,IF(ADRYr2!$AK38=BY$4,ADRYr2!$AL38,IF(ADRYr2!$AM38=BY$4,ADRYr2!$AN38,0))))*(INDEX(avoidedcosttbl2,$H38,BY$2)+(($H38-ROUNDDOWN($H38,0))*(INDEX(avoidedcosttbl2,ROUNDUP($H38,0),BY$2)-(INDEX(avoidedcosttbl2,ROUNDDOWN($H38,0),BY$2)))))*ADRYr2!P38*ADRYr2!Q38*ADRYr2!U38)</f>
        <v/>
      </c>
      <c r="BZ38" s="28" t="str">
        <f>IF($G38="","",$G38*(IF(ADRYr2!$AI38=BZ$4,ADRYr2!$AJ38,IF(ADRYr2!$AK38=BZ$4,ADRYr2!$AL38,IF(ADRYr2!$AM38=BZ$4,ADRYr2!$AN38,0))))*(INDEX(avoidedcosttbl2,$H38,BZ$2)+(($H38-ROUNDDOWN($H38,0))*(INDEX(avoidedcosttbl2,ROUNDUP($H38,0),BZ$2)-(INDEX(avoidedcosttbl2,ROUNDDOWN($H38,0),BZ$2)))))*ADRYr2!P38*ADRYr2!Q38*ADRYr2!U38)</f>
        <v/>
      </c>
      <c r="CA38" s="28" t="str">
        <f>IF($G38="","",$G38*(IF(ADRYr2!$AI38=CA$4,ADRYr2!$AJ38,IF(ADRYr2!$AK38=CA$4,ADRYr2!$AL38,IF(ADRYr2!$AM38=CA$4,ADRYr2!$AN38,0))))*(INDEX(avoidedcosttbl2,$H38,CA$2)+(($H38-ROUNDDOWN($H38,0))*(INDEX(avoidedcosttbl2,ROUNDUP($H38,0),CA$2)-(INDEX(avoidedcosttbl2,ROUNDDOWN($H38,0),CA$2)))))*ADRYr2!P38*ADRYr2!Q38*ADRYr2!U38)</f>
        <v/>
      </c>
      <c r="CB38" s="28" t="str">
        <f>IF($G38="","",$G38*(IF(ADRYr2!$AI38=CB$4,ADRYr2!$AJ38,IF(ADRYr2!$AK38=CB$4,ADRYr2!$AL38,IF(ADRYr2!$AM38=CB$4,ADRYr2!$AN38,0))))*(INDEX(avoidedcosttbl2,$H38,CB$2)+(($H38-ROUNDDOWN($H38,0))*(INDEX(avoidedcosttbl2,ROUNDUP($H38,0),CB$2)-(INDEX(avoidedcosttbl2,ROUNDDOWN($H38,0),CB$2)))))*ADRYr2!P38*ADRYr2!Q38*ADRYr2!U38)</f>
        <v/>
      </c>
      <c r="CC38" s="28" t="str">
        <f>IF($G38="","",$G38*(IF(ADRYr2!$AI38=CC$4,ADRYr2!$AJ38,IF(ADRYr2!$AK38=CC$4,ADRYr2!$AL38,IF(ADRYr2!$AM38=CC$4,ADRYr2!$AN38,0))))*(INDEX(avoidedcosttbl2,$H38,CC$2)+(($H38-ROUNDDOWN($H38,0))*(INDEX(avoidedcosttbl2,ROUNDUP($H38,0),CC$2)-(INDEX(avoidedcosttbl2,ROUNDDOWN($H38,0),CC$2)))))*ADRYr2!P38*ADRYr2!Q38*ADRYr2!U38)</f>
        <v/>
      </c>
      <c r="CD38" s="28" t="str">
        <f>IF($G38="","",$G38*(IF(ADRYr2!$AI38=CD$4,ADRYr2!$AJ38,IF(ADRYr2!$AK38=CD$4,ADRYr2!$AL38,IF(ADRYr2!$AM38=CD$4,ADRYr2!$AN38,0))))*(INDEX(avoidedcosttbl2,$H38,CD$2)+(($H38-ROUNDDOWN($H38,0))*(INDEX(avoidedcosttbl2,ROUNDUP($H38,0),CD$2)-(INDEX(avoidedcosttbl2,ROUNDDOWN($H38,0),CD$2)))))*ADRYr2!P38*ADRYr2!Q38*ADRYr2!U38)</f>
        <v/>
      </c>
      <c r="CE38" s="28" t="str">
        <f>IF($G38="","",$G38*(IF(ADRYr2!$AI38=CE$4,ADRYr2!$AJ38,IF(ADRYr2!$AK38=CE$4,ADRYr2!$AL38,IF(ADRYr2!$AM38=CE$4,ADRYr2!$AN38,0))))*(INDEX(avoidedcosttbl2,$H38,CE$2)+(($H38-ROUNDDOWN($H38,0))*(INDEX(avoidedcosttbl2,ROUNDUP($H38,0),CE$2)-(INDEX(avoidedcosttbl2,ROUNDDOWN($H38,0),CE$2)))))*ADRYr2!P38*ADRYr2!Q38*ADRYr2!U38)</f>
        <v/>
      </c>
      <c r="CF38" s="41" t="str">
        <f t="shared" si="38"/>
        <v/>
      </c>
      <c r="CG38" s="30" t="str">
        <f t="shared" si="11"/>
        <v/>
      </c>
      <c r="CH38" s="30" t="str">
        <f>IF($G38="","",$G38*(IF(ADRYr2!$AI38=BY$4,ADRYr2!$AJ38,IF(ADRYr2!$AK38=BY$4,ADRYr2!$AL38,IF(ADRYr2!$AM38=BY$4,ADRYr2!$AN38,0))))*(INDEX(avoidedcosttbl2,$H38,CH$2)+(($H38-ROUNDDOWN($H38,0))*(INDEX(avoidedcosttbl2,ROUNDUP($H38,0),CH$2)-(INDEX(avoidedcosttbl2,ROUNDDOWN($H38,0),CH$2)))))*ADRYr2!P38*ADRYr2!Q38*ADRYr2!U38)</f>
        <v/>
      </c>
      <c r="CI38" s="30" t="str">
        <f>IF($G38="","",$G38*(IF(ADRYr2!$AI38=BZ$4,ADRYr2!$AJ38,IF(ADRYr2!$AK38=BZ$4,ADRYr2!$AL38,IF(ADRYr2!$AM38=BZ$4,ADRYr2!$AN38,0))))*(INDEX(avoidedcosttbl2,$H38,CI$2)+(($H38-ROUNDDOWN($H38,0))*(INDEX(avoidedcosttbl2,ROUNDUP($H38,0),CI$2)-(INDEX(avoidedcosttbl2,ROUNDDOWN($H38,0),CI$2)))))*ADRYr2!P38*ADRYr2!Q38*ADRYr2!U38)</f>
        <v/>
      </c>
      <c r="CJ38" s="30" t="str">
        <f>IF($G38="","",$G38*(IF(ADRYr2!$AI38=CA$4,ADRYr2!$AJ38,IF(ADRYr2!$AK38=CA$4,ADRYr2!$AL38,IF(ADRYr2!$AM38=CA$4,ADRYr2!$AN38,0))))*(INDEX(avoidedcosttbl2,$H38,CJ$2)+(($H38-ROUNDDOWN($H38,0))*(INDEX(avoidedcosttbl2,ROUNDUP($H38,0),CJ$2)-(INDEX(avoidedcosttbl2,ROUNDDOWN($H38,0),CJ$2)))))*ADRYr2!P38*ADRYr2!Q38*ADRYr2!U38)</f>
        <v/>
      </c>
      <c r="CK38" s="30" t="str">
        <f>IF($G38="","",$G38*(IF(ADRYr2!$AI38=CB$4,ADRYr2!$AJ38,IF(ADRYr2!$AK38=CB$4,ADRYr2!$AL38,IF(ADRYr2!$AM38=CB$4,ADRYr2!$AN38,0))))*(INDEX(avoidedcosttbl2,$H38,CK$2)+(($H38-ROUNDDOWN($H38,0))*(INDEX(avoidedcosttbl2,ROUNDUP($H38,0),CK$2)-(INDEX(avoidedcosttbl2,ROUNDDOWN($H38,0),CK$2)))))*ADRYr2!P38*ADRYr2!Q38*ADRYr2!U38)</f>
        <v/>
      </c>
      <c r="CL38" s="30" t="str">
        <f>IF($G38="","",$G38*(IF(ADRYr2!$AI38=CC$4,ADRYr2!$AJ38,IF(ADRYr2!$AK38=CC$4,ADRYr2!$AL38,IF(ADRYr2!$AM38=CC$4,ADRYr2!$AN38,0))))*(INDEX(avoidedcosttbl2,$H38,CL$2)+(($H38-ROUNDDOWN($H38,0))*(INDEX(avoidedcosttbl2,ROUNDUP($H38,0),CL$2)-(INDEX(avoidedcosttbl2,ROUNDDOWN($H38,0),CL$2)))))*ADRYr2!P38*ADRYr2!Q38*ADRYr2!U38)</f>
        <v/>
      </c>
      <c r="CM38" s="30" t="str">
        <f>IF($G38="","",$G38*(IF(ADRYr2!$AI38=CD$4,ADRYr2!$AJ38,IF(ADRYr2!$AK38=CD$4,ADRYr2!$AL38,IF(ADRYr2!$AM38=CD$4,ADRYr2!$AN38,0))))*(INDEX(avoidedcosttbl2,$H38,CM$2)+(($H38-ROUNDDOWN($H38,0))*(INDEX(avoidedcosttbl2,ROUNDUP($H38,0),CM$2)-(INDEX(avoidedcosttbl2,ROUNDDOWN($H38,0),CM$2)))))*ADRYr2!P38*ADRYr2!Q38*ADRYr2!U38)</f>
        <v/>
      </c>
      <c r="CN38" s="30" t="str">
        <f>IF($G38="","",$G38*(IF(ADRYr2!$AI38=CE$4,ADRYr2!$AJ38,IF(ADRYr2!$AK38=CE$4,ADRYr2!$AL38,IF(ADRYr2!$AM38=CE$4,ADRYr2!$AN38,0))))*(INDEX(avoidedcosttbl2,$H38,CN$2)+(($H38-ROUNDDOWN($H38,0))*(INDEX(avoidedcosttbl2,ROUNDUP($H38,0),CN$2)-(INDEX(avoidedcosttbl2,ROUNDDOWN($H38,0),CN$2)))))*ADRYr2!P38*ADRYr2!Q38*ADRYr2!U38)</f>
        <v/>
      </c>
      <c r="CO38" s="220" t="str">
        <f t="shared" si="39"/>
        <v/>
      </c>
      <c r="CP38" s="220" t="str">
        <f t="shared" si="40"/>
        <v/>
      </c>
      <c r="CQ38" s="157" t="str">
        <f>IF($G38="","",$G38*(IF(ADRYr2!$AI38=CQ$4,ADRYr2!$AJ38,IF(ADRYr2!$AK38=CQ$4,ADRYr2!$AL38,IF(ADRYr2!$AM38=CQ$4,ADRYr2!$AN38,0))))*(INDEX(avoidedcosttbl2,$H38,CQ$2)+(($H38-ROUNDDOWN($H38,0))*(INDEX(avoidedcosttbl2,ROUNDUP($H38,0),CQ$2)-(INDEX(avoidedcosttbl2,ROUNDDOWN($H38,0),CQ$2)))))*ADRYr2!$P38*ADRYr2!$Q38*ADRYr2!$U38)</f>
        <v/>
      </c>
      <c r="CR38" s="28" t="str">
        <f>IF($G38="","",G38*(IF(ADRYr2!$AI38=CR$4,ADRYr2!$AJ38,IF(ADRYr2!$AK38=CR$4,ADRYr2!$AL38,IF(ADRYr2!$AM38=CR$4,ADRYr2!$AN38,0))))*(INDEX(avoidedcosttbl2,$H38,CR$2)+(($H38-ROUNDDOWN($H38,0))*(INDEX(avoidedcosttbl2,ROUNDUP($H38,0),CR$2)-(INDEX(avoidedcosttbl2,ROUNDDOWN($H38,0),CR$2)))))*ADRYr2!$P38*ADRYr2!$Q38*ADRYr2!$U38)</f>
        <v/>
      </c>
      <c r="CS38" s="28" t="str">
        <f>IF($G38="","",G38*(IF(ADRYr2!$AI38=CS$4,ADRYr2!$AJ38,IF(ADRYr2!$AK38=CS$4,ADRYr2!$AL38,IF(ADRYr2!$AM38=CS$4,ADRYr2!$AN38,0))))*(INDEX(avoidedcosttbl2,$H38,CS$2)+(($H38-ROUNDDOWN($H38,0))*(INDEX(avoidedcosttbl2,ROUNDUP($H38,0),CS$2)-(INDEX(avoidedcosttbl2,ROUNDDOWN($H38,0),CS$2)))))*ADRYr2!$P38*ADRYr2!$Q38*ADRYr2!$U38)</f>
        <v/>
      </c>
      <c r="CT38" s="28" t="str">
        <f t="shared" si="12"/>
        <v/>
      </c>
      <c r="CU38" s="28" t="str">
        <f>IF($G38="","",G38*(IF(ADRYr2!$AI38=CU$4,ADRYr2!$AJ38,IF(ADRYr2!$AK38=CU$4,ADRYr2!$AL38,IF(ADRYr2!$AM38=CU$4,ADRYr2!$AN38,0))))*(INDEX(avoidedcosttbl2,$H38,CU$2)+(($H38-ROUNDDOWN($H38,0))*(INDEX(avoidedcosttbl2,ROUNDUP($H38,0),CU$2)-(INDEX(avoidedcosttbl2,ROUNDDOWN($H38,0),CU$2)))))*ADRYr2!$P38*ADRYr2!$Q38*ADRYr2!$U38)</f>
        <v/>
      </c>
      <c r="CV38" s="28" t="str">
        <f>IF($G38="","",G38*(IF(ADRYr2!$AI38=CV$4,ADRYr2!$AJ38,IF(ADRYr2!$AK38=CV$4,ADRYr2!$AL38,IF(ADRYr2!$AM38=CV$4,ADRYr2!$AN38,0))))*(INDEX(avoidedcosttbl2,$H38,CV$2)+(($H38-ROUNDDOWN($H38,0))*(INDEX(avoidedcosttbl2,ROUNDUP($H38,0),CV$2)-(INDEX(avoidedcosttbl2,ROUNDDOWN($H38,0),CV$2)))))*ADRYr2!$P38*ADRYr2!$Q38*ADRYr2!$U38)</f>
        <v/>
      </c>
      <c r="CW38" s="28" t="str">
        <f>IF($G38="","",G38*(IF(ADRYr2!$AI38=CW$4,ADRYr2!$AJ38,IF(ADRYr2!$AK38=CW$4,ADRYr2!$AL38,IF(ADRYr2!$AM38=CW$4,ADRYr2!$AN38,0))))*(INDEX(avoidedcosttbl2,$H38,CW$2)+(($H38-ROUNDDOWN($H38,0))*(INDEX(avoidedcosttbl2,ROUNDUP($H38,0),CW$2)-(INDEX(avoidedcosttbl2,ROUNDDOWN($H38,0),CW$2)))))*ADRYr2!$P38*ADRYr2!$Q38*ADRYr2!$U38)</f>
        <v/>
      </c>
      <c r="CX38" s="28" t="str">
        <f>IF($G38="","",G38*(IF(ADRYr2!$AI38=CX$4,ADRYr2!$AJ38,IF(ADRYr2!$AK38=CX$4,ADRYr2!$AL38,IF(ADRYr2!$AM38=CX$4,ADRYr2!$AN38,0))))*(INDEX(avoidedcosttbl2,$H38,CX$2)+(($H38-ROUNDDOWN($H38,0))*(INDEX(avoidedcosttbl2,ROUNDUP($H38,0),CX$2)-(INDEX(avoidedcosttbl2,ROUNDDOWN($H38,0),CX$2)))))*ADRYr2!$P38*ADRYr2!$Q38*ADRYr2!$U38)</f>
        <v/>
      </c>
      <c r="CY38" s="28" t="str">
        <f t="shared" si="13"/>
        <v/>
      </c>
      <c r="CZ38" s="32" t="str">
        <f t="shared" si="14"/>
        <v/>
      </c>
      <c r="DA38" s="84" t="str">
        <f t="shared" si="41"/>
        <v/>
      </c>
      <c r="DB38" s="81" t="str">
        <f>IF(NEIadder="Yes",IF($G38="","",INDEX(Lookups!$G$70:$G$71,MATCH($A38,Lookups!$E$70:$E$71,0))*(SUM(CP38:CX38,BX38))),"")</f>
        <v/>
      </c>
      <c r="DC38" s="263" t="str">
        <f t="shared" si="15"/>
        <v/>
      </c>
      <c r="DD38" s="166" t="str">
        <f t="shared" si="16"/>
        <v/>
      </c>
      <c r="DE38" s="82">
        <f t="shared" si="42"/>
        <v>0</v>
      </c>
      <c r="DF38" s="615" t="str">
        <f>IF($G38="","",(1+WntPeakEnergyLL)*(INDEX(avoidedcosttbl2,$H38,DF$2)+(($H38-ROUNDDOWN($H38,0))*(INDEX(avoidedcosttbl2,ROUNDUP($H38,0),DF$2)-(INDEX(avoidedcosttbl2,ROUNDDOWN($H38,0),DF$2)))))*$P38*1000*ADRYr2!Z38)</f>
        <v/>
      </c>
      <c r="DG38" s="615" t="str">
        <f>IF($G38="","",(1+WntOffPeakEnergyLL)*(INDEX(avoidedcosttbl2,$H38,DG$2)+(($H38-ROUNDDOWN($H38,0))*(INDEX(avoidedcosttbl2,ROUNDUP($H38,0),DG$2)-(INDEX(avoidedcosttbl2,ROUNDDOWN($H38,0),DG$2)))))*$P38*1000*ADRYr2!AA38)</f>
        <v/>
      </c>
      <c r="DH38" s="615" t="str">
        <f>IF($G38="","",(1+SumPeakEnergyLL)*(INDEX(avoidedcosttbl2,$H38,DH$2)+(($H38-ROUNDDOWN($H38,0))*(INDEX(avoidedcosttbl2,ROUNDUP($H38,0),DH$2)-(INDEX(avoidedcosttbl2,ROUNDDOWN($H38,0),DH$2)))))*$P38*1000*ADRYr2!AB38)</f>
        <v/>
      </c>
      <c r="DI38" s="615" t="str">
        <f>IF($G38="","",(1+SumOffPeakEnergyLL)*(INDEX(avoidedcosttbl2,$H38,DI$2)+(($H38-ROUNDDOWN($H38,0))*(INDEX(avoidedcosttbl2,ROUNDUP($H38,0),DI$2)-(INDEX(avoidedcosttbl2,ROUNDDOWN($H38,0),DI$2)))))*$P38*1000*ADRYr2!AC38)</f>
        <v/>
      </c>
      <c r="DJ38" s="29" t="str">
        <f t="shared" si="43"/>
        <v/>
      </c>
      <c r="DK38" s="161" t="str">
        <f t="shared" si="44"/>
        <v/>
      </c>
      <c r="DL38" s="1189" t="str">
        <f t="shared" si="45"/>
        <v/>
      </c>
      <c r="DM38" s="1189" t="str">
        <f t="shared" si="46"/>
        <v/>
      </c>
      <c r="DN38" s="43" t="str">
        <f t="shared" si="47"/>
        <v/>
      </c>
      <c r="DO38" s="966" t="str">
        <f>IF($G38="","",ADRYr2!AQ38)</f>
        <v/>
      </c>
      <c r="DP38" s="968" t="str">
        <f>IF($G38="","",ADRYr2!AR38)</f>
        <v/>
      </c>
      <c r="DQ38" s="970" t="str">
        <f>IF($G38="","",IF($DP38="Yes",COLUMN(AESC!$L$10),IF($DP38="No","Using AvoidedDemand tab",IF($DP38="Mixed",COLUMN(AESC!$N$10)))))</f>
        <v/>
      </c>
      <c r="DR38" s="970" t="str">
        <f>IF($G38="","",IF($DP38="Yes",COLUMN(AESC!$P$10),IF($DP38="No","Using AvoidedDemand tab",IF($DP38="Mixed",COLUMN(AESC!$R$10)))))</f>
        <v/>
      </c>
      <c r="DS38" s="970" t="str">
        <f>IF($G38="","",IF($DP38="Yes",COLUMN(AESC!$S$10),IF($DP38="No",COLUMN(AESC!$T$10),IF($DP38="Mixed",COLUMN(AESC!$U$10)))))</f>
        <v/>
      </c>
      <c r="DT38" s="970" t="str">
        <f t="shared" si="48"/>
        <v/>
      </c>
      <c r="DU38" s="970" t="str">
        <f>IF($G38="","",ADRYr2!AS38)</f>
        <v/>
      </c>
      <c r="DV38" s="971" t="str">
        <f>IF($G38="","",ADRYr2!AT38)</f>
        <v/>
      </c>
      <c r="DW38" s="1162" t="str">
        <f>IF($G38="","",INDEX(AvoidedEnergy!$H$4:$H$10,MATCH($DO38,AvoidedEnergy!$A$4:$A$10,0)))</f>
        <v/>
      </c>
    </row>
    <row r="39" spans="1:127">
      <c r="A39" s="160" t="str">
        <f>IF(ADRYr2!$B39=0,"",ADRYr2!A39)</f>
        <v>C - Commercial &amp; Industrial</v>
      </c>
      <c r="B39" s="9" t="str">
        <f>IF(ADRYr2!$B39=0,"",ADRYr2!B39)</f>
        <v>C5 - C&amp;I Active Demand Response</v>
      </c>
      <c r="C39" s="9" t="str">
        <f>IF(ADRYr2!$B39=0,"",ADRYr2!C39)</f>
        <v>C5a - C&amp;I Active Demand Response</v>
      </c>
      <c r="D39" s="9" t="str">
        <f>IF(ADRYr2!$B39=0,"",ADRYr2!D39)</f>
        <v>Storage Targeted Dispatch P4P (savings) Winter</v>
      </c>
      <c r="E39" s="9">
        <f>IF(ADRYr2!$B39=0,"",ADRYr2!E39)</f>
        <v>0</v>
      </c>
      <c r="F39" s="11" t="str">
        <f>IF(ADRYr2!$B39=0,"",ADRYr2!F39)</f>
        <v>Behavior</v>
      </c>
      <c r="G39" s="12" t="str">
        <f>IF(ADRYr2!$G39&lt;&gt;0,ADRYr2!G39,"")</f>
        <v/>
      </c>
      <c r="H39" s="960" t="str">
        <f>IF($G39="","",ROUND(ADRYr2!H39,0))</f>
        <v/>
      </c>
      <c r="I39" s="47" t="str">
        <f>IF($G39="","",ADRYr2!I39*ADRYr2!P39*G39)</f>
        <v/>
      </c>
      <c r="J39" s="47" t="str">
        <f>IF($G39="","",ADRYr2!J39*G39)</f>
        <v/>
      </c>
      <c r="K39" s="47" t="str">
        <f t="shared" si="17"/>
        <v/>
      </c>
      <c r="L39" s="27" t="str">
        <f>IF($G39="","",ADRYr2!V39*G39/1000)</f>
        <v/>
      </c>
      <c r="M39" s="27" t="str">
        <f>IF($G39="","",L39*ADRYr2!$Q39*ADRYr2!$R39)</f>
        <v/>
      </c>
      <c r="N39" s="27" t="str">
        <f t="shared" si="18"/>
        <v/>
      </c>
      <c r="O39" s="27" t="str">
        <f t="shared" si="19"/>
        <v/>
      </c>
      <c r="P39" s="27" t="str">
        <f>IF($G39="","",M39*ADRYr2!P39)</f>
        <v/>
      </c>
      <c r="Q39" s="27" t="str">
        <f t="shared" si="20"/>
        <v/>
      </c>
      <c r="R39" s="27" t="str">
        <f>IF($G39="","",$Q39*ADRYr2!Z39)</f>
        <v/>
      </c>
      <c r="S39" s="27" t="str">
        <f>IF($G39="","",$Q39*ADRYr2!AA39)</f>
        <v/>
      </c>
      <c r="T39" s="27" t="str">
        <f>IF($G39="","",$Q39*ADRYr2!AB39)</f>
        <v/>
      </c>
      <c r="U39" s="27" t="str">
        <f>IF($G39="","",$Q39*ADRYr2!AC39)</f>
        <v/>
      </c>
      <c r="V39" s="27" t="str">
        <f>IF($G39="","",G39*ADRYr2!$AD39*ADRYr2!$P39*ADRYr2!$Q39)</f>
        <v/>
      </c>
      <c r="W39" s="27" t="str">
        <f>IF($G39="","",$G39*ADRYr2!$AD39*ADRYr2!$AF39*ADRYr2!Q39*ADRYr2!$S39)</f>
        <v/>
      </c>
      <c r="X39" s="27" t="str">
        <f>IF($G39="","",$G39*ADRYr2!$AD39*ADRYr2!$AF39*ADRYr2!P39*ADRYr2!Q39*ADRYr2!$S39)</f>
        <v/>
      </c>
      <c r="Y39" s="27" t="str">
        <f>IF($G39="","",$G39*ADRYr2!$AD39*ADRYr2!$AE39*ADRYr2!Q39*ADRYr2!$T39)</f>
        <v/>
      </c>
      <c r="Z39" s="27" t="str">
        <f>IF($G39="","",$G39*ADRYr2!$AD39*ADRYr2!$AE39*ADRYr2!P39*ADRYr2!Q39*ADRYr2!$T39)</f>
        <v/>
      </c>
      <c r="AA39" s="45" t="str">
        <f>IF($G39="","",$G39*ADRYr2!$Q39*ADRYr2!$U39*(IF(IFERROR(SEARCH("NG", ADRYr2!$AI39),0),ADRYr2!$AJ39,0)+IF(IFERROR(SEARCH("NG", ADRYr2!$AK39),0),ADRYr2!$AL39,0)+IF(IFERROR(SEARCH("NG", ADRYr2!$AM39),0),ADRYr2!$AN39,0)))</f>
        <v/>
      </c>
      <c r="AB39" s="45" t="str">
        <f t="shared" si="21"/>
        <v/>
      </c>
      <c r="AC39" s="45">
        <f>IF($G39="",0,AA39*ADRYr2!$P39)</f>
        <v>0</v>
      </c>
      <c r="AD39" s="45" t="str">
        <f t="shared" si="22"/>
        <v/>
      </c>
      <c r="AE39" s="45" t="str">
        <f>IF($G39="","",$G39*ADRYr2!$Q39*ADRYr2!$U39*(IF(IFERROR(SEARCH("Oil", ADRYr2!$AI39), 0),ADRYr2!$AJ39,0)+IF(IFERROR(SEARCH("Oil", ADRYr2!$AK39), 0),ADRYr2!$AL39,0)+IF(IFERROR(SEARCH("Oil", ADRYr2!$AM39), 0),ADRYr2!$AN39,0)))</f>
        <v/>
      </c>
      <c r="AF39" s="45" t="str">
        <f t="shared" si="23"/>
        <v/>
      </c>
      <c r="AG39" s="45">
        <f>IF($G39="",0,AE39*ADRYr2!$P39)</f>
        <v>0</v>
      </c>
      <c r="AH39" s="45" t="str">
        <f t="shared" si="24"/>
        <v/>
      </c>
      <c r="AI39" s="45" t="str">
        <f>IF($G39="","",$G39*ADRYr2!$Q39*ADRYr2!$U39*(IF(ADRYr2!$AI39=Lookups!$E$116,ADRYr2!$AJ39,IF(ADRYr2!$AK39=Lookups!$E$116,ADRYr2!$AL39,IF(ADRYr2!$AM39=Lookups!$E$116,ADRYr2!$AN39,0)))))</f>
        <v/>
      </c>
      <c r="AJ39" s="45" t="str">
        <f t="shared" si="25"/>
        <v/>
      </c>
      <c r="AK39" s="45">
        <f>IF($G39="",0,AI39*ADRYr2!$P39)</f>
        <v>0</v>
      </c>
      <c r="AL39" s="45" t="str">
        <f t="shared" si="26"/>
        <v/>
      </c>
      <c r="AM39" s="45" t="str">
        <f>IF($G39="","",$G39*ADRYr2!$Q39*ADRYr2!$U39*(IF(ADRYr2!$AI39=Lookups!$E$115,ADRYr2!$AJ39,IF(ADRYr2!$AK39=Lookups!$E$115,ADRYr2!$AL39,IF(ADRYr2!$AM39=Lookups!$E$115,ADRYr2!$AN39,0)))))</f>
        <v/>
      </c>
      <c r="AN39" s="45" t="str">
        <f t="shared" si="27"/>
        <v/>
      </c>
      <c r="AO39" s="45">
        <f>IF($G39="",0,AM39*ADRYr2!$P39)</f>
        <v>0</v>
      </c>
      <c r="AP39" s="45" t="str">
        <f t="shared" si="28"/>
        <v/>
      </c>
      <c r="AQ39" s="45" t="str">
        <f>IF($G39="","",$G39*ADRYr2!$Q39*ADRYr2!$U39*(IF(ADRYr2!$AI39=Lookups!$E$117,ADRYr2!$AJ39,IF(ADRYr2!$AK39=Lookups!$E$117,ADRYr2!$AL39,IF(ADRYr2!$AM39=Lookups!$E$117,ADRYr2!$AN39,0)))))</f>
        <v/>
      </c>
      <c r="AR39" s="45" t="str">
        <f t="shared" si="29"/>
        <v/>
      </c>
      <c r="AS39" s="45" t="str">
        <f>IF($G39="","",AQ39*ADRYr2!$P39)</f>
        <v/>
      </c>
      <c r="AT39" s="45" t="str">
        <f t="shared" si="30"/>
        <v/>
      </c>
      <c r="AU39" s="45" t="str">
        <f>IF($G39="","",$G39*ADRYr2!$Q39*ADRYr2!$U39*(IF(ADRYr2!$AI39=Lookups!$E$118,ADRYr2!$AJ39,IF(ADRYr2!$AK39=Lookups!$E$118,ADRYr2!$AL39,IF(ADRYr2!$AM39=Lookups!$E$118,ADRYr2!$AN39,0)))))</f>
        <v/>
      </c>
      <c r="AV39" s="45" t="str">
        <f t="shared" si="31"/>
        <v/>
      </c>
      <c r="AW39" s="45" t="str">
        <f>IF($G39="","",AU39*ADRYr2!$P39)</f>
        <v/>
      </c>
      <c r="AX39" s="45" t="str">
        <f t="shared" si="32"/>
        <v/>
      </c>
      <c r="AY39" s="45">
        <f t="shared" si="49"/>
        <v>0</v>
      </c>
      <c r="AZ39" s="45">
        <f t="shared" si="49"/>
        <v>0</v>
      </c>
      <c r="BA39" s="101" t="str">
        <f>IF($G39="","",$G39*ADRYr2!$P39*ADRYr2!$Q39*ADRYr2!$U39*ADRYr2!AO39)</f>
        <v/>
      </c>
      <c r="BB39" s="102" t="str">
        <f>IF($G39="","",$G39*ADRYr2!$P39*ADRYr2!$Q39*ADRYr2!$U39*ADRYr2!AP39)</f>
        <v/>
      </c>
      <c r="BC39" s="100" t="str">
        <f t="shared" si="34"/>
        <v/>
      </c>
      <c r="BD39" s="961"/>
      <c r="BE39" s="961"/>
      <c r="BF39" s="961"/>
      <c r="BG39" s="961"/>
      <c r="BH39" s="962" t="str">
        <f t="shared" si="3"/>
        <v/>
      </c>
      <c r="BI39" s="961"/>
      <c r="BJ39" s="961"/>
      <c r="BK39" s="961"/>
      <c r="BL39" s="961"/>
      <c r="BM39" s="30" t="str">
        <f t="shared" si="4"/>
        <v/>
      </c>
      <c r="BN39" s="963" t="str">
        <f t="shared" si="5"/>
        <v/>
      </c>
      <c r="BO39" s="31" t="str">
        <f t="shared" si="35"/>
        <v/>
      </c>
      <c r="BP39" s="964" t="str">
        <f t="shared" si="6"/>
        <v/>
      </c>
      <c r="BQ39" s="28" t="str">
        <f t="shared" si="7"/>
        <v/>
      </c>
      <c r="BR39" s="964" t="str">
        <f t="shared" si="8"/>
        <v/>
      </c>
      <c r="BS39" s="964" t="str">
        <f t="shared" si="9"/>
        <v/>
      </c>
      <c r="BT39" s="28" t="str">
        <f t="shared" si="50"/>
        <v/>
      </c>
      <c r="BU39" s="28" t="str">
        <f t="shared" si="50"/>
        <v/>
      </c>
      <c r="BV39" s="28" t="str">
        <f t="shared" si="50"/>
        <v/>
      </c>
      <c r="BW39" s="29" t="str">
        <f t="shared" si="36"/>
        <v/>
      </c>
      <c r="BX39" s="29" t="str">
        <f t="shared" si="37"/>
        <v/>
      </c>
      <c r="BY39" s="28" t="str">
        <f>IF($G39="","",$G39*(IF(ADRYr2!$AI39=BY$4,ADRYr2!$AJ39,IF(ADRYr2!$AK39=BY$4,ADRYr2!$AL39,IF(ADRYr2!$AM39=BY$4,ADRYr2!$AN39,0))))*(INDEX(avoidedcosttbl2,$H39,BY$2)+(($H39-ROUNDDOWN($H39,0))*(INDEX(avoidedcosttbl2,ROUNDUP($H39,0),BY$2)-(INDEX(avoidedcosttbl2,ROUNDDOWN($H39,0),BY$2)))))*ADRYr2!P39*ADRYr2!Q39*ADRYr2!U39)</f>
        <v/>
      </c>
      <c r="BZ39" s="28" t="str">
        <f>IF($G39="","",$G39*(IF(ADRYr2!$AI39=BZ$4,ADRYr2!$AJ39,IF(ADRYr2!$AK39=BZ$4,ADRYr2!$AL39,IF(ADRYr2!$AM39=BZ$4,ADRYr2!$AN39,0))))*(INDEX(avoidedcosttbl2,$H39,BZ$2)+(($H39-ROUNDDOWN($H39,0))*(INDEX(avoidedcosttbl2,ROUNDUP($H39,0),BZ$2)-(INDEX(avoidedcosttbl2,ROUNDDOWN($H39,0),BZ$2)))))*ADRYr2!P39*ADRYr2!Q39*ADRYr2!U39)</f>
        <v/>
      </c>
      <c r="CA39" s="28" t="str">
        <f>IF($G39="","",$G39*(IF(ADRYr2!$AI39=CA$4,ADRYr2!$AJ39,IF(ADRYr2!$AK39=CA$4,ADRYr2!$AL39,IF(ADRYr2!$AM39=CA$4,ADRYr2!$AN39,0))))*(INDEX(avoidedcosttbl2,$H39,CA$2)+(($H39-ROUNDDOWN($H39,0))*(INDEX(avoidedcosttbl2,ROUNDUP($H39,0),CA$2)-(INDEX(avoidedcosttbl2,ROUNDDOWN($H39,0),CA$2)))))*ADRYr2!P39*ADRYr2!Q39*ADRYr2!U39)</f>
        <v/>
      </c>
      <c r="CB39" s="28" t="str">
        <f>IF($G39="","",$G39*(IF(ADRYr2!$AI39=CB$4,ADRYr2!$AJ39,IF(ADRYr2!$AK39=CB$4,ADRYr2!$AL39,IF(ADRYr2!$AM39=CB$4,ADRYr2!$AN39,0))))*(INDEX(avoidedcosttbl2,$H39,CB$2)+(($H39-ROUNDDOWN($H39,0))*(INDEX(avoidedcosttbl2,ROUNDUP($H39,0),CB$2)-(INDEX(avoidedcosttbl2,ROUNDDOWN($H39,0),CB$2)))))*ADRYr2!P39*ADRYr2!Q39*ADRYr2!U39)</f>
        <v/>
      </c>
      <c r="CC39" s="28" t="str">
        <f>IF($G39="","",$G39*(IF(ADRYr2!$AI39=CC$4,ADRYr2!$AJ39,IF(ADRYr2!$AK39=CC$4,ADRYr2!$AL39,IF(ADRYr2!$AM39=CC$4,ADRYr2!$AN39,0))))*(INDEX(avoidedcosttbl2,$H39,CC$2)+(($H39-ROUNDDOWN($H39,0))*(INDEX(avoidedcosttbl2,ROUNDUP($H39,0),CC$2)-(INDEX(avoidedcosttbl2,ROUNDDOWN($H39,0),CC$2)))))*ADRYr2!P39*ADRYr2!Q39*ADRYr2!U39)</f>
        <v/>
      </c>
      <c r="CD39" s="28" t="str">
        <f>IF($G39="","",$G39*(IF(ADRYr2!$AI39=CD$4,ADRYr2!$AJ39,IF(ADRYr2!$AK39=CD$4,ADRYr2!$AL39,IF(ADRYr2!$AM39=CD$4,ADRYr2!$AN39,0))))*(INDEX(avoidedcosttbl2,$H39,CD$2)+(($H39-ROUNDDOWN($H39,0))*(INDEX(avoidedcosttbl2,ROUNDUP($H39,0),CD$2)-(INDEX(avoidedcosttbl2,ROUNDDOWN($H39,0),CD$2)))))*ADRYr2!P39*ADRYr2!Q39*ADRYr2!U39)</f>
        <v/>
      </c>
      <c r="CE39" s="28" t="str">
        <f>IF($G39="","",$G39*(IF(ADRYr2!$AI39=CE$4,ADRYr2!$AJ39,IF(ADRYr2!$AK39=CE$4,ADRYr2!$AL39,IF(ADRYr2!$AM39=CE$4,ADRYr2!$AN39,0))))*(INDEX(avoidedcosttbl2,$H39,CE$2)+(($H39-ROUNDDOWN($H39,0))*(INDEX(avoidedcosttbl2,ROUNDUP($H39,0),CE$2)-(INDEX(avoidedcosttbl2,ROUNDDOWN($H39,0),CE$2)))))*ADRYr2!P39*ADRYr2!Q39*ADRYr2!U39)</f>
        <v/>
      </c>
      <c r="CF39" s="41" t="str">
        <f t="shared" si="38"/>
        <v/>
      </c>
      <c r="CG39" s="30" t="str">
        <f t="shared" si="11"/>
        <v/>
      </c>
      <c r="CH39" s="30" t="str">
        <f>IF($G39="","",$G39*(IF(ADRYr2!$AI39=BY$4,ADRYr2!$AJ39,IF(ADRYr2!$AK39=BY$4,ADRYr2!$AL39,IF(ADRYr2!$AM39=BY$4,ADRYr2!$AN39,0))))*(INDEX(avoidedcosttbl2,$H39,CH$2)+(($H39-ROUNDDOWN($H39,0))*(INDEX(avoidedcosttbl2,ROUNDUP($H39,0),CH$2)-(INDEX(avoidedcosttbl2,ROUNDDOWN($H39,0),CH$2)))))*ADRYr2!P39*ADRYr2!Q39*ADRYr2!U39)</f>
        <v/>
      </c>
      <c r="CI39" s="30" t="str">
        <f>IF($G39="","",$G39*(IF(ADRYr2!$AI39=BZ$4,ADRYr2!$AJ39,IF(ADRYr2!$AK39=BZ$4,ADRYr2!$AL39,IF(ADRYr2!$AM39=BZ$4,ADRYr2!$AN39,0))))*(INDEX(avoidedcosttbl2,$H39,CI$2)+(($H39-ROUNDDOWN($H39,0))*(INDEX(avoidedcosttbl2,ROUNDUP($H39,0),CI$2)-(INDEX(avoidedcosttbl2,ROUNDDOWN($H39,0),CI$2)))))*ADRYr2!P39*ADRYr2!Q39*ADRYr2!U39)</f>
        <v/>
      </c>
      <c r="CJ39" s="30" t="str">
        <f>IF($G39="","",$G39*(IF(ADRYr2!$AI39=CA$4,ADRYr2!$AJ39,IF(ADRYr2!$AK39=CA$4,ADRYr2!$AL39,IF(ADRYr2!$AM39=CA$4,ADRYr2!$AN39,0))))*(INDEX(avoidedcosttbl2,$H39,CJ$2)+(($H39-ROUNDDOWN($H39,0))*(INDEX(avoidedcosttbl2,ROUNDUP($H39,0),CJ$2)-(INDEX(avoidedcosttbl2,ROUNDDOWN($H39,0),CJ$2)))))*ADRYr2!P39*ADRYr2!Q39*ADRYr2!U39)</f>
        <v/>
      </c>
      <c r="CK39" s="30" t="str">
        <f>IF($G39="","",$G39*(IF(ADRYr2!$AI39=CB$4,ADRYr2!$AJ39,IF(ADRYr2!$AK39=CB$4,ADRYr2!$AL39,IF(ADRYr2!$AM39=CB$4,ADRYr2!$AN39,0))))*(INDEX(avoidedcosttbl2,$H39,CK$2)+(($H39-ROUNDDOWN($H39,0))*(INDEX(avoidedcosttbl2,ROUNDUP($H39,0),CK$2)-(INDEX(avoidedcosttbl2,ROUNDDOWN($H39,0),CK$2)))))*ADRYr2!P39*ADRYr2!Q39*ADRYr2!U39)</f>
        <v/>
      </c>
      <c r="CL39" s="30" t="str">
        <f>IF($G39="","",$G39*(IF(ADRYr2!$AI39=CC$4,ADRYr2!$AJ39,IF(ADRYr2!$AK39=CC$4,ADRYr2!$AL39,IF(ADRYr2!$AM39=CC$4,ADRYr2!$AN39,0))))*(INDEX(avoidedcosttbl2,$H39,CL$2)+(($H39-ROUNDDOWN($H39,0))*(INDEX(avoidedcosttbl2,ROUNDUP($H39,0),CL$2)-(INDEX(avoidedcosttbl2,ROUNDDOWN($H39,0),CL$2)))))*ADRYr2!P39*ADRYr2!Q39*ADRYr2!U39)</f>
        <v/>
      </c>
      <c r="CM39" s="30" t="str">
        <f>IF($G39="","",$G39*(IF(ADRYr2!$AI39=CD$4,ADRYr2!$AJ39,IF(ADRYr2!$AK39=CD$4,ADRYr2!$AL39,IF(ADRYr2!$AM39=CD$4,ADRYr2!$AN39,0))))*(INDEX(avoidedcosttbl2,$H39,CM$2)+(($H39-ROUNDDOWN($H39,0))*(INDEX(avoidedcosttbl2,ROUNDUP($H39,0),CM$2)-(INDEX(avoidedcosttbl2,ROUNDDOWN($H39,0),CM$2)))))*ADRYr2!P39*ADRYr2!Q39*ADRYr2!U39)</f>
        <v/>
      </c>
      <c r="CN39" s="30" t="str">
        <f>IF($G39="","",$G39*(IF(ADRYr2!$AI39=CE$4,ADRYr2!$AJ39,IF(ADRYr2!$AK39=CE$4,ADRYr2!$AL39,IF(ADRYr2!$AM39=CE$4,ADRYr2!$AN39,0))))*(INDEX(avoidedcosttbl2,$H39,CN$2)+(($H39-ROUNDDOWN($H39,0))*(INDEX(avoidedcosttbl2,ROUNDUP($H39,0),CN$2)-(INDEX(avoidedcosttbl2,ROUNDDOWN($H39,0),CN$2)))))*ADRYr2!P39*ADRYr2!Q39*ADRYr2!U39)</f>
        <v/>
      </c>
      <c r="CO39" s="220" t="str">
        <f t="shared" si="39"/>
        <v/>
      </c>
      <c r="CP39" s="220" t="str">
        <f t="shared" si="40"/>
        <v/>
      </c>
      <c r="CQ39" s="157" t="str">
        <f>IF($G39="","",$G39*(IF(ADRYr2!$AI39=CQ$4,ADRYr2!$AJ39,IF(ADRYr2!$AK39=CQ$4,ADRYr2!$AL39,IF(ADRYr2!$AM39=CQ$4,ADRYr2!$AN39,0))))*(INDEX(avoidedcosttbl2,$H39,CQ$2)+(($H39-ROUNDDOWN($H39,0))*(INDEX(avoidedcosttbl2,ROUNDUP($H39,0),CQ$2)-(INDEX(avoidedcosttbl2,ROUNDDOWN($H39,0),CQ$2)))))*ADRYr2!$P39*ADRYr2!$Q39*ADRYr2!$U39)</f>
        <v/>
      </c>
      <c r="CR39" s="28" t="str">
        <f>IF($G39="","",G39*(IF(ADRYr2!$AI39=CR$4,ADRYr2!$AJ39,IF(ADRYr2!$AK39=CR$4,ADRYr2!$AL39,IF(ADRYr2!$AM39=CR$4,ADRYr2!$AN39,0))))*(INDEX(avoidedcosttbl2,$H39,CR$2)+(($H39-ROUNDDOWN($H39,0))*(INDEX(avoidedcosttbl2,ROUNDUP($H39,0),CR$2)-(INDEX(avoidedcosttbl2,ROUNDDOWN($H39,0),CR$2)))))*ADRYr2!$P39*ADRYr2!$Q39*ADRYr2!$U39)</f>
        <v/>
      </c>
      <c r="CS39" s="28" t="str">
        <f>IF($G39="","",G39*(IF(ADRYr2!$AI39=CS$4,ADRYr2!$AJ39,IF(ADRYr2!$AK39=CS$4,ADRYr2!$AL39,IF(ADRYr2!$AM39=CS$4,ADRYr2!$AN39,0))))*(INDEX(avoidedcosttbl2,$H39,CS$2)+(($H39-ROUNDDOWN($H39,0))*(INDEX(avoidedcosttbl2,ROUNDUP($H39,0),CS$2)-(INDEX(avoidedcosttbl2,ROUNDDOWN($H39,0),CS$2)))))*ADRYr2!$P39*ADRYr2!$Q39*ADRYr2!$U39)</f>
        <v/>
      </c>
      <c r="CT39" s="28" t="str">
        <f t="shared" si="12"/>
        <v/>
      </c>
      <c r="CU39" s="28" t="str">
        <f>IF($G39="","",G39*(IF(ADRYr2!$AI39=CU$4,ADRYr2!$AJ39,IF(ADRYr2!$AK39=CU$4,ADRYr2!$AL39,IF(ADRYr2!$AM39=CU$4,ADRYr2!$AN39,0))))*(INDEX(avoidedcosttbl2,$H39,CU$2)+(($H39-ROUNDDOWN($H39,0))*(INDEX(avoidedcosttbl2,ROUNDUP($H39,0),CU$2)-(INDEX(avoidedcosttbl2,ROUNDDOWN($H39,0),CU$2)))))*ADRYr2!$P39*ADRYr2!$Q39*ADRYr2!$U39)</f>
        <v/>
      </c>
      <c r="CV39" s="28" t="str">
        <f>IF($G39="","",G39*(IF(ADRYr2!$AI39=CV$4,ADRYr2!$AJ39,IF(ADRYr2!$AK39=CV$4,ADRYr2!$AL39,IF(ADRYr2!$AM39=CV$4,ADRYr2!$AN39,0))))*(INDEX(avoidedcosttbl2,$H39,CV$2)+(($H39-ROUNDDOWN($H39,0))*(INDEX(avoidedcosttbl2,ROUNDUP($H39,0),CV$2)-(INDEX(avoidedcosttbl2,ROUNDDOWN($H39,0),CV$2)))))*ADRYr2!$P39*ADRYr2!$Q39*ADRYr2!$U39)</f>
        <v/>
      </c>
      <c r="CW39" s="28" t="str">
        <f>IF($G39="","",G39*(IF(ADRYr2!$AI39=CW$4,ADRYr2!$AJ39,IF(ADRYr2!$AK39=CW$4,ADRYr2!$AL39,IF(ADRYr2!$AM39=CW$4,ADRYr2!$AN39,0))))*(INDEX(avoidedcosttbl2,$H39,CW$2)+(($H39-ROUNDDOWN($H39,0))*(INDEX(avoidedcosttbl2,ROUNDUP($H39,0),CW$2)-(INDEX(avoidedcosttbl2,ROUNDDOWN($H39,0),CW$2)))))*ADRYr2!$P39*ADRYr2!$Q39*ADRYr2!$U39)</f>
        <v/>
      </c>
      <c r="CX39" s="28" t="str">
        <f>IF($G39="","",G39*(IF(ADRYr2!$AI39=CX$4,ADRYr2!$AJ39,IF(ADRYr2!$AK39=CX$4,ADRYr2!$AL39,IF(ADRYr2!$AM39=CX$4,ADRYr2!$AN39,0))))*(INDEX(avoidedcosttbl2,$H39,CX$2)+(($H39-ROUNDDOWN($H39,0))*(INDEX(avoidedcosttbl2,ROUNDUP($H39,0),CX$2)-(INDEX(avoidedcosttbl2,ROUNDDOWN($H39,0),CX$2)))))*ADRYr2!$P39*ADRYr2!$Q39*ADRYr2!$U39)</f>
        <v/>
      </c>
      <c r="CY39" s="28" t="str">
        <f t="shared" si="13"/>
        <v/>
      </c>
      <c r="CZ39" s="32" t="str">
        <f t="shared" si="14"/>
        <v/>
      </c>
      <c r="DA39" s="84" t="str">
        <f t="shared" si="41"/>
        <v/>
      </c>
      <c r="DB39" s="81" t="str">
        <f>IF(NEIadder="Yes",IF($G39="","",INDEX(Lookups!$G$70:$G$71,MATCH($A39,Lookups!$E$70:$E$71,0))*(SUM(CP39:CX39,BX39))),"")</f>
        <v/>
      </c>
      <c r="DC39" s="263" t="str">
        <f t="shared" si="15"/>
        <v/>
      </c>
      <c r="DD39" s="166" t="str">
        <f t="shared" si="16"/>
        <v/>
      </c>
      <c r="DE39" s="82">
        <f t="shared" si="42"/>
        <v>0</v>
      </c>
      <c r="DF39" s="615" t="str">
        <f>IF($G39="","",(1+WntPeakEnergyLL)*(INDEX(avoidedcosttbl2,$H39,DF$2)+(($H39-ROUNDDOWN($H39,0))*(INDEX(avoidedcosttbl2,ROUNDUP($H39,0),DF$2)-(INDEX(avoidedcosttbl2,ROUNDDOWN($H39,0),DF$2)))))*$P39*1000*ADRYr2!Z39)</f>
        <v/>
      </c>
      <c r="DG39" s="615" t="str">
        <f>IF($G39="","",(1+WntOffPeakEnergyLL)*(INDEX(avoidedcosttbl2,$H39,DG$2)+(($H39-ROUNDDOWN($H39,0))*(INDEX(avoidedcosttbl2,ROUNDUP($H39,0),DG$2)-(INDEX(avoidedcosttbl2,ROUNDDOWN($H39,0),DG$2)))))*$P39*1000*ADRYr2!AA39)</f>
        <v/>
      </c>
      <c r="DH39" s="615" t="str">
        <f>IF($G39="","",(1+SumPeakEnergyLL)*(INDEX(avoidedcosttbl2,$H39,DH$2)+(($H39-ROUNDDOWN($H39,0))*(INDEX(avoidedcosttbl2,ROUNDUP($H39,0),DH$2)-(INDEX(avoidedcosttbl2,ROUNDDOWN($H39,0),DH$2)))))*$P39*1000*ADRYr2!AB39)</f>
        <v/>
      </c>
      <c r="DI39" s="615" t="str">
        <f>IF($G39="","",(1+SumOffPeakEnergyLL)*(INDEX(avoidedcosttbl2,$H39,DI$2)+(($H39-ROUNDDOWN($H39,0))*(INDEX(avoidedcosttbl2,ROUNDUP($H39,0),DI$2)-(INDEX(avoidedcosttbl2,ROUNDDOWN($H39,0),DI$2)))))*$P39*1000*ADRYr2!AC39)</f>
        <v/>
      </c>
      <c r="DJ39" s="29" t="str">
        <f t="shared" si="43"/>
        <v/>
      </c>
      <c r="DK39" s="161" t="str">
        <f t="shared" si="44"/>
        <v/>
      </c>
      <c r="DL39" s="1189" t="str">
        <f t="shared" si="45"/>
        <v/>
      </c>
      <c r="DM39" s="1189" t="str">
        <f t="shared" si="46"/>
        <v/>
      </c>
      <c r="DN39" s="43" t="str">
        <f t="shared" si="47"/>
        <v/>
      </c>
      <c r="DO39" s="966" t="str">
        <f>IF($G39="","",ADRYr2!AQ39)</f>
        <v/>
      </c>
      <c r="DP39" s="968" t="str">
        <f>IF($G39="","",ADRYr2!AR39)</f>
        <v/>
      </c>
      <c r="DQ39" s="970" t="str">
        <f>IF($G39="","",IF($DP39="Yes",COLUMN(AESC!$L$10),IF($DP39="No","Using AvoidedDemand tab",IF($DP39="Mixed",COLUMN(AESC!$N$10)))))</f>
        <v/>
      </c>
      <c r="DR39" s="970" t="str">
        <f>IF($G39="","",IF($DP39="Yes",COLUMN(AESC!$P$10),IF($DP39="No","Using AvoidedDemand tab",IF($DP39="Mixed",COLUMN(AESC!$R$10)))))</f>
        <v/>
      </c>
      <c r="DS39" s="970" t="str">
        <f>IF($G39="","",IF($DP39="Yes",COLUMN(AESC!$S$10),IF($DP39="No",COLUMN(AESC!$T$10),IF($DP39="Mixed",COLUMN(AESC!$U$10)))))</f>
        <v/>
      </c>
      <c r="DT39" s="970" t="str">
        <f t="shared" si="48"/>
        <v/>
      </c>
      <c r="DU39" s="970" t="str">
        <f>IF($G39="","",ADRYr2!AS39)</f>
        <v/>
      </c>
      <c r="DV39" s="971" t="str">
        <f>IF($G39="","",ADRYr2!AT39)</f>
        <v/>
      </c>
      <c r="DW39" s="1162" t="str">
        <f>IF($G39="","",INDEX(AvoidedEnergy!$H$4:$H$10,MATCH($DO39,AvoidedEnergy!$A$4:$A$10,0)))</f>
        <v/>
      </c>
    </row>
    <row r="40" spans="1:127">
      <c r="A40" s="160" t="str">
        <f>IF(ADRYr2!$B40=0,"",ADRYr2!A40)</f>
        <v>C - Commercial &amp; Industrial</v>
      </c>
      <c r="B40" s="9" t="str">
        <f>IF(ADRYr2!$B40=0,"",ADRYr2!B40)</f>
        <v>C5 - C&amp;I Active Demand Response</v>
      </c>
      <c r="C40" s="9" t="str">
        <f>IF(ADRYr2!$B40=0,"",ADRYr2!C40)</f>
        <v>C5a - C&amp;I Active Demand Response</v>
      </c>
      <c r="D40" s="9" t="str">
        <f>IF(ADRYr2!$B40=0,"",ADRYr2!D40)</f>
        <v>Storage Targeted Dispatch P4P (consumption) Winter</v>
      </c>
      <c r="E40" s="9">
        <f>IF(ADRYr2!$B40=0,"",ADRYr2!E40)</f>
        <v>0</v>
      </c>
      <c r="F40" s="11" t="str">
        <f>IF(ADRYr2!$B40=0,"",ADRYr2!F40)</f>
        <v>Behavior</v>
      </c>
      <c r="G40" s="12" t="str">
        <f>IF(ADRYr2!$G40&lt;&gt;0,ADRYr2!G40,"")</f>
        <v/>
      </c>
      <c r="H40" s="960" t="str">
        <f>IF($G40="","",ROUND(ADRYr2!H40,0))</f>
        <v/>
      </c>
      <c r="I40" s="47" t="str">
        <f>IF($G40="","",ADRYr2!I40*ADRYr2!P40*G40)</f>
        <v/>
      </c>
      <c r="J40" s="47" t="str">
        <f>IF($G40="","",ADRYr2!J40*G40)</f>
        <v/>
      </c>
      <c r="K40" s="47" t="str">
        <f t="shared" si="17"/>
        <v/>
      </c>
      <c r="L40" s="27" t="str">
        <f>IF($G40="","",ADRYr2!V40*G40/1000)</f>
        <v/>
      </c>
      <c r="M40" s="27" t="str">
        <f>IF($G40="","",L40*ADRYr2!$Q40*ADRYr2!$R40)</f>
        <v/>
      </c>
      <c r="N40" s="27" t="str">
        <f t="shared" si="18"/>
        <v/>
      </c>
      <c r="O40" s="27" t="str">
        <f t="shared" si="19"/>
        <v/>
      </c>
      <c r="P40" s="27" t="str">
        <f>IF($G40="","",M40*ADRYr2!P40)</f>
        <v/>
      </c>
      <c r="Q40" s="27" t="str">
        <f t="shared" si="20"/>
        <v/>
      </c>
      <c r="R40" s="27" t="str">
        <f>IF($G40="","",$Q40*ADRYr2!Z40)</f>
        <v/>
      </c>
      <c r="S40" s="27" t="str">
        <f>IF($G40="","",$Q40*ADRYr2!AA40)</f>
        <v/>
      </c>
      <c r="T40" s="27" t="str">
        <f>IF($G40="","",$Q40*ADRYr2!AB40)</f>
        <v/>
      </c>
      <c r="U40" s="27" t="str">
        <f>IF($G40="","",$Q40*ADRYr2!AC40)</f>
        <v/>
      </c>
      <c r="V40" s="27" t="str">
        <f>IF($G40="","",G40*ADRYr2!$AD40*ADRYr2!$P40*ADRYr2!$Q40)</f>
        <v/>
      </c>
      <c r="W40" s="27" t="str">
        <f>IF($G40="","",$G40*ADRYr2!$AD40*ADRYr2!$AF40*ADRYr2!Q40*ADRYr2!$S40)</f>
        <v/>
      </c>
      <c r="X40" s="27" t="str">
        <f>IF($G40="","",$G40*ADRYr2!$AD40*ADRYr2!$AF40*ADRYr2!P40*ADRYr2!Q40*ADRYr2!$S40)</f>
        <v/>
      </c>
      <c r="Y40" s="27" t="str">
        <f>IF($G40="","",$G40*ADRYr2!$AD40*ADRYr2!$AE40*ADRYr2!Q40*ADRYr2!$T40)</f>
        <v/>
      </c>
      <c r="Z40" s="27" t="str">
        <f>IF($G40="","",$G40*ADRYr2!$AD40*ADRYr2!$AE40*ADRYr2!P40*ADRYr2!Q40*ADRYr2!$T40)</f>
        <v/>
      </c>
      <c r="AA40" s="45" t="str">
        <f>IF($G40="","",$G40*ADRYr2!$Q40*ADRYr2!$U40*(IF(IFERROR(SEARCH("NG", ADRYr2!$AI40),0),ADRYr2!$AJ40,0)+IF(IFERROR(SEARCH("NG", ADRYr2!$AK40),0),ADRYr2!$AL40,0)+IF(IFERROR(SEARCH("NG", ADRYr2!$AM40),0),ADRYr2!$AN40,0)))</f>
        <v/>
      </c>
      <c r="AB40" s="45" t="str">
        <f t="shared" si="21"/>
        <v/>
      </c>
      <c r="AC40" s="45">
        <f>IF($G40="",0,AA40*ADRYr2!$P40)</f>
        <v>0</v>
      </c>
      <c r="AD40" s="45" t="str">
        <f t="shared" si="22"/>
        <v/>
      </c>
      <c r="AE40" s="45" t="str">
        <f>IF($G40="","",$G40*ADRYr2!$Q40*ADRYr2!$U40*(IF(IFERROR(SEARCH("Oil", ADRYr2!$AI40), 0),ADRYr2!$AJ40,0)+IF(IFERROR(SEARCH("Oil", ADRYr2!$AK40), 0),ADRYr2!$AL40,0)+IF(IFERROR(SEARCH("Oil", ADRYr2!$AM40), 0),ADRYr2!$AN40,0)))</f>
        <v/>
      </c>
      <c r="AF40" s="45" t="str">
        <f t="shared" si="23"/>
        <v/>
      </c>
      <c r="AG40" s="45">
        <f>IF($G40="",0,AE40*ADRYr2!$P40)</f>
        <v>0</v>
      </c>
      <c r="AH40" s="45" t="str">
        <f t="shared" si="24"/>
        <v/>
      </c>
      <c r="AI40" s="45" t="str">
        <f>IF($G40="","",$G40*ADRYr2!$Q40*ADRYr2!$U40*(IF(ADRYr2!$AI40=Lookups!$E$116,ADRYr2!$AJ40,IF(ADRYr2!$AK40=Lookups!$E$116,ADRYr2!$AL40,IF(ADRYr2!$AM40=Lookups!$E$116,ADRYr2!$AN40,0)))))</f>
        <v/>
      </c>
      <c r="AJ40" s="45" t="str">
        <f t="shared" si="25"/>
        <v/>
      </c>
      <c r="AK40" s="45">
        <f>IF($G40="",0,AI40*ADRYr2!$P40)</f>
        <v>0</v>
      </c>
      <c r="AL40" s="45" t="str">
        <f t="shared" si="26"/>
        <v/>
      </c>
      <c r="AM40" s="45" t="str">
        <f>IF($G40="","",$G40*ADRYr2!$Q40*ADRYr2!$U40*(IF(ADRYr2!$AI40=Lookups!$E$115,ADRYr2!$AJ40,IF(ADRYr2!$AK40=Lookups!$E$115,ADRYr2!$AL40,IF(ADRYr2!$AM40=Lookups!$E$115,ADRYr2!$AN40,0)))))</f>
        <v/>
      </c>
      <c r="AN40" s="45" t="str">
        <f t="shared" si="27"/>
        <v/>
      </c>
      <c r="AO40" s="45">
        <f>IF($G40="",0,AM40*ADRYr2!$P40)</f>
        <v>0</v>
      </c>
      <c r="AP40" s="45" t="str">
        <f t="shared" si="28"/>
        <v/>
      </c>
      <c r="AQ40" s="45" t="str">
        <f>IF($G40="","",$G40*ADRYr2!$Q40*ADRYr2!$U40*(IF(ADRYr2!$AI40=Lookups!$E$117,ADRYr2!$AJ40,IF(ADRYr2!$AK40=Lookups!$E$117,ADRYr2!$AL40,IF(ADRYr2!$AM40=Lookups!$E$117,ADRYr2!$AN40,0)))))</f>
        <v/>
      </c>
      <c r="AR40" s="45" t="str">
        <f t="shared" si="29"/>
        <v/>
      </c>
      <c r="AS40" s="45" t="str">
        <f>IF($G40="","",AQ40*ADRYr2!$P40)</f>
        <v/>
      </c>
      <c r="AT40" s="45" t="str">
        <f t="shared" si="30"/>
        <v/>
      </c>
      <c r="AU40" s="45" t="str">
        <f>IF($G40="","",$G40*ADRYr2!$Q40*ADRYr2!$U40*(IF(ADRYr2!$AI40=Lookups!$E$118,ADRYr2!$AJ40,IF(ADRYr2!$AK40=Lookups!$E$118,ADRYr2!$AL40,IF(ADRYr2!$AM40=Lookups!$E$118,ADRYr2!$AN40,0)))))</f>
        <v/>
      </c>
      <c r="AV40" s="45" t="str">
        <f t="shared" si="31"/>
        <v/>
      </c>
      <c r="AW40" s="45" t="str">
        <f>IF($G40="","",AU40*ADRYr2!$P40)</f>
        <v/>
      </c>
      <c r="AX40" s="45" t="str">
        <f t="shared" si="32"/>
        <v/>
      </c>
      <c r="AY40" s="45">
        <f t="shared" si="49"/>
        <v>0</v>
      </c>
      <c r="AZ40" s="45">
        <f t="shared" si="49"/>
        <v>0</v>
      </c>
      <c r="BA40" s="101" t="str">
        <f>IF($G40="","",$G40*ADRYr2!$P40*ADRYr2!$Q40*ADRYr2!$U40*ADRYr2!AO40)</f>
        <v/>
      </c>
      <c r="BB40" s="102" t="str">
        <f>IF($G40="","",$G40*ADRYr2!$P40*ADRYr2!$Q40*ADRYr2!$U40*ADRYr2!AP40)</f>
        <v/>
      </c>
      <c r="BC40" s="100" t="str">
        <f t="shared" si="34"/>
        <v/>
      </c>
      <c r="BD40" s="961"/>
      <c r="BE40" s="961"/>
      <c r="BF40" s="961"/>
      <c r="BG40" s="961"/>
      <c r="BH40" s="962" t="str">
        <f t="shared" si="3"/>
        <v/>
      </c>
      <c r="BI40" s="961"/>
      <c r="BJ40" s="961"/>
      <c r="BK40" s="961"/>
      <c r="BL40" s="961"/>
      <c r="BM40" s="30" t="str">
        <f t="shared" si="4"/>
        <v/>
      </c>
      <c r="BN40" s="963" t="str">
        <f t="shared" si="5"/>
        <v/>
      </c>
      <c r="BO40" s="31" t="str">
        <f t="shared" si="35"/>
        <v/>
      </c>
      <c r="BP40" s="964" t="str">
        <f t="shared" si="6"/>
        <v/>
      </c>
      <c r="BQ40" s="28" t="str">
        <f t="shared" si="7"/>
        <v/>
      </c>
      <c r="BR40" s="964" t="str">
        <f t="shared" si="8"/>
        <v/>
      </c>
      <c r="BS40" s="964" t="str">
        <f t="shared" si="9"/>
        <v/>
      </c>
      <c r="BT40" s="28" t="str">
        <f t="shared" si="50"/>
        <v/>
      </c>
      <c r="BU40" s="28" t="str">
        <f t="shared" si="50"/>
        <v/>
      </c>
      <c r="BV40" s="28" t="str">
        <f t="shared" si="50"/>
        <v/>
      </c>
      <c r="BW40" s="29" t="str">
        <f t="shared" si="36"/>
        <v/>
      </c>
      <c r="BX40" s="29" t="str">
        <f t="shared" si="37"/>
        <v/>
      </c>
      <c r="BY40" s="28" t="str">
        <f>IF($G40="","",$G40*(IF(ADRYr2!$AI40=BY$4,ADRYr2!$AJ40,IF(ADRYr2!$AK40=BY$4,ADRYr2!$AL40,IF(ADRYr2!$AM40=BY$4,ADRYr2!$AN40,0))))*(INDEX(avoidedcosttbl2,$H40,BY$2)+(($H40-ROUNDDOWN($H40,0))*(INDEX(avoidedcosttbl2,ROUNDUP($H40,0),BY$2)-(INDEX(avoidedcosttbl2,ROUNDDOWN($H40,0),BY$2)))))*ADRYr2!P40*ADRYr2!Q40*ADRYr2!U40)</f>
        <v/>
      </c>
      <c r="BZ40" s="28" t="str">
        <f>IF($G40="","",$G40*(IF(ADRYr2!$AI40=BZ$4,ADRYr2!$AJ40,IF(ADRYr2!$AK40=BZ$4,ADRYr2!$AL40,IF(ADRYr2!$AM40=BZ$4,ADRYr2!$AN40,0))))*(INDEX(avoidedcosttbl2,$H40,BZ$2)+(($H40-ROUNDDOWN($H40,0))*(INDEX(avoidedcosttbl2,ROUNDUP($H40,0),BZ$2)-(INDEX(avoidedcosttbl2,ROUNDDOWN($H40,0),BZ$2)))))*ADRYr2!P40*ADRYr2!Q40*ADRYr2!U40)</f>
        <v/>
      </c>
      <c r="CA40" s="28" t="str">
        <f>IF($G40="","",$G40*(IF(ADRYr2!$AI40=CA$4,ADRYr2!$AJ40,IF(ADRYr2!$AK40=CA$4,ADRYr2!$AL40,IF(ADRYr2!$AM40=CA$4,ADRYr2!$AN40,0))))*(INDEX(avoidedcosttbl2,$H40,CA$2)+(($H40-ROUNDDOWN($H40,0))*(INDEX(avoidedcosttbl2,ROUNDUP($H40,0),CA$2)-(INDEX(avoidedcosttbl2,ROUNDDOWN($H40,0),CA$2)))))*ADRYr2!P40*ADRYr2!Q40*ADRYr2!U40)</f>
        <v/>
      </c>
      <c r="CB40" s="28" t="str">
        <f>IF($G40="","",$G40*(IF(ADRYr2!$AI40=CB$4,ADRYr2!$AJ40,IF(ADRYr2!$AK40=CB$4,ADRYr2!$AL40,IF(ADRYr2!$AM40=CB$4,ADRYr2!$AN40,0))))*(INDEX(avoidedcosttbl2,$H40,CB$2)+(($H40-ROUNDDOWN($H40,0))*(INDEX(avoidedcosttbl2,ROUNDUP($H40,0),CB$2)-(INDEX(avoidedcosttbl2,ROUNDDOWN($H40,0),CB$2)))))*ADRYr2!P40*ADRYr2!Q40*ADRYr2!U40)</f>
        <v/>
      </c>
      <c r="CC40" s="28" t="str">
        <f>IF($G40="","",$G40*(IF(ADRYr2!$AI40=CC$4,ADRYr2!$AJ40,IF(ADRYr2!$AK40=CC$4,ADRYr2!$AL40,IF(ADRYr2!$AM40=CC$4,ADRYr2!$AN40,0))))*(INDEX(avoidedcosttbl2,$H40,CC$2)+(($H40-ROUNDDOWN($H40,0))*(INDEX(avoidedcosttbl2,ROUNDUP($H40,0),CC$2)-(INDEX(avoidedcosttbl2,ROUNDDOWN($H40,0),CC$2)))))*ADRYr2!P40*ADRYr2!Q40*ADRYr2!U40)</f>
        <v/>
      </c>
      <c r="CD40" s="28" t="str">
        <f>IF($G40="","",$G40*(IF(ADRYr2!$AI40=CD$4,ADRYr2!$AJ40,IF(ADRYr2!$AK40=CD$4,ADRYr2!$AL40,IF(ADRYr2!$AM40=CD$4,ADRYr2!$AN40,0))))*(INDEX(avoidedcosttbl2,$H40,CD$2)+(($H40-ROUNDDOWN($H40,0))*(INDEX(avoidedcosttbl2,ROUNDUP($H40,0),CD$2)-(INDEX(avoidedcosttbl2,ROUNDDOWN($H40,0),CD$2)))))*ADRYr2!P40*ADRYr2!Q40*ADRYr2!U40)</f>
        <v/>
      </c>
      <c r="CE40" s="28" t="str">
        <f>IF($G40="","",$G40*(IF(ADRYr2!$AI40=CE$4,ADRYr2!$AJ40,IF(ADRYr2!$AK40=CE$4,ADRYr2!$AL40,IF(ADRYr2!$AM40=CE$4,ADRYr2!$AN40,0))))*(INDEX(avoidedcosttbl2,$H40,CE$2)+(($H40-ROUNDDOWN($H40,0))*(INDEX(avoidedcosttbl2,ROUNDUP($H40,0),CE$2)-(INDEX(avoidedcosttbl2,ROUNDDOWN($H40,0),CE$2)))))*ADRYr2!P40*ADRYr2!Q40*ADRYr2!U40)</f>
        <v/>
      </c>
      <c r="CF40" s="41" t="str">
        <f t="shared" si="38"/>
        <v/>
      </c>
      <c r="CG40" s="30" t="str">
        <f t="shared" si="11"/>
        <v/>
      </c>
      <c r="CH40" s="30" t="str">
        <f>IF($G40="","",$G40*(IF(ADRYr2!$AI40=BY$4,ADRYr2!$AJ40,IF(ADRYr2!$AK40=BY$4,ADRYr2!$AL40,IF(ADRYr2!$AM40=BY$4,ADRYr2!$AN40,0))))*(INDEX(avoidedcosttbl2,$H40,CH$2)+(($H40-ROUNDDOWN($H40,0))*(INDEX(avoidedcosttbl2,ROUNDUP($H40,0),CH$2)-(INDEX(avoidedcosttbl2,ROUNDDOWN($H40,0),CH$2)))))*ADRYr2!P40*ADRYr2!Q40*ADRYr2!U40)</f>
        <v/>
      </c>
      <c r="CI40" s="30" t="str">
        <f>IF($G40="","",$G40*(IF(ADRYr2!$AI40=BZ$4,ADRYr2!$AJ40,IF(ADRYr2!$AK40=BZ$4,ADRYr2!$AL40,IF(ADRYr2!$AM40=BZ$4,ADRYr2!$AN40,0))))*(INDEX(avoidedcosttbl2,$H40,CI$2)+(($H40-ROUNDDOWN($H40,0))*(INDEX(avoidedcosttbl2,ROUNDUP($H40,0),CI$2)-(INDEX(avoidedcosttbl2,ROUNDDOWN($H40,0),CI$2)))))*ADRYr2!P40*ADRYr2!Q40*ADRYr2!U40)</f>
        <v/>
      </c>
      <c r="CJ40" s="30" t="str">
        <f>IF($G40="","",$G40*(IF(ADRYr2!$AI40=CA$4,ADRYr2!$AJ40,IF(ADRYr2!$AK40=CA$4,ADRYr2!$AL40,IF(ADRYr2!$AM40=CA$4,ADRYr2!$AN40,0))))*(INDEX(avoidedcosttbl2,$H40,CJ$2)+(($H40-ROUNDDOWN($H40,0))*(INDEX(avoidedcosttbl2,ROUNDUP($H40,0),CJ$2)-(INDEX(avoidedcosttbl2,ROUNDDOWN($H40,0),CJ$2)))))*ADRYr2!P40*ADRYr2!Q40*ADRYr2!U40)</f>
        <v/>
      </c>
      <c r="CK40" s="30" t="str">
        <f>IF($G40="","",$G40*(IF(ADRYr2!$AI40=CB$4,ADRYr2!$AJ40,IF(ADRYr2!$AK40=CB$4,ADRYr2!$AL40,IF(ADRYr2!$AM40=CB$4,ADRYr2!$AN40,0))))*(INDEX(avoidedcosttbl2,$H40,CK$2)+(($H40-ROUNDDOWN($H40,0))*(INDEX(avoidedcosttbl2,ROUNDUP($H40,0),CK$2)-(INDEX(avoidedcosttbl2,ROUNDDOWN($H40,0),CK$2)))))*ADRYr2!P40*ADRYr2!Q40*ADRYr2!U40)</f>
        <v/>
      </c>
      <c r="CL40" s="30" t="str">
        <f>IF($G40="","",$G40*(IF(ADRYr2!$AI40=CC$4,ADRYr2!$AJ40,IF(ADRYr2!$AK40=CC$4,ADRYr2!$AL40,IF(ADRYr2!$AM40=CC$4,ADRYr2!$AN40,0))))*(INDEX(avoidedcosttbl2,$H40,CL$2)+(($H40-ROUNDDOWN($H40,0))*(INDEX(avoidedcosttbl2,ROUNDUP($H40,0),CL$2)-(INDEX(avoidedcosttbl2,ROUNDDOWN($H40,0),CL$2)))))*ADRYr2!P40*ADRYr2!Q40*ADRYr2!U40)</f>
        <v/>
      </c>
      <c r="CM40" s="30" t="str">
        <f>IF($G40="","",$G40*(IF(ADRYr2!$AI40=CD$4,ADRYr2!$AJ40,IF(ADRYr2!$AK40=CD$4,ADRYr2!$AL40,IF(ADRYr2!$AM40=CD$4,ADRYr2!$AN40,0))))*(INDEX(avoidedcosttbl2,$H40,CM$2)+(($H40-ROUNDDOWN($H40,0))*(INDEX(avoidedcosttbl2,ROUNDUP($H40,0),CM$2)-(INDEX(avoidedcosttbl2,ROUNDDOWN($H40,0),CM$2)))))*ADRYr2!P40*ADRYr2!Q40*ADRYr2!U40)</f>
        <v/>
      </c>
      <c r="CN40" s="30" t="str">
        <f>IF($G40="","",$G40*(IF(ADRYr2!$AI40=CE$4,ADRYr2!$AJ40,IF(ADRYr2!$AK40=CE$4,ADRYr2!$AL40,IF(ADRYr2!$AM40=CE$4,ADRYr2!$AN40,0))))*(INDEX(avoidedcosttbl2,$H40,CN$2)+(($H40-ROUNDDOWN($H40,0))*(INDEX(avoidedcosttbl2,ROUNDUP($H40,0),CN$2)-(INDEX(avoidedcosttbl2,ROUNDDOWN($H40,0),CN$2)))))*ADRYr2!P40*ADRYr2!Q40*ADRYr2!U40)</f>
        <v/>
      </c>
      <c r="CO40" s="220" t="str">
        <f t="shared" si="39"/>
        <v/>
      </c>
      <c r="CP40" s="220" t="str">
        <f t="shared" si="40"/>
        <v/>
      </c>
      <c r="CQ40" s="157" t="str">
        <f>IF($G40="","",$G40*(IF(ADRYr2!$AI40=CQ$4,ADRYr2!$AJ40,IF(ADRYr2!$AK40=CQ$4,ADRYr2!$AL40,IF(ADRYr2!$AM40=CQ$4,ADRYr2!$AN40,0))))*(INDEX(avoidedcosttbl2,$H40,CQ$2)+(($H40-ROUNDDOWN($H40,0))*(INDEX(avoidedcosttbl2,ROUNDUP($H40,0),CQ$2)-(INDEX(avoidedcosttbl2,ROUNDDOWN($H40,0),CQ$2)))))*ADRYr2!$P40*ADRYr2!$Q40*ADRYr2!$U40)</f>
        <v/>
      </c>
      <c r="CR40" s="28" t="str">
        <f>IF($G40="","",G40*(IF(ADRYr2!$AI40=CR$4,ADRYr2!$AJ40,IF(ADRYr2!$AK40=CR$4,ADRYr2!$AL40,IF(ADRYr2!$AM40=CR$4,ADRYr2!$AN40,0))))*(INDEX(avoidedcosttbl2,$H40,CR$2)+(($H40-ROUNDDOWN($H40,0))*(INDEX(avoidedcosttbl2,ROUNDUP($H40,0),CR$2)-(INDEX(avoidedcosttbl2,ROUNDDOWN($H40,0),CR$2)))))*ADRYr2!$P40*ADRYr2!$Q40*ADRYr2!$U40)</f>
        <v/>
      </c>
      <c r="CS40" s="28" t="str">
        <f>IF($G40="","",G40*(IF(ADRYr2!$AI40=CS$4,ADRYr2!$AJ40,IF(ADRYr2!$AK40=CS$4,ADRYr2!$AL40,IF(ADRYr2!$AM40=CS$4,ADRYr2!$AN40,0))))*(INDEX(avoidedcosttbl2,$H40,CS$2)+(($H40-ROUNDDOWN($H40,0))*(INDEX(avoidedcosttbl2,ROUNDUP($H40,0),CS$2)-(INDEX(avoidedcosttbl2,ROUNDDOWN($H40,0),CS$2)))))*ADRYr2!$P40*ADRYr2!$Q40*ADRYr2!$U40)</f>
        <v/>
      </c>
      <c r="CT40" s="28" t="str">
        <f t="shared" si="12"/>
        <v/>
      </c>
      <c r="CU40" s="28" t="str">
        <f>IF($G40="","",G40*(IF(ADRYr2!$AI40=CU$4,ADRYr2!$AJ40,IF(ADRYr2!$AK40=CU$4,ADRYr2!$AL40,IF(ADRYr2!$AM40=CU$4,ADRYr2!$AN40,0))))*(INDEX(avoidedcosttbl2,$H40,CU$2)+(($H40-ROUNDDOWN($H40,0))*(INDEX(avoidedcosttbl2,ROUNDUP($H40,0),CU$2)-(INDEX(avoidedcosttbl2,ROUNDDOWN($H40,0),CU$2)))))*ADRYr2!$P40*ADRYr2!$Q40*ADRYr2!$U40)</f>
        <v/>
      </c>
      <c r="CV40" s="28" t="str">
        <f>IF($G40="","",G40*(IF(ADRYr2!$AI40=CV$4,ADRYr2!$AJ40,IF(ADRYr2!$AK40=CV$4,ADRYr2!$AL40,IF(ADRYr2!$AM40=CV$4,ADRYr2!$AN40,0))))*(INDEX(avoidedcosttbl2,$H40,CV$2)+(($H40-ROUNDDOWN($H40,0))*(INDEX(avoidedcosttbl2,ROUNDUP($H40,0),CV$2)-(INDEX(avoidedcosttbl2,ROUNDDOWN($H40,0),CV$2)))))*ADRYr2!$P40*ADRYr2!$Q40*ADRYr2!$U40)</f>
        <v/>
      </c>
      <c r="CW40" s="28" t="str">
        <f>IF($G40="","",G40*(IF(ADRYr2!$AI40=CW$4,ADRYr2!$AJ40,IF(ADRYr2!$AK40=CW$4,ADRYr2!$AL40,IF(ADRYr2!$AM40=CW$4,ADRYr2!$AN40,0))))*(INDEX(avoidedcosttbl2,$H40,CW$2)+(($H40-ROUNDDOWN($H40,0))*(INDEX(avoidedcosttbl2,ROUNDUP($H40,0),CW$2)-(INDEX(avoidedcosttbl2,ROUNDDOWN($H40,0),CW$2)))))*ADRYr2!$P40*ADRYr2!$Q40*ADRYr2!$U40)</f>
        <v/>
      </c>
      <c r="CX40" s="28" t="str">
        <f>IF($G40="","",G40*(IF(ADRYr2!$AI40=CX$4,ADRYr2!$AJ40,IF(ADRYr2!$AK40=CX$4,ADRYr2!$AL40,IF(ADRYr2!$AM40=CX$4,ADRYr2!$AN40,0))))*(INDEX(avoidedcosttbl2,$H40,CX$2)+(($H40-ROUNDDOWN($H40,0))*(INDEX(avoidedcosttbl2,ROUNDUP($H40,0),CX$2)-(INDEX(avoidedcosttbl2,ROUNDDOWN($H40,0),CX$2)))))*ADRYr2!$P40*ADRYr2!$Q40*ADRYr2!$U40)</f>
        <v/>
      </c>
      <c r="CY40" s="28" t="str">
        <f t="shared" si="13"/>
        <v/>
      </c>
      <c r="CZ40" s="32" t="str">
        <f t="shared" si="14"/>
        <v/>
      </c>
      <c r="DA40" s="84" t="str">
        <f t="shared" si="41"/>
        <v/>
      </c>
      <c r="DB40" s="81" t="str">
        <f>IF(NEIadder="Yes",IF($G40="","",INDEX(Lookups!$G$70:$G$71,MATCH($A40,Lookups!$E$70:$E$71,0))*(SUM(CP40:CX40,BX40))),"")</f>
        <v/>
      </c>
      <c r="DC40" s="263" t="str">
        <f t="shared" si="15"/>
        <v/>
      </c>
      <c r="DD40" s="166" t="str">
        <f t="shared" si="16"/>
        <v/>
      </c>
      <c r="DE40" s="82">
        <f t="shared" si="42"/>
        <v>0</v>
      </c>
      <c r="DF40" s="615" t="str">
        <f>IF($G40="","",(1+WntPeakEnergyLL)*(INDEX(avoidedcosttbl2,$H40,DF$2)+(($H40-ROUNDDOWN($H40,0))*(INDEX(avoidedcosttbl2,ROUNDUP($H40,0),DF$2)-(INDEX(avoidedcosttbl2,ROUNDDOWN($H40,0),DF$2)))))*$P40*1000*ADRYr2!Z40)</f>
        <v/>
      </c>
      <c r="DG40" s="615" t="str">
        <f>IF($G40="","",(1+WntOffPeakEnergyLL)*(INDEX(avoidedcosttbl2,$H40,DG$2)+(($H40-ROUNDDOWN($H40,0))*(INDEX(avoidedcosttbl2,ROUNDUP($H40,0),DG$2)-(INDEX(avoidedcosttbl2,ROUNDDOWN($H40,0),DG$2)))))*$P40*1000*ADRYr2!AA40)</f>
        <v/>
      </c>
      <c r="DH40" s="615" t="str">
        <f>IF($G40="","",(1+SumPeakEnergyLL)*(INDEX(avoidedcosttbl2,$H40,DH$2)+(($H40-ROUNDDOWN($H40,0))*(INDEX(avoidedcosttbl2,ROUNDUP($H40,0),DH$2)-(INDEX(avoidedcosttbl2,ROUNDDOWN($H40,0),DH$2)))))*$P40*1000*ADRYr2!AB40)</f>
        <v/>
      </c>
      <c r="DI40" s="615" t="str">
        <f>IF($G40="","",(1+SumOffPeakEnergyLL)*(INDEX(avoidedcosttbl2,$H40,DI$2)+(($H40-ROUNDDOWN($H40,0))*(INDEX(avoidedcosttbl2,ROUNDUP($H40,0),DI$2)-(INDEX(avoidedcosttbl2,ROUNDDOWN($H40,0),DI$2)))))*$P40*1000*ADRYr2!AC40)</f>
        <v/>
      </c>
      <c r="DJ40" s="29" t="str">
        <f t="shared" si="43"/>
        <v/>
      </c>
      <c r="DK40" s="161" t="str">
        <f t="shared" si="44"/>
        <v/>
      </c>
      <c r="DL40" s="1189" t="str">
        <f t="shared" si="45"/>
        <v/>
      </c>
      <c r="DM40" s="1189" t="str">
        <f t="shared" si="46"/>
        <v/>
      </c>
      <c r="DN40" s="43" t="str">
        <f t="shared" si="47"/>
        <v/>
      </c>
      <c r="DO40" s="966" t="str">
        <f>IF($G40="","",ADRYr2!AQ40)</f>
        <v/>
      </c>
      <c r="DP40" s="968" t="str">
        <f>IF($G40="","",ADRYr2!AR40)</f>
        <v/>
      </c>
      <c r="DQ40" s="970" t="str">
        <f>IF($G40="","",IF($DP40="Yes",COLUMN(AESC!$L$10),IF($DP40="No","Using AvoidedDemand tab",IF($DP40="Mixed",COLUMN(AESC!$N$10)))))</f>
        <v/>
      </c>
      <c r="DR40" s="970" t="str">
        <f>IF($G40="","",IF($DP40="Yes",COLUMN(AESC!$P$10),IF($DP40="No","Using AvoidedDemand tab",IF($DP40="Mixed",COLUMN(AESC!$R$10)))))</f>
        <v/>
      </c>
      <c r="DS40" s="970" t="str">
        <f>IF($G40="","",IF($DP40="Yes",COLUMN(AESC!$S$10),IF($DP40="No",COLUMN(AESC!$T$10),IF($DP40="Mixed",COLUMN(AESC!$U$10)))))</f>
        <v/>
      </c>
      <c r="DT40" s="970" t="str">
        <f t="shared" si="48"/>
        <v/>
      </c>
      <c r="DU40" s="970" t="str">
        <f>IF($G40="","",ADRYr2!AS40)</f>
        <v/>
      </c>
      <c r="DV40" s="971" t="str">
        <f>IF($G40="","",ADRYr2!AT40)</f>
        <v/>
      </c>
      <c r="DW40" s="1162" t="str">
        <f>IF($G40="","",INDEX(AvoidedEnergy!$H$4:$H$10,MATCH($DO40,AvoidedEnergy!$A$4:$A$10,0)))</f>
        <v/>
      </c>
    </row>
    <row r="41" spans="1:127">
      <c r="A41" s="160" t="str">
        <f>IF(ADRYr2!$B41=0,"",ADRYr2!A41)</f>
        <v>C - Commercial &amp; Industrial</v>
      </c>
      <c r="B41" s="9" t="str">
        <f>IF(ADRYr2!$B41=0,"",ADRYr2!B41)</f>
        <v>C5 - C&amp;I Active Demand Response</v>
      </c>
      <c r="C41" s="9" t="str">
        <f>IF(ADRYr2!$B41=0,"",ADRYr2!C41)</f>
        <v>C5a - C&amp;I Active Demand Response</v>
      </c>
      <c r="D41" s="9" t="str">
        <f>IF(ADRYr2!$B41=0,"",ADRYr2!D41)</f>
        <v>Custom</v>
      </c>
      <c r="E41" s="9">
        <f>IF(ADRYr2!$B41=0,"",ADRYr2!E41)</f>
        <v>0</v>
      </c>
      <c r="F41" s="11" t="str">
        <f>IF(ADRYr2!$B41=0,"",ADRYr2!F41)</f>
        <v>Behavior</v>
      </c>
      <c r="G41" s="12" t="str">
        <f>IF(ADRYr2!$G41&lt;&gt;0,ADRYr2!G41,"")</f>
        <v/>
      </c>
      <c r="H41" s="960" t="str">
        <f>IF($G41="","",ROUND(ADRYr2!H41,0))</f>
        <v/>
      </c>
      <c r="I41" s="47" t="str">
        <f>IF($G41="","",ADRYr2!I41*ADRYr2!P41*G41)</f>
        <v/>
      </c>
      <c r="J41" s="47" t="str">
        <f>IF($G41="","",ADRYr2!J41*G41)</f>
        <v/>
      </c>
      <c r="K41" s="47" t="str">
        <f t="shared" si="17"/>
        <v/>
      </c>
      <c r="L41" s="27" t="str">
        <f>IF($G41="","",ADRYr2!V41*G41/1000)</f>
        <v/>
      </c>
      <c r="M41" s="27" t="str">
        <f>IF($G41="","",L41*ADRYr2!$Q41*ADRYr2!$R41)</f>
        <v/>
      </c>
      <c r="N41" s="27" t="str">
        <f t="shared" si="18"/>
        <v/>
      </c>
      <c r="O41" s="27" t="str">
        <f t="shared" si="19"/>
        <v/>
      </c>
      <c r="P41" s="27" t="str">
        <f>IF($G41="","",M41*ADRYr2!P41)</f>
        <v/>
      </c>
      <c r="Q41" s="27" t="str">
        <f t="shared" si="20"/>
        <v/>
      </c>
      <c r="R41" s="27" t="str">
        <f>IF($G41="","",$Q41*ADRYr2!Z41)</f>
        <v/>
      </c>
      <c r="S41" s="27" t="str">
        <f>IF($G41="","",$Q41*ADRYr2!AA41)</f>
        <v/>
      </c>
      <c r="T41" s="27" t="str">
        <f>IF($G41="","",$Q41*ADRYr2!AB41)</f>
        <v/>
      </c>
      <c r="U41" s="27" t="str">
        <f>IF($G41="","",$Q41*ADRYr2!AC41)</f>
        <v/>
      </c>
      <c r="V41" s="27" t="str">
        <f>IF($G41="","",G41*ADRYr2!$AD41*ADRYr2!$P41*ADRYr2!$Q41)</f>
        <v/>
      </c>
      <c r="W41" s="27" t="str">
        <f>IF($G41="","",$G41*ADRYr2!$AD41*ADRYr2!$AF41*ADRYr2!Q41*ADRYr2!$S41)</f>
        <v/>
      </c>
      <c r="X41" s="27" t="str">
        <f>IF($G41="","",$G41*ADRYr2!$AD41*ADRYr2!$AF41*ADRYr2!P41*ADRYr2!Q41*ADRYr2!$S41)</f>
        <v/>
      </c>
      <c r="Y41" s="27" t="str">
        <f>IF($G41="","",$G41*ADRYr2!$AD41*ADRYr2!$AE41*ADRYr2!Q41*ADRYr2!$T41)</f>
        <v/>
      </c>
      <c r="Z41" s="27" t="str">
        <f>IF($G41="","",$G41*ADRYr2!$AD41*ADRYr2!$AE41*ADRYr2!P41*ADRYr2!Q41*ADRYr2!$T41)</f>
        <v/>
      </c>
      <c r="AA41" s="45" t="str">
        <f>IF($G41="","",$G41*ADRYr2!$Q41*ADRYr2!$U41*(IF(IFERROR(SEARCH("NG", ADRYr2!$AI41),0),ADRYr2!$AJ41,0)+IF(IFERROR(SEARCH("NG", ADRYr2!$AK41),0),ADRYr2!$AL41,0)+IF(IFERROR(SEARCH("NG", ADRYr2!$AM41),0),ADRYr2!$AN41,0)))</f>
        <v/>
      </c>
      <c r="AB41" s="45" t="str">
        <f t="shared" si="21"/>
        <v/>
      </c>
      <c r="AC41" s="45">
        <f>IF($G41="",0,AA41*ADRYr2!$P41)</f>
        <v>0</v>
      </c>
      <c r="AD41" s="45" t="str">
        <f t="shared" si="22"/>
        <v/>
      </c>
      <c r="AE41" s="45" t="str">
        <f>IF($G41="","",$G41*ADRYr2!$Q41*ADRYr2!$U41*(IF(IFERROR(SEARCH("Oil", ADRYr2!$AI41), 0),ADRYr2!$AJ41,0)+IF(IFERROR(SEARCH("Oil", ADRYr2!$AK41), 0),ADRYr2!$AL41,0)+IF(IFERROR(SEARCH("Oil", ADRYr2!$AM41), 0),ADRYr2!$AN41,0)))</f>
        <v/>
      </c>
      <c r="AF41" s="45" t="str">
        <f t="shared" si="23"/>
        <v/>
      </c>
      <c r="AG41" s="45">
        <f>IF($G41="",0,AE41*ADRYr2!$P41)</f>
        <v>0</v>
      </c>
      <c r="AH41" s="45" t="str">
        <f t="shared" si="24"/>
        <v/>
      </c>
      <c r="AI41" s="45" t="str">
        <f>IF($G41="","",$G41*ADRYr2!$Q41*ADRYr2!$U41*(IF(ADRYr2!$AI41=Lookups!$E$116,ADRYr2!$AJ41,IF(ADRYr2!$AK41=Lookups!$E$116,ADRYr2!$AL41,IF(ADRYr2!$AM41=Lookups!$E$116,ADRYr2!$AN41,0)))))</f>
        <v/>
      </c>
      <c r="AJ41" s="45" t="str">
        <f t="shared" si="25"/>
        <v/>
      </c>
      <c r="AK41" s="45">
        <f>IF($G41="",0,AI41*ADRYr2!$P41)</f>
        <v>0</v>
      </c>
      <c r="AL41" s="45" t="str">
        <f t="shared" si="26"/>
        <v/>
      </c>
      <c r="AM41" s="45" t="str">
        <f>IF($G41="","",$G41*ADRYr2!$Q41*ADRYr2!$U41*(IF(ADRYr2!$AI41=Lookups!$E$115,ADRYr2!$AJ41,IF(ADRYr2!$AK41=Lookups!$E$115,ADRYr2!$AL41,IF(ADRYr2!$AM41=Lookups!$E$115,ADRYr2!$AN41,0)))))</f>
        <v/>
      </c>
      <c r="AN41" s="45" t="str">
        <f t="shared" si="27"/>
        <v/>
      </c>
      <c r="AO41" s="45">
        <f>IF($G41="",0,AM41*ADRYr2!$P41)</f>
        <v>0</v>
      </c>
      <c r="AP41" s="45" t="str">
        <f t="shared" si="28"/>
        <v/>
      </c>
      <c r="AQ41" s="45" t="str">
        <f>IF($G41="","",$G41*ADRYr2!$Q41*ADRYr2!$U41*(IF(ADRYr2!$AI41=Lookups!$E$117,ADRYr2!$AJ41,IF(ADRYr2!$AK41=Lookups!$E$117,ADRYr2!$AL41,IF(ADRYr2!$AM41=Lookups!$E$117,ADRYr2!$AN41,0)))))</f>
        <v/>
      </c>
      <c r="AR41" s="45" t="str">
        <f t="shared" si="29"/>
        <v/>
      </c>
      <c r="AS41" s="45" t="str">
        <f>IF($G41="","",AQ41*ADRYr2!$P41)</f>
        <v/>
      </c>
      <c r="AT41" s="45" t="str">
        <f t="shared" si="30"/>
        <v/>
      </c>
      <c r="AU41" s="45" t="str">
        <f>IF($G41="","",$G41*ADRYr2!$Q41*ADRYr2!$U41*(IF(ADRYr2!$AI41=Lookups!$E$118,ADRYr2!$AJ41,IF(ADRYr2!$AK41=Lookups!$E$118,ADRYr2!$AL41,IF(ADRYr2!$AM41=Lookups!$E$118,ADRYr2!$AN41,0)))))</f>
        <v/>
      </c>
      <c r="AV41" s="45" t="str">
        <f t="shared" si="31"/>
        <v/>
      </c>
      <c r="AW41" s="45" t="str">
        <f>IF($G41="","",AU41*ADRYr2!$P41)</f>
        <v/>
      </c>
      <c r="AX41" s="45" t="str">
        <f t="shared" si="32"/>
        <v/>
      </c>
      <c r="AY41" s="45">
        <f t="shared" si="49"/>
        <v>0</v>
      </c>
      <c r="AZ41" s="45">
        <f t="shared" si="49"/>
        <v>0</v>
      </c>
      <c r="BA41" s="101" t="str">
        <f>IF($G41="","",$G41*ADRYr2!$P41*ADRYr2!$Q41*ADRYr2!$U41*ADRYr2!AO41)</f>
        <v/>
      </c>
      <c r="BB41" s="102" t="str">
        <f>IF($G41="","",$G41*ADRYr2!$P41*ADRYr2!$Q41*ADRYr2!$U41*ADRYr2!AP41)</f>
        <v/>
      </c>
      <c r="BC41" s="100" t="str">
        <f t="shared" si="34"/>
        <v/>
      </c>
      <c r="BD41" s="961"/>
      <c r="BE41" s="961"/>
      <c r="BF41" s="961"/>
      <c r="BG41" s="961"/>
      <c r="BH41" s="962" t="str">
        <f t="shared" si="3"/>
        <v/>
      </c>
      <c r="BI41" s="961"/>
      <c r="BJ41" s="961"/>
      <c r="BK41" s="961"/>
      <c r="BL41" s="961"/>
      <c r="BM41" s="30" t="str">
        <f t="shared" si="4"/>
        <v/>
      </c>
      <c r="BN41" s="963" t="str">
        <f t="shared" si="5"/>
        <v/>
      </c>
      <c r="BO41" s="31" t="str">
        <f t="shared" si="35"/>
        <v/>
      </c>
      <c r="BP41" s="964" t="str">
        <f t="shared" si="6"/>
        <v/>
      </c>
      <c r="BQ41" s="28" t="str">
        <f t="shared" si="7"/>
        <v/>
      </c>
      <c r="BR41" s="964" t="str">
        <f t="shared" si="8"/>
        <v/>
      </c>
      <c r="BS41" s="964" t="str">
        <f t="shared" si="9"/>
        <v/>
      </c>
      <c r="BT41" s="28" t="str">
        <f t="shared" si="50"/>
        <v/>
      </c>
      <c r="BU41" s="28" t="str">
        <f t="shared" si="50"/>
        <v/>
      </c>
      <c r="BV41" s="28" t="str">
        <f t="shared" si="50"/>
        <v/>
      </c>
      <c r="BW41" s="29" t="str">
        <f t="shared" si="36"/>
        <v/>
      </c>
      <c r="BX41" s="29" t="str">
        <f t="shared" si="37"/>
        <v/>
      </c>
      <c r="BY41" s="28" t="str">
        <f>IF($G41="","",$G41*(IF(ADRYr2!$AI41=BY$4,ADRYr2!$AJ41,IF(ADRYr2!$AK41=BY$4,ADRYr2!$AL41,IF(ADRYr2!$AM41=BY$4,ADRYr2!$AN41,0))))*(INDEX(avoidedcosttbl2,$H41,BY$2)+(($H41-ROUNDDOWN($H41,0))*(INDEX(avoidedcosttbl2,ROUNDUP($H41,0),BY$2)-(INDEX(avoidedcosttbl2,ROUNDDOWN($H41,0),BY$2)))))*ADRYr2!P41*ADRYr2!Q41*ADRYr2!U41)</f>
        <v/>
      </c>
      <c r="BZ41" s="28" t="str">
        <f>IF($G41="","",$G41*(IF(ADRYr2!$AI41=BZ$4,ADRYr2!$AJ41,IF(ADRYr2!$AK41=BZ$4,ADRYr2!$AL41,IF(ADRYr2!$AM41=BZ$4,ADRYr2!$AN41,0))))*(INDEX(avoidedcosttbl2,$H41,BZ$2)+(($H41-ROUNDDOWN($H41,0))*(INDEX(avoidedcosttbl2,ROUNDUP($H41,0),BZ$2)-(INDEX(avoidedcosttbl2,ROUNDDOWN($H41,0),BZ$2)))))*ADRYr2!P41*ADRYr2!Q41*ADRYr2!U41)</f>
        <v/>
      </c>
      <c r="CA41" s="28" t="str">
        <f>IF($G41="","",$G41*(IF(ADRYr2!$AI41=CA$4,ADRYr2!$AJ41,IF(ADRYr2!$AK41=CA$4,ADRYr2!$AL41,IF(ADRYr2!$AM41=CA$4,ADRYr2!$AN41,0))))*(INDEX(avoidedcosttbl2,$H41,CA$2)+(($H41-ROUNDDOWN($H41,0))*(INDEX(avoidedcosttbl2,ROUNDUP($H41,0),CA$2)-(INDEX(avoidedcosttbl2,ROUNDDOWN($H41,0),CA$2)))))*ADRYr2!P41*ADRYr2!Q41*ADRYr2!U41)</f>
        <v/>
      </c>
      <c r="CB41" s="28" t="str">
        <f>IF($G41="","",$G41*(IF(ADRYr2!$AI41=CB$4,ADRYr2!$AJ41,IF(ADRYr2!$AK41=CB$4,ADRYr2!$AL41,IF(ADRYr2!$AM41=CB$4,ADRYr2!$AN41,0))))*(INDEX(avoidedcosttbl2,$H41,CB$2)+(($H41-ROUNDDOWN($H41,0))*(INDEX(avoidedcosttbl2,ROUNDUP($H41,0),CB$2)-(INDEX(avoidedcosttbl2,ROUNDDOWN($H41,0),CB$2)))))*ADRYr2!P41*ADRYr2!Q41*ADRYr2!U41)</f>
        <v/>
      </c>
      <c r="CC41" s="28" t="str">
        <f>IF($G41="","",$G41*(IF(ADRYr2!$AI41=CC$4,ADRYr2!$AJ41,IF(ADRYr2!$AK41=CC$4,ADRYr2!$AL41,IF(ADRYr2!$AM41=CC$4,ADRYr2!$AN41,0))))*(INDEX(avoidedcosttbl2,$H41,CC$2)+(($H41-ROUNDDOWN($H41,0))*(INDEX(avoidedcosttbl2,ROUNDUP($H41,0),CC$2)-(INDEX(avoidedcosttbl2,ROUNDDOWN($H41,0),CC$2)))))*ADRYr2!P41*ADRYr2!Q41*ADRYr2!U41)</f>
        <v/>
      </c>
      <c r="CD41" s="28" t="str">
        <f>IF($G41="","",$G41*(IF(ADRYr2!$AI41=CD$4,ADRYr2!$AJ41,IF(ADRYr2!$AK41=CD$4,ADRYr2!$AL41,IF(ADRYr2!$AM41=CD$4,ADRYr2!$AN41,0))))*(INDEX(avoidedcosttbl2,$H41,CD$2)+(($H41-ROUNDDOWN($H41,0))*(INDEX(avoidedcosttbl2,ROUNDUP($H41,0),CD$2)-(INDEX(avoidedcosttbl2,ROUNDDOWN($H41,0),CD$2)))))*ADRYr2!P41*ADRYr2!Q41*ADRYr2!U41)</f>
        <v/>
      </c>
      <c r="CE41" s="28" t="str">
        <f>IF($G41="","",$G41*(IF(ADRYr2!$AI41=CE$4,ADRYr2!$AJ41,IF(ADRYr2!$AK41=CE$4,ADRYr2!$AL41,IF(ADRYr2!$AM41=CE$4,ADRYr2!$AN41,0))))*(INDEX(avoidedcosttbl2,$H41,CE$2)+(($H41-ROUNDDOWN($H41,0))*(INDEX(avoidedcosttbl2,ROUNDUP($H41,0),CE$2)-(INDEX(avoidedcosttbl2,ROUNDDOWN($H41,0),CE$2)))))*ADRYr2!P41*ADRYr2!Q41*ADRYr2!U41)</f>
        <v/>
      </c>
      <c r="CF41" s="41" t="str">
        <f t="shared" si="38"/>
        <v/>
      </c>
      <c r="CG41" s="30" t="str">
        <f t="shared" si="11"/>
        <v/>
      </c>
      <c r="CH41" s="30" t="str">
        <f>IF($G41="","",$G41*(IF(ADRYr2!$AI41=BY$4,ADRYr2!$AJ41,IF(ADRYr2!$AK41=BY$4,ADRYr2!$AL41,IF(ADRYr2!$AM41=BY$4,ADRYr2!$AN41,0))))*(INDEX(avoidedcosttbl2,$H41,CH$2)+(($H41-ROUNDDOWN($H41,0))*(INDEX(avoidedcosttbl2,ROUNDUP($H41,0),CH$2)-(INDEX(avoidedcosttbl2,ROUNDDOWN($H41,0),CH$2)))))*ADRYr2!P41*ADRYr2!Q41*ADRYr2!U41)</f>
        <v/>
      </c>
      <c r="CI41" s="30" t="str">
        <f>IF($G41="","",$G41*(IF(ADRYr2!$AI41=BZ$4,ADRYr2!$AJ41,IF(ADRYr2!$AK41=BZ$4,ADRYr2!$AL41,IF(ADRYr2!$AM41=BZ$4,ADRYr2!$AN41,0))))*(INDEX(avoidedcosttbl2,$H41,CI$2)+(($H41-ROUNDDOWN($H41,0))*(INDEX(avoidedcosttbl2,ROUNDUP($H41,0),CI$2)-(INDEX(avoidedcosttbl2,ROUNDDOWN($H41,0),CI$2)))))*ADRYr2!P41*ADRYr2!Q41*ADRYr2!U41)</f>
        <v/>
      </c>
      <c r="CJ41" s="30" t="str">
        <f>IF($G41="","",$G41*(IF(ADRYr2!$AI41=CA$4,ADRYr2!$AJ41,IF(ADRYr2!$AK41=CA$4,ADRYr2!$AL41,IF(ADRYr2!$AM41=CA$4,ADRYr2!$AN41,0))))*(INDEX(avoidedcosttbl2,$H41,CJ$2)+(($H41-ROUNDDOWN($H41,0))*(INDEX(avoidedcosttbl2,ROUNDUP($H41,0),CJ$2)-(INDEX(avoidedcosttbl2,ROUNDDOWN($H41,0),CJ$2)))))*ADRYr2!P41*ADRYr2!Q41*ADRYr2!U41)</f>
        <v/>
      </c>
      <c r="CK41" s="30" t="str">
        <f>IF($G41="","",$G41*(IF(ADRYr2!$AI41=CB$4,ADRYr2!$AJ41,IF(ADRYr2!$AK41=CB$4,ADRYr2!$AL41,IF(ADRYr2!$AM41=CB$4,ADRYr2!$AN41,0))))*(INDEX(avoidedcosttbl2,$H41,CK$2)+(($H41-ROUNDDOWN($H41,0))*(INDEX(avoidedcosttbl2,ROUNDUP($H41,0),CK$2)-(INDEX(avoidedcosttbl2,ROUNDDOWN($H41,0),CK$2)))))*ADRYr2!P41*ADRYr2!Q41*ADRYr2!U41)</f>
        <v/>
      </c>
      <c r="CL41" s="30" t="str">
        <f>IF($G41="","",$G41*(IF(ADRYr2!$AI41=CC$4,ADRYr2!$AJ41,IF(ADRYr2!$AK41=CC$4,ADRYr2!$AL41,IF(ADRYr2!$AM41=CC$4,ADRYr2!$AN41,0))))*(INDEX(avoidedcosttbl2,$H41,CL$2)+(($H41-ROUNDDOWN($H41,0))*(INDEX(avoidedcosttbl2,ROUNDUP($H41,0),CL$2)-(INDEX(avoidedcosttbl2,ROUNDDOWN($H41,0),CL$2)))))*ADRYr2!P41*ADRYr2!Q41*ADRYr2!U41)</f>
        <v/>
      </c>
      <c r="CM41" s="30" t="str">
        <f>IF($G41="","",$G41*(IF(ADRYr2!$AI41=CD$4,ADRYr2!$AJ41,IF(ADRYr2!$AK41=CD$4,ADRYr2!$AL41,IF(ADRYr2!$AM41=CD$4,ADRYr2!$AN41,0))))*(INDEX(avoidedcosttbl2,$H41,CM$2)+(($H41-ROUNDDOWN($H41,0))*(INDEX(avoidedcosttbl2,ROUNDUP($H41,0),CM$2)-(INDEX(avoidedcosttbl2,ROUNDDOWN($H41,0),CM$2)))))*ADRYr2!P41*ADRYr2!Q41*ADRYr2!U41)</f>
        <v/>
      </c>
      <c r="CN41" s="30" t="str">
        <f>IF($G41="","",$G41*(IF(ADRYr2!$AI41=CE$4,ADRYr2!$AJ41,IF(ADRYr2!$AK41=CE$4,ADRYr2!$AL41,IF(ADRYr2!$AM41=CE$4,ADRYr2!$AN41,0))))*(INDEX(avoidedcosttbl2,$H41,CN$2)+(($H41-ROUNDDOWN($H41,0))*(INDEX(avoidedcosttbl2,ROUNDUP($H41,0),CN$2)-(INDEX(avoidedcosttbl2,ROUNDDOWN($H41,0),CN$2)))))*ADRYr2!P41*ADRYr2!Q41*ADRYr2!U41)</f>
        <v/>
      </c>
      <c r="CO41" s="220" t="str">
        <f t="shared" si="39"/>
        <v/>
      </c>
      <c r="CP41" s="220" t="str">
        <f t="shared" si="40"/>
        <v/>
      </c>
      <c r="CQ41" s="157" t="str">
        <f>IF($G41="","",$G41*(IF(ADRYr2!$AI41=CQ$4,ADRYr2!$AJ41,IF(ADRYr2!$AK41=CQ$4,ADRYr2!$AL41,IF(ADRYr2!$AM41=CQ$4,ADRYr2!$AN41,0))))*(INDEX(avoidedcosttbl2,$H41,CQ$2)+(($H41-ROUNDDOWN($H41,0))*(INDEX(avoidedcosttbl2,ROUNDUP($H41,0),CQ$2)-(INDEX(avoidedcosttbl2,ROUNDDOWN($H41,0),CQ$2)))))*ADRYr2!$P41*ADRYr2!$Q41*ADRYr2!$U41)</f>
        <v/>
      </c>
      <c r="CR41" s="28" t="str">
        <f>IF($G41="","",G41*(IF(ADRYr2!$AI41=CR$4,ADRYr2!$AJ41,IF(ADRYr2!$AK41=CR$4,ADRYr2!$AL41,IF(ADRYr2!$AM41=CR$4,ADRYr2!$AN41,0))))*(INDEX(avoidedcosttbl2,$H41,CR$2)+(($H41-ROUNDDOWN($H41,0))*(INDEX(avoidedcosttbl2,ROUNDUP($H41,0),CR$2)-(INDEX(avoidedcosttbl2,ROUNDDOWN($H41,0),CR$2)))))*ADRYr2!$P41*ADRYr2!$Q41*ADRYr2!$U41)</f>
        <v/>
      </c>
      <c r="CS41" s="28" t="str">
        <f>IF($G41="","",G41*(IF(ADRYr2!$AI41=CS$4,ADRYr2!$AJ41,IF(ADRYr2!$AK41=CS$4,ADRYr2!$AL41,IF(ADRYr2!$AM41=CS$4,ADRYr2!$AN41,0))))*(INDEX(avoidedcosttbl2,$H41,CS$2)+(($H41-ROUNDDOWN($H41,0))*(INDEX(avoidedcosttbl2,ROUNDUP($H41,0),CS$2)-(INDEX(avoidedcosttbl2,ROUNDDOWN($H41,0),CS$2)))))*ADRYr2!$P41*ADRYr2!$Q41*ADRYr2!$U41)</f>
        <v/>
      </c>
      <c r="CT41" s="28" t="str">
        <f t="shared" si="12"/>
        <v/>
      </c>
      <c r="CU41" s="28" t="str">
        <f>IF($G41="","",G41*(IF(ADRYr2!$AI41=CU$4,ADRYr2!$AJ41,IF(ADRYr2!$AK41=CU$4,ADRYr2!$AL41,IF(ADRYr2!$AM41=CU$4,ADRYr2!$AN41,0))))*(INDEX(avoidedcosttbl2,$H41,CU$2)+(($H41-ROUNDDOWN($H41,0))*(INDEX(avoidedcosttbl2,ROUNDUP($H41,0),CU$2)-(INDEX(avoidedcosttbl2,ROUNDDOWN($H41,0),CU$2)))))*ADRYr2!$P41*ADRYr2!$Q41*ADRYr2!$U41)</f>
        <v/>
      </c>
      <c r="CV41" s="28" t="str">
        <f>IF($G41="","",G41*(IF(ADRYr2!$AI41=CV$4,ADRYr2!$AJ41,IF(ADRYr2!$AK41=CV$4,ADRYr2!$AL41,IF(ADRYr2!$AM41=CV$4,ADRYr2!$AN41,0))))*(INDEX(avoidedcosttbl2,$H41,CV$2)+(($H41-ROUNDDOWN($H41,0))*(INDEX(avoidedcosttbl2,ROUNDUP($H41,0),CV$2)-(INDEX(avoidedcosttbl2,ROUNDDOWN($H41,0),CV$2)))))*ADRYr2!$P41*ADRYr2!$Q41*ADRYr2!$U41)</f>
        <v/>
      </c>
      <c r="CW41" s="28" t="str">
        <f>IF($G41="","",G41*(IF(ADRYr2!$AI41=CW$4,ADRYr2!$AJ41,IF(ADRYr2!$AK41=CW$4,ADRYr2!$AL41,IF(ADRYr2!$AM41=CW$4,ADRYr2!$AN41,0))))*(INDEX(avoidedcosttbl2,$H41,CW$2)+(($H41-ROUNDDOWN($H41,0))*(INDEX(avoidedcosttbl2,ROUNDUP($H41,0),CW$2)-(INDEX(avoidedcosttbl2,ROUNDDOWN($H41,0),CW$2)))))*ADRYr2!$P41*ADRYr2!$Q41*ADRYr2!$U41)</f>
        <v/>
      </c>
      <c r="CX41" s="28" t="str">
        <f>IF($G41="","",G41*(IF(ADRYr2!$AI41=CX$4,ADRYr2!$AJ41,IF(ADRYr2!$AK41=CX$4,ADRYr2!$AL41,IF(ADRYr2!$AM41=CX$4,ADRYr2!$AN41,0))))*(INDEX(avoidedcosttbl2,$H41,CX$2)+(($H41-ROUNDDOWN($H41,0))*(INDEX(avoidedcosttbl2,ROUNDUP($H41,0),CX$2)-(INDEX(avoidedcosttbl2,ROUNDDOWN($H41,0),CX$2)))))*ADRYr2!$P41*ADRYr2!$Q41*ADRYr2!$U41)</f>
        <v/>
      </c>
      <c r="CY41" s="28" t="str">
        <f t="shared" si="13"/>
        <v/>
      </c>
      <c r="CZ41" s="32" t="str">
        <f t="shared" si="14"/>
        <v/>
      </c>
      <c r="DA41" s="84" t="str">
        <f t="shared" si="41"/>
        <v/>
      </c>
      <c r="DB41" s="81" t="str">
        <f>IF(NEIadder="Yes",IF($G41="","",INDEX(Lookups!$G$70:$G$71,MATCH($A41,Lookups!$E$70:$E$71,0))*(SUM(CP41:CX41,BX41))),"")</f>
        <v/>
      </c>
      <c r="DC41" s="263" t="str">
        <f t="shared" si="15"/>
        <v/>
      </c>
      <c r="DD41" s="166" t="str">
        <f t="shared" si="16"/>
        <v/>
      </c>
      <c r="DE41" s="82">
        <f t="shared" si="42"/>
        <v>0</v>
      </c>
      <c r="DF41" s="615" t="str">
        <f>IF($G41="","",(1+WntPeakEnergyLL)*(INDEX(avoidedcosttbl2,$H41,DF$2)+(($H41-ROUNDDOWN($H41,0))*(INDEX(avoidedcosttbl2,ROUNDUP($H41,0),DF$2)-(INDEX(avoidedcosttbl2,ROUNDDOWN($H41,0),DF$2)))))*$P41*1000*ADRYr2!Z41)</f>
        <v/>
      </c>
      <c r="DG41" s="615" t="str">
        <f>IF($G41="","",(1+WntOffPeakEnergyLL)*(INDEX(avoidedcosttbl2,$H41,DG$2)+(($H41-ROUNDDOWN($H41,0))*(INDEX(avoidedcosttbl2,ROUNDUP($H41,0),DG$2)-(INDEX(avoidedcosttbl2,ROUNDDOWN($H41,0),DG$2)))))*$P41*1000*ADRYr2!AA41)</f>
        <v/>
      </c>
      <c r="DH41" s="615" t="str">
        <f>IF($G41="","",(1+SumPeakEnergyLL)*(INDEX(avoidedcosttbl2,$H41,DH$2)+(($H41-ROUNDDOWN($H41,0))*(INDEX(avoidedcosttbl2,ROUNDUP($H41,0),DH$2)-(INDEX(avoidedcosttbl2,ROUNDDOWN($H41,0),DH$2)))))*$P41*1000*ADRYr2!AB41)</f>
        <v/>
      </c>
      <c r="DI41" s="615" t="str">
        <f>IF($G41="","",(1+SumOffPeakEnergyLL)*(INDEX(avoidedcosttbl2,$H41,DI$2)+(($H41-ROUNDDOWN($H41,0))*(INDEX(avoidedcosttbl2,ROUNDUP($H41,0),DI$2)-(INDEX(avoidedcosttbl2,ROUNDDOWN($H41,0),DI$2)))))*$P41*1000*ADRYr2!AC41)</f>
        <v/>
      </c>
      <c r="DJ41" s="29" t="str">
        <f t="shared" si="43"/>
        <v/>
      </c>
      <c r="DK41" s="161" t="str">
        <f t="shared" si="44"/>
        <v/>
      </c>
      <c r="DL41" s="1189" t="str">
        <f t="shared" si="45"/>
        <v/>
      </c>
      <c r="DM41" s="1189" t="str">
        <f t="shared" si="46"/>
        <v/>
      </c>
      <c r="DN41" s="43" t="str">
        <f t="shared" si="47"/>
        <v/>
      </c>
      <c r="DO41" s="966" t="str">
        <f>IF($G41="","",ADRYr2!AQ41)</f>
        <v/>
      </c>
      <c r="DP41" s="968" t="str">
        <f>IF($G41="","",ADRYr2!AR41)</f>
        <v/>
      </c>
      <c r="DQ41" s="970" t="str">
        <f>IF($G41="","",IF($DP41="Yes",COLUMN(AESC!$L$10),IF($DP41="No","Using AvoidedDemand tab",IF($DP41="Mixed",COLUMN(AESC!$N$10)))))</f>
        <v/>
      </c>
      <c r="DR41" s="970" t="str">
        <f>IF($G41="","",IF($DP41="Yes",COLUMN(AESC!$P$10),IF($DP41="No","Using AvoidedDemand tab",IF($DP41="Mixed",COLUMN(AESC!$R$10)))))</f>
        <v/>
      </c>
      <c r="DS41" s="970" t="str">
        <f>IF($G41="","",IF($DP41="Yes",COLUMN(AESC!$S$10),IF($DP41="No",COLUMN(AESC!$T$10),IF($DP41="Mixed",COLUMN(AESC!$U$10)))))</f>
        <v/>
      </c>
      <c r="DT41" s="970" t="str">
        <f t="shared" si="48"/>
        <v/>
      </c>
      <c r="DU41" s="970" t="str">
        <f>IF($G41="","",ADRYr2!AS41)</f>
        <v/>
      </c>
      <c r="DV41" s="971" t="str">
        <f>IF($G41="","",ADRYr2!AT41)</f>
        <v/>
      </c>
      <c r="DW41" s="1162" t="str">
        <f>IF($G41="","",INDEX(AvoidedEnergy!$H$4:$H$10,MATCH($DO41,AvoidedEnergy!$A$4:$A$10,0)))</f>
        <v/>
      </c>
    </row>
    <row r="42" spans="1:127">
      <c r="A42" s="160" t="str">
        <f>IF(ADRYr2!$B42=0,"",ADRYr2!A42)</f>
        <v/>
      </c>
      <c r="B42" s="9" t="str">
        <f>IF(ADRYr2!$B42=0,"",ADRYr2!B42)</f>
        <v/>
      </c>
      <c r="C42" s="9" t="str">
        <f>IF(ADRYr2!$B42=0,"",ADRYr2!C42)</f>
        <v/>
      </c>
      <c r="D42" s="9" t="str">
        <f>IF(ADRYr2!$B42=0,"",ADRYr2!D42)</f>
        <v/>
      </c>
      <c r="E42" s="9"/>
      <c r="F42" s="11" t="str">
        <f>IF(ADRYr2!$B42=0,"",ADRYr2!F42)</f>
        <v/>
      </c>
      <c r="G42" s="12" t="str">
        <f>IF(ADRYr2!$G42&lt;&gt;0,ADRYr2!G42,"")</f>
        <v/>
      </c>
      <c r="H42" s="960" t="str">
        <f>IF($G42="","",ROUND(ADRYr2!H42,0))</f>
        <v/>
      </c>
      <c r="I42" s="47" t="str">
        <f>IF($G42="","",ADRYr2!I42*ADRYr2!P42*G42)</f>
        <v/>
      </c>
      <c r="J42" s="47" t="str">
        <f>IF($G42="","",ADRYr2!J42*G42)</f>
        <v/>
      </c>
      <c r="K42" s="47" t="str">
        <f t="shared" si="17"/>
        <v/>
      </c>
      <c r="L42" s="27" t="str">
        <f>IF($G42="","",ADRYr2!V42*G42/1000)</f>
        <v/>
      </c>
      <c r="M42" s="27" t="str">
        <f>IF($G42="","",L42*ADRYr2!$Q42*ADRYr2!$R42)</f>
        <v/>
      </c>
      <c r="N42" s="27" t="str">
        <f t="shared" si="18"/>
        <v/>
      </c>
      <c r="O42" s="27" t="str">
        <f t="shared" si="19"/>
        <v/>
      </c>
      <c r="P42" s="27" t="str">
        <f>IF($G42="","",M42*ADRYr2!P42)</f>
        <v/>
      </c>
      <c r="Q42" s="27" t="str">
        <f t="shared" si="20"/>
        <v/>
      </c>
      <c r="R42" s="27" t="str">
        <f>IF($G42="","",$Q42*ADRYr2!Z42)</f>
        <v/>
      </c>
      <c r="S42" s="27" t="str">
        <f>IF($G42="","",$Q42*ADRYr2!AA42)</f>
        <v/>
      </c>
      <c r="T42" s="27" t="str">
        <f>IF($G42="","",$Q42*ADRYr2!AB42)</f>
        <v/>
      </c>
      <c r="U42" s="27" t="str">
        <f>IF($G42="","",$Q42*ADRYr2!AC42)</f>
        <v/>
      </c>
      <c r="V42" s="27" t="str">
        <f>IF($G42="","",G42*ADRYr2!$AD42*ADRYr2!$P42*ADRYr2!$Q42)</f>
        <v/>
      </c>
      <c r="W42" s="27" t="str">
        <f>IF($G42="","",$G42*ADRYr2!$AD42*ADRYr2!$AF42*ADRYr2!Q42*ADRYr2!$S42)</f>
        <v/>
      </c>
      <c r="X42" s="27" t="str">
        <f>IF($G42="","",$G42*ADRYr2!$AD42*ADRYr2!$AF42*ADRYr2!P42*ADRYr2!Q42*ADRYr2!$S42)</f>
        <v/>
      </c>
      <c r="Y42" s="27" t="str">
        <f>IF($G42="","",$G42*ADRYr2!$AD42*ADRYr2!$AE42*ADRYr2!Q42*ADRYr2!$T42)</f>
        <v/>
      </c>
      <c r="Z42" s="27" t="str">
        <f>IF($G42="","",$G42*ADRYr2!$AD42*ADRYr2!$AE42*ADRYr2!P42*ADRYr2!Q42*ADRYr2!$T42)</f>
        <v/>
      </c>
      <c r="AA42" s="45" t="str">
        <f>IF($G42="","",$G42*ADRYr2!$Q42*ADRYr2!$U42*(IF(IFERROR(SEARCH("NG", ADRYr2!$AI42),0),ADRYr2!$AJ42,0)+IF(IFERROR(SEARCH("NG", ADRYr2!$AK42),0),ADRYr2!$AL42,0)+IF(IFERROR(SEARCH("NG", ADRYr2!$AM42),0),ADRYr2!$AN42,0)))</f>
        <v/>
      </c>
      <c r="AB42" s="45" t="str">
        <f t="shared" si="21"/>
        <v/>
      </c>
      <c r="AC42" s="45">
        <f>IF($G42="",0,AA42*ADRYr2!$P42)</f>
        <v>0</v>
      </c>
      <c r="AD42" s="45" t="str">
        <f t="shared" si="22"/>
        <v/>
      </c>
      <c r="AE42" s="45" t="str">
        <f>IF($G42="","",$G42*ADRYr2!$Q42*ADRYr2!$U42*(IF(IFERROR(SEARCH("Oil", ADRYr2!$AI42), 0),ADRYr2!$AJ42,0)+IF(IFERROR(SEARCH("Oil", ADRYr2!$AK42), 0),ADRYr2!$AL42,0)+IF(IFERROR(SEARCH("Oil", ADRYr2!$AM42), 0),ADRYr2!$AN42,0)))</f>
        <v/>
      </c>
      <c r="AF42" s="45" t="str">
        <f t="shared" si="23"/>
        <v/>
      </c>
      <c r="AG42" s="45">
        <f>IF($G42="",0,AE42*ADRYr2!$P42)</f>
        <v>0</v>
      </c>
      <c r="AH42" s="45" t="str">
        <f t="shared" si="24"/>
        <v/>
      </c>
      <c r="AI42" s="45" t="str">
        <f>IF($G42="","",$G42*ADRYr2!$Q42*ADRYr2!$U42*(IF(ADRYr2!$AI42=Lookups!$E$116,ADRYr2!$AJ42,IF(ADRYr2!$AK42=Lookups!$E$116,ADRYr2!$AL42,IF(ADRYr2!$AM42=Lookups!$E$116,ADRYr2!$AN42,0)))))</f>
        <v/>
      </c>
      <c r="AJ42" s="45" t="str">
        <f t="shared" si="25"/>
        <v/>
      </c>
      <c r="AK42" s="45">
        <f>IF($G42="",0,AI42*ADRYr2!$P42)</f>
        <v>0</v>
      </c>
      <c r="AL42" s="45" t="str">
        <f t="shared" si="26"/>
        <v/>
      </c>
      <c r="AM42" s="45" t="str">
        <f>IF($G42="","",$G42*ADRYr2!$Q42*ADRYr2!$U42*(IF(ADRYr2!$AI42=Lookups!$E$115,ADRYr2!$AJ42,IF(ADRYr2!$AK42=Lookups!$E$115,ADRYr2!$AL42,IF(ADRYr2!$AM42=Lookups!$E$115,ADRYr2!$AN42,0)))))</f>
        <v/>
      </c>
      <c r="AN42" s="45" t="str">
        <f t="shared" si="27"/>
        <v/>
      </c>
      <c r="AO42" s="45">
        <f>IF($G42="",0,AM42*ADRYr2!$P42)</f>
        <v>0</v>
      </c>
      <c r="AP42" s="45" t="str">
        <f t="shared" si="28"/>
        <v/>
      </c>
      <c r="AQ42" s="45" t="str">
        <f>IF($G42="","",$G42*ADRYr2!$Q42*ADRYr2!$U42*(IF(ADRYr2!$AI42=Lookups!$E$117,ADRYr2!$AJ42,IF(ADRYr2!$AK42=Lookups!$E$117,ADRYr2!$AL42,IF(ADRYr2!$AM42=Lookups!$E$117,ADRYr2!$AN42,0)))))</f>
        <v/>
      </c>
      <c r="AR42" s="45" t="str">
        <f t="shared" si="29"/>
        <v/>
      </c>
      <c r="AS42" s="45" t="str">
        <f>IF($G42="","",AQ42*ADRYr2!$P42)</f>
        <v/>
      </c>
      <c r="AT42" s="45" t="str">
        <f t="shared" si="30"/>
        <v/>
      </c>
      <c r="AU42" s="45" t="str">
        <f>IF($G42="","",$G42*ADRYr2!$Q42*ADRYr2!$U42*(IF(ADRYr2!$AI42=Lookups!$E$118,ADRYr2!$AJ42,IF(ADRYr2!$AK42=Lookups!$E$118,ADRYr2!$AL42,IF(ADRYr2!$AM42=Lookups!$E$118,ADRYr2!$AN42,0)))))</f>
        <v/>
      </c>
      <c r="AV42" s="45" t="str">
        <f t="shared" si="31"/>
        <v/>
      </c>
      <c r="AW42" s="45" t="str">
        <f>IF($G42="","",AU42*ADRYr2!$P42)</f>
        <v/>
      </c>
      <c r="AX42" s="45" t="str">
        <f t="shared" si="32"/>
        <v/>
      </c>
      <c r="AY42" s="45">
        <f t="shared" si="49"/>
        <v>0</v>
      </c>
      <c r="AZ42" s="45">
        <f t="shared" si="49"/>
        <v>0</v>
      </c>
      <c r="BA42" s="101" t="str">
        <f>IF($G42="","",$G42*ADRYr2!$P42*ADRYr2!$Q42*ADRYr2!$U42*ADRYr2!AO42)</f>
        <v/>
      </c>
      <c r="BB42" s="102" t="str">
        <f>IF($G42="","",$G42*ADRYr2!$P42*ADRYr2!$Q42*ADRYr2!$U42*ADRYr2!AP42)</f>
        <v/>
      </c>
      <c r="BC42" s="100" t="str">
        <f t="shared" si="34"/>
        <v/>
      </c>
      <c r="BD42" s="961"/>
      <c r="BE42" s="961"/>
      <c r="BF42" s="961"/>
      <c r="BG42" s="961"/>
      <c r="BH42" s="962" t="str">
        <f t="shared" si="3"/>
        <v/>
      </c>
      <c r="BI42" s="961"/>
      <c r="BJ42" s="961"/>
      <c r="BK42" s="961"/>
      <c r="BL42" s="961"/>
      <c r="BM42" s="30" t="str">
        <f t="shared" si="4"/>
        <v/>
      </c>
      <c r="BN42" s="963" t="str">
        <f t="shared" si="5"/>
        <v/>
      </c>
      <c r="BO42" s="31" t="str">
        <f t="shared" si="35"/>
        <v/>
      </c>
      <c r="BP42" s="964" t="str">
        <f t="shared" si="6"/>
        <v/>
      </c>
      <c r="BQ42" s="28" t="str">
        <f t="shared" si="7"/>
        <v/>
      </c>
      <c r="BR42" s="964" t="str">
        <f t="shared" si="8"/>
        <v/>
      </c>
      <c r="BS42" s="964" t="str">
        <f t="shared" si="9"/>
        <v/>
      </c>
      <c r="BT42" s="28" t="str">
        <f t="shared" si="50"/>
        <v/>
      </c>
      <c r="BU42" s="28" t="str">
        <f t="shared" si="50"/>
        <v/>
      </c>
      <c r="BV42" s="28" t="str">
        <f t="shared" si="50"/>
        <v/>
      </c>
      <c r="BW42" s="29" t="str">
        <f t="shared" si="36"/>
        <v/>
      </c>
      <c r="BX42" s="29" t="str">
        <f t="shared" si="37"/>
        <v/>
      </c>
      <c r="BY42" s="28" t="str">
        <f>IF($G42="","",$G42*(IF(ADRYr2!$AI42=BY$4,ADRYr2!$AJ42,IF(ADRYr2!$AK42=BY$4,ADRYr2!$AL42,IF(ADRYr2!$AM42=BY$4,ADRYr2!$AN42,0))))*(INDEX(avoidedcosttbl2,$H42,BY$2)+(($H42-ROUNDDOWN($H42,0))*(INDEX(avoidedcosttbl2,ROUNDUP($H42,0),BY$2)-(INDEX(avoidedcosttbl2,ROUNDDOWN($H42,0),BY$2)))))*ADRYr2!P42*ADRYr2!Q42*ADRYr2!U42)</f>
        <v/>
      </c>
      <c r="BZ42" s="28" t="str">
        <f>IF($G42="","",$G42*(IF(ADRYr2!$AI42=BZ$4,ADRYr2!$AJ42,IF(ADRYr2!$AK42=BZ$4,ADRYr2!$AL42,IF(ADRYr2!$AM42=BZ$4,ADRYr2!$AN42,0))))*(INDEX(avoidedcosttbl2,$H42,BZ$2)+(($H42-ROUNDDOWN($H42,0))*(INDEX(avoidedcosttbl2,ROUNDUP($H42,0),BZ$2)-(INDEX(avoidedcosttbl2,ROUNDDOWN($H42,0),BZ$2)))))*ADRYr2!P42*ADRYr2!Q42*ADRYr2!U42)</f>
        <v/>
      </c>
      <c r="CA42" s="28" t="str">
        <f>IF($G42="","",$G42*(IF(ADRYr2!$AI42=CA$4,ADRYr2!$AJ42,IF(ADRYr2!$AK42=CA$4,ADRYr2!$AL42,IF(ADRYr2!$AM42=CA$4,ADRYr2!$AN42,0))))*(INDEX(avoidedcosttbl2,$H42,CA$2)+(($H42-ROUNDDOWN($H42,0))*(INDEX(avoidedcosttbl2,ROUNDUP($H42,0),CA$2)-(INDEX(avoidedcosttbl2,ROUNDDOWN($H42,0),CA$2)))))*ADRYr2!P42*ADRYr2!Q42*ADRYr2!U42)</f>
        <v/>
      </c>
      <c r="CB42" s="28" t="str">
        <f>IF($G42="","",$G42*(IF(ADRYr2!$AI42=CB$4,ADRYr2!$AJ42,IF(ADRYr2!$AK42=CB$4,ADRYr2!$AL42,IF(ADRYr2!$AM42=CB$4,ADRYr2!$AN42,0))))*(INDEX(avoidedcosttbl2,$H42,CB$2)+(($H42-ROUNDDOWN($H42,0))*(INDEX(avoidedcosttbl2,ROUNDUP($H42,0),CB$2)-(INDEX(avoidedcosttbl2,ROUNDDOWN($H42,0),CB$2)))))*ADRYr2!P42*ADRYr2!Q42*ADRYr2!U42)</f>
        <v/>
      </c>
      <c r="CC42" s="28" t="str">
        <f>IF($G42="","",$G42*(IF(ADRYr2!$AI42=CC$4,ADRYr2!$AJ42,IF(ADRYr2!$AK42=CC$4,ADRYr2!$AL42,IF(ADRYr2!$AM42=CC$4,ADRYr2!$AN42,0))))*(INDEX(avoidedcosttbl2,$H42,CC$2)+(($H42-ROUNDDOWN($H42,0))*(INDEX(avoidedcosttbl2,ROUNDUP($H42,0),CC$2)-(INDEX(avoidedcosttbl2,ROUNDDOWN($H42,0),CC$2)))))*ADRYr2!P42*ADRYr2!Q42*ADRYr2!U42)</f>
        <v/>
      </c>
      <c r="CD42" s="28" t="str">
        <f>IF($G42="","",$G42*(IF(ADRYr2!$AI42=CD$4,ADRYr2!$AJ42,IF(ADRYr2!$AK42=CD$4,ADRYr2!$AL42,IF(ADRYr2!$AM42=CD$4,ADRYr2!$AN42,0))))*(INDEX(avoidedcosttbl2,$H42,CD$2)+(($H42-ROUNDDOWN($H42,0))*(INDEX(avoidedcosttbl2,ROUNDUP($H42,0),CD$2)-(INDEX(avoidedcosttbl2,ROUNDDOWN($H42,0),CD$2)))))*ADRYr2!P42*ADRYr2!Q42*ADRYr2!U42)</f>
        <v/>
      </c>
      <c r="CE42" s="28" t="str">
        <f>IF($G42="","",$G42*(IF(ADRYr2!$AI42=CE$4,ADRYr2!$AJ42,IF(ADRYr2!$AK42=CE$4,ADRYr2!$AL42,IF(ADRYr2!$AM42=CE$4,ADRYr2!$AN42,0))))*(INDEX(avoidedcosttbl2,$H42,CE$2)+(($H42-ROUNDDOWN($H42,0))*(INDEX(avoidedcosttbl2,ROUNDUP($H42,0),CE$2)-(INDEX(avoidedcosttbl2,ROUNDDOWN($H42,0),CE$2)))))*ADRYr2!P42*ADRYr2!Q42*ADRYr2!U42)</f>
        <v/>
      </c>
      <c r="CF42" s="41" t="str">
        <f t="shared" si="38"/>
        <v/>
      </c>
      <c r="CG42" s="30" t="str">
        <f t="shared" si="11"/>
        <v/>
      </c>
      <c r="CH42" s="30" t="str">
        <f>IF($G42="","",$G42*(IF(ADRYr2!$AI42=BY$4,ADRYr2!$AJ42,IF(ADRYr2!$AK42=BY$4,ADRYr2!$AL42,IF(ADRYr2!$AM42=BY$4,ADRYr2!$AN42,0))))*(INDEX(avoidedcosttbl2,$H42,CH$2)+(($H42-ROUNDDOWN($H42,0))*(INDEX(avoidedcosttbl2,ROUNDUP($H42,0),CH$2)-(INDEX(avoidedcosttbl2,ROUNDDOWN($H42,0),CH$2)))))*ADRYr2!P42*ADRYr2!Q42*ADRYr2!U42)</f>
        <v/>
      </c>
      <c r="CI42" s="30" t="str">
        <f>IF($G42="","",$G42*(IF(ADRYr2!$AI42=BZ$4,ADRYr2!$AJ42,IF(ADRYr2!$AK42=BZ$4,ADRYr2!$AL42,IF(ADRYr2!$AM42=BZ$4,ADRYr2!$AN42,0))))*(INDEX(avoidedcosttbl2,$H42,CI$2)+(($H42-ROUNDDOWN($H42,0))*(INDEX(avoidedcosttbl2,ROUNDUP($H42,0),CI$2)-(INDEX(avoidedcosttbl2,ROUNDDOWN($H42,0),CI$2)))))*ADRYr2!P42*ADRYr2!Q42*ADRYr2!U42)</f>
        <v/>
      </c>
      <c r="CJ42" s="30" t="str">
        <f>IF($G42="","",$G42*(IF(ADRYr2!$AI42=CA$4,ADRYr2!$AJ42,IF(ADRYr2!$AK42=CA$4,ADRYr2!$AL42,IF(ADRYr2!$AM42=CA$4,ADRYr2!$AN42,0))))*(INDEX(avoidedcosttbl2,$H42,CJ$2)+(($H42-ROUNDDOWN($H42,0))*(INDEX(avoidedcosttbl2,ROUNDUP($H42,0),CJ$2)-(INDEX(avoidedcosttbl2,ROUNDDOWN($H42,0),CJ$2)))))*ADRYr2!P42*ADRYr2!Q42*ADRYr2!U42)</f>
        <v/>
      </c>
      <c r="CK42" s="30" t="str">
        <f>IF($G42="","",$G42*(IF(ADRYr2!$AI42=CB$4,ADRYr2!$AJ42,IF(ADRYr2!$AK42=CB$4,ADRYr2!$AL42,IF(ADRYr2!$AM42=CB$4,ADRYr2!$AN42,0))))*(INDEX(avoidedcosttbl2,$H42,CK$2)+(($H42-ROUNDDOWN($H42,0))*(INDEX(avoidedcosttbl2,ROUNDUP($H42,0),CK$2)-(INDEX(avoidedcosttbl2,ROUNDDOWN($H42,0),CK$2)))))*ADRYr2!P42*ADRYr2!Q42*ADRYr2!U42)</f>
        <v/>
      </c>
      <c r="CL42" s="30" t="str">
        <f>IF($G42="","",$G42*(IF(ADRYr2!$AI42=CC$4,ADRYr2!$AJ42,IF(ADRYr2!$AK42=CC$4,ADRYr2!$AL42,IF(ADRYr2!$AM42=CC$4,ADRYr2!$AN42,0))))*(INDEX(avoidedcosttbl2,$H42,CL$2)+(($H42-ROUNDDOWN($H42,0))*(INDEX(avoidedcosttbl2,ROUNDUP($H42,0),CL$2)-(INDEX(avoidedcosttbl2,ROUNDDOWN($H42,0),CL$2)))))*ADRYr2!P42*ADRYr2!Q42*ADRYr2!U42)</f>
        <v/>
      </c>
      <c r="CM42" s="30" t="str">
        <f>IF($G42="","",$G42*(IF(ADRYr2!$AI42=CD$4,ADRYr2!$AJ42,IF(ADRYr2!$AK42=CD$4,ADRYr2!$AL42,IF(ADRYr2!$AM42=CD$4,ADRYr2!$AN42,0))))*(INDEX(avoidedcosttbl2,$H42,CM$2)+(($H42-ROUNDDOWN($H42,0))*(INDEX(avoidedcosttbl2,ROUNDUP($H42,0),CM$2)-(INDEX(avoidedcosttbl2,ROUNDDOWN($H42,0),CM$2)))))*ADRYr2!P42*ADRYr2!Q42*ADRYr2!U42)</f>
        <v/>
      </c>
      <c r="CN42" s="30" t="str">
        <f>IF($G42="","",$G42*(IF(ADRYr2!$AI42=CE$4,ADRYr2!$AJ42,IF(ADRYr2!$AK42=CE$4,ADRYr2!$AL42,IF(ADRYr2!$AM42=CE$4,ADRYr2!$AN42,0))))*(INDEX(avoidedcosttbl2,$H42,CN$2)+(($H42-ROUNDDOWN($H42,0))*(INDEX(avoidedcosttbl2,ROUNDUP($H42,0),CN$2)-(INDEX(avoidedcosttbl2,ROUNDDOWN($H42,0),CN$2)))))*ADRYr2!P42*ADRYr2!Q42*ADRYr2!U42)</f>
        <v/>
      </c>
      <c r="CO42" s="220" t="str">
        <f t="shared" si="39"/>
        <v/>
      </c>
      <c r="CP42" s="220" t="str">
        <f t="shared" si="40"/>
        <v/>
      </c>
      <c r="CQ42" s="157" t="str">
        <f>IF($G42="","",$G42*(IF(ADRYr2!$AI42=CQ$4,ADRYr2!$AJ42,IF(ADRYr2!$AK42=CQ$4,ADRYr2!$AL42,IF(ADRYr2!$AM42=CQ$4,ADRYr2!$AN42,0))))*(INDEX(avoidedcosttbl2,$H42,CQ$2)+(($H42-ROUNDDOWN($H42,0))*(INDEX(avoidedcosttbl2,ROUNDUP($H42,0),CQ$2)-(INDEX(avoidedcosttbl2,ROUNDDOWN($H42,0),CQ$2)))))*ADRYr2!$P42*ADRYr2!$Q42*ADRYr2!$U42)</f>
        <v/>
      </c>
      <c r="CR42" s="28" t="str">
        <f>IF($G42="","",G42*(IF(ADRYr2!$AI42=CR$4,ADRYr2!$AJ42,IF(ADRYr2!$AK42=CR$4,ADRYr2!$AL42,IF(ADRYr2!$AM42=CR$4,ADRYr2!$AN42,0))))*(INDEX(avoidedcosttbl2,$H42,CR$2)+(($H42-ROUNDDOWN($H42,0))*(INDEX(avoidedcosttbl2,ROUNDUP($H42,0),CR$2)-(INDEX(avoidedcosttbl2,ROUNDDOWN($H42,0),CR$2)))))*ADRYr2!$P42*ADRYr2!$Q42*ADRYr2!$U42)</f>
        <v/>
      </c>
      <c r="CS42" s="28" t="str">
        <f>IF($G42="","",G42*(IF(ADRYr2!$AI42=CS$4,ADRYr2!$AJ42,IF(ADRYr2!$AK42=CS$4,ADRYr2!$AL42,IF(ADRYr2!$AM42=CS$4,ADRYr2!$AN42,0))))*(INDEX(avoidedcosttbl2,$H42,CS$2)+(($H42-ROUNDDOWN($H42,0))*(INDEX(avoidedcosttbl2,ROUNDUP($H42,0),CS$2)-(INDEX(avoidedcosttbl2,ROUNDDOWN($H42,0),CS$2)))))*ADRYr2!$P42*ADRYr2!$Q42*ADRYr2!$U42)</f>
        <v/>
      </c>
      <c r="CT42" s="28" t="str">
        <f t="shared" si="12"/>
        <v/>
      </c>
      <c r="CU42" s="28" t="str">
        <f>IF($G42="","",G42*(IF(ADRYr2!$AI42=CU$4,ADRYr2!$AJ42,IF(ADRYr2!$AK42=CU$4,ADRYr2!$AL42,IF(ADRYr2!$AM42=CU$4,ADRYr2!$AN42,0))))*(INDEX(avoidedcosttbl2,$H42,CU$2)+(($H42-ROUNDDOWN($H42,0))*(INDEX(avoidedcosttbl2,ROUNDUP($H42,0),CU$2)-(INDEX(avoidedcosttbl2,ROUNDDOWN($H42,0),CU$2)))))*ADRYr2!$P42*ADRYr2!$Q42*ADRYr2!$U42)</f>
        <v/>
      </c>
      <c r="CV42" s="28" t="str">
        <f>IF($G42="","",G42*(IF(ADRYr2!$AI42=CV$4,ADRYr2!$AJ42,IF(ADRYr2!$AK42=CV$4,ADRYr2!$AL42,IF(ADRYr2!$AM42=CV$4,ADRYr2!$AN42,0))))*(INDEX(avoidedcosttbl2,$H42,CV$2)+(($H42-ROUNDDOWN($H42,0))*(INDEX(avoidedcosttbl2,ROUNDUP($H42,0),CV$2)-(INDEX(avoidedcosttbl2,ROUNDDOWN($H42,0),CV$2)))))*ADRYr2!$P42*ADRYr2!$Q42*ADRYr2!$U42)</f>
        <v/>
      </c>
      <c r="CW42" s="28" t="str">
        <f>IF($G42="","",G42*(IF(ADRYr2!$AI42=CW$4,ADRYr2!$AJ42,IF(ADRYr2!$AK42=CW$4,ADRYr2!$AL42,IF(ADRYr2!$AM42=CW$4,ADRYr2!$AN42,0))))*(INDEX(avoidedcosttbl2,$H42,CW$2)+(($H42-ROUNDDOWN($H42,0))*(INDEX(avoidedcosttbl2,ROUNDUP($H42,0),CW$2)-(INDEX(avoidedcosttbl2,ROUNDDOWN($H42,0),CW$2)))))*ADRYr2!$P42*ADRYr2!$Q42*ADRYr2!$U42)</f>
        <v/>
      </c>
      <c r="CX42" s="28" t="str">
        <f>IF($G42="","",G42*(IF(ADRYr2!$AI42=CX$4,ADRYr2!$AJ42,IF(ADRYr2!$AK42=CX$4,ADRYr2!$AL42,IF(ADRYr2!$AM42=CX$4,ADRYr2!$AN42,0))))*(INDEX(avoidedcosttbl2,$H42,CX$2)+(($H42-ROUNDDOWN($H42,0))*(INDEX(avoidedcosttbl2,ROUNDUP($H42,0),CX$2)-(INDEX(avoidedcosttbl2,ROUNDDOWN($H42,0),CX$2)))))*ADRYr2!$P42*ADRYr2!$Q42*ADRYr2!$U42)</f>
        <v/>
      </c>
      <c r="CY42" s="28" t="str">
        <f t="shared" si="13"/>
        <v/>
      </c>
      <c r="CZ42" s="32" t="str">
        <f t="shared" si="14"/>
        <v/>
      </c>
      <c r="DA42" s="84" t="str">
        <f t="shared" si="41"/>
        <v/>
      </c>
      <c r="DB42" s="81" t="str">
        <f>IF(NEIadder="Yes",IF($G42="","",INDEX(Lookups!$G$70:$G$71,MATCH($A42,Lookups!$E$70:$E$71,0))*(SUM(CP42:CX42,BX42))),"")</f>
        <v/>
      </c>
      <c r="DC42" s="263" t="str">
        <f t="shared" si="15"/>
        <v/>
      </c>
      <c r="DD42" s="166" t="str">
        <f t="shared" si="16"/>
        <v/>
      </c>
      <c r="DE42" s="82">
        <f t="shared" si="42"/>
        <v>0</v>
      </c>
      <c r="DF42" s="615" t="str">
        <f>IF($G42="","",(1+WntPeakEnergyLL)*(INDEX(avoidedcosttbl2,$H42,DF$2)+(($H42-ROUNDDOWN($H42,0))*(INDEX(avoidedcosttbl2,ROUNDUP($H42,0),DF$2)-(INDEX(avoidedcosttbl2,ROUNDDOWN($H42,0),DF$2)))))*$P42*1000*ADRYr2!Z42)</f>
        <v/>
      </c>
      <c r="DG42" s="615" t="str">
        <f>IF($G42="","",(1+WntOffPeakEnergyLL)*(INDEX(avoidedcosttbl2,$H42,DG$2)+(($H42-ROUNDDOWN($H42,0))*(INDEX(avoidedcosttbl2,ROUNDUP($H42,0),DG$2)-(INDEX(avoidedcosttbl2,ROUNDDOWN($H42,0),DG$2)))))*$P42*1000*ADRYr2!AA42)</f>
        <v/>
      </c>
      <c r="DH42" s="615" t="str">
        <f>IF($G42="","",(1+SumPeakEnergyLL)*(INDEX(avoidedcosttbl2,$H42,DH$2)+(($H42-ROUNDDOWN($H42,0))*(INDEX(avoidedcosttbl2,ROUNDUP($H42,0),DH$2)-(INDEX(avoidedcosttbl2,ROUNDDOWN($H42,0),DH$2)))))*$P42*1000*ADRYr2!AB42)</f>
        <v/>
      </c>
      <c r="DI42" s="615" t="str">
        <f>IF($G42="","",(1+SumOffPeakEnergyLL)*(INDEX(avoidedcosttbl2,$H42,DI$2)+(($H42-ROUNDDOWN($H42,0))*(INDEX(avoidedcosttbl2,ROUNDUP($H42,0),DI$2)-(INDEX(avoidedcosttbl2,ROUNDDOWN($H42,0),DI$2)))))*$P42*1000*ADRYr2!AC42)</f>
        <v/>
      </c>
      <c r="DJ42" s="29" t="str">
        <f t="shared" si="43"/>
        <v/>
      </c>
      <c r="DK42" s="161" t="str">
        <f t="shared" ref="DK42:DK50" si="51">IF($G42="","",DE42+DA42+BX42+DJ42)</f>
        <v/>
      </c>
      <c r="DO42" s="966" t="str">
        <f>IF($G42="","",ADRYr2!AQ42)</f>
        <v/>
      </c>
      <c r="DP42" s="968" t="str">
        <f>IF($G42="","",ADRYr2!AR42)</f>
        <v/>
      </c>
      <c r="DQ42" s="970" t="str">
        <f>IF($G42="","",IF($DP42="Yes",COLUMN(AESC!$L$10),IF($DP42="No","Using AvoidedDemand tab",IF($DP42="Mixed",COLUMN(AESC!$N$10)))))</f>
        <v/>
      </c>
      <c r="DR42" s="970" t="str">
        <f>IF($G42="","",IF($DP42="Yes",COLUMN(AESC!$P$10),IF($DP42="No","Using AvoidedDemand tab",IF($DP42="Mixed",COLUMN(AESC!$R$10)))))</f>
        <v/>
      </c>
      <c r="DS42" s="970" t="str">
        <f>IF($G42="","",IF($DP42="Yes",COLUMN(AESC!$S$10),IF($DP42="No",COLUMN(AESC!$T$10),IF($DP42="Mixed",COLUMN(AESC!$U$10)))))</f>
        <v/>
      </c>
      <c r="DT42" s="970" t="str">
        <f t="shared" si="48"/>
        <v/>
      </c>
      <c r="DU42" s="970" t="str">
        <f>IF($G42="","",ADRYr2!AS42)</f>
        <v/>
      </c>
      <c r="DV42" s="971" t="str">
        <f>IF($G42="","",ADRYr2!AT42)</f>
        <v/>
      </c>
      <c r="DW42" s="1162" t="str">
        <f>IF($G42="","",INDEX(AvoidedEnergy!$H$4:$H$10,MATCH($DO42,AvoidedEnergy!$A$4:$A$10,0)))</f>
        <v/>
      </c>
    </row>
    <row r="43" spans="1:127">
      <c r="A43" s="160" t="str">
        <f>IF(ADRYr2!$B43=0,"",ADRYr2!A43)</f>
        <v/>
      </c>
      <c r="B43" s="9" t="str">
        <f>IF(ADRYr2!$B43=0,"",ADRYr2!B43)</f>
        <v/>
      </c>
      <c r="C43" s="9" t="str">
        <f>IF(ADRYr2!$B43=0,"",ADRYr2!C43)</f>
        <v/>
      </c>
      <c r="D43" s="9" t="str">
        <f>IF(ADRYr2!$B43=0,"",ADRYr2!D43)</f>
        <v/>
      </c>
      <c r="E43" s="9"/>
      <c r="F43" s="11" t="str">
        <f>IF(ADRYr2!$B43=0,"",ADRYr2!F43)</f>
        <v/>
      </c>
      <c r="G43" s="12" t="str">
        <f>IF(ADRYr2!$G43&lt;&gt;0,ADRYr2!G43,"")</f>
        <v/>
      </c>
      <c r="H43" s="960" t="str">
        <f>IF($G43="","",ROUND(ADRYr2!H43,0))</f>
        <v/>
      </c>
      <c r="I43" s="47" t="str">
        <f>IF($G43="","",ADRYr2!I43*ADRYr2!P43*G43)</f>
        <v/>
      </c>
      <c r="J43" s="47" t="str">
        <f>IF($G43="","",ADRYr2!J43*G43)</f>
        <v/>
      </c>
      <c r="K43" s="47" t="str">
        <f t="shared" si="17"/>
        <v/>
      </c>
      <c r="L43" s="27" t="str">
        <f>IF($G43="","",ADRYr2!V43*G43/1000)</f>
        <v/>
      </c>
      <c r="M43" s="27" t="str">
        <f>IF($G43="","",L43*ADRYr2!$Q43*ADRYr2!$R43)</f>
        <v/>
      </c>
      <c r="N43" s="27" t="str">
        <f t="shared" si="18"/>
        <v/>
      </c>
      <c r="O43" s="27" t="str">
        <f t="shared" si="19"/>
        <v/>
      </c>
      <c r="P43" s="27" t="str">
        <f>IF($G43="","",M43*ADRYr2!P43)</f>
        <v/>
      </c>
      <c r="Q43" s="27" t="str">
        <f t="shared" si="20"/>
        <v/>
      </c>
      <c r="R43" s="27" t="str">
        <f>IF($G43="","",$Q43*ADRYr2!Z43)</f>
        <v/>
      </c>
      <c r="S43" s="27" t="str">
        <f>IF($G43="","",$Q43*ADRYr2!AA43)</f>
        <v/>
      </c>
      <c r="T43" s="27" t="str">
        <f>IF($G43="","",$Q43*ADRYr2!AB43)</f>
        <v/>
      </c>
      <c r="U43" s="27" t="str">
        <f>IF($G43="","",$Q43*ADRYr2!AC43)</f>
        <v/>
      </c>
      <c r="V43" s="27" t="str">
        <f>IF($G43="","",G43*ADRYr2!$AD43*ADRYr2!$P43*ADRYr2!$Q43)</f>
        <v/>
      </c>
      <c r="W43" s="27" t="str">
        <f>IF($G43="","",$G43*ADRYr2!$AD43*ADRYr2!$AF43*ADRYr2!Q43*ADRYr2!$S43)</f>
        <v/>
      </c>
      <c r="X43" s="27" t="str">
        <f>IF($G43="","",$G43*ADRYr2!$AD43*ADRYr2!$AF43*ADRYr2!P43*ADRYr2!Q43*ADRYr2!$S43)</f>
        <v/>
      </c>
      <c r="Y43" s="27" t="str">
        <f>IF($G43="","",$G43*ADRYr2!$AD43*ADRYr2!$AE43*ADRYr2!Q43*ADRYr2!$T43)</f>
        <v/>
      </c>
      <c r="Z43" s="27" t="str">
        <f>IF($G43="","",$G43*ADRYr2!$AD43*ADRYr2!$AE43*ADRYr2!P43*ADRYr2!Q43*ADRYr2!$T43)</f>
        <v/>
      </c>
      <c r="AA43" s="45" t="str">
        <f>IF($G43="","",$G43*ADRYr2!$Q43*ADRYr2!$U43*(IF(IFERROR(SEARCH("NG", ADRYr2!$AI43),0),ADRYr2!$AJ43,0)+IF(IFERROR(SEARCH("NG", ADRYr2!$AK43),0),ADRYr2!$AL43,0)+IF(IFERROR(SEARCH("NG", ADRYr2!$AM43),0),ADRYr2!$AN43,0)))</f>
        <v/>
      </c>
      <c r="AB43" s="45" t="str">
        <f t="shared" si="21"/>
        <v/>
      </c>
      <c r="AC43" s="45">
        <f>IF($G43="",0,AA43*ADRYr2!$P43)</f>
        <v>0</v>
      </c>
      <c r="AD43" s="45" t="str">
        <f t="shared" si="22"/>
        <v/>
      </c>
      <c r="AE43" s="45" t="str">
        <f>IF($G43="","",$G43*ADRYr2!$Q43*ADRYr2!$U43*(IF(IFERROR(SEARCH("Oil", ADRYr2!$AI43), 0),ADRYr2!$AJ43,0)+IF(IFERROR(SEARCH("Oil", ADRYr2!$AK43), 0),ADRYr2!$AL43,0)+IF(IFERROR(SEARCH("Oil", ADRYr2!$AM43), 0),ADRYr2!$AN43,0)))</f>
        <v/>
      </c>
      <c r="AF43" s="45" t="str">
        <f t="shared" si="23"/>
        <v/>
      </c>
      <c r="AG43" s="45">
        <f>IF($G43="",0,AE43*ADRYr2!$P43)</f>
        <v>0</v>
      </c>
      <c r="AH43" s="45" t="str">
        <f t="shared" si="24"/>
        <v/>
      </c>
      <c r="AI43" s="45" t="str">
        <f>IF($G43="","",$G43*ADRYr2!$Q43*ADRYr2!$U43*(IF(ADRYr2!$AI43=Lookups!$E$116,ADRYr2!$AJ43,IF(ADRYr2!$AK43=Lookups!$E$116,ADRYr2!$AL43,IF(ADRYr2!$AM43=Lookups!$E$116,ADRYr2!$AN43,0)))))</f>
        <v/>
      </c>
      <c r="AJ43" s="45" t="str">
        <f t="shared" si="25"/>
        <v/>
      </c>
      <c r="AK43" s="45">
        <f>IF($G43="",0,AI43*ADRYr2!$P43)</f>
        <v>0</v>
      </c>
      <c r="AL43" s="45" t="str">
        <f t="shared" si="26"/>
        <v/>
      </c>
      <c r="AM43" s="45" t="str">
        <f>IF($G43="","",$G43*ADRYr2!$Q43*ADRYr2!$U43*(IF(ADRYr2!$AI43=Lookups!$E$115,ADRYr2!$AJ43,IF(ADRYr2!$AK43=Lookups!$E$115,ADRYr2!$AL43,IF(ADRYr2!$AM43=Lookups!$E$115,ADRYr2!$AN43,0)))))</f>
        <v/>
      </c>
      <c r="AN43" s="45" t="str">
        <f t="shared" si="27"/>
        <v/>
      </c>
      <c r="AO43" s="45">
        <f>IF($G43="",0,AM43*ADRYr2!$P43)</f>
        <v>0</v>
      </c>
      <c r="AP43" s="45" t="str">
        <f t="shared" si="28"/>
        <v/>
      </c>
      <c r="AQ43" s="45" t="str">
        <f>IF($G43="","",$G43*ADRYr2!$Q43*ADRYr2!$U43*(IF(ADRYr2!$AI43=Lookups!$E$117,ADRYr2!$AJ43,IF(ADRYr2!$AK43=Lookups!$E$117,ADRYr2!$AL43,IF(ADRYr2!$AM43=Lookups!$E$117,ADRYr2!$AN43,0)))))</f>
        <v/>
      </c>
      <c r="AR43" s="45" t="str">
        <f t="shared" si="29"/>
        <v/>
      </c>
      <c r="AS43" s="45" t="str">
        <f>IF($G43="","",AQ43*ADRYr2!$P43)</f>
        <v/>
      </c>
      <c r="AT43" s="45" t="str">
        <f t="shared" si="30"/>
        <v/>
      </c>
      <c r="AU43" s="45" t="str">
        <f>IF($G43="","",$G43*ADRYr2!$Q43*ADRYr2!$U43*(IF(ADRYr2!$AI43=Lookups!$E$118,ADRYr2!$AJ43,IF(ADRYr2!$AK43=Lookups!$E$118,ADRYr2!$AL43,IF(ADRYr2!$AM43=Lookups!$E$118,ADRYr2!$AN43,0)))))</f>
        <v/>
      </c>
      <c r="AV43" s="45" t="str">
        <f t="shared" si="31"/>
        <v/>
      </c>
      <c r="AW43" s="45" t="str">
        <f>IF($G43="","",AU43*ADRYr2!$P43)</f>
        <v/>
      </c>
      <c r="AX43" s="45" t="str">
        <f t="shared" si="32"/>
        <v/>
      </c>
      <c r="AY43" s="45">
        <f t="shared" si="49"/>
        <v>0</v>
      </c>
      <c r="AZ43" s="45">
        <f t="shared" si="49"/>
        <v>0</v>
      </c>
      <c r="BA43" s="101" t="str">
        <f>IF($G43="","",$G43*ADRYr2!$P43*ADRYr2!$Q43*ADRYr2!$U43*ADRYr2!AO43)</f>
        <v/>
      </c>
      <c r="BB43" s="102" t="str">
        <f>IF($G43="","",$G43*ADRYr2!$P43*ADRYr2!$Q43*ADRYr2!$U43*ADRYr2!AP43)</f>
        <v/>
      </c>
      <c r="BC43" s="100" t="str">
        <f t="shared" si="34"/>
        <v/>
      </c>
      <c r="BD43" s="961"/>
      <c r="BE43" s="961"/>
      <c r="BF43" s="961"/>
      <c r="BG43" s="961"/>
      <c r="BH43" s="962" t="str">
        <f t="shared" si="3"/>
        <v/>
      </c>
      <c r="BI43" s="961"/>
      <c r="BJ43" s="961"/>
      <c r="BK43" s="961"/>
      <c r="BL43" s="961"/>
      <c r="BM43" s="30" t="str">
        <f t="shared" si="4"/>
        <v/>
      </c>
      <c r="BN43" s="963" t="str">
        <f t="shared" si="5"/>
        <v/>
      </c>
      <c r="BO43" s="31" t="str">
        <f t="shared" si="35"/>
        <v/>
      </c>
      <c r="BP43" s="964" t="str">
        <f t="shared" si="6"/>
        <v/>
      </c>
      <c r="BQ43" s="28" t="str">
        <f t="shared" si="7"/>
        <v/>
      </c>
      <c r="BR43" s="964" t="str">
        <f t="shared" si="8"/>
        <v/>
      </c>
      <c r="BS43" s="964" t="str">
        <f t="shared" si="9"/>
        <v/>
      </c>
      <c r="BT43" s="28" t="str">
        <f t="shared" si="50"/>
        <v/>
      </c>
      <c r="BU43" s="28" t="str">
        <f t="shared" si="50"/>
        <v/>
      </c>
      <c r="BV43" s="28" t="str">
        <f t="shared" si="50"/>
        <v/>
      </c>
      <c r="BW43" s="29" t="str">
        <f t="shared" si="36"/>
        <v/>
      </c>
      <c r="BX43" s="29" t="str">
        <f t="shared" si="37"/>
        <v/>
      </c>
      <c r="BY43" s="28" t="str">
        <f>IF($G43="","",$G43*(IF(ADRYr2!$AI43=BY$4,ADRYr2!$AJ43,IF(ADRYr2!$AK43=BY$4,ADRYr2!$AL43,IF(ADRYr2!$AM43=BY$4,ADRYr2!$AN43,0))))*(INDEX(avoidedcosttbl2,$H43,BY$2)+(($H43-ROUNDDOWN($H43,0))*(INDEX(avoidedcosttbl2,ROUNDUP($H43,0),BY$2)-(INDEX(avoidedcosttbl2,ROUNDDOWN($H43,0),BY$2)))))*ADRYr2!P43*ADRYr2!Q43*ADRYr2!U43)</f>
        <v/>
      </c>
      <c r="BZ43" s="28" t="str">
        <f>IF($G43="","",$G43*(IF(ADRYr2!$AI43=BZ$4,ADRYr2!$AJ43,IF(ADRYr2!$AK43=BZ$4,ADRYr2!$AL43,IF(ADRYr2!$AM43=BZ$4,ADRYr2!$AN43,0))))*(INDEX(avoidedcosttbl2,$H43,BZ$2)+(($H43-ROUNDDOWN($H43,0))*(INDEX(avoidedcosttbl2,ROUNDUP($H43,0),BZ$2)-(INDEX(avoidedcosttbl2,ROUNDDOWN($H43,0),BZ$2)))))*ADRYr2!P43*ADRYr2!Q43*ADRYr2!U43)</f>
        <v/>
      </c>
      <c r="CA43" s="28" t="str">
        <f>IF($G43="","",$G43*(IF(ADRYr2!$AI43=CA$4,ADRYr2!$AJ43,IF(ADRYr2!$AK43=CA$4,ADRYr2!$AL43,IF(ADRYr2!$AM43=CA$4,ADRYr2!$AN43,0))))*(INDEX(avoidedcosttbl2,$H43,CA$2)+(($H43-ROUNDDOWN($H43,0))*(INDEX(avoidedcosttbl2,ROUNDUP($H43,0),CA$2)-(INDEX(avoidedcosttbl2,ROUNDDOWN($H43,0),CA$2)))))*ADRYr2!P43*ADRYr2!Q43*ADRYr2!U43)</f>
        <v/>
      </c>
      <c r="CB43" s="28" t="str">
        <f>IF($G43="","",$G43*(IF(ADRYr2!$AI43=CB$4,ADRYr2!$AJ43,IF(ADRYr2!$AK43=CB$4,ADRYr2!$AL43,IF(ADRYr2!$AM43=CB$4,ADRYr2!$AN43,0))))*(INDEX(avoidedcosttbl2,$H43,CB$2)+(($H43-ROUNDDOWN($H43,0))*(INDEX(avoidedcosttbl2,ROUNDUP($H43,0),CB$2)-(INDEX(avoidedcosttbl2,ROUNDDOWN($H43,0),CB$2)))))*ADRYr2!P43*ADRYr2!Q43*ADRYr2!U43)</f>
        <v/>
      </c>
      <c r="CC43" s="28" t="str">
        <f>IF($G43="","",$G43*(IF(ADRYr2!$AI43=CC$4,ADRYr2!$AJ43,IF(ADRYr2!$AK43=CC$4,ADRYr2!$AL43,IF(ADRYr2!$AM43=CC$4,ADRYr2!$AN43,0))))*(INDEX(avoidedcosttbl2,$H43,CC$2)+(($H43-ROUNDDOWN($H43,0))*(INDEX(avoidedcosttbl2,ROUNDUP($H43,0),CC$2)-(INDEX(avoidedcosttbl2,ROUNDDOWN($H43,0),CC$2)))))*ADRYr2!P43*ADRYr2!Q43*ADRYr2!U43)</f>
        <v/>
      </c>
      <c r="CD43" s="28" t="str">
        <f>IF($G43="","",$G43*(IF(ADRYr2!$AI43=CD$4,ADRYr2!$AJ43,IF(ADRYr2!$AK43=CD$4,ADRYr2!$AL43,IF(ADRYr2!$AM43=CD$4,ADRYr2!$AN43,0))))*(INDEX(avoidedcosttbl2,$H43,CD$2)+(($H43-ROUNDDOWN($H43,0))*(INDEX(avoidedcosttbl2,ROUNDUP($H43,0),CD$2)-(INDEX(avoidedcosttbl2,ROUNDDOWN($H43,0),CD$2)))))*ADRYr2!P43*ADRYr2!Q43*ADRYr2!U43)</f>
        <v/>
      </c>
      <c r="CE43" s="28" t="str">
        <f>IF($G43="","",$G43*(IF(ADRYr2!$AI43=CE$4,ADRYr2!$AJ43,IF(ADRYr2!$AK43=CE$4,ADRYr2!$AL43,IF(ADRYr2!$AM43=CE$4,ADRYr2!$AN43,0))))*(INDEX(avoidedcosttbl2,$H43,CE$2)+(($H43-ROUNDDOWN($H43,0))*(INDEX(avoidedcosttbl2,ROUNDUP($H43,0),CE$2)-(INDEX(avoidedcosttbl2,ROUNDDOWN($H43,0),CE$2)))))*ADRYr2!P43*ADRYr2!Q43*ADRYr2!U43)</f>
        <v/>
      </c>
      <c r="CF43" s="41" t="str">
        <f t="shared" si="38"/>
        <v/>
      </c>
      <c r="CG43" s="30" t="str">
        <f t="shared" si="11"/>
        <v/>
      </c>
      <c r="CH43" s="30" t="str">
        <f>IF($G43="","",$G43*(IF(ADRYr2!$AI43=BY$4,ADRYr2!$AJ43,IF(ADRYr2!$AK43=BY$4,ADRYr2!$AL43,IF(ADRYr2!$AM43=BY$4,ADRYr2!$AN43,0))))*(INDEX(avoidedcosttbl2,$H43,CH$2)+(($H43-ROUNDDOWN($H43,0))*(INDEX(avoidedcosttbl2,ROUNDUP($H43,0),CH$2)-(INDEX(avoidedcosttbl2,ROUNDDOWN($H43,0),CH$2)))))*ADRYr2!P43*ADRYr2!Q43*ADRYr2!U43)</f>
        <v/>
      </c>
      <c r="CI43" s="30" t="str">
        <f>IF($G43="","",$G43*(IF(ADRYr2!$AI43=BZ$4,ADRYr2!$AJ43,IF(ADRYr2!$AK43=BZ$4,ADRYr2!$AL43,IF(ADRYr2!$AM43=BZ$4,ADRYr2!$AN43,0))))*(INDEX(avoidedcosttbl2,$H43,CI$2)+(($H43-ROUNDDOWN($H43,0))*(INDEX(avoidedcosttbl2,ROUNDUP($H43,0),CI$2)-(INDEX(avoidedcosttbl2,ROUNDDOWN($H43,0),CI$2)))))*ADRYr2!P43*ADRYr2!Q43*ADRYr2!U43)</f>
        <v/>
      </c>
      <c r="CJ43" s="30" t="str">
        <f>IF($G43="","",$G43*(IF(ADRYr2!$AI43=CA$4,ADRYr2!$AJ43,IF(ADRYr2!$AK43=CA$4,ADRYr2!$AL43,IF(ADRYr2!$AM43=CA$4,ADRYr2!$AN43,0))))*(INDEX(avoidedcosttbl2,$H43,CJ$2)+(($H43-ROUNDDOWN($H43,0))*(INDEX(avoidedcosttbl2,ROUNDUP($H43,0),CJ$2)-(INDEX(avoidedcosttbl2,ROUNDDOWN($H43,0),CJ$2)))))*ADRYr2!P43*ADRYr2!Q43*ADRYr2!U43)</f>
        <v/>
      </c>
      <c r="CK43" s="30" t="str">
        <f>IF($G43="","",$G43*(IF(ADRYr2!$AI43=CB$4,ADRYr2!$AJ43,IF(ADRYr2!$AK43=CB$4,ADRYr2!$AL43,IF(ADRYr2!$AM43=CB$4,ADRYr2!$AN43,0))))*(INDEX(avoidedcosttbl2,$H43,CK$2)+(($H43-ROUNDDOWN($H43,0))*(INDEX(avoidedcosttbl2,ROUNDUP($H43,0),CK$2)-(INDEX(avoidedcosttbl2,ROUNDDOWN($H43,0),CK$2)))))*ADRYr2!P43*ADRYr2!Q43*ADRYr2!U43)</f>
        <v/>
      </c>
      <c r="CL43" s="30" t="str">
        <f>IF($G43="","",$G43*(IF(ADRYr2!$AI43=CC$4,ADRYr2!$AJ43,IF(ADRYr2!$AK43=CC$4,ADRYr2!$AL43,IF(ADRYr2!$AM43=CC$4,ADRYr2!$AN43,0))))*(INDEX(avoidedcosttbl2,$H43,CL$2)+(($H43-ROUNDDOWN($H43,0))*(INDEX(avoidedcosttbl2,ROUNDUP($H43,0),CL$2)-(INDEX(avoidedcosttbl2,ROUNDDOWN($H43,0),CL$2)))))*ADRYr2!P43*ADRYr2!Q43*ADRYr2!U43)</f>
        <v/>
      </c>
      <c r="CM43" s="30" t="str">
        <f>IF($G43="","",$G43*(IF(ADRYr2!$AI43=CD$4,ADRYr2!$AJ43,IF(ADRYr2!$AK43=CD$4,ADRYr2!$AL43,IF(ADRYr2!$AM43=CD$4,ADRYr2!$AN43,0))))*(INDEX(avoidedcosttbl2,$H43,CM$2)+(($H43-ROUNDDOWN($H43,0))*(INDEX(avoidedcosttbl2,ROUNDUP($H43,0),CM$2)-(INDEX(avoidedcosttbl2,ROUNDDOWN($H43,0),CM$2)))))*ADRYr2!P43*ADRYr2!Q43*ADRYr2!U43)</f>
        <v/>
      </c>
      <c r="CN43" s="30" t="str">
        <f>IF($G43="","",$G43*(IF(ADRYr2!$AI43=CE$4,ADRYr2!$AJ43,IF(ADRYr2!$AK43=CE$4,ADRYr2!$AL43,IF(ADRYr2!$AM43=CE$4,ADRYr2!$AN43,0))))*(INDEX(avoidedcosttbl2,$H43,CN$2)+(($H43-ROUNDDOWN($H43,0))*(INDEX(avoidedcosttbl2,ROUNDUP($H43,0),CN$2)-(INDEX(avoidedcosttbl2,ROUNDDOWN($H43,0),CN$2)))))*ADRYr2!P43*ADRYr2!Q43*ADRYr2!U43)</f>
        <v/>
      </c>
      <c r="CO43" s="220" t="str">
        <f t="shared" si="39"/>
        <v/>
      </c>
      <c r="CP43" s="220" t="str">
        <f t="shared" si="40"/>
        <v/>
      </c>
      <c r="CQ43" s="157" t="str">
        <f>IF($G43="","",$G43*(IF(ADRYr2!$AI43=CQ$4,ADRYr2!$AJ43,IF(ADRYr2!$AK43=CQ$4,ADRYr2!$AL43,IF(ADRYr2!$AM43=CQ$4,ADRYr2!$AN43,0))))*(INDEX(avoidedcosttbl2,$H43,CQ$2)+(($H43-ROUNDDOWN($H43,0))*(INDEX(avoidedcosttbl2,ROUNDUP($H43,0),CQ$2)-(INDEX(avoidedcosttbl2,ROUNDDOWN($H43,0),CQ$2)))))*ADRYr2!$P43*ADRYr2!$Q43*ADRYr2!$U43)</f>
        <v/>
      </c>
      <c r="CR43" s="28" t="str">
        <f>IF($G43="","",G43*(IF(ADRYr2!$AI43=CR$4,ADRYr2!$AJ43,IF(ADRYr2!$AK43=CR$4,ADRYr2!$AL43,IF(ADRYr2!$AM43=CR$4,ADRYr2!$AN43,0))))*(INDEX(avoidedcosttbl2,$H43,CR$2)+(($H43-ROUNDDOWN($H43,0))*(INDEX(avoidedcosttbl2,ROUNDUP($H43,0),CR$2)-(INDEX(avoidedcosttbl2,ROUNDDOWN($H43,0),CR$2)))))*ADRYr2!$P43*ADRYr2!$Q43*ADRYr2!$U43)</f>
        <v/>
      </c>
      <c r="CS43" s="28" t="str">
        <f>IF($G43="","",G43*(IF(ADRYr2!$AI43=CS$4,ADRYr2!$AJ43,IF(ADRYr2!$AK43=CS$4,ADRYr2!$AL43,IF(ADRYr2!$AM43=CS$4,ADRYr2!$AN43,0))))*(INDEX(avoidedcosttbl2,$H43,CS$2)+(($H43-ROUNDDOWN($H43,0))*(INDEX(avoidedcosttbl2,ROUNDUP($H43,0),CS$2)-(INDEX(avoidedcosttbl2,ROUNDDOWN($H43,0),CS$2)))))*ADRYr2!$P43*ADRYr2!$Q43*ADRYr2!$U43)</f>
        <v/>
      </c>
      <c r="CT43" s="28" t="str">
        <f t="shared" si="12"/>
        <v/>
      </c>
      <c r="CU43" s="28" t="str">
        <f>IF($G43="","",G43*(IF(ADRYr2!$AI43=CU$4,ADRYr2!$AJ43,IF(ADRYr2!$AK43=CU$4,ADRYr2!$AL43,IF(ADRYr2!$AM43=CU$4,ADRYr2!$AN43,0))))*(INDEX(avoidedcosttbl2,$H43,CU$2)+(($H43-ROUNDDOWN($H43,0))*(INDEX(avoidedcosttbl2,ROUNDUP($H43,0),CU$2)-(INDEX(avoidedcosttbl2,ROUNDDOWN($H43,0),CU$2)))))*ADRYr2!$P43*ADRYr2!$Q43*ADRYr2!$U43)</f>
        <v/>
      </c>
      <c r="CV43" s="28" t="str">
        <f>IF($G43="","",G43*(IF(ADRYr2!$AI43=CV$4,ADRYr2!$AJ43,IF(ADRYr2!$AK43=CV$4,ADRYr2!$AL43,IF(ADRYr2!$AM43=CV$4,ADRYr2!$AN43,0))))*(INDEX(avoidedcosttbl2,$H43,CV$2)+(($H43-ROUNDDOWN($H43,0))*(INDEX(avoidedcosttbl2,ROUNDUP($H43,0),CV$2)-(INDEX(avoidedcosttbl2,ROUNDDOWN($H43,0),CV$2)))))*ADRYr2!$P43*ADRYr2!$Q43*ADRYr2!$U43)</f>
        <v/>
      </c>
      <c r="CW43" s="28" t="str">
        <f>IF($G43="","",G43*(IF(ADRYr2!$AI43=CW$4,ADRYr2!$AJ43,IF(ADRYr2!$AK43=CW$4,ADRYr2!$AL43,IF(ADRYr2!$AM43=CW$4,ADRYr2!$AN43,0))))*(INDEX(avoidedcosttbl2,$H43,CW$2)+(($H43-ROUNDDOWN($H43,0))*(INDEX(avoidedcosttbl2,ROUNDUP($H43,0),CW$2)-(INDEX(avoidedcosttbl2,ROUNDDOWN($H43,0),CW$2)))))*ADRYr2!$P43*ADRYr2!$Q43*ADRYr2!$U43)</f>
        <v/>
      </c>
      <c r="CX43" s="28" t="str">
        <f>IF($G43="","",G43*(IF(ADRYr2!$AI43=CX$4,ADRYr2!$AJ43,IF(ADRYr2!$AK43=CX$4,ADRYr2!$AL43,IF(ADRYr2!$AM43=CX$4,ADRYr2!$AN43,0))))*(INDEX(avoidedcosttbl2,$H43,CX$2)+(($H43-ROUNDDOWN($H43,0))*(INDEX(avoidedcosttbl2,ROUNDUP($H43,0),CX$2)-(INDEX(avoidedcosttbl2,ROUNDDOWN($H43,0),CX$2)))))*ADRYr2!$P43*ADRYr2!$Q43*ADRYr2!$U43)</f>
        <v/>
      </c>
      <c r="CY43" s="28" t="str">
        <f t="shared" si="13"/>
        <v/>
      </c>
      <c r="CZ43" s="32" t="str">
        <f t="shared" si="14"/>
        <v/>
      </c>
      <c r="DA43" s="84" t="str">
        <f t="shared" si="41"/>
        <v/>
      </c>
      <c r="DB43" s="81" t="str">
        <f>IF(NEIadder="Yes",IF($G43="","",INDEX(Lookups!$G$70:$G$71,MATCH($A43,Lookups!$E$70:$E$71,0))*(SUM(CP43:CX43,BX43))),"")</f>
        <v/>
      </c>
      <c r="DC43" s="263" t="str">
        <f t="shared" si="15"/>
        <v/>
      </c>
      <c r="DD43" s="166" t="str">
        <f t="shared" si="16"/>
        <v/>
      </c>
      <c r="DE43" s="82">
        <f t="shared" si="42"/>
        <v>0</v>
      </c>
      <c r="DF43" s="615" t="str">
        <f>IF($G43="","",(1+WntPeakEnergyLL)*(INDEX(avoidedcosttbl2,$H43,DF$2)+(($H43-ROUNDDOWN($H43,0))*(INDEX(avoidedcosttbl2,ROUNDUP($H43,0),DF$2)-(INDEX(avoidedcosttbl2,ROUNDDOWN($H43,0),DF$2)))))*$P43*1000*ADRYr2!Z43)</f>
        <v/>
      </c>
      <c r="DG43" s="615" t="str">
        <f>IF($G43="","",(1+WntOffPeakEnergyLL)*(INDEX(avoidedcosttbl2,$H43,DG$2)+(($H43-ROUNDDOWN($H43,0))*(INDEX(avoidedcosttbl2,ROUNDUP($H43,0),DG$2)-(INDEX(avoidedcosttbl2,ROUNDDOWN($H43,0),DG$2)))))*$P43*1000*ADRYr2!AA43)</f>
        <v/>
      </c>
      <c r="DH43" s="615" t="str">
        <f>IF($G43="","",(1+SumPeakEnergyLL)*(INDEX(avoidedcosttbl2,$H43,DH$2)+(($H43-ROUNDDOWN($H43,0))*(INDEX(avoidedcosttbl2,ROUNDUP($H43,0),DH$2)-(INDEX(avoidedcosttbl2,ROUNDDOWN($H43,0),DH$2)))))*$P43*1000*ADRYr2!AB43)</f>
        <v/>
      </c>
      <c r="DI43" s="615" t="str">
        <f>IF($G43="","",(1+SumOffPeakEnergyLL)*(INDEX(avoidedcosttbl2,$H43,DI$2)+(($H43-ROUNDDOWN($H43,0))*(INDEX(avoidedcosttbl2,ROUNDUP($H43,0),DI$2)-(INDEX(avoidedcosttbl2,ROUNDDOWN($H43,0),DI$2)))))*$P43*1000*ADRYr2!AC43)</f>
        <v/>
      </c>
      <c r="DJ43" s="29" t="str">
        <f t="shared" si="43"/>
        <v/>
      </c>
      <c r="DK43" s="161" t="str">
        <f t="shared" si="51"/>
        <v/>
      </c>
      <c r="DO43" s="966" t="str">
        <f>IF($G43="","",ADRYr2!AQ43)</f>
        <v/>
      </c>
      <c r="DP43" s="968" t="str">
        <f>IF($G43="","",ADRYr2!AR43)</f>
        <v/>
      </c>
      <c r="DQ43" s="970" t="str">
        <f>IF($G43="","",IF($DP43="Yes",COLUMN(AESC!$L$10),IF($DP43="No","Using AvoidedDemand tab",IF($DP43="Mixed",COLUMN(AESC!$N$10)))))</f>
        <v/>
      </c>
      <c r="DR43" s="970" t="str">
        <f>IF($G43="","",IF($DP43="Yes",COLUMN(AESC!$P$10),IF($DP43="No","Using AvoidedDemand tab",IF($DP43="Mixed",COLUMN(AESC!$R$10)))))</f>
        <v/>
      </c>
      <c r="DS43" s="970" t="str">
        <f>IF($G43="","",IF($DP43="Yes",COLUMN(AESC!$S$10),IF($DP43="No",COLUMN(AESC!$T$10),IF($DP43="Mixed",COLUMN(AESC!$U$10)))))</f>
        <v/>
      </c>
      <c r="DT43" s="970" t="str">
        <f t="shared" si="48"/>
        <v/>
      </c>
      <c r="DU43" s="970" t="str">
        <f>IF($G43="","",ADRYr2!AS43)</f>
        <v/>
      </c>
      <c r="DV43" s="971" t="str">
        <f>IF($G43="","",ADRYr2!AT43)</f>
        <v/>
      </c>
      <c r="DW43" s="1162" t="str">
        <f>IF($G43="","",INDEX(AvoidedEnergy!$H$4:$H$10,MATCH($DO43,AvoidedEnergy!$A$4:$A$10,0)))</f>
        <v/>
      </c>
    </row>
    <row r="44" spans="1:127">
      <c r="A44" s="160" t="str">
        <f>IF(ADRYr2!$B44=0,"",ADRYr2!A44)</f>
        <v/>
      </c>
      <c r="B44" s="9" t="str">
        <f>IF(ADRYr2!$B44=0,"",ADRYr2!B44)</f>
        <v/>
      </c>
      <c r="C44" s="9" t="str">
        <f>IF(ADRYr2!$B44=0,"",ADRYr2!C44)</f>
        <v/>
      </c>
      <c r="D44" s="9" t="str">
        <f>IF(ADRYr2!$B44=0,"",ADRYr2!D44)</f>
        <v/>
      </c>
      <c r="E44" s="9"/>
      <c r="F44" s="11" t="str">
        <f>IF(ADRYr2!$B44=0,"",ADRYr2!F44)</f>
        <v/>
      </c>
      <c r="G44" s="12" t="str">
        <f>IF(ADRYr2!$G44&lt;&gt;0,ADRYr2!G44,"")</f>
        <v/>
      </c>
      <c r="H44" s="960" t="str">
        <f>IF($G44="","",ROUND(ADRYr2!H44,0))</f>
        <v/>
      </c>
      <c r="I44" s="47" t="str">
        <f>IF($G44="","",ADRYr2!I44*ADRYr2!P44*G44)</f>
        <v/>
      </c>
      <c r="J44" s="47" t="str">
        <f>IF($G44="","",ADRYr2!J44*G44)</f>
        <v/>
      </c>
      <c r="K44" s="47" t="str">
        <f t="shared" si="17"/>
        <v/>
      </c>
      <c r="L44" s="27" t="str">
        <f>IF($G44="","",ADRYr2!V44*G44/1000)</f>
        <v/>
      </c>
      <c r="M44" s="27" t="str">
        <f>IF($G44="","",L44*ADRYr2!$Q44*ADRYr2!$R44)</f>
        <v/>
      </c>
      <c r="N44" s="27" t="str">
        <f t="shared" si="18"/>
        <v/>
      </c>
      <c r="O44" s="27" t="str">
        <f t="shared" si="19"/>
        <v/>
      </c>
      <c r="P44" s="27" t="str">
        <f>IF($G44="","",M44*ADRYr2!P44)</f>
        <v/>
      </c>
      <c r="Q44" s="27" t="str">
        <f t="shared" si="20"/>
        <v/>
      </c>
      <c r="R44" s="27" t="str">
        <f>IF($G44="","",$Q44*ADRYr2!Z44)</f>
        <v/>
      </c>
      <c r="S44" s="27" t="str">
        <f>IF($G44="","",$Q44*ADRYr2!AA44)</f>
        <v/>
      </c>
      <c r="T44" s="27" t="str">
        <f>IF($G44="","",$Q44*ADRYr2!AB44)</f>
        <v/>
      </c>
      <c r="U44" s="27" t="str">
        <f>IF($G44="","",$Q44*ADRYr2!AC44)</f>
        <v/>
      </c>
      <c r="V44" s="27" t="str">
        <f>IF($G44="","",G44*ADRYr2!$AD44*ADRYr2!$P44*ADRYr2!$Q44)</f>
        <v/>
      </c>
      <c r="W44" s="27" t="str">
        <f>IF($G44="","",$G44*ADRYr2!$AD44*ADRYr2!$AF44*ADRYr2!Q44*ADRYr2!$S44)</f>
        <v/>
      </c>
      <c r="X44" s="27" t="str">
        <f>IF($G44="","",$G44*ADRYr2!$AD44*ADRYr2!$AF44*ADRYr2!P44*ADRYr2!Q44*ADRYr2!$S44)</f>
        <v/>
      </c>
      <c r="Y44" s="27" t="str">
        <f>IF($G44="","",$G44*ADRYr2!$AD44*ADRYr2!$AE44*ADRYr2!Q44*ADRYr2!$T44)</f>
        <v/>
      </c>
      <c r="Z44" s="27" t="str">
        <f>IF($G44="","",$G44*ADRYr2!$AD44*ADRYr2!$AE44*ADRYr2!P44*ADRYr2!Q44*ADRYr2!$T44)</f>
        <v/>
      </c>
      <c r="AA44" s="45" t="str">
        <f>IF($G44="","",$G44*ADRYr2!$Q44*ADRYr2!$U44*(IF(IFERROR(SEARCH("NG", ADRYr2!$AI44),0),ADRYr2!$AJ44,0)+IF(IFERROR(SEARCH("NG", ADRYr2!$AK44),0),ADRYr2!$AL44,0)+IF(IFERROR(SEARCH("NG", ADRYr2!$AM44),0),ADRYr2!$AN44,0)))</f>
        <v/>
      </c>
      <c r="AB44" s="45" t="str">
        <f t="shared" si="21"/>
        <v/>
      </c>
      <c r="AC44" s="45">
        <f>IF($G44="",0,AA44*ADRYr2!$P44)</f>
        <v>0</v>
      </c>
      <c r="AD44" s="45" t="str">
        <f t="shared" si="22"/>
        <v/>
      </c>
      <c r="AE44" s="45" t="str">
        <f>IF($G44="","",$G44*ADRYr2!$Q44*ADRYr2!$U44*(IF(IFERROR(SEARCH("Oil", ADRYr2!$AI44), 0),ADRYr2!$AJ44,0)+IF(IFERROR(SEARCH("Oil", ADRYr2!$AK44), 0),ADRYr2!$AL44,0)+IF(IFERROR(SEARCH("Oil", ADRYr2!$AM44), 0),ADRYr2!$AN44,0)))</f>
        <v/>
      </c>
      <c r="AF44" s="45" t="str">
        <f t="shared" si="23"/>
        <v/>
      </c>
      <c r="AG44" s="45">
        <f>IF($G44="",0,AE44*ADRYr2!$P44)</f>
        <v>0</v>
      </c>
      <c r="AH44" s="45" t="str">
        <f t="shared" si="24"/>
        <v/>
      </c>
      <c r="AI44" s="45" t="str">
        <f>IF($G44="","",$G44*ADRYr2!$Q44*ADRYr2!$U44*(IF(ADRYr2!$AI44=Lookups!$E$116,ADRYr2!$AJ44,IF(ADRYr2!$AK44=Lookups!$E$116,ADRYr2!$AL44,IF(ADRYr2!$AM44=Lookups!$E$116,ADRYr2!$AN44,0)))))</f>
        <v/>
      </c>
      <c r="AJ44" s="45" t="str">
        <f t="shared" si="25"/>
        <v/>
      </c>
      <c r="AK44" s="45">
        <f>IF($G44="",0,AI44*ADRYr2!$P44)</f>
        <v>0</v>
      </c>
      <c r="AL44" s="45" t="str">
        <f t="shared" si="26"/>
        <v/>
      </c>
      <c r="AM44" s="45" t="str">
        <f>IF($G44="","",$G44*ADRYr2!$Q44*ADRYr2!$U44*(IF(ADRYr2!$AI44=Lookups!$E$115,ADRYr2!$AJ44,IF(ADRYr2!$AK44=Lookups!$E$115,ADRYr2!$AL44,IF(ADRYr2!$AM44=Lookups!$E$115,ADRYr2!$AN44,0)))))</f>
        <v/>
      </c>
      <c r="AN44" s="45" t="str">
        <f t="shared" si="27"/>
        <v/>
      </c>
      <c r="AO44" s="45">
        <f>IF($G44="",0,AM44*ADRYr2!$P44)</f>
        <v>0</v>
      </c>
      <c r="AP44" s="45" t="str">
        <f t="shared" si="28"/>
        <v/>
      </c>
      <c r="AQ44" s="45" t="str">
        <f>IF($G44="","",$G44*ADRYr2!$Q44*ADRYr2!$U44*(IF(ADRYr2!$AI44=Lookups!$E$117,ADRYr2!$AJ44,IF(ADRYr2!$AK44=Lookups!$E$117,ADRYr2!$AL44,IF(ADRYr2!$AM44=Lookups!$E$117,ADRYr2!$AN44,0)))))</f>
        <v/>
      </c>
      <c r="AR44" s="45" t="str">
        <f t="shared" si="29"/>
        <v/>
      </c>
      <c r="AS44" s="45" t="str">
        <f>IF($G44="","",AQ44*ADRYr2!$P44)</f>
        <v/>
      </c>
      <c r="AT44" s="45" t="str">
        <f t="shared" si="30"/>
        <v/>
      </c>
      <c r="AU44" s="45" t="str">
        <f>IF($G44="","",$G44*ADRYr2!$Q44*ADRYr2!$U44*(IF(ADRYr2!$AI44=Lookups!$E$118,ADRYr2!$AJ44,IF(ADRYr2!$AK44=Lookups!$E$118,ADRYr2!$AL44,IF(ADRYr2!$AM44=Lookups!$E$118,ADRYr2!$AN44,0)))))</f>
        <v/>
      </c>
      <c r="AV44" s="45" t="str">
        <f t="shared" si="31"/>
        <v/>
      </c>
      <c r="AW44" s="45" t="str">
        <f>IF($G44="","",AU44*ADRYr2!$P44)</f>
        <v/>
      </c>
      <c r="AX44" s="45" t="str">
        <f t="shared" si="32"/>
        <v/>
      </c>
      <c r="AY44" s="45">
        <f t="shared" si="49"/>
        <v>0</v>
      </c>
      <c r="AZ44" s="45">
        <f t="shared" si="49"/>
        <v>0</v>
      </c>
      <c r="BA44" s="101" t="str">
        <f>IF($G44="","",$G44*ADRYr2!$P44*ADRYr2!$Q44*ADRYr2!$U44*ADRYr2!AO44)</f>
        <v/>
      </c>
      <c r="BB44" s="102" t="str">
        <f>IF($G44="","",$G44*ADRYr2!$P44*ADRYr2!$Q44*ADRYr2!$U44*ADRYr2!AP44)</f>
        <v/>
      </c>
      <c r="BC44" s="100" t="str">
        <f t="shared" si="34"/>
        <v/>
      </c>
      <c r="BD44" s="961"/>
      <c r="BE44" s="961"/>
      <c r="BF44" s="961"/>
      <c r="BG44" s="961"/>
      <c r="BH44" s="962" t="str">
        <f t="shared" si="3"/>
        <v/>
      </c>
      <c r="BI44" s="961"/>
      <c r="BJ44" s="961"/>
      <c r="BK44" s="961"/>
      <c r="BL44" s="961"/>
      <c r="BM44" s="30" t="str">
        <f t="shared" si="4"/>
        <v/>
      </c>
      <c r="BN44" s="963" t="str">
        <f t="shared" si="5"/>
        <v/>
      </c>
      <c r="BO44" s="31" t="str">
        <f t="shared" si="35"/>
        <v/>
      </c>
      <c r="BP44" s="964" t="str">
        <f t="shared" si="6"/>
        <v/>
      </c>
      <c r="BQ44" s="28" t="str">
        <f t="shared" si="7"/>
        <v/>
      </c>
      <c r="BR44" s="964" t="str">
        <f t="shared" si="8"/>
        <v/>
      </c>
      <c r="BS44" s="964" t="str">
        <f t="shared" si="9"/>
        <v/>
      </c>
      <c r="BT44" s="28" t="str">
        <f t="shared" si="50"/>
        <v/>
      </c>
      <c r="BU44" s="28" t="str">
        <f t="shared" si="50"/>
        <v/>
      </c>
      <c r="BV44" s="28" t="str">
        <f t="shared" si="50"/>
        <v/>
      </c>
      <c r="BW44" s="29" t="str">
        <f t="shared" si="36"/>
        <v/>
      </c>
      <c r="BX44" s="29" t="str">
        <f t="shared" si="37"/>
        <v/>
      </c>
      <c r="BY44" s="28" t="str">
        <f>IF($G44="","",$G44*(IF(ADRYr2!$AI44=BY$4,ADRYr2!$AJ44,IF(ADRYr2!$AK44=BY$4,ADRYr2!$AL44,IF(ADRYr2!$AM44=BY$4,ADRYr2!$AN44,0))))*(INDEX(avoidedcosttbl2,$H44,BY$2)+(($H44-ROUNDDOWN($H44,0))*(INDEX(avoidedcosttbl2,ROUNDUP($H44,0),BY$2)-(INDEX(avoidedcosttbl2,ROUNDDOWN($H44,0),BY$2)))))*ADRYr2!P44*ADRYr2!Q44*ADRYr2!U44)</f>
        <v/>
      </c>
      <c r="BZ44" s="28" t="str">
        <f>IF($G44="","",$G44*(IF(ADRYr2!$AI44=BZ$4,ADRYr2!$AJ44,IF(ADRYr2!$AK44=BZ$4,ADRYr2!$AL44,IF(ADRYr2!$AM44=BZ$4,ADRYr2!$AN44,0))))*(INDEX(avoidedcosttbl2,$H44,BZ$2)+(($H44-ROUNDDOWN($H44,0))*(INDEX(avoidedcosttbl2,ROUNDUP($H44,0),BZ$2)-(INDEX(avoidedcosttbl2,ROUNDDOWN($H44,0),BZ$2)))))*ADRYr2!P44*ADRYr2!Q44*ADRYr2!U44)</f>
        <v/>
      </c>
      <c r="CA44" s="28" t="str">
        <f>IF($G44="","",$G44*(IF(ADRYr2!$AI44=CA$4,ADRYr2!$AJ44,IF(ADRYr2!$AK44=CA$4,ADRYr2!$AL44,IF(ADRYr2!$AM44=CA$4,ADRYr2!$AN44,0))))*(INDEX(avoidedcosttbl2,$H44,CA$2)+(($H44-ROUNDDOWN($H44,0))*(INDEX(avoidedcosttbl2,ROUNDUP($H44,0),CA$2)-(INDEX(avoidedcosttbl2,ROUNDDOWN($H44,0),CA$2)))))*ADRYr2!P44*ADRYr2!Q44*ADRYr2!U44)</f>
        <v/>
      </c>
      <c r="CB44" s="28" t="str">
        <f>IF($G44="","",$G44*(IF(ADRYr2!$AI44=CB$4,ADRYr2!$AJ44,IF(ADRYr2!$AK44=CB$4,ADRYr2!$AL44,IF(ADRYr2!$AM44=CB$4,ADRYr2!$AN44,0))))*(INDEX(avoidedcosttbl2,$H44,CB$2)+(($H44-ROUNDDOWN($H44,0))*(INDEX(avoidedcosttbl2,ROUNDUP($H44,0),CB$2)-(INDEX(avoidedcosttbl2,ROUNDDOWN($H44,0),CB$2)))))*ADRYr2!P44*ADRYr2!Q44*ADRYr2!U44)</f>
        <v/>
      </c>
      <c r="CC44" s="28" t="str">
        <f>IF($G44="","",$G44*(IF(ADRYr2!$AI44=CC$4,ADRYr2!$AJ44,IF(ADRYr2!$AK44=CC$4,ADRYr2!$AL44,IF(ADRYr2!$AM44=CC$4,ADRYr2!$AN44,0))))*(INDEX(avoidedcosttbl2,$H44,CC$2)+(($H44-ROUNDDOWN($H44,0))*(INDEX(avoidedcosttbl2,ROUNDUP($H44,0),CC$2)-(INDEX(avoidedcosttbl2,ROUNDDOWN($H44,0),CC$2)))))*ADRYr2!P44*ADRYr2!Q44*ADRYr2!U44)</f>
        <v/>
      </c>
      <c r="CD44" s="28" t="str">
        <f>IF($G44="","",$G44*(IF(ADRYr2!$AI44=CD$4,ADRYr2!$AJ44,IF(ADRYr2!$AK44=CD$4,ADRYr2!$AL44,IF(ADRYr2!$AM44=CD$4,ADRYr2!$AN44,0))))*(INDEX(avoidedcosttbl2,$H44,CD$2)+(($H44-ROUNDDOWN($H44,0))*(INDEX(avoidedcosttbl2,ROUNDUP($H44,0),CD$2)-(INDEX(avoidedcosttbl2,ROUNDDOWN($H44,0),CD$2)))))*ADRYr2!P44*ADRYr2!Q44*ADRYr2!U44)</f>
        <v/>
      </c>
      <c r="CE44" s="28" t="str">
        <f>IF($G44="","",$G44*(IF(ADRYr2!$AI44=CE$4,ADRYr2!$AJ44,IF(ADRYr2!$AK44=CE$4,ADRYr2!$AL44,IF(ADRYr2!$AM44=CE$4,ADRYr2!$AN44,0))))*(INDEX(avoidedcosttbl2,$H44,CE$2)+(($H44-ROUNDDOWN($H44,0))*(INDEX(avoidedcosttbl2,ROUNDUP($H44,0),CE$2)-(INDEX(avoidedcosttbl2,ROUNDDOWN($H44,0),CE$2)))))*ADRYr2!P44*ADRYr2!Q44*ADRYr2!U44)</f>
        <v/>
      </c>
      <c r="CF44" s="41" t="str">
        <f t="shared" si="38"/>
        <v/>
      </c>
      <c r="CG44" s="30" t="str">
        <f t="shared" si="11"/>
        <v/>
      </c>
      <c r="CH44" s="30" t="str">
        <f>IF($G44="","",$G44*(IF(ADRYr2!$AI44=BY$4,ADRYr2!$AJ44,IF(ADRYr2!$AK44=BY$4,ADRYr2!$AL44,IF(ADRYr2!$AM44=BY$4,ADRYr2!$AN44,0))))*(INDEX(avoidedcosttbl2,$H44,CH$2)+(($H44-ROUNDDOWN($H44,0))*(INDEX(avoidedcosttbl2,ROUNDUP($H44,0),CH$2)-(INDEX(avoidedcosttbl2,ROUNDDOWN($H44,0),CH$2)))))*ADRYr2!P44*ADRYr2!Q44*ADRYr2!U44)</f>
        <v/>
      </c>
      <c r="CI44" s="30" t="str">
        <f>IF($G44="","",$G44*(IF(ADRYr2!$AI44=BZ$4,ADRYr2!$AJ44,IF(ADRYr2!$AK44=BZ$4,ADRYr2!$AL44,IF(ADRYr2!$AM44=BZ$4,ADRYr2!$AN44,0))))*(INDEX(avoidedcosttbl2,$H44,CI$2)+(($H44-ROUNDDOWN($H44,0))*(INDEX(avoidedcosttbl2,ROUNDUP($H44,0),CI$2)-(INDEX(avoidedcosttbl2,ROUNDDOWN($H44,0),CI$2)))))*ADRYr2!P44*ADRYr2!Q44*ADRYr2!U44)</f>
        <v/>
      </c>
      <c r="CJ44" s="30" t="str">
        <f>IF($G44="","",$G44*(IF(ADRYr2!$AI44=CA$4,ADRYr2!$AJ44,IF(ADRYr2!$AK44=CA$4,ADRYr2!$AL44,IF(ADRYr2!$AM44=CA$4,ADRYr2!$AN44,0))))*(INDEX(avoidedcosttbl2,$H44,CJ$2)+(($H44-ROUNDDOWN($H44,0))*(INDEX(avoidedcosttbl2,ROUNDUP($H44,0),CJ$2)-(INDEX(avoidedcosttbl2,ROUNDDOWN($H44,0),CJ$2)))))*ADRYr2!P44*ADRYr2!Q44*ADRYr2!U44)</f>
        <v/>
      </c>
      <c r="CK44" s="30" t="str">
        <f>IF($G44="","",$G44*(IF(ADRYr2!$AI44=CB$4,ADRYr2!$AJ44,IF(ADRYr2!$AK44=CB$4,ADRYr2!$AL44,IF(ADRYr2!$AM44=CB$4,ADRYr2!$AN44,0))))*(INDEX(avoidedcosttbl2,$H44,CK$2)+(($H44-ROUNDDOWN($H44,0))*(INDEX(avoidedcosttbl2,ROUNDUP($H44,0),CK$2)-(INDEX(avoidedcosttbl2,ROUNDDOWN($H44,0),CK$2)))))*ADRYr2!P44*ADRYr2!Q44*ADRYr2!U44)</f>
        <v/>
      </c>
      <c r="CL44" s="30" t="str">
        <f>IF($G44="","",$G44*(IF(ADRYr2!$AI44=CC$4,ADRYr2!$AJ44,IF(ADRYr2!$AK44=CC$4,ADRYr2!$AL44,IF(ADRYr2!$AM44=CC$4,ADRYr2!$AN44,0))))*(INDEX(avoidedcosttbl2,$H44,CL$2)+(($H44-ROUNDDOWN($H44,0))*(INDEX(avoidedcosttbl2,ROUNDUP($H44,0),CL$2)-(INDEX(avoidedcosttbl2,ROUNDDOWN($H44,0),CL$2)))))*ADRYr2!P44*ADRYr2!Q44*ADRYr2!U44)</f>
        <v/>
      </c>
      <c r="CM44" s="30" t="str">
        <f>IF($G44="","",$G44*(IF(ADRYr2!$AI44=CD$4,ADRYr2!$AJ44,IF(ADRYr2!$AK44=CD$4,ADRYr2!$AL44,IF(ADRYr2!$AM44=CD$4,ADRYr2!$AN44,0))))*(INDEX(avoidedcosttbl2,$H44,CM$2)+(($H44-ROUNDDOWN($H44,0))*(INDEX(avoidedcosttbl2,ROUNDUP($H44,0),CM$2)-(INDEX(avoidedcosttbl2,ROUNDDOWN($H44,0),CM$2)))))*ADRYr2!P44*ADRYr2!Q44*ADRYr2!U44)</f>
        <v/>
      </c>
      <c r="CN44" s="30" t="str">
        <f>IF($G44="","",$G44*(IF(ADRYr2!$AI44=CE$4,ADRYr2!$AJ44,IF(ADRYr2!$AK44=CE$4,ADRYr2!$AL44,IF(ADRYr2!$AM44=CE$4,ADRYr2!$AN44,0))))*(INDEX(avoidedcosttbl2,$H44,CN$2)+(($H44-ROUNDDOWN($H44,0))*(INDEX(avoidedcosttbl2,ROUNDUP($H44,0),CN$2)-(INDEX(avoidedcosttbl2,ROUNDDOWN($H44,0),CN$2)))))*ADRYr2!P44*ADRYr2!Q44*ADRYr2!U44)</f>
        <v/>
      </c>
      <c r="CO44" s="220" t="str">
        <f t="shared" si="39"/>
        <v/>
      </c>
      <c r="CP44" s="220" t="str">
        <f t="shared" si="40"/>
        <v/>
      </c>
      <c r="CQ44" s="157" t="str">
        <f>IF($G44="","",$G44*(IF(ADRYr2!$AI44=CQ$4,ADRYr2!$AJ44,IF(ADRYr2!$AK44=CQ$4,ADRYr2!$AL44,IF(ADRYr2!$AM44=CQ$4,ADRYr2!$AN44,0))))*(INDEX(avoidedcosttbl2,$H44,CQ$2)+(($H44-ROUNDDOWN($H44,0))*(INDEX(avoidedcosttbl2,ROUNDUP($H44,0),CQ$2)-(INDEX(avoidedcosttbl2,ROUNDDOWN($H44,0),CQ$2)))))*ADRYr2!$P44*ADRYr2!$Q44*ADRYr2!$U44)</f>
        <v/>
      </c>
      <c r="CR44" s="28" t="str">
        <f>IF($G44="","",G44*(IF(ADRYr2!$AI44=CR$4,ADRYr2!$AJ44,IF(ADRYr2!$AK44=CR$4,ADRYr2!$AL44,IF(ADRYr2!$AM44=CR$4,ADRYr2!$AN44,0))))*(INDEX(avoidedcosttbl2,$H44,CR$2)+(($H44-ROUNDDOWN($H44,0))*(INDEX(avoidedcosttbl2,ROUNDUP($H44,0),CR$2)-(INDEX(avoidedcosttbl2,ROUNDDOWN($H44,0),CR$2)))))*ADRYr2!$P44*ADRYr2!$Q44*ADRYr2!$U44)</f>
        <v/>
      </c>
      <c r="CS44" s="28" t="str">
        <f>IF($G44="","",G44*(IF(ADRYr2!$AI44=CS$4,ADRYr2!$AJ44,IF(ADRYr2!$AK44=CS$4,ADRYr2!$AL44,IF(ADRYr2!$AM44=CS$4,ADRYr2!$AN44,0))))*(INDEX(avoidedcosttbl2,$H44,CS$2)+(($H44-ROUNDDOWN($H44,0))*(INDEX(avoidedcosttbl2,ROUNDUP($H44,0),CS$2)-(INDEX(avoidedcosttbl2,ROUNDDOWN($H44,0),CS$2)))))*ADRYr2!$P44*ADRYr2!$Q44*ADRYr2!$U44)</f>
        <v/>
      </c>
      <c r="CT44" s="28" t="str">
        <f t="shared" si="12"/>
        <v/>
      </c>
      <c r="CU44" s="28" t="str">
        <f>IF($G44="","",G44*(IF(ADRYr2!$AI44=CU$4,ADRYr2!$AJ44,IF(ADRYr2!$AK44=CU$4,ADRYr2!$AL44,IF(ADRYr2!$AM44=CU$4,ADRYr2!$AN44,0))))*(INDEX(avoidedcosttbl2,$H44,CU$2)+(($H44-ROUNDDOWN($H44,0))*(INDEX(avoidedcosttbl2,ROUNDUP($H44,0),CU$2)-(INDEX(avoidedcosttbl2,ROUNDDOWN($H44,0),CU$2)))))*ADRYr2!$P44*ADRYr2!$Q44*ADRYr2!$U44)</f>
        <v/>
      </c>
      <c r="CV44" s="28" t="str">
        <f>IF($G44="","",G44*(IF(ADRYr2!$AI44=CV$4,ADRYr2!$AJ44,IF(ADRYr2!$AK44=CV$4,ADRYr2!$AL44,IF(ADRYr2!$AM44=CV$4,ADRYr2!$AN44,0))))*(INDEX(avoidedcosttbl2,$H44,CV$2)+(($H44-ROUNDDOWN($H44,0))*(INDEX(avoidedcosttbl2,ROUNDUP($H44,0),CV$2)-(INDEX(avoidedcosttbl2,ROUNDDOWN($H44,0),CV$2)))))*ADRYr2!$P44*ADRYr2!$Q44*ADRYr2!$U44)</f>
        <v/>
      </c>
      <c r="CW44" s="28" t="str">
        <f>IF($G44="","",G44*(IF(ADRYr2!$AI44=CW$4,ADRYr2!$AJ44,IF(ADRYr2!$AK44=CW$4,ADRYr2!$AL44,IF(ADRYr2!$AM44=CW$4,ADRYr2!$AN44,0))))*(INDEX(avoidedcosttbl2,$H44,CW$2)+(($H44-ROUNDDOWN($H44,0))*(INDEX(avoidedcosttbl2,ROUNDUP($H44,0),CW$2)-(INDEX(avoidedcosttbl2,ROUNDDOWN($H44,0),CW$2)))))*ADRYr2!$P44*ADRYr2!$Q44*ADRYr2!$U44)</f>
        <v/>
      </c>
      <c r="CX44" s="28" t="str">
        <f>IF($G44="","",G44*(IF(ADRYr2!$AI44=CX$4,ADRYr2!$AJ44,IF(ADRYr2!$AK44=CX$4,ADRYr2!$AL44,IF(ADRYr2!$AM44=CX$4,ADRYr2!$AN44,0))))*(INDEX(avoidedcosttbl2,$H44,CX$2)+(($H44-ROUNDDOWN($H44,0))*(INDEX(avoidedcosttbl2,ROUNDUP($H44,0),CX$2)-(INDEX(avoidedcosttbl2,ROUNDDOWN($H44,0),CX$2)))))*ADRYr2!$P44*ADRYr2!$Q44*ADRYr2!$U44)</f>
        <v/>
      </c>
      <c r="CY44" s="28" t="str">
        <f t="shared" si="13"/>
        <v/>
      </c>
      <c r="CZ44" s="32" t="str">
        <f t="shared" si="14"/>
        <v/>
      </c>
      <c r="DA44" s="84" t="str">
        <f t="shared" si="41"/>
        <v/>
      </c>
      <c r="DB44" s="81" t="str">
        <f>IF(NEIadder="Yes",IF($G44="","",INDEX(Lookups!$G$70:$G$71,MATCH($A44,Lookups!$E$70:$E$71,0))*(SUM(CP44:CX44,BX44))),"")</f>
        <v/>
      </c>
      <c r="DC44" s="263" t="str">
        <f t="shared" si="15"/>
        <v/>
      </c>
      <c r="DD44" s="166" t="str">
        <f t="shared" si="16"/>
        <v/>
      </c>
      <c r="DE44" s="82">
        <f t="shared" si="42"/>
        <v>0</v>
      </c>
      <c r="DF44" s="615" t="str">
        <f>IF($G44="","",(1+WntPeakEnergyLL)*(INDEX(avoidedcosttbl2,$H44,DF$2)+(($H44-ROUNDDOWN($H44,0))*(INDEX(avoidedcosttbl2,ROUNDUP($H44,0),DF$2)-(INDEX(avoidedcosttbl2,ROUNDDOWN($H44,0),DF$2)))))*$P44*1000*ADRYr2!Z44)</f>
        <v/>
      </c>
      <c r="DG44" s="615" t="str">
        <f>IF($G44="","",(1+WntOffPeakEnergyLL)*(INDEX(avoidedcosttbl2,$H44,DG$2)+(($H44-ROUNDDOWN($H44,0))*(INDEX(avoidedcosttbl2,ROUNDUP($H44,0),DG$2)-(INDEX(avoidedcosttbl2,ROUNDDOWN($H44,0),DG$2)))))*$P44*1000*ADRYr2!AA44)</f>
        <v/>
      </c>
      <c r="DH44" s="615" t="str">
        <f>IF($G44="","",(1+SumPeakEnergyLL)*(INDEX(avoidedcosttbl2,$H44,DH$2)+(($H44-ROUNDDOWN($H44,0))*(INDEX(avoidedcosttbl2,ROUNDUP($H44,0),DH$2)-(INDEX(avoidedcosttbl2,ROUNDDOWN($H44,0),DH$2)))))*$P44*1000*ADRYr2!AB44)</f>
        <v/>
      </c>
      <c r="DI44" s="615" t="str">
        <f>IF($G44="","",(1+SumOffPeakEnergyLL)*(INDEX(avoidedcosttbl2,$H44,DI$2)+(($H44-ROUNDDOWN($H44,0))*(INDEX(avoidedcosttbl2,ROUNDUP($H44,0),DI$2)-(INDEX(avoidedcosttbl2,ROUNDDOWN($H44,0),DI$2)))))*$P44*1000*ADRYr2!AC44)</f>
        <v/>
      </c>
      <c r="DJ44" s="29" t="str">
        <f t="shared" si="43"/>
        <v/>
      </c>
      <c r="DK44" s="161" t="str">
        <f t="shared" si="51"/>
        <v/>
      </c>
      <c r="DO44" s="966" t="str">
        <f>IF($G44="","",ADRYr2!AQ44)</f>
        <v/>
      </c>
      <c r="DP44" s="968" t="str">
        <f>IF($G44="","",ADRYr2!AR44)</f>
        <v/>
      </c>
      <c r="DQ44" s="970" t="str">
        <f>IF($G44="","",IF($DP44="Yes",COLUMN(AESC!$L$10),IF($DP44="No","Using AvoidedDemand tab",IF($DP44="Mixed",COLUMN(AESC!$N$10)))))</f>
        <v/>
      </c>
      <c r="DR44" s="970" t="str">
        <f>IF($G44="","",IF($DP44="Yes",COLUMN(AESC!$P$10),IF($DP44="No","Using AvoidedDemand tab",IF($DP44="Mixed",COLUMN(AESC!$R$10)))))</f>
        <v/>
      </c>
      <c r="DS44" s="970" t="str">
        <f>IF($G44="","",IF($DP44="Yes",COLUMN(AESC!$S$10),IF($DP44="No",COLUMN(AESC!$T$10),IF($DP44="Mixed",COLUMN(AESC!$U$10)))))</f>
        <v/>
      </c>
      <c r="DT44" s="970" t="str">
        <f t="shared" si="48"/>
        <v/>
      </c>
      <c r="DU44" s="970" t="str">
        <f>IF($G44="","",ADRYr2!AS44)</f>
        <v/>
      </c>
      <c r="DV44" s="971" t="str">
        <f>IF($G44="","",ADRYr2!AT44)</f>
        <v/>
      </c>
      <c r="DW44" s="1162" t="str">
        <f>IF($G44="","",INDEX(AvoidedEnergy!$H$4:$H$10,MATCH($DO44,AvoidedEnergy!$A$4:$A$10,0)))</f>
        <v/>
      </c>
    </row>
    <row r="45" spans="1:127">
      <c r="A45" s="160" t="str">
        <f>IF(ADRYr2!$B45=0,"",ADRYr2!A45)</f>
        <v/>
      </c>
      <c r="B45" s="9" t="str">
        <f>IF(ADRYr2!$B45=0,"",ADRYr2!B45)</f>
        <v/>
      </c>
      <c r="C45" s="9" t="str">
        <f>IF(ADRYr2!$B45=0,"",ADRYr2!C45)</f>
        <v/>
      </c>
      <c r="D45" s="9" t="str">
        <f>IF(ADRYr2!$B45=0,"",ADRYr2!D45)</f>
        <v/>
      </c>
      <c r="E45" s="9"/>
      <c r="F45" s="11" t="str">
        <f>IF(ADRYr2!$B45=0,"",ADRYr2!F45)</f>
        <v/>
      </c>
      <c r="G45" s="12" t="str">
        <f>IF(ADRYr2!$G45&lt;&gt;0,ADRYr2!G45,"")</f>
        <v/>
      </c>
      <c r="H45" s="960" t="str">
        <f>IF($G45="","",ROUND(ADRYr2!H45,0))</f>
        <v/>
      </c>
      <c r="I45" s="47" t="str">
        <f>IF($G45="","",ADRYr2!I45*ADRYr2!P45*G45)</f>
        <v/>
      </c>
      <c r="J45" s="47" t="str">
        <f>IF($G45="","",ADRYr2!J45*G45)</f>
        <v/>
      </c>
      <c r="K45" s="47" t="str">
        <f t="shared" si="17"/>
        <v/>
      </c>
      <c r="L45" s="27" t="str">
        <f>IF($G45="","",ADRYr2!V45*G45/1000)</f>
        <v/>
      </c>
      <c r="M45" s="27" t="str">
        <f>IF($G45="","",L45*ADRYr2!$Q45*ADRYr2!$R45)</f>
        <v/>
      </c>
      <c r="N45" s="27" t="str">
        <f t="shared" si="18"/>
        <v/>
      </c>
      <c r="O45" s="27" t="str">
        <f t="shared" si="19"/>
        <v/>
      </c>
      <c r="P45" s="27" t="str">
        <f>IF($G45="","",M45*ADRYr2!P45)</f>
        <v/>
      </c>
      <c r="Q45" s="27" t="str">
        <f t="shared" si="20"/>
        <v/>
      </c>
      <c r="R45" s="27" t="str">
        <f>IF($G45="","",$Q45*ADRYr2!Z45)</f>
        <v/>
      </c>
      <c r="S45" s="27" t="str">
        <f>IF($G45="","",$Q45*ADRYr2!AA45)</f>
        <v/>
      </c>
      <c r="T45" s="27" t="str">
        <f>IF($G45="","",$Q45*ADRYr2!AB45)</f>
        <v/>
      </c>
      <c r="U45" s="27" t="str">
        <f>IF($G45="","",$Q45*ADRYr2!AC45)</f>
        <v/>
      </c>
      <c r="V45" s="27" t="str">
        <f>IF($G45="","",G45*ADRYr2!$AD45*ADRYr2!$P45*ADRYr2!$Q45)</f>
        <v/>
      </c>
      <c r="W45" s="27" t="str">
        <f>IF($G45="","",$G45*ADRYr2!$AD45*ADRYr2!$AF45*ADRYr2!Q45*ADRYr2!$S45)</f>
        <v/>
      </c>
      <c r="X45" s="27" t="str">
        <f>IF($G45="","",$G45*ADRYr2!$AD45*ADRYr2!$AF45*ADRYr2!P45*ADRYr2!Q45*ADRYr2!$S45)</f>
        <v/>
      </c>
      <c r="Y45" s="27" t="str">
        <f>IF($G45="","",$G45*ADRYr2!$AD45*ADRYr2!$AE45*ADRYr2!Q45*ADRYr2!$T45)</f>
        <v/>
      </c>
      <c r="Z45" s="27" t="str">
        <f>IF($G45="","",$G45*ADRYr2!$AD45*ADRYr2!$AE45*ADRYr2!P45*ADRYr2!Q45*ADRYr2!$T45)</f>
        <v/>
      </c>
      <c r="AA45" s="45" t="str">
        <f>IF($G45="","",$G45*ADRYr2!$Q45*ADRYr2!$U45*(IF(IFERROR(SEARCH("NG", ADRYr2!$AI45),0),ADRYr2!$AJ45,0)+IF(IFERROR(SEARCH("NG", ADRYr2!$AK45),0),ADRYr2!$AL45,0)+IF(IFERROR(SEARCH("NG", ADRYr2!$AM45),0),ADRYr2!$AN45,0)))</f>
        <v/>
      </c>
      <c r="AB45" s="45" t="str">
        <f t="shared" si="21"/>
        <v/>
      </c>
      <c r="AC45" s="45">
        <f>IF($G45="",0,AA45*ADRYr2!$P45)</f>
        <v>0</v>
      </c>
      <c r="AD45" s="45" t="str">
        <f t="shared" si="22"/>
        <v/>
      </c>
      <c r="AE45" s="45" t="str">
        <f>IF($G45="","",$G45*ADRYr2!$Q45*ADRYr2!$U45*(IF(IFERROR(SEARCH("Oil", ADRYr2!$AI45), 0),ADRYr2!$AJ45,0)+IF(IFERROR(SEARCH("Oil", ADRYr2!$AK45), 0),ADRYr2!$AL45,0)+IF(IFERROR(SEARCH("Oil", ADRYr2!$AM45), 0),ADRYr2!$AN45,0)))</f>
        <v/>
      </c>
      <c r="AF45" s="45" t="str">
        <f t="shared" si="23"/>
        <v/>
      </c>
      <c r="AG45" s="45">
        <f>IF($G45="",0,AE45*ADRYr2!$P45)</f>
        <v>0</v>
      </c>
      <c r="AH45" s="45" t="str">
        <f t="shared" si="24"/>
        <v/>
      </c>
      <c r="AI45" s="45" t="str">
        <f>IF($G45="","",$G45*ADRYr2!$Q45*ADRYr2!$U45*(IF(ADRYr2!$AI45=Lookups!$E$116,ADRYr2!$AJ45,IF(ADRYr2!$AK45=Lookups!$E$116,ADRYr2!$AL45,IF(ADRYr2!$AM45=Lookups!$E$116,ADRYr2!$AN45,0)))))</f>
        <v/>
      </c>
      <c r="AJ45" s="45" t="str">
        <f t="shared" si="25"/>
        <v/>
      </c>
      <c r="AK45" s="45">
        <f>IF($G45="",0,AI45*ADRYr2!$P45)</f>
        <v>0</v>
      </c>
      <c r="AL45" s="45" t="str">
        <f t="shared" si="26"/>
        <v/>
      </c>
      <c r="AM45" s="45" t="str">
        <f>IF($G45="","",$G45*ADRYr2!$Q45*ADRYr2!$U45*(IF(ADRYr2!$AI45=Lookups!$E$115,ADRYr2!$AJ45,IF(ADRYr2!$AK45=Lookups!$E$115,ADRYr2!$AL45,IF(ADRYr2!$AM45=Lookups!$E$115,ADRYr2!$AN45,0)))))</f>
        <v/>
      </c>
      <c r="AN45" s="45" t="str">
        <f t="shared" si="27"/>
        <v/>
      </c>
      <c r="AO45" s="45">
        <f>IF($G45="",0,AM45*ADRYr2!$P45)</f>
        <v>0</v>
      </c>
      <c r="AP45" s="45" t="str">
        <f t="shared" si="28"/>
        <v/>
      </c>
      <c r="AQ45" s="45" t="str">
        <f>IF($G45="","",$G45*ADRYr2!$Q45*ADRYr2!$U45*(IF(ADRYr2!$AI45=Lookups!$E$117,ADRYr2!$AJ45,IF(ADRYr2!$AK45=Lookups!$E$117,ADRYr2!$AL45,IF(ADRYr2!$AM45=Lookups!$E$117,ADRYr2!$AN45,0)))))</f>
        <v/>
      </c>
      <c r="AR45" s="45" t="str">
        <f t="shared" si="29"/>
        <v/>
      </c>
      <c r="AS45" s="45" t="str">
        <f>IF($G45="","",AQ45*ADRYr2!$P45)</f>
        <v/>
      </c>
      <c r="AT45" s="45" t="str">
        <f t="shared" si="30"/>
        <v/>
      </c>
      <c r="AU45" s="45" t="str">
        <f>IF($G45="","",$G45*ADRYr2!$Q45*ADRYr2!$U45*(IF(ADRYr2!$AI45=Lookups!$E$118,ADRYr2!$AJ45,IF(ADRYr2!$AK45=Lookups!$E$118,ADRYr2!$AL45,IF(ADRYr2!$AM45=Lookups!$E$118,ADRYr2!$AN45,0)))))</f>
        <v/>
      </c>
      <c r="AV45" s="45" t="str">
        <f t="shared" si="31"/>
        <v/>
      </c>
      <c r="AW45" s="45" t="str">
        <f>IF($G45="","",AU45*ADRYr2!$P45)</f>
        <v/>
      </c>
      <c r="AX45" s="45" t="str">
        <f t="shared" si="32"/>
        <v/>
      </c>
      <c r="AY45" s="45">
        <f t="shared" si="49"/>
        <v>0</v>
      </c>
      <c r="AZ45" s="45">
        <f t="shared" si="49"/>
        <v>0</v>
      </c>
      <c r="BA45" s="101" t="str">
        <f>IF($G45="","",$G45*ADRYr2!$P45*ADRYr2!$Q45*ADRYr2!$U45*ADRYr2!AO45)</f>
        <v/>
      </c>
      <c r="BB45" s="102" t="str">
        <f>IF($G45="","",$G45*ADRYr2!$P45*ADRYr2!$Q45*ADRYr2!$U45*ADRYr2!AP45)</f>
        <v/>
      </c>
      <c r="BC45" s="100" t="str">
        <f t="shared" si="34"/>
        <v/>
      </c>
      <c r="BD45" s="961"/>
      <c r="BE45" s="961"/>
      <c r="BF45" s="961"/>
      <c r="BG45" s="961"/>
      <c r="BH45" s="962" t="str">
        <f t="shared" si="3"/>
        <v/>
      </c>
      <c r="BI45" s="961"/>
      <c r="BJ45" s="961"/>
      <c r="BK45" s="961"/>
      <c r="BL45" s="961"/>
      <c r="BM45" s="30" t="str">
        <f t="shared" si="4"/>
        <v/>
      </c>
      <c r="BN45" s="963" t="str">
        <f t="shared" si="5"/>
        <v/>
      </c>
      <c r="BO45" s="31" t="str">
        <f t="shared" si="35"/>
        <v/>
      </c>
      <c r="BP45" s="964" t="str">
        <f t="shared" si="6"/>
        <v/>
      </c>
      <c r="BQ45" s="28" t="str">
        <f t="shared" si="7"/>
        <v/>
      </c>
      <c r="BR45" s="964" t="str">
        <f t="shared" si="8"/>
        <v/>
      </c>
      <c r="BS45" s="964" t="str">
        <f t="shared" si="9"/>
        <v/>
      </c>
      <c r="BT45" s="28" t="str">
        <f t="shared" ref="BT45:BV50" si="52">IF($G45="","",(INDEX(avoidedcosttbl2,$H45,BT$2)+(($H45-ROUNDDOWN($H45,0))*(INDEX(avoidedcosttbl2,ROUNDUP($H45,0),BT$2)-(INDEX(avoidedcosttbl2,ROUNDDOWN($H45,0),BT$2)))))*$Z45)</f>
        <v/>
      </c>
      <c r="BU45" s="28" t="str">
        <f t="shared" si="52"/>
        <v/>
      </c>
      <c r="BV45" s="28" t="str">
        <f t="shared" si="52"/>
        <v/>
      </c>
      <c r="BW45" s="29" t="str">
        <f t="shared" si="36"/>
        <v/>
      </c>
      <c r="BX45" s="29" t="str">
        <f t="shared" si="37"/>
        <v/>
      </c>
      <c r="BY45" s="28" t="str">
        <f>IF($G45="","",$G45*(IF(ADRYr2!$AI45=BY$4,ADRYr2!$AJ45,IF(ADRYr2!$AK45=BY$4,ADRYr2!$AL45,IF(ADRYr2!$AM45=BY$4,ADRYr2!$AN45,0))))*(INDEX(avoidedcosttbl2,$H45,BY$2)+(($H45-ROUNDDOWN($H45,0))*(INDEX(avoidedcosttbl2,ROUNDUP($H45,0),BY$2)-(INDEX(avoidedcosttbl2,ROUNDDOWN($H45,0),BY$2)))))*ADRYr2!P45*ADRYr2!Q45*ADRYr2!U45)</f>
        <v/>
      </c>
      <c r="BZ45" s="28" t="str">
        <f>IF($G45="","",$G45*(IF(ADRYr2!$AI45=BZ$4,ADRYr2!$AJ45,IF(ADRYr2!$AK45=BZ$4,ADRYr2!$AL45,IF(ADRYr2!$AM45=BZ$4,ADRYr2!$AN45,0))))*(INDEX(avoidedcosttbl2,$H45,BZ$2)+(($H45-ROUNDDOWN($H45,0))*(INDEX(avoidedcosttbl2,ROUNDUP($H45,0),BZ$2)-(INDEX(avoidedcosttbl2,ROUNDDOWN($H45,0),BZ$2)))))*ADRYr2!P45*ADRYr2!Q45*ADRYr2!U45)</f>
        <v/>
      </c>
      <c r="CA45" s="28" t="str">
        <f>IF($G45="","",$G45*(IF(ADRYr2!$AI45=CA$4,ADRYr2!$AJ45,IF(ADRYr2!$AK45=CA$4,ADRYr2!$AL45,IF(ADRYr2!$AM45=CA$4,ADRYr2!$AN45,0))))*(INDEX(avoidedcosttbl2,$H45,CA$2)+(($H45-ROUNDDOWN($H45,0))*(INDEX(avoidedcosttbl2,ROUNDUP($H45,0),CA$2)-(INDEX(avoidedcosttbl2,ROUNDDOWN($H45,0),CA$2)))))*ADRYr2!P45*ADRYr2!Q45*ADRYr2!U45)</f>
        <v/>
      </c>
      <c r="CB45" s="28" t="str">
        <f>IF($G45="","",$G45*(IF(ADRYr2!$AI45=CB$4,ADRYr2!$AJ45,IF(ADRYr2!$AK45=CB$4,ADRYr2!$AL45,IF(ADRYr2!$AM45=CB$4,ADRYr2!$AN45,0))))*(INDEX(avoidedcosttbl2,$H45,CB$2)+(($H45-ROUNDDOWN($H45,0))*(INDEX(avoidedcosttbl2,ROUNDUP($H45,0),CB$2)-(INDEX(avoidedcosttbl2,ROUNDDOWN($H45,0),CB$2)))))*ADRYr2!P45*ADRYr2!Q45*ADRYr2!U45)</f>
        <v/>
      </c>
      <c r="CC45" s="28" t="str">
        <f>IF($G45="","",$G45*(IF(ADRYr2!$AI45=CC$4,ADRYr2!$AJ45,IF(ADRYr2!$AK45=CC$4,ADRYr2!$AL45,IF(ADRYr2!$AM45=CC$4,ADRYr2!$AN45,0))))*(INDEX(avoidedcosttbl2,$H45,CC$2)+(($H45-ROUNDDOWN($H45,0))*(INDEX(avoidedcosttbl2,ROUNDUP($H45,0),CC$2)-(INDEX(avoidedcosttbl2,ROUNDDOWN($H45,0),CC$2)))))*ADRYr2!P45*ADRYr2!Q45*ADRYr2!U45)</f>
        <v/>
      </c>
      <c r="CD45" s="28" t="str">
        <f>IF($G45="","",$G45*(IF(ADRYr2!$AI45=CD$4,ADRYr2!$AJ45,IF(ADRYr2!$AK45=CD$4,ADRYr2!$AL45,IF(ADRYr2!$AM45=CD$4,ADRYr2!$AN45,0))))*(INDEX(avoidedcosttbl2,$H45,CD$2)+(($H45-ROUNDDOWN($H45,0))*(INDEX(avoidedcosttbl2,ROUNDUP($H45,0),CD$2)-(INDEX(avoidedcosttbl2,ROUNDDOWN($H45,0),CD$2)))))*ADRYr2!P45*ADRYr2!Q45*ADRYr2!U45)</f>
        <v/>
      </c>
      <c r="CE45" s="28" t="str">
        <f>IF($G45="","",$G45*(IF(ADRYr2!$AI45=CE$4,ADRYr2!$AJ45,IF(ADRYr2!$AK45=CE$4,ADRYr2!$AL45,IF(ADRYr2!$AM45=CE$4,ADRYr2!$AN45,0))))*(INDEX(avoidedcosttbl2,$H45,CE$2)+(($H45-ROUNDDOWN($H45,0))*(INDEX(avoidedcosttbl2,ROUNDUP($H45,0),CE$2)-(INDEX(avoidedcosttbl2,ROUNDDOWN($H45,0),CE$2)))))*ADRYr2!P45*ADRYr2!Q45*ADRYr2!U45)</f>
        <v/>
      </c>
      <c r="CF45" s="41" t="str">
        <f t="shared" si="38"/>
        <v/>
      </c>
      <c r="CG45" s="30" t="str">
        <f t="shared" si="11"/>
        <v/>
      </c>
      <c r="CH45" s="30" t="str">
        <f>IF($G45="","",$G45*(IF(ADRYr2!$AI45=BY$4,ADRYr2!$AJ45,IF(ADRYr2!$AK45=BY$4,ADRYr2!$AL45,IF(ADRYr2!$AM45=BY$4,ADRYr2!$AN45,0))))*(INDEX(avoidedcosttbl2,$H45,CH$2)+(($H45-ROUNDDOWN($H45,0))*(INDEX(avoidedcosttbl2,ROUNDUP($H45,0),CH$2)-(INDEX(avoidedcosttbl2,ROUNDDOWN($H45,0),CH$2)))))*ADRYr2!P45*ADRYr2!Q45*ADRYr2!U45)</f>
        <v/>
      </c>
      <c r="CI45" s="30" t="str">
        <f>IF($G45="","",$G45*(IF(ADRYr2!$AI45=BZ$4,ADRYr2!$AJ45,IF(ADRYr2!$AK45=BZ$4,ADRYr2!$AL45,IF(ADRYr2!$AM45=BZ$4,ADRYr2!$AN45,0))))*(INDEX(avoidedcosttbl2,$H45,CI$2)+(($H45-ROUNDDOWN($H45,0))*(INDEX(avoidedcosttbl2,ROUNDUP($H45,0),CI$2)-(INDEX(avoidedcosttbl2,ROUNDDOWN($H45,0),CI$2)))))*ADRYr2!P45*ADRYr2!Q45*ADRYr2!U45)</f>
        <v/>
      </c>
      <c r="CJ45" s="30" t="str">
        <f>IF($G45="","",$G45*(IF(ADRYr2!$AI45=CA$4,ADRYr2!$AJ45,IF(ADRYr2!$AK45=CA$4,ADRYr2!$AL45,IF(ADRYr2!$AM45=CA$4,ADRYr2!$AN45,0))))*(INDEX(avoidedcosttbl2,$H45,CJ$2)+(($H45-ROUNDDOWN($H45,0))*(INDEX(avoidedcosttbl2,ROUNDUP($H45,0),CJ$2)-(INDEX(avoidedcosttbl2,ROUNDDOWN($H45,0),CJ$2)))))*ADRYr2!P45*ADRYr2!Q45*ADRYr2!U45)</f>
        <v/>
      </c>
      <c r="CK45" s="30" t="str">
        <f>IF($G45="","",$G45*(IF(ADRYr2!$AI45=CB$4,ADRYr2!$AJ45,IF(ADRYr2!$AK45=CB$4,ADRYr2!$AL45,IF(ADRYr2!$AM45=CB$4,ADRYr2!$AN45,0))))*(INDEX(avoidedcosttbl2,$H45,CK$2)+(($H45-ROUNDDOWN($H45,0))*(INDEX(avoidedcosttbl2,ROUNDUP($H45,0),CK$2)-(INDEX(avoidedcosttbl2,ROUNDDOWN($H45,0),CK$2)))))*ADRYr2!P45*ADRYr2!Q45*ADRYr2!U45)</f>
        <v/>
      </c>
      <c r="CL45" s="30" t="str">
        <f>IF($G45="","",$G45*(IF(ADRYr2!$AI45=CC$4,ADRYr2!$AJ45,IF(ADRYr2!$AK45=CC$4,ADRYr2!$AL45,IF(ADRYr2!$AM45=CC$4,ADRYr2!$AN45,0))))*(INDEX(avoidedcosttbl2,$H45,CL$2)+(($H45-ROUNDDOWN($H45,0))*(INDEX(avoidedcosttbl2,ROUNDUP($H45,0),CL$2)-(INDEX(avoidedcosttbl2,ROUNDDOWN($H45,0),CL$2)))))*ADRYr2!P45*ADRYr2!Q45*ADRYr2!U45)</f>
        <v/>
      </c>
      <c r="CM45" s="30" t="str">
        <f>IF($G45="","",$G45*(IF(ADRYr2!$AI45=CD$4,ADRYr2!$AJ45,IF(ADRYr2!$AK45=CD$4,ADRYr2!$AL45,IF(ADRYr2!$AM45=CD$4,ADRYr2!$AN45,0))))*(INDEX(avoidedcosttbl2,$H45,CM$2)+(($H45-ROUNDDOWN($H45,0))*(INDEX(avoidedcosttbl2,ROUNDUP($H45,0),CM$2)-(INDEX(avoidedcosttbl2,ROUNDDOWN($H45,0),CM$2)))))*ADRYr2!P45*ADRYr2!Q45*ADRYr2!U45)</f>
        <v/>
      </c>
      <c r="CN45" s="30" t="str">
        <f>IF($G45="","",$G45*(IF(ADRYr2!$AI45=CE$4,ADRYr2!$AJ45,IF(ADRYr2!$AK45=CE$4,ADRYr2!$AL45,IF(ADRYr2!$AM45=CE$4,ADRYr2!$AN45,0))))*(INDEX(avoidedcosttbl2,$H45,CN$2)+(($H45-ROUNDDOWN($H45,0))*(INDEX(avoidedcosttbl2,ROUNDUP($H45,0),CN$2)-(INDEX(avoidedcosttbl2,ROUNDDOWN($H45,0),CN$2)))))*ADRYr2!P45*ADRYr2!Q45*ADRYr2!U45)</f>
        <v/>
      </c>
      <c r="CO45" s="220" t="str">
        <f t="shared" si="39"/>
        <v/>
      </c>
      <c r="CP45" s="220" t="str">
        <f t="shared" si="40"/>
        <v/>
      </c>
      <c r="CQ45" s="157" t="str">
        <f>IF($G45="","",$G45*(IF(ADRYr2!$AI45=CQ$4,ADRYr2!$AJ45,IF(ADRYr2!$AK45=CQ$4,ADRYr2!$AL45,IF(ADRYr2!$AM45=CQ$4,ADRYr2!$AN45,0))))*(INDEX(avoidedcosttbl2,$H45,CQ$2)+(($H45-ROUNDDOWN($H45,0))*(INDEX(avoidedcosttbl2,ROUNDUP($H45,0),CQ$2)-(INDEX(avoidedcosttbl2,ROUNDDOWN($H45,0),CQ$2)))))*ADRYr2!$P45*ADRYr2!$Q45*ADRYr2!$U45)</f>
        <v/>
      </c>
      <c r="CR45" s="28" t="str">
        <f>IF($G45="","",G45*(IF(ADRYr2!$AI45=CR$4,ADRYr2!$AJ45,IF(ADRYr2!$AK45=CR$4,ADRYr2!$AL45,IF(ADRYr2!$AM45=CR$4,ADRYr2!$AN45,0))))*(INDEX(avoidedcosttbl2,$H45,CR$2)+(($H45-ROUNDDOWN($H45,0))*(INDEX(avoidedcosttbl2,ROUNDUP($H45,0),CR$2)-(INDEX(avoidedcosttbl2,ROUNDDOWN($H45,0),CR$2)))))*ADRYr2!$P45*ADRYr2!$Q45*ADRYr2!$U45)</f>
        <v/>
      </c>
      <c r="CS45" s="28" t="str">
        <f>IF($G45="","",G45*(IF(ADRYr2!$AI45=CS$4,ADRYr2!$AJ45,IF(ADRYr2!$AK45=CS$4,ADRYr2!$AL45,IF(ADRYr2!$AM45=CS$4,ADRYr2!$AN45,0))))*(INDEX(avoidedcosttbl2,$H45,CS$2)+(($H45-ROUNDDOWN($H45,0))*(INDEX(avoidedcosttbl2,ROUNDUP($H45,0),CS$2)-(INDEX(avoidedcosttbl2,ROUNDDOWN($H45,0),CS$2)))))*ADRYr2!$P45*ADRYr2!$Q45*ADRYr2!$U45)</f>
        <v/>
      </c>
      <c r="CT45" s="28" t="str">
        <f t="shared" si="12"/>
        <v/>
      </c>
      <c r="CU45" s="28" t="str">
        <f>IF($G45="","",G45*(IF(ADRYr2!$AI45=CU$4,ADRYr2!$AJ45,IF(ADRYr2!$AK45=CU$4,ADRYr2!$AL45,IF(ADRYr2!$AM45=CU$4,ADRYr2!$AN45,0))))*(INDEX(avoidedcosttbl2,$H45,CU$2)+(($H45-ROUNDDOWN($H45,0))*(INDEX(avoidedcosttbl2,ROUNDUP($H45,0),CU$2)-(INDEX(avoidedcosttbl2,ROUNDDOWN($H45,0),CU$2)))))*ADRYr2!$P45*ADRYr2!$Q45*ADRYr2!$U45)</f>
        <v/>
      </c>
      <c r="CV45" s="28" t="str">
        <f>IF($G45="","",G45*(IF(ADRYr2!$AI45=CV$4,ADRYr2!$AJ45,IF(ADRYr2!$AK45=CV$4,ADRYr2!$AL45,IF(ADRYr2!$AM45=CV$4,ADRYr2!$AN45,0))))*(INDEX(avoidedcosttbl2,$H45,CV$2)+(($H45-ROUNDDOWN($H45,0))*(INDEX(avoidedcosttbl2,ROUNDUP($H45,0),CV$2)-(INDEX(avoidedcosttbl2,ROUNDDOWN($H45,0),CV$2)))))*ADRYr2!$P45*ADRYr2!$Q45*ADRYr2!$U45)</f>
        <v/>
      </c>
      <c r="CW45" s="28" t="str">
        <f>IF($G45="","",G45*(IF(ADRYr2!$AI45=CW$4,ADRYr2!$AJ45,IF(ADRYr2!$AK45=CW$4,ADRYr2!$AL45,IF(ADRYr2!$AM45=CW$4,ADRYr2!$AN45,0))))*(INDEX(avoidedcosttbl2,$H45,CW$2)+(($H45-ROUNDDOWN($H45,0))*(INDEX(avoidedcosttbl2,ROUNDUP($H45,0),CW$2)-(INDEX(avoidedcosttbl2,ROUNDDOWN($H45,0),CW$2)))))*ADRYr2!$P45*ADRYr2!$Q45*ADRYr2!$U45)</f>
        <v/>
      </c>
      <c r="CX45" s="28" t="str">
        <f>IF($G45="","",G45*(IF(ADRYr2!$AI45=CX$4,ADRYr2!$AJ45,IF(ADRYr2!$AK45=CX$4,ADRYr2!$AL45,IF(ADRYr2!$AM45=CX$4,ADRYr2!$AN45,0))))*(INDEX(avoidedcosttbl2,$H45,CX$2)+(($H45-ROUNDDOWN($H45,0))*(INDEX(avoidedcosttbl2,ROUNDUP($H45,0),CX$2)-(INDEX(avoidedcosttbl2,ROUNDDOWN($H45,0),CX$2)))))*ADRYr2!$P45*ADRYr2!$Q45*ADRYr2!$U45)</f>
        <v/>
      </c>
      <c r="CY45" s="28" t="str">
        <f t="shared" si="13"/>
        <v/>
      </c>
      <c r="CZ45" s="32" t="str">
        <f t="shared" si="14"/>
        <v/>
      </c>
      <c r="DA45" s="84" t="str">
        <f t="shared" si="41"/>
        <v/>
      </c>
      <c r="DB45" s="81" t="str">
        <f>IF(NEIadder="Yes",IF($G45="","",INDEX(Lookups!$G$70:$G$71,MATCH($A45,Lookups!$E$70:$E$71,0))*(SUM(CP45:CX45,BX45))),"")</f>
        <v/>
      </c>
      <c r="DC45" s="263" t="str">
        <f t="shared" si="15"/>
        <v/>
      </c>
      <c r="DD45" s="166" t="str">
        <f t="shared" si="16"/>
        <v/>
      </c>
      <c r="DE45" s="82">
        <f t="shared" si="42"/>
        <v>0</v>
      </c>
      <c r="DF45" s="615" t="str">
        <f>IF($G45="","",(1+WntPeakEnergyLL)*(INDEX(avoidedcosttbl2,$H45,DF$2)+(($H45-ROUNDDOWN($H45,0))*(INDEX(avoidedcosttbl2,ROUNDUP($H45,0),DF$2)-(INDEX(avoidedcosttbl2,ROUNDDOWN($H45,0),DF$2)))))*$P45*1000*ADRYr2!Z45)</f>
        <v/>
      </c>
      <c r="DG45" s="615" t="str">
        <f>IF($G45="","",(1+WntOffPeakEnergyLL)*(INDEX(avoidedcosttbl2,$H45,DG$2)+(($H45-ROUNDDOWN($H45,0))*(INDEX(avoidedcosttbl2,ROUNDUP($H45,0),DG$2)-(INDEX(avoidedcosttbl2,ROUNDDOWN($H45,0),DG$2)))))*$P45*1000*ADRYr2!AA45)</f>
        <v/>
      </c>
      <c r="DH45" s="615" t="str">
        <f>IF($G45="","",(1+SumPeakEnergyLL)*(INDEX(avoidedcosttbl2,$H45,DH$2)+(($H45-ROUNDDOWN($H45,0))*(INDEX(avoidedcosttbl2,ROUNDUP($H45,0),DH$2)-(INDEX(avoidedcosttbl2,ROUNDDOWN($H45,0),DH$2)))))*$P45*1000*ADRYr2!AB45)</f>
        <v/>
      </c>
      <c r="DI45" s="615" t="str">
        <f>IF($G45="","",(1+SumOffPeakEnergyLL)*(INDEX(avoidedcosttbl2,$H45,DI$2)+(($H45-ROUNDDOWN($H45,0))*(INDEX(avoidedcosttbl2,ROUNDUP($H45,0),DI$2)-(INDEX(avoidedcosttbl2,ROUNDDOWN($H45,0),DI$2)))))*$P45*1000*ADRYr2!AC45)</f>
        <v/>
      </c>
      <c r="DJ45" s="29" t="str">
        <f t="shared" si="43"/>
        <v/>
      </c>
      <c r="DK45" s="161" t="str">
        <f t="shared" si="51"/>
        <v/>
      </c>
      <c r="DO45" s="966" t="str">
        <f>IF($G45="","",ADRYr2!AQ45)</f>
        <v/>
      </c>
      <c r="DP45" s="968" t="str">
        <f>IF($G45="","",ADRYr2!AR45)</f>
        <v/>
      </c>
      <c r="DQ45" s="970" t="str">
        <f>IF($G45="","",IF($DP45="Yes",COLUMN(AESC!$L$10),IF($DP45="No","Using AvoidedDemand tab",IF($DP45="Mixed",COLUMN(AESC!$N$10)))))</f>
        <v/>
      </c>
      <c r="DR45" s="970" t="str">
        <f>IF($G45="","",IF($DP45="Yes",COLUMN(AESC!$P$10),IF($DP45="No","Using AvoidedDemand tab",IF($DP45="Mixed",COLUMN(AESC!$R$10)))))</f>
        <v/>
      </c>
      <c r="DS45" s="970" t="str">
        <f>IF($G45="","",IF($DP45="Yes",COLUMN(AESC!$S$10),IF($DP45="No",COLUMN(AESC!$T$10),IF($DP45="Mixed",COLUMN(AESC!$U$10)))))</f>
        <v/>
      </c>
      <c r="DT45" s="970" t="str">
        <f t="shared" si="48"/>
        <v/>
      </c>
      <c r="DU45" s="970" t="str">
        <f>IF($G45="","",ADRYr2!AS45)</f>
        <v/>
      </c>
      <c r="DV45" s="971" t="str">
        <f>IF($G45="","",ADRYr2!AT45)</f>
        <v/>
      </c>
      <c r="DW45" s="1162" t="str">
        <f>IF($G45="","",INDEX(AvoidedEnergy!$H$4:$H$10,MATCH($DO45,AvoidedEnergy!$A$4:$A$10,0)))</f>
        <v/>
      </c>
    </row>
    <row r="46" spans="1:127">
      <c r="A46" s="160" t="str">
        <f>IF(ADRYr2!$B46=0,"",ADRYr2!A46)</f>
        <v/>
      </c>
      <c r="B46" s="9" t="str">
        <f>IF(ADRYr2!$B46=0,"",ADRYr2!B46)</f>
        <v/>
      </c>
      <c r="C46" s="9" t="str">
        <f>IF(ADRYr2!$B46=0,"",ADRYr2!C46)</f>
        <v/>
      </c>
      <c r="D46" s="9" t="str">
        <f>IF(ADRYr2!$B46=0,"",ADRYr2!D46)</f>
        <v/>
      </c>
      <c r="E46" s="9"/>
      <c r="F46" s="11" t="str">
        <f>IF(ADRYr2!$B46=0,"",ADRYr2!F46)</f>
        <v/>
      </c>
      <c r="G46" s="12" t="str">
        <f>IF(ADRYr2!$G46&lt;&gt;0,ADRYr2!G46,"")</f>
        <v/>
      </c>
      <c r="H46" s="960" t="str">
        <f>IF($G46="","",ROUND(ADRYr2!H46,0))</f>
        <v/>
      </c>
      <c r="I46" s="47" t="str">
        <f>IF($G46="","",ADRYr2!I46*ADRYr2!P46*G46)</f>
        <v/>
      </c>
      <c r="J46" s="47" t="str">
        <f>IF($G46="","",ADRYr2!J46*G46)</f>
        <v/>
      </c>
      <c r="K46" s="47" t="str">
        <f t="shared" si="17"/>
        <v/>
      </c>
      <c r="L46" s="27" t="str">
        <f>IF($G46="","",ADRYr2!V46*G46/1000)</f>
        <v/>
      </c>
      <c r="M46" s="27" t="str">
        <f>IF($G46="","",L46*ADRYr2!$Q46*ADRYr2!$R46)</f>
        <v/>
      </c>
      <c r="N46" s="27" t="str">
        <f t="shared" si="18"/>
        <v/>
      </c>
      <c r="O46" s="27" t="str">
        <f t="shared" si="19"/>
        <v/>
      </c>
      <c r="P46" s="27" t="str">
        <f>IF($G46="","",M46*ADRYr2!P46)</f>
        <v/>
      </c>
      <c r="Q46" s="27" t="str">
        <f t="shared" si="20"/>
        <v/>
      </c>
      <c r="R46" s="27" t="str">
        <f>IF($G46="","",$Q46*ADRYr2!Z46)</f>
        <v/>
      </c>
      <c r="S46" s="27" t="str">
        <f>IF($G46="","",$Q46*ADRYr2!AA46)</f>
        <v/>
      </c>
      <c r="T46" s="27" t="str">
        <f>IF($G46="","",$Q46*ADRYr2!AB46)</f>
        <v/>
      </c>
      <c r="U46" s="27" t="str">
        <f>IF($G46="","",$Q46*ADRYr2!AC46)</f>
        <v/>
      </c>
      <c r="V46" s="27" t="str">
        <f>IF($G46="","",G46*ADRYr2!$AD46*ADRYr2!$P46*ADRYr2!$Q46)</f>
        <v/>
      </c>
      <c r="W46" s="27" t="str">
        <f>IF($G46="","",$G46*ADRYr2!$AD46*ADRYr2!$AF46*ADRYr2!Q46*ADRYr2!$S46)</f>
        <v/>
      </c>
      <c r="X46" s="27" t="str">
        <f>IF($G46="","",$G46*ADRYr2!$AD46*ADRYr2!$AF46*ADRYr2!P46*ADRYr2!Q46*ADRYr2!$S46)</f>
        <v/>
      </c>
      <c r="Y46" s="27" t="str">
        <f>IF($G46="","",$G46*ADRYr2!$AD46*ADRYr2!$AE46*ADRYr2!Q46*ADRYr2!$T46)</f>
        <v/>
      </c>
      <c r="Z46" s="27" t="str">
        <f>IF($G46="","",$G46*ADRYr2!$AD46*ADRYr2!$AE46*ADRYr2!P46*ADRYr2!Q46*ADRYr2!$T46)</f>
        <v/>
      </c>
      <c r="AA46" s="45" t="str">
        <f>IF($G46="","",$G46*ADRYr2!$Q46*ADRYr2!$U46*(IF(IFERROR(SEARCH("NG", ADRYr2!$AI46),0),ADRYr2!$AJ46,0)+IF(IFERROR(SEARCH("NG", ADRYr2!$AK46),0),ADRYr2!$AL46,0)+IF(IFERROR(SEARCH("NG", ADRYr2!$AM46),0),ADRYr2!$AN46,0)))</f>
        <v/>
      </c>
      <c r="AB46" s="45" t="str">
        <f t="shared" si="21"/>
        <v/>
      </c>
      <c r="AC46" s="45">
        <f>IF($G46="",0,AA46*ADRYr2!$P46)</f>
        <v>0</v>
      </c>
      <c r="AD46" s="45" t="str">
        <f t="shared" si="22"/>
        <v/>
      </c>
      <c r="AE46" s="45" t="str">
        <f>IF($G46="","",$G46*ADRYr2!$Q46*ADRYr2!$U46*(IF(IFERROR(SEARCH("Oil", ADRYr2!$AI46), 0),ADRYr2!$AJ46,0)+IF(IFERROR(SEARCH("Oil", ADRYr2!$AK46), 0),ADRYr2!$AL46,0)+IF(IFERROR(SEARCH("Oil", ADRYr2!$AM46), 0),ADRYr2!$AN46,0)))</f>
        <v/>
      </c>
      <c r="AF46" s="45" t="str">
        <f t="shared" si="23"/>
        <v/>
      </c>
      <c r="AG46" s="45">
        <f>IF($G46="",0,AE46*ADRYr2!$P46)</f>
        <v>0</v>
      </c>
      <c r="AH46" s="45" t="str">
        <f t="shared" si="24"/>
        <v/>
      </c>
      <c r="AI46" s="45" t="str">
        <f>IF($G46="","",$G46*ADRYr2!$Q46*ADRYr2!$U46*(IF(ADRYr2!$AI46=Lookups!$E$116,ADRYr2!$AJ46,IF(ADRYr2!$AK46=Lookups!$E$116,ADRYr2!$AL46,IF(ADRYr2!$AM46=Lookups!$E$116,ADRYr2!$AN46,0)))))</f>
        <v/>
      </c>
      <c r="AJ46" s="45" t="str">
        <f t="shared" si="25"/>
        <v/>
      </c>
      <c r="AK46" s="45">
        <f>IF($G46="",0,AI46*ADRYr2!$P46)</f>
        <v>0</v>
      </c>
      <c r="AL46" s="45" t="str">
        <f t="shared" si="26"/>
        <v/>
      </c>
      <c r="AM46" s="45" t="str">
        <f>IF($G46="","",$G46*ADRYr2!$Q46*ADRYr2!$U46*(IF(ADRYr2!$AI46=Lookups!$E$115,ADRYr2!$AJ46,IF(ADRYr2!$AK46=Lookups!$E$115,ADRYr2!$AL46,IF(ADRYr2!$AM46=Lookups!$E$115,ADRYr2!$AN46,0)))))</f>
        <v/>
      </c>
      <c r="AN46" s="45" t="str">
        <f t="shared" si="27"/>
        <v/>
      </c>
      <c r="AO46" s="45">
        <f>IF($G46="",0,AM46*ADRYr2!$P46)</f>
        <v>0</v>
      </c>
      <c r="AP46" s="45" t="str">
        <f t="shared" si="28"/>
        <v/>
      </c>
      <c r="AQ46" s="45" t="str">
        <f>IF($G46="","",$G46*ADRYr2!$Q46*ADRYr2!$U46*(IF(ADRYr2!$AI46=Lookups!$E$117,ADRYr2!$AJ46,IF(ADRYr2!$AK46=Lookups!$E$117,ADRYr2!$AL46,IF(ADRYr2!$AM46=Lookups!$E$117,ADRYr2!$AN46,0)))))</f>
        <v/>
      </c>
      <c r="AR46" s="45" t="str">
        <f t="shared" si="29"/>
        <v/>
      </c>
      <c r="AS46" s="45" t="str">
        <f>IF($G46="","",AQ46*ADRYr2!$P46)</f>
        <v/>
      </c>
      <c r="AT46" s="45" t="str">
        <f t="shared" si="30"/>
        <v/>
      </c>
      <c r="AU46" s="45" t="str">
        <f>IF($G46="","",$G46*ADRYr2!$Q46*ADRYr2!$U46*(IF(ADRYr2!$AI46=Lookups!$E$118,ADRYr2!$AJ46,IF(ADRYr2!$AK46=Lookups!$E$118,ADRYr2!$AL46,IF(ADRYr2!$AM46=Lookups!$E$118,ADRYr2!$AN46,0)))))</f>
        <v/>
      </c>
      <c r="AV46" s="45" t="str">
        <f t="shared" si="31"/>
        <v/>
      </c>
      <c r="AW46" s="45" t="str">
        <f>IF($G46="","",AU46*ADRYr2!$P46)</f>
        <v/>
      </c>
      <c r="AX46" s="45" t="str">
        <f t="shared" si="32"/>
        <v/>
      </c>
      <c r="AY46" s="45">
        <f t="shared" si="49"/>
        <v>0</v>
      </c>
      <c r="AZ46" s="45">
        <f t="shared" si="49"/>
        <v>0</v>
      </c>
      <c r="BA46" s="101" t="str">
        <f>IF($G46="","",$G46*ADRYr2!$P46*ADRYr2!$Q46*ADRYr2!$U46*ADRYr2!AO46)</f>
        <v/>
      </c>
      <c r="BB46" s="102" t="str">
        <f>IF($G46="","",$G46*ADRYr2!$P46*ADRYr2!$Q46*ADRYr2!$U46*ADRYr2!AP46)</f>
        <v/>
      </c>
      <c r="BC46" s="100" t="str">
        <f t="shared" si="34"/>
        <v/>
      </c>
      <c r="BD46" s="961"/>
      <c r="BE46" s="961"/>
      <c r="BF46" s="961"/>
      <c r="BG46" s="961"/>
      <c r="BH46" s="962" t="str">
        <f t="shared" si="3"/>
        <v/>
      </c>
      <c r="BI46" s="961"/>
      <c r="BJ46" s="961"/>
      <c r="BK46" s="961"/>
      <c r="BL46" s="961"/>
      <c r="BM46" s="30" t="str">
        <f t="shared" si="4"/>
        <v/>
      </c>
      <c r="BN46" s="963" t="str">
        <f t="shared" si="5"/>
        <v/>
      </c>
      <c r="BO46" s="31" t="str">
        <f t="shared" si="35"/>
        <v/>
      </c>
      <c r="BP46" s="964" t="str">
        <f t="shared" si="6"/>
        <v/>
      </c>
      <c r="BQ46" s="28" t="str">
        <f t="shared" si="7"/>
        <v/>
      </c>
      <c r="BR46" s="964" t="str">
        <f t="shared" si="8"/>
        <v/>
      </c>
      <c r="BS46" s="964" t="str">
        <f t="shared" si="9"/>
        <v/>
      </c>
      <c r="BT46" s="28" t="str">
        <f t="shared" si="52"/>
        <v/>
      </c>
      <c r="BU46" s="28" t="str">
        <f t="shared" si="52"/>
        <v/>
      </c>
      <c r="BV46" s="28" t="str">
        <f t="shared" si="52"/>
        <v/>
      </c>
      <c r="BW46" s="29" t="str">
        <f t="shared" si="36"/>
        <v/>
      </c>
      <c r="BX46" s="29" t="str">
        <f t="shared" si="37"/>
        <v/>
      </c>
      <c r="BY46" s="28" t="str">
        <f>IF($G46="","",$G46*(IF(ADRYr2!$AI46=BY$4,ADRYr2!$AJ46,IF(ADRYr2!$AK46=BY$4,ADRYr2!$AL46,IF(ADRYr2!$AM46=BY$4,ADRYr2!$AN46,0))))*(INDEX(avoidedcosttbl2,$H46,BY$2)+(($H46-ROUNDDOWN($H46,0))*(INDEX(avoidedcosttbl2,ROUNDUP($H46,0),BY$2)-(INDEX(avoidedcosttbl2,ROUNDDOWN($H46,0),BY$2)))))*ADRYr2!P46*ADRYr2!Q46*ADRYr2!U46)</f>
        <v/>
      </c>
      <c r="BZ46" s="28" t="str">
        <f>IF($G46="","",$G46*(IF(ADRYr2!$AI46=BZ$4,ADRYr2!$AJ46,IF(ADRYr2!$AK46=BZ$4,ADRYr2!$AL46,IF(ADRYr2!$AM46=BZ$4,ADRYr2!$AN46,0))))*(INDEX(avoidedcosttbl2,$H46,BZ$2)+(($H46-ROUNDDOWN($H46,0))*(INDEX(avoidedcosttbl2,ROUNDUP($H46,0),BZ$2)-(INDEX(avoidedcosttbl2,ROUNDDOWN($H46,0),BZ$2)))))*ADRYr2!P46*ADRYr2!Q46*ADRYr2!U46)</f>
        <v/>
      </c>
      <c r="CA46" s="28" t="str">
        <f>IF($G46="","",$G46*(IF(ADRYr2!$AI46=CA$4,ADRYr2!$AJ46,IF(ADRYr2!$AK46=CA$4,ADRYr2!$AL46,IF(ADRYr2!$AM46=CA$4,ADRYr2!$AN46,0))))*(INDEX(avoidedcosttbl2,$H46,CA$2)+(($H46-ROUNDDOWN($H46,0))*(INDEX(avoidedcosttbl2,ROUNDUP($H46,0),CA$2)-(INDEX(avoidedcosttbl2,ROUNDDOWN($H46,0),CA$2)))))*ADRYr2!P46*ADRYr2!Q46*ADRYr2!U46)</f>
        <v/>
      </c>
      <c r="CB46" s="28" t="str">
        <f>IF($G46="","",$G46*(IF(ADRYr2!$AI46=CB$4,ADRYr2!$AJ46,IF(ADRYr2!$AK46=CB$4,ADRYr2!$AL46,IF(ADRYr2!$AM46=CB$4,ADRYr2!$AN46,0))))*(INDEX(avoidedcosttbl2,$H46,CB$2)+(($H46-ROUNDDOWN($H46,0))*(INDEX(avoidedcosttbl2,ROUNDUP($H46,0),CB$2)-(INDEX(avoidedcosttbl2,ROUNDDOWN($H46,0),CB$2)))))*ADRYr2!P46*ADRYr2!Q46*ADRYr2!U46)</f>
        <v/>
      </c>
      <c r="CC46" s="28" t="str">
        <f>IF($G46="","",$G46*(IF(ADRYr2!$AI46=CC$4,ADRYr2!$AJ46,IF(ADRYr2!$AK46=CC$4,ADRYr2!$AL46,IF(ADRYr2!$AM46=CC$4,ADRYr2!$AN46,0))))*(INDEX(avoidedcosttbl2,$H46,CC$2)+(($H46-ROUNDDOWN($H46,0))*(INDEX(avoidedcosttbl2,ROUNDUP($H46,0),CC$2)-(INDEX(avoidedcosttbl2,ROUNDDOWN($H46,0),CC$2)))))*ADRYr2!P46*ADRYr2!Q46*ADRYr2!U46)</f>
        <v/>
      </c>
      <c r="CD46" s="28" t="str">
        <f>IF($G46="","",$G46*(IF(ADRYr2!$AI46=CD$4,ADRYr2!$AJ46,IF(ADRYr2!$AK46=CD$4,ADRYr2!$AL46,IF(ADRYr2!$AM46=CD$4,ADRYr2!$AN46,0))))*(INDEX(avoidedcosttbl2,$H46,CD$2)+(($H46-ROUNDDOWN($H46,0))*(INDEX(avoidedcosttbl2,ROUNDUP($H46,0),CD$2)-(INDEX(avoidedcosttbl2,ROUNDDOWN($H46,0),CD$2)))))*ADRYr2!P46*ADRYr2!Q46*ADRYr2!U46)</f>
        <v/>
      </c>
      <c r="CE46" s="28" t="str">
        <f>IF($G46="","",$G46*(IF(ADRYr2!$AI46=CE$4,ADRYr2!$AJ46,IF(ADRYr2!$AK46=CE$4,ADRYr2!$AL46,IF(ADRYr2!$AM46=CE$4,ADRYr2!$AN46,0))))*(INDEX(avoidedcosttbl2,$H46,CE$2)+(($H46-ROUNDDOWN($H46,0))*(INDEX(avoidedcosttbl2,ROUNDUP($H46,0),CE$2)-(INDEX(avoidedcosttbl2,ROUNDDOWN($H46,0),CE$2)))))*ADRYr2!P46*ADRYr2!Q46*ADRYr2!U46)</f>
        <v/>
      </c>
      <c r="CF46" s="41" t="str">
        <f t="shared" si="38"/>
        <v/>
      </c>
      <c r="CG46" s="30" t="str">
        <f t="shared" si="11"/>
        <v/>
      </c>
      <c r="CH46" s="30" t="str">
        <f>IF($G46="","",$G46*(IF(ADRYr2!$AI46=BY$4,ADRYr2!$AJ46,IF(ADRYr2!$AK46=BY$4,ADRYr2!$AL46,IF(ADRYr2!$AM46=BY$4,ADRYr2!$AN46,0))))*(INDEX(avoidedcosttbl2,$H46,CH$2)+(($H46-ROUNDDOWN($H46,0))*(INDEX(avoidedcosttbl2,ROUNDUP($H46,0),CH$2)-(INDEX(avoidedcosttbl2,ROUNDDOWN($H46,0),CH$2)))))*ADRYr2!P46*ADRYr2!Q46*ADRYr2!U46)</f>
        <v/>
      </c>
      <c r="CI46" s="30" t="str">
        <f>IF($G46="","",$G46*(IF(ADRYr2!$AI46=BZ$4,ADRYr2!$AJ46,IF(ADRYr2!$AK46=BZ$4,ADRYr2!$AL46,IF(ADRYr2!$AM46=BZ$4,ADRYr2!$AN46,0))))*(INDEX(avoidedcosttbl2,$H46,CI$2)+(($H46-ROUNDDOWN($H46,0))*(INDEX(avoidedcosttbl2,ROUNDUP($H46,0),CI$2)-(INDEX(avoidedcosttbl2,ROUNDDOWN($H46,0),CI$2)))))*ADRYr2!P46*ADRYr2!Q46*ADRYr2!U46)</f>
        <v/>
      </c>
      <c r="CJ46" s="30" t="str">
        <f>IF($G46="","",$G46*(IF(ADRYr2!$AI46=CA$4,ADRYr2!$AJ46,IF(ADRYr2!$AK46=CA$4,ADRYr2!$AL46,IF(ADRYr2!$AM46=CA$4,ADRYr2!$AN46,0))))*(INDEX(avoidedcosttbl2,$H46,CJ$2)+(($H46-ROUNDDOWN($H46,0))*(INDEX(avoidedcosttbl2,ROUNDUP($H46,0),CJ$2)-(INDEX(avoidedcosttbl2,ROUNDDOWN($H46,0),CJ$2)))))*ADRYr2!P46*ADRYr2!Q46*ADRYr2!U46)</f>
        <v/>
      </c>
      <c r="CK46" s="30" t="str">
        <f>IF($G46="","",$G46*(IF(ADRYr2!$AI46=CB$4,ADRYr2!$AJ46,IF(ADRYr2!$AK46=CB$4,ADRYr2!$AL46,IF(ADRYr2!$AM46=CB$4,ADRYr2!$AN46,0))))*(INDEX(avoidedcosttbl2,$H46,CK$2)+(($H46-ROUNDDOWN($H46,0))*(INDEX(avoidedcosttbl2,ROUNDUP($H46,0),CK$2)-(INDEX(avoidedcosttbl2,ROUNDDOWN($H46,0),CK$2)))))*ADRYr2!P46*ADRYr2!Q46*ADRYr2!U46)</f>
        <v/>
      </c>
      <c r="CL46" s="30" t="str">
        <f>IF($G46="","",$G46*(IF(ADRYr2!$AI46=CC$4,ADRYr2!$AJ46,IF(ADRYr2!$AK46=CC$4,ADRYr2!$AL46,IF(ADRYr2!$AM46=CC$4,ADRYr2!$AN46,0))))*(INDEX(avoidedcosttbl2,$H46,CL$2)+(($H46-ROUNDDOWN($H46,0))*(INDEX(avoidedcosttbl2,ROUNDUP($H46,0),CL$2)-(INDEX(avoidedcosttbl2,ROUNDDOWN($H46,0),CL$2)))))*ADRYr2!P46*ADRYr2!Q46*ADRYr2!U46)</f>
        <v/>
      </c>
      <c r="CM46" s="30" t="str">
        <f>IF($G46="","",$G46*(IF(ADRYr2!$AI46=CD$4,ADRYr2!$AJ46,IF(ADRYr2!$AK46=CD$4,ADRYr2!$AL46,IF(ADRYr2!$AM46=CD$4,ADRYr2!$AN46,0))))*(INDEX(avoidedcosttbl2,$H46,CM$2)+(($H46-ROUNDDOWN($H46,0))*(INDEX(avoidedcosttbl2,ROUNDUP($H46,0),CM$2)-(INDEX(avoidedcosttbl2,ROUNDDOWN($H46,0),CM$2)))))*ADRYr2!P46*ADRYr2!Q46*ADRYr2!U46)</f>
        <v/>
      </c>
      <c r="CN46" s="30" t="str">
        <f>IF($G46="","",$G46*(IF(ADRYr2!$AI46=CE$4,ADRYr2!$AJ46,IF(ADRYr2!$AK46=CE$4,ADRYr2!$AL46,IF(ADRYr2!$AM46=CE$4,ADRYr2!$AN46,0))))*(INDEX(avoidedcosttbl2,$H46,CN$2)+(($H46-ROUNDDOWN($H46,0))*(INDEX(avoidedcosttbl2,ROUNDUP($H46,0),CN$2)-(INDEX(avoidedcosttbl2,ROUNDDOWN($H46,0),CN$2)))))*ADRYr2!P46*ADRYr2!Q46*ADRYr2!U46)</f>
        <v/>
      </c>
      <c r="CO46" s="220" t="str">
        <f t="shared" si="39"/>
        <v/>
      </c>
      <c r="CP46" s="220" t="str">
        <f t="shared" si="40"/>
        <v/>
      </c>
      <c r="CQ46" s="157" t="str">
        <f>IF($G46="","",$G46*(IF(ADRYr2!$AI46=CQ$4,ADRYr2!$AJ46,IF(ADRYr2!$AK46=CQ$4,ADRYr2!$AL46,IF(ADRYr2!$AM46=CQ$4,ADRYr2!$AN46,0))))*(INDEX(avoidedcosttbl2,$H46,CQ$2)+(($H46-ROUNDDOWN($H46,0))*(INDEX(avoidedcosttbl2,ROUNDUP($H46,0),CQ$2)-(INDEX(avoidedcosttbl2,ROUNDDOWN($H46,0),CQ$2)))))*ADRYr2!$P46*ADRYr2!$Q46*ADRYr2!$U46)</f>
        <v/>
      </c>
      <c r="CR46" s="28" t="str">
        <f>IF($G46="","",G46*(IF(ADRYr2!$AI46=CR$4,ADRYr2!$AJ46,IF(ADRYr2!$AK46=CR$4,ADRYr2!$AL46,IF(ADRYr2!$AM46=CR$4,ADRYr2!$AN46,0))))*(INDEX(avoidedcosttbl2,$H46,CR$2)+(($H46-ROUNDDOWN($H46,0))*(INDEX(avoidedcosttbl2,ROUNDUP($H46,0),CR$2)-(INDEX(avoidedcosttbl2,ROUNDDOWN($H46,0),CR$2)))))*ADRYr2!$P46*ADRYr2!$Q46*ADRYr2!$U46)</f>
        <v/>
      </c>
      <c r="CS46" s="28" t="str">
        <f>IF($G46="","",G46*(IF(ADRYr2!$AI46=CS$4,ADRYr2!$AJ46,IF(ADRYr2!$AK46=CS$4,ADRYr2!$AL46,IF(ADRYr2!$AM46=CS$4,ADRYr2!$AN46,0))))*(INDEX(avoidedcosttbl2,$H46,CS$2)+(($H46-ROUNDDOWN($H46,0))*(INDEX(avoidedcosttbl2,ROUNDUP($H46,0),CS$2)-(INDEX(avoidedcosttbl2,ROUNDDOWN($H46,0),CS$2)))))*ADRYr2!$P46*ADRYr2!$Q46*ADRYr2!$U46)</f>
        <v/>
      </c>
      <c r="CT46" s="28" t="str">
        <f t="shared" si="12"/>
        <v/>
      </c>
      <c r="CU46" s="28" t="str">
        <f>IF($G46="","",G46*(IF(ADRYr2!$AI46=CU$4,ADRYr2!$AJ46,IF(ADRYr2!$AK46=CU$4,ADRYr2!$AL46,IF(ADRYr2!$AM46=CU$4,ADRYr2!$AN46,0))))*(INDEX(avoidedcosttbl2,$H46,CU$2)+(($H46-ROUNDDOWN($H46,0))*(INDEX(avoidedcosttbl2,ROUNDUP($H46,0),CU$2)-(INDEX(avoidedcosttbl2,ROUNDDOWN($H46,0),CU$2)))))*ADRYr2!$P46*ADRYr2!$Q46*ADRYr2!$U46)</f>
        <v/>
      </c>
      <c r="CV46" s="28" t="str">
        <f>IF($G46="","",G46*(IF(ADRYr2!$AI46=CV$4,ADRYr2!$AJ46,IF(ADRYr2!$AK46=CV$4,ADRYr2!$AL46,IF(ADRYr2!$AM46=CV$4,ADRYr2!$AN46,0))))*(INDEX(avoidedcosttbl2,$H46,CV$2)+(($H46-ROUNDDOWN($H46,0))*(INDEX(avoidedcosttbl2,ROUNDUP($H46,0),CV$2)-(INDEX(avoidedcosttbl2,ROUNDDOWN($H46,0),CV$2)))))*ADRYr2!$P46*ADRYr2!$Q46*ADRYr2!$U46)</f>
        <v/>
      </c>
      <c r="CW46" s="28" t="str">
        <f>IF($G46="","",G46*(IF(ADRYr2!$AI46=CW$4,ADRYr2!$AJ46,IF(ADRYr2!$AK46=CW$4,ADRYr2!$AL46,IF(ADRYr2!$AM46=CW$4,ADRYr2!$AN46,0))))*(INDEX(avoidedcosttbl2,$H46,CW$2)+(($H46-ROUNDDOWN($H46,0))*(INDEX(avoidedcosttbl2,ROUNDUP($H46,0),CW$2)-(INDEX(avoidedcosttbl2,ROUNDDOWN($H46,0),CW$2)))))*ADRYr2!$P46*ADRYr2!$Q46*ADRYr2!$U46)</f>
        <v/>
      </c>
      <c r="CX46" s="28" t="str">
        <f>IF($G46="","",G46*(IF(ADRYr2!$AI46=CX$4,ADRYr2!$AJ46,IF(ADRYr2!$AK46=CX$4,ADRYr2!$AL46,IF(ADRYr2!$AM46=CX$4,ADRYr2!$AN46,0))))*(INDEX(avoidedcosttbl2,$H46,CX$2)+(($H46-ROUNDDOWN($H46,0))*(INDEX(avoidedcosttbl2,ROUNDUP($H46,0),CX$2)-(INDEX(avoidedcosttbl2,ROUNDDOWN($H46,0),CX$2)))))*ADRYr2!$P46*ADRYr2!$Q46*ADRYr2!$U46)</f>
        <v/>
      </c>
      <c r="CY46" s="28" t="str">
        <f t="shared" si="13"/>
        <v/>
      </c>
      <c r="CZ46" s="32" t="str">
        <f t="shared" si="14"/>
        <v/>
      </c>
      <c r="DA46" s="84" t="str">
        <f t="shared" si="41"/>
        <v/>
      </c>
      <c r="DB46" s="81" t="str">
        <f>IF(NEIadder="Yes",IF($G46="","",INDEX(Lookups!$G$70:$G$71,MATCH($A46,Lookups!$E$70:$E$71,0))*(SUM(CP46:CX46,BX46))),"")</f>
        <v/>
      </c>
      <c r="DC46" s="263" t="str">
        <f t="shared" si="15"/>
        <v/>
      </c>
      <c r="DD46" s="166" t="str">
        <f t="shared" si="16"/>
        <v/>
      </c>
      <c r="DE46" s="82">
        <f t="shared" si="42"/>
        <v>0</v>
      </c>
      <c r="DF46" s="615" t="str">
        <f>IF($G46="","",(1+WntPeakEnergyLL)*(INDEX(avoidedcosttbl2,$H46,DF$2)+(($H46-ROUNDDOWN($H46,0))*(INDEX(avoidedcosttbl2,ROUNDUP($H46,0),DF$2)-(INDEX(avoidedcosttbl2,ROUNDDOWN($H46,0),DF$2)))))*$P46*1000*ADRYr2!Z46)</f>
        <v/>
      </c>
      <c r="DG46" s="615" t="str">
        <f>IF($G46="","",(1+WntOffPeakEnergyLL)*(INDEX(avoidedcosttbl2,$H46,DG$2)+(($H46-ROUNDDOWN($H46,0))*(INDEX(avoidedcosttbl2,ROUNDUP($H46,0),DG$2)-(INDEX(avoidedcosttbl2,ROUNDDOWN($H46,0),DG$2)))))*$P46*1000*ADRYr2!AA46)</f>
        <v/>
      </c>
      <c r="DH46" s="615" t="str">
        <f>IF($G46="","",(1+SumPeakEnergyLL)*(INDEX(avoidedcosttbl2,$H46,DH$2)+(($H46-ROUNDDOWN($H46,0))*(INDEX(avoidedcosttbl2,ROUNDUP($H46,0),DH$2)-(INDEX(avoidedcosttbl2,ROUNDDOWN($H46,0),DH$2)))))*$P46*1000*ADRYr2!AB46)</f>
        <v/>
      </c>
      <c r="DI46" s="615" t="str">
        <f>IF($G46="","",(1+SumOffPeakEnergyLL)*(INDEX(avoidedcosttbl2,$H46,DI$2)+(($H46-ROUNDDOWN($H46,0))*(INDEX(avoidedcosttbl2,ROUNDUP($H46,0),DI$2)-(INDEX(avoidedcosttbl2,ROUNDDOWN($H46,0),DI$2)))))*$P46*1000*ADRYr2!AC46)</f>
        <v/>
      </c>
      <c r="DJ46" s="29" t="str">
        <f t="shared" si="43"/>
        <v/>
      </c>
      <c r="DK46" s="161" t="str">
        <f t="shared" si="51"/>
        <v/>
      </c>
      <c r="DO46" s="966" t="str">
        <f>IF($G46="","",ADRYr2!AQ46)</f>
        <v/>
      </c>
      <c r="DP46" s="968" t="str">
        <f>IF($G46="","",ADRYr2!AR46)</f>
        <v/>
      </c>
      <c r="DQ46" s="970" t="str">
        <f>IF($G46="","",IF($DP46="Yes",COLUMN(AESC!$L$10),IF($DP46="No","Using AvoidedDemand tab",IF($DP46="Mixed",COLUMN(AESC!$N$10)))))</f>
        <v/>
      </c>
      <c r="DR46" s="970" t="str">
        <f>IF($G46="","",IF($DP46="Yes",COLUMN(AESC!$P$10),IF($DP46="No","Using AvoidedDemand tab",IF($DP46="Mixed",COLUMN(AESC!$R$10)))))</f>
        <v/>
      </c>
      <c r="DS46" s="970" t="str">
        <f>IF($G46="","",IF($DP46="Yes",COLUMN(AESC!$S$10),IF($DP46="No",COLUMN(AESC!$T$10),IF($DP46="Mixed",COLUMN(AESC!$U$10)))))</f>
        <v/>
      </c>
      <c r="DT46" s="970" t="str">
        <f t="shared" si="48"/>
        <v/>
      </c>
      <c r="DU46" s="970" t="str">
        <f>IF($G46="","",ADRYr2!AS46)</f>
        <v/>
      </c>
      <c r="DV46" s="971" t="str">
        <f>IF($G46="","",ADRYr2!AT46)</f>
        <v/>
      </c>
      <c r="DW46" s="1162" t="str">
        <f>IF($G46="","",INDEX(AvoidedEnergy!$H$4:$H$10,MATCH($DO46,AvoidedEnergy!$A$4:$A$10,0)))</f>
        <v/>
      </c>
    </row>
    <row r="47" spans="1:127">
      <c r="A47" s="160" t="str">
        <f>IF(ADRYr2!$B47=0,"",ADRYr2!A47)</f>
        <v/>
      </c>
      <c r="B47" s="9" t="str">
        <f>IF(ADRYr2!$B47=0,"",ADRYr2!B47)</f>
        <v/>
      </c>
      <c r="C47" s="9" t="str">
        <f>IF(ADRYr2!$B47=0,"",ADRYr2!C47)</f>
        <v/>
      </c>
      <c r="D47" s="9" t="str">
        <f>IF(ADRYr2!$B47=0,"",ADRYr2!D47)</f>
        <v/>
      </c>
      <c r="E47" s="9"/>
      <c r="F47" s="11" t="str">
        <f>IF(ADRYr2!$B47=0,"",ADRYr2!F47)</f>
        <v/>
      </c>
      <c r="G47" s="12" t="str">
        <f>IF(ADRYr2!$G47&lt;&gt;0,ADRYr2!G47,"")</f>
        <v/>
      </c>
      <c r="H47" s="960" t="str">
        <f>IF($G47="","",ROUND(ADRYr2!H47,0))</f>
        <v/>
      </c>
      <c r="I47" s="47" t="str">
        <f>IF($G47="","",ADRYr2!I47*ADRYr2!P47*G47)</f>
        <v/>
      </c>
      <c r="J47" s="47" t="str">
        <f>IF($G47="","",ADRYr2!J47*G47)</f>
        <v/>
      </c>
      <c r="K47" s="47" t="str">
        <f t="shared" si="17"/>
        <v/>
      </c>
      <c r="L47" s="27" t="str">
        <f>IF($G47="","",ADRYr2!V47*G47/1000)</f>
        <v/>
      </c>
      <c r="M47" s="27" t="str">
        <f>IF($G47="","",L47*ADRYr2!$Q47*ADRYr2!$R47)</f>
        <v/>
      </c>
      <c r="N47" s="27" t="str">
        <f t="shared" si="18"/>
        <v/>
      </c>
      <c r="O47" s="27" t="str">
        <f t="shared" si="19"/>
        <v/>
      </c>
      <c r="P47" s="27" t="str">
        <f>IF($G47="","",M47*ADRYr2!P47)</f>
        <v/>
      </c>
      <c r="Q47" s="27" t="str">
        <f t="shared" si="20"/>
        <v/>
      </c>
      <c r="R47" s="27" t="str">
        <f>IF($G47="","",$Q47*ADRYr2!Z47)</f>
        <v/>
      </c>
      <c r="S47" s="27" t="str">
        <f>IF($G47="","",$Q47*ADRYr2!AA47)</f>
        <v/>
      </c>
      <c r="T47" s="27" t="str">
        <f>IF($G47="","",$Q47*ADRYr2!AB47)</f>
        <v/>
      </c>
      <c r="U47" s="27" t="str">
        <f>IF($G47="","",$Q47*ADRYr2!AC47)</f>
        <v/>
      </c>
      <c r="V47" s="27" t="str">
        <f>IF($G47="","",G47*ADRYr2!$AD47*ADRYr2!$P47*ADRYr2!$Q47)</f>
        <v/>
      </c>
      <c r="W47" s="27" t="str">
        <f>IF($G47="","",$G47*ADRYr2!$AD47*ADRYr2!$AF47*ADRYr2!Q47*ADRYr2!$S47)</f>
        <v/>
      </c>
      <c r="X47" s="27" t="str">
        <f>IF($G47="","",$G47*ADRYr2!$AD47*ADRYr2!$AF47*ADRYr2!P47*ADRYr2!Q47*ADRYr2!$S47)</f>
        <v/>
      </c>
      <c r="Y47" s="27" t="str">
        <f>IF($G47="","",$G47*ADRYr2!$AD47*ADRYr2!$AE47*ADRYr2!Q47*ADRYr2!$T47)</f>
        <v/>
      </c>
      <c r="Z47" s="27" t="str">
        <f>IF($G47="","",$G47*ADRYr2!$AD47*ADRYr2!$AE47*ADRYr2!P47*ADRYr2!Q47*ADRYr2!$T47)</f>
        <v/>
      </c>
      <c r="AA47" s="45" t="str">
        <f>IF($G47="","",$G47*ADRYr2!$Q47*ADRYr2!$U47*(IF(IFERROR(SEARCH("NG", ADRYr2!$AI47),0),ADRYr2!$AJ47,0)+IF(IFERROR(SEARCH("NG", ADRYr2!$AK47),0),ADRYr2!$AL47,0)+IF(IFERROR(SEARCH("NG", ADRYr2!$AM47),0),ADRYr2!$AN47,0)))</f>
        <v/>
      </c>
      <c r="AB47" s="45" t="str">
        <f t="shared" si="21"/>
        <v/>
      </c>
      <c r="AC47" s="45">
        <f>IF($G47="",0,AA47*ADRYr2!$P47)</f>
        <v>0</v>
      </c>
      <c r="AD47" s="45" t="str">
        <f t="shared" si="22"/>
        <v/>
      </c>
      <c r="AE47" s="45" t="str">
        <f>IF($G47="","",$G47*ADRYr2!$Q47*ADRYr2!$U47*(IF(IFERROR(SEARCH("Oil", ADRYr2!$AI47), 0),ADRYr2!$AJ47,0)+IF(IFERROR(SEARCH("Oil", ADRYr2!$AK47), 0),ADRYr2!$AL47,0)+IF(IFERROR(SEARCH("Oil", ADRYr2!$AM47), 0),ADRYr2!$AN47,0)))</f>
        <v/>
      </c>
      <c r="AF47" s="45" t="str">
        <f t="shared" si="23"/>
        <v/>
      </c>
      <c r="AG47" s="45">
        <f>IF($G47="",0,AE47*ADRYr2!$P47)</f>
        <v>0</v>
      </c>
      <c r="AH47" s="45" t="str">
        <f t="shared" si="24"/>
        <v/>
      </c>
      <c r="AI47" s="45" t="str">
        <f>IF($G47="","",$G47*ADRYr2!$Q47*ADRYr2!$U47*(IF(ADRYr2!$AI47=Lookups!$E$116,ADRYr2!$AJ47,IF(ADRYr2!$AK47=Lookups!$E$116,ADRYr2!$AL47,IF(ADRYr2!$AM47=Lookups!$E$116,ADRYr2!$AN47,0)))))</f>
        <v/>
      </c>
      <c r="AJ47" s="45" t="str">
        <f t="shared" si="25"/>
        <v/>
      </c>
      <c r="AK47" s="45">
        <f>IF($G47="",0,AI47*ADRYr2!$P47)</f>
        <v>0</v>
      </c>
      <c r="AL47" s="45" t="str">
        <f t="shared" si="26"/>
        <v/>
      </c>
      <c r="AM47" s="45" t="str">
        <f>IF($G47="","",$G47*ADRYr2!$Q47*ADRYr2!$U47*(IF(ADRYr2!$AI47=Lookups!$E$115,ADRYr2!$AJ47,IF(ADRYr2!$AK47=Lookups!$E$115,ADRYr2!$AL47,IF(ADRYr2!$AM47=Lookups!$E$115,ADRYr2!$AN47,0)))))</f>
        <v/>
      </c>
      <c r="AN47" s="45" t="str">
        <f t="shared" si="27"/>
        <v/>
      </c>
      <c r="AO47" s="45">
        <f>IF($G47="",0,AM47*ADRYr2!$P47)</f>
        <v>0</v>
      </c>
      <c r="AP47" s="45" t="str">
        <f t="shared" si="28"/>
        <v/>
      </c>
      <c r="AQ47" s="45" t="str">
        <f>IF($G47="","",$G47*ADRYr2!$Q47*ADRYr2!$U47*(IF(ADRYr2!$AI47=Lookups!$E$117,ADRYr2!$AJ47,IF(ADRYr2!$AK47=Lookups!$E$117,ADRYr2!$AL47,IF(ADRYr2!$AM47=Lookups!$E$117,ADRYr2!$AN47,0)))))</f>
        <v/>
      </c>
      <c r="AR47" s="45" t="str">
        <f t="shared" si="29"/>
        <v/>
      </c>
      <c r="AS47" s="45" t="str">
        <f>IF($G47="","",AQ47*ADRYr2!$P47)</f>
        <v/>
      </c>
      <c r="AT47" s="45" t="str">
        <f t="shared" si="30"/>
        <v/>
      </c>
      <c r="AU47" s="45" t="str">
        <f>IF($G47="","",$G47*ADRYr2!$Q47*ADRYr2!$U47*(IF(ADRYr2!$AI47=Lookups!$E$118,ADRYr2!$AJ47,IF(ADRYr2!$AK47=Lookups!$E$118,ADRYr2!$AL47,IF(ADRYr2!$AM47=Lookups!$E$118,ADRYr2!$AN47,0)))))</f>
        <v/>
      </c>
      <c r="AV47" s="45" t="str">
        <f t="shared" si="31"/>
        <v/>
      </c>
      <c r="AW47" s="45" t="str">
        <f>IF($G47="","",AU47*ADRYr2!$P47)</f>
        <v/>
      </c>
      <c r="AX47" s="45" t="str">
        <f t="shared" si="32"/>
        <v/>
      </c>
      <c r="AY47" s="45">
        <f t="shared" si="49"/>
        <v>0</v>
      </c>
      <c r="AZ47" s="45">
        <f t="shared" si="49"/>
        <v>0</v>
      </c>
      <c r="BA47" s="101" t="str">
        <f>IF($G47="","",$G47*ADRYr2!$P47*ADRYr2!$Q47*ADRYr2!$U47*ADRYr2!AO47)</f>
        <v/>
      </c>
      <c r="BB47" s="102" t="str">
        <f>IF($G47="","",$G47*ADRYr2!$P47*ADRYr2!$Q47*ADRYr2!$U47*ADRYr2!AP47)</f>
        <v/>
      </c>
      <c r="BC47" s="100" t="str">
        <f t="shared" si="34"/>
        <v/>
      </c>
      <c r="BD47" s="961"/>
      <c r="BE47" s="961"/>
      <c r="BF47" s="961"/>
      <c r="BG47" s="961"/>
      <c r="BH47" s="962" t="str">
        <f t="shared" si="3"/>
        <v/>
      </c>
      <c r="BI47" s="961"/>
      <c r="BJ47" s="961"/>
      <c r="BK47" s="961"/>
      <c r="BL47" s="961"/>
      <c r="BM47" s="30" t="str">
        <f t="shared" si="4"/>
        <v/>
      </c>
      <c r="BN47" s="963" t="str">
        <f t="shared" si="5"/>
        <v/>
      </c>
      <c r="BO47" s="31" t="str">
        <f t="shared" si="35"/>
        <v/>
      </c>
      <c r="BP47" s="964" t="str">
        <f t="shared" si="6"/>
        <v/>
      </c>
      <c r="BQ47" s="28" t="str">
        <f t="shared" si="7"/>
        <v/>
      </c>
      <c r="BR47" s="964" t="str">
        <f t="shared" si="8"/>
        <v/>
      </c>
      <c r="BS47" s="964" t="str">
        <f t="shared" si="9"/>
        <v/>
      </c>
      <c r="BT47" s="28" t="str">
        <f t="shared" si="52"/>
        <v/>
      </c>
      <c r="BU47" s="28" t="str">
        <f t="shared" si="52"/>
        <v/>
      </c>
      <c r="BV47" s="28" t="str">
        <f t="shared" si="52"/>
        <v/>
      </c>
      <c r="BW47" s="29" t="str">
        <f t="shared" si="36"/>
        <v/>
      </c>
      <c r="BX47" s="29" t="str">
        <f t="shared" si="37"/>
        <v/>
      </c>
      <c r="BY47" s="28" t="str">
        <f>IF($G47="","",$G47*(IF(ADRYr2!$AI47=BY$4,ADRYr2!$AJ47,IF(ADRYr2!$AK47=BY$4,ADRYr2!$AL47,IF(ADRYr2!$AM47=BY$4,ADRYr2!$AN47,0))))*(INDEX(avoidedcosttbl2,$H47,BY$2)+(($H47-ROUNDDOWN($H47,0))*(INDEX(avoidedcosttbl2,ROUNDUP($H47,0),BY$2)-(INDEX(avoidedcosttbl2,ROUNDDOWN($H47,0),BY$2)))))*ADRYr2!P47*ADRYr2!Q47*ADRYr2!U47)</f>
        <v/>
      </c>
      <c r="BZ47" s="28" t="str">
        <f>IF($G47="","",$G47*(IF(ADRYr2!$AI47=BZ$4,ADRYr2!$AJ47,IF(ADRYr2!$AK47=BZ$4,ADRYr2!$AL47,IF(ADRYr2!$AM47=BZ$4,ADRYr2!$AN47,0))))*(INDEX(avoidedcosttbl2,$H47,BZ$2)+(($H47-ROUNDDOWN($H47,0))*(INDEX(avoidedcosttbl2,ROUNDUP($H47,0),BZ$2)-(INDEX(avoidedcosttbl2,ROUNDDOWN($H47,0),BZ$2)))))*ADRYr2!P47*ADRYr2!Q47*ADRYr2!U47)</f>
        <v/>
      </c>
      <c r="CA47" s="28" t="str">
        <f>IF($G47="","",$G47*(IF(ADRYr2!$AI47=CA$4,ADRYr2!$AJ47,IF(ADRYr2!$AK47=CA$4,ADRYr2!$AL47,IF(ADRYr2!$AM47=CA$4,ADRYr2!$AN47,0))))*(INDEX(avoidedcosttbl2,$H47,CA$2)+(($H47-ROUNDDOWN($H47,0))*(INDEX(avoidedcosttbl2,ROUNDUP($H47,0),CA$2)-(INDEX(avoidedcosttbl2,ROUNDDOWN($H47,0),CA$2)))))*ADRYr2!P47*ADRYr2!Q47*ADRYr2!U47)</f>
        <v/>
      </c>
      <c r="CB47" s="28" t="str">
        <f>IF($G47="","",$G47*(IF(ADRYr2!$AI47=CB$4,ADRYr2!$AJ47,IF(ADRYr2!$AK47=CB$4,ADRYr2!$AL47,IF(ADRYr2!$AM47=CB$4,ADRYr2!$AN47,0))))*(INDEX(avoidedcosttbl2,$H47,CB$2)+(($H47-ROUNDDOWN($H47,0))*(INDEX(avoidedcosttbl2,ROUNDUP($H47,0),CB$2)-(INDEX(avoidedcosttbl2,ROUNDDOWN($H47,0),CB$2)))))*ADRYr2!P47*ADRYr2!Q47*ADRYr2!U47)</f>
        <v/>
      </c>
      <c r="CC47" s="28" t="str">
        <f>IF($G47="","",$G47*(IF(ADRYr2!$AI47=CC$4,ADRYr2!$AJ47,IF(ADRYr2!$AK47=CC$4,ADRYr2!$AL47,IF(ADRYr2!$AM47=CC$4,ADRYr2!$AN47,0))))*(INDEX(avoidedcosttbl2,$H47,CC$2)+(($H47-ROUNDDOWN($H47,0))*(INDEX(avoidedcosttbl2,ROUNDUP($H47,0),CC$2)-(INDEX(avoidedcosttbl2,ROUNDDOWN($H47,0),CC$2)))))*ADRYr2!P47*ADRYr2!Q47*ADRYr2!U47)</f>
        <v/>
      </c>
      <c r="CD47" s="28" t="str">
        <f>IF($G47="","",$G47*(IF(ADRYr2!$AI47=CD$4,ADRYr2!$AJ47,IF(ADRYr2!$AK47=CD$4,ADRYr2!$AL47,IF(ADRYr2!$AM47=CD$4,ADRYr2!$AN47,0))))*(INDEX(avoidedcosttbl2,$H47,CD$2)+(($H47-ROUNDDOWN($H47,0))*(INDEX(avoidedcosttbl2,ROUNDUP($H47,0),CD$2)-(INDEX(avoidedcosttbl2,ROUNDDOWN($H47,0),CD$2)))))*ADRYr2!P47*ADRYr2!Q47*ADRYr2!U47)</f>
        <v/>
      </c>
      <c r="CE47" s="28" t="str">
        <f>IF($G47="","",$G47*(IF(ADRYr2!$AI47=CE$4,ADRYr2!$AJ47,IF(ADRYr2!$AK47=CE$4,ADRYr2!$AL47,IF(ADRYr2!$AM47=CE$4,ADRYr2!$AN47,0))))*(INDEX(avoidedcosttbl2,$H47,CE$2)+(($H47-ROUNDDOWN($H47,0))*(INDEX(avoidedcosttbl2,ROUNDUP($H47,0),CE$2)-(INDEX(avoidedcosttbl2,ROUNDDOWN($H47,0),CE$2)))))*ADRYr2!P47*ADRYr2!Q47*ADRYr2!U47)</f>
        <v/>
      </c>
      <c r="CF47" s="41" t="str">
        <f t="shared" si="38"/>
        <v/>
      </c>
      <c r="CG47" s="30" t="str">
        <f t="shared" si="11"/>
        <v/>
      </c>
      <c r="CH47" s="30" t="str">
        <f>IF($G47="","",$G47*(IF(ADRYr2!$AI47=BY$4,ADRYr2!$AJ47,IF(ADRYr2!$AK47=BY$4,ADRYr2!$AL47,IF(ADRYr2!$AM47=BY$4,ADRYr2!$AN47,0))))*(INDEX(avoidedcosttbl2,$H47,CH$2)+(($H47-ROUNDDOWN($H47,0))*(INDEX(avoidedcosttbl2,ROUNDUP($H47,0),CH$2)-(INDEX(avoidedcosttbl2,ROUNDDOWN($H47,0),CH$2)))))*ADRYr2!P47*ADRYr2!Q47*ADRYr2!U47)</f>
        <v/>
      </c>
      <c r="CI47" s="30" t="str">
        <f>IF($G47="","",$G47*(IF(ADRYr2!$AI47=BZ$4,ADRYr2!$AJ47,IF(ADRYr2!$AK47=BZ$4,ADRYr2!$AL47,IF(ADRYr2!$AM47=BZ$4,ADRYr2!$AN47,0))))*(INDEX(avoidedcosttbl2,$H47,CI$2)+(($H47-ROUNDDOWN($H47,0))*(INDEX(avoidedcosttbl2,ROUNDUP($H47,0),CI$2)-(INDEX(avoidedcosttbl2,ROUNDDOWN($H47,0),CI$2)))))*ADRYr2!P47*ADRYr2!Q47*ADRYr2!U47)</f>
        <v/>
      </c>
      <c r="CJ47" s="30" t="str">
        <f>IF($G47="","",$G47*(IF(ADRYr2!$AI47=CA$4,ADRYr2!$AJ47,IF(ADRYr2!$AK47=CA$4,ADRYr2!$AL47,IF(ADRYr2!$AM47=CA$4,ADRYr2!$AN47,0))))*(INDEX(avoidedcosttbl2,$H47,CJ$2)+(($H47-ROUNDDOWN($H47,0))*(INDEX(avoidedcosttbl2,ROUNDUP($H47,0),CJ$2)-(INDEX(avoidedcosttbl2,ROUNDDOWN($H47,0),CJ$2)))))*ADRYr2!P47*ADRYr2!Q47*ADRYr2!U47)</f>
        <v/>
      </c>
      <c r="CK47" s="30" t="str">
        <f>IF($G47="","",$G47*(IF(ADRYr2!$AI47=CB$4,ADRYr2!$AJ47,IF(ADRYr2!$AK47=CB$4,ADRYr2!$AL47,IF(ADRYr2!$AM47=CB$4,ADRYr2!$AN47,0))))*(INDEX(avoidedcosttbl2,$H47,CK$2)+(($H47-ROUNDDOWN($H47,0))*(INDEX(avoidedcosttbl2,ROUNDUP($H47,0),CK$2)-(INDEX(avoidedcosttbl2,ROUNDDOWN($H47,0),CK$2)))))*ADRYr2!P47*ADRYr2!Q47*ADRYr2!U47)</f>
        <v/>
      </c>
      <c r="CL47" s="30" t="str">
        <f>IF($G47="","",$G47*(IF(ADRYr2!$AI47=CC$4,ADRYr2!$AJ47,IF(ADRYr2!$AK47=CC$4,ADRYr2!$AL47,IF(ADRYr2!$AM47=CC$4,ADRYr2!$AN47,0))))*(INDEX(avoidedcosttbl2,$H47,CL$2)+(($H47-ROUNDDOWN($H47,0))*(INDEX(avoidedcosttbl2,ROUNDUP($H47,0),CL$2)-(INDEX(avoidedcosttbl2,ROUNDDOWN($H47,0),CL$2)))))*ADRYr2!P47*ADRYr2!Q47*ADRYr2!U47)</f>
        <v/>
      </c>
      <c r="CM47" s="30" t="str">
        <f>IF($G47="","",$G47*(IF(ADRYr2!$AI47=CD$4,ADRYr2!$AJ47,IF(ADRYr2!$AK47=CD$4,ADRYr2!$AL47,IF(ADRYr2!$AM47=CD$4,ADRYr2!$AN47,0))))*(INDEX(avoidedcosttbl2,$H47,CM$2)+(($H47-ROUNDDOWN($H47,0))*(INDEX(avoidedcosttbl2,ROUNDUP($H47,0),CM$2)-(INDEX(avoidedcosttbl2,ROUNDDOWN($H47,0),CM$2)))))*ADRYr2!P47*ADRYr2!Q47*ADRYr2!U47)</f>
        <v/>
      </c>
      <c r="CN47" s="30" t="str">
        <f>IF($G47="","",$G47*(IF(ADRYr2!$AI47=CE$4,ADRYr2!$AJ47,IF(ADRYr2!$AK47=CE$4,ADRYr2!$AL47,IF(ADRYr2!$AM47=CE$4,ADRYr2!$AN47,0))))*(INDEX(avoidedcosttbl2,$H47,CN$2)+(($H47-ROUNDDOWN($H47,0))*(INDEX(avoidedcosttbl2,ROUNDUP($H47,0),CN$2)-(INDEX(avoidedcosttbl2,ROUNDDOWN($H47,0),CN$2)))))*ADRYr2!P47*ADRYr2!Q47*ADRYr2!U47)</f>
        <v/>
      </c>
      <c r="CO47" s="220" t="str">
        <f t="shared" si="39"/>
        <v/>
      </c>
      <c r="CP47" s="220" t="str">
        <f t="shared" si="40"/>
        <v/>
      </c>
      <c r="CQ47" s="157" t="str">
        <f>IF($G47="","",$G47*(IF(ADRYr2!$AI47=CQ$4,ADRYr2!$AJ47,IF(ADRYr2!$AK47=CQ$4,ADRYr2!$AL47,IF(ADRYr2!$AM47=CQ$4,ADRYr2!$AN47,0))))*(INDEX(avoidedcosttbl2,$H47,CQ$2)+(($H47-ROUNDDOWN($H47,0))*(INDEX(avoidedcosttbl2,ROUNDUP($H47,0),CQ$2)-(INDEX(avoidedcosttbl2,ROUNDDOWN($H47,0),CQ$2)))))*ADRYr2!$P47*ADRYr2!$Q47*ADRYr2!$U47)</f>
        <v/>
      </c>
      <c r="CR47" s="28" t="str">
        <f>IF($G47="","",G47*(IF(ADRYr2!$AI47=CR$4,ADRYr2!$AJ47,IF(ADRYr2!$AK47=CR$4,ADRYr2!$AL47,IF(ADRYr2!$AM47=CR$4,ADRYr2!$AN47,0))))*(INDEX(avoidedcosttbl2,$H47,CR$2)+(($H47-ROUNDDOWN($H47,0))*(INDEX(avoidedcosttbl2,ROUNDUP($H47,0),CR$2)-(INDEX(avoidedcosttbl2,ROUNDDOWN($H47,0),CR$2)))))*ADRYr2!$P47*ADRYr2!$Q47*ADRYr2!$U47)</f>
        <v/>
      </c>
      <c r="CS47" s="28" t="str">
        <f>IF($G47="","",G47*(IF(ADRYr2!$AI47=CS$4,ADRYr2!$AJ47,IF(ADRYr2!$AK47=CS$4,ADRYr2!$AL47,IF(ADRYr2!$AM47=CS$4,ADRYr2!$AN47,0))))*(INDEX(avoidedcosttbl2,$H47,CS$2)+(($H47-ROUNDDOWN($H47,0))*(INDEX(avoidedcosttbl2,ROUNDUP($H47,0),CS$2)-(INDEX(avoidedcosttbl2,ROUNDDOWN($H47,0),CS$2)))))*ADRYr2!$P47*ADRYr2!$Q47*ADRYr2!$U47)</f>
        <v/>
      </c>
      <c r="CT47" s="28" t="str">
        <f t="shared" si="12"/>
        <v/>
      </c>
      <c r="CU47" s="28" t="str">
        <f>IF($G47="","",G47*(IF(ADRYr2!$AI47=CU$4,ADRYr2!$AJ47,IF(ADRYr2!$AK47=CU$4,ADRYr2!$AL47,IF(ADRYr2!$AM47=CU$4,ADRYr2!$AN47,0))))*(INDEX(avoidedcosttbl2,$H47,CU$2)+(($H47-ROUNDDOWN($H47,0))*(INDEX(avoidedcosttbl2,ROUNDUP($H47,0),CU$2)-(INDEX(avoidedcosttbl2,ROUNDDOWN($H47,0),CU$2)))))*ADRYr2!$P47*ADRYr2!$Q47*ADRYr2!$U47)</f>
        <v/>
      </c>
      <c r="CV47" s="28" t="str">
        <f>IF($G47="","",G47*(IF(ADRYr2!$AI47=CV$4,ADRYr2!$AJ47,IF(ADRYr2!$AK47=CV$4,ADRYr2!$AL47,IF(ADRYr2!$AM47=CV$4,ADRYr2!$AN47,0))))*(INDEX(avoidedcosttbl2,$H47,CV$2)+(($H47-ROUNDDOWN($H47,0))*(INDEX(avoidedcosttbl2,ROUNDUP($H47,0),CV$2)-(INDEX(avoidedcosttbl2,ROUNDDOWN($H47,0),CV$2)))))*ADRYr2!$P47*ADRYr2!$Q47*ADRYr2!$U47)</f>
        <v/>
      </c>
      <c r="CW47" s="28" t="str">
        <f>IF($G47="","",G47*(IF(ADRYr2!$AI47=CW$4,ADRYr2!$AJ47,IF(ADRYr2!$AK47=CW$4,ADRYr2!$AL47,IF(ADRYr2!$AM47=CW$4,ADRYr2!$AN47,0))))*(INDEX(avoidedcosttbl2,$H47,CW$2)+(($H47-ROUNDDOWN($H47,0))*(INDEX(avoidedcosttbl2,ROUNDUP($H47,0),CW$2)-(INDEX(avoidedcosttbl2,ROUNDDOWN($H47,0),CW$2)))))*ADRYr2!$P47*ADRYr2!$Q47*ADRYr2!$U47)</f>
        <v/>
      </c>
      <c r="CX47" s="28" t="str">
        <f>IF($G47="","",G47*(IF(ADRYr2!$AI47=CX$4,ADRYr2!$AJ47,IF(ADRYr2!$AK47=CX$4,ADRYr2!$AL47,IF(ADRYr2!$AM47=CX$4,ADRYr2!$AN47,0))))*(INDEX(avoidedcosttbl2,$H47,CX$2)+(($H47-ROUNDDOWN($H47,0))*(INDEX(avoidedcosttbl2,ROUNDUP($H47,0),CX$2)-(INDEX(avoidedcosttbl2,ROUNDDOWN($H47,0),CX$2)))))*ADRYr2!$P47*ADRYr2!$Q47*ADRYr2!$U47)</f>
        <v/>
      </c>
      <c r="CY47" s="28" t="str">
        <f t="shared" si="13"/>
        <v/>
      </c>
      <c r="CZ47" s="32" t="str">
        <f t="shared" si="14"/>
        <v/>
      </c>
      <c r="DA47" s="84" t="str">
        <f t="shared" si="41"/>
        <v/>
      </c>
      <c r="DB47" s="81" t="str">
        <f>IF(NEIadder="Yes",IF($G47="","",INDEX(Lookups!$G$70:$G$71,MATCH($A47,Lookups!$E$70:$E$71,0))*(SUM(CP47:CX47,BX47))),"")</f>
        <v/>
      </c>
      <c r="DC47" s="263" t="str">
        <f t="shared" si="15"/>
        <v/>
      </c>
      <c r="DD47" s="166" t="str">
        <f t="shared" si="16"/>
        <v/>
      </c>
      <c r="DE47" s="82">
        <f t="shared" si="42"/>
        <v>0</v>
      </c>
      <c r="DF47" s="615" t="str">
        <f>IF($G47="","",(1+WntPeakEnergyLL)*(INDEX(avoidedcosttbl2,$H47,DF$2)+(($H47-ROUNDDOWN($H47,0))*(INDEX(avoidedcosttbl2,ROUNDUP($H47,0),DF$2)-(INDEX(avoidedcosttbl2,ROUNDDOWN($H47,0),DF$2)))))*$P47*1000*ADRYr2!Z47)</f>
        <v/>
      </c>
      <c r="DG47" s="615" t="str">
        <f>IF($G47="","",(1+WntOffPeakEnergyLL)*(INDEX(avoidedcosttbl2,$H47,DG$2)+(($H47-ROUNDDOWN($H47,0))*(INDEX(avoidedcosttbl2,ROUNDUP($H47,0),DG$2)-(INDEX(avoidedcosttbl2,ROUNDDOWN($H47,0),DG$2)))))*$P47*1000*ADRYr2!AA47)</f>
        <v/>
      </c>
      <c r="DH47" s="615" t="str">
        <f>IF($G47="","",(1+SumPeakEnergyLL)*(INDEX(avoidedcosttbl2,$H47,DH$2)+(($H47-ROUNDDOWN($H47,0))*(INDEX(avoidedcosttbl2,ROUNDUP($H47,0),DH$2)-(INDEX(avoidedcosttbl2,ROUNDDOWN($H47,0),DH$2)))))*$P47*1000*ADRYr2!AB47)</f>
        <v/>
      </c>
      <c r="DI47" s="615" t="str">
        <f>IF($G47="","",(1+SumOffPeakEnergyLL)*(INDEX(avoidedcosttbl2,$H47,DI$2)+(($H47-ROUNDDOWN($H47,0))*(INDEX(avoidedcosttbl2,ROUNDUP($H47,0),DI$2)-(INDEX(avoidedcosttbl2,ROUNDDOWN($H47,0),DI$2)))))*$P47*1000*ADRYr2!AC47)</f>
        <v/>
      </c>
      <c r="DJ47" s="29" t="str">
        <f t="shared" si="43"/>
        <v/>
      </c>
      <c r="DK47" s="161" t="str">
        <f t="shared" si="51"/>
        <v/>
      </c>
      <c r="DO47" s="966" t="str">
        <f>IF($G47="","",ADRYr2!AQ47)</f>
        <v/>
      </c>
      <c r="DP47" s="968" t="str">
        <f>IF($G47="","",ADRYr2!AR47)</f>
        <v/>
      </c>
      <c r="DQ47" s="970" t="str">
        <f>IF($G47="","",IF($DP47="Yes",COLUMN(AESC!$L$10),IF($DP47="No","Using AvoidedDemand tab",IF($DP47="Mixed",COLUMN(AESC!$N$10)))))</f>
        <v/>
      </c>
      <c r="DR47" s="970" t="str">
        <f>IF($G47="","",IF($DP47="Yes",COLUMN(AESC!$P$10),IF($DP47="No","Using AvoidedDemand tab",IF($DP47="Mixed",COLUMN(AESC!$R$10)))))</f>
        <v/>
      </c>
      <c r="DS47" s="970" t="str">
        <f>IF($G47="","",IF($DP47="Yes",COLUMN(AESC!$S$10),IF($DP47="No",COLUMN(AESC!$T$10),IF($DP47="Mixed",COLUMN(AESC!$U$10)))))</f>
        <v/>
      </c>
      <c r="DT47" s="970" t="str">
        <f t="shared" si="48"/>
        <v/>
      </c>
      <c r="DU47" s="970" t="str">
        <f>IF($G47="","",ADRYr2!AS47)</f>
        <v/>
      </c>
      <c r="DV47" s="971" t="str">
        <f>IF($G47="","",ADRYr2!AT47)</f>
        <v/>
      </c>
      <c r="DW47" s="1162" t="str">
        <f>IF($G47="","",INDEX(AvoidedEnergy!$H$4:$H$10,MATCH($DO47,AvoidedEnergy!$A$4:$A$10,0)))</f>
        <v/>
      </c>
    </row>
    <row r="48" spans="1:127">
      <c r="A48" s="160" t="str">
        <f>IF(ADRYr2!$B48=0,"",ADRYr2!A48)</f>
        <v/>
      </c>
      <c r="B48" s="9" t="str">
        <f>IF(ADRYr2!$B48=0,"",ADRYr2!B48)</f>
        <v/>
      </c>
      <c r="C48" s="9" t="str">
        <f>IF(ADRYr2!$B48=0,"",ADRYr2!C48)</f>
        <v/>
      </c>
      <c r="D48" s="9" t="str">
        <f>IF(ADRYr2!$B48=0,"",ADRYr2!D48)</f>
        <v/>
      </c>
      <c r="E48" s="9"/>
      <c r="F48" s="11" t="str">
        <f>IF(ADRYr2!$B48=0,"",ADRYr2!F48)</f>
        <v/>
      </c>
      <c r="G48" s="12" t="str">
        <f>IF(ADRYr2!$G48&lt;&gt;0,ADRYr2!G48,"")</f>
        <v/>
      </c>
      <c r="H48" s="960" t="str">
        <f>IF($G48="","",ROUND(ADRYr2!H48,0))</f>
        <v/>
      </c>
      <c r="I48" s="47" t="str">
        <f>IF($G48="","",ADRYr2!I48*ADRYr2!P48*G48)</f>
        <v/>
      </c>
      <c r="J48" s="47" t="str">
        <f>IF($G48="","",ADRYr2!J48*G48)</f>
        <v/>
      </c>
      <c r="K48" s="47" t="str">
        <f t="shared" si="17"/>
        <v/>
      </c>
      <c r="L48" s="27" t="str">
        <f>IF($G48="","",ADRYr2!V48*G48/1000)</f>
        <v/>
      </c>
      <c r="M48" s="27" t="str">
        <f>IF($G48="","",L48*ADRYr2!$Q48*ADRYr2!$R48)</f>
        <v/>
      </c>
      <c r="N48" s="27" t="str">
        <f t="shared" si="18"/>
        <v/>
      </c>
      <c r="O48" s="27" t="str">
        <f t="shared" si="19"/>
        <v/>
      </c>
      <c r="P48" s="27" t="str">
        <f>IF($G48="","",M48*ADRYr2!P48)</f>
        <v/>
      </c>
      <c r="Q48" s="27" t="str">
        <f t="shared" si="20"/>
        <v/>
      </c>
      <c r="R48" s="27" t="str">
        <f>IF($G48="","",$Q48*ADRYr2!Z48)</f>
        <v/>
      </c>
      <c r="S48" s="27" t="str">
        <f>IF($G48="","",$Q48*ADRYr2!AA48)</f>
        <v/>
      </c>
      <c r="T48" s="27" t="str">
        <f>IF($G48="","",$Q48*ADRYr2!AB48)</f>
        <v/>
      </c>
      <c r="U48" s="27" t="str">
        <f>IF($G48="","",$Q48*ADRYr2!AC48)</f>
        <v/>
      </c>
      <c r="V48" s="27" t="str">
        <f>IF($G48="","",G48*ADRYr2!$AD48*ADRYr2!$P48*ADRYr2!$Q48)</f>
        <v/>
      </c>
      <c r="W48" s="27" t="str">
        <f>IF($G48="","",$G48*ADRYr2!$AD48*ADRYr2!$AF48*ADRYr2!Q48*ADRYr2!$S48)</f>
        <v/>
      </c>
      <c r="X48" s="27" t="str">
        <f>IF($G48="","",$G48*ADRYr2!$AD48*ADRYr2!$AF48*ADRYr2!P48*ADRYr2!Q48*ADRYr2!$S48)</f>
        <v/>
      </c>
      <c r="Y48" s="27" t="str">
        <f>IF($G48="","",$G48*ADRYr2!$AD48*ADRYr2!$AE48*ADRYr2!Q48*ADRYr2!$T48)</f>
        <v/>
      </c>
      <c r="Z48" s="27" t="str">
        <f>IF($G48="","",$G48*ADRYr2!$AD48*ADRYr2!$AE48*ADRYr2!P48*ADRYr2!Q48*ADRYr2!$T48)</f>
        <v/>
      </c>
      <c r="AA48" s="45" t="str">
        <f>IF($G48="","",$G48*ADRYr2!$Q48*ADRYr2!$U48*(IF(IFERROR(SEARCH("NG", ADRYr2!$AI48),0),ADRYr2!$AJ48,0)+IF(IFERROR(SEARCH("NG", ADRYr2!$AK48),0),ADRYr2!$AL48,0)+IF(IFERROR(SEARCH("NG", ADRYr2!$AM48),0),ADRYr2!$AN48,0)))</f>
        <v/>
      </c>
      <c r="AB48" s="45" t="str">
        <f t="shared" si="21"/>
        <v/>
      </c>
      <c r="AC48" s="45">
        <f>IF($G48="",0,AA48*ADRYr2!$P48)</f>
        <v>0</v>
      </c>
      <c r="AD48" s="45" t="str">
        <f t="shared" si="22"/>
        <v/>
      </c>
      <c r="AE48" s="45" t="str">
        <f>IF($G48="","",$G48*ADRYr2!$Q48*ADRYr2!$U48*(IF(IFERROR(SEARCH("Oil", ADRYr2!$AI48), 0),ADRYr2!$AJ48,0)+IF(IFERROR(SEARCH("Oil", ADRYr2!$AK48), 0),ADRYr2!$AL48,0)+IF(IFERROR(SEARCH("Oil", ADRYr2!$AM48), 0),ADRYr2!$AN48,0)))</f>
        <v/>
      </c>
      <c r="AF48" s="45" t="str">
        <f t="shared" si="23"/>
        <v/>
      </c>
      <c r="AG48" s="45">
        <f>IF($G48="",0,AE48*ADRYr2!$P48)</f>
        <v>0</v>
      </c>
      <c r="AH48" s="45" t="str">
        <f t="shared" si="24"/>
        <v/>
      </c>
      <c r="AI48" s="45" t="str">
        <f>IF($G48="","",$G48*ADRYr2!$Q48*ADRYr2!$U48*(IF(ADRYr2!$AI48=Lookups!$E$116,ADRYr2!$AJ48,IF(ADRYr2!$AK48=Lookups!$E$116,ADRYr2!$AL48,IF(ADRYr2!$AM48=Lookups!$E$116,ADRYr2!$AN48,0)))))</f>
        <v/>
      </c>
      <c r="AJ48" s="45" t="str">
        <f t="shared" si="25"/>
        <v/>
      </c>
      <c r="AK48" s="45">
        <f>IF($G48="",0,AI48*ADRYr2!$P48)</f>
        <v>0</v>
      </c>
      <c r="AL48" s="45" t="str">
        <f t="shared" si="26"/>
        <v/>
      </c>
      <c r="AM48" s="45" t="str">
        <f>IF($G48="","",$G48*ADRYr2!$Q48*ADRYr2!$U48*(IF(ADRYr2!$AI48=Lookups!$E$115,ADRYr2!$AJ48,IF(ADRYr2!$AK48=Lookups!$E$115,ADRYr2!$AL48,IF(ADRYr2!$AM48=Lookups!$E$115,ADRYr2!$AN48,0)))))</f>
        <v/>
      </c>
      <c r="AN48" s="45" t="str">
        <f t="shared" si="27"/>
        <v/>
      </c>
      <c r="AO48" s="45">
        <f>IF($G48="",0,AM48*ADRYr2!$P48)</f>
        <v>0</v>
      </c>
      <c r="AP48" s="45" t="str">
        <f t="shared" si="28"/>
        <v/>
      </c>
      <c r="AQ48" s="45" t="str">
        <f>IF($G48="","",$G48*ADRYr2!$Q48*ADRYr2!$U48*(IF(ADRYr2!$AI48=Lookups!$E$117,ADRYr2!$AJ48,IF(ADRYr2!$AK48=Lookups!$E$117,ADRYr2!$AL48,IF(ADRYr2!$AM48=Lookups!$E$117,ADRYr2!$AN48,0)))))</f>
        <v/>
      </c>
      <c r="AR48" s="45" t="str">
        <f t="shared" si="29"/>
        <v/>
      </c>
      <c r="AS48" s="45" t="str">
        <f>IF($G48="","",AQ48*ADRYr2!$P48)</f>
        <v/>
      </c>
      <c r="AT48" s="45" t="str">
        <f t="shared" si="30"/>
        <v/>
      </c>
      <c r="AU48" s="45" t="str">
        <f>IF($G48="","",$G48*ADRYr2!$Q48*ADRYr2!$U48*(IF(ADRYr2!$AI48=Lookups!$E$118,ADRYr2!$AJ48,IF(ADRYr2!$AK48=Lookups!$E$118,ADRYr2!$AL48,IF(ADRYr2!$AM48=Lookups!$E$118,ADRYr2!$AN48,0)))))</f>
        <v/>
      </c>
      <c r="AV48" s="45" t="str">
        <f t="shared" si="31"/>
        <v/>
      </c>
      <c r="AW48" s="45" t="str">
        <f>IF($G48="","",AU48*ADRYr2!$P48)</f>
        <v/>
      </c>
      <c r="AX48" s="45" t="str">
        <f t="shared" si="32"/>
        <v/>
      </c>
      <c r="AY48" s="45">
        <f t="shared" si="49"/>
        <v>0</v>
      </c>
      <c r="AZ48" s="45">
        <f t="shared" si="49"/>
        <v>0</v>
      </c>
      <c r="BA48" s="101" t="str">
        <f>IF($G48="","",$G48*ADRYr2!$P48*ADRYr2!$Q48*ADRYr2!$U48*ADRYr2!AO48)</f>
        <v/>
      </c>
      <c r="BB48" s="102" t="str">
        <f>IF($G48="","",$G48*ADRYr2!$P48*ADRYr2!$Q48*ADRYr2!$U48*ADRYr2!AP48)</f>
        <v/>
      </c>
      <c r="BC48" s="100" t="str">
        <f t="shared" si="34"/>
        <v/>
      </c>
      <c r="BD48" s="961"/>
      <c r="BE48" s="961"/>
      <c r="BF48" s="961"/>
      <c r="BG48" s="961"/>
      <c r="BH48" s="962" t="str">
        <f t="shared" si="3"/>
        <v/>
      </c>
      <c r="BI48" s="961"/>
      <c r="BJ48" s="961"/>
      <c r="BK48" s="961"/>
      <c r="BL48" s="961"/>
      <c r="BM48" s="30" t="str">
        <f t="shared" si="4"/>
        <v/>
      </c>
      <c r="BN48" s="963" t="str">
        <f t="shared" si="5"/>
        <v/>
      </c>
      <c r="BO48" s="31" t="str">
        <f t="shared" si="35"/>
        <v/>
      </c>
      <c r="BP48" s="964" t="str">
        <f t="shared" si="6"/>
        <v/>
      </c>
      <c r="BQ48" s="28" t="str">
        <f t="shared" si="7"/>
        <v/>
      </c>
      <c r="BR48" s="964" t="str">
        <f t="shared" si="8"/>
        <v/>
      </c>
      <c r="BS48" s="964" t="str">
        <f t="shared" si="9"/>
        <v/>
      </c>
      <c r="BT48" s="28" t="str">
        <f t="shared" si="52"/>
        <v/>
      </c>
      <c r="BU48" s="28" t="str">
        <f t="shared" si="52"/>
        <v/>
      </c>
      <c r="BV48" s="28" t="str">
        <f t="shared" si="52"/>
        <v/>
      </c>
      <c r="BW48" s="29" t="str">
        <f t="shared" si="36"/>
        <v/>
      </c>
      <c r="BX48" s="29" t="str">
        <f t="shared" si="37"/>
        <v/>
      </c>
      <c r="BY48" s="28" t="str">
        <f>IF($G48="","",$G48*(IF(ADRYr2!$AI48=BY$4,ADRYr2!$AJ48,IF(ADRYr2!$AK48=BY$4,ADRYr2!$AL48,IF(ADRYr2!$AM48=BY$4,ADRYr2!$AN48,0))))*(INDEX(avoidedcosttbl2,$H48,BY$2)+(($H48-ROUNDDOWN($H48,0))*(INDEX(avoidedcosttbl2,ROUNDUP($H48,0),BY$2)-(INDEX(avoidedcosttbl2,ROUNDDOWN($H48,0),BY$2)))))*ADRYr2!P48*ADRYr2!Q48*ADRYr2!U48)</f>
        <v/>
      </c>
      <c r="BZ48" s="28" t="str">
        <f>IF($G48="","",$G48*(IF(ADRYr2!$AI48=BZ$4,ADRYr2!$AJ48,IF(ADRYr2!$AK48=BZ$4,ADRYr2!$AL48,IF(ADRYr2!$AM48=BZ$4,ADRYr2!$AN48,0))))*(INDEX(avoidedcosttbl2,$H48,BZ$2)+(($H48-ROUNDDOWN($H48,0))*(INDEX(avoidedcosttbl2,ROUNDUP($H48,0),BZ$2)-(INDEX(avoidedcosttbl2,ROUNDDOWN($H48,0),BZ$2)))))*ADRYr2!P48*ADRYr2!Q48*ADRYr2!U48)</f>
        <v/>
      </c>
      <c r="CA48" s="28" t="str">
        <f>IF($G48="","",$G48*(IF(ADRYr2!$AI48=CA$4,ADRYr2!$AJ48,IF(ADRYr2!$AK48=CA$4,ADRYr2!$AL48,IF(ADRYr2!$AM48=CA$4,ADRYr2!$AN48,0))))*(INDEX(avoidedcosttbl2,$H48,CA$2)+(($H48-ROUNDDOWN($H48,0))*(INDEX(avoidedcosttbl2,ROUNDUP($H48,0),CA$2)-(INDEX(avoidedcosttbl2,ROUNDDOWN($H48,0),CA$2)))))*ADRYr2!P48*ADRYr2!Q48*ADRYr2!U48)</f>
        <v/>
      </c>
      <c r="CB48" s="28" t="str">
        <f>IF($G48="","",$G48*(IF(ADRYr2!$AI48=CB$4,ADRYr2!$AJ48,IF(ADRYr2!$AK48=CB$4,ADRYr2!$AL48,IF(ADRYr2!$AM48=CB$4,ADRYr2!$AN48,0))))*(INDEX(avoidedcosttbl2,$H48,CB$2)+(($H48-ROUNDDOWN($H48,0))*(INDEX(avoidedcosttbl2,ROUNDUP($H48,0),CB$2)-(INDEX(avoidedcosttbl2,ROUNDDOWN($H48,0),CB$2)))))*ADRYr2!P48*ADRYr2!Q48*ADRYr2!U48)</f>
        <v/>
      </c>
      <c r="CC48" s="28" t="str">
        <f>IF($G48="","",$G48*(IF(ADRYr2!$AI48=CC$4,ADRYr2!$AJ48,IF(ADRYr2!$AK48=CC$4,ADRYr2!$AL48,IF(ADRYr2!$AM48=CC$4,ADRYr2!$AN48,0))))*(INDEX(avoidedcosttbl2,$H48,CC$2)+(($H48-ROUNDDOWN($H48,0))*(INDEX(avoidedcosttbl2,ROUNDUP($H48,0),CC$2)-(INDEX(avoidedcosttbl2,ROUNDDOWN($H48,0),CC$2)))))*ADRYr2!P48*ADRYr2!Q48*ADRYr2!U48)</f>
        <v/>
      </c>
      <c r="CD48" s="28" t="str">
        <f>IF($G48="","",$G48*(IF(ADRYr2!$AI48=CD$4,ADRYr2!$AJ48,IF(ADRYr2!$AK48=CD$4,ADRYr2!$AL48,IF(ADRYr2!$AM48=CD$4,ADRYr2!$AN48,0))))*(INDEX(avoidedcosttbl2,$H48,CD$2)+(($H48-ROUNDDOWN($H48,0))*(INDEX(avoidedcosttbl2,ROUNDUP($H48,0),CD$2)-(INDEX(avoidedcosttbl2,ROUNDDOWN($H48,0),CD$2)))))*ADRYr2!P48*ADRYr2!Q48*ADRYr2!U48)</f>
        <v/>
      </c>
      <c r="CE48" s="28" t="str">
        <f>IF($G48="","",$G48*(IF(ADRYr2!$AI48=CE$4,ADRYr2!$AJ48,IF(ADRYr2!$AK48=CE$4,ADRYr2!$AL48,IF(ADRYr2!$AM48=CE$4,ADRYr2!$AN48,0))))*(INDEX(avoidedcosttbl2,$H48,CE$2)+(($H48-ROUNDDOWN($H48,0))*(INDEX(avoidedcosttbl2,ROUNDUP($H48,0),CE$2)-(INDEX(avoidedcosttbl2,ROUNDDOWN($H48,0),CE$2)))))*ADRYr2!P48*ADRYr2!Q48*ADRYr2!U48)</f>
        <v/>
      </c>
      <c r="CF48" s="41" t="str">
        <f t="shared" si="38"/>
        <v/>
      </c>
      <c r="CG48" s="30" t="str">
        <f t="shared" si="11"/>
        <v/>
      </c>
      <c r="CH48" s="30" t="str">
        <f>IF($G48="","",$G48*(IF(ADRYr2!$AI48=BY$4,ADRYr2!$AJ48,IF(ADRYr2!$AK48=BY$4,ADRYr2!$AL48,IF(ADRYr2!$AM48=BY$4,ADRYr2!$AN48,0))))*(INDEX(avoidedcosttbl2,$H48,CH$2)+(($H48-ROUNDDOWN($H48,0))*(INDEX(avoidedcosttbl2,ROUNDUP($H48,0),CH$2)-(INDEX(avoidedcosttbl2,ROUNDDOWN($H48,0),CH$2)))))*ADRYr2!P48*ADRYr2!Q48*ADRYr2!U48)</f>
        <v/>
      </c>
      <c r="CI48" s="30" t="str">
        <f>IF($G48="","",$G48*(IF(ADRYr2!$AI48=BZ$4,ADRYr2!$AJ48,IF(ADRYr2!$AK48=BZ$4,ADRYr2!$AL48,IF(ADRYr2!$AM48=BZ$4,ADRYr2!$AN48,0))))*(INDEX(avoidedcosttbl2,$H48,CI$2)+(($H48-ROUNDDOWN($H48,0))*(INDEX(avoidedcosttbl2,ROUNDUP($H48,0),CI$2)-(INDEX(avoidedcosttbl2,ROUNDDOWN($H48,0),CI$2)))))*ADRYr2!P48*ADRYr2!Q48*ADRYr2!U48)</f>
        <v/>
      </c>
      <c r="CJ48" s="30" t="str">
        <f>IF($G48="","",$G48*(IF(ADRYr2!$AI48=CA$4,ADRYr2!$AJ48,IF(ADRYr2!$AK48=CA$4,ADRYr2!$AL48,IF(ADRYr2!$AM48=CA$4,ADRYr2!$AN48,0))))*(INDEX(avoidedcosttbl2,$H48,CJ$2)+(($H48-ROUNDDOWN($H48,0))*(INDEX(avoidedcosttbl2,ROUNDUP($H48,0),CJ$2)-(INDEX(avoidedcosttbl2,ROUNDDOWN($H48,0),CJ$2)))))*ADRYr2!P48*ADRYr2!Q48*ADRYr2!U48)</f>
        <v/>
      </c>
      <c r="CK48" s="30" t="str">
        <f>IF($G48="","",$G48*(IF(ADRYr2!$AI48=CB$4,ADRYr2!$AJ48,IF(ADRYr2!$AK48=CB$4,ADRYr2!$AL48,IF(ADRYr2!$AM48=CB$4,ADRYr2!$AN48,0))))*(INDEX(avoidedcosttbl2,$H48,CK$2)+(($H48-ROUNDDOWN($H48,0))*(INDEX(avoidedcosttbl2,ROUNDUP($H48,0),CK$2)-(INDEX(avoidedcosttbl2,ROUNDDOWN($H48,0),CK$2)))))*ADRYr2!P48*ADRYr2!Q48*ADRYr2!U48)</f>
        <v/>
      </c>
      <c r="CL48" s="30" t="str">
        <f>IF($G48="","",$G48*(IF(ADRYr2!$AI48=CC$4,ADRYr2!$AJ48,IF(ADRYr2!$AK48=CC$4,ADRYr2!$AL48,IF(ADRYr2!$AM48=CC$4,ADRYr2!$AN48,0))))*(INDEX(avoidedcosttbl2,$H48,CL$2)+(($H48-ROUNDDOWN($H48,0))*(INDEX(avoidedcosttbl2,ROUNDUP($H48,0),CL$2)-(INDEX(avoidedcosttbl2,ROUNDDOWN($H48,0),CL$2)))))*ADRYr2!P48*ADRYr2!Q48*ADRYr2!U48)</f>
        <v/>
      </c>
      <c r="CM48" s="30" t="str">
        <f>IF($G48="","",$G48*(IF(ADRYr2!$AI48=CD$4,ADRYr2!$AJ48,IF(ADRYr2!$AK48=CD$4,ADRYr2!$AL48,IF(ADRYr2!$AM48=CD$4,ADRYr2!$AN48,0))))*(INDEX(avoidedcosttbl2,$H48,CM$2)+(($H48-ROUNDDOWN($H48,0))*(INDEX(avoidedcosttbl2,ROUNDUP($H48,0),CM$2)-(INDEX(avoidedcosttbl2,ROUNDDOWN($H48,0),CM$2)))))*ADRYr2!P48*ADRYr2!Q48*ADRYr2!U48)</f>
        <v/>
      </c>
      <c r="CN48" s="30" t="str">
        <f>IF($G48="","",$G48*(IF(ADRYr2!$AI48=CE$4,ADRYr2!$AJ48,IF(ADRYr2!$AK48=CE$4,ADRYr2!$AL48,IF(ADRYr2!$AM48=CE$4,ADRYr2!$AN48,0))))*(INDEX(avoidedcosttbl2,$H48,CN$2)+(($H48-ROUNDDOWN($H48,0))*(INDEX(avoidedcosttbl2,ROUNDUP($H48,0),CN$2)-(INDEX(avoidedcosttbl2,ROUNDDOWN($H48,0),CN$2)))))*ADRYr2!P48*ADRYr2!Q48*ADRYr2!U48)</f>
        <v/>
      </c>
      <c r="CO48" s="220" t="str">
        <f t="shared" si="39"/>
        <v/>
      </c>
      <c r="CP48" s="220" t="str">
        <f t="shared" si="40"/>
        <v/>
      </c>
      <c r="CQ48" s="157" t="str">
        <f>IF($G48="","",$G48*(IF(ADRYr2!$AI48=CQ$4,ADRYr2!$AJ48,IF(ADRYr2!$AK48=CQ$4,ADRYr2!$AL48,IF(ADRYr2!$AM48=CQ$4,ADRYr2!$AN48,0))))*(INDEX(avoidedcosttbl2,$H48,CQ$2)+(($H48-ROUNDDOWN($H48,0))*(INDEX(avoidedcosttbl2,ROUNDUP($H48,0),CQ$2)-(INDEX(avoidedcosttbl2,ROUNDDOWN($H48,0),CQ$2)))))*ADRYr2!$P48*ADRYr2!$Q48*ADRYr2!$U48)</f>
        <v/>
      </c>
      <c r="CR48" s="28" t="str">
        <f>IF($G48="","",G48*(IF(ADRYr2!$AI48=CR$4,ADRYr2!$AJ48,IF(ADRYr2!$AK48=CR$4,ADRYr2!$AL48,IF(ADRYr2!$AM48=CR$4,ADRYr2!$AN48,0))))*(INDEX(avoidedcosttbl2,$H48,CR$2)+(($H48-ROUNDDOWN($H48,0))*(INDEX(avoidedcosttbl2,ROUNDUP($H48,0),CR$2)-(INDEX(avoidedcosttbl2,ROUNDDOWN($H48,0),CR$2)))))*ADRYr2!$P48*ADRYr2!$Q48*ADRYr2!$U48)</f>
        <v/>
      </c>
      <c r="CS48" s="28" t="str">
        <f>IF($G48="","",G48*(IF(ADRYr2!$AI48=CS$4,ADRYr2!$AJ48,IF(ADRYr2!$AK48=CS$4,ADRYr2!$AL48,IF(ADRYr2!$AM48=CS$4,ADRYr2!$AN48,0))))*(INDEX(avoidedcosttbl2,$H48,CS$2)+(($H48-ROUNDDOWN($H48,0))*(INDEX(avoidedcosttbl2,ROUNDUP($H48,0),CS$2)-(INDEX(avoidedcosttbl2,ROUNDDOWN($H48,0),CS$2)))))*ADRYr2!$P48*ADRYr2!$Q48*ADRYr2!$U48)</f>
        <v/>
      </c>
      <c r="CT48" s="28" t="str">
        <f t="shared" si="12"/>
        <v/>
      </c>
      <c r="CU48" s="28" t="str">
        <f>IF($G48="","",G48*(IF(ADRYr2!$AI48=CU$4,ADRYr2!$AJ48,IF(ADRYr2!$AK48=CU$4,ADRYr2!$AL48,IF(ADRYr2!$AM48=CU$4,ADRYr2!$AN48,0))))*(INDEX(avoidedcosttbl2,$H48,CU$2)+(($H48-ROUNDDOWN($H48,0))*(INDEX(avoidedcosttbl2,ROUNDUP($H48,0),CU$2)-(INDEX(avoidedcosttbl2,ROUNDDOWN($H48,0),CU$2)))))*ADRYr2!$P48*ADRYr2!$Q48*ADRYr2!$U48)</f>
        <v/>
      </c>
      <c r="CV48" s="28" t="str">
        <f>IF($G48="","",G48*(IF(ADRYr2!$AI48=CV$4,ADRYr2!$AJ48,IF(ADRYr2!$AK48=CV$4,ADRYr2!$AL48,IF(ADRYr2!$AM48=CV$4,ADRYr2!$AN48,0))))*(INDEX(avoidedcosttbl2,$H48,CV$2)+(($H48-ROUNDDOWN($H48,0))*(INDEX(avoidedcosttbl2,ROUNDUP($H48,0),CV$2)-(INDEX(avoidedcosttbl2,ROUNDDOWN($H48,0),CV$2)))))*ADRYr2!$P48*ADRYr2!$Q48*ADRYr2!$U48)</f>
        <v/>
      </c>
      <c r="CW48" s="28" t="str">
        <f>IF($G48="","",G48*(IF(ADRYr2!$AI48=CW$4,ADRYr2!$AJ48,IF(ADRYr2!$AK48=CW$4,ADRYr2!$AL48,IF(ADRYr2!$AM48=CW$4,ADRYr2!$AN48,0))))*(INDEX(avoidedcosttbl2,$H48,CW$2)+(($H48-ROUNDDOWN($H48,0))*(INDEX(avoidedcosttbl2,ROUNDUP($H48,0),CW$2)-(INDEX(avoidedcosttbl2,ROUNDDOWN($H48,0),CW$2)))))*ADRYr2!$P48*ADRYr2!$Q48*ADRYr2!$U48)</f>
        <v/>
      </c>
      <c r="CX48" s="28" t="str">
        <f>IF($G48="","",G48*(IF(ADRYr2!$AI48=CX$4,ADRYr2!$AJ48,IF(ADRYr2!$AK48=CX$4,ADRYr2!$AL48,IF(ADRYr2!$AM48=CX$4,ADRYr2!$AN48,0))))*(INDEX(avoidedcosttbl2,$H48,CX$2)+(($H48-ROUNDDOWN($H48,0))*(INDEX(avoidedcosttbl2,ROUNDUP($H48,0),CX$2)-(INDEX(avoidedcosttbl2,ROUNDDOWN($H48,0),CX$2)))))*ADRYr2!$P48*ADRYr2!$Q48*ADRYr2!$U48)</f>
        <v/>
      </c>
      <c r="CY48" s="28" t="str">
        <f t="shared" si="13"/>
        <v/>
      </c>
      <c r="CZ48" s="32" t="str">
        <f t="shared" si="14"/>
        <v/>
      </c>
      <c r="DA48" s="84" t="str">
        <f t="shared" si="41"/>
        <v/>
      </c>
      <c r="DB48" s="81" t="str">
        <f>IF(NEIadder="Yes",IF($G48="","",INDEX(Lookups!$G$70:$G$71,MATCH($A48,Lookups!$E$70:$E$71,0))*(SUM(CP48:CX48,BX48))),"")</f>
        <v/>
      </c>
      <c r="DC48" s="263" t="str">
        <f t="shared" si="15"/>
        <v/>
      </c>
      <c r="DD48" s="166" t="str">
        <f t="shared" si="16"/>
        <v/>
      </c>
      <c r="DE48" s="82">
        <f t="shared" si="42"/>
        <v>0</v>
      </c>
      <c r="DF48" s="615" t="str">
        <f>IF($G48="","",(1+WntPeakEnergyLL)*(INDEX(avoidedcosttbl2,$H48,DF$2)+(($H48-ROUNDDOWN($H48,0))*(INDEX(avoidedcosttbl2,ROUNDUP($H48,0),DF$2)-(INDEX(avoidedcosttbl2,ROUNDDOWN($H48,0),DF$2)))))*$P48*1000*ADRYr2!Z48)</f>
        <v/>
      </c>
      <c r="DG48" s="615" t="str">
        <f>IF($G48="","",(1+WntOffPeakEnergyLL)*(INDEX(avoidedcosttbl2,$H48,DG$2)+(($H48-ROUNDDOWN($H48,0))*(INDEX(avoidedcosttbl2,ROUNDUP($H48,0),DG$2)-(INDEX(avoidedcosttbl2,ROUNDDOWN($H48,0),DG$2)))))*$P48*1000*ADRYr2!AA48)</f>
        <v/>
      </c>
      <c r="DH48" s="615" t="str">
        <f>IF($G48="","",(1+SumPeakEnergyLL)*(INDEX(avoidedcosttbl2,$H48,DH$2)+(($H48-ROUNDDOWN($H48,0))*(INDEX(avoidedcosttbl2,ROUNDUP($H48,0),DH$2)-(INDEX(avoidedcosttbl2,ROUNDDOWN($H48,0),DH$2)))))*$P48*1000*ADRYr2!AB48)</f>
        <v/>
      </c>
      <c r="DI48" s="615" t="str">
        <f>IF($G48="","",(1+SumOffPeakEnergyLL)*(INDEX(avoidedcosttbl2,$H48,DI$2)+(($H48-ROUNDDOWN($H48,0))*(INDEX(avoidedcosttbl2,ROUNDUP($H48,0),DI$2)-(INDEX(avoidedcosttbl2,ROUNDDOWN($H48,0),DI$2)))))*$P48*1000*ADRYr2!AC48)</f>
        <v/>
      </c>
      <c r="DJ48" s="29" t="str">
        <f t="shared" si="43"/>
        <v/>
      </c>
      <c r="DK48" s="161" t="str">
        <f t="shared" si="51"/>
        <v/>
      </c>
      <c r="DO48" s="966" t="str">
        <f>IF($G48="","",ADRYr2!AQ48)</f>
        <v/>
      </c>
      <c r="DP48" s="968" t="str">
        <f>IF($G48="","",ADRYr2!AR48)</f>
        <v/>
      </c>
      <c r="DQ48" s="970" t="str">
        <f>IF($G48="","",IF($DP48="Yes",COLUMN(AESC!$L$10),IF($DP48="No","Using AvoidedDemand tab",IF($DP48="Mixed",COLUMN(AESC!$N$10)))))</f>
        <v/>
      </c>
      <c r="DR48" s="970" t="str">
        <f>IF($G48="","",IF($DP48="Yes",COLUMN(AESC!$P$10),IF($DP48="No","Using AvoidedDemand tab",IF($DP48="Mixed",COLUMN(AESC!$R$10)))))</f>
        <v/>
      </c>
      <c r="DS48" s="970" t="str">
        <f>IF($G48="","",IF($DP48="Yes",COLUMN(AESC!$S$10),IF($DP48="No",COLUMN(AESC!$T$10),IF($DP48="Mixed",COLUMN(AESC!$U$10)))))</f>
        <v/>
      </c>
      <c r="DT48" s="970" t="str">
        <f t="shared" si="48"/>
        <v/>
      </c>
      <c r="DU48" s="970" t="str">
        <f>IF($G48="","",ADRYr2!AS48)</f>
        <v/>
      </c>
      <c r="DV48" s="971" t="str">
        <f>IF($G48="","",ADRYr2!AT48)</f>
        <v/>
      </c>
      <c r="DW48" s="1162" t="str">
        <f>IF($G48="","",INDEX(AvoidedEnergy!$H$4:$H$10,MATCH($DO48,AvoidedEnergy!$A$4:$A$10,0)))</f>
        <v/>
      </c>
    </row>
    <row r="49" spans="1:127">
      <c r="A49" s="160" t="str">
        <f>IF(ADRYr2!$B49=0,"",ADRYr2!A49)</f>
        <v/>
      </c>
      <c r="B49" s="9" t="str">
        <f>IF(ADRYr2!$B49=0,"",ADRYr2!B49)</f>
        <v/>
      </c>
      <c r="C49" s="9" t="str">
        <f>IF(ADRYr2!$B49=0,"",ADRYr2!C49)</f>
        <v/>
      </c>
      <c r="D49" s="9" t="str">
        <f>IF(ADRYr2!$B49=0,"",ADRYr2!D49)</f>
        <v/>
      </c>
      <c r="E49" s="9"/>
      <c r="F49" s="11" t="str">
        <f>IF(ADRYr2!$B49=0,"",ADRYr2!F49)</f>
        <v/>
      </c>
      <c r="G49" s="12" t="str">
        <f>IF(ADRYr2!$G49&lt;&gt;0,ADRYr2!G49,"")</f>
        <v/>
      </c>
      <c r="H49" s="960" t="str">
        <f>IF($G49="","",ROUND(ADRYr2!H49,0))</f>
        <v/>
      </c>
      <c r="I49" s="47" t="str">
        <f>IF($G49="","",ADRYr2!I49*ADRYr2!P49*G49)</f>
        <v/>
      </c>
      <c r="J49" s="47" t="str">
        <f>IF($G49="","",ADRYr2!J49*G49)</f>
        <v/>
      </c>
      <c r="K49" s="47" t="str">
        <f t="shared" si="17"/>
        <v/>
      </c>
      <c r="L49" s="27" t="str">
        <f>IF($G49="","",ADRYr2!V49*G49/1000)</f>
        <v/>
      </c>
      <c r="M49" s="27" t="str">
        <f>IF($G49="","",L49*ADRYr2!$Q49*ADRYr2!$R49)</f>
        <v/>
      </c>
      <c r="N49" s="27" t="str">
        <f t="shared" si="18"/>
        <v/>
      </c>
      <c r="O49" s="27" t="str">
        <f t="shared" si="19"/>
        <v/>
      </c>
      <c r="P49" s="27" t="str">
        <f>IF($G49="","",M49*ADRYr2!P49)</f>
        <v/>
      </c>
      <c r="Q49" s="27" t="str">
        <f t="shared" si="20"/>
        <v/>
      </c>
      <c r="R49" s="27" t="str">
        <f>IF($G49="","",$Q49*ADRYr2!Z49)</f>
        <v/>
      </c>
      <c r="S49" s="27" t="str">
        <f>IF($G49="","",$Q49*ADRYr2!AA49)</f>
        <v/>
      </c>
      <c r="T49" s="27" t="str">
        <f>IF($G49="","",$Q49*ADRYr2!AB49)</f>
        <v/>
      </c>
      <c r="U49" s="27" t="str">
        <f>IF($G49="","",$Q49*ADRYr2!AC49)</f>
        <v/>
      </c>
      <c r="V49" s="27" t="str">
        <f>IF($G49="","",G49*ADRYr2!$AD49*ADRYr2!$P49*ADRYr2!$Q49)</f>
        <v/>
      </c>
      <c r="W49" s="27" t="str">
        <f>IF($G49="","",$G49*ADRYr2!$AD49*ADRYr2!$AF49*ADRYr2!Q49*ADRYr2!$S49)</f>
        <v/>
      </c>
      <c r="X49" s="27" t="str">
        <f>IF($G49="","",$G49*ADRYr2!$AD49*ADRYr2!$AF49*ADRYr2!P49*ADRYr2!Q49*ADRYr2!$S49)</f>
        <v/>
      </c>
      <c r="Y49" s="27" t="str">
        <f>IF($G49="","",$G49*ADRYr2!$AD49*ADRYr2!$AE49*ADRYr2!Q49*ADRYr2!$T49)</f>
        <v/>
      </c>
      <c r="Z49" s="27" t="str">
        <f>IF($G49="","",$G49*ADRYr2!$AD49*ADRYr2!$AE49*ADRYr2!P49*ADRYr2!Q49*ADRYr2!$T49)</f>
        <v/>
      </c>
      <c r="AA49" s="45" t="str">
        <f>IF($G49="","",$G49*ADRYr2!$Q49*ADRYr2!$U49*(IF(IFERROR(SEARCH("NG", ADRYr2!$AI49),0),ADRYr2!$AJ49,0)+IF(IFERROR(SEARCH("NG", ADRYr2!$AK49),0),ADRYr2!$AL49,0)+IF(IFERROR(SEARCH("NG", ADRYr2!$AM49),0),ADRYr2!$AN49,0)))</f>
        <v/>
      </c>
      <c r="AB49" s="45" t="str">
        <f t="shared" si="21"/>
        <v/>
      </c>
      <c r="AC49" s="45">
        <f>IF($G49="",0,AA49*ADRYr2!$P49)</f>
        <v>0</v>
      </c>
      <c r="AD49" s="45" t="str">
        <f t="shared" si="22"/>
        <v/>
      </c>
      <c r="AE49" s="45" t="str">
        <f>IF($G49="","",$G49*ADRYr2!$Q49*ADRYr2!$U49*(IF(IFERROR(SEARCH("Oil", ADRYr2!$AI49), 0),ADRYr2!$AJ49,0)+IF(IFERROR(SEARCH("Oil", ADRYr2!$AK49), 0),ADRYr2!$AL49,0)+IF(IFERROR(SEARCH("Oil", ADRYr2!$AM49), 0),ADRYr2!$AN49,0)))</f>
        <v/>
      </c>
      <c r="AF49" s="45" t="str">
        <f t="shared" si="23"/>
        <v/>
      </c>
      <c r="AG49" s="45">
        <f>IF($G49="",0,AE49*ADRYr2!$P49)</f>
        <v>0</v>
      </c>
      <c r="AH49" s="45" t="str">
        <f t="shared" si="24"/>
        <v/>
      </c>
      <c r="AI49" s="45" t="str">
        <f>IF($G49="","",$G49*ADRYr2!$Q49*ADRYr2!$U49*(IF(ADRYr2!$AI49=Lookups!$E$116,ADRYr2!$AJ49,IF(ADRYr2!$AK49=Lookups!$E$116,ADRYr2!$AL49,IF(ADRYr2!$AM49=Lookups!$E$116,ADRYr2!$AN49,0)))))</f>
        <v/>
      </c>
      <c r="AJ49" s="45" t="str">
        <f t="shared" si="25"/>
        <v/>
      </c>
      <c r="AK49" s="45">
        <f>IF($G49="",0,AI49*ADRYr2!$P49)</f>
        <v>0</v>
      </c>
      <c r="AL49" s="45" t="str">
        <f t="shared" si="26"/>
        <v/>
      </c>
      <c r="AM49" s="45" t="str">
        <f>IF($G49="","",$G49*ADRYr2!$Q49*ADRYr2!$U49*(IF(ADRYr2!$AI49=Lookups!$E$115,ADRYr2!$AJ49,IF(ADRYr2!$AK49=Lookups!$E$115,ADRYr2!$AL49,IF(ADRYr2!$AM49=Lookups!$E$115,ADRYr2!$AN49,0)))))</f>
        <v/>
      </c>
      <c r="AN49" s="45" t="str">
        <f t="shared" si="27"/>
        <v/>
      </c>
      <c r="AO49" s="45">
        <f>IF($G49="",0,AM49*ADRYr2!$P49)</f>
        <v>0</v>
      </c>
      <c r="AP49" s="45" t="str">
        <f t="shared" si="28"/>
        <v/>
      </c>
      <c r="AQ49" s="45" t="str">
        <f>IF($G49="","",$G49*ADRYr2!$Q49*ADRYr2!$U49*(IF(ADRYr2!$AI49=Lookups!$E$117,ADRYr2!$AJ49,IF(ADRYr2!$AK49=Lookups!$E$117,ADRYr2!$AL49,IF(ADRYr2!$AM49=Lookups!$E$117,ADRYr2!$AN49,0)))))</f>
        <v/>
      </c>
      <c r="AR49" s="45" t="str">
        <f t="shared" si="29"/>
        <v/>
      </c>
      <c r="AS49" s="45" t="str">
        <f>IF($G49="","",AQ49*ADRYr2!$P49)</f>
        <v/>
      </c>
      <c r="AT49" s="45" t="str">
        <f t="shared" si="30"/>
        <v/>
      </c>
      <c r="AU49" s="45" t="str">
        <f>IF($G49="","",$G49*ADRYr2!$Q49*ADRYr2!$U49*(IF(ADRYr2!$AI49=Lookups!$E$118,ADRYr2!$AJ49,IF(ADRYr2!$AK49=Lookups!$E$118,ADRYr2!$AL49,IF(ADRYr2!$AM49=Lookups!$E$118,ADRYr2!$AN49,0)))))</f>
        <v/>
      </c>
      <c r="AV49" s="45" t="str">
        <f t="shared" si="31"/>
        <v/>
      </c>
      <c r="AW49" s="45" t="str">
        <f>IF($G49="","",AU49*ADRYr2!$P49)</f>
        <v/>
      </c>
      <c r="AX49" s="45" t="str">
        <f t="shared" si="32"/>
        <v/>
      </c>
      <c r="AY49" s="45">
        <f t="shared" si="49"/>
        <v>0</v>
      </c>
      <c r="AZ49" s="45">
        <f t="shared" si="49"/>
        <v>0</v>
      </c>
      <c r="BA49" s="101" t="str">
        <f>IF($G49="","",$G49*ADRYr2!$P49*ADRYr2!$Q49*ADRYr2!$U49*ADRYr2!AO49)</f>
        <v/>
      </c>
      <c r="BB49" s="102" t="str">
        <f>IF($G49="","",$G49*ADRYr2!$P49*ADRYr2!$Q49*ADRYr2!$U49*ADRYr2!AP49)</f>
        <v/>
      </c>
      <c r="BC49" s="100" t="str">
        <f t="shared" si="34"/>
        <v/>
      </c>
      <c r="BD49" s="961"/>
      <c r="BE49" s="961"/>
      <c r="BF49" s="961"/>
      <c r="BG49" s="961"/>
      <c r="BH49" s="962" t="str">
        <f t="shared" si="3"/>
        <v/>
      </c>
      <c r="BI49" s="961"/>
      <c r="BJ49" s="961"/>
      <c r="BK49" s="961"/>
      <c r="BL49" s="961"/>
      <c r="BM49" s="30" t="str">
        <f t="shared" si="4"/>
        <v/>
      </c>
      <c r="BN49" s="963" t="str">
        <f t="shared" si="5"/>
        <v/>
      </c>
      <c r="BO49" s="31" t="str">
        <f t="shared" si="35"/>
        <v/>
      </c>
      <c r="BP49" s="964" t="str">
        <f t="shared" si="6"/>
        <v/>
      </c>
      <c r="BQ49" s="28" t="str">
        <f t="shared" si="7"/>
        <v/>
      </c>
      <c r="BR49" s="964" t="str">
        <f t="shared" si="8"/>
        <v/>
      </c>
      <c r="BS49" s="964" t="str">
        <f t="shared" si="9"/>
        <v/>
      </c>
      <c r="BT49" s="28" t="str">
        <f t="shared" si="52"/>
        <v/>
      </c>
      <c r="BU49" s="28" t="str">
        <f t="shared" si="52"/>
        <v/>
      </c>
      <c r="BV49" s="28" t="str">
        <f t="shared" si="52"/>
        <v/>
      </c>
      <c r="BW49" s="29" t="str">
        <f t="shared" si="36"/>
        <v/>
      </c>
      <c r="BX49" s="29" t="str">
        <f t="shared" si="37"/>
        <v/>
      </c>
      <c r="BY49" s="28" t="str">
        <f>IF($G49="","",$G49*(IF(ADRYr2!$AI49=BY$4,ADRYr2!$AJ49,IF(ADRYr2!$AK49=BY$4,ADRYr2!$AL49,IF(ADRYr2!$AM49=BY$4,ADRYr2!$AN49,0))))*(INDEX(avoidedcosttbl2,$H49,BY$2)+(($H49-ROUNDDOWN($H49,0))*(INDEX(avoidedcosttbl2,ROUNDUP($H49,0),BY$2)-(INDEX(avoidedcosttbl2,ROUNDDOWN($H49,0),BY$2)))))*ADRYr2!P49*ADRYr2!Q49*ADRYr2!U49)</f>
        <v/>
      </c>
      <c r="BZ49" s="28" t="str">
        <f>IF($G49="","",$G49*(IF(ADRYr2!$AI49=BZ$4,ADRYr2!$AJ49,IF(ADRYr2!$AK49=BZ$4,ADRYr2!$AL49,IF(ADRYr2!$AM49=BZ$4,ADRYr2!$AN49,0))))*(INDEX(avoidedcosttbl2,$H49,BZ$2)+(($H49-ROUNDDOWN($H49,0))*(INDEX(avoidedcosttbl2,ROUNDUP($H49,0),BZ$2)-(INDEX(avoidedcosttbl2,ROUNDDOWN($H49,0),BZ$2)))))*ADRYr2!P49*ADRYr2!Q49*ADRYr2!U49)</f>
        <v/>
      </c>
      <c r="CA49" s="28" t="str">
        <f>IF($G49="","",$G49*(IF(ADRYr2!$AI49=CA$4,ADRYr2!$AJ49,IF(ADRYr2!$AK49=CA$4,ADRYr2!$AL49,IF(ADRYr2!$AM49=CA$4,ADRYr2!$AN49,0))))*(INDEX(avoidedcosttbl2,$H49,CA$2)+(($H49-ROUNDDOWN($H49,0))*(INDEX(avoidedcosttbl2,ROUNDUP($H49,0),CA$2)-(INDEX(avoidedcosttbl2,ROUNDDOWN($H49,0),CA$2)))))*ADRYr2!P49*ADRYr2!Q49*ADRYr2!U49)</f>
        <v/>
      </c>
      <c r="CB49" s="28" t="str">
        <f>IF($G49="","",$G49*(IF(ADRYr2!$AI49=CB$4,ADRYr2!$AJ49,IF(ADRYr2!$AK49=CB$4,ADRYr2!$AL49,IF(ADRYr2!$AM49=CB$4,ADRYr2!$AN49,0))))*(INDEX(avoidedcosttbl2,$H49,CB$2)+(($H49-ROUNDDOWN($H49,0))*(INDEX(avoidedcosttbl2,ROUNDUP($H49,0),CB$2)-(INDEX(avoidedcosttbl2,ROUNDDOWN($H49,0),CB$2)))))*ADRYr2!P49*ADRYr2!Q49*ADRYr2!U49)</f>
        <v/>
      </c>
      <c r="CC49" s="28" t="str">
        <f>IF($G49="","",$G49*(IF(ADRYr2!$AI49=CC$4,ADRYr2!$AJ49,IF(ADRYr2!$AK49=CC$4,ADRYr2!$AL49,IF(ADRYr2!$AM49=CC$4,ADRYr2!$AN49,0))))*(INDEX(avoidedcosttbl2,$H49,CC$2)+(($H49-ROUNDDOWN($H49,0))*(INDEX(avoidedcosttbl2,ROUNDUP($H49,0),CC$2)-(INDEX(avoidedcosttbl2,ROUNDDOWN($H49,0),CC$2)))))*ADRYr2!P49*ADRYr2!Q49*ADRYr2!U49)</f>
        <v/>
      </c>
      <c r="CD49" s="28" t="str">
        <f>IF($G49="","",$G49*(IF(ADRYr2!$AI49=CD$4,ADRYr2!$AJ49,IF(ADRYr2!$AK49=CD$4,ADRYr2!$AL49,IF(ADRYr2!$AM49=CD$4,ADRYr2!$AN49,0))))*(INDEX(avoidedcosttbl2,$H49,CD$2)+(($H49-ROUNDDOWN($H49,0))*(INDEX(avoidedcosttbl2,ROUNDUP($H49,0),CD$2)-(INDEX(avoidedcosttbl2,ROUNDDOWN($H49,0),CD$2)))))*ADRYr2!P49*ADRYr2!Q49*ADRYr2!U49)</f>
        <v/>
      </c>
      <c r="CE49" s="28" t="str">
        <f>IF($G49="","",$G49*(IF(ADRYr2!$AI49=CE$4,ADRYr2!$AJ49,IF(ADRYr2!$AK49=CE$4,ADRYr2!$AL49,IF(ADRYr2!$AM49=CE$4,ADRYr2!$AN49,0))))*(INDEX(avoidedcosttbl2,$H49,CE$2)+(($H49-ROUNDDOWN($H49,0))*(INDEX(avoidedcosttbl2,ROUNDUP($H49,0),CE$2)-(INDEX(avoidedcosttbl2,ROUNDDOWN($H49,0),CE$2)))))*ADRYr2!P49*ADRYr2!Q49*ADRYr2!U49)</f>
        <v/>
      </c>
      <c r="CF49" s="41" t="str">
        <f t="shared" si="38"/>
        <v/>
      </c>
      <c r="CG49" s="30" t="str">
        <f t="shared" si="11"/>
        <v/>
      </c>
      <c r="CH49" s="30" t="str">
        <f>IF($G49="","",$G49*(IF(ADRYr2!$AI49=BY$4,ADRYr2!$AJ49,IF(ADRYr2!$AK49=BY$4,ADRYr2!$AL49,IF(ADRYr2!$AM49=BY$4,ADRYr2!$AN49,0))))*(INDEX(avoidedcosttbl2,$H49,CH$2)+(($H49-ROUNDDOWN($H49,0))*(INDEX(avoidedcosttbl2,ROUNDUP($H49,0),CH$2)-(INDEX(avoidedcosttbl2,ROUNDDOWN($H49,0),CH$2)))))*ADRYr2!P49*ADRYr2!Q49*ADRYr2!U49)</f>
        <v/>
      </c>
      <c r="CI49" s="30" t="str">
        <f>IF($G49="","",$G49*(IF(ADRYr2!$AI49=BZ$4,ADRYr2!$AJ49,IF(ADRYr2!$AK49=BZ$4,ADRYr2!$AL49,IF(ADRYr2!$AM49=BZ$4,ADRYr2!$AN49,0))))*(INDEX(avoidedcosttbl2,$H49,CI$2)+(($H49-ROUNDDOWN($H49,0))*(INDEX(avoidedcosttbl2,ROUNDUP($H49,0),CI$2)-(INDEX(avoidedcosttbl2,ROUNDDOWN($H49,0),CI$2)))))*ADRYr2!P49*ADRYr2!Q49*ADRYr2!U49)</f>
        <v/>
      </c>
      <c r="CJ49" s="30" t="str">
        <f>IF($G49="","",$G49*(IF(ADRYr2!$AI49=CA$4,ADRYr2!$AJ49,IF(ADRYr2!$AK49=CA$4,ADRYr2!$AL49,IF(ADRYr2!$AM49=CA$4,ADRYr2!$AN49,0))))*(INDEX(avoidedcosttbl2,$H49,CJ$2)+(($H49-ROUNDDOWN($H49,0))*(INDEX(avoidedcosttbl2,ROUNDUP($H49,0),CJ$2)-(INDEX(avoidedcosttbl2,ROUNDDOWN($H49,0),CJ$2)))))*ADRYr2!P49*ADRYr2!Q49*ADRYr2!U49)</f>
        <v/>
      </c>
      <c r="CK49" s="30" t="str">
        <f>IF($G49="","",$G49*(IF(ADRYr2!$AI49=CB$4,ADRYr2!$AJ49,IF(ADRYr2!$AK49=CB$4,ADRYr2!$AL49,IF(ADRYr2!$AM49=CB$4,ADRYr2!$AN49,0))))*(INDEX(avoidedcosttbl2,$H49,CK$2)+(($H49-ROUNDDOWN($H49,0))*(INDEX(avoidedcosttbl2,ROUNDUP($H49,0),CK$2)-(INDEX(avoidedcosttbl2,ROUNDDOWN($H49,0),CK$2)))))*ADRYr2!P49*ADRYr2!Q49*ADRYr2!U49)</f>
        <v/>
      </c>
      <c r="CL49" s="30" t="str">
        <f>IF($G49="","",$G49*(IF(ADRYr2!$AI49=CC$4,ADRYr2!$AJ49,IF(ADRYr2!$AK49=CC$4,ADRYr2!$AL49,IF(ADRYr2!$AM49=CC$4,ADRYr2!$AN49,0))))*(INDEX(avoidedcosttbl2,$H49,CL$2)+(($H49-ROUNDDOWN($H49,0))*(INDEX(avoidedcosttbl2,ROUNDUP($H49,0),CL$2)-(INDEX(avoidedcosttbl2,ROUNDDOWN($H49,0),CL$2)))))*ADRYr2!P49*ADRYr2!Q49*ADRYr2!U49)</f>
        <v/>
      </c>
      <c r="CM49" s="30" t="str">
        <f>IF($G49="","",$G49*(IF(ADRYr2!$AI49=CD$4,ADRYr2!$AJ49,IF(ADRYr2!$AK49=CD$4,ADRYr2!$AL49,IF(ADRYr2!$AM49=CD$4,ADRYr2!$AN49,0))))*(INDEX(avoidedcosttbl2,$H49,CM$2)+(($H49-ROUNDDOWN($H49,0))*(INDEX(avoidedcosttbl2,ROUNDUP($H49,0),CM$2)-(INDEX(avoidedcosttbl2,ROUNDDOWN($H49,0),CM$2)))))*ADRYr2!P49*ADRYr2!Q49*ADRYr2!U49)</f>
        <v/>
      </c>
      <c r="CN49" s="30" t="str">
        <f>IF($G49="","",$G49*(IF(ADRYr2!$AI49=CE$4,ADRYr2!$AJ49,IF(ADRYr2!$AK49=CE$4,ADRYr2!$AL49,IF(ADRYr2!$AM49=CE$4,ADRYr2!$AN49,0))))*(INDEX(avoidedcosttbl2,$H49,CN$2)+(($H49-ROUNDDOWN($H49,0))*(INDEX(avoidedcosttbl2,ROUNDUP($H49,0),CN$2)-(INDEX(avoidedcosttbl2,ROUNDDOWN($H49,0),CN$2)))))*ADRYr2!P49*ADRYr2!Q49*ADRYr2!U49)</f>
        <v/>
      </c>
      <c r="CO49" s="220" t="str">
        <f t="shared" si="39"/>
        <v/>
      </c>
      <c r="CP49" s="220" t="str">
        <f t="shared" si="40"/>
        <v/>
      </c>
      <c r="CQ49" s="157" t="str">
        <f>IF($G49="","",$G49*(IF(ADRYr2!$AI49=CQ$4,ADRYr2!$AJ49,IF(ADRYr2!$AK49=CQ$4,ADRYr2!$AL49,IF(ADRYr2!$AM49=CQ$4,ADRYr2!$AN49,0))))*(INDEX(avoidedcosttbl2,$H49,CQ$2)+(($H49-ROUNDDOWN($H49,0))*(INDEX(avoidedcosttbl2,ROUNDUP($H49,0),CQ$2)-(INDEX(avoidedcosttbl2,ROUNDDOWN($H49,0),CQ$2)))))*ADRYr2!$P49*ADRYr2!$Q49*ADRYr2!$U49)</f>
        <v/>
      </c>
      <c r="CR49" s="28" t="str">
        <f>IF($G49="","",G49*(IF(ADRYr2!$AI49=CR$4,ADRYr2!$AJ49,IF(ADRYr2!$AK49=CR$4,ADRYr2!$AL49,IF(ADRYr2!$AM49=CR$4,ADRYr2!$AN49,0))))*(INDEX(avoidedcosttbl2,$H49,CR$2)+(($H49-ROUNDDOWN($H49,0))*(INDEX(avoidedcosttbl2,ROUNDUP($H49,0),CR$2)-(INDEX(avoidedcosttbl2,ROUNDDOWN($H49,0),CR$2)))))*ADRYr2!$P49*ADRYr2!$Q49*ADRYr2!$U49)</f>
        <v/>
      </c>
      <c r="CS49" s="28" t="str">
        <f>IF($G49="","",G49*(IF(ADRYr2!$AI49=CS$4,ADRYr2!$AJ49,IF(ADRYr2!$AK49=CS$4,ADRYr2!$AL49,IF(ADRYr2!$AM49=CS$4,ADRYr2!$AN49,0))))*(INDEX(avoidedcosttbl2,$H49,CS$2)+(($H49-ROUNDDOWN($H49,0))*(INDEX(avoidedcosttbl2,ROUNDUP($H49,0),CS$2)-(INDEX(avoidedcosttbl2,ROUNDDOWN($H49,0),CS$2)))))*ADRYr2!$P49*ADRYr2!$Q49*ADRYr2!$U49)</f>
        <v/>
      </c>
      <c r="CT49" s="28" t="str">
        <f t="shared" si="12"/>
        <v/>
      </c>
      <c r="CU49" s="28" t="str">
        <f>IF($G49="","",G49*(IF(ADRYr2!$AI49=CU$4,ADRYr2!$AJ49,IF(ADRYr2!$AK49=CU$4,ADRYr2!$AL49,IF(ADRYr2!$AM49=CU$4,ADRYr2!$AN49,0))))*(INDEX(avoidedcosttbl2,$H49,CU$2)+(($H49-ROUNDDOWN($H49,0))*(INDEX(avoidedcosttbl2,ROUNDUP($H49,0),CU$2)-(INDEX(avoidedcosttbl2,ROUNDDOWN($H49,0),CU$2)))))*ADRYr2!$P49*ADRYr2!$Q49*ADRYr2!$U49)</f>
        <v/>
      </c>
      <c r="CV49" s="28" t="str">
        <f>IF($G49="","",G49*(IF(ADRYr2!$AI49=CV$4,ADRYr2!$AJ49,IF(ADRYr2!$AK49=CV$4,ADRYr2!$AL49,IF(ADRYr2!$AM49=CV$4,ADRYr2!$AN49,0))))*(INDEX(avoidedcosttbl2,$H49,CV$2)+(($H49-ROUNDDOWN($H49,0))*(INDEX(avoidedcosttbl2,ROUNDUP($H49,0),CV$2)-(INDEX(avoidedcosttbl2,ROUNDDOWN($H49,0),CV$2)))))*ADRYr2!$P49*ADRYr2!$Q49*ADRYr2!$U49)</f>
        <v/>
      </c>
      <c r="CW49" s="28" t="str">
        <f>IF($G49="","",G49*(IF(ADRYr2!$AI49=CW$4,ADRYr2!$AJ49,IF(ADRYr2!$AK49=CW$4,ADRYr2!$AL49,IF(ADRYr2!$AM49=CW$4,ADRYr2!$AN49,0))))*(INDEX(avoidedcosttbl2,$H49,CW$2)+(($H49-ROUNDDOWN($H49,0))*(INDEX(avoidedcosttbl2,ROUNDUP($H49,0),CW$2)-(INDEX(avoidedcosttbl2,ROUNDDOWN($H49,0),CW$2)))))*ADRYr2!$P49*ADRYr2!$Q49*ADRYr2!$U49)</f>
        <v/>
      </c>
      <c r="CX49" s="28" t="str">
        <f>IF($G49="","",G49*(IF(ADRYr2!$AI49=CX$4,ADRYr2!$AJ49,IF(ADRYr2!$AK49=CX$4,ADRYr2!$AL49,IF(ADRYr2!$AM49=CX$4,ADRYr2!$AN49,0))))*(INDEX(avoidedcosttbl2,$H49,CX$2)+(($H49-ROUNDDOWN($H49,0))*(INDEX(avoidedcosttbl2,ROUNDUP($H49,0),CX$2)-(INDEX(avoidedcosttbl2,ROUNDDOWN($H49,0),CX$2)))))*ADRYr2!$P49*ADRYr2!$Q49*ADRYr2!$U49)</f>
        <v/>
      </c>
      <c r="CY49" s="28" t="str">
        <f t="shared" si="13"/>
        <v/>
      </c>
      <c r="CZ49" s="32" t="str">
        <f t="shared" si="14"/>
        <v/>
      </c>
      <c r="DA49" s="84" t="str">
        <f t="shared" si="41"/>
        <v/>
      </c>
      <c r="DB49" s="81" t="str">
        <f>IF(NEIadder="Yes",IF($G49="","",INDEX(Lookups!$G$70:$G$71,MATCH($A49,Lookups!$E$70:$E$71,0))*(SUM(CP49:CX49,BX49))),"")</f>
        <v/>
      </c>
      <c r="DC49" s="263" t="str">
        <f t="shared" si="15"/>
        <v/>
      </c>
      <c r="DD49" s="166" t="str">
        <f t="shared" si="16"/>
        <v/>
      </c>
      <c r="DE49" s="82">
        <f t="shared" si="42"/>
        <v>0</v>
      </c>
      <c r="DF49" s="615" t="str">
        <f>IF($G49="","",(1+WntPeakEnergyLL)*(INDEX(avoidedcosttbl2,$H49,DF$2)+(($H49-ROUNDDOWN($H49,0))*(INDEX(avoidedcosttbl2,ROUNDUP($H49,0),DF$2)-(INDEX(avoidedcosttbl2,ROUNDDOWN($H49,0),DF$2)))))*$P49*1000*ADRYr2!Z49)</f>
        <v/>
      </c>
      <c r="DG49" s="615" t="str">
        <f>IF($G49="","",(1+WntOffPeakEnergyLL)*(INDEX(avoidedcosttbl2,$H49,DG$2)+(($H49-ROUNDDOWN($H49,0))*(INDEX(avoidedcosttbl2,ROUNDUP($H49,0),DG$2)-(INDEX(avoidedcosttbl2,ROUNDDOWN($H49,0),DG$2)))))*$P49*1000*ADRYr2!AA49)</f>
        <v/>
      </c>
      <c r="DH49" s="615" t="str">
        <f>IF($G49="","",(1+SumPeakEnergyLL)*(INDEX(avoidedcosttbl2,$H49,DH$2)+(($H49-ROUNDDOWN($H49,0))*(INDEX(avoidedcosttbl2,ROUNDUP($H49,0),DH$2)-(INDEX(avoidedcosttbl2,ROUNDDOWN($H49,0),DH$2)))))*$P49*1000*ADRYr2!AB49)</f>
        <v/>
      </c>
      <c r="DI49" s="615" t="str">
        <f>IF($G49="","",(1+SumOffPeakEnergyLL)*(INDEX(avoidedcosttbl2,$H49,DI$2)+(($H49-ROUNDDOWN($H49,0))*(INDEX(avoidedcosttbl2,ROUNDUP($H49,0),DI$2)-(INDEX(avoidedcosttbl2,ROUNDDOWN($H49,0),DI$2)))))*$P49*1000*ADRYr2!AC49)</f>
        <v/>
      </c>
      <c r="DJ49" s="29" t="str">
        <f t="shared" si="43"/>
        <v/>
      </c>
      <c r="DK49" s="161" t="str">
        <f t="shared" si="51"/>
        <v/>
      </c>
      <c r="DO49" s="966" t="str">
        <f>IF($G49="","",ADRYr2!AQ49)</f>
        <v/>
      </c>
      <c r="DP49" s="968" t="str">
        <f>IF($G49="","",ADRYr2!AR49)</f>
        <v/>
      </c>
      <c r="DQ49" s="970" t="str">
        <f>IF($G49="","",IF($DP49="Yes",COLUMN(AESC!$L$10),IF($DP49="No","Using AvoidedDemand tab",IF($DP49="Mixed",COLUMN(AESC!$N$10)))))</f>
        <v/>
      </c>
      <c r="DR49" s="970" t="str">
        <f>IF($G49="","",IF($DP49="Yes",COLUMN(AESC!$P$10),IF($DP49="No","Using AvoidedDemand tab",IF($DP49="Mixed",COLUMN(AESC!$R$10)))))</f>
        <v/>
      </c>
      <c r="DS49" s="970" t="str">
        <f>IF($G49="","",IF($DP49="Yes",COLUMN(AESC!$S$10),IF($DP49="No",COLUMN(AESC!$T$10),IF($DP49="Mixed",COLUMN(AESC!$U$10)))))</f>
        <v/>
      </c>
      <c r="DT49" s="970" t="str">
        <f t="shared" si="48"/>
        <v/>
      </c>
      <c r="DU49" s="970" t="str">
        <f>IF($G49="","",ADRYr2!AS49)</f>
        <v/>
      </c>
      <c r="DV49" s="971" t="str">
        <f>IF($G49="","",ADRYr2!AT49)</f>
        <v/>
      </c>
      <c r="DW49" s="1162" t="str">
        <f>IF($G49="","",INDEX(AvoidedEnergy!$H$4:$H$10,MATCH($DO49,AvoidedEnergy!$A$4:$A$10,0)))</f>
        <v/>
      </c>
    </row>
    <row r="50" spans="1:127">
      <c r="A50" s="160" t="str">
        <f>IF(ADRYr2!$B50=0,"",ADRYr2!A50)</f>
        <v/>
      </c>
      <c r="B50" s="9" t="str">
        <f>IF(ADRYr2!$B50=0,"",ADRYr2!B50)</f>
        <v/>
      </c>
      <c r="C50" s="9" t="str">
        <f>IF(ADRYr2!$B50=0,"",ADRYr2!C50)</f>
        <v/>
      </c>
      <c r="D50" s="9" t="str">
        <f>IF(ADRYr2!$B50=0,"",ADRYr2!D50)</f>
        <v/>
      </c>
      <c r="E50" s="9"/>
      <c r="F50" s="11" t="str">
        <f>IF(ADRYr2!$B50=0,"",ADRYr2!F50)</f>
        <v/>
      </c>
      <c r="G50" s="12" t="str">
        <f>IF(ADRYr2!$G50&lt;&gt;0,ADRYr2!G50,"")</f>
        <v/>
      </c>
      <c r="H50" s="960" t="str">
        <f>IF($G50="","",ROUND(ADRYr2!H50,0))</f>
        <v/>
      </c>
      <c r="I50" s="47" t="str">
        <f>IF($G50="","",ADRYr2!I50*ADRYr2!P50*G50)</f>
        <v/>
      </c>
      <c r="J50" s="47" t="str">
        <f>IF($G50="","",ADRYr2!J50*G50)</f>
        <v/>
      </c>
      <c r="K50" s="47" t="str">
        <f t="shared" si="17"/>
        <v/>
      </c>
      <c r="L50" s="27" t="str">
        <f>IF($G50="","",ADRYr2!V50*G50/1000)</f>
        <v/>
      </c>
      <c r="M50" s="27" t="str">
        <f>IF($G50="","",L50*ADRYr2!$Q50*ADRYr2!$R50)</f>
        <v/>
      </c>
      <c r="N50" s="27" t="str">
        <f t="shared" si="18"/>
        <v/>
      </c>
      <c r="O50" s="27" t="str">
        <f t="shared" si="19"/>
        <v/>
      </c>
      <c r="P50" s="27" t="str">
        <f>IF($G50="","",M50*ADRYr2!P50)</f>
        <v/>
      </c>
      <c r="Q50" s="27" t="str">
        <f t="shared" si="20"/>
        <v/>
      </c>
      <c r="R50" s="27" t="str">
        <f>IF($G50="","",$Q50*ADRYr2!Z50)</f>
        <v/>
      </c>
      <c r="S50" s="27" t="str">
        <f>IF($G50="","",$Q50*ADRYr2!AA50)</f>
        <v/>
      </c>
      <c r="T50" s="27" t="str">
        <f>IF($G50="","",$Q50*ADRYr2!AB50)</f>
        <v/>
      </c>
      <c r="U50" s="27" t="str">
        <f>IF($G50="","",$Q50*ADRYr2!AC50)</f>
        <v/>
      </c>
      <c r="V50" s="27" t="str">
        <f>IF($G50="","",G50*ADRYr2!$AD50*ADRYr2!$P50*ADRYr2!$Q50)</f>
        <v/>
      </c>
      <c r="W50" s="27" t="str">
        <f>IF($G50="","",$G50*ADRYr2!$AD50*ADRYr2!$AF50*ADRYr2!Q50*ADRYr2!$S50)</f>
        <v/>
      </c>
      <c r="X50" s="27" t="str">
        <f>IF($G50="","",$G50*ADRYr2!$AD50*ADRYr2!$AF50*ADRYr2!P50*ADRYr2!Q50*ADRYr2!$S50)</f>
        <v/>
      </c>
      <c r="Y50" s="27" t="str">
        <f>IF($G50="","",$G50*ADRYr2!$AD50*ADRYr2!$AE50*ADRYr2!Q50*ADRYr2!$T50)</f>
        <v/>
      </c>
      <c r="Z50" s="27" t="str">
        <f>IF($G50="","",$G50*ADRYr2!$AD50*ADRYr2!$AE50*ADRYr2!P50*ADRYr2!Q50*ADRYr2!$T50)</f>
        <v/>
      </c>
      <c r="AA50" s="45" t="str">
        <f>IF($G50="","",$G50*ADRYr2!$Q50*ADRYr2!$U50*(IF(IFERROR(SEARCH("NG", ADRYr2!$AI50),0),ADRYr2!$AJ50,0)+IF(IFERROR(SEARCH("NG", ADRYr2!$AK50),0),ADRYr2!$AL50,0)+IF(IFERROR(SEARCH("NG", ADRYr2!$AM50),0),ADRYr2!$AN50,0)))</f>
        <v/>
      </c>
      <c r="AB50" s="45" t="str">
        <f t="shared" si="21"/>
        <v/>
      </c>
      <c r="AC50" s="45">
        <f>IF($G50="",0,AA50*ADRYr2!$P50)</f>
        <v>0</v>
      </c>
      <c r="AD50" s="45" t="str">
        <f t="shared" si="22"/>
        <v/>
      </c>
      <c r="AE50" s="45" t="str">
        <f>IF($G50="","",$G50*ADRYr2!$Q50*ADRYr2!$U50*(IF(IFERROR(SEARCH("Oil", ADRYr2!$AI50), 0),ADRYr2!$AJ50,0)+IF(IFERROR(SEARCH("Oil", ADRYr2!$AK50), 0),ADRYr2!$AL50,0)+IF(IFERROR(SEARCH("Oil", ADRYr2!$AM50), 0),ADRYr2!$AN50,0)))</f>
        <v/>
      </c>
      <c r="AF50" s="45" t="str">
        <f t="shared" si="23"/>
        <v/>
      </c>
      <c r="AG50" s="45">
        <f>IF($G50="",0,AE50*ADRYr2!$P50)</f>
        <v>0</v>
      </c>
      <c r="AH50" s="45" t="str">
        <f t="shared" si="24"/>
        <v/>
      </c>
      <c r="AI50" s="45" t="str">
        <f>IF($G50="","",$G50*ADRYr2!$Q50*ADRYr2!$U50*(IF(ADRYr2!$AI50=Lookups!$E$116,ADRYr2!$AJ50,IF(ADRYr2!$AK50=Lookups!$E$116,ADRYr2!$AL50,IF(ADRYr2!$AM50=Lookups!$E$116,ADRYr2!$AN50,0)))))</f>
        <v/>
      </c>
      <c r="AJ50" s="45" t="str">
        <f t="shared" si="25"/>
        <v/>
      </c>
      <c r="AK50" s="45">
        <f>IF($G50="",0,AI50*ADRYr2!$P50)</f>
        <v>0</v>
      </c>
      <c r="AL50" s="45" t="str">
        <f t="shared" si="26"/>
        <v/>
      </c>
      <c r="AM50" s="45" t="str">
        <f>IF($G50="","",$G50*ADRYr2!$Q50*ADRYr2!$U50*(IF(ADRYr2!$AI50=Lookups!$E$115,ADRYr2!$AJ50,IF(ADRYr2!$AK50=Lookups!$E$115,ADRYr2!$AL50,IF(ADRYr2!$AM50=Lookups!$E$115,ADRYr2!$AN50,0)))))</f>
        <v/>
      </c>
      <c r="AN50" s="45" t="str">
        <f t="shared" si="27"/>
        <v/>
      </c>
      <c r="AO50" s="45">
        <f>IF($G50="",0,AM50*ADRYr2!$P50)</f>
        <v>0</v>
      </c>
      <c r="AP50" s="45" t="str">
        <f t="shared" si="28"/>
        <v/>
      </c>
      <c r="AQ50" s="45" t="str">
        <f>IF($G50="","",$G50*ADRYr2!$Q50*ADRYr2!$U50*(IF(ADRYr2!$AI50=Lookups!$E$117,ADRYr2!$AJ50,IF(ADRYr2!$AK50=Lookups!$E$117,ADRYr2!$AL50,IF(ADRYr2!$AM50=Lookups!$E$117,ADRYr2!$AN50,0)))))</f>
        <v/>
      </c>
      <c r="AR50" s="45" t="str">
        <f t="shared" si="29"/>
        <v/>
      </c>
      <c r="AS50" s="45" t="str">
        <f>IF($G50="","",AQ50*ADRYr2!$P50)</f>
        <v/>
      </c>
      <c r="AT50" s="45" t="str">
        <f t="shared" si="30"/>
        <v/>
      </c>
      <c r="AU50" s="45" t="str">
        <f>IF($G50="","",$G50*ADRYr2!$Q50*ADRYr2!$U50*(IF(ADRYr2!$AI50=Lookups!$E$118,ADRYr2!$AJ50,IF(ADRYr2!$AK50=Lookups!$E$118,ADRYr2!$AL50,IF(ADRYr2!$AM50=Lookups!$E$118,ADRYr2!$AN50,0)))))</f>
        <v/>
      </c>
      <c r="AV50" s="45" t="str">
        <f t="shared" si="31"/>
        <v/>
      </c>
      <c r="AW50" s="45" t="str">
        <f>IF($G50="","",AU50*ADRYr2!$P50)</f>
        <v/>
      </c>
      <c r="AX50" s="45" t="str">
        <f t="shared" si="32"/>
        <v/>
      </c>
      <c r="AY50" s="45">
        <f t="shared" si="49"/>
        <v>0</v>
      </c>
      <c r="AZ50" s="45">
        <f t="shared" si="49"/>
        <v>0</v>
      </c>
      <c r="BA50" s="101" t="str">
        <f>IF($G50="","",$G50*ADRYr2!$P50*ADRYr2!$Q50*ADRYr2!$U50*ADRYr2!AO50)</f>
        <v/>
      </c>
      <c r="BB50" s="102" t="str">
        <f>IF($G50="","",$G50*ADRYr2!$P50*ADRYr2!$Q50*ADRYr2!$U50*ADRYr2!AP50)</f>
        <v/>
      </c>
      <c r="BC50" s="100" t="str">
        <f t="shared" si="34"/>
        <v/>
      </c>
      <c r="BD50" s="961"/>
      <c r="BE50" s="961"/>
      <c r="BF50" s="961"/>
      <c r="BG50" s="961"/>
      <c r="BH50" s="962" t="str">
        <f t="shared" si="3"/>
        <v/>
      </c>
      <c r="BI50" s="961"/>
      <c r="BJ50" s="961"/>
      <c r="BK50" s="961"/>
      <c r="BL50" s="961"/>
      <c r="BM50" s="30" t="str">
        <f t="shared" si="4"/>
        <v/>
      </c>
      <c r="BN50" s="963" t="str">
        <f t="shared" si="5"/>
        <v/>
      </c>
      <c r="BO50" s="31" t="str">
        <f t="shared" si="35"/>
        <v/>
      </c>
      <c r="BP50" s="964" t="str">
        <f t="shared" si="6"/>
        <v/>
      </c>
      <c r="BQ50" s="28" t="str">
        <f t="shared" si="7"/>
        <v/>
      </c>
      <c r="BR50" s="964" t="str">
        <f t="shared" si="8"/>
        <v/>
      </c>
      <c r="BS50" s="964" t="str">
        <f t="shared" si="9"/>
        <v/>
      </c>
      <c r="BT50" s="28" t="str">
        <f t="shared" si="52"/>
        <v/>
      </c>
      <c r="BU50" s="28" t="str">
        <f t="shared" si="52"/>
        <v/>
      </c>
      <c r="BV50" s="28" t="str">
        <f t="shared" si="52"/>
        <v/>
      </c>
      <c r="BW50" s="29" t="str">
        <f t="shared" si="36"/>
        <v/>
      </c>
      <c r="BX50" s="29" t="str">
        <f t="shared" si="37"/>
        <v/>
      </c>
      <c r="BY50" s="28" t="str">
        <f>IF($G50="","",$G50*(IF(ADRYr2!$AI50=BY$4,ADRYr2!$AJ50,IF(ADRYr2!$AK50=BY$4,ADRYr2!$AL50,IF(ADRYr2!$AM50=BY$4,ADRYr2!$AN50,0))))*(INDEX(avoidedcosttbl2,$H50,BY$2)+(($H50-ROUNDDOWN($H50,0))*(INDEX(avoidedcosttbl2,ROUNDUP($H50,0),BY$2)-(INDEX(avoidedcosttbl2,ROUNDDOWN($H50,0),BY$2)))))*ADRYr2!P50*ADRYr2!Q50*ADRYr2!U50)</f>
        <v/>
      </c>
      <c r="BZ50" s="28" t="str">
        <f>IF($G50="","",$G50*(IF(ADRYr2!$AI50=BZ$4,ADRYr2!$AJ50,IF(ADRYr2!$AK50=BZ$4,ADRYr2!$AL50,IF(ADRYr2!$AM50=BZ$4,ADRYr2!$AN50,0))))*(INDEX(avoidedcosttbl2,$H50,BZ$2)+(($H50-ROUNDDOWN($H50,0))*(INDEX(avoidedcosttbl2,ROUNDUP($H50,0),BZ$2)-(INDEX(avoidedcosttbl2,ROUNDDOWN($H50,0),BZ$2)))))*ADRYr2!P50*ADRYr2!Q50*ADRYr2!U50)</f>
        <v/>
      </c>
      <c r="CA50" s="28" t="str">
        <f>IF($G50="","",$G50*(IF(ADRYr2!$AI50=CA$4,ADRYr2!$AJ50,IF(ADRYr2!$AK50=CA$4,ADRYr2!$AL50,IF(ADRYr2!$AM50=CA$4,ADRYr2!$AN50,0))))*(INDEX(avoidedcosttbl2,$H50,CA$2)+(($H50-ROUNDDOWN($H50,0))*(INDEX(avoidedcosttbl2,ROUNDUP($H50,0),CA$2)-(INDEX(avoidedcosttbl2,ROUNDDOWN($H50,0),CA$2)))))*ADRYr2!P50*ADRYr2!Q50*ADRYr2!U50)</f>
        <v/>
      </c>
      <c r="CB50" s="28" t="str">
        <f>IF($G50="","",$G50*(IF(ADRYr2!$AI50=CB$4,ADRYr2!$AJ50,IF(ADRYr2!$AK50=CB$4,ADRYr2!$AL50,IF(ADRYr2!$AM50=CB$4,ADRYr2!$AN50,0))))*(INDEX(avoidedcosttbl2,$H50,CB$2)+(($H50-ROUNDDOWN($H50,0))*(INDEX(avoidedcosttbl2,ROUNDUP($H50,0),CB$2)-(INDEX(avoidedcosttbl2,ROUNDDOWN($H50,0),CB$2)))))*ADRYr2!P50*ADRYr2!Q50*ADRYr2!U50)</f>
        <v/>
      </c>
      <c r="CC50" s="28" t="str">
        <f>IF($G50="","",$G50*(IF(ADRYr2!$AI50=CC$4,ADRYr2!$AJ50,IF(ADRYr2!$AK50=CC$4,ADRYr2!$AL50,IF(ADRYr2!$AM50=CC$4,ADRYr2!$AN50,0))))*(INDEX(avoidedcosttbl2,$H50,CC$2)+(($H50-ROUNDDOWN($H50,0))*(INDEX(avoidedcosttbl2,ROUNDUP($H50,0),CC$2)-(INDEX(avoidedcosttbl2,ROUNDDOWN($H50,0),CC$2)))))*ADRYr2!P50*ADRYr2!Q50*ADRYr2!U50)</f>
        <v/>
      </c>
      <c r="CD50" s="28" t="str">
        <f>IF($G50="","",$G50*(IF(ADRYr2!$AI50=CD$4,ADRYr2!$AJ50,IF(ADRYr2!$AK50=CD$4,ADRYr2!$AL50,IF(ADRYr2!$AM50=CD$4,ADRYr2!$AN50,0))))*(INDEX(avoidedcosttbl2,$H50,CD$2)+(($H50-ROUNDDOWN($H50,0))*(INDEX(avoidedcosttbl2,ROUNDUP($H50,0),CD$2)-(INDEX(avoidedcosttbl2,ROUNDDOWN($H50,0),CD$2)))))*ADRYr2!P50*ADRYr2!Q50*ADRYr2!U50)</f>
        <v/>
      </c>
      <c r="CE50" s="28" t="str">
        <f>IF($G50="","",$G50*(IF(ADRYr2!$AI50=CE$4,ADRYr2!$AJ50,IF(ADRYr2!$AK50=CE$4,ADRYr2!$AL50,IF(ADRYr2!$AM50=CE$4,ADRYr2!$AN50,0))))*(INDEX(avoidedcosttbl2,$H50,CE$2)+(($H50-ROUNDDOWN($H50,0))*(INDEX(avoidedcosttbl2,ROUNDUP($H50,0),CE$2)-(INDEX(avoidedcosttbl2,ROUNDDOWN($H50,0),CE$2)))))*ADRYr2!P50*ADRYr2!Q50*ADRYr2!U50)</f>
        <v/>
      </c>
      <c r="CF50" s="41" t="str">
        <f t="shared" si="38"/>
        <v/>
      </c>
      <c r="CG50" s="30" t="str">
        <f t="shared" si="11"/>
        <v/>
      </c>
      <c r="CH50" s="30" t="str">
        <f>IF($G50="","",$G50*(IF(ADRYr2!$AI50=BY$4,ADRYr2!$AJ50,IF(ADRYr2!$AK50=BY$4,ADRYr2!$AL50,IF(ADRYr2!$AM50=BY$4,ADRYr2!$AN50,0))))*(INDEX(avoidedcosttbl2,$H50,CH$2)+(($H50-ROUNDDOWN($H50,0))*(INDEX(avoidedcosttbl2,ROUNDUP($H50,0),CH$2)-(INDEX(avoidedcosttbl2,ROUNDDOWN($H50,0),CH$2)))))*ADRYr2!P50*ADRYr2!Q50*ADRYr2!U50)</f>
        <v/>
      </c>
      <c r="CI50" s="30" t="str">
        <f>IF($G50="","",$G50*(IF(ADRYr2!$AI50=BZ$4,ADRYr2!$AJ50,IF(ADRYr2!$AK50=BZ$4,ADRYr2!$AL50,IF(ADRYr2!$AM50=BZ$4,ADRYr2!$AN50,0))))*(INDEX(avoidedcosttbl2,$H50,CI$2)+(($H50-ROUNDDOWN($H50,0))*(INDEX(avoidedcosttbl2,ROUNDUP($H50,0),CI$2)-(INDEX(avoidedcosttbl2,ROUNDDOWN($H50,0),CI$2)))))*ADRYr2!P50*ADRYr2!Q50*ADRYr2!U50)</f>
        <v/>
      </c>
      <c r="CJ50" s="30" t="str">
        <f>IF($G50="","",$G50*(IF(ADRYr2!$AI50=CA$4,ADRYr2!$AJ50,IF(ADRYr2!$AK50=CA$4,ADRYr2!$AL50,IF(ADRYr2!$AM50=CA$4,ADRYr2!$AN50,0))))*(INDEX(avoidedcosttbl2,$H50,CJ$2)+(($H50-ROUNDDOWN($H50,0))*(INDEX(avoidedcosttbl2,ROUNDUP($H50,0),CJ$2)-(INDEX(avoidedcosttbl2,ROUNDDOWN($H50,0),CJ$2)))))*ADRYr2!P50*ADRYr2!Q50*ADRYr2!U50)</f>
        <v/>
      </c>
      <c r="CK50" s="30" t="str">
        <f>IF($G50="","",$G50*(IF(ADRYr2!$AI50=CB$4,ADRYr2!$AJ50,IF(ADRYr2!$AK50=CB$4,ADRYr2!$AL50,IF(ADRYr2!$AM50=CB$4,ADRYr2!$AN50,0))))*(INDEX(avoidedcosttbl2,$H50,CK$2)+(($H50-ROUNDDOWN($H50,0))*(INDEX(avoidedcosttbl2,ROUNDUP($H50,0),CK$2)-(INDEX(avoidedcosttbl2,ROUNDDOWN($H50,0),CK$2)))))*ADRYr2!P50*ADRYr2!Q50*ADRYr2!U50)</f>
        <v/>
      </c>
      <c r="CL50" s="30" t="str">
        <f>IF($G50="","",$G50*(IF(ADRYr2!$AI50=CC$4,ADRYr2!$AJ50,IF(ADRYr2!$AK50=CC$4,ADRYr2!$AL50,IF(ADRYr2!$AM50=CC$4,ADRYr2!$AN50,0))))*(INDEX(avoidedcosttbl2,$H50,CL$2)+(($H50-ROUNDDOWN($H50,0))*(INDEX(avoidedcosttbl2,ROUNDUP($H50,0),CL$2)-(INDEX(avoidedcosttbl2,ROUNDDOWN($H50,0),CL$2)))))*ADRYr2!P50*ADRYr2!Q50*ADRYr2!U50)</f>
        <v/>
      </c>
      <c r="CM50" s="30" t="str">
        <f>IF($G50="","",$G50*(IF(ADRYr2!$AI50=CD$4,ADRYr2!$AJ50,IF(ADRYr2!$AK50=CD$4,ADRYr2!$AL50,IF(ADRYr2!$AM50=CD$4,ADRYr2!$AN50,0))))*(INDEX(avoidedcosttbl2,$H50,CM$2)+(($H50-ROUNDDOWN($H50,0))*(INDEX(avoidedcosttbl2,ROUNDUP($H50,0),CM$2)-(INDEX(avoidedcosttbl2,ROUNDDOWN($H50,0),CM$2)))))*ADRYr2!P50*ADRYr2!Q50*ADRYr2!U50)</f>
        <v/>
      </c>
      <c r="CN50" s="30" t="str">
        <f>IF($G50="","",$G50*(IF(ADRYr2!$AI50=CE$4,ADRYr2!$AJ50,IF(ADRYr2!$AK50=CE$4,ADRYr2!$AL50,IF(ADRYr2!$AM50=CE$4,ADRYr2!$AN50,0))))*(INDEX(avoidedcosttbl2,$H50,CN$2)+(($H50-ROUNDDOWN($H50,0))*(INDEX(avoidedcosttbl2,ROUNDUP($H50,0),CN$2)-(INDEX(avoidedcosttbl2,ROUNDDOWN($H50,0),CN$2)))))*ADRYr2!P50*ADRYr2!Q50*ADRYr2!U50)</f>
        <v/>
      </c>
      <c r="CO50" s="220" t="str">
        <f t="shared" si="39"/>
        <v/>
      </c>
      <c r="CP50" s="220" t="str">
        <f t="shared" si="40"/>
        <v/>
      </c>
      <c r="CQ50" s="157" t="str">
        <f>IF($G50="","",$G50*(IF(ADRYr2!$AI50=CQ$4,ADRYr2!$AJ50,IF(ADRYr2!$AK50=CQ$4,ADRYr2!$AL50,IF(ADRYr2!$AM50=CQ$4,ADRYr2!$AN50,0))))*(INDEX(avoidedcosttbl2,$H50,CQ$2)+(($H50-ROUNDDOWN($H50,0))*(INDEX(avoidedcosttbl2,ROUNDUP($H50,0),CQ$2)-(INDEX(avoidedcosttbl2,ROUNDDOWN($H50,0),CQ$2)))))*ADRYr2!$P50*ADRYr2!$Q50*ADRYr2!$U50)</f>
        <v/>
      </c>
      <c r="CR50" s="28" t="str">
        <f>IF($G50="","",G50*(IF(ADRYr2!$AI50=CR$4,ADRYr2!$AJ50,IF(ADRYr2!$AK50=CR$4,ADRYr2!$AL50,IF(ADRYr2!$AM50=CR$4,ADRYr2!$AN50,0))))*(INDEX(avoidedcosttbl2,$H50,CR$2)+(($H50-ROUNDDOWN($H50,0))*(INDEX(avoidedcosttbl2,ROUNDUP($H50,0),CR$2)-(INDEX(avoidedcosttbl2,ROUNDDOWN($H50,0),CR$2)))))*ADRYr2!$P50*ADRYr2!$Q50*ADRYr2!$U50)</f>
        <v/>
      </c>
      <c r="CS50" s="28" t="str">
        <f>IF($G50="","",G50*(IF(ADRYr2!$AI50=CS$4,ADRYr2!$AJ50,IF(ADRYr2!$AK50=CS$4,ADRYr2!$AL50,IF(ADRYr2!$AM50=CS$4,ADRYr2!$AN50,0))))*(INDEX(avoidedcosttbl2,$H50,CS$2)+(($H50-ROUNDDOWN($H50,0))*(INDEX(avoidedcosttbl2,ROUNDUP($H50,0),CS$2)-(INDEX(avoidedcosttbl2,ROUNDDOWN($H50,0),CS$2)))))*ADRYr2!$P50*ADRYr2!$Q50*ADRYr2!$U50)</f>
        <v/>
      </c>
      <c r="CT50" s="28" t="str">
        <f t="shared" si="12"/>
        <v/>
      </c>
      <c r="CU50" s="28" t="str">
        <f>IF($G50="","",G50*(IF(ADRYr2!$AI50=CU$4,ADRYr2!$AJ50,IF(ADRYr2!$AK50=CU$4,ADRYr2!$AL50,IF(ADRYr2!$AM50=CU$4,ADRYr2!$AN50,0))))*(INDEX(avoidedcosttbl2,$H50,CU$2)+(($H50-ROUNDDOWN($H50,0))*(INDEX(avoidedcosttbl2,ROUNDUP($H50,0),CU$2)-(INDEX(avoidedcosttbl2,ROUNDDOWN($H50,0),CU$2)))))*ADRYr2!$P50*ADRYr2!$Q50*ADRYr2!$U50)</f>
        <v/>
      </c>
      <c r="CV50" s="28" t="str">
        <f>IF($G50="","",G50*(IF(ADRYr2!$AI50=CV$4,ADRYr2!$AJ50,IF(ADRYr2!$AK50=CV$4,ADRYr2!$AL50,IF(ADRYr2!$AM50=CV$4,ADRYr2!$AN50,0))))*(INDEX(avoidedcosttbl2,$H50,CV$2)+(($H50-ROUNDDOWN($H50,0))*(INDEX(avoidedcosttbl2,ROUNDUP($H50,0),CV$2)-(INDEX(avoidedcosttbl2,ROUNDDOWN($H50,0),CV$2)))))*ADRYr2!$P50*ADRYr2!$Q50*ADRYr2!$U50)</f>
        <v/>
      </c>
      <c r="CW50" s="28" t="str">
        <f>IF($G50="","",G50*(IF(ADRYr2!$AI50=CW$4,ADRYr2!$AJ50,IF(ADRYr2!$AK50=CW$4,ADRYr2!$AL50,IF(ADRYr2!$AM50=CW$4,ADRYr2!$AN50,0))))*(INDEX(avoidedcosttbl2,$H50,CW$2)+(($H50-ROUNDDOWN($H50,0))*(INDEX(avoidedcosttbl2,ROUNDUP($H50,0),CW$2)-(INDEX(avoidedcosttbl2,ROUNDDOWN($H50,0),CW$2)))))*ADRYr2!$P50*ADRYr2!$Q50*ADRYr2!$U50)</f>
        <v/>
      </c>
      <c r="CX50" s="28" t="str">
        <f>IF($G50="","",G50*(IF(ADRYr2!$AI50=CX$4,ADRYr2!$AJ50,IF(ADRYr2!$AK50=CX$4,ADRYr2!$AL50,IF(ADRYr2!$AM50=CX$4,ADRYr2!$AN50,0))))*(INDEX(avoidedcosttbl2,$H50,CX$2)+(($H50-ROUNDDOWN($H50,0))*(INDEX(avoidedcosttbl2,ROUNDUP($H50,0),CX$2)-(INDEX(avoidedcosttbl2,ROUNDDOWN($H50,0),CX$2)))))*ADRYr2!$P50*ADRYr2!$Q50*ADRYr2!$U50)</f>
        <v/>
      </c>
      <c r="CY50" s="28" t="str">
        <f t="shared" si="13"/>
        <v/>
      </c>
      <c r="CZ50" s="32" t="str">
        <f t="shared" si="14"/>
        <v/>
      </c>
      <c r="DA50" s="84" t="str">
        <f t="shared" si="41"/>
        <v/>
      </c>
      <c r="DB50" s="81" t="str">
        <f>IF(NEIadder="Yes",IF($G50="","",INDEX(Lookups!$G$70:$G$71,MATCH($A50,Lookups!$E$70:$E$71,0))*(SUM(CP50:CX50,BX50))),"")</f>
        <v/>
      </c>
      <c r="DC50" s="263" t="str">
        <f t="shared" si="15"/>
        <v/>
      </c>
      <c r="DD50" s="166" t="str">
        <f t="shared" si="16"/>
        <v/>
      </c>
      <c r="DE50" s="82">
        <f t="shared" si="42"/>
        <v>0</v>
      </c>
      <c r="DF50" s="615" t="str">
        <f>IF($G50="","",(1+WntPeakEnergyLL)*(INDEX(avoidedcosttbl2,$H50,DF$2)+(($H50-ROUNDDOWN($H50,0))*(INDEX(avoidedcosttbl2,ROUNDUP($H50,0),DF$2)-(INDEX(avoidedcosttbl2,ROUNDDOWN($H50,0),DF$2)))))*$P50*1000*ADRYr2!Z50)</f>
        <v/>
      </c>
      <c r="DG50" s="615" t="str">
        <f>IF($G50="","",(1+WntOffPeakEnergyLL)*(INDEX(avoidedcosttbl2,$H50,DG$2)+(($H50-ROUNDDOWN($H50,0))*(INDEX(avoidedcosttbl2,ROUNDUP($H50,0),DG$2)-(INDEX(avoidedcosttbl2,ROUNDDOWN($H50,0),DG$2)))))*$P50*1000*ADRYr2!AA50)</f>
        <v/>
      </c>
      <c r="DH50" s="615" t="str">
        <f>IF($G50="","",(1+SumPeakEnergyLL)*(INDEX(avoidedcosttbl2,$H50,DH$2)+(($H50-ROUNDDOWN($H50,0))*(INDEX(avoidedcosttbl2,ROUNDUP($H50,0),DH$2)-(INDEX(avoidedcosttbl2,ROUNDDOWN($H50,0),DH$2)))))*$P50*1000*ADRYr2!AB50)</f>
        <v/>
      </c>
      <c r="DI50" s="615" t="str">
        <f>IF($G50="","",(1+SumOffPeakEnergyLL)*(INDEX(avoidedcosttbl2,$H50,DI$2)+(($H50-ROUNDDOWN($H50,0))*(INDEX(avoidedcosttbl2,ROUNDUP($H50,0),DI$2)-(INDEX(avoidedcosttbl2,ROUNDDOWN($H50,0),DI$2)))))*$P50*1000*ADRYr2!AC50)</f>
        <v/>
      </c>
      <c r="DJ50" s="29" t="str">
        <f t="shared" si="43"/>
        <v/>
      </c>
      <c r="DK50" s="161" t="str">
        <f t="shared" si="51"/>
        <v/>
      </c>
      <c r="DO50" s="966" t="str">
        <f>IF($G50="","",ADRYr2!AQ50)</f>
        <v/>
      </c>
      <c r="DP50" s="968" t="str">
        <f>IF($G50="","",ADRYr2!AR50)</f>
        <v/>
      </c>
      <c r="DQ50" s="970" t="str">
        <f>IF($G50="","",IF($DP50="Yes",COLUMN(AESC!$L$10),IF($DP50="No","Using AvoidedDemand tab",IF($DP50="Mixed",COLUMN(AESC!$N$10)))))</f>
        <v/>
      </c>
      <c r="DR50" s="970" t="str">
        <f>IF($G50="","",IF($DP50="Yes",COLUMN(AESC!$P$10),IF($DP50="No","Using AvoidedDemand tab",IF($DP50="Mixed",COLUMN(AESC!$R$10)))))</f>
        <v/>
      </c>
      <c r="DS50" s="970" t="str">
        <f>IF($G50="","",IF($DP50="Yes",COLUMN(AESC!$S$10),IF($DP50="No",COLUMN(AESC!$T$10),IF($DP50="Mixed",COLUMN(AESC!$U$10)))))</f>
        <v/>
      </c>
      <c r="DT50" s="970" t="str">
        <f t="shared" si="48"/>
        <v/>
      </c>
      <c r="DU50" s="970" t="str">
        <f>IF($G50="","",ADRYr2!AS50)</f>
        <v/>
      </c>
      <c r="DV50" s="971" t="str">
        <f>IF($G50="","",ADRYr2!AT50)</f>
        <v/>
      </c>
      <c r="DW50" s="1162" t="str">
        <f>IF($G50="","",INDEX(AvoidedEnergy!$H$4:$H$10,MATCH($DO50,AvoidedEnergy!$A$4:$A$10,0)))</f>
        <v/>
      </c>
    </row>
  </sheetData>
  <autoFilter ref="A4:DO39" xr:uid="{E8C91266-49C9-443D-8476-C6B2F3412551}"/>
  <mergeCells count="21">
    <mergeCell ref="DO3:DW3"/>
    <mergeCell ref="BA3:BC3"/>
    <mergeCell ref="A3:H3"/>
    <mergeCell ref="I3:K3"/>
    <mergeCell ref="L3:U3"/>
    <mergeCell ref="V3:Z3"/>
    <mergeCell ref="AA3:AD3"/>
    <mergeCell ref="AE3:AH3"/>
    <mergeCell ref="AI3:AL3"/>
    <mergeCell ref="AM3:AP3"/>
    <mergeCell ref="AQ3:AT3"/>
    <mergeCell ref="AU3:AX3"/>
    <mergeCell ref="AY3:AZ3"/>
    <mergeCell ref="DB3:DE3"/>
    <mergeCell ref="DF3:DJ3"/>
    <mergeCell ref="BD3:BH3"/>
    <mergeCell ref="BI3:BN3"/>
    <mergeCell ref="BP3:BW3"/>
    <mergeCell ref="BY3:CF3"/>
    <mergeCell ref="CG3:CO3"/>
    <mergeCell ref="CQ3:CZ3"/>
  </mergeCells>
  <conditionalFormatting sqref="J2:L2 J3:K3">
    <cfRule type="expression" dxfId="7" priority="1" stopIfTrue="1">
      <formula>ISBLANK($K2)</formula>
    </cfRule>
    <cfRule type="expression" dxfId="6" priority="2" stopIfTrue="1">
      <formula>$J2=0</formula>
    </cfRule>
  </conditionalFormatting>
  <conditionalFormatting sqref="J1:K1">
    <cfRule type="expression" dxfId="5" priority="3" stopIfTrue="1">
      <formula>ISBLANK($J1)</formula>
    </cfRule>
    <cfRule type="expression" dxfId="4" priority="4" stopIfTrue="1">
      <formula>$B1=0</formula>
    </cfRule>
  </conditionalFormatting>
  <dataValidations count="1">
    <dataValidation type="whole" allowBlank="1" showInputMessage="1" showErrorMessage="1" errorTitle="Whole Numbers Only" error="NTG and Impact Factors should be entered as whole numbers, no decimals." sqref="R5:R50" xr:uid="{C8C87F74-917D-42BA-88D9-0C797559F643}">
      <formula1>0</formula1>
      <formula2>500</formula2>
    </dataValidation>
  </dataValidations>
  <pageMargins left="0.5" right="0.5" top="1" bottom="1" header="0.5" footer="0.5"/>
  <pageSetup scale="13" fitToHeight="3" orientation="landscape" r:id="rId1"/>
  <headerFooter alignWithMargins="0">
    <oddFooter>&amp;L&amp;Z&amp;F&amp;R&amp;D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0" tint="-0.34998626667073579"/>
    <pageSetUpPr fitToPage="1"/>
  </sheetPr>
  <dimension ref="A1:DW54"/>
  <sheetViews>
    <sheetView zoomScale="80" zoomScaleNormal="80" workbookViewId="0">
      <pane xSplit="6" ySplit="4" topLeftCell="G5" activePane="bottomRight" state="frozen"/>
      <selection activeCell="D19" sqref="D19"/>
      <selection pane="topRight" activeCell="D19" sqref="D19"/>
      <selection pane="bottomLeft" activeCell="D19" sqref="D19"/>
      <selection pane="bottomRight" activeCell="J20" sqref="J20"/>
    </sheetView>
  </sheetViews>
  <sheetFormatPr defaultColWidth="10" defaultRowHeight="12.75" outlineLevelCol="1"/>
  <cols>
    <col min="1" max="1" width="10.7109375" style="10" customWidth="1"/>
    <col min="2" max="2" width="17.7109375" style="10" customWidth="1"/>
    <col min="3" max="3" width="22" style="10" customWidth="1"/>
    <col min="4" max="4" width="65.28515625" style="10" bestFit="1" customWidth="1"/>
    <col min="5" max="5" width="15.85546875" style="10" bestFit="1" customWidth="1"/>
    <col min="6" max="6" width="17.42578125" style="33" bestFit="1" customWidth="1"/>
    <col min="7" max="7" width="14.85546875" style="34" bestFit="1" customWidth="1"/>
    <col min="8" max="8" width="10.7109375" style="33" customWidth="1"/>
    <col min="9" max="9" width="14.7109375" style="34" customWidth="1"/>
    <col min="10" max="11" width="14.42578125" style="34" customWidth="1"/>
    <col min="12" max="12" width="16.5703125" style="13" customWidth="1"/>
    <col min="13" max="14" width="16.5703125" style="35" customWidth="1"/>
    <col min="15" max="15" width="16.5703125" style="36" customWidth="1"/>
    <col min="16" max="16" width="16.5703125" style="35" customWidth="1"/>
    <col min="17" max="17" width="16.5703125" style="36" customWidth="1"/>
    <col min="18" max="21" width="16" style="36" customWidth="1"/>
    <col min="22" max="22" width="18.42578125" style="35" customWidth="1"/>
    <col min="23" max="24" width="18.42578125" style="36" customWidth="1"/>
    <col min="25" max="26" width="18.42578125" style="66" customWidth="1"/>
    <col min="27" max="52" width="17.42578125" style="46" customWidth="1" outlineLevel="1"/>
    <col min="53" max="55" width="17.42578125" style="95" customWidth="1" outlineLevel="1"/>
    <col min="56" max="59" width="17.28515625" style="13" customWidth="1"/>
    <col min="60" max="60" width="17.28515625" style="37" customWidth="1"/>
    <col min="61" max="65" width="17.28515625" style="3" customWidth="1"/>
    <col min="66" max="67" width="17.28515625" style="38" customWidth="1"/>
    <col min="68" max="74" width="18.140625" style="13" customWidth="1"/>
    <col min="75" max="75" width="18.140625" style="37" customWidth="1"/>
    <col min="76" max="76" width="21.85546875" style="37" customWidth="1"/>
    <col min="77" max="83" width="17.140625" style="13" customWidth="1" outlineLevel="1"/>
    <col min="84" max="84" width="17.140625" style="37" customWidth="1" outlineLevel="1"/>
    <col min="85" max="92" width="16" style="3" customWidth="1" outlineLevel="1"/>
    <col min="93" max="93" width="16" style="38" customWidth="1" outlineLevel="1"/>
    <col min="94" max="94" width="20.42578125" style="38" customWidth="1" outlineLevel="1"/>
    <col min="95" max="95" width="17" style="38" customWidth="1" outlineLevel="1"/>
    <col min="96" max="104" width="17" style="13" customWidth="1" outlineLevel="1"/>
    <col min="105" max="105" width="20.5703125" style="13" customWidth="1" outlineLevel="1"/>
    <col min="106" max="106" width="15.42578125" style="13" customWidth="1" outlineLevel="1" collapsed="1"/>
    <col min="107" max="108" width="21.28515625" style="13" customWidth="1" outlineLevel="1"/>
    <col min="109" max="114" width="22.7109375" style="43" customWidth="1" outlineLevel="1"/>
    <col min="115" max="115" width="20.5703125" style="43" bestFit="1" customWidth="1"/>
    <col min="116" max="118" width="20.5703125" style="43" customWidth="1"/>
    <col min="119" max="119" width="14.140625" style="3" bestFit="1" customWidth="1"/>
    <col min="120" max="120" width="8" style="3" bestFit="1" customWidth="1"/>
    <col min="121" max="121" width="11.5703125" style="3" customWidth="1"/>
    <col min="122" max="122" width="13" style="3" customWidth="1"/>
    <col min="123" max="123" width="11.5703125" style="3" customWidth="1"/>
    <col min="124" max="124" width="20.42578125" style="3" bestFit="1" customWidth="1"/>
    <col min="125" max="125" width="10" style="3"/>
    <col min="126" max="126" width="12.7109375" style="3" customWidth="1"/>
    <col min="127" max="127" width="11.5703125" style="3" bestFit="1" customWidth="1"/>
    <col min="128" max="16384" width="10" style="3"/>
  </cols>
  <sheetData>
    <row r="1" spans="1:127" s="212" customFormat="1" ht="25.5">
      <c r="A1" s="64" t="s">
        <v>74</v>
      </c>
      <c r="B1" s="65">
        <f>Year3</f>
        <v>2026</v>
      </c>
      <c r="C1" s="56"/>
      <c r="D1" s="56"/>
      <c r="E1" s="56"/>
      <c r="F1" s="4"/>
      <c r="G1" s="57"/>
      <c r="H1" s="4"/>
      <c r="I1" s="57"/>
      <c r="J1" s="57"/>
      <c r="K1" s="57"/>
      <c r="L1" s="13"/>
      <c r="M1" s="114"/>
      <c r="N1" s="58"/>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972"/>
      <c r="BI1" s="7"/>
      <c r="BJ1" s="7"/>
      <c r="BK1" s="7"/>
      <c r="BL1" s="7"/>
      <c r="BM1" s="7"/>
      <c r="BN1" s="7"/>
      <c r="BO1" s="7"/>
      <c r="BP1" s="1163" t="s">
        <v>882</v>
      </c>
      <c r="BQ1" s="7"/>
      <c r="BR1" s="1163" t="s">
        <v>882</v>
      </c>
      <c r="BS1" s="1163" t="s">
        <v>882</v>
      </c>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3"/>
      <c r="DQ1" s="1165" t="s">
        <v>881</v>
      </c>
      <c r="DR1" s="1165" t="s">
        <v>881</v>
      </c>
      <c r="DS1" s="1164" t="s">
        <v>882</v>
      </c>
    </row>
    <row r="2" spans="1:127" s="8" customFormat="1" ht="13.5" thickBot="1">
      <c r="A2" s="5"/>
      <c r="B2" s="5"/>
      <c r="C2" s="5"/>
      <c r="D2" s="6"/>
      <c r="E2" s="6"/>
      <c r="F2" s="6"/>
      <c r="G2" s="6"/>
      <c r="H2" s="6"/>
      <c r="I2" s="6"/>
      <c r="J2" s="6"/>
      <c r="K2" s="6"/>
      <c r="L2" s="7"/>
      <c r="M2" s="7"/>
      <c r="N2" s="7"/>
      <c r="O2" s="7"/>
      <c r="P2" s="7"/>
      <c r="Q2" s="7"/>
      <c r="R2" s="7"/>
      <c r="S2" s="7"/>
      <c r="T2" s="7"/>
      <c r="U2" s="7"/>
      <c r="V2" s="7"/>
      <c r="W2" s="7"/>
      <c r="X2" s="7"/>
      <c r="Y2" s="7"/>
      <c r="Z2" s="7"/>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98"/>
      <c r="BB2" s="98"/>
      <c r="BC2" s="98"/>
      <c r="BD2" s="7"/>
      <c r="BE2" s="7"/>
      <c r="BF2" s="7"/>
      <c r="BG2" s="7"/>
      <c r="BH2" s="1151">
        <v>3</v>
      </c>
      <c r="BI2" s="7"/>
      <c r="BJ2" s="7"/>
      <c r="BK2" s="7"/>
      <c r="BL2" s="7"/>
      <c r="BM2" s="53">
        <v>11</v>
      </c>
      <c r="BN2" s="7">
        <v>4</v>
      </c>
      <c r="BO2" s="54"/>
      <c r="BP2" s="7"/>
      <c r="BQ2" s="7">
        <v>15</v>
      </c>
      <c r="BR2" s="7"/>
      <c r="BS2" s="7"/>
      <c r="BT2" s="7">
        <v>22</v>
      </c>
      <c r="BU2" s="7">
        <v>23</v>
      </c>
      <c r="BV2" s="7">
        <v>24</v>
      </c>
      <c r="BW2" s="26"/>
      <c r="BX2" s="26"/>
      <c r="BY2" s="7">
        <v>25</v>
      </c>
      <c r="BZ2" s="7">
        <f t="shared" ref="BZ2:CE2" si="0">BY2+1</f>
        <v>26</v>
      </c>
      <c r="CA2" s="7">
        <f t="shared" si="0"/>
        <v>27</v>
      </c>
      <c r="CB2" s="7">
        <f t="shared" si="0"/>
        <v>28</v>
      </c>
      <c r="CC2" s="7">
        <f t="shared" si="0"/>
        <v>29</v>
      </c>
      <c r="CD2" s="7">
        <f t="shared" si="0"/>
        <v>30</v>
      </c>
      <c r="CE2" s="7">
        <f t="shared" si="0"/>
        <v>31</v>
      </c>
      <c r="CF2" s="26"/>
      <c r="CG2" s="53">
        <f>CE2+1</f>
        <v>32</v>
      </c>
      <c r="CH2" s="53">
        <f>CG2+1</f>
        <v>33</v>
      </c>
      <c r="CI2" s="53">
        <f t="shared" ref="CI2:CN2" si="1">CH2+1</f>
        <v>34</v>
      </c>
      <c r="CJ2" s="53">
        <f t="shared" si="1"/>
        <v>35</v>
      </c>
      <c r="CK2" s="53">
        <f t="shared" si="1"/>
        <v>36</v>
      </c>
      <c r="CL2" s="53">
        <f t="shared" si="1"/>
        <v>37</v>
      </c>
      <c r="CM2" s="53">
        <f t="shared" si="1"/>
        <v>38</v>
      </c>
      <c r="CN2" s="53">
        <f t="shared" si="1"/>
        <v>39</v>
      </c>
      <c r="CO2" s="55"/>
      <c r="CP2" s="55"/>
      <c r="CQ2" s="1152">
        <f>CN2+1</f>
        <v>40</v>
      </c>
      <c r="CR2" s="7">
        <f>CQ2+1</f>
        <v>41</v>
      </c>
      <c r="CS2" s="7">
        <f t="shared" ref="CS2:CZ2" si="2">CR2+1</f>
        <v>42</v>
      </c>
      <c r="CT2" s="7">
        <f t="shared" si="2"/>
        <v>43</v>
      </c>
      <c r="CU2" s="7">
        <f t="shared" si="2"/>
        <v>44</v>
      </c>
      <c r="CV2" s="7">
        <f t="shared" si="2"/>
        <v>45</v>
      </c>
      <c r="CW2" s="7">
        <f t="shared" si="2"/>
        <v>46</v>
      </c>
      <c r="CX2" s="7">
        <f t="shared" si="2"/>
        <v>47</v>
      </c>
      <c r="CY2" s="7">
        <f t="shared" si="2"/>
        <v>48</v>
      </c>
      <c r="CZ2" s="7">
        <f t="shared" si="2"/>
        <v>49</v>
      </c>
      <c r="DA2" s="7"/>
      <c r="DB2" s="7"/>
      <c r="DC2" s="7">
        <f>CZ2+1</f>
        <v>50</v>
      </c>
      <c r="DD2" s="7">
        <f>DC2+1</f>
        <v>51</v>
      </c>
      <c r="DE2" s="42"/>
      <c r="DF2" s="7">
        <f>DD2+1</f>
        <v>52</v>
      </c>
      <c r="DG2" s="7">
        <f>DF2+1</f>
        <v>53</v>
      </c>
      <c r="DH2" s="7">
        <f>DG2+1</f>
        <v>54</v>
      </c>
      <c r="DI2" s="7">
        <f>DH2+1</f>
        <v>55</v>
      </c>
      <c r="DJ2" s="42"/>
      <c r="DK2" s="42"/>
      <c r="DL2" s="42"/>
      <c r="DM2" s="42"/>
      <c r="DN2" s="42"/>
    </row>
    <row r="3" spans="1:127" s="212" customFormat="1" ht="15.75" customHeight="1">
      <c r="A3" s="1527" t="s">
        <v>76</v>
      </c>
      <c r="B3" s="1528"/>
      <c r="C3" s="1528"/>
      <c r="D3" s="1528"/>
      <c r="E3" s="1528"/>
      <c r="F3" s="1528"/>
      <c r="G3" s="1528"/>
      <c r="H3" s="1528"/>
      <c r="I3" s="1529" t="s">
        <v>82</v>
      </c>
      <c r="J3" s="1529"/>
      <c r="K3" s="1529"/>
      <c r="L3" s="1530" t="s">
        <v>145</v>
      </c>
      <c r="M3" s="1531"/>
      <c r="N3" s="1531"/>
      <c r="O3" s="1531"/>
      <c r="P3" s="1531"/>
      <c r="Q3" s="1531"/>
      <c r="R3" s="1531"/>
      <c r="S3" s="1531"/>
      <c r="T3" s="1531"/>
      <c r="U3" s="1532"/>
      <c r="V3" s="1533" t="s">
        <v>147</v>
      </c>
      <c r="W3" s="1533"/>
      <c r="X3" s="1533"/>
      <c r="Y3" s="1533"/>
      <c r="Z3" s="1533"/>
      <c r="AA3" s="1534" t="s">
        <v>233</v>
      </c>
      <c r="AB3" s="1535"/>
      <c r="AC3" s="1535"/>
      <c r="AD3" s="1536"/>
      <c r="AE3" s="1524" t="s">
        <v>633</v>
      </c>
      <c r="AF3" s="1525"/>
      <c r="AG3" s="1525"/>
      <c r="AH3" s="1526"/>
      <c r="AI3" s="1524" t="s">
        <v>634</v>
      </c>
      <c r="AJ3" s="1525"/>
      <c r="AK3" s="1525"/>
      <c r="AL3" s="1526"/>
      <c r="AM3" s="1524" t="s">
        <v>635</v>
      </c>
      <c r="AN3" s="1525"/>
      <c r="AO3" s="1525"/>
      <c r="AP3" s="1526"/>
      <c r="AQ3" s="1524" t="s">
        <v>636</v>
      </c>
      <c r="AR3" s="1525"/>
      <c r="AS3" s="1525"/>
      <c r="AT3" s="1526"/>
      <c r="AU3" s="1524" t="s">
        <v>637</v>
      </c>
      <c r="AV3" s="1525"/>
      <c r="AW3" s="1525"/>
      <c r="AX3" s="1526"/>
      <c r="AY3" s="1524" t="s">
        <v>639</v>
      </c>
      <c r="AZ3" s="1526"/>
      <c r="BA3" s="1524" t="s">
        <v>638</v>
      </c>
      <c r="BB3" s="1525"/>
      <c r="BC3" s="1526"/>
      <c r="BD3" s="1541" t="s">
        <v>153</v>
      </c>
      <c r="BE3" s="1542"/>
      <c r="BF3" s="1542"/>
      <c r="BG3" s="1542"/>
      <c r="BH3" s="1543"/>
      <c r="BI3" s="1508" t="s">
        <v>155</v>
      </c>
      <c r="BJ3" s="1509"/>
      <c r="BK3" s="1509"/>
      <c r="BL3" s="1509"/>
      <c r="BM3" s="1509"/>
      <c r="BN3" s="1510"/>
      <c r="BO3" s="158" t="s">
        <v>182</v>
      </c>
      <c r="BP3" s="1511" t="s">
        <v>154</v>
      </c>
      <c r="BQ3" s="1512"/>
      <c r="BR3" s="1512"/>
      <c r="BS3" s="1512"/>
      <c r="BT3" s="1512"/>
      <c r="BU3" s="1512"/>
      <c r="BV3" s="1512"/>
      <c r="BW3" s="1513"/>
      <c r="BX3" s="159" t="s">
        <v>80</v>
      </c>
      <c r="BY3" s="1514" t="s">
        <v>157</v>
      </c>
      <c r="BZ3" s="1515"/>
      <c r="CA3" s="1515"/>
      <c r="CB3" s="1515"/>
      <c r="CC3" s="1515"/>
      <c r="CD3" s="1515"/>
      <c r="CE3" s="1515"/>
      <c r="CF3" s="1516"/>
      <c r="CG3" s="1517" t="s">
        <v>158</v>
      </c>
      <c r="CH3" s="1517"/>
      <c r="CI3" s="1517"/>
      <c r="CJ3" s="1517"/>
      <c r="CK3" s="1517"/>
      <c r="CL3" s="1517"/>
      <c r="CM3" s="1517"/>
      <c r="CN3" s="1517"/>
      <c r="CO3" s="1517"/>
      <c r="CP3" s="159" t="s">
        <v>208</v>
      </c>
      <c r="CQ3" s="1518" t="s">
        <v>381</v>
      </c>
      <c r="CR3" s="1519"/>
      <c r="CS3" s="1519"/>
      <c r="CT3" s="1519"/>
      <c r="CU3" s="1519"/>
      <c r="CV3" s="1519"/>
      <c r="CW3" s="1519"/>
      <c r="CX3" s="1519"/>
      <c r="CY3" s="1519"/>
      <c r="CZ3" s="1520"/>
      <c r="DA3" s="159" t="s">
        <v>80</v>
      </c>
      <c r="DB3" s="1537" t="s">
        <v>648</v>
      </c>
      <c r="DC3" s="1537"/>
      <c r="DD3" s="1537"/>
      <c r="DE3" s="1537"/>
      <c r="DF3" s="1538" t="s">
        <v>652</v>
      </c>
      <c r="DG3" s="1539"/>
      <c r="DH3" s="1539"/>
      <c r="DI3" s="1539"/>
      <c r="DJ3" s="1540"/>
      <c r="DK3" s="1182" t="s">
        <v>117</v>
      </c>
      <c r="DL3" s="1185" t="s">
        <v>117</v>
      </c>
      <c r="DM3" s="1186" t="s">
        <v>117</v>
      </c>
      <c r="DN3" s="1183" t="s">
        <v>117</v>
      </c>
      <c r="DO3" s="1521" t="s">
        <v>867</v>
      </c>
      <c r="DP3" s="1522"/>
      <c r="DQ3" s="1522"/>
      <c r="DR3" s="1522"/>
      <c r="DS3" s="1522"/>
      <c r="DT3" s="1522"/>
      <c r="DU3" s="1522"/>
      <c r="DV3" s="1522"/>
      <c r="DW3" s="1523"/>
    </row>
    <row r="4" spans="1:127" s="213" customFormat="1" ht="63.75">
      <c r="A4" s="218" t="s">
        <v>5</v>
      </c>
      <c r="B4" s="219" t="s">
        <v>6</v>
      </c>
      <c r="C4" s="219" t="s">
        <v>272</v>
      </c>
      <c r="D4" s="49" t="s">
        <v>7</v>
      </c>
      <c r="E4" s="219" t="s">
        <v>886</v>
      </c>
      <c r="F4" s="49" t="s">
        <v>8</v>
      </c>
      <c r="G4" s="50" t="s">
        <v>78</v>
      </c>
      <c r="H4" s="49" t="s">
        <v>77</v>
      </c>
      <c r="I4" s="51" t="s">
        <v>217</v>
      </c>
      <c r="J4" s="51" t="s">
        <v>218</v>
      </c>
      <c r="K4" s="51" t="s">
        <v>219</v>
      </c>
      <c r="L4" s="52" t="s">
        <v>225</v>
      </c>
      <c r="M4" s="52" t="s">
        <v>162</v>
      </c>
      <c r="N4" s="52" t="s">
        <v>274</v>
      </c>
      <c r="O4" s="52" t="s">
        <v>163</v>
      </c>
      <c r="P4" s="59" t="s">
        <v>164</v>
      </c>
      <c r="Q4" s="60" t="s">
        <v>148</v>
      </c>
      <c r="R4" s="92" t="s">
        <v>149</v>
      </c>
      <c r="S4" s="92" t="s">
        <v>150</v>
      </c>
      <c r="T4" s="92" t="s">
        <v>151</v>
      </c>
      <c r="U4" s="93" t="s">
        <v>152</v>
      </c>
      <c r="V4" s="61" t="s">
        <v>79</v>
      </c>
      <c r="W4" s="62" t="s">
        <v>192</v>
      </c>
      <c r="X4" s="62" t="s">
        <v>190</v>
      </c>
      <c r="Y4" s="62" t="s">
        <v>209</v>
      </c>
      <c r="Z4" s="62" t="s">
        <v>191</v>
      </c>
      <c r="AA4" s="79" t="s">
        <v>202</v>
      </c>
      <c r="AB4" s="79" t="s">
        <v>203</v>
      </c>
      <c r="AC4" s="79" t="s">
        <v>194</v>
      </c>
      <c r="AD4" s="79" t="s">
        <v>195</v>
      </c>
      <c r="AE4" s="63" t="s">
        <v>204</v>
      </c>
      <c r="AF4" s="63" t="s">
        <v>205</v>
      </c>
      <c r="AG4" s="63" t="s">
        <v>196</v>
      </c>
      <c r="AH4" s="63" t="s">
        <v>197</v>
      </c>
      <c r="AI4" s="115" t="s">
        <v>206</v>
      </c>
      <c r="AJ4" s="115" t="s">
        <v>207</v>
      </c>
      <c r="AK4" s="115" t="s">
        <v>198</v>
      </c>
      <c r="AL4" s="115" t="s">
        <v>199</v>
      </c>
      <c r="AM4" s="63" t="s">
        <v>254</v>
      </c>
      <c r="AN4" s="63" t="s">
        <v>255</v>
      </c>
      <c r="AO4" s="63" t="s">
        <v>256</v>
      </c>
      <c r="AP4" s="63" t="s">
        <v>257</v>
      </c>
      <c r="AQ4" s="115" t="s">
        <v>260</v>
      </c>
      <c r="AR4" s="115" t="s">
        <v>261</v>
      </c>
      <c r="AS4" s="115" t="s">
        <v>262</v>
      </c>
      <c r="AT4" s="115" t="s">
        <v>263</v>
      </c>
      <c r="AU4" s="63" t="s">
        <v>264</v>
      </c>
      <c r="AV4" s="63" t="s">
        <v>265</v>
      </c>
      <c r="AW4" s="63" t="s">
        <v>266</v>
      </c>
      <c r="AX4" s="63" t="s">
        <v>267</v>
      </c>
      <c r="AY4" s="115" t="s">
        <v>275</v>
      </c>
      <c r="AZ4" s="115" t="s">
        <v>276</v>
      </c>
      <c r="BA4" s="99" t="s">
        <v>259</v>
      </c>
      <c r="BB4" s="116" t="s">
        <v>200</v>
      </c>
      <c r="BC4" s="99" t="s">
        <v>201</v>
      </c>
      <c r="BD4" s="59" t="s">
        <v>171</v>
      </c>
      <c r="BE4" s="59" t="s">
        <v>172</v>
      </c>
      <c r="BF4" s="59" t="s">
        <v>173</v>
      </c>
      <c r="BG4" s="59" t="s">
        <v>174</v>
      </c>
      <c r="BH4" s="67" t="s">
        <v>429</v>
      </c>
      <c r="BI4" s="72" t="s">
        <v>175</v>
      </c>
      <c r="BJ4" s="72" t="s">
        <v>176</v>
      </c>
      <c r="BK4" s="72" t="s">
        <v>177</v>
      </c>
      <c r="BL4" s="72" t="s">
        <v>178</v>
      </c>
      <c r="BM4" s="606" t="s">
        <v>640</v>
      </c>
      <c r="BN4" s="68" t="s">
        <v>179</v>
      </c>
      <c r="BO4" s="69" t="s">
        <v>180</v>
      </c>
      <c r="BP4" s="76" t="s">
        <v>183</v>
      </c>
      <c r="BQ4" s="77" t="s">
        <v>185</v>
      </c>
      <c r="BR4" s="77" t="s">
        <v>184</v>
      </c>
      <c r="BS4" s="245" t="s">
        <v>507</v>
      </c>
      <c r="BT4" s="245" t="s">
        <v>506</v>
      </c>
      <c r="BU4" s="77" t="s">
        <v>187</v>
      </c>
      <c r="BV4" s="77" t="s">
        <v>188</v>
      </c>
      <c r="BW4" s="70" t="s">
        <v>181</v>
      </c>
      <c r="BX4" s="71" t="s">
        <v>186</v>
      </c>
      <c r="BY4" s="78" t="str">
        <f>Lookups!E108</f>
        <v>NG - Res Non Heating</v>
      </c>
      <c r="BZ4" s="78" t="str">
        <f>Lookups!E106</f>
        <v>NG - Res Hot Water</v>
      </c>
      <c r="CA4" s="78" t="str">
        <f>Lookups!E107</f>
        <v>NG - Res Heating</v>
      </c>
      <c r="CB4" s="78" t="str">
        <f>Lookups!E105</f>
        <v>NG - Res All</v>
      </c>
      <c r="CC4" s="78" t="str">
        <f>Lookups!E109</f>
        <v>NG - C&amp; I Gas Non Heating</v>
      </c>
      <c r="CD4" s="78" t="str">
        <f>Lookups!E110</f>
        <v>NG - C&amp;I Gas Heat</v>
      </c>
      <c r="CE4" s="78" t="str">
        <f>Lookups!E111</f>
        <v>NG - C&amp;I Gas All</v>
      </c>
      <c r="CF4" s="73" t="s">
        <v>189</v>
      </c>
      <c r="CG4" s="79" t="s">
        <v>86</v>
      </c>
      <c r="CH4" s="79" t="s">
        <v>115</v>
      </c>
      <c r="CI4" s="79" t="s">
        <v>220</v>
      </c>
      <c r="CJ4" s="79" t="s">
        <v>221</v>
      </c>
      <c r="CK4" s="79" t="s">
        <v>222</v>
      </c>
      <c r="CL4" s="79" t="s">
        <v>114</v>
      </c>
      <c r="CM4" s="79" t="s">
        <v>224</v>
      </c>
      <c r="CN4" s="79" t="s">
        <v>223</v>
      </c>
      <c r="CO4" s="74" t="s">
        <v>156</v>
      </c>
      <c r="CP4" s="71" t="s">
        <v>193</v>
      </c>
      <c r="CQ4" s="80" t="str">
        <f>Lookups!E112</f>
        <v>Fuel Oil - Residential Distillate</v>
      </c>
      <c r="CR4" s="80" t="str">
        <f>Lookups!E113</f>
        <v>Fuel Oil - Com Fuel</v>
      </c>
      <c r="CS4" s="80" t="str">
        <f>Lookups!E114</f>
        <v>Fuel Oil - Industrial</v>
      </c>
      <c r="CT4" s="610" t="s">
        <v>603</v>
      </c>
      <c r="CU4" s="80" t="str">
        <f>Lookups!E115</f>
        <v>Kerosene</v>
      </c>
      <c r="CV4" s="80" t="str">
        <f>Lookups!E116</f>
        <v>Propane</v>
      </c>
      <c r="CW4" s="80" t="str">
        <f>Lookups!E117</f>
        <v>Cord Wood</v>
      </c>
      <c r="CX4" s="162" t="str">
        <f>Lookups!E118</f>
        <v>Pellet Wood</v>
      </c>
      <c r="CY4" s="80" t="str">
        <f>Lookups!E119</f>
        <v>Res Water</v>
      </c>
      <c r="CZ4" s="163" t="str">
        <f>Lookups!E120</f>
        <v>C&amp;I Water</v>
      </c>
      <c r="DA4" s="71" t="s">
        <v>159</v>
      </c>
      <c r="DB4" s="217" t="s">
        <v>427</v>
      </c>
      <c r="DC4" s="217" t="s">
        <v>515</v>
      </c>
      <c r="DD4" s="616" t="s">
        <v>524</v>
      </c>
      <c r="DE4" s="75" t="s">
        <v>428</v>
      </c>
      <c r="DF4" s="613" t="s">
        <v>653</v>
      </c>
      <c r="DG4" s="613" t="s">
        <v>654</v>
      </c>
      <c r="DH4" s="613" t="s">
        <v>655</v>
      </c>
      <c r="DI4" s="613" t="s">
        <v>656</v>
      </c>
      <c r="DJ4" s="614" t="s">
        <v>657</v>
      </c>
      <c r="DK4" s="1181" t="s">
        <v>895</v>
      </c>
      <c r="DL4" s="1187" t="s">
        <v>896</v>
      </c>
      <c r="DM4" s="1188" t="s">
        <v>897</v>
      </c>
      <c r="DN4" s="1184" t="s">
        <v>898</v>
      </c>
      <c r="DO4" s="965" t="s">
        <v>796</v>
      </c>
      <c r="DP4" s="967" t="s">
        <v>797</v>
      </c>
      <c r="DQ4" s="969" t="s">
        <v>883</v>
      </c>
      <c r="DR4" s="969" t="s">
        <v>884</v>
      </c>
      <c r="DS4" s="969" t="s">
        <v>885</v>
      </c>
      <c r="DT4" s="969" t="s">
        <v>667</v>
      </c>
      <c r="DU4" s="967" t="s">
        <v>798</v>
      </c>
      <c r="DV4" s="967" t="s">
        <v>799</v>
      </c>
      <c r="DW4" s="967" t="s">
        <v>879</v>
      </c>
    </row>
    <row r="5" spans="1:127">
      <c r="A5" s="160" t="str">
        <f>IF(ADRYr3!$B5=0,"",ADRYr3!A5)</f>
        <v>A - Residential</v>
      </c>
      <c r="B5" s="9" t="str">
        <f>IF(ADRYr3!$B5=0,"",ADRYr3!B5)</f>
        <v>A5 - Residential Active Demand Response</v>
      </c>
      <c r="C5" s="9" t="str">
        <f>IF(ADRYr3!$B5=0,"",ADRYr3!C5)</f>
        <v>A5a - Residential Active Demand Response</v>
      </c>
      <c r="D5" s="9" t="str">
        <f>IF(ADRYr3!$B5=0,"",ADRYr3!D5)</f>
        <v>Direct Load Control Targeted Dispatch Upfront/Annual Incentive Summer</v>
      </c>
      <c r="E5" s="9" t="str">
        <f>IF(ADRYr3!$B5=0,"",ADRYr3!E5)</f>
        <v>E21A5a001</v>
      </c>
      <c r="F5" s="11" t="str">
        <f>IF(ADRYr3!$B5=0,"",ADRYr3!F5)</f>
        <v>Behavior</v>
      </c>
      <c r="G5" s="12">
        <f>IF(ADRYr3!$G5&lt;&gt;0,ADRYr3!G5,"")</f>
        <v>826.875</v>
      </c>
      <c r="H5" s="960">
        <f>IF($G5="","",ROUND(ADRYr3!H5,0))</f>
        <v>1</v>
      </c>
      <c r="I5" s="47">
        <f>IF($G5="","",ADRYr3!I5*ADRYr3!P5*G5)</f>
        <v>45581.484375</v>
      </c>
      <c r="J5" s="47">
        <f>IF($G5="","",ADRYr3!J5*G5)</f>
        <v>45581.484375</v>
      </c>
      <c r="K5" s="47">
        <f>IF($G5="","",I5-J5)</f>
        <v>0</v>
      </c>
      <c r="L5" s="27">
        <f>IF($G5="","",ADRYr3!V5*G5/1000)</f>
        <v>0</v>
      </c>
      <c r="M5" s="27">
        <f>IF($G5="","",L5*ADRYr3!$Q5*ADRYr3!$R5)</f>
        <v>0</v>
      </c>
      <c r="N5" s="27">
        <f>IFERROR(L5*H5,"")</f>
        <v>0</v>
      </c>
      <c r="O5" s="27">
        <f>IF($G5="","",M5*$H5)</f>
        <v>0</v>
      </c>
      <c r="P5" s="27">
        <f>IF($G5="","",M5*ADRYr3!P5)</f>
        <v>0</v>
      </c>
      <c r="Q5" s="27">
        <f>IF($G5="","",P5*$H5)</f>
        <v>0</v>
      </c>
      <c r="R5" s="27">
        <f>IF($G5="","",$Q5*ADRYr3!Z5)</f>
        <v>0</v>
      </c>
      <c r="S5" s="27">
        <f>IF($G5="","",$Q5*ADRYr3!AA5)</f>
        <v>0</v>
      </c>
      <c r="T5" s="27">
        <f>IF($G5="","",$Q5*ADRYr3!AB5)</f>
        <v>0</v>
      </c>
      <c r="U5" s="27">
        <f>IF($G5="","",$Q5*ADRYr3!AC5)</f>
        <v>0</v>
      </c>
      <c r="V5" s="27">
        <f>IF($G5="","",G5*ADRYr3!$AD5*ADRYr3!$P5*ADRYr3!$Q5)</f>
        <v>703.39499999999998</v>
      </c>
      <c r="W5" s="27">
        <f>IF($G5="","",$G5*ADRYr3!$AD5*ADRYr3!$AF5*ADRYr3!Q5*ADRYr3!$S5)</f>
        <v>0</v>
      </c>
      <c r="X5" s="27">
        <f>IF($G5="","",$G5*ADRYr3!$AD5*ADRYr3!$AF5*ADRYr3!P5*ADRYr3!Q5*ADRYr3!$S5)</f>
        <v>0</v>
      </c>
      <c r="Y5" s="27">
        <f>IF($G5="","",$G5*ADRYr3!$AD5*ADRYr3!$AE5*ADRYr3!Q5*ADRYr3!$T5)</f>
        <v>703.39499999999998</v>
      </c>
      <c r="Z5" s="27">
        <f>IF($G5="","",$G5*ADRYr3!$AD5*ADRYr3!$AE5*ADRYr3!P5*ADRYr3!Q5*ADRYr3!$T5)</f>
        <v>703.39499999999998</v>
      </c>
      <c r="AA5" s="45">
        <f>IF($G5="","",$G5*ADRYr3!$Q5*ADRYr3!$U5*(IF(IFERROR(SEARCH("NG", ADRYr3!$AI5),0),ADRYr3!$AJ5,0)+IF(IFERROR(SEARCH("NG", ADRYr3!$AK5),0),ADRYr3!$AL5,0)+IF(IFERROR(SEARCH("NG", ADRYr3!$AM5),0),ADRYr3!$AN5,0)))</f>
        <v>0</v>
      </c>
      <c r="AB5" s="45">
        <f>IF($G5="","",AA5*$H5)</f>
        <v>0</v>
      </c>
      <c r="AC5" s="45">
        <f>IF($G5="",0,AA5*ADRYr3!$P5)</f>
        <v>0</v>
      </c>
      <c r="AD5" s="45">
        <f>IF($G5="","",AC5*$H5)</f>
        <v>0</v>
      </c>
      <c r="AE5" s="45">
        <f>IF($G5="","",$G5*ADRYr3!$Q5*ADRYr3!$U5*(IF(IFERROR(SEARCH("Oil", ADRYr3!$AI5), 0),ADRYr3!$AJ5,0)+IF(IFERROR(SEARCH("Oil", ADRYr3!$AK5), 0),ADRYr3!$AL5,0)+IF(IFERROR(SEARCH("Oil", ADRYr3!$AM5), 0),ADRYr3!$AN5,0)))</f>
        <v>0</v>
      </c>
      <c r="AF5" s="45">
        <f>IF($G5="","",AE5*$H5)</f>
        <v>0</v>
      </c>
      <c r="AG5" s="45">
        <f>IF($G5="",0,AE5*ADRYr3!$P5)</f>
        <v>0</v>
      </c>
      <c r="AH5" s="45">
        <f>IF($G5="","",AG5*$H5)</f>
        <v>0</v>
      </c>
      <c r="AI5" s="45">
        <f>IF($G5="","",$G5*ADRYr3!$Q5*ADRYr3!$U5*(IF(ADRYr3!$AI5=Lookups!$E$116,ADRYr3!$AJ5,IF(ADRYr3!$AK5=Lookups!$E$116,ADRYr3!$AL5,IF(ADRYr3!$AM5=Lookups!$E$116,ADRYr3!$AN5,0)))))</f>
        <v>0</v>
      </c>
      <c r="AJ5" s="45">
        <f>IF($G5="","",AI5*$H5)</f>
        <v>0</v>
      </c>
      <c r="AK5" s="45">
        <f>IF($G5="",0,AI5*ADRYr3!$P5)</f>
        <v>0</v>
      </c>
      <c r="AL5" s="45">
        <f>IF($G5="","",AK5*$H5)</f>
        <v>0</v>
      </c>
      <c r="AM5" s="45">
        <f>IF($G5="","",$G5*ADRYr3!$Q5*ADRYr3!$U5*(IF(ADRYr3!$AI5=Lookups!$E$115,ADRYr3!$AJ5,IF(ADRYr3!$AK5=Lookups!$E$115,ADRYr3!$AL5,IF(ADRYr3!$AM5=Lookups!$E$115,ADRYr3!$AN5,0)))))</f>
        <v>0</v>
      </c>
      <c r="AN5" s="45">
        <f>IF($G5="","",AM5*$H5)</f>
        <v>0</v>
      </c>
      <c r="AO5" s="45">
        <f>IF($G5="",0,AM5*ADRYr3!$P5)</f>
        <v>0</v>
      </c>
      <c r="AP5" s="45">
        <f>IF($G5="","",AO5*$H5)</f>
        <v>0</v>
      </c>
      <c r="AQ5" s="45">
        <f>IF($G5="","",$G5*ADRYr3!$Q5*ADRYr3!$U5*(IF(ADRYr3!$AI5=Lookups!$E$117,ADRYr3!$AJ5,IF(ADRYr3!$AK5=Lookups!$E$117,ADRYr3!$AL5,IF(ADRYr3!$AM5=Lookups!$E$117,ADRYr3!$AN5,0)))))</f>
        <v>0</v>
      </c>
      <c r="AR5" s="45">
        <f>IF($G5="","",AQ5*$H5)</f>
        <v>0</v>
      </c>
      <c r="AS5" s="45">
        <f>IF($G5="","",AQ5*ADRYr3!$P5)</f>
        <v>0</v>
      </c>
      <c r="AT5" s="45">
        <f>IF($G5="","",AS5*$H5)</f>
        <v>0</v>
      </c>
      <c r="AU5" s="45">
        <f>IF($G5="","",$G5*ADRYr3!$Q5*ADRYr3!$U5*(IF(ADRYr3!$AI5=Lookups!$E$118,ADRYr3!$AJ5,IF(ADRYr3!$AK5=Lookups!$E$118,ADRYr3!$AL5,IF(ADRYr3!$AM5=Lookups!$E$118,ADRYr3!$AN5,0)))))</f>
        <v>0</v>
      </c>
      <c r="AV5" s="45">
        <f>IF($G5="","",AU5*$H5)</f>
        <v>0</v>
      </c>
      <c r="AW5" s="45">
        <f>IF($G5="","",AU5*ADRYr3!$P5)</f>
        <v>0</v>
      </c>
      <c r="AX5" s="45">
        <f>IF($G5="","",AW5*$H5)</f>
        <v>0</v>
      </c>
      <c r="AY5" s="45">
        <f>SUM(AC5,AG5,AK5,AO5,AS5,AW5)</f>
        <v>0</v>
      </c>
      <c r="AZ5" s="45">
        <f>SUM(AD5,AH5,AL5,AP5,AT5,AX5)</f>
        <v>0</v>
      </c>
      <c r="BA5" s="101">
        <f>IF($G5="","",$G5*ADRYr3!$P5*ADRYr3!$Q5*ADRYr3!$U5*ADRYr3!AO5)</f>
        <v>0</v>
      </c>
      <c r="BB5" s="102">
        <f>IF($G5="","",$G5*ADRYr3!$P5*ADRYr3!$Q5*ADRYr3!$U5*ADRYr3!AP5)</f>
        <v>0</v>
      </c>
      <c r="BC5" s="100">
        <f>IF($G5="","",SUM(BA5:BB5)*$H5)</f>
        <v>0</v>
      </c>
      <c r="BD5" s="961"/>
      <c r="BE5" s="961"/>
      <c r="BF5" s="961"/>
      <c r="BG5" s="961"/>
      <c r="BH5" s="962">
        <f t="shared" ref="BH5:BH50" si="3">IF($G5="","",((1+$DW5)*INDEX(avoidedcosttblADM,MATCH($DT5,avoidedcosttblADMkey,0),BH$2)*$P5*1000))</f>
        <v>0</v>
      </c>
      <c r="BI5" s="961"/>
      <c r="BJ5" s="961"/>
      <c r="BK5" s="961"/>
      <c r="BL5" s="961"/>
      <c r="BM5" s="30">
        <f t="shared" ref="BM5:BM50" si="4">IF($G5="","",(1+AveLoss)*((INDEX(avoidedcosttbl3,$H5,BM$2))+(($H5-ROUNDDOWN($H5,0))*((INDEX(avoidedcosttbl3,ROUNDUP($H5,0),BM$2))-(INDEX(avoidedcosttbl3,ROUNDDOWN($H5,0),BM$2)))))*$P5*1000)</f>
        <v>0</v>
      </c>
      <c r="BN5" s="963">
        <f>IF($G5="","",((1+$DW5)*INDEX(avoidedcosttblADM,MATCH($DT5,avoidedcosttblADMkey,0),BN$2)*$P5*1000)+BM5)</f>
        <v>0</v>
      </c>
      <c r="BO5" s="31">
        <f>IF($G5="","",SUM(BH5,BN5))</f>
        <v>0</v>
      </c>
      <c r="BP5" s="964">
        <f t="shared" ref="BP5:BP50" si="5">IF($G5="","",(1+SumPeakEnergyLL)*$Z5*$DV5*IF($DP5="No",
INDEX(avoidedcosttblADMcapYr3,1,$H5)+(($H5-ROUNDDOWN($H5,0))*(INDEX(avoidedcosttblADMcapYr3,ROUNDUP($H5,0),1)-(INDEX(avoidedcosttblADMcapYr3,ROUNDDOWN($H5,0),1)))),
INDEX(avoidedcosttbl3,$H5,$DQ5)+(($H5-ROUNDDOWN($H5,0))*(INDEX(avoidedcosttbl3,ROUNDUP($H5,0),$DQ5)-(INDEX(avoidedcosttbl3,ROUNDDOWN($H5,0),$DQ5))))))</f>
        <v>5951.3477890271479</v>
      </c>
      <c r="BQ5" s="28">
        <f t="shared" ref="BQ5:BQ50" si="6">IF($G5="","",(1+WntPeakEnergyLL)*(INDEX(avoidedcosttbl3,$H5,BQ$2)+(($H5-ROUNDDOWN($H5,0))*(INDEX(avoidedcosttbl3,ROUNDUP($H5,0),BQ$2)-(INDEX(avoidedcosttbl3,ROUNDDOWN($H5,0),BQ$2)))))*$X5)</f>
        <v>0</v>
      </c>
      <c r="BR5" s="964">
        <f t="shared" ref="BR5:BR50" si="7">IF($G5="","",(1+SumPeakEnergyLL)*$Z5*$DV5*IF($DP5="No",
INDEX(avoidedcosttblADMcapDRIPEYr3,1,$H5)+(($H5-ROUNDDOWN($H5,0))*(INDEX(avoidedcosttblADMcapDRIPEYr3,ROUNDUP($H5,0),1)-(INDEX(avoidedcosttblADMcapDRIPEYr3,ROUNDDOWN($H5,0),1)))),
INDEX(avoidedcosttbl3,$H5,$DR5)+(($H5-ROUNDDOWN($H5,0))*(INDEX(avoidedcosttbl3,ROUNDUP($H5,0),$DR5)-(INDEX(avoidedcosttbl3,ROUNDDOWN($H5,0),$DR5))))))</f>
        <v>2522.7141111101009</v>
      </c>
      <c r="BS5" s="964">
        <f t="shared" ref="BS5:BS50" si="8">IF($G5="","",(1+SumPeakEnergyLL)*$Z5*(INDEX(avoidedcosttbl3,$H5,$DS5)+(($H5-ROUNDDOWN($H5,0))*(INDEX(avoidedcosttbl3,ROUNDUP($H5,0),$DS5)-(INDEX(avoidedcosttbl3,ROUNDDOWN($H5,0),$DS5))))))</f>
        <v>0</v>
      </c>
      <c r="BT5" s="28">
        <f t="shared" ref="BT5:BV24" si="9">IF($G5="","",(INDEX(avoidedcosttbl3,$H5,BT$2)+(($H5-ROUNDDOWN($H5,0))*(INDEX(avoidedcosttbl3,ROUNDUP($H5,0),BT$2)-(INDEX(avoidedcosttbl3,ROUNDDOWN($H5,0),BT$2)))))*$Z5)</f>
        <v>77523.763816942679</v>
      </c>
      <c r="BU5" s="28">
        <f t="shared" si="9"/>
        <v>0</v>
      </c>
      <c r="BV5" s="28">
        <f t="shared" si="9"/>
        <v>94251.592739373809</v>
      </c>
      <c r="BW5" s="29">
        <f>IF($G5="","",SUM(BP5:BV5))</f>
        <v>180249.41845645374</v>
      </c>
      <c r="BX5" s="29">
        <f>IF($G5="","",BO5+BW5)</f>
        <v>180249.41845645374</v>
      </c>
      <c r="BY5" s="28">
        <f>IF($G5="","",$G5*(IF(ADRYr3!$AI5=BY$4,ADRYr3!$AJ5,IF(ADRYr3!$AK5=BY$4,ADRYr3!$AL5,IF(ADRYr3!$AM5=BY$4,ADRYr3!$AN5,0))))*(INDEX(avoidedcosttbl3,$H5,BY$2)+(($H5-ROUNDDOWN($H5,0))*(INDEX(avoidedcosttbl3,ROUNDUP($H5,0),BY$2)-(INDEX(avoidedcosttbl3,ROUNDDOWN($H5,0),BY$2)))))*ADRYr3!P5*ADRYr3!Q5*ADRYr3!U5)</f>
        <v>0</v>
      </c>
      <c r="BZ5" s="28">
        <f>IF($G5="","",$G5*(IF(ADRYr3!$AI5=BZ$4,ADRYr3!$AJ5,IF(ADRYr3!$AK5=BZ$4,ADRYr3!$AL5,IF(ADRYr3!$AM5=BZ$4,ADRYr3!$AN5,0))))*(INDEX(avoidedcosttbl3,$H5,BZ$2)+(($H5-ROUNDDOWN($H5,0))*(INDEX(avoidedcosttbl3,ROUNDUP($H5,0),BZ$2)-(INDEX(avoidedcosttbl3,ROUNDDOWN($H5,0),BZ$2)))))*ADRYr3!P5*ADRYr3!Q5*ADRYr3!U5)</f>
        <v>0</v>
      </c>
      <c r="CA5" s="28">
        <f>IF($G5="","",$G5*(IF(ADRYr3!$AI5=CA$4,ADRYr3!$AJ5,IF(ADRYr3!$AK5=CA$4,ADRYr3!$AL5,IF(ADRYr3!$AM5=CA$4,ADRYr3!$AN5,0))))*(INDEX(avoidedcosttbl3,$H5,CA$2)+(($H5-ROUNDDOWN($H5,0))*(INDEX(avoidedcosttbl3,ROUNDUP($H5,0),CA$2)-(INDEX(avoidedcosttbl3,ROUNDDOWN($H5,0),CA$2)))))*ADRYr3!P5*ADRYr3!Q5*ADRYr3!U5)</f>
        <v>0</v>
      </c>
      <c r="CB5" s="28">
        <f>IF($G5="","",$G5*(IF(ADRYr3!$AI5=CB$4,ADRYr3!$AJ5,IF(ADRYr3!$AK5=CB$4,ADRYr3!$AL5,IF(ADRYr3!$AM5=CB$4,ADRYr3!$AN5,0))))*(INDEX(avoidedcosttbl3,$H5,CB$2)+(($H5-ROUNDDOWN($H5,0))*(INDEX(avoidedcosttbl3,ROUNDUP($H5,0),CB$2)-(INDEX(avoidedcosttbl3,ROUNDDOWN($H5,0),CB$2)))))*ADRYr3!P5*ADRYr3!Q5*ADRYr3!U5)</f>
        <v>0</v>
      </c>
      <c r="CC5" s="28">
        <f>IF($G5="","",$G5*(IF(ADRYr3!$AI5=CC$4,ADRYr3!$AJ5,IF(ADRYr3!$AK5=CC$4,ADRYr3!$AL5,IF(ADRYr3!$AM5=CC$4,ADRYr3!$AN5,0))))*(INDEX(avoidedcosttbl3,$H5,CC$2)+(($H5-ROUNDDOWN($H5,0))*(INDEX(avoidedcosttbl3,ROUNDUP($H5,0),CC$2)-(INDEX(avoidedcosttbl3,ROUNDDOWN($H5,0),CC$2)))))*ADRYr3!P5*ADRYr3!Q5*ADRYr3!U5)</f>
        <v>0</v>
      </c>
      <c r="CD5" s="28">
        <f>IF($G5="","",$G5*(IF(ADRYr3!$AI5=CD$4,ADRYr3!$AJ5,IF(ADRYr3!$AK5=CD$4,ADRYr3!$AL5,IF(ADRYr3!$AM5=CD$4,ADRYr3!$AN5,0))))*(INDEX(avoidedcosttbl3,$H5,CD$2)+(($H5-ROUNDDOWN($H5,0))*(INDEX(avoidedcosttbl3,ROUNDUP($H5,0),CD$2)-(INDEX(avoidedcosttbl3,ROUNDDOWN($H5,0),CD$2)))))*ADRYr3!P5*ADRYr3!Q5*ADRYr3!U5)</f>
        <v>0</v>
      </c>
      <c r="CE5" s="28">
        <f>IF($G5="","",$G5*(IF(ADRYr3!$AI5=CE$4,ADRYr3!$AJ5,IF(ADRYr3!$AK5=CE$4,ADRYr3!$AL5,IF(ADRYr3!$AM5=CE$4,ADRYr3!$AN5,0))))*(INDEX(avoidedcosttbl3,$H5,CE$2)+(($H5-ROUNDDOWN($H5,0))*(INDEX(avoidedcosttbl3,ROUNDUP($H5,0),CE$2)-(INDEX(avoidedcosttbl3,ROUNDDOWN($H5,0),CE$2)))))*ADRYr3!P5*ADRYr3!Q5*ADRYr3!U5)</f>
        <v>0</v>
      </c>
      <c r="CF5" s="41">
        <f>IF($G5="","",SUM(BY5:CE5))</f>
        <v>0</v>
      </c>
      <c r="CG5" s="30">
        <f t="shared" ref="CG5:CG50" si="10">IF($G5="","",$AC5*((INDEX(avoidedcosttbl3,$H5,CG$2))+(($H5-ROUNDDOWN($H5,0))*((INDEX(avoidedcosttbl3,ROUNDUP($H5,0),CG$2))-(INDEX(avoidedcosttbl3,ROUNDDOWN($H5,0),CG$2))))))</f>
        <v>0</v>
      </c>
      <c r="CH5" s="30">
        <f>IF($G5="","",$G5*(IF(ADRYr3!$AI5=BY$4,ADRYr3!$AJ5,IF(ADRYr3!$AK5=BY$4,ADRYr3!$AL5,IF(ADRYr3!$AM5=BY$4,ADRYr3!$AN5,0))))*(INDEX(avoidedcosttbl3,$H5,CH$2)+(($H5-ROUNDDOWN($H5,0))*(INDEX(avoidedcosttbl3,ROUNDUP($H5,0),CH$2)-(INDEX(avoidedcosttbl3,ROUNDDOWN($H5,0),CH$2)))))*ADRYr3!P5*ADRYr3!Q5*ADRYr3!U5)</f>
        <v>0</v>
      </c>
      <c r="CI5" s="30">
        <f>IF($G5="","",$G5*(IF(ADRYr3!$AI5=BZ$4,ADRYr3!$AJ5,IF(ADRYr3!$AK5=BZ$4,ADRYr3!$AL5,IF(ADRYr3!$AM5=BZ$4,ADRYr3!$AN5,0))))*(INDEX(avoidedcosttbl3,$H5,CI$2)+(($H5-ROUNDDOWN($H5,0))*(INDEX(avoidedcosttbl3,ROUNDUP($H5,0),CI$2)-(INDEX(avoidedcosttbl3,ROUNDDOWN($H5,0),CI$2)))))*ADRYr3!P5*ADRYr3!Q5*ADRYr3!U5)</f>
        <v>0</v>
      </c>
      <c r="CJ5" s="30">
        <f>IF($G5="","",$G5*(IF(ADRYr3!$AI5=CA$4,ADRYr3!$AJ5,IF(ADRYr3!$AK5=CA$4,ADRYr3!$AL5,IF(ADRYr3!$AM5=CA$4,ADRYr3!$AN5,0))))*(INDEX(avoidedcosttbl3,$H5,CJ$2)+(($H5-ROUNDDOWN($H5,0))*(INDEX(avoidedcosttbl3,ROUNDUP($H5,0),CJ$2)-(INDEX(avoidedcosttbl3,ROUNDDOWN($H5,0),CJ$2)))))*ADRYr3!P5*ADRYr3!Q5*ADRYr3!U5)</f>
        <v>0</v>
      </c>
      <c r="CK5" s="30">
        <f>IF($G5="","",$G5*(IF(ADRYr3!$AI5=CB$4,ADRYr3!$AJ5,IF(ADRYr3!$AK5=CB$4,ADRYr3!$AL5,IF(ADRYr3!$AM5=CB$4,ADRYr3!$AN5,0))))*(INDEX(avoidedcosttbl3,$H5,CK$2)+(($H5-ROUNDDOWN($H5,0))*(INDEX(avoidedcosttbl3,ROUNDUP($H5,0),CK$2)-(INDEX(avoidedcosttbl3,ROUNDDOWN($H5,0),CK$2)))))*ADRYr3!P5*ADRYr3!Q5*ADRYr3!U5)</f>
        <v>0</v>
      </c>
      <c r="CL5" s="30">
        <f>IF($G5="","",$G5*(IF(ADRYr3!$AI5=CC$4,ADRYr3!$AJ5,IF(ADRYr3!$AK5=CC$4,ADRYr3!$AL5,IF(ADRYr3!$AM5=CC$4,ADRYr3!$AN5,0))))*(INDEX(avoidedcosttbl3,$H5,CL$2)+(($H5-ROUNDDOWN($H5,0))*(INDEX(avoidedcosttbl3,ROUNDUP($H5,0),CL$2)-(INDEX(avoidedcosttbl3,ROUNDDOWN($H5,0),CL$2)))))*ADRYr3!P5*ADRYr3!Q5*ADRYr3!U5)</f>
        <v>0</v>
      </c>
      <c r="CM5" s="30">
        <f>IF($G5="","",$G5*(IF(ADRYr3!$AI5=CD$4,ADRYr3!$AJ5,IF(ADRYr3!$AK5=CD$4,ADRYr3!$AL5,IF(ADRYr3!$AM5=CD$4,ADRYr3!$AN5,0))))*(INDEX(avoidedcosttbl3,$H5,CM$2)+(($H5-ROUNDDOWN($H5,0))*(INDEX(avoidedcosttbl3,ROUNDUP($H5,0),CM$2)-(INDEX(avoidedcosttbl3,ROUNDDOWN($H5,0),CM$2)))))*ADRYr3!P5*ADRYr3!Q5*ADRYr3!U5)</f>
        <v>0</v>
      </c>
      <c r="CN5" s="30">
        <f>IF($G5="","",$G5*(IF(ADRYr3!$AI5=CE$4,ADRYr3!$AJ5,IF(ADRYr3!$AK5=CE$4,ADRYr3!$AL5,IF(ADRYr3!$AM5=CE$4,ADRYr3!$AN5,0))))*(INDEX(avoidedcosttbl3,$H5,CN$2)+(($H5-ROUNDDOWN($H5,0))*(INDEX(avoidedcosttbl3,ROUNDUP($H5,0),CN$2)-(INDEX(avoidedcosttbl3,ROUNDDOWN($H5,0),CN$2)))))*ADRYr3!P5*ADRYr3!Q5*ADRYr3!U5)</f>
        <v>0</v>
      </c>
      <c r="CO5" s="220">
        <f>IF($G5="","",SUM(CG5:CN5))</f>
        <v>0</v>
      </c>
      <c r="CP5" s="220">
        <f>IF($G5="","",CF5+CO5)</f>
        <v>0</v>
      </c>
      <c r="CQ5" s="157">
        <f>IF($G5="","",$G5*(IF(ADRYr3!$AI5=CQ$4,ADRYr3!$AJ5,IF(ADRYr3!$AK5=CQ$4,ADRYr3!$AL5,IF(ADRYr3!$AM5=CQ$4,ADRYr3!$AN5,0))))*(INDEX(avoidedcosttbl3,$H5,CQ$2)+(($H5-ROUNDDOWN($H5,0))*(INDEX(avoidedcosttbl3,ROUNDUP($H5,0),CQ$2)-(INDEX(avoidedcosttbl3,ROUNDDOWN($H5,0),CQ$2)))))*ADRYr3!$P5*ADRYr3!$Q5*ADRYr3!$U5)</f>
        <v>0</v>
      </c>
      <c r="CR5" s="28">
        <f>IF($G5="","",G5*(IF(ADRYr3!$AI5=CR$4,ADRYr3!$AJ5,IF(ADRYr3!$AK5=CR$4,ADRYr3!$AL5,IF(ADRYr3!$AM5=CR$4,ADRYr3!$AN5,0))))*(INDEX(avoidedcosttbl3,$H5,CR$2)+(($H5-ROUNDDOWN($H5,0))*(INDEX(avoidedcosttbl3,ROUNDUP($H5,0),CR$2)-(INDEX(avoidedcosttbl3,ROUNDDOWN($H5,0),CR$2)))))*ADRYr3!$P5*ADRYr3!$Q5*ADRYr3!$U5)</f>
        <v>0</v>
      </c>
      <c r="CS5" s="28">
        <f>IF($G5="","",G5*(IF(ADRYr3!$AI5=CS$4,ADRYr3!$AJ5,IF(ADRYr3!$AK5=CS$4,ADRYr3!$AL5,IF(ADRYr3!$AM5=CS$4,ADRYr3!$AN5,0))))*(INDEX(avoidedcosttbl3,$H5,CS$2)+(($H5-ROUNDDOWN($H5,0))*(INDEX(avoidedcosttbl3,ROUNDUP($H5,0),CS$2)-(INDEX(avoidedcosttbl3,ROUNDDOWN($H5,0),CS$2)))))*ADRYr3!$P5*ADRYr3!$Q5*ADRYr3!$U5)</f>
        <v>0</v>
      </c>
      <c r="CT5" s="28">
        <f t="shared" ref="CT5:CT50" si="11">IF($G5="","",$AG5*(INDEX(avoidedcosttbl3,$H5,CT$2)+(($H5-ROUNDDOWN($H5,0))*(INDEX(avoidedcosttbl3,ROUNDUP($H5,0),CT$2)-(INDEX(avoidedcosttbl3,ROUNDDOWN($H5,0),CT$2))))))</f>
        <v>0</v>
      </c>
      <c r="CU5" s="28">
        <f>IF($G5="","",G5*(IF(ADRYr3!$AI5=CU$4,ADRYr3!$AJ5,IF(ADRYr3!$AK5=CU$4,ADRYr3!$AL5,IF(ADRYr3!$AM5=CU$4,ADRYr3!$AN5,0))))*(INDEX(avoidedcosttbl3,$H5,CU$2)+(($H5-ROUNDDOWN($H5,0))*(INDEX(avoidedcosttbl3,ROUNDUP($H5,0),CU$2)-(INDEX(avoidedcosttbl3,ROUNDDOWN($H5,0),CU$2)))))*ADRYr3!$P5*ADRYr3!$Q5*ADRYr3!$U5)</f>
        <v>0</v>
      </c>
      <c r="CV5" s="28">
        <f>IF($G5="","",G5*(IF(ADRYr3!$AI5=CV$4,ADRYr3!$AJ5,IF(ADRYr3!$AK5=CV$4,ADRYr3!$AL5,IF(ADRYr3!$AM5=CV$4,ADRYr3!$AN5,0))))*(INDEX(avoidedcosttbl3,$H5,CV$2)+(($H5-ROUNDDOWN($H5,0))*(INDEX(avoidedcosttbl3,ROUNDUP($H5,0),CV$2)-(INDEX(avoidedcosttbl3,ROUNDDOWN($H5,0),CV$2)))))*ADRYr3!$P5*ADRYr3!$Q5*ADRYr3!$U5)</f>
        <v>0</v>
      </c>
      <c r="CW5" s="28">
        <f>IF($G5="","",G5*(IF(ADRYr3!$AI5=CW$4,ADRYr3!$AJ5,IF(ADRYr3!$AK5=CW$4,ADRYr3!$AL5,IF(ADRYr3!$AM5=CW$4,ADRYr3!$AN5,0))))*(INDEX(avoidedcosttbl3,$H5,CW$2)+(($H5-ROUNDDOWN($H5,0))*(INDEX(avoidedcosttbl3,ROUNDUP($H5,0),CW$2)-(INDEX(avoidedcosttbl3,ROUNDDOWN($H5,0),CW$2)))))*ADRYr3!$P5*ADRYr3!$Q5*ADRYr3!$U5)</f>
        <v>0</v>
      </c>
      <c r="CX5" s="28">
        <f>IF($G5="","",G5*(IF(ADRYr3!$AI5=CX$4,ADRYr3!$AJ5,IF(ADRYr3!$AK5=CX$4,ADRYr3!$AL5,IF(ADRYr3!$AM5=CX$4,ADRYr3!$AN5,0))))*(INDEX(avoidedcosttbl3,$H5,CX$2)+(($H5-ROUNDDOWN($H5,0))*(INDEX(avoidedcosttbl3,ROUNDUP($H5,0),CX$2)-(INDEX(avoidedcosttbl3,ROUNDDOWN($H5,0),CX$2)))))*ADRYr3!$P5*ADRYr3!$Q5*ADRYr3!$U5)</f>
        <v>0</v>
      </c>
      <c r="CY5" s="28">
        <f>IF($G5="","",BA5*(INDEX(avoidedcosttbl3,$H5,CY$2)+(($H5-ROUNDDOWN($H5,0))*(INDEX(avoidedcosttbl3,ROUNDUP($H5,0),CY$2)-(INDEX(avoidedcosttbl3,ROUNDDOWN($H5,0),CY$2))))))</f>
        <v>0</v>
      </c>
      <c r="CZ5" s="32">
        <f>IF($G5="","",BB5*(INDEX(avoidedcosttbl3,$H5,CZ$2)+(($H5-ROUNDDOWN($H5,0))*(INDEX(avoidedcosttbl3,ROUNDUP($H5,0),CZ$2)-(INDEX(avoidedcosttbl3,ROUNDDOWN($H5,0),CZ$2))))))</f>
        <v>0</v>
      </c>
      <c r="DA5" s="84">
        <f>IF($G5="","",SUM(CP5:CZ5))</f>
        <v>0</v>
      </c>
      <c r="DB5" s="81" t="str">
        <f>IF(NEIadder="Yes",IF($G5="","",INDEX(Lookups!$G$70:$G$71,MATCH($A5,Lookups!$E$70:$E$71,0))*(SUM(CP5:CX5,BX5))),"")</f>
        <v/>
      </c>
      <c r="DC5" s="263" t="str">
        <f>IF(FE="Yes",IF($G5="","", FEpercent*(AC5*NGE+AG5*OilE+AK5*PropE+AO5*KerE)*(INDEX(avoidedcosttbl3,$H5,DC$2)+(($H5-ROUNDDOWN($H5,0))*(INDEX(avoidedcosttbl3,ROUNDUP($H5,0),DC$2)-(INDEX(avoidedcosttbl3,ROUNDDOWN($H5,0),DC$2)))))),"")</f>
        <v/>
      </c>
      <c r="DD5" s="166">
        <f>IF($G5="","",(AC5*NGCO2+AG5*OilCO2+AK5*PropaneCO2+AO5*KeroseneCO2)/2000*(INDEX(avoidedcosttbl3,$H5,DD$2)+(($H5-ROUNDDOWN($H5,0))*(INDEX(avoidedcosttbl3,ROUNDUP($H5,0),DD$2)-(INDEX(avoidedcosttbl3,ROUNDDOWN($H5,0),DD$2))))))</f>
        <v>0</v>
      </c>
      <c r="DE5" s="82">
        <f>SUM(DB5:DD5)</f>
        <v>0</v>
      </c>
      <c r="DF5" s="615">
        <f>IF($G5="","",(1+WntPeakEnergyLL)*(INDEX(avoidedcosttbl3,$H5,DF$2)+(($H5-ROUNDDOWN($H5,0))*(INDEX(avoidedcosttbl3,ROUNDUP($H5,0),DF$2)-(INDEX(avoidedcosttbl3,ROUNDDOWN($H5,0),DF$2)))))*$P5*1000*ADRYr3!Z5)</f>
        <v>0</v>
      </c>
      <c r="DG5" s="615">
        <f>IF($G5="","",(1+WntOffPeakEnergyLL)*(INDEX(avoidedcosttbl3,$H5,DG$2)+(($H5-ROUNDDOWN($H5,0))*(INDEX(avoidedcosttbl3,ROUNDUP($H5,0),DG$2)-(INDEX(avoidedcosttbl3,ROUNDDOWN($H5,0),DG$2)))))*$P5*1000*ADRYr3!AA5)</f>
        <v>0</v>
      </c>
      <c r="DH5" s="615">
        <f>IF($G5="","",(1+SumPeakEnergyLL)*(INDEX(avoidedcosttbl3,$H5,DH$2)+(($H5-ROUNDDOWN($H5,0))*(INDEX(avoidedcosttbl3,ROUNDUP($H5,0),DH$2)-(INDEX(avoidedcosttbl3,ROUNDDOWN($H5,0),DH$2)))))*$P5*1000*ADRYr3!AB5)</f>
        <v>0</v>
      </c>
      <c r="DI5" s="615">
        <f>IF($G5="","",(1+SumOffPeakEnergyLL)*(INDEX(avoidedcosttbl3,$H5,DI$2)+(($H5-ROUNDDOWN($H5,0))*(INDEX(avoidedcosttbl3,ROUNDUP($H5,0),DI$2)-(INDEX(avoidedcosttbl3,ROUNDDOWN($H5,0),DI$2)))))*$P5*1000*ADRYr3!AC5)</f>
        <v>0</v>
      </c>
      <c r="DJ5" s="29">
        <f>IF($G5="","",SUM(DF5:DI5))</f>
        <v>0</v>
      </c>
      <c r="DK5" s="161">
        <f>IF($G5="","",DE5+DA5+BX5)</f>
        <v>180249.41845645374</v>
      </c>
      <c r="DL5" s="1189">
        <f>IF($G5="","",IF(LEFT(A5,1)="B",DE5+DA5+BX5,DD5+DA5+BX5))</f>
        <v>180249.41845645374</v>
      </c>
      <c r="DM5" s="1189">
        <f>IF($G5="","",BX5)</f>
        <v>180249.41845645374</v>
      </c>
      <c r="DN5" s="43">
        <f>IF($G5="","",DE5+DA5+BX5+DJ5)</f>
        <v>180249.41845645374</v>
      </c>
      <c r="DO5" s="966" t="str">
        <f>IF($G5="","",ADRYr3!AQ5)</f>
        <v>Top 20 All Hours</v>
      </c>
      <c r="DP5" s="968" t="str">
        <f>IF($G5="","",ADRYr3!AR5)</f>
        <v>No</v>
      </c>
      <c r="DQ5" s="970" t="str">
        <f>IF($G5="","",IF($DP5="Yes",COLUMN(AESC!$L$10),IF($DP5="No","Using AvoidedDemand tab",IF($DP5="Mixed",COLUMN(AESC!$N$10)))))</f>
        <v>Using AvoidedDemand tab</v>
      </c>
      <c r="DR5" s="970" t="str">
        <f>IF($G5="","",IF($DP5="Yes",COLUMN(AESC!$P$10),IF($DP5="No","Using AvoidedDemand tab",IF($DP5="Mixed",COLUMN(AESC!$R$10)))))</f>
        <v>Using AvoidedDemand tab</v>
      </c>
      <c r="DS5" s="970">
        <f>IF($G5="","",IF($DP5="Yes",COLUMN(AESC!$S$10),IF($DP5="No",COLUMN(AESC!$T$10),IF($DP5="Mixed",COLUMN(AESC!$U$10)))))</f>
        <v>20</v>
      </c>
      <c r="DT5" s="970" t="str">
        <f>IF($G5="","",$B$1&amp;"-"&amp;DO5&amp;"-"&amp;H5)</f>
        <v>2026-Top 20 All Hours-1</v>
      </c>
      <c r="DU5" s="970" t="str">
        <f>IF($G5="","",ADRYr3!AS5)</f>
        <v>No</v>
      </c>
      <c r="DV5" s="971">
        <f>IF($G5="","",ADRYr3!AT5)</f>
        <v>0.1</v>
      </c>
      <c r="DW5" s="1162">
        <f>IF($G5="","",INDEX(AvoidedEnergy!$H$4:$H$10,MATCH($DO5,AvoidedEnergy!$A$4:$A$10,0)))</f>
        <v>0.09</v>
      </c>
    </row>
    <row r="6" spans="1:127">
      <c r="A6" s="160" t="str">
        <f>IF(ADRYr3!$B6=0,"",ADRYr3!A6)</f>
        <v>A - Residential</v>
      </c>
      <c r="B6" s="9" t="str">
        <f>IF(ADRYr3!$B6=0,"",ADRYr3!B6)</f>
        <v>A5 - Residential Active Demand Response</v>
      </c>
      <c r="C6" s="9" t="str">
        <f>IF(ADRYr3!$B6=0,"",ADRYr3!C6)</f>
        <v>A5a - Residential Active Demand Response</v>
      </c>
      <c r="D6" s="9" t="str">
        <f>IF(ADRYr3!$B6=0,"",ADRYr3!D6)</f>
        <v>Behavior DR</v>
      </c>
      <c r="E6" s="9">
        <f>IF(ADRYr3!$B6=0,"",ADRYr3!E6)</f>
        <v>0</v>
      </c>
      <c r="F6" s="11" t="str">
        <f>IF(ADRYr3!$B6=0,"",ADRYr3!F6)</f>
        <v>Behavior</v>
      </c>
      <c r="G6" s="12" t="str">
        <f>IF(ADRYr3!$G6&lt;&gt;0,ADRYr3!G6,"")</f>
        <v/>
      </c>
      <c r="H6" s="960" t="str">
        <f>IF($G6="","",ROUND(ADRYr3!H6,0))</f>
        <v/>
      </c>
      <c r="I6" s="47" t="str">
        <f>IF($G6="","",ADRYr3!I6*ADRYr3!P6*G6)</f>
        <v/>
      </c>
      <c r="J6" s="47" t="str">
        <f>IF($G6="","",ADRYr3!J6*G6)</f>
        <v/>
      </c>
      <c r="K6" s="47" t="str">
        <f t="shared" ref="K6:K17" si="12">IF($G6="","",I6-J6)</f>
        <v/>
      </c>
      <c r="L6" s="27" t="str">
        <f>IF($G6="","",ADRYr3!V6*G6/1000)</f>
        <v/>
      </c>
      <c r="M6" s="27" t="str">
        <f>IF($G6="","",L6*ADRYr3!$Q6*ADRYr3!$R6)</f>
        <v/>
      </c>
      <c r="N6" s="27" t="str">
        <f t="shared" ref="N6:N17" si="13">IFERROR(L6*H6,"")</f>
        <v/>
      </c>
      <c r="O6" s="27" t="str">
        <f t="shared" ref="O6:O17" si="14">IF($G6="","",M6*$H6)</f>
        <v/>
      </c>
      <c r="P6" s="27" t="str">
        <f>IF($G6="","",M6*ADRYr3!P6)</f>
        <v/>
      </c>
      <c r="Q6" s="27" t="str">
        <f t="shared" ref="Q6:Q17" si="15">IF($G6="","",P6*$H6)</f>
        <v/>
      </c>
      <c r="R6" s="27" t="str">
        <f>IF($G6="","",$Q6*ADRYr3!Z6)</f>
        <v/>
      </c>
      <c r="S6" s="27" t="str">
        <f>IF($G6="","",$Q6*ADRYr3!AA6)</f>
        <v/>
      </c>
      <c r="T6" s="27" t="str">
        <f>IF($G6="","",$Q6*ADRYr3!AB6)</f>
        <v/>
      </c>
      <c r="U6" s="27" t="str">
        <f>IF($G6="","",$Q6*ADRYr3!AC6)</f>
        <v/>
      </c>
      <c r="V6" s="27" t="str">
        <f>IF($G6="","",G6*ADRYr3!$AD6*ADRYr3!$P6*ADRYr3!$Q6)</f>
        <v/>
      </c>
      <c r="W6" s="27" t="str">
        <f>IF($G6="","",$G6*ADRYr3!$AD6*ADRYr3!$AF6*ADRYr3!Q6*ADRYr3!$S6)</f>
        <v/>
      </c>
      <c r="X6" s="27" t="str">
        <f>IF($G6="","",$G6*ADRYr3!$AD6*ADRYr3!$AF6*ADRYr3!P6*ADRYr3!Q6*ADRYr3!$S6)</f>
        <v/>
      </c>
      <c r="Y6" s="27" t="str">
        <f>IF($G6="","",$G6*ADRYr3!$AD6*ADRYr3!$AE6*ADRYr3!Q6*ADRYr3!$T6)</f>
        <v/>
      </c>
      <c r="Z6" s="27" t="str">
        <f>IF($G6="","",$G6*ADRYr3!$AD6*ADRYr3!$AE6*ADRYr3!P6*ADRYr3!Q6*ADRYr3!$T6)</f>
        <v/>
      </c>
      <c r="AA6" s="45" t="str">
        <f>IF($G6="","",$G6*ADRYr3!$Q6*ADRYr3!$U6*(IF(IFERROR(SEARCH("NG", ADRYr3!$AI6),0),ADRYr3!$AJ6,0)+IF(IFERROR(SEARCH("NG", ADRYr3!$AK6),0),ADRYr3!$AL6,0)+IF(IFERROR(SEARCH("NG", ADRYr3!$AM6),0),ADRYr3!$AN6,0)))</f>
        <v/>
      </c>
      <c r="AB6" s="45" t="str">
        <f t="shared" ref="AB6:AB17" si="16">IF($G6="","",AA6*$H6)</f>
        <v/>
      </c>
      <c r="AC6" s="45">
        <f>IF($G6="",0,AA6*ADRYr3!$P6)</f>
        <v>0</v>
      </c>
      <c r="AD6" s="45" t="str">
        <f t="shared" ref="AD6:AD17" si="17">IF($G6="","",AC6*$H6)</f>
        <v/>
      </c>
      <c r="AE6" s="45" t="str">
        <f>IF($G6="","",$G6*ADRYr3!$Q6*ADRYr3!$U6*(IF(IFERROR(SEARCH("Oil", ADRYr3!$AI6), 0),ADRYr3!$AJ6,0)+IF(IFERROR(SEARCH("Oil", ADRYr3!$AK6), 0),ADRYr3!$AL6,0)+IF(IFERROR(SEARCH("Oil", ADRYr3!$AM6), 0),ADRYr3!$AN6,0)))</f>
        <v/>
      </c>
      <c r="AF6" s="45" t="str">
        <f t="shared" ref="AF6:AF17" si="18">IF($G6="","",AE6*$H6)</f>
        <v/>
      </c>
      <c r="AG6" s="45">
        <f>IF($G6="",0,AE6*ADRYr3!$P6)</f>
        <v>0</v>
      </c>
      <c r="AH6" s="45" t="str">
        <f t="shared" ref="AH6:AH17" si="19">IF($G6="","",AG6*$H6)</f>
        <v/>
      </c>
      <c r="AI6" s="45" t="str">
        <f>IF($G6="","",$G6*ADRYr3!$Q6*ADRYr3!$U6*(IF(ADRYr3!$AI6=Lookups!$E$116,ADRYr3!$AJ6,IF(ADRYr3!$AK6=Lookups!$E$116,ADRYr3!$AL6,IF(ADRYr3!$AM6=Lookups!$E$116,ADRYr3!$AN6,0)))))</f>
        <v/>
      </c>
      <c r="AJ6" s="45" t="str">
        <f t="shared" ref="AJ6:AJ17" si="20">IF($G6="","",AI6*$H6)</f>
        <v/>
      </c>
      <c r="AK6" s="45">
        <f>IF($G6="",0,AI6*ADRYr3!$P6)</f>
        <v>0</v>
      </c>
      <c r="AL6" s="45" t="str">
        <f t="shared" ref="AL6:AL17" si="21">IF($G6="","",AK6*$H6)</f>
        <v/>
      </c>
      <c r="AM6" s="45" t="str">
        <f>IF($G6="","",$G6*ADRYr3!$Q6*ADRYr3!$U6*(IF(ADRYr3!$AI6=Lookups!$E$115,ADRYr3!$AJ6,IF(ADRYr3!$AK6=Lookups!$E$115,ADRYr3!$AL6,IF(ADRYr3!$AM6=Lookups!$E$115,ADRYr3!$AN6,0)))))</f>
        <v/>
      </c>
      <c r="AN6" s="45" t="str">
        <f t="shared" ref="AN6:AN17" si="22">IF($G6="","",AM6*$H6)</f>
        <v/>
      </c>
      <c r="AO6" s="45">
        <f>IF($G6="",0,AM6*ADRYr3!$P6)</f>
        <v>0</v>
      </c>
      <c r="AP6" s="45" t="str">
        <f t="shared" ref="AP6:AP17" si="23">IF($G6="","",AO6*$H6)</f>
        <v/>
      </c>
      <c r="AQ6" s="45" t="str">
        <f>IF($G6="","",$G6*ADRYr3!$Q6*ADRYr3!$U6*(IF(ADRYr3!$AI6=Lookups!$E$117,ADRYr3!$AJ6,IF(ADRYr3!$AK6=Lookups!$E$117,ADRYr3!$AL6,IF(ADRYr3!$AM6=Lookups!$E$117,ADRYr3!$AN6,0)))))</f>
        <v/>
      </c>
      <c r="AR6" s="45" t="str">
        <f t="shared" ref="AR6:AR17" si="24">IF($G6="","",AQ6*$H6)</f>
        <v/>
      </c>
      <c r="AS6" s="45" t="str">
        <f>IF($G6="","",AQ6*ADRYr3!$P6)</f>
        <v/>
      </c>
      <c r="AT6" s="45" t="str">
        <f t="shared" ref="AT6:AT17" si="25">IF($G6="","",AS6*$H6)</f>
        <v/>
      </c>
      <c r="AU6" s="45" t="str">
        <f>IF($G6="","",$G6*ADRYr3!$Q6*ADRYr3!$U6*(IF(ADRYr3!$AI6=Lookups!$E$118,ADRYr3!$AJ6,IF(ADRYr3!$AK6=Lookups!$E$118,ADRYr3!$AL6,IF(ADRYr3!$AM6=Lookups!$E$118,ADRYr3!$AN6,0)))))</f>
        <v/>
      </c>
      <c r="AV6" s="45" t="str">
        <f t="shared" ref="AV6:AV17" si="26">IF($G6="","",AU6*$H6)</f>
        <v/>
      </c>
      <c r="AW6" s="45" t="str">
        <f>IF($G6="","",AU6*ADRYr3!$P6)</f>
        <v/>
      </c>
      <c r="AX6" s="45" t="str">
        <f t="shared" ref="AX6:AX17" si="27">IF($G6="","",AW6*$H6)</f>
        <v/>
      </c>
      <c r="AY6" s="45">
        <f t="shared" ref="AY6:AY17" si="28">SUM(AC6,AG6,AK6,AO6,AS6,AW6)</f>
        <v>0</v>
      </c>
      <c r="AZ6" s="45">
        <f t="shared" ref="AZ6:AZ17" si="29">SUM(AD6,AH6,AL6,AP6,AT6,AX6)</f>
        <v>0</v>
      </c>
      <c r="BA6" s="101" t="str">
        <f>IF($G6="","",$G6*ADRYr3!$P6*ADRYr3!$Q6*ADRYr3!$U6*ADRYr3!AO6)</f>
        <v/>
      </c>
      <c r="BB6" s="102" t="str">
        <f>IF($G6="","",$G6*ADRYr3!$P6*ADRYr3!$Q6*ADRYr3!$U6*ADRYr3!AP6)</f>
        <v/>
      </c>
      <c r="BC6" s="100" t="str">
        <f t="shared" ref="BC6:BC17" si="30">IF($G6="","",SUM(BA6:BB6)*$H6)</f>
        <v/>
      </c>
      <c r="BD6" s="961"/>
      <c r="BE6" s="961"/>
      <c r="BF6" s="961"/>
      <c r="BG6" s="961"/>
      <c r="BH6" s="962" t="str">
        <f t="shared" si="3"/>
        <v/>
      </c>
      <c r="BI6" s="961"/>
      <c r="BJ6" s="961"/>
      <c r="BK6" s="961"/>
      <c r="BL6" s="961"/>
      <c r="BM6" s="30" t="str">
        <f t="shared" si="4"/>
        <v/>
      </c>
      <c r="BN6" s="963" t="str">
        <f t="shared" ref="BN6:BN50" si="31">IF($G6="","",((1+$DW6)*INDEX(avoidedcosttblADM,MATCH($DT6,avoidedcosttblADMkey,0),BN$2)*$P6*1000)+BM6)</f>
        <v/>
      </c>
      <c r="BO6" s="31" t="str">
        <f t="shared" ref="BO6:BO17" si="32">IF($G6="","",SUM(BH6,BN6))</f>
        <v/>
      </c>
      <c r="BP6" s="964" t="str">
        <f t="shared" si="5"/>
        <v/>
      </c>
      <c r="BQ6" s="28" t="str">
        <f t="shared" si="6"/>
        <v/>
      </c>
      <c r="BR6" s="964" t="str">
        <f t="shared" si="7"/>
        <v/>
      </c>
      <c r="BS6" s="964" t="str">
        <f t="shared" si="8"/>
        <v/>
      </c>
      <c r="BT6" s="28" t="str">
        <f t="shared" si="9"/>
        <v/>
      </c>
      <c r="BU6" s="28" t="str">
        <f t="shared" si="9"/>
        <v/>
      </c>
      <c r="BV6" s="28" t="str">
        <f t="shared" si="9"/>
        <v/>
      </c>
      <c r="BW6" s="29" t="str">
        <f t="shared" ref="BW6:BW17" si="33">IF($G6="","",SUM(BP6:BV6))</f>
        <v/>
      </c>
      <c r="BX6" s="29" t="str">
        <f t="shared" ref="BX6:BX17" si="34">IF($G6="","",BO6+BW6)</f>
        <v/>
      </c>
      <c r="BY6" s="28" t="str">
        <f>IF($G6="","",$G6*(IF(ADRYr3!$AI6=BY$4,ADRYr3!$AJ6,IF(ADRYr3!$AK6=BY$4,ADRYr3!$AL6,IF(ADRYr3!$AM6=BY$4,ADRYr3!$AN6,0))))*(INDEX(avoidedcosttbl3,$H6,BY$2)+(($H6-ROUNDDOWN($H6,0))*(INDEX(avoidedcosttbl3,ROUNDUP($H6,0),BY$2)-(INDEX(avoidedcosttbl3,ROUNDDOWN($H6,0),BY$2)))))*ADRYr3!P6*ADRYr3!Q6*ADRYr3!U6)</f>
        <v/>
      </c>
      <c r="BZ6" s="28" t="str">
        <f>IF($G6="","",$G6*(IF(ADRYr3!$AI6=BZ$4,ADRYr3!$AJ6,IF(ADRYr3!$AK6=BZ$4,ADRYr3!$AL6,IF(ADRYr3!$AM6=BZ$4,ADRYr3!$AN6,0))))*(INDEX(avoidedcosttbl3,$H6,BZ$2)+(($H6-ROUNDDOWN($H6,0))*(INDEX(avoidedcosttbl3,ROUNDUP($H6,0),BZ$2)-(INDEX(avoidedcosttbl3,ROUNDDOWN($H6,0),BZ$2)))))*ADRYr3!P6*ADRYr3!Q6*ADRYr3!U6)</f>
        <v/>
      </c>
      <c r="CA6" s="28" t="str">
        <f>IF($G6="","",$G6*(IF(ADRYr3!$AI6=CA$4,ADRYr3!$AJ6,IF(ADRYr3!$AK6=CA$4,ADRYr3!$AL6,IF(ADRYr3!$AM6=CA$4,ADRYr3!$AN6,0))))*(INDEX(avoidedcosttbl3,$H6,CA$2)+(($H6-ROUNDDOWN($H6,0))*(INDEX(avoidedcosttbl3,ROUNDUP($H6,0),CA$2)-(INDEX(avoidedcosttbl3,ROUNDDOWN($H6,0),CA$2)))))*ADRYr3!P6*ADRYr3!Q6*ADRYr3!U6)</f>
        <v/>
      </c>
      <c r="CB6" s="28" t="str">
        <f>IF($G6="","",$G6*(IF(ADRYr3!$AI6=CB$4,ADRYr3!$AJ6,IF(ADRYr3!$AK6=CB$4,ADRYr3!$AL6,IF(ADRYr3!$AM6=CB$4,ADRYr3!$AN6,0))))*(INDEX(avoidedcosttbl3,$H6,CB$2)+(($H6-ROUNDDOWN($H6,0))*(INDEX(avoidedcosttbl3,ROUNDUP($H6,0),CB$2)-(INDEX(avoidedcosttbl3,ROUNDDOWN($H6,0),CB$2)))))*ADRYr3!P6*ADRYr3!Q6*ADRYr3!U6)</f>
        <v/>
      </c>
      <c r="CC6" s="28" t="str">
        <f>IF($G6="","",$G6*(IF(ADRYr3!$AI6=CC$4,ADRYr3!$AJ6,IF(ADRYr3!$AK6=CC$4,ADRYr3!$AL6,IF(ADRYr3!$AM6=CC$4,ADRYr3!$AN6,0))))*(INDEX(avoidedcosttbl3,$H6,CC$2)+(($H6-ROUNDDOWN($H6,0))*(INDEX(avoidedcosttbl3,ROUNDUP($H6,0),CC$2)-(INDEX(avoidedcosttbl3,ROUNDDOWN($H6,0),CC$2)))))*ADRYr3!P6*ADRYr3!Q6*ADRYr3!U6)</f>
        <v/>
      </c>
      <c r="CD6" s="28" t="str">
        <f>IF($G6="","",$G6*(IF(ADRYr3!$AI6=CD$4,ADRYr3!$AJ6,IF(ADRYr3!$AK6=CD$4,ADRYr3!$AL6,IF(ADRYr3!$AM6=CD$4,ADRYr3!$AN6,0))))*(INDEX(avoidedcosttbl3,$H6,CD$2)+(($H6-ROUNDDOWN($H6,0))*(INDEX(avoidedcosttbl3,ROUNDUP($H6,0),CD$2)-(INDEX(avoidedcosttbl3,ROUNDDOWN($H6,0),CD$2)))))*ADRYr3!P6*ADRYr3!Q6*ADRYr3!U6)</f>
        <v/>
      </c>
      <c r="CE6" s="28" t="str">
        <f>IF($G6="","",$G6*(IF(ADRYr3!$AI6=CE$4,ADRYr3!$AJ6,IF(ADRYr3!$AK6=CE$4,ADRYr3!$AL6,IF(ADRYr3!$AM6=CE$4,ADRYr3!$AN6,0))))*(INDEX(avoidedcosttbl3,$H6,CE$2)+(($H6-ROUNDDOWN($H6,0))*(INDEX(avoidedcosttbl3,ROUNDUP($H6,0),CE$2)-(INDEX(avoidedcosttbl3,ROUNDDOWN($H6,0),CE$2)))))*ADRYr3!P6*ADRYr3!Q6*ADRYr3!U6)</f>
        <v/>
      </c>
      <c r="CF6" s="41" t="str">
        <f t="shared" ref="CF6:CF17" si="35">IF($G6="","",SUM(BY6:CE6))</f>
        <v/>
      </c>
      <c r="CG6" s="30" t="str">
        <f t="shared" si="10"/>
        <v/>
      </c>
      <c r="CH6" s="30" t="str">
        <f>IF($G6="","",$G6*(IF(ADRYr3!$AI6=BY$4,ADRYr3!$AJ6,IF(ADRYr3!$AK6=BY$4,ADRYr3!$AL6,IF(ADRYr3!$AM6=BY$4,ADRYr3!$AN6,0))))*(INDEX(avoidedcosttbl3,$H6,CH$2)+(($H6-ROUNDDOWN($H6,0))*(INDEX(avoidedcosttbl3,ROUNDUP($H6,0),CH$2)-(INDEX(avoidedcosttbl3,ROUNDDOWN($H6,0),CH$2)))))*ADRYr3!P6*ADRYr3!Q6*ADRYr3!U6)</f>
        <v/>
      </c>
      <c r="CI6" s="30" t="str">
        <f>IF($G6="","",$G6*(IF(ADRYr3!$AI6=BZ$4,ADRYr3!$AJ6,IF(ADRYr3!$AK6=BZ$4,ADRYr3!$AL6,IF(ADRYr3!$AM6=BZ$4,ADRYr3!$AN6,0))))*(INDEX(avoidedcosttbl3,$H6,CI$2)+(($H6-ROUNDDOWN($H6,0))*(INDEX(avoidedcosttbl3,ROUNDUP($H6,0),CI$2)-(INDEX(avoidedcosttbl3,ROUNDDOWN($H6,0),CI$2)))))*ADRYr3!P6*ADRYr3!Q6*ADRYr3!U6)</f>
        <v/>
      </c>
      <c r="CJ6" s="30" t="str">
        <f>IF($G6="","",$G6*(IF(ADRYr3!$AI6=CA$4,ADRYr3!$AJ6,IF(ADRYr3!$AK6=CA$4,ADRYr3!$AL6,IF(ADRYr3!$AM6=CA$4,ADRYr3!$AN6,0))))*(INDEX(avoidedcosttbl3,$H6,CJ$2)+(($H6-ROUNDDOWN($H6,0))*(INDEX(avoidedcosttbl3,ROUNDUP($H6,0),CJ$2)-(INDEX(avoidedcosttbl3,ROUNDDOWN($H6,0),CJ$2)))))*ADRYr3!P6*ADRYr3!Q6*ADRYr3!U6)</f>
        <v/>
      </c>
      <c r="CK6" s="30" t="str">
        <f>IF($G6="","",$G6*(IF(ADRYr3!$AI6=CB$4,ADRYr3!$AJ6,IF(ADRYr3!$AK6=CB$4,ADRYr3!$AL6,IF(ADRYr3!$AM6=CB$4,ADRYr3!$AN6,0))))*(INDEX(avoidedcosttbl3,$H6,CK$2)+(($H6-ROUNDDOWN($H6,0))*(INDEX(avoidedcosttbl3,ROUNDUP($H6,0),CK$2)-(INDEX(avoidedcosttbl3,ROUNDDOWN($H6,0),CK$2)))))*ADRYr3!P6*ADRYr3!Q6*ADRYr3!U6)</f>
        <v/>
      </c>
      <c r="CL6" s="30" t="str">
        <f>IF($G6="","",$G6*(IF(ADRYr3!$AI6=CC$4,ADRYr3!$AJ6,IF(ADRYr3!$AK6=CC$4,ADRYr3!$AL6,IF(ADRYr3!$AM6=CC$4,ADRYr3!$AN6,0))))*(INDEX(avoidedcosttbl3,$H6,CL$2)+(($H6-ROUNDDOWN($H6,0))*(INDEX(avoidedcosttbl3,ROUNDUP($H6,0),CL$2)-(INDEX(avoidedcosttbl3,ROUNDDOWN($H6,0),CL$2)))))*ADRYr3!P6*ADRYr3!Q6*ADRYr3!U6)</f>
        <v/>
      </c>
      <c r="CM6" s="30" t="str">
        <f>IF($G6="","",$G6*(IF(ADRYr3!$AI6=CD$4,ADRYr3!$AJ6,IF(ADRYr3!$AK6=CD$4,ADRYr3!$AL6,IF(ADRYr3!$AM6=CD$4,ADRYr3!$AN6,0))))*(INDEX(avoidedcosttbl3,$H6,CM$2)+(($H6-ROUNDDOWN($H6,0))*(INDEX(avoidedcosttbl3,ROUNDUP($H6,0),CM$2)-(INDEX(avoidedcosttbl3,ROUNDDOWN($H6,0),CM$2)))))*ADRYr3!P6*ADRYr3!Q6*ADRYr3!U6)</f>
        <v/>
      </c>
      <c r="CN6" s="30" t="str">
        <f>IF($G6="","",$G6*(IF(ADRYr3!$AI6=CE$4,ADRYr3!$AJ6,IF(ADRYr3!$AK6=CE$4,ADRYr3!$AL6,IF(ADRYr3!$AM6=CE$4,ADRYr3!$AN6,0))))*(INDEX(avoidedcosttbl3,$H6,CN$2)+(($H6-ROUNDDOWN($H6,0))*(INDEX(avoidedcosttbl3,ROUNDUP($H6,0),CN$2)-(INDEX(avoidedcosttbl3,ROUNDDOWN($H6,0),CN$2)))))*ADRYr3!P6*ADRYr3!Q6*ADRYr3!U6)</f>
        <v/>
      </c>
      <c r="CO6" s="220" t="str">
        <f t="shared" ref="CO6:CO17" si="36">IF($G6="","",SUM(CG6:CN6))</f>
        <v/>
      </c>
      <c r="CP6" s="220" t="str">
        <f t="shared" ref="CP6:CP17" si="37">IF($G6="","",CF6+CO6)</f>
        <v/>
      </c>
      <c r="CQ6" s="157" t="str">
        <f>IF($G6="","",$G6*(IF(ADRYr3!$AI6=CQ$4,ADRYr3!$AJ6,IF(ADRYr3!$AK6=CQ$4,ADRYr3!$AL6,IF(ADRYr3!$AM6=CQ$4,ADRYr3!$AN6,0))))*(INDEX(avoidedcosttbl3,$H6,CQ$2)+(($H6-ROUNDDOWN($H6,0))*(INDEX(avoidedcosttbl3,ROUNDUP($H6,0),CQ$2)-(INDEX(avoidedcosttbl3,ROUNDDOWN($H6,0),CQ$2)))))*ADRYr3!$P6*ADRYr3!$Q6*ADRYr3!$U6)</f>
        <v/>
      </c>
      <c r="CR6" s="28" t="str">
        <f>IF($G6="","",G6*(IF(ADRYr3!$AI6=CR$4,ADRYr3!$AJ6,IF(ADRYr3!$AK6=CR$4,ADRYr3!$AL6,IF(ADRYr3!$AM6=CR$4,ADRYr3!$AN6,0))))*(INDEX(avoidedcosttbl3,$H6,CR$2)+(($H6-ROUNDDOWN($H6,0))*(INDEX(avoidedcosttbl3,ROUNDUP($H6,0),CR$2)-(INDEX(avoidedcosttbl3,ROUNDDOWN($H6,0),CR$2)))))*ADRYr3!$P6*ADRYr3!$Q6*ADRYr3!$U6)</f>
        <v/>
      </c>
      <c r="CS6" s="28" t="str">
        <f>IF($G6="","",G6*(IF(ADRYr3!$AI6=CS$4,ADRYr3!$AJ6,IF(ADRYr3!$AK6=CS$4,ADRYr3!$AL6,IF(ADRYr3!$AM6=CS$4,ADRYr3!$AN6,0))))*(INDEX(avoidedcosttbl3,$H6,CS$2)+(($H6-ROUNDDOWN($H6,0))*(INDEX(avoidedcosttbl3,ROUNDUP($H6,0),CS$2)-(INDEX(avoidedcosttbl3,ROUNDDOWN($H6,0),CS$2)))))*ADRYr3!$P6*ADRYr3!$Q6*ADRYr3!$U6)</f>
        <v/>
      </c>
      <c r="CT6" s="28" t="str">
        <f t="shared" si="11"/>
        <v/>
      </c>
      <c r="CU6" s="28" t="str">
        <f>IF($G6="","",G6*(IF(ADRYr3!$AI6=CU$4,ADRYr3!$AJ6,IF(ADRYr3!$AK6=CU$4,ADRYr3!$AL6,IF(ADRYr3!$AM6=CU$4,ADRYr3!$AN6,0))))*(INDEX(avoidedcosttbl3,$H6,CU$2)+(($H6-ROUNDDOWN($H6,0))*(INDEX(avoidedcosttbl3,ROUNDUP($H6,0),CU$2)-(INDEX(avoidedcosttbl3,ROUNDDOWN($H6,0),CU$2)))))*ADRYr3!$P6*ADRYr3!$Q6*ADRYr3!$U6)</f>
        <v/>
      </c>
      <c r="CV6" s="28" t="str">
        <f>IF($G6="","",G6*(IF(ADRYr3!$AI6=CV$4,ADRYr3!$AJ6,IF(ADRYr3!$AK6=CV$4,ADRYr3!$AL6,IF(ADRYr3!$AM6=CV$4,ADRYr3!$AN6,0))))*(INDEX(avoidedcosttbl3,$H6,CV$2)+(($H6-ROUNDDOWN($H6,0))*(INDEX(avoidedcosttbl3,ROUNDUP($H6,0),CV$2)-(INDEX(avoidedcosttbl3,ROUNDDOWN($H6,0),CV$2)))))*ADRYr3!$P6*ADRYr3!$Q6*ADRYr3!$U6)</f>
        <v/>
      </c>
      <c r="CW6" s="28" t="str">
        <f>IF($G6="","",G6*(IF(ADRYr3!$AI6=CW$4,ADRYr3!$AJ6,IF(ADRYr3!$AK6=CW$4,ADRYr3!$AL6,IF(ADRYr3!$AM6=CW$4,ADRYr3!$AN6,0))))*(INDEX(avoidedcosttbl3,$H6,CW$2)+(($H6-ROUNDDOWN($H6,0))*(INDEX(avoidedcosttbl3,ROUNDUP($H6,0),CW$2)-(INDEX(avoidedcosttbl3,ROUNDDOWN($H6,0),CW$2)))))*ADRYr3!$P6*ADRYr3!$Q6*ADRYr3!$U6)</f>
        <v/>
      </c>
      <c r="CX6" s="28" t="str">
        <f>IF($G6="","",G6*(IF(ADRYr3!$AI6=CX$4,ADRYr3!$AJ6,IF(ADRYr3!$AK6=CX$4,ADRYr3!$AL6,IF(ADRYr3!$AM6=CX$4,ADRYr3!$AN6,0))))*(INDEX(avoidedcosttbl3,$H6,CX$2)+(($H6-ROUNDDOWN($H6,0))*(INDEX(avoidedcosttbl3,ROUNDUP($H6,0),CX$2)-(INDEX(avoidedcosttbl3,ROUNDDOWN($H6,0),CX$2)))))*ADRYr3!$P6*ADRYr3!$Q6*ADRYr3!$U6)</f>
        <v/>
      </c>
      <c r="CY6" s="28" t="str">
        <f t="shared" ref="CY6:CY17" si="38">IF($G6="","",BA6*(INDEX(avoidedcosttbl3,$H6,CY$2)+(($H6-ROUNDDOWN($H6,0))*(INDEX(avoidedcosttbl3,ROUNDUP($H6,0),CY$2)-(INDEX(avoidedcosttbl3,ROUNDDOWN($H6,0),CY$2))))))</f>
        <v/>
      </c>
      <c r="CZ6" s="32" t="str">
        <f t="shared" ref="CZ6:CZ17" si="39">IF($G6="","",BB6*(INDEX(avoidedcosttbl3,$H6,CZ$2)+(($H6-ROUNDDOWN($H6,0))*(INDEX(avoidedcosttbl3,ROUNDUP($H6,0),CZ$2)-(INDEX(avoidedcosttbl3,ROUNDDOWN($H6,0),CZ$2))))))</f>
        <v/>
      </c>
      <c r="DA6" s="84" t="str">
        <f t="shared" ref="DA6:DA17" si="40">IF($G6="","",SUM(CP6:CZ6))</f>
        <v/>
      </c>
      <c r="DB6" s="81" t="str">
        <f>IF(NEIadder="Yes",IF($G6="","",INDEX(Lookups!$G$70:$G$71,MATCH($A6,Lookups!$E$70:$E$71,0))*(SUM(CP6:CX6,BX6))),"")</f>
        <v/>
      </c>
      <c r="DC6" s="263" t="str">
        <f t="shared" ref="DC6:DC17" si="41">IF(FE="Yes",IF($G6="","", FEpercent*(AC6*NGE+AG6*OilE+AK6*PropE+AO6*KerE)*(INDEX(avoidedcosttbl3,$H6,DC$2)+(($H6-ROUNDDOWN($H6,0))*(INDEX(avoidedcosttbl3,ROUNDUP($H6,0),DC$2)-(INDEX(avoidedcosttbl3,ROUNDDOWN($H6,0),DC$2)))))),"")</f>
        <v/>
      </c>
      <c r="DD6" s="166" t="str">
        <f t="shared" ref="DD6:DD17" si="42">IF($G6="","",(AC6*NGCO2+AG6*OilCO2+AK6*PropaneCO2+AO6*KeroseneCO2)/2000*(INDEX(avoidedcosttbl3,$H6,DD$2)+(($H6-ROUNDDOWN($H6,0))*(INDEX(avoidedcosttbl3,ROUNDUP($H6,0),DD$2)-(INDEX(avoidedcosttbl3,ROUNDDOWN($H6,0),DD$2))))))</f>
        <v/>
      </c>
      <c r="DE6" s="82">
        <f t="shared" ref="DE6:DE17" si="43">SUM(DB6:DD6)</f>
        <v>0</v>
      </c>
      <c r="DF6" s="615" t="str">
        <f>IF($G6="","",(1+WntPeakEnergyLL)*(INDEX(avoidedcosttbl3,$H6,DF$2)+(($H6-ROUNDDOWN($H6,0))*(INDEX(avoidedcosttbl3,ROUNDUP($H6,0),DF$2)-(INDEX(avoidedcosttbl3,ROUNDDOWN($H6,0),DF$2)))))*$P6*1000*ADRYr3!Z6)</f>
        <v/>
      </c>
      <c r="DG6" s="615" t="str">
        <f>IF($G6="","",(1+WntOffPeakEnergyLL)*(INDEX(avoidedcosttbl3,$H6,DG$2)+(($H6-ROUNDDOWN($H6,0))*(INDEX(avoidedcosttbl3,ROUNDUP($H6,0),DG$2)-(INDEX(avoidedcosttbl3,ROUNDDOWN($H6,0),DG$2)))))*$P6*1000*ADRYr3!AA6)</f>
        <v/>
      </c>
      <c r="DH6" s="615" t="str">
        <f>IF($G6="","",(1+SumPeakEnergyLL)*(INDEX(avoidedcosttbl3,$H6,DH$2)+(($H6-ROUNDDOWN($H6,0))*(INDEX(avoidedcosttbl3,ROUNDUP($H6,0),DH$2)-(INDEX(avoidedcosttbl3,ROUNDDOWN($H6,0),DH$2)))))*$P6*1000*ADRYr3!AB6)</f>
        <v/>
      </c>
      <c r="DI6" s="615" t="str">
        <f>IF($G6="","",(1+SumOffPeakEnergyLL)*(INDEX(avoidedcosttbl3,$H6,DI$2)+(($H6-ROUNDDOWN($H6,0))*(INDEX(avoidedcosttbl3,ROUNDUP($H6,0),DI$2)-(INDEX(avoidedcosttbl3,ROUNDDOWN($H6,0),DI$2)))))*$P6*1000*ADRYr3!AC6)</f>
        <v/>
      </c>
      <c r="DJ6" s="29" t="str">
        <f t="shared" ref="DJ6:DJ17" si="44">IF($G6="","",SUM(DF6:DI6))</f>
        <v/>
      </c>
      <c r="DK6" s="161" t="str">
        <f t="shared" ref="DK6:DK41" si="45">IF($G6="","",DE6+DA6+BX6)</f>
        <v/>
      </c>
      <c r="DL6" s="1189" t="str">
        <f t="shared" ref="DL6:DL41" si="46">IF($G6="","",IF(LEFT(A6,1)="B",DE6+DA6+BX6,DD6+DA6+BX6))</f>
        <v/>
      </c>
      <c r="DM6" s="1189" t="str">
        <f t="shared" ref="DM6:DM41" si="47">IF($G6="","",BX6)</f>
        <v/>
      </c>
      <c r="DN6" s="43" t="str">
        <f t="shared" ref="DN6:DN41" si="48">IF($G6="","",DE6+DA6+BX6+DJ6)</f>
        <v/>
      </c>
      <c r="DO6" s="966" t="str">
        <f>IF($G6="","",ADRYr3!AQ6)</f>
        <v/>
      </c>
      <c r="DP6" s="968" t="str">
        <f>IF($G6="","",ADRYr3!AR6)</f>
        <v/>
      </c>
      <c r="DQ6" s="970" t="str">
        <f>IF($G6="","",IF($DP6="Yes",COLUMN(AESC!$L$10),IF($DP6="No","Using AvoidedDemand tab",IF($DP6="Mixed",COLUMN(AESC!$N$10)))))</f>
        <v/>
      </c>
      <c r="DR6" s="970" t="str">
        <f>IF($G6="","",IF($DP6="Yes",COLUMN(AESC!$P$10),IF($DP6="No","Using AvoidedDemand tab",IF($DP6="Mixed",COLUMN(AESC!$R$10)))))</f>
        <v/>
      </c>
      <c r="DS6" s="970" t="str">
        <f>IF($G6="","",IF($DP6="Yes",COLUMN(AESC!$S$10),IF($DP6="No",COLUMN(AESC!$T$10),IF($DP6="Mixed",COLUMN(AESC!$U$10)))))</f>
        <v/>
      </c>
      <c r="DT6" s="970" t="str">
        <f t="shared" ref="DT6:DT50" si="49">IF($G6="","",$B$1&amp;"-"&amp;DO6&amp;"-"&amp;H6)</f>
        <v/>
      </c>
      <c r="DU6" s="970" t="str">
        <f>IF($G6="","",ADRYr3!AS6)</f>
        <v/>
      </c>
      <c r="DV6" s="971" t="str">
        <f>IF($G6="","",ADRYr3!AT6)</f>
        <v/>
      </c>
      <c r="DW6" s="1162" t="str">
        <f>IF($G6="","",INDEX(AvoidedEnergy!$H$4:$H$10,MATCH($DO6,AvoidedEnergy!$A$4:$A$10,0)))</f>
        <v/>
      </c>
    </row>
    <row r="7" spans="1:127">
      <c r="A7" s="160" t="str">
        <f>IF(ADRYr3!$B7=0,"",ADRYr3!A7)</f>
        <v>A - Residential</v>
      </c>
      <c r="B7" s="9" t="str">
        <f>IF(ADRYr3!$B7=0,"",ADRYr3!B7)</f>
        <v>A5 - Residential Active Demand Response</v>
      </c>
      <c r="C7" s="9" t="str">
        <f>IF(ADRYr3!$B7=0,"",ADRYr3!C7)</f>
        <v>A5a - Residential Active Demand Response</v>
      </c>
      <c r="D7" s="9" t="str">
        <f>IF(ADRYr3!$B7=0,"",ADRYr3!D7)</f>
        <v>Storage Daily Dispatch Upfront Incentive (savings) Summer</v>
      </c>
      <c r="E7" s="9">
        <f>IF(ADRYr3!$B7=0,"",ADRYr3!E7)</f>
        <v>0</v>
      </c>
      <c r="F7" s="11" t="str">
        <f>IF(ADRYr3!$B7=0,"",ADRYr3!F7)</f>
        <v>Behavior</v>
      </c>
      <c r="G7" s="12" t="str">
        <f>IF(ADRYr3!$G7&lt;&gt;0,ADRYr3!G7,"")</f>
        <v/>
      </c>
      <c r="H7" s="960" t="str">
        <f>IF($G7="","",ROUND(ADRYr3!H7,0))</f>
        <v/>
      </c>
      <c r="I7" s="47" t="str">
        <f>IF($G7="","",ADRYr3!I7*ADRYr3!P7*G7)</f>
        <v/>
      </c>
      <c r="J7" s="47" t="str">
        <f>IF($G7="","",ADRYr3!J7*G7)</f>
        <v/>
      </c>
      <c r="K7" s="47" t="str">
        <f t="shared" si="12"/>
        <v/>
      </c>
      <c r="L7" s="27" t="str">
        <f>IF($G7="","",ADRYr3!V7*G7/1000)</f>
        <v/>
      </c>
      <c r="M7" s="27" t="str">
        <f>IF($G7="","",L7*ADRYr3!$Q7*ADRYr3!$R7)</f>
        <v/>
      </c>
      <c r="N7" s="27" t="str">
        <f t="shared" si="13"/>
        <v/>
      </c>
      <c r="O7" s="27" t="str">
        <f t="shared" si="14"/>
        <v/>
      </c>
      <c r="P7" s="27" t="str">
        <f>IF($G7="","",M7*ADRYr3!P7)</f>
        <v/>
      </c>
      <c r="Q7" s="27" t="str">
        <f t="shared" si="15"/>
        <v/>
      </c>
      <c r="R7" s="27" t="str">
        <f>IF($G7="","",$Q7*ADRYr3!Z7)</f>
        <v/>
      </c>
      <c r="S7" s="27" t="str">
        <f>IF($G7="","",$Q7*ADRYr3!AA7)</f>
        <v/>
      </c>
      <c r="T7" s="27" t="str">
        <f>IF($G7="","",$Q7*ADRYr3!AB7)</f>
        <v/>
      </c>
      <c r="U7" s="27" t="str">
        <f>IF($G7="","",$Q7*ADRYr3!AC7)</f>
        <v/>
      </c>
      <c r="V7" s="27" t="str">
        <f>IF($G7="","",G7*ADRYr3!$AD7*ADRYr3!$P7*ADRYr3!$Q7)</f>
        <v/>
      </c>
      <c r="W7" s="27" t="str">
        <f>IF($G7="","",$G7*ADRYr3!$AD7*ADRYr3!$AF7*ADRYr3!Q7*ADRYr3!$S7)</f>
        <v/>
      </c>
      <c r="X7" s="27" t="str">
        <f>IF($G7="","",$G7*ADRYr3!$AD7*ADRYr3!$AF7*ADRYr3!P7*ADRYr3!Q7*ADRYr3!$S7)</f>
        <v/>
      </c>
      <c r="Y7" s="27" t="str">
        <f>IF($G7="","",$G7*ADRYr3!$AD7*ADRYr3!$AE7*ADRYr3!Q7*ADRYr3!$T7)</f>
        <v/>
      </c>
      <c r="Z7" s="27" t="str">
        <f>IF($G7="","",$G7*ADRYr3!$AD7*ADRYr3!$AE7*ADRYr3!P7*ADRYr3!Q7*ADRYr3!$T7)</f>
        <v/>
      </c>
      <c r="AA7" s="45" t="str">
        <f>IF($G7="","",$G7*ADRYr3!$Q7*ADRYr3!$U7*(IF(IFERROR(SEARCH("NG", ADRYr3!$AI7),0),ADRYr3!$AJ7,0)+IF(IFERROR(SEARCH("NG", ADRYr3!$AK7),0),ADRYr3!$AL7,0)+IF(IFERROR(SEARCH("NG", ADRYr3!$AM7),0),ADRYr3!$AN7,0)))</f>
        <v/>
      </c>
      <c r="AB7" s="45" t="str">
        <f t="shared" si="16"/>
        <v/>
      </c>
      <c r="AC7" s="45">
        <f>IF($G7="",0,AA7*ADRYr3!$P7)</f>
        <v>0</v>
      </c>
      <c r="AD7" s="45" t="str">
        <f t="shared" si="17"/>
        <v/>
      </c>
      <c r="AE7" s="45" t="str">
        <f>IF($G7="","",$G7*ADRYr3!$Q7*ADRYr3!$U7*(IF(IFERROR(SEARCH("Oil", ADRYr3!$AI7), 0),ADRYr3!$AJ7,0)+IF(IFERROR(SEARCH("Oil", ADRYr3!$AK7), 0),ADRYr3!$AL7,0)+IF(IFERROR(SEARCH("Oil", ADRYr3!$AM7), 0),ADRYr3!$AN7,0)))</f>
        <v/>
      </c>
      <c r="AF7" s="45" t="str">
        <f t="shared" si="18"/>
        <v/>
      </c>
      <c r="AG7" s="45">
        <f>IF($G7="",0,AE7*ADRYr3!$P7)</f>
        <v>0</v>
      </c>
      <c r="AH7" s="45" t="str">
        <f t="shared" si="19"/>
        <v/>
      </c>
      <c r="AI7" s="45" t="str">
        <f>IF($G7="","",$G7*ADRYr3!$Q7*ADRYr3!$U7*(IF(ADRYr3!$AI7=Lookups!$E$116,ADRYr3!$AJ7,IF(ADRYr3!$AK7=Lookups!$E$116,ADRYr3!$AL7,IF(ADRYr3!$AM7=Lookups!$E$116,ADRYr3!$AN7,0)))))</f>
        <v/>
      </c>
      <c r="AJ7" s="45" t="str">
        <f t="shared" si="20"/>
        <v/>
      </c>
      <c r="AK7" s="45">
        <f>IF($G7="",0,AI7*ADRYr3!$P7)</f>
        <v>0</v>
      </c>
      <c r="AL7" s="45" t="str">
        <f t="shared" si="21"/>
        <v/>
      </c>
      <c r="AM7" s="45" t="str">
        <f>IF($G7="","",$G7*ADRYr3!$Q7*ADRYr3!$U7*(IF(ADRYr3!$AI7=Lookups!$E$115,ADRYr3!$AJ7,IF(ADRYr3!$AK7=Lookups!$E$115,ADRYr3!$AL7,IF(ADRYr3!$AM7=Lookups!$E$115,ADRYr3!$AN7,0)))))</f>
        <v/>
      </c>
      <c r="AN7" s="45" t="str">
        <f t="shared" si="22"/>
        <v/>
      </c>
      <c r="AO7" s="45">
        <f>IF($G7="",0,AM7*ADRYr3!$P7)</f>
        <v>0</v>
      </c>
      <c r="AP7" s="45" t="str">
        <f t="shared" si="23"/>
        <v/>
      </c>
      <c r="AQ7" s="45" t="str">
        <f>IF($G7="","",$G7*ADRYr3!$Q7*ADRYr3!$U7*(IF(ADRYr3!$AI7=Lookups!$E$117,ADRYr3!$AJ7,IF(ADRYr3!$AK7=Lookups!$E$117,ADRYr3!$AL7,IF(ADRYr3!$AM7=Lookups!$E$117,ADRYr3!$AN7,0)))))</f>
        <v/>
      </c>
      <c r="AR7" s="45" t="str">
        <f t="shared" si="24"/>
        <v/>
      </c>
      <c r="AS7" s="45" t="str">
        <f>IF($G7="","",AQ7*ADRYr3!$P7)</f>
        <v/>
      </c>
      <c r="AT7" s="45" t="str">
        <f t="shared" si="25"/>
        <v/>
      </c>
      <c r="AU7" s="45" t="str">
        <f>IF($G7="","",$G7*ADRYr3!$Q7*ADRYr3!$U7*(IF(ADRYr3!$AI7=Lookups!$E$118,ADRYr3!$AJ7,IF(ADRYr3!$AK7=Lookups!$E$118,ADRYr3!$AL7,IF(ADRYr3!$AM7=Lookups!$E$118,ADRYr3!$AN7,0)))))</f>
        <v/>
      </c>
      <c r="AV7" s="45" t="str">
        <f t="shared" si="26"/>
        <v/>
      </c>
      <c r="AW7" s="45" t="str">
        <f>IF($G7="","",AU7*ADRYr3!$P7)</f>
        <v/>
      </c>
      <c r="AX7" s="45" t="str">
        <f t="shared" si="27"/>
        <v/>
      </c>
      <c r="AY7" s="45">
        <f t="shared" si="28"/>
        <v>0</v>
      </c>
      <c r="AZ7" s="45">
        <f t="shared" si="29"/>
        <v>0</v>
      </c>
      <c r="BA7" s="101" t="str">
        <f>IF($G7="","",$G7*ADRYr3!$P7*ADRYr3!$Q7*ADRYr3!$U7*ADRYr3!AO7)</f>
        <v/>
      </c>
      <c r="BB7" s="102" t="str">
        <f>IF($G7="","",$G7*ADRYr3!$P7*ADRYr3!$Q7*ADRYr3!$U7*ADRYr3!AP7)</f>
        <v/>
      </c>
      <c r="BC7" s="100" t="str">
        <f t="shared" si="30"/>
        <v/>
      </c>
      <c r="BD7" s="961"/>
      <c r="BE7" s="961"/>
      <c r="BF7" s="961"/>
      <c r="BG7" s="961"/>
      <c r="BH7" s="962" t="str">
        <f t="shared" si="3"/>
        <v/>
      </c>
      <c r="BI7" s="961"/>
      <c r="BJ7" s="961"/>
      <c r="BK7" s="961"/>
      <c r="BL7" s="961"/>
      <c r="BM7" s="30" t="str">
        <f t="shared" si="4"/>
        <v/>
      </c>
      <c r="BN7" s="963" t="str">
        <f t="shared" si="31"/>
        <v/>
      </c>
      <c r="BO7" s="31" t="str">
        <f t="shared" si="32"/>
        <v/>
      </c>
      <c r="BP7" s="964" t="str">
        <f t="shared" si="5"/>
        <v/>
      </c>
      <c r="BQ7" s="28" t="str">
        <f t="shared" si="6"/>
        <v/>
      </c>
      <c r="BR7" s="964" t="str">
        <f t="shared" si="7"/>
        <v/>
      </c>
      <c r="BS7" s="964" t="str">
        <f t="shared" si="8"/>
        <v/>
      </c>
      <c r="BT7" s="28" t="str">
        <f t="shared" si="9"/>
        <v/>
      </c>
      <c r="BU7" s="28" t="str">
        <f t="shared" si="9"/>
        <v/>
      </c>
      <c r="BV7" s="28" t="str">
        <f t="shared" si="9"/>
        <v/>
      </c>
      <c r="BW7" s="29" t="str">
        <f t="shared" si="33"/>
        <v/>
      </c>
      <c r="BX7" s="29" t="str">
        <f t="shared" si="34"/>
        <v/>
      </c>
      <c r="BY7" s="28" t="str">
        <f>IF($G7="","",$G7*(IF(ADRYr3!$AI7=BY$4,ADRYr3!$AJ7,IF(ADRYr3!$AK7=BY$4,ADRYr3!$AL7,IF(ADRYr3!$AM7=BY$4,ADRYr3!$AN7,0))))*(INDEX(avoidedcosttbl3,$H7,BY$2)+(($H7-ROUNDDOWN($H7,0))*(INDEX(avoidedcosttbl3,ROUNDUP($H7,0),BY$2)-(INDEX(avoidedcosttbl3,ROUNDDOWN($H7,0),BY$2)))))*ADRYr3!P7*ADRYr3!Q7*ADRYr3!U7)</f>
        <v/>
      </c>
      <c r="BZ7" s="28" t="str">
        <f>IF($G7="","",$G7*(IF(ADRYr3!$AI7=BZ$4,ADRYr3!$AJ7,IF(ADRYr3!$AK7=BZ$4,ADRYr3!$AL7,IF(ADRYr3!$AM7=BZ$4,ADRYr3!$AN7,0))))*(INDEX(avoidedcosttbl3,$H7,BZ$2)+(($H7-ROUNDDOWN($H7,0))*(INDEX(avoidedcosttbl3,ROUNDUP($H7,0),BZ$2)-(INDEX(avoidedcosttbl3,ROUNDDOWN($H7,0),BZ$2)))))*ADRYr3!P7*ADRYr3!Q7*ADRYr3!U7)</f>
        <v/>
      </c>
      <c r="CA7" s="28" t="str">
        <f>IF($G7="","",$G7*(IF(ADRYr3!$AI7=CA$4,ADRYr3!$AJ7,IF(ADRYr3!$AK7=CA$4,ADRYr3!$AL7,IF(ADRYr3!$AM7=CA$4,ADRYr3!$AN7,0))))*(INDEX(avoidedcosttbl3,$H7,CA$2)+(($H7-ROUNDDOWN($H7,0))*(INDEX(avoidedcosttbl3,ROUNDUP($H7,0),CA$2)-(INDEX(avoidedcosttbl3,ROUNDDOWN($H7,0),CA$2)))))*ADRYr3!P7*ADRYr3!Q7*ADRYr3!U7)</f>
        <v/>
      </c>
      <c r="CB7" s="28" t="str">
        <f>IF($G7="","",$G7*(IF(ADRYr3!$AI7=CB$4,ADRYr3!$AJ7,IF(ADRYr3!$AK7=CB$4,ADRYr3!$AL7,IF(ADRYr3!$AM7=CB$4,ADRYr3!$AN7,0))))*(INDEX(avoidedcosttbl3,$H7,CB$2)+(($H7-ROUNDDOWN($H7,0))*(INDEX(avoidedcosttbl3,ROUNDUP($H7,0),CB$2)-(INDEX(avoidedcosttbl3,ROUNDDOWN($H7,0),CB$2)))))*ADRYr3!P7*ADRYr3!Q7*ADRYr3!U7)</f>
        <v/>
      </c>
      <c r="CC7" s="28" t="str">
        <f>IF($G7="","",$G7*(IF(ADRYr3!$AI7=CC$4,ADRYr3!$AJ7,IF(ADRYr3!$AK7=CC$4,ADRYr3!$AL7,IF(ADRYr3!$AM7=CC$4,ADRYr3!$AN7,0))))*(INDEX(avoidedcosttbl3,$H7,CC$2)+(($H7-ROUNDDOWN($H7,0))*(INDEX(avoidedcosttbl3,ROUNDUP($H7,0),CC$2)-(INDEX(avoidedcosttbl3,ROUNDDOWN($H7,0),CC$2)))))*ADRYr3!P7*ADRYr3!Q7*ADRYr3!U7)</f>
        <v/>
      </c>
      <c r="CD7" s="28" t="str">
        <f>IF($G7="","",$G7*(IF(ADRYr3!$AI7=CD$4,ADRYr3!$AJ7,IF(ADRYr3!$AK7=CD$4,ADRYr3!$AL7,IF(ADRYr3!$AM7=CD$4,ADRYr3!$AN7,0))))*(INDEX(avoidedcosttbl3,$H7,CD$2)+(($H7-ROUNDDOWN($H7,0))*(INDEX(avoidedcosttbl3,ROUNDUP($H7,0),CD$2)-(INDEX(avoidedcosttbl3,ROUNDDOWN($H7,0),CD$2)))))*ADRYr3!P7*ADRYr3!Q7*ADRYr3!U7)</f>
        <v/>
      </c>
      <c r="CE7" s="28" t="str">
        <f>IF($G7="","",$G7*(IF(ADRYr3!$AI7=CE$4,ADRYr3!$AJ7,IF(ADRYr3!$AK7=CE$4,ADRYr3!$AL7,IF(ADRYr3!$AM7=CE$4,ADRYr3!$AN7,0))))*(INDEX(avoidedcosttbl3,$H7,CE$2)+(($H7-ROUNDDOWN($H7,0))*(INDEX(avoidedcosttbl3,ROUNDUP($H7,0),CE$2)-(INDEX(avoidedcosttbl3,ROUNDDOWN($H7,0),CE$2)))))*ADRYr3!P7*ADRYr3!Q7*ADRYr3!U7)</f>
        <v/>
      </c>
      <c r="CF7" s="41" t="str">
        <f>IF($G7="","",SUM(BY7:CE7))</f>
        <v/>
      </c>
      <c r="CG7" s="30" t="str">
        <f t="shared" si="10"/>
        <v/>
      </c>
      <c r="CH7" s="30" t="str">
        <f>IF($G7="","",$G7*(IF(ADRYr3!$AI7=BY$4,ADRYr3!$AJ7,IF(ADRYr3!$AK7=BY$4,ADRYr3!$AL7,IF(ADRYr3!$AM7=BY$4,ADRYr3!$AN7,0))))*(INDEX(avoidedcosttbl3,$H7,CH$2)+(($H7-ROUNDDOWN($H7,0))*(INDEX(avoidedcosttbl3,ROUNDUP($H7,0),CH$2)-(INDEX(avoidedcosttbl3,ROUNDDOWN($H7,0),CH$2)))))*ADRYr3!P7*ADRYr3!Q7*ADRYr3!U7)</f>
        <v/>
      </c>
      <c r="CI7" s="30" t="str">
        <f>IF($G7="","",$G7*(IF(ADRYr3!$AI7=BZ$4,ADRYr3!$AJ7,IF(ADRYr3!$AK7=BZ$4,ADRYr3!$AL7,IF(ADRYr3!$AM7=BZ$4,ADRYr3!$AN7,0))))*(INDEX(avoidedcosttbl3,$H7,CI$2)+(($H7-ROUNDDOWN($H7,0))*(INDEX(avoidedcosttbl3,ROUNDUP($H7,0),CI$2)-(INDEX(avoidedcosttbl3,ROUNDDOWN($H7,0),CI$2)))))*ADRYr3!P7*ADRYr3!Q7*ADRYr3!U7)</f>
        <v/>
      </c>
      <c r="CJ7" s="30" t="str">
        <f>IF($G7="","",$G7*(IF(ADRYr3!$AI7=CA$4,ADRYr3!$AJ7,IF(ADRYr3!$AK7=CA$4,ADRYr3!$AL7,IF(ADRYr3!$AM7=CA$4,ADRYr3!$AN7,0))))*(INDEX(avoidedcosttbl3,$H7,CJ$2)+(($H7-ROUNDDOWN($H7,0))*(INDEX(avoidedcosttbl3,ROUNDUP($H7,0),CJ$2)-(INDEX(avoidedcosttbl3,ROUNDDOWN($H7,0),CJ$2)))))*ADRYr3!P7*ADRYr3!Q7*ADRYr3!U7)</f>
        <v/>
      </c>
      <c r="CK7" s="30" t="str">
        <f>IF($G7="","",$G7*(IF(ADRYr3!$AI7=CB$4,ADRYr3!$AJ7,IF(ADRYr3!$AK7=CB$4,ADRYr3!$AL7,IF(ADRYr3!$AM7=CB$4,ADRYr3!$AN7,0))))*(INDEX(avoidedcosttbl3,$H7,CK$2)+(($H7-ROUNDDOWN($H7,0))*(INDEX(avoidedcosttbl3,ROUNDUP($H7,0),CK$2)-(INDEX(avoidedcosttbl3,ROUNDDOWN($H7,0),CK$2)))))*ADRYr3!P7*ADRYr3!Q7*ADRYr3!U7)</f>
        <v/>
      </c>
      <c r="CL7" s="30" t="str">
        <f>IF($G7="","",$G7*(IF(ADRYr3!$AI7=CC$4,ADRYr3!$AJ7,IF(ADRYr3!$AK7=CC$4,ADRYr3!$AL7,IF(ADRYr3!$AM7=CC$4,ADRYr3!$AN7,0))))*(INDEX(avoidedcosttbl3,$H7,CL$2)+(($H7-ROUNDDOWN($H7,0))*(INDEX(avoidedcosttbl3,ROUNDUP($H7,0),CL$2)-(INDEX(avoidedcosttbl3,ROUNDDOWN($H7,0),CL$2)))))*ADRYr3!P7*ADRYr3!Q7*ADRYr3!U7)</f>
        <v/>
      </c>
      <c r="CM7" s="30" t="str">
        <f>IF($G7="","",$G7*(IF(ADRYr3!$AI7=CD$4,ADRYr3!$AJ7,IF(ADRYr3!$AK7=CD$4,ADRYr3!$AL7,IF(ADRYr3!$AM7=CD$4,ADRYr3!$AN7,0))))*(INDEX(avoidedcosttbl3,$H7,CM$2)+(($H7-ROUNDDOWN($H7,0))*(INDEX(avoidedcosttbl3,ROUNDUP($H7,0),CM$2)-(INDEX(avoidedcosttbl3,ROUNDDOWN($H7,0),CM$2)))))*ADRYr3!P7*ADRYr3!Q7*ADRYr3!U7)</f>
        <v/>
      </c>
      <c r="CN7" s="30" t="str">
        <f>IF($G7="","",$G7*(IF(ADRYr3!$AI7=CE$4,ADRYr3!$AJ7,IF(ADRYr3!$AK7=CE$4,ADRYr3!$AL7,IF(ADRYr3!$AM7=CE$4,ADRYr3!$AN7,0))))*(INDEX(avoidedcosttbl3,$H7,CN$2)+(($H7-ROUNDDOWN($H7,0))*(INDEX(avoidedcosttbl3,ROUNDUP($H7,0),CN$2)-(INDEX(avoidedcosttbl3,ROUNDDOWN($H7,0),CN$2)))))*ADRYr3!P7*ADRYr3!Q7*ADRYr3!U7)</f>
        <v/>
      </c>
      <c r="CO7" s="220" t="str">
        <f t="shared" si="36"/>
        <v/>
      </c>
      <c r="CP7" s="220" t="str">
        <f t="shared" si="37"/>
        <v/>
      </c>
      <c r="CQ7" s="157" t="str">
        <f>IF($G7="","",$G7*(IF(ADRYr3!$AI7=CQ$4,ADRYr3!$AJ7,IF(ADRYr3!$AK7=CQ$4,ADRYr3!$AL7,IF(ADRYr3!$AM7=CQ$4,ADRYr3!$AN7,0))))*(INDEX(avoidedcosttbl3,$H7,CQ$2)+(($H7-ROUNDDOWN($H7,0))*(INDEX(avoidedcosttbl3,ROUNDUP($H7,0),CQ$2)-(INDEX(avoidedcosttbl3,ROUNDDOWN($H7,0),CQ$2)))))*ADRYr3!$P7*ADRYr3!$Q7*ADRYr3!$U7)</f>
        <v/>
      </c>
      <c r="CR7" s="28" t="str">
        <f>IF($G7="","",G7*(IF(ADRYr3!$AI7=CR$4,ADRYr3!$AJ7,IF(ADRYr3!$AK7=CR$4,ADRYr3!$AL7,IF(ADRYr3!$AM7=CR$4,ADRYr3!$AN7,0))))*(INDEX(avoidedcosttbl3,$H7,CR$2)+(($H7-ROUNDDOWN($H7,0))*(INDEX(avoidedcosttbl3,ROUNDUP($H7,0),CR$2)-(INDEX(avoidedcosttbl3,ROUNDDOWN($H7,0),CR$2)))))*ADRYr3!$P7*ADRYr3!$Q7*ADRYr3!$U7)</f>
        <v/>
      </c>
      <c r="CS7" s="28" t="str">
        <f>IF($G7="","",G7*(IF(ADRYr3!$AI7=CS$4,ADRYr3!$AJ7,IF(ADRYr3!$AK7=CS$4,ADRYr3!$AL7,IF(ADRYr3!$AM7=CS$4,ADRYr3!$AN7,0))))*(INDEX(avoidedcosttbl3,$H7,CS$2)+(($H7-ROUNDDOWN($H7,0))*(INDEX(avoidedcosttbl3,ROUNDUP($H7,0),CS$2)-(INDEX(avoidedcosttbl3,ROUNDDOWN($H7,0),CS$2)))))*ADRYr3!$P7*ADRYr3!$Q7*ADRYr3!$U7)</f>
        <v/>
      </c>
      <c r="CT7" s="28" t="str">
        <f t="shared" si="11"/>
        <v/>
      </c>
      <c r="CU7" s="28" t="str">
        <f>IF($G7="","",G7*(IF(ADRYr3!$AI7=CU$4,ADRYr3!$AJ7,IF(ADRYr3!$AK7=CU$4,ADRYr3!$AL7,IF(ADRYr3!$AM7=CU$4,ADRYr3!$AN7,0))))*(INDEX(avoidedcosttbl3,$H7,CU$2)+(($H7-ROUNDDOWN($H7,0))*(INDEX(avoidedcosttbl3,ROUNDUP($H7,0),CU$2)-(INDEX(avoidedcosttbl3,ROUNDDOWN($H7,0),CU$2)))))*ADRYr3!$P7*ADRYr3!$Q7*ADRYr3!$U7)</f>
        <v/>
      </c>
      <c r="CV7" s="28" t="str">
        <f>IF($G7="","",G7*(IF(ADRYr3!$AI7=CV$4,ADRYr3!$AJ7,IF(ADRYr3!$AK7=CV$4,ADRYr3!$AL7,IF(ADRYr3!$AM7=CV$4,ADRYr3!$AN7,0))))*(INDEX(avoidedcosttbl3,$H7,CV$2)+(($H7-ROUNDDOWN($H7,0))*(INDEX(avoidedcosttbl3,ROUNDUP($H7,0),CV$2)-(INDEX(avoidedcosttbl3,ROUNDDOWN($H7,0),CV$2)))))*ADRYr3!$P7*ADRYr3!$Q7*ADRYr3!$U7)</f>
        <v/>
      </c>
      <c r="CW7" s="28" t="str">
        <f>IF($G7="","",G7*(IF(ADRYr3!$AI7=CW$4,ADRYr3!$AJ7,IF(ADRYr3!$AK7=CW$4,ADRYr3!$AL7,IF(ADRYr3!$AM7=CW$4,ADRYr3!$AN7,0))))*(INDEX(avoidedcosttbl3,$H7,CW$2)+(($H7-ROUNDDOWN($H7,0))*(INDEX(avoidedcosttbl3,ROUNDUP($H7,0),CW$2)-(INDEX(avoidedcosttbl3,ROUNDDOWN($H7,0),CW$2)))))*ADRYr3!$P7*ADRYr3!$Q7*ADRYr3!$U7)</f>
        <v/>
      </c>
      <c r="CX7" s="28" t="str">
        <f>IF($G7="","",G7*(IF(ADRYr3!$AI7=CX$4,ADRYr3!$AJ7,IF(ADRYr3!$AK7=CX$4,ADRYr3!$AL7,IF(ADRYr3!$AM7=CX$4,ADRYr3!$AN7,0))))*(INDEX(avoidedcosttbl3,$H7,CX$2)+(($H7-ROUNDDOWN($H7,0))*(INDEX(avoidedcosttbl3,ROUNDUP($H7,0),CX$2)-(INDEX(avoidedcosttbl3,ROUNDDOWN($H7,0),CX$2)))))*ADRYr3!$P7*ADRYr3!$Q7*ADRYr3!$U7)</f>
        <v/>
      </c>
      <c r="CY7" s="28" t="str">
        <f t="shared" si="38"/>
        <v/>
      </c>
      <c r="CZ7" s="32" t="str">
        <f t="shared" si="39"/>
        <v/>
      </c>
      <c r="DA7" s="84" t="str">
        <f t="shared" si="40"/>
        <v/>
      </c>
      <c r="DB7" s="81" t="str">
        <f>IF(NEIadder="Yes",IF($G7="","",INDEX(Lookups!$G$70:$G$71,MATCH($A7,Lookups!$E$70:$E$71,0))*(SUM(CP7:CX7,BX7))),"")</f>
        <v/>
      </c>
      <c r="DC7" s="263" t="str">
        <f t="shared" si="41"/>
        <v/>
      </c>
      <c r="DD7" s="166" t="str">
        <f t="shared" si="42"/>
        <v/>
      </c>
      <c r="DE7" s="82">
        <f t="shared" si="43"/>
        <v>0</v>
      </c>
      <c r="DF7" s="615" t="str">
        <f>IF($G7="","",(1+WntPeakEnergyLL)*(INDEX(avoidedcosttbl3,$H7,DF$2)+(($H7-ROUNDDOWN($H7,0))*(INDEX(avoidedcosttbl3,ROUNDUP($H7,0),DF$2)-(INDEX(avoidedcosttbl3,ROUNDDOWN($H7,0),DF$2)))))*$P7*1000*ADRYr3!Z7)</f>
        <v/>
      </c>
      <c r="DG7" s="615" t="str">
        <f>IF($G7="","",(1+WntOffPeakEnergyLL)*(INDEX(avoidedcosttbl3,$H7,DG$2)+(($H7-ROUNDDOWN($H7,0))*(INDEX(avoidedcosttbl3,ROUNDUP($H7,0),DG$2)-(INDEX(avoidedcosttbl3,ROUNDDOWN($H7,0),DG$2)))))*$P7*1000*ADRYr3!AA7)</f>
        <v/>
      </c>
      <c r="DH7" s="615" t="str">
        <f>IF($G7="","",(1+SumPeakEnergyLL)*(INDEX(avoidedcosttbl3,$H7,DH$2)+(($H7-ROUNDDOWN($H7,0))*(INDEX(avoidedcosttbl3,ROUNDUP($H7,0),DH$2)-(INDEX(avoidedcosttbl3,ROUNDDOWN($H7,0),DH$2)))))*$P7*1000*ADRYr3!AB7)</f>
        <v/>
      </c>
      <c r="DI7" s="615" t="str">
        <f>IF($G7="","",(1+SumOffPeakEnergyLL)*(INDEX(avoidedcosttbl3,$H7,DI$2)+(($H7-ROUNDDOWN($H7,0))*(INDEX(avoidedcosttbl3,ROUNDUP($H7,0),DI$2)-(INDEX(avoidedcosttbl3,ROUNDDOWN($H7,0),DI$2)))))*$P7*1000*ADRYr3!AC7)</f>
        <v/>
      </c>
      <c r="DJ7" s="29" t="str">
        <f t="shared" si="44"/>
        <v/>
      </c>
      <c r="DK7" s="161" t="str">
        <f t="shared" si="45"/>
        <v/>
      </c>
      <c r="DL7" s="1189" t="str">
        <f t="shared" si="46"/>
        <v/>
      </c>
      <c r="DM7" s="1189" t="str">
        <f t="shared" si="47"/>
        <v/>
      </c>
      <c r="DN7" s="43" t="str">
        <f t="shared" si="48"/>
        <v/>
      </c>
      <c r="DO7" s="966" t="str">
        <f>IF($G7="","",ADRYr3!AQ7)</f>
        <v/>
      </c>
      <c r="DP7" s="968" t="str">
        <f>IF($G7="","",ADRYr3!AR7)</f>
        <v/>
      </c>
      <c r="DQ7" s="970" t="str">
        <f>IF($G7="","",IF($DP7="Yes",COLUMN(AESC!$L$10),IF($DP7="No","Using AvoidedDemand tab",IF($DP7="Mixed",COLUMN(AESC!$N$10)))))</f>
        <v/>
      </c>
      <c r="DR7" s="970" t="str">
        <f>IF($G7="","",IF($DP7="Yes",COLUMN(AESC!$P$10),IF($DP7="No","Using AvoidedDemand tab",IF($DP7="Mixed",COLUMN(AESC!$R$10)))))</f>
        <v/>
      </c>
      <c r="DS7" s="970" t="str">
        <f>IF($G7="","",IF($DP7="Yes",COLUMN(AESC!$S$10),IF($DP7="No",COLUMN(AESC!$T$10),IF($DP7="Mixed",COLUMN(AESC!$U$10)))))</f>
        <v/>
      </c>
      <c r="DT7" s="970" t="str">
        <f t="shared" si="49"/>
        <v/>
      </c>
      <c r="DU7" s="970" t="str">
        <f>IF($G7="","",ADRYr3!AS7)</f>
        <v/>
      </c>
      <c r="DV7" s="971" t="str">
        <f>IF($G7="","",ADRYr3!AT7)</f>
        <v/>
      </c>
      <c r="DW7" s="1162" t="str">
        <f>IF($G7="","",INDEX(AvoidedEnergy!$H$4:$H$10,MATCH($DO7,AvoidedEnergy!$A$4:$A$10,0)))</f>
        <v/>
      </c>
    </row>
    <row r="8" spans="1:127">
      <c r="A8" s="160" t="str">
        <f>IF(ADRYr3!$B8=0,"",ADRYr3!A8)</f>
        <v>A - Residential</v>
      </c>
      <c r="B8" s="9" t="str">
        <f>IF(ADRYr3!$B8=0,"",ADRYr3!B8)</f>
        <v>A5 - Residential Active Demand Response</v>
      </c>
      <c r="C8" s="9" t="str">
        <f>IF(ADRYr3!$B8=0,"",ADRYr3!C8)</f>
        <v>A5a - Residential Active Demand Response</v>
      </c>
      <c r="D8" s="9" t="str">
        <f>IF(ADRYr3!$B8=0,"",ADRYr3!D8)</f>
        <v>Storage Daily Dispatch Upfront Incentive (consumption) Summer</v>
      </c>
      <c r="E8" s="9">
        <f>IF(ADRYr3!$B8=0,"",ADRYr3!E8)</f>
        <v>0</v>
      </c>
      <c r="F8" s="11" t="str">
        <f>IF(ADRYr3!$B8=0,"",ADRYr3!F8)</f>
        <v>Behavior</v>
      </c>
      <c r="G8" s="12" t="str">
        <f>IF(ADRYr3!$G8&lt;&gt;0,ADRYr3!G8,"")</f>
        <v/>
      </c>
      <c r="H8" s="960" t="str">
        <f>IF($G8="","",ROUND(ADRYr3!H8,0))</f>
        <v/>
      </c>
      <c r="I8" s="47" t="str">
        <f>IF($G8="","",ADRYr3!I8*ADRYr3!P8*G8)</f>
        <v/>
      </c>
      <c r="J8" s="47" t="str">
        <f>IF($G8="","",ADRYr3!J8*G8)</f>
        <v/>
      </c>
      <c r="K8" s="47" t="str">
        <f t="shared" si="12"/>
        <v/>
      </c>
      <c r="L8" s="27" t="str">
        <f>IF($G8="","",ADRYr3!V8*G8/1000)</f>
        <v/>
      </c>
      <c r="M8" s="27" t="str">
        <f>IF($G8="","",L8*ADRYr3!$Q8*ADRYr3!$R8)</f>
        <v/>
      </c>
      <c r="N8" s="27" t="str">
        <f t="shared" si="13"/>
        <v/>
      </c>
      <c r="O8" s="27" t="str">
        <f t="shared" si="14"/>
        <v/>
      </c>
      <c r="P8" s="27" t="str">
        <f>IF($G8="","",M8*ADRYr3!P8)</f>
        <v/>
      </c>
      <c r="Q8" s="27" t="str">
        <f t="shared" si="15"/>
        <v/>
      </c>
      <c r="R8" s="27" t="str">
        <f>IF($G8="","",$Q8*ADRYr3!Z8)</f>
        <v/>
      </c>
      <c r="S8" s="27" t="str">
        <f>IF($G8="","",$Q8*ADRYr3!AA8)</f>
        <v/>
      </c>
      <c r="T8" s="27" t="str">
        <f>IF($G8="","",$Q8*ADRYr3!AB8)</f>
        <v/>
      </c>
      <c r="U8" s="27" t="str">
        <f>IF($G8="","",$Q8*ADRYr3!AC8)</f>
        <v/>
      </c>
      <c r="V8" s="27" t="str">
        <f>IF($G8="","",G8*ADRYr3!$AD8*ADRYr3!$P8*ADRYr3!$Q8)</f>
        <v/>
      </c>
      <c r="W8" s="27" t="str">
        <f>IF($G8="","",$G8*ADRYr3!$AD8*ADRYr3!$AF8*ADRYr3!Q8*ADRYr3!$S8)</f>
        <v/>
      </c>
      <c r="X8" s="27" t="str">
        <f>IF($G8="","",$G8*ADRYr3!$AD8*ADRYr3!$AF8*ADRYr3!P8*ADRYr3!Q8*ADRYr3!$S8)</f>
        <v/>
      </c>
      <c r="Y8" s="27" t="str">
        <f>IF($G8="","",$G8*ADRYr3!$AD8*ADRYr3!$AE8*ADRYr3!Q8*ADRYr3!$T8)</f>
        <v/>
      </c>
      <c r="Z8" s="27" t="str">
        <f>IF($G8="","",$G8*ADRYr3!$AD8*ADRYr3!$AE8*ADRYr3!P8*ADRYr3!Q8*ADRYr3!$T8)</f>
        <v/>
      </c>
      <c r="AA8" s="45" t="str">
        <f>IF($G8="","",$G8*ADRYr3!$Q8*ADRYr3!$U8*(IF(IFERROR(SEARCH("NG", ADRYr3!$AI8),0),ADRYr3!$AJ8,0)+IF(IFERROR(SEARCH("NG", ADRYr3!$AK8),0),ADRYr3!$AL8,0)+IF(IFERROR(SEARCH("NG", ADRYr3!$AM8),0),ADRYr3!$AN8,0)))</f>
        <v/>
      </c>
      <c r="AB8" s="45" t="str">
        <f t="shared" si="16"/>
        <v/>
      </c>
      <c r="AC8" s="45">
        <f>IF($G8="",0,AA8*ADRYr3!$P8)</f>
        <v>0</v>
      </c>
      <c r="AD8" s="45" t="str">
        <f t="shared" si="17"/>
        <v/>
      </c>
      <c r="AE8" s="45" t="str">
        <f>IF($G8="","",$G8*ADRYr3!$Q8*ADRYr3!$U8*(IF(IFERROR(SEARCH("Oil", ADRYr3!$AI8), 0),ADRYr3!$AJ8,0)+IF(IFERROR(SEARCH("Oil", ADRYr3!$AK8), 0),ADRYr3!$AL8,0)+IF(IFERROR(SEARCH("Oil", ADRYr3!$AM8), 0),ADRYr3!$AN8,0)))</f>
        <v/>
      </c>
      <c r="AF8" s="45" t="str">
        <f t="shared" si="18"/>
        <v/>
      </c>
      <c r="AG8" s="45">
        <f>IF($G8="",0,AE8*ADRYr3!$P8)</f>
        <v>0</v>
      </c>
      <c r="AH8" s="45" t="str">
        <f t="shared" si="19"/>
        <v/>
      </c>
      <c r="AI8" s="45" t="str">
        <f>IF($G8="","",$G8*ADRYr3!$Q8*ADRYr3!$U8*(IF(ADRYr3!$AI8=Lookups!$E$116,ADRYr3!$AJ8,IF(ADRYr3!$AK8=Lookups!$E$116,ADRYr3!$AL8,IF(ADRYr3!$AM8=Lookups!$E$116,ADRYr3!$AN8,0)))))</f>
        <v/>
      </c>
      <c r="AJ8" s="45" t="str">
        <f t="shared" si="20"/>
        <v/>
      </c>
      <c r="AK8" s="45">
        <f>IF($G8="",0,AI8*ADRYr3!$P8)</f>
        <v>0</v>
      </c>
      <c r="AL8" s="45" t="str">
        <f t="shared" si="21"/>
        <v/>
      </c>
      <c r="AM8" s="45" t="str">
        <f>IF($G8="","",$G8*ADRYr3!$Q8*ADRYr3!$U8*(IF(ADRYr3!$AI8=Lookups!$E$115,ADRYr3!$AJ8,IF(ADRYr3!$AK8=Lookups!$E$115,ADRYr3!$AL8,IF(ADRYr3!$AM8=Lookups!$E$115,ADRYr3!$AN8,0)))))</f>
        <v/>
      </c>
      <c r="AN8" s="45" t="str">
        <f t="shared" si="22"/>
        <v/>
      </c>
      <c r="AO8" s="45">
        <f>IF($G8="",0,AM8*ADRYr3!$P8)</f>
        <v>0</v>
      </c>
      <c r="AP8" s="45" t="str">
        <f t="shared" si="23"/>
        <v/>
      </c>
      <c r="AQ8" s="45" t="str">
        <f>IF($G8="","",$G8*ADRYr3!$Q8*ADRYr3!$U8*(IF(ADRYr3!$AI8=Lookups!$E$117,ADRYr3!$AJ8,IF(ADRYr3!$AK8=Lookups!$E$117,ADRYr3!$AL8,IF(ADRYr3!$AM8=Lookups!$E$117,ADRYr3!$AN8,0)))))</f>
        <v/>
      </c>
      <c r="AR8" s="45" t="str">
        <f t="shared" si="24"/>
        <v/>
      </c>
      <c r="AS8" s="45" t="str">
        <f>IF($G8="","",AQ8*ADRYr3!$P8)</f>
        <v/>
      </c>
      <c r="AT8" s="45" t="str">
        <f t="shared" si="25"/>
        <v/>
      </c>
      <c r="AU8" s="45" t="str">
        <f>IF($G8="","",$G8*ADRYr3!$Q8*ADRYr3!$U8*(IF(ADRYr3!$AI8=Lookups!$E$118,ADRYr3!$AJ8,IF(ADRYr3!$AK8=Lookups!$E$118,ADRYr3!$AL8,IF(ADRYr3!$AM8=Lookups!$E$118,ADRYr3!$AN8,0)))))</f>
        <v/>
      </c>
      <c r="AV8" s="45" t="str">
        <f t="shared" si="26"/>
        <v/>
      </c>
      <c r="AW8" s="45" t="str">
        <f>IF($G8="","",AU8*ADRYr3!$P8)</f>
        <v/>
      </c>
      <c r="AX8" s="45" t="str">
        <f t="shared" si="27"/>
        <v/>
      </c>
      <c r="AY8" s="45">
        <f t="shared" si="28"/>
        <v>0</v>
      </c>
      <c r="AZ8" s="45">
        <f t="shared" si="29"/>
        <v>0</v>
      </c>
      <c r="BA8" s="101" t="str">
        <f>IF($G8="","",$G8*ADRYr3!$P8*ADRYr3!$Q8*ADRYr3!$U8*ADRYr3!AO8)</f>
        <v/>
      </c>
      <c r="BB8" s="102" t="str">
        <f>IF($G8="","",$G8*ADRYr3!$P8*ADRYr3!$Q8*ADRYr3!$U8*ADRYr3!AP8)</f>
        <v/>
      </c>
      <c r="BC8" s="100" t="str">
        <f t="shared" si="30"/>
        <v/>
      </c>
      <c r="BD8" s="961"/>
      <c r="BE8" s="961"/>
      <c r="BF8" s="961"/>
      <c r="BG8" s="961"/>
      <c r="BH8" s="962" t="str">
        <f t="shared" si="3"/>
        <v/>
      </c>
      <c r="BI8" s="961"/>
      <c r="BJ8" s="961"/>
      <c r="BK8" s="961"/>
      <c r="BL8" s="961"/>
      <c r="BM8" s="30" t="str">
        <f t="shared" si="4"/>
        <v/>
      </c>
      <c r="BN8" s="963" t="str">
        <f t="shared" si="31"/>
        <v/>
      </c>
      <c r="BO8" s="31" t="str">
        <f t="shared" si="32"/>
        <v/>
      </c>
      <c r="BP8" s="964" t="str">
        <f t="shared" si="5"/>
        <v/>
      </c>
      <c r="BQ8" s="28" t="str">
        <f t="shared" si="6"/>
        <v/>
      </c>
      <c r="BR8" s="964" t="str">
        <f t="shared" si="7"/>
        <v/>
      </c>
      <c r="BS8" s="964" t="str">
        <f t="shared" si="8"/>
        <v/>
      </c>
      <c r="BT8" s="28" t="str">
        <f t="shared" si="9"/>
        <v/>
      </c>
      <c r="BU8" s="28" t="str">
        <f t="shared" si="9"/>
        <v/>
      </c>
      <c r="BV8" s="28" t="str">
        <f t="shared" si="9"/>
        <v/>
      </c>
      <c r="BW8" s="29" t="str">
        <f t="shared" si="33"/>
        <v/>
      </c>
      <c r="BX8" s="29" t="str">
        <f t="shared" si="34"/>
        <v/>
      </c>
      <c r="BY8" s="28" t="str">
        <f>IF($G8="","",$G8*(IF(ADRYr3!$AI8=BY$4,ADRYr3!$AJ8,IF(ADRYr3!$AK8=BY$4,ADRYr3!$AL8,IF(ADRYr3!$AM8=BY$4,ADRYr3!$AN8,0))))*(INDEX(avoidedcosttbl3,$H8,BY$2)+(($H8-ROUNDDOWN($H8,0))*(INDEX(avoidedcosttbl3,ROUNDUP($H8,0),BY$2)-(INDEX(avoidedcosttbl3,ROUNDDOWN($H8,0),BY$2)))))*ADRYr3!P8*ADRYr3!Q8*ADRYr3!U8)</f>
        <v/>
      </c>
      <c r="BZ8" s="28" t="str">
        <f>IF($G8="","",$G8*(IF(ADRYr3!$AI8=BZ$4,ADRYr3!$AJ8,IF(ADRYr3!$AK8=BZ$4,ADRYr3!$AL8,IF(ADRYr3!$AM8=BZ$4,ADRYr3!$AN8,0))))*(INDEX(avoidedcosttbl3,$H8,BZ$2)+(($H8-ROUNDDOWN($H8,0))*(INDEX(avoidedcosttbl3,ROUNDUP($H8,0),BZ$2)-(INDEX(avoidedcosttbl3,ROUNDDOWN($H8,0),BZ$2)))))*ADRYr3!P8*ADRYr3!Q8*ADRYr3!U8)</f>
        <v/>
      </c>
      <c r="CA8" s="28" t="str">
        <f>IF($G8="","",$G8*(IF(ADRYr3!$AI8=CA$4,ADRYr3!$AJ8,IF(ADRYr3!$AK8=CA$4,ADRYr3!$AL8,IF(ADRYr3!$AM8=CA$4,ADRYr3!$AN8,0))))*(INDEX(avoidedcosttbl3,$H8,CA$2)+(($H8-ROUNDDOWN($H8,0))*(INDEX(avoidedcosttbl3,ROUNDUP($H8,0),CA$2)-(INDEX(avoidedcosttbl3,ROUNDDOWN($H8,0),CA$2)))))*ADRYr3!P8*ADRYr3!Q8*ADRYr3!U8)</f>
        <v/>
      </c>
      <c r="CB8" s="28" t="str">
        <f>IF($G8="","",$G8*(IF(ADRYr3!$AI8=CB$4,ADRYr3!$AJ8,IF(ADRYr3!$AK8=CB$4,ADRYr3!$AL8,IF(ADRYr3!$AM8=CB$4,ADRYr3!$AN8,0))))*(INDEX(avoidedcosttbl3,$H8,CB$2)+(($H8-ROUNDDOWN($H8,0))*(INDEX(avoidedcosttbl3,ROUNDUP($H8,0),CB$2)-(INDEX(avoidedcosttbl3,ROUNDDOWN($H8,0),CB$2)))))*ADRYr3!P8*ADRYr3!Q8*ADRYr3!U8)</f>
        <v/>
      </c>
      <c r="CC8" s="28" t="str">
        <f>IF($G8="","",$G8*(IF(ADRYr3!$AI8=CC$4,ADRYr3!$AJ8,IF(ADRYr3!$AK8=CC$4,ADRYr3!$AL8,IF(ADRYr3!$AM8=CC$4,ADRYr3!$AN8,0))))*(INDEX(avoidedcosttbl3,$H8,CC$2)+(($H8-ROUNDDOWN($H8,0))*(INDEX(avoidedcosttbl3,ROUNDUP($H8,0),CC$2)-(INDEX(avoidedcosttbl3,ROUNDDOWN($H8,0),CC$2)))))*ADRYr3!P8*ADRYr3!Q8*ADRYr3!U8)</f>
        <v/>
      </c>
      <c r="CD8" s="28" t="str">
        <f>IF($G8="","",$G8*(IF(ADRYr3!$AI8=CD$4,ADRYr3!$AJ8,IF(ADRYr3!$AK8=CD$4,ADRYr3!$AL8,IF(ADRYr3!$AM8=CD$4,ADRYr3!$AN8,0))))*(INDEX(avoidedcosttbl3,$H8,CD$2)+(($H8-ROUNDDOWN($H8,0))*(INDEX(avoidedcosttbl3,ROUNDUP($H8,0),CD$2)-(INDEX(avoidedcosttbl3,ROUNDDOWN($H8,0),CD$2)))))*ADRYr3!P8*ADRYr3!Q8*ADRYr3!U8)</f>
        <v/>
      </c>
      <c r="CE8" s="28" t="str">
        <f>IF($G8="","",$G8*(IF(ADRYr3!$AI8=CE$4,ADRYr3!$AJ8,IF(ADRYr3!$AK8=CE$4,ADRYr3!$AL8,IF(ADRYr3!$AM8=CE$4,ADRYr3!$AN8,0))))*(INDEX(avoidedcosttbl3,$H8,CE$2)+(($H8-ROUNDDOWN($H8,0))*(INDEX(avoidedcosttbl3,ROUNDUP($H8,0),CE$2)-(INDEX(avoidedcosttbl3,ROUNDDOWN($H8,0),CE$2)))))*ADRYr3!P8*ADRYr3!Q8*ADRYr3!U8)</f>
        <v/>
      </c>
      <c r="CF8" s="41" t="str">
        <f t="shared" si="35"/>
        <v/>
      </c>
      <c r="CG8" s="30" t="str">
        <f t="shared" si="10"/>
        <v/>
      </c>
      <c r="CH8" s="30" t="str">
        <f>IF($G8="","",$G8*(IF(ADRYr3!$AI8=BY$4,ADRYr3!$AJ8,IF(ADRYr3!$AK8=BY$4,ADRYr3!$AL8,IF(ADRYr3!$AM8=BY$4,ADRYr3!$AN8,0))))*(INDEX(avoidedcosttbl3,$H8,CH$2)+(($H8-ROUNDDOWN($H8,0))*(INDEX(avoidedcosttbl3,ROUNDUP($H8,0),CH$2)-(INDEX(avoidedcosttbl3,ROUNDDOWN($H8,0),CH$2)))))*ADRYr3!P8*ADRYr3!Q8*ADRYr3!U8)</f>
        <v/>
      </c>
      <c r="CI8" s="30" t="str">
        <f>IF($G8="","",$G8*(IF(ADRYr3!$AI8=BZ$4,ADRYr3!$AJ8,IF(ADRYr3!$AK8=BZ$4,ADRYr3!$AL8,IF(ADRYr3!$AM8=BZ$4,ADRYr3!$AN8,0))))*(INDEX(avoidedcosttbl3,$H8,CI$2)+(($H8-ROUNDDOWN($H8,0))*(INDEX(avoidedcosttbl3,ROUNDUP($H8,0),CI$2)-(INDEX(avoidedcosttbl3,ROUNDDOWN($H8,0),CI$2)))))*ADRYr3!P8*ADRYr3!Q8*ADRYr3!U8)</f>
        <v/>
      </c>
      <c r="CJ8" s="30" t="str">
        <f>IF($G8="","",$G8*(IF(ADRYr3!$AI8=CA$4,ADRYr3!$AJ8,IF(ADRYr3!$AK8=CA$4,ADRYr3!$AL8,IF(ADRYr3!$AM8=CA$4,ADRYr3!$AN8,0))))*(INDEX(avoidedcosttbl3,$H8,CJ$2)+(($H8-ROUNDDOWN($H8,0))*(INDEX(avoidedcosttbl3,ROUNDUP($H8,0),CJ$2)-(INDEX(avoidedcosttbl3,ROUNDDOWN($H8,0),CJ$2)))))*ADRYr3!P8*ADRYr3!Q8*ADRYr3!U8)</f>
        <v/>
      </c>
      <c r="CK8" s="30" t="str">
        <f>IF($G8="","",$G8*(IF(ADRYr3!$AI8=CB$4,ADRYr3!$AJ8,IF(ADRYr3!$AK8=CB$4,ADRYr3!$AL8,IF(ADRYr3!$AM8=CB$4,ADRYr3!$AN8,0))))*(INDEX(avoidedcosttbl3,$H8,CK$2)+(($H8-ROUNDDOWN($H8,0))*(INDEX(avoidedcosttbl3,ROUNDUP($H8,0),CK$2)-(INDEX(avoidedcosttbl3,ROUNDDOWN($H8,0),CK$2)))))*ADRYr3!P8*ADRYr3!Q8*ADRYr3!U8)</f>
        <v/>
      </c>
      <c r="CL8" s="30" t="str">
        <f>IF($G8="","",$G8*(IF(ADRYr3!$AI8=CC$4,ADRYr3!$AJ8,IF(ADRYr3!$AK8=CC$4,ADRYr3!$AL8,IF(ADRYr3!$AM8=CC$4,ADRYr3!$AN8,0))))*(INDEX(avoidedcosttbl3,$H8,CL$2)+(($H8-ROUNDDOWN($H8,0))*(INDEX(avoidedcosttbl3,ROUNDUP($H8,0),CL$2)-(INDEX(avoidedcosttbl3,ROUNDDOWN($H8,0),CL$2)))))*ADRYr3!P8*ADRYr3!Q8*ADRYr3!U8)</f>
        <v/>
      </c>
      <c r="CM8" s="30" t="str">
        <f>IF($G8="","",$G8*(IF(ADRYr3!$AI8=CD$4,ADRYr3!$AJ8,IF(ADRYr3!$AK8=CD$4,ADRYr3!$AL8,IF(ADRYr3!$AM8=CD$4,ADRYr3!$AN8,0))))*(INDEX(avoidedcosttbl3,$H8,CM$2)+(($H8-ROUNDDOWN($H8,0))*(INDEX(avoidedcosttbl3,ROUNDUP($H8,0),CM$2)-(INDEX(avoidedcosttbl3,ROUNDDOWN($H8,0),CM$2)))))*ADRYr3!P8*ADRYr3!Q8*ADRYr3!U8)</f>
        <v/>
      </c>
      <c r="CN8" s="30" t="str">
        <f>IF($G8="","",$G8*(IF(ADRYr3!$AI8=CE$4,ADRYr3!$AJ8,IF(ADRYr3!$AK8=CE$4,ADRYr3!$AL8,IF(ADRYr3!$AM8=CE$4,ADRYr3!$AN8,0))))*(INDEX(avoidedcosttbl3,$H8,CN$2)+(($H8-ROUNDDOWN($H8,0))*(INDEX(avoidedcosttbl3,ROUNDUP($H8,0),CN$2)-(INDEX(avoidedcosttbl3,ROUNDDOWN($H8,0),CN$2)))))*ADRYr3!P8*ADRYr3!Q8*ADRYr3!U8)</f>
        <v/>
      </c>
      <c r="CO8" s="220" t="str">
        <f t="shared" si="36"/>
        <v/>
      </c>
      <c r="CP8" s="220" t="str">
        <f t="shared" si="37"/>
        <v/>
      </c>
      <c r="CQ8" s="157" t="str">
        <f>IF($G8="","",$G8*(IF(ADRYr3!$AI8=CQ$4,ADRYr3!$AJ8,IF(ADRYr3!$AK8=CQ$4,ADRYr3!$AL8,IF(ADRYr3!$AM8=CQ$4,ADRYr3!$AN8,0))))*(INDEX(avoidedcosttbl3,$H8,CQ$2)+(($H8-ROUNDDOWN($H8,0))*(INDEX(avoidedcosttbl3,ROUNDUP($H8,0),CQ$2)-(INDEX(avoidedcosttbl3,ROUNDDOWN($H8,0),CQ$2)))))*ADRYr3!$P8*ADRYr3!$Q8*ADRYr3!$U8)</f>
        <v/>
      </c>
      <c r="CR8" s="28" t="str">
        <f>IF($G8="","",G8*(IF(ADRYr3!$AI8=CR$4,ADRYr3!$AJ8,IF(ADRYr3!$AK8=CR$4,ADRYr3!$AL8,IF(ADRYr3!$AM8=CR$4,ADRYr3!$AN8,0))))*(INDEX(avoidedcosttbl3,$H8,CR$2)+(($H8-ROUNDDOWN($H8,0))*(INDEX(avoidedcosttbl3,ROUNDUP($H8,0),CR$2)-(INDEX(avoidedcosttbl3,ROUNDDOWN($H8,0),CR$2)))))*ADRYr3!$P8*ADRYr3!$Q8*ADRYr3!$U8)</f>
        <v/>
      </c>
      <c r="CS8" s="28" t="str">
        <f>IF($G8="","",G8*(IF(ADRYr3!$AI8=CS$4,ADRYr3!$AJ8,IF(ADRYr3!$AK8=CS$4,ADRYr3!$AL8,IF(ADRYr3!$AM8=CS$4,ADRYr3!$AN8,0))))*(INDEX(avoidedcosttbl3,$H8,CS$2)+(($H8-ROUNDDOWN($H8,0))*(INDEX(avoidedcosttbl3,ROUNDUP($H8,0),CS$2)-(INDEX(avoidedcosttbl3,ROUNDDOWN($H8,0),CS$2)))))*ADRYr3!$P8*ADRYr3!$Q8*ADRYr3!$U8)</f>
        <v/>
      </c>
      <c r="CT8" s="28" t="str">
        <f t="shared" si="11"/>
        <v/>
      </c>
      <c r="CU8" s="28" t="str">
        <f>IF($G8="","",G8*(IF(ADRYr3!$AI8=CU$4,ADRYr3!$AJ8,IF(ADRYr3!$AK8=CU$4,ADRYr3!$AL8,IF(ADRYr3!$AM8=CU$4,ADRYr3!$AN8,0))))*(INDEX(avoidedcosttbl3,$H8,CU$2)+(($H8-ROUNDDOWN($H8,0))*(INDEX(avoidedcosttbl3,ROUNDUP($H8,0),CU$2)-(INDEX(avoidedcosttbl3,ROUNDDOWN($H8,0),CU$2)))))*ADRYr3!$P8*ADRYr3!$Q8*ADRYr3!$U8)</f>
        <v/>
      </c>
      <c r="CV8" s="28" t="str">
        <f>IF($G8="","",G8*(IF(ADRYr3!$AI8=CV$4,ADRYr3!$AJ8,IF(ADRYr3!$AK8=CV$4,ADRYr3!$AL8,IF(ADRYr3!$AM8=CV$4,ADRYr3!$AN8,0))))*(INDEX(avoidedcosttbl3,$H8,CV$2)+(($H8-ROUNDDOWN($H8,0))*(INDEX(avoidedcosttbl3,ROUNDUP($H8,0),CV$2)-(INDEX(avoidedcosttbl3,ROUNDDOWN($H8,0),CV$2)))))*ADRYr3!$P8*ADRYr3!$Q8*ADRYr3!$U8)</f>
        <v/>
      </c>
      <c r="CW8" s="28" t="str">
        <f>IF($G8="","",G8*(IF(ADRYr3!$AI8=CW$4,ADRYr3!$AJ8,IF(ADRYr3!$AK8=CW$4,ADRYr3!$AL8,IF(ADRYr3!$AM8=CW$4,ADRYr3!$AN8,0))))*(INDEX(avoidedcosttbl3,$H8,CW$2)+(($H8-ROUNDDOWN($H8,0))*(INDEX(avoidedcosttbl3,ROUNDUP($H8,0),CW$2)-(INDEX(avoidedcosttbl3,ROUNDDOWN($H8,0),CW$2)))))*ADRYr3!$P8*ADRYr3!$Q8*ADRYr3!$U8)</f>
        <v/>
      </c>
      <c r="CX8" s="28" t="str">
        <f>IF($G8="","",G8*(IF(ADRYr3!$AI8=CX$4,ADRYr3!$AJ8,IF(ADRYr3!$AK8=CX$4,ADRYr3!$AL8,IF(ADRYr3!$AM8=CX$4,ADRYr3!$AN8,0))))*(INDEX(avoidedcosttbl3,$H8,CX$2)+(($H8-ROUNDDOWN($H8,0))*(INDEX(avoidedcosttbl3,ROUNDUP($H8,0),CX$2)-(INDEX(avoidedcosttbl3,ROUNDDOWN($H8,0),CX$2)))))*ADRYr3!$P8*ADRYr3!$Q8*ADRYr3!$U8)</f>
        <v/>
      </c>
      <c r="CY8" s="28" t="str">
        <f t="shared" si="38"/>
        <v/>
      </c>
      <c r="CZ8" s="32" t="str">
        <f t="shared" si="39"/>
        <v/>
      </c>
      <c r="DA8" s="84" t="str">
        <f t="shared" si="40"/>
        <v/>
      </c>
      <c r="DB8" s="81" t="str">
        <f>IF(NEIadder="Yes",IF($G8="","",INDEX(Lookups!$G$70:$G$71,MATCH($A8,Lookups!$E$70:$E$71,0))*(SUM(CP8:CX8,BX8))),"")</f>
        <v/>
      </c>
      <c r="DC8" s="263" t="str">
        <f t="shared" si="41"/>
        <v/>
      </c>
      <c r="DD8" s="166" t="str">
        <f t="shared" si="42"/>
        <v/>
      </c>
      <c r="DE8" s="82">
        <f t="shared" si="43"/>
        <v>0</v>
      </c>
      <c r="DF8" s="615" t="str">
        <f>IF($G8="","",(1+WntPeakEnergyLL)*(INDEX(avoidedcosttbl3,$H8,DF$2)+(($H8-ROUNDDOWN($H8,0))*(INDEX(avoidedcosttbl3,ROUNDUP($H8,0),DF$2)-(INDEX(avoidedcosttbl3,ROUNDDOWN($H8,0),DF$2)))))*$P8*1000*ADRYr3!Z8)</f>
        <v/>
      </c>
      <c r="DG8" s="615" t="str">
        <f>IF($G8="","",(1+WntOffPeakEnergyLL)*(INDEX(avoidedcosttbl3,$H8,DG$2)+(($H8-ROUNDDOWN($H8,0))*(INDEX(avoidedcosttbl3,ROUNDUP($H8,0),DG$2)-(INDEX(avoidedcosttbl3,ROUNDDOWN($H8,0),DG$2)))))*$P8*1000*ADRYr3!AA8)</f>
        <v/>
      </c>
      <c r="DH8" s="615" t="str">
        <f>IF($G8="","",(1+SumPeakEnergyLL)*(INDEX(avoidedcosttbl3,$H8,DH$2)+(($H8-ROUNDDOWN($H8,0))*(INDEX(avoidedcosttbl3,ROUNDUP($H8,0),DH$2)-(INDEX(avoidedcosttbl3,ROUNDDOWN($H8,0),DH$2)))))*$P8*1000*ADRYr3!AB8)</f>
        <v/>
      </c>
      <c r="DI8" s="615" t="str">
        <f>IF($G8="","",(1+SumOffPeakEnergyLL)*(INDEX(avoidedcosttbl3,$H8,DI$2)+(($H8-ROUNDDOWN($H8,0))*(INDEX(avoidedcosttbl3,ROUNDUP($H8,0),DI$2)-(INDEX(avoidedcosttbl3,ROUNDDOWN($H8,0),DI$2)))))*$P8*1000*ADRYr3!AC8)</f>
        <v/>
      </c>
      <c r="DJ8" s="29" t="str">
        <f t="shared" si="44"/>
        <v/>
      </c>
      <c r="DK8" s="161" t="str">
        <f t="shared" si="45"/>
        <v/>
      </c>
      <c r="DL8" s="1189" t="str">
        <f t="shared" si="46"/>
        <v/>
      </c>
      <c r="DM8" s="1189" t="str">
        <f t="shared" si="47"/>
        <v/>
      </c>
      <c r="DN8" s="43" t="str">
        <f t="shared" si="48"/>
        <v/>
      </c>
      <c r="DO8" s="966" t="str">
        <f>IF($G8="","",ADRYr3!AQ8)</f>
        <v/>
      </c>
      <c r="DP8" s="968" t="str">
        <f>IF($G8="","",ADRYr3!AR8)</f>
        <v/>
      </c>
      <c r="DQ8" s="970" t="str">
        <f>IF($G8="","",IF($DP8="Yes",COLUMN(AESC!$L$10),IF($DP8="No","Using AvoidedDemand tab",IF($DP8="Mixed",COLUMN(AESC!$N$10)))))</f>
        <v/>
      </c>
      <c r="DR8" s="970" t="str">
        <f>IF($G8="","",IF($DP8="Yes",COLUMN(AESC!$P$10),IF($DP8="No","Using AvoidedDemand tab",IF($DP8="Mixed",COLUMN(AESC!$R$10)))))</f>
        <v/>
      </c>
      <c r="DS8" s="970" t="str">
        <f>IF($G8="","",IF($DP8="Yes",COLUMN(AESC!$S$10),IF($DP8="No",COLUMN(AESC!$T$10),IF($DP8="Mixed",COLUMN(AESC!$U$10)))))</f>
        <v/>
      </c>
      <c r="DT8" s="970" t="str">
        <f t="shared" si="49"/>
        <v/>
      </c>
      <c r="DU8" s="970" t="str">
        <f>IF($G8="","",ADRYr3!AS8)</f>
        <v/>
      </c>
      <c r="DV8" s="971" t="str">
        <f>IF($G8="","",ADRYr3!AT8)</f>
        <v/>
      </c>
      <c r="DW8" s="1162" t="str">
        <f>IF($G8="","",INDEX(AvoidedEnergy!$H$4:$H$10,MATCH($DO8,AvoidedEnergy!$A$4:$A$10,0)))</f>
        <v/>
      </c>
    </row>
    <row r="9" spans="1:127">
      <c r="A9" s="160" t="str">
        <f>IF(ADRYr3!$B9=0,"",ADRYr3!A9)</f>
        <v>A - Residential</v>
      </c>
      <c r="B9" s="9" t="str">
        <f>IF(ADRYr3!$B9=0,"",ADRYr3!B9)</f>
        <v>A5 - Residential Active Demand Response</v>
      </c>
      <c r="C9" s="9" t="str">
        <f>IF(ADRYr3!$B9=0,"",ADRYr3!C9)</f>
        <v>A5a - Residential Active Demand Response</v>
      </c>
      <c r="D9" s="9" t="str">
        <f>IF(ADRYr3!$B9=0,"",ADRYr3!D9)</f>
        <v>Storage Daily Dispatch Upfront Incentive (savings) Winter</v>
      </c>
      <c r="E9" s="9">
        <f>IF(ADRYr3!$B9=0,"",ADRYr3!E9)</f>
        <v>0</v>
      </c>
      <c r="F9" s="11" t="str">
        <f>IF(ADRYr3!$B9=0,"",ADRYr3!F9)</f>
        <v>Behavior</v>
      </c>
      <c r="G9" s="12" t="str">
        <f>IF(ADRYr3!$G9&lt;&gt;0,ADRYr3!G9,"")</f>
        <v/>
      </c>
      <c r="H9" s="960" t="str">
        <f>IF($G9="","",ROUND(ADRYr3!H9,0))</f>
        <v/>
      </c>
      <c r="I9" s="47" t="str">
        <f>IF($G9="","",ADRYr3!I9*ADRYr3!P9*G9)</f>
        <v/>
      </c>
      <c r="J9" s="47" t="str">
        <f>IF($G9="","",ADRYr3!J9*G9)</f>
        <v/>
      </c>
      <c r="K9" s="47" t="str">
        <f t="shared" si="12"/>
        <v/>
      </c>
      <c r="L9" s="27" t="str">
        <f>IF($G9="","",ADRYr3!V9*G9/1000)</f>
        <v/>
      </c>
      <c r="M9" s="27" t="str">
        <f>IF($G9="","",L9*ADRYr3!$Q9*ADRYr3!$R9)</f>
        <v/>
      </c>
      <c r="N9" s="27" t="str">
        <f t="shared" si="13"/>
        <v/>
      </c>
      <c r="O9" s="27" t="str">
        <f t="shared" si="14"/>
        <v/>
      </c>
      <c r="P9" s="27" t="str">
        <f>IF($G9="","",M9*ADRYr3!P9)</f>
        <v/>
      </c>
      <c r="Q9" s="27" t="str">
        <f t="shared" si="15"/>
        <v/>
      </c>
      <c r="R9" s="27" t="str">
        <f>IF($G9="","",$Q9*ADRYr3!Z9)</f>
        <v/>
      </c>
      <c r="S9" s="27" t="str">
        <f>IF($G9="","",$Q9*ADRYr3!AA9)</f>
        <v/>
      </c>
      <c r="T9" s="27" t="str">
        <f>IF($G9="","",$Q9*ADRYr3!AB9)</f>
        <v/>
      </c>
      <c r="U9" s="27" t="str">
        <f>IF($G9="","",$Q9*ADRYr3!AC9)</f>
        <v/>
      </c>
      <c r="V9" s="27" t="str">
        <f>IF($G9="","",G9*ADRYr3!$AD9*ADRYr3!$P9*ADRYr3!$Q9)</f>
        <v/>
      </c>
      <c r="W9" s="27" t="str">
        <f>IF($G9="","",$G9*ADRYr3!$AD9*ADRYr3!$AF9*ADRYr3!Q9*ADRYr3!$S9)</f>
        <v/>
      </c>
      <c r="X9" s="27" t="str">
        <f>IF($G9="","",$G9*ADRYr3!$AD9*ADRYr3!$AF9*ADRYr3!P9*ADRYr3!Q9*ADRYr3!$S9)</f>
        <v/>
      </c>
      <c r="Y9" s="27" t="str">
        <f>IF($G9="","",$G9*ADRYr3!$AD9*ADRYr3!$AE9*ADRYr3!Q9*ADRYr3!$T9)</f>
        <v/>
      </c>
      <c r="Z9" s="27" t="str">
        <f>IF($G9="","",$G9*ADRYr3!$AD9*ADRYr3!$AE9*ADRYr3!P9*ADRYr3!Q9*ADRYr3!$T9)</f>
        <v/>
      </c>
      <c r="AA9" s="45" t="str">
        <f>IF($G9="","",$G9*ADRYr3!$Q9*ADRYr3!$U9*(IF(IFERROR(SEARCH("NG", ADRYr3!$AI9),0),ADRYr3!$AJ9,0)+IF(IFERROR(SEARCH("NG", ADRYr3!$AK9),0),ADRYr3!$AL9,0)+IF(IFERROR(SEARCH("NG", ADRYr3!$AM9),0),ADRYr3!$AN9,0)))</f>
        <v/>
      </c>
      <c r="AB9" s="45" t="str">
        <f t="shared" si="16"/>
        <v/>
      </c>
      <c r="AC9" s="45">
        <f>IF($G9="",0,AA9*ADRYr3!$P9)</f>
        <v>0</v>
      </c>
      <c r="AD9" s="45" t="str">
        <f t="shared" si="17"/>
        <v/>
      </c>
      <c r="AE9" s="45" t="str">
        <f>IF($G9="","",$G9*ADRYr3!$Q9*ADRYr3!$U9*(IF(IFERROR(SEARCH("Oil", ADRYr3!$AI9), 0),ADRYr3!$AJ9,0)+IF(IFERROR(SEARCH("Oil", ADRYr3!$AK9), 0),ADRYr3!$AL9,0)+IF(IFERROR(SEARCH("Oil", ADRYr3!$AM9), 0),ADRYr3!$AN9,0)))</f>
        <v/>
      </c>
      <c r="AF9" s="45" t="str">
        <f t="shared" si="18"/>
        <v/>
      </c>
      <c r="AG9" s="45">
        <f>IF($G9="",0,AE9*ADRYr3!$P9)</f>
        <v>0</v>
      </c>
      <c r="AH9" s="45" t="str">
        <f t="shared" si="19"/>
        <v/>
      </c>
      <c r="AI9" s="45" t="str">
        <f>IF($G9="","",$G9*ADRYr3!$Q9*ADRYr3!$U9*(IF(ADRYr3!$AI9=Lookups!$E$116,ADRYr3!$AJ9,IF(ADRYr3!$AK9=Lookups!$E$116,ADRYr3!$AL9,IF(ADRYr3!$AM9=Lookups!$E$116,ADRYr3!$AN9,0)))))</f>
        <v/>
      </c>
      <c r="AJ9" s="45" t="str">
        <f t="shared" si="20"/>
        <v/>
      </c>
      <c r="AK9" s="45">
        <f>IF($G9="",0,AI9*ADRYr3!$P9)</f>
        <v>0</v>
      </c>
      <c r="AL9" s="45" t="str">
        <f t="shared" si="21"/>
        <v/>
      </c>
      <c r="AM9" s="45" t="str">
        <f>IF($G9="","",$G9*ADRYr3!$Q9*ADRYr3!$U9*(IF(ADRYr3!$AI9=Lookups!$E$115,ADRYr3!$AJ9,IF(ADRYr3!$AK9=Lookups!$E$115,ADRYr3!$AL9,IF(ADRYr3!$AM9=Lookups!$E$115,ADRYr3!$AN9,0)))))</f>
        <v/>
      </c>
      <c r="AN9" s="45" t="str">
        <f t="shared" si="22"/>
        <v/>
      </c>
      <c r="AO9" s="45">
        <f>IF($G9="",0,AM9*ADRYr3!$P9)</f>
        <v>0</v>
      </c>
      <c r="AP9" s="45" t="str">
        <f t="shared" si="23"/>
        <v/>
      </c>
      <c r="AQ9" s="45" t="str">
        <f>IF($G9="","",$G9*ADRYr3!$Q9*ADRYr3!$U9*(IF(ADRYr3!$AI9=Lookups!$E$117,ADRYr3!$AJ9,IF(ADRYr3!$AK9=Lookups!$E$117,ADRYr3!$AL9,IF(ADRYr3!$AM9=Lookups!$E$117,ADRYr3!$AN9,0)))))</f>
        <v/>
      </c>
      <c r="AR9" s="45" t="str">
        <f t="shared" si="24"/>
        <v/>
      </c>
      <c r="AS9" s="45" t="str">
        <f>IF($G9="","",AQ9*ADRYr3!$P9)</f>
        <v/>
      </c>
      <c r="AT9" s="45" t="str">
        <f t="shared" si="25"/>
        <v/>
      </c>
      <c r="AU9" s="45" t="str">
        <f>IF($G9="","",$G9*ADRYr3!$Q9*ADRYr3!$U9*(IF(ADRYr3!$AI9=Lookups!$E$118,ADRYr3!$AJ9,IF(ADRYr3!$AK9=Lookups!$E$118,ADRYr3!$AL9,IF(ADRYr3!$AM9=Lookups!$E$118,ADRYr3!$AN9,0)))))</f>
        <v/>
      </c>
      <c r="AV9" s="45" t="str">
        <f t="shared" si="26"/>
        <v/>
      </c>
      <c r="AW9" s="45" t="str">
        <f>IF($G9="","",AU9*ADRYr3!$P9)</f>
        <v/>
      </c>
      <c r="AX9" s="45" t="str">
        <f t="shared" si="27"/>
        <v/>
      </c>
      <c r="AY9" s="45">
        <f t="shared" si="28"/>
        <v>0</v>
      </c>
      <c r="AZ9" s="45">
        <f t="shared" si="29"/>
        <v>0</v>
      </c>
      <c r="BA9" s="101" t="str">
        <f>IF($G9="","",$G9*ADRYr3!$P9*ADRYr3!$Q9*ADRYr3!$U9*ADRYr3!AO9)</f>
        <v/>
      </c>
      <c r="BB9" s="102" t="str">
        <f>IF($G9="","",$G9*ADRYr3!$P9*ADRYr3!$Q9*ADRYr3!$U9*ADRYr3!AP9)</f>
        <v/>
      </c>
      <c r="BC9" s="100" t="str">
        <f t="shared" si="30"/>
        <v/>
      </c>
      <c r="BD9" s="961"/>
      <c r="BE9" s="961"/>
      <c r="BF9" s="961"/>
      <c r="BG9" s="961"/>
      <c r="BH9" s="962" t="str">
        <f t="shared" si="3"/>
        <v/>
      </c>
      <c r="BI9" s="961"/>
      <c r="BJ9" s="961"/>
      <c r="BK9" s="961"/>
      <c r="BL9" s="961"/>
      <c r="BM9" s="30" t="str">
        <f t="shared" si="4"/>
        <v/>
      </c>
      <c r="BN9" s="963" t="str">
        <f t="shared" si="31"/>
        <v/>
      </c>
      <c r="BO9" s="31" t="str">
        <f t="shared" si="32"/>
        <v/>
      </c>
      <c r="BP9" s="964" t="str">
        <f t="shared" si="5"/>
        <v/>
      </c>
      <c r="BQ9" s="28" t="str">
        <f t="shared" si="6"/>
        <v/>
      </c>
      <c r="BR9" s="964" t="str">
        <f t="shared" si="7"/>
        <v/>
      </c>
      <c r="BS9" s="964" t="str">
        <f t="shared" si="8"/>
        <v/>
      </c>
      <c r="BT9" s="28" t="str">
        <f t="shared" si="9"/>
        <v/>
      </c>
      <c r="BU9" s="28" t="str">
        <f t="shared" si="9"/>
        <v/>
      </c>
      <c r="BV9" s="28" t="str">
        <f t="shared" si="9"/>
        <v/>
      </c>
      <c r="BW9" s="29" t="str">
        <f t="shared" si="33"/>
        <v/>
      </c>
      <c r="BX9" s="29" t="str">
        <f t="shared" si="34"/>
        <v/>
      </c>
      <c r="BY9" s="28" t="str">
        <f>IF($G9="","",$G9*(IF(ADRYr3!$AI9=BY$4,ADRYr3!$AJ9,IF(ADRYr3!$AK9=BY$4,ADRYr3!$AL9,IF(ADRYr3!$AM9=BY$4,ADRYr3!$AN9,0))))*(INDEX(avoidedcosttbl3,$H9,BY$2)+(($H9-ROUNDDOWN($H9,0))*(INDEX(avoidedcosttbl3,ROUNDUP($H9,0),BY$2)-(INDEX(avoidedcosttbl3,ROUNDDOWN($H9,0),BY$2)))))*ADRYr3!P9*ADRYr3!Q9*ADRYr3!U9)</f>
        <v/>
      </c>
      <c r="BZ9" s="28" t="str">
        <f>IF($G9="","",$G9*(IF(ADRYr3!$AI9=BZ$4,ADRYr3!$AJ9,IF(ADRYr3!$AK9=BZ$4,ADRYr3!$AL9,IF(ADRYr3!$AM9=BZ$4,ADRYr3!$AN9,0))))*(INDEX(avoidedcosttbl3,$H9,BZ$2)+(($H9-ROUNDDOWN($H9,0))*(INDEX(avoidedcosttbl3,ROUNDUP($H9,0),BZ$2)-(INDEX(avoidedcosttbl3,ROUNDDOWN($H9,0),BZ$2)))))*ADRYr3!P9*ADRYr3!Q9*ADRYr3!U9)</f>
        <v/>
      </c>
      <c r="CA9" s="28" t="str">
        <f>IF($G9="","",$G9*(IF(ADRYr3!$AI9=CA$4,ADRYr3!$AJ9,IF(ADRYr3!$AK9=CA$4,ADRYr3!$AL9,IF(ADRYr3!$AM9=CA$4,ADRYr3!$AN9,0))))*(INDEX(avoidedcosttbl3,$H9,CA$2)+(($H9-ROUNDDOWN($H9,0))*(INDEX(avoidedcosttbl3,ROUNDUP($H9,0),CA$2)-(INDEX(avoidedcosttbl3,ROUNDDOWN($H9,0),CA$2)))))*ADRYr3!P9*ADRYr3!Q9*ADRYr3!U9)</f>
        <v/>
      </c>
      <c r="CB9" s="28" t="str">
        <f>IF($G9="","",$G9*(IF(ADRYr3!$AI9=CB$4,ADRYr3!$AJ9,IF(ADRYr3!$AK9=CB$4,ADRYr3!$AL9,IF(ADRYr3!$AM9=CB$4,ADRYr3!$AN9,0))))*(INDEX(avoidedcosttbl3,$H9,CB$2)+(($H9-ROUNDDOWN($H9,0))*(INDEX(avoidedcosttbl3,ROUNDUP($H9,0),CB$2)-(INDEX(avoidedcosttbl3,ROUNDDOWN($H9,0),CB$2)))))*ADRYr3!P9*ADRYr3!Q9*ADRYr3!U9)</f>
        <v/>
      </c>
      <c r="CC9" s="28" t="str">
        <f>IF($G9="","",$G9*(IF(ADRYr3!$AI9=CC$4,ADRYr3!$AJ9,IF(ADRYr3!$AK9=CC$4,ADRYr3!$AL9,IF(ADRYr3!$AM9=CC$4,ADRYr3!$AN9,0))))*(INDEX(avoidedcosttbl3,$H9,CC$2)+(($H9-ROUNDDOWN($H9,0))*(INDEX(avoidedcosttbl3,ROUNDUP($H9,0),CC$2)-(INDEX(avoidedcosttbl3,ROUNDDOWN($H9,0),CC$2)))))*ADRYr3!P9*ADRYr3!Q9*ADRYr3!U9)</f>
        <v/>
      </c>
      <c r="CD9" s="28" t="str">
        <f>IF($G9="","",$G9*(IF(ADRYr3!$AI9=CD$4,ADRYr3!$AJ9,IF(ADRYr3!$AK9=CD$4,ADRYr3!$AL9,IF(ADRYr3!$AM9=CD$4,ADRYr3!$AN9,0))))*(INDEX(avoidedcosttbl3,$H9,CD$2)+(($H9-ROUNDDOWN($H9,0))*(INDEX(avoidedcosttbl3,ROUNDUP($H9,0),CD$2)-(INDEX(avoidedcosttbl3,ROUNDDOWN($H9,0),CD$2)))))*ADRYr3!P9*ADRYr3!Q9*ADRYr3!U9)</f>
        <v/>
      </c>
      <c r="CE9" s="28" t="str">
        <f>IF($G9="","",$G9*(IF(ADRYr3!$AI9=CE$4,ADRYr3!$AJ9,IF(ADRYr3!$AK9=CE$4,ADRYr3!$AL9,IF(ADRYr3!$AM9=CE$4,ADRYr3!$AN9,0))))*(INDEX(avoidedcosttbl3,$H9,CE$2)+(($H9-ROUNDDOWN($H9,0))*(INDEX(avoidedcosttbl3,ROUNDUP($H9,0),CE$2)-(INDEX(avoidedcosttbl3,ROUNDDOWN($H9,0),CE$2)))))*ADRYr3!P9*ADRYr3!Q9*ADRYr3!U9)</f>
        <v/>
      </c>
      <c r="CF9" s="41" t="str">
        <f t="shared" si="35"/>
        <v/>
      </c>
      <c r="CG9" s="30" t="str">
        <f t="shared" si="10"/>
        <v/>
      </c>
      <c r="CH9" s="30" t="str">
        <f>IF($G9="","",$G9*(IF(ADRYr3!$AI9=BY$4,ADRYr3!$AJ9,IF(ADRYr3!$AK9=BY$4,ADRYr3!$AL9,IF(ADRYr3!$AM9=BY$4,ADRYr3!$AN9,0))))*(INDEX(avoidedcosttbl3,$H9,CH$2)+(($H9-ROUNDDOWN($H9,0))*(INDEX(avoidedcosttbl3,ROUNDUP($H9,0),CH$2)-(INDEX(avoidedcosttbl3,ROUNDDOWN($H9,0),CH$2)))))*ADRYr3!P9*ADRYr3!Q9*ADRYr3!U9)</f>
        <v/>
      </c>
      <c r="CI9" s="30" t="str">
        <f>IF($G9="","",$G9*(IF(ADRYr3!$AI9=BZ$4,ADRYr3!$AJ9,IF(ADRYr3!$AK9=BZ$4,ADRYr3!$AL9,IF(ADRYr3!$AM9=BZ$4,ADRYr3!$AN9,0))))*(INDEX(avoidedcosttbl3,$H9,CI$2)+(($H9-ROUNDDOWN($H9,0))*(INDEX(avoidedcosttbl3,ROUNDUP($H9,0),CI$2)-(INDEX(avoidedcosttbl3,ROUNDDOWN($H9,0),CI$2)))))*ADRYr3!P9*ADRYr3!Q9*ADRYr3!U9)</f>
        <v/>
      </c>
      <c r="CJ9" s="30" t="str">
        <f>IF($G9="","",$G9*(IF(ADRYr3!$AI9=CA$4,ADRYr3!$AJ9,IF(ADRYr3!$AK9=CA$4,ADRYr3!$AL9,IF(ADRYr3!$AM9=CA$4,ADRYr3!$AN9,0))))*(INDEX(avoidedcosttbl3,$H9,CJ$2)+(($H9-ROUNDDOWN($H9,0))*(INDEX(avoidedcosttbl3,ROUNDUP($H9,0),CJ$2)-(INDEX(avoidedcosttbl3,ROUNDDOWN($H9,0),CJ$2)))))*ADRYr3!P9*ADRYr3!Q9*ADRYr3!U9)</f>
        <v/>
      </c>
      <c r="CK9" s="30" t="str">
        <f>IF($G9="","",$G9*(IF(ADRYr3!$AI9=CB$4,ADRYr3!$AJ9,IF(ADRYr3!$AK9=CB$4,ADRYr3!$AL9,IF(ADRYr3!$AM9=CB$4,ADRYr3!$AN9,0))))*(INDEX(avoidedcosttbl3,$H9,CK$2)+(($H9-ROUNDDOWN($H9,0))*(INDEX(avoidedcosttbl3,ROUNDUP($H9,0),CK$2)-(INDEX(avoidedcosttbl3,ROUNDDOWN($H9,0),CK$2)))))*ADRYr3!P9*ADRYr3!Q9*ADRYr3!U9)</f>
        <v/>
      </c>
      <c r="CL9" s="30" t="str">
        <f>IF($G9="","",$G9*(IF(ADRYr3!$AI9=CC$4,ADRYr3!$AJ9,IF(ADRYr3!$AK9=CC$4,ADRYr3!$AL9,IF(ADRYr3!$AM9=CC$4,ADRYr3!$AN9,0))))*(INDEX(avoidedcosttbl3,$H9,CL$2)+(($H9-ROUNDDOWN($H9,0))*(INDEX(avoidedcosttbl3,ROUNDUP($H9,0),CL$2)-(INDEX(avoidedcosttbl3,ROUNDDOWN($H9,0),CL$2)))))*ADRYr3!P9*ADRYr3!Q9*ADRYr3!U9)</f>
        <v/>
      </c>
      <c r="CM9" s="30" t="str">
        <f>IF($G9="","",$G9*(IF(ADRYr3!$AI9=CD$4,ADRYr3!$AJ9,IF(ADRYr3!$AK9=CD$4,ADRYr3!$AL9,IF(ADRYr3!$AM9=CD$4,ADRYr3!$AN9,0))))*(INDEX(avoidedcosttbl3,$H9,CM$2)+(($H9-ROUNDDOWN($H9,0))*(INDEX(avoidedcosttbl3,ROUNDUP($H9,0),CM$2)-(INDEX(avoidedcosttbl3,ROUNDDOWN($H9,0),CM$2)))))*ADRYr3!P9*ADRYr3!Q9*ADRYr3!U9)</f>
        <v/>
      </c>
      <c r="CN9" s="30" t="str">
        <f>IF($G9="","",$G9*(IF(ADRYr3!$AI9=CE$4,ADRYr3!$AJ9,IF(ADRYr3!$AK9=CE$4,ADRYr3!$AL9,IF(ADRYr3!$AM9=CE$4,ADRYr3!$AN9,0))))*(INDEX(avoidedcosttbl3,$H9,CN$2)+(($H9-ROUNDDOWN($H9,0))*(INDEX(avoidedcosttbl3,ROUNDUP($H9,0),CN$2)-(INDEX(avoidedcosttbl3,ROUNDDOWN($H9,0),CN$2)))))*ADRYr3!P9*ADRYr3!Q9*ADRYr3!U9)</f>
        <v/>
      </c>
      <c r="CO9" s="220" t="str">
        <f t="shared" si="36"/>
        <v/>
      </c>
      <c r="CP9" s="220" t="str">
        <f t="shared" si="37"/>
        <v/>
      </c>
      <c r="CQ9" s="157" t="str">
        <f>IF($G9="","",$G9*(IF(ADRYr3!$AI9=CQ$4,ADRYr3!$AJ9,IF(ADRYr3!$AK9=CQ$4,ADRYr3!$AL9,IF(ADRYr3!$AM9=CQ$4,ADRYr3!$AN9,0))))*(INDEX(avoidedcosttbl3,$H9,CQ$2)+(($H9-ROUNDDOWN($H9,0))*(INDEX(avoidedcosttbl3,ROUNDUP($H9,0),CQ$2)-(INDEX(avoidedcosttbl3,ROUNDDOWN($H9,0),CQ$2)))))*ADRYr3!$P9*ADRYr3!$Q9*ADRYr3!$U9)</f>
        <v/>
      </c>
      <c r="CR9" s="28" t="str">
        <f>IF($G9="","",G9*(IF(ADRYr3!$AI9=CR$4,ADRYr3!$AJ9,IF(ADRYr3!$AK9=CR$4,ADRYr3!$AL9,IF(ADRYr3!$AM9=CR$4,ADRYr3!$AN9,0))))*(INDEX(avoidedcosttbl3,$H9,CR$2)+(($H9-ROUNDDOWN($H9,0))*(INDEX(avoidedcosttbl3,ROUNDUP($H9,0),CR$2)-(INDEX(avoidedcosttbl3,ROUNDDOWN($H9,0),CR$2)))))*ADRYr3!$P9*ADRYr3!$Q9*ADRYr3!$U9)</f>
        <v/>
      </c>
      <c r="CS9" s="28" t="str">
        <f>IF($G9="","",G9*(IF(ADRYr3!$AI9=CS$4,ADRYr3!$AJ9,IF(ADRYr3!$AK9=CS$4,ADRYr3!$AL9,IF(ADRYr3!$AM9=CS$4,ADRYr3!$AN9,0))))*(INDEX(avoidedcosttbl3,$H9,CS$2)+(($H9-ROUNDDOWN($H9,0))*(INDEX(avoidedcosttbl3,ROUNDUP($H9,0),CS$2)-(INDEX(avoidedcosttbl3,ROUNDDOWN($H9,0),CS$2)))))*ADRYr3!$P9*ADRYr3!$Q9*ADRYr3!$U9)</f>
        <v/>
      </c>
      <c r="CT9" s="28" t="str">
        <f t="shared" si="11"/>
        <v/>
      </c>
      <c r="CU9" s="28" t="str">
        <f>IF($G9="","",G9*(IF(ADRYr3!$AI9=CU$4,ADRYr3!$AJ9,IF(ADRYr3!$AK9=CU$4,ADRYr3!$AL9,IF(ADRYr3!$AM9=CU$4,ADRYr3!$AN9,0))))*(INDEX(avoidedcosttbl3,$H9,CU$2)+(($H9-ROUNDDOWN($H9,0))*(INDEX(avoidedcosttbl3,ROUNDUP($H9,0),CU$2)-(INDEX(avoidedcosttbl3,ROUNDDOWN($H9,0),CU$2)))))*ADRYr3!$P9*ADRYr3!$Q9*ADRYr3!$U9)</f>
        <v/>
      </c>
      <c r="CV9" s="28" t="str">
        <f>IF($G9="","",G9*(IF(ADRYr3!$AI9=CV$4,ADRYr3!$AJ9,IF(ADRYr3!$AK9=CV$4,ADRYr3!$AL9,IF(ADRYr3!$AM9=CV$4,ADRYr3!$AN9,0))))*(INDEX(avoidedcosttbl3,$H9,CV$2)+(($H9-ROUNDDOWN($H9,0))*(INDEX(avoidedcosttbl3,ROUNDUP($H9,0),CV$2)-(INDEX(avoidedcosttbl3,ROUNDDOWN($H9,0),CV$2)))))*ADRYr3!$P9*ADRYr3!$Q9*ADRYr3!$U9)</f>
        <v/>
      </c>
      <c r="CW9" s="28" t="str">
        <f>IF($G9="","",G9*(IF(ADRYr3!$AI9=CW$4,ADRYr3!$AJ9,IF(ADRYr3!$AK9=CW$4,ADRYr3!$AL9,IF(ADRYr3!$AM9=CW$4,ADRYr3!$AN9,0))))*(INDEX(avoidedcosttbl3,$H9,CW$2)+(($H9-ROUNDDOWN($H9,0))*(INDEX(avoidedcosttbl3,ROUNDUP($H9,0),CW$2)-(INDEX(avoidedcosttbl3,ROUNDDOWN($H9,0),CW$2)))))*ADRYr3!$P9*ADRYr3!$Q9*ADRYr3!$U9)</f>
        <v/>
      </c>
      <c r="CX9" s="28" t="str">
        <f>IF($G9="","",G9*(IF(ADRYr3!$AI9=CX$4,ADRYr3!$AJ9,IF(ADRYr3!$AK9=CX$4,ADRYr3!$AL9,IF(ADRYr3!$AM9=CX$4,ADRYr3!$AN9,0))))*(INDEX(avoidedcosttbl3,$H9,CX$2)+(($H9-ROUNDDOWN($H9,0))*(INDEX(avoidedcosttbl3,ROUNDUP($H9,0),CX$2)-(INDEX(avoidedcosttbl3,ROUNDDOWN($H9,0),CX$2)))))*ADRYr3!$P9*ADRYr3!$Q9*ADRYr3!$U9)</f>
        <v/>
      </c>
      <c r="CY9" s="28" t="str">
        <f t="shared" si="38"/>
        <v/>
      </c>
      <c r="CZ9" s="32" t="str">
        <f t="shared" si="39"/>
        <v/>
      </c>
      <c r="DA9" s="84" t="str">
        <f t="shared" si="40"/>
        <v/>
      </c>
      <c r="DB9" s="81" t="str">
        <f>IF(NEIadder="Yes",IF($G9="","",INDEX(Lookups!$G$70:$G$71,MATCH($A9,Lookups!$E$70:$E$71,0))*(SUM(CP9:CX9,BX9))),"")</f>
        <v/>
      </c>
      <c r="DC9" s="263" t="str">
        <f t="shared" si="41"/>
        <v/>
      </c>
      <c r="DD9" s="166" t="str">
        <f t="shared" si="42"/>
        <v/>
      </c>
      <c r="DE9" s="82">
        <f t="shared" si="43"/>
        <v>0</v>
      </c>
      <c r="DF9" s="615" t="str">
        <f>IF($G9="","",(1+WntPeakEnergyLL)*(INDEX(avoidedcosttbl3,$H9,DF$2)+(($H9-ROUNDDOWN($H9,0))*(INDEX(avoidedcosttbl3,ROUNDUP($H9,0),DF$2)-(INDEX(avoidedcosttbl3,ROUNDDOWN($H9,0),DF$2)))))*$P9*1000*ADRYr3!Z9)</f>
        <v/>
      </c>
      <c r="DG9" s="615" t="str">
        <f>IF($G9="","",(1+WntOffPeakEnergyLL)*(INDEX(avoidedcosttbl3,$H9,DG$2)+(($H9-ROUNDDOWN($H9,0))*(INDEX(avoidedcosttbl3,ROUNDUP($H9,0),DG$2)-(INDEX(avoidedcosttbl3,ROUNDDOWN($H9,0),DG$2)))))*$P9*1000*ADRYr3!AA9)</f>
        <v/>
      </c>
      <c r="DH9" s="615" t="str">
        <f>IF($G9="","",(1+SumPeakEnergyLL)*(INDEX(avoidedcosttbl3,$H9,DH$2)+(($H9-ROUNDDOWN($H9,0))*(INDEX(avoidedcosttbl3,ROUNDUP($H9,0),DH$2)-(INDEX(avoidedcosttbl3,ROUNDDOWN($H9,0),DH$2)))))*$P9*1000*ADRYr3!AB9)</f>
        <v/>
      </c>
      <c r="DI9" s="615" t="str">
        <f>IF($G9="","",(1+SumOffPeakEnergyLL)*(INDEX(avoidedcosttbl3,$H9,DI$2)+(($H9-ROUNDDOWN($H9,0))*(INDEX(avoidedcosttbl3,ROUNDUP($H9,0),DI$2)-(INDEX(avoidedcosttbl3,ROUNDDOWN($H9,0),DI$2)))))*$P9*1000*ADRYr3!AC9)</f>
        <v/>
      </c>
      <c r="DJ9" s="29" t="str">
        <f t="shared" si="44"/>
        <v/>
      </c>
      <c r="DK9" s="161" t="str">
        <f t="shared" si="45"/>
        <v/>
      </c>
      <c r="DL9" s="1189" t="str">
        <f t="shared" si="46"/>
        <v/>
      </c>
      <c r="DM9" s="1189" t="str">
        <f t="shared" si="47"/>
        <v/>
      </c>
      <c r="DN9" s="43" t="str">
        <f t="shared" si="48"/>
        <v/>
      </c>
      <c r="DO9" s="966" t="str">
        <f>IF($G9="","",ADRYr3!AQ9)</f>
        <v/>
      </c>
      <c r="DP9" s="968" t="str">
        <f>IF($G9="","",ADRYr3!AR9)</f>
        <v/>
      </c>
      <c r="DQ9" s="970" t="str">
        <f>IF($G9="","",IF($DP9="Yes",COLUMN(AESC!$L$10),IF($DP9="No","Using AvoidedDemand tab",IF($DP9="Mixed",COLUMN(AESC!$N$10)))))</f>
        <v/>
      </c>
      <c r="DR9" s="970" t="str">
        <f>IF($G9="","",IF($DP9="Yes",COLUMN(AESC!$P$10),IF($DP9="No","Using AvoidedDemand tab",IF($DP9="Mixed",COLUMN(AESC!$R$10)))))</f>
        <v/>
      </c>
      <c r="DS9" s="970" t="str">
        <f>IF($G9="","",IF($DP9="Yes",COLUMN(AESC!$S$10),IF($DP9="No",COLUMN(AESC!$T$10),IF($DP9="Mixed",COLUMN(AESC!$U$10)))))</f>
        <v/>
      </c>
      <c r="DT9" s="970" t="str">
        <f t="shared" si="49"/>
        <v/>
      </c>
      <c r="DU9" s="970" t="str">
        <f>IF($G9="","",ADRYr3!AS9)</f>
        <v/>
      </c>
      <c r="DV9" s="971" t="str">
        <f>IF($G9="","",ADRYr3!AT9)</f>
        <v/>
      </c>
      <c r="DW9" s="1162" t="str">
        <f>IF($G9="","",INDEX(AvoidedEnergy!$H$4:$H$10,MATCH($DO9,AvoidedEnergy!$A$4:$A$10,0)))</f>
        <v/>
      </c>
    </row>
    <row r="10" spans="1:127">
      <c r="A10" s="160" t="str">
        <f>IF(ADRYr3!$B10=0,"",ADRYr3!A10)</f>
        <v>A - Residential</v>
      </c>
      <c r="B10" s="9" t="str">
        <f>IF(ADRYr3!$B10=0,"",ADRYr3!B10)</f>
        <v>A5 - Residential Active Demand Response</v>
      </c>
      <c r="C10" s="9" t="str">
        <f>IF(ADRYr3!$B10=0,"",ADRYr3!C10)</f>
        <v>A5a - Residential Active Demand Response</v>
      </c>
      <c r="D10" s="9" t="str">
        <f>IF(ADRYr3!$B10=0,"",ADRYr3!D10)</f>
        <v>Storage Daily Dispatch Upfront Incentive (consumption) Winter</v>
      </c>
      <c r="E10" s="9">
        <f>IF(ADRYr3!$B10=0,"",ADRYr3!E10)</f>
        <v>0</v>
      </c>
      <c r="F10" s="11" t="str">
        <f>IF(ADRYr3!$B10=0,"",ADRYr3!F10)</f>
        <v>Behavior</v>
      </c>
      <c r="G10" s="12" t="str">
        <f>IF(ADRYr3!$G10&lt;&gt;0,ADRYr3!G10,"")</f>
        <v/>
      </c>
      <c r="H10" s="960" t="str">
        <f>IF($G10="","",ROUND(ADRYr3!H10,0))</f>
        <v/>
      </c>
      <c r="I10" s="47" t="str">
        <f>IF($G10="","",ADRYr3!I10*ADRYr3!P10*G10)</f>
        <v/>
      </c>
      <c r="J10" s="47" t="str">
        <f>IF($G10="","",ADRYr3!J10*G10)</f>
        <v/>
      </c>
      <c r="K10" s="47" t="str">
        <f t="shared" si="12"/>
        <v/>
      </c>
      <c r="L10" s="27" t="str">
        <f>IF($G10="","",ADRYr3!V10*G10/1000)</f>
        <v/>
      </c>
      <c r="M10" s="27" t="str">
        <f>IF($G10="","",L10*ADRYr3!$Q10*ADRYr3!$R10)</f>
        <v/>
      </c>
      <c r="N10" s="27" t="str">
        <f t="shared" si="13"/>
        <v/>
      </c>
      <c r="O10" s="27" t="str">
        <f t="shared" si="14"/>
        <v/>
      </c>
      <c r="P10" s="27" t="str">
        <f>IF($G10="","",M10*ADRYr3!P10)</f>
        <v/>
      </c>
      <c r="Q10" s="27" t="str">
        <f t="shared" si="15"/>
        <v/>
      </c>
      <c r="R10" s="27" t="str">
        <f>IF($G10="","",$Q10*ADRYr3!Z10)</f>
        <v/>
      </c>
      <c r="S10" s="27" t="str">
        <f>IF($G10="","",$Q10*ADRYr3!AA10)</f>
        <v/>
      </c>
      <c r="T10" s="27" t="str">
        <f>IF($G10="","",$Q10*ADRYr3!AB10)</f>
        <v/>
      </c>
      <c r="U10" s="27" t="str">
        <f>IF($G10="","",$Q10*ADRYr3!AC10)</f>
        <v/>
      </c>
      <c r="V10" s="27" t="str">
        <f>IF($G10="","",G10*ADRYr3!$AD10*ADRYr3!$P10*ADRYr3!$Q10)</f>
        <v/>
      </c>
      <c r="W10" s="27" t="str">
        <f>IF($G10="","",$G10*ADRYr3!$AD10*ADRYr3!$AF10*ADRYr3!Q10*ADRYr3!$S10)</f>
        <v/>
      </c>
      <c r="X10" s="27" t="str">
        <f>IF($G10="","",$G10*ADRYr3!$AD10*ADRYr3!$AF10*ADRYr3!P10*ADRYr3!Q10*ADRYr3!$S10)</f>
        <v/>
      </c>
      <c r="Y10" s="27" t="str">
        <f>IF($G10="","",$G10*ADRYr3!$AD10*ADRYr3!$AE10*ADRYr3!Q10*ADRYr3!$T10)</f>
        <v/>
      </c>
      <c r="Z10" s="27" t="str">
        <f>IF($G10="","",$G10*ADRYr3!$AD10*ADRYr3!$AE10*ADRYr3!P10*ADRYr3!Q10*ADRYr3!$T10)</f>
        <v/>
      </c>
      <c r="AA10" s="45" t="str">
        <f>IF($G10="","",$G10*ADRYr3!$Q10*ADRYr3!$U10*(IF(IFERROR(SEARCH("NG", ADRYr3!$AI10),0),ADRYr3!$AJ10,0)+IF(IFERROR(SEARCH("NG", ADRYr3!$AK10),0),ADRYr3!$AL10,0)+IF(IFERROR(SEARCH("NG", ADRYr3!$AM10),0),ADRYr3!$AN10,0)))</f>
        <v/>
      </c>
      <c r="AB10" s="45" t="str">
        <f t="shared" si="16"/>
        <v/>
      </c>
      <c r="AC10" s="45">
        <f>IF($G10="",0,AA10*ADRYr3!$P10)</f>
        <v>0</v>
      </c>
      <c r="AD10" s="45" t="str">
        <f t="shared" si="17"/>
        <v/>
      </c>
      <c r="AE10" s="45" t="str">
        <f>IF($G10="","",$G10*ADRYr3!$Q10*ADRYr3!$U10*(IF(IFERROR(SEARCH("Oil", ADRYr3!$AI10), 0),ADRYr3!$AJ10,0)+IF(IFERROR(SEARCH("Oil", ADRYr3!$AK10), 0),ADRYr3!$AL10,0)+IF(IFERROR(SEARCH("Oil", ADRYr3!$AM10), 0),ADRYr3!$AN10,0)))</f>
        <v/>
      </c>
      <c r="AF10" s="45" t="str">
        <f t="shared" si="18"/>
        <v/>
      </c>
      <c r="AG10" s="45">
        <f>IF($G10="",0,AE10*ADRYr3!$P10)</f>
        <v>0</v>
      </c>
      <c r="AH10" s="45" t="str">
        <f t="shared" si="19"/>
        <v/>
      </c>
      <c r="AI10" s="45" t="str">
        <f>IF($G10="","",$G10*ADRYr3!$Q10*ADRYr3!$U10*(IF(ADRYr3!$AI10=Lookups!$E$116,ADRYr3!$AJ10,IF(ADRYr3!$AK10=Lookups!$E$116,ADRYr3!$AL10,IF(ADRYr3!$AM10=Lookups!$E$116,ADRYr3!$AN10,0)))))</f>
        <v/>
      </c>
      <c r="AJ10" s="45" t="str">
        <f t="shared" si="20"/>
        <v/>
      </c>
      <c r="AK10" s="45">
        <f>IF($G10="",0,AI10*ADRYr3!$P10)</f>
        <v>0</v>
      </c>
      <c r="AL10" s="45" t="str">
        <f t="shared" si="21"/>
        <v/>
      </c>
      <c r="AM10" s="45" t="str">
        <f>IF($G10="","",$G10*ADRYr3!$Q10*ADRYr3!$U10*(IF(ADRYr3!$AI10=Lookups!$E$115,ADRYr3!$AJ10,IF(ADRYr3!$AK10=Lookups!$E$115,ADRYr3!$AL10,IF(ADRYr3!$AM10=Lookups!$E$115,ADRYr3!$AN10,0)))))</f>
        <v/>
      </c>
      <c r="AN10" s="45" t="str">
        <f t="shared" si="22"/>
        <v/>
      </c>
      <c r="AO10" s="45">
        <f>IF($G10="",0,AM10*ADRYr3!$P10)</f>
        <v>0</v>
      </c>
      <c r="AP10" s="45" t="str">
        <f t="shared" si="23"/>
        <v/>
      </c>
      <c r="AQ10" s="45" t="str">
        <f>IF($G10="","",$G10*ADRYr3!$Q10*ADRYr3!$U10*(IF(ADRYr3!$AI10=Lookups!$E$117,ADRYr3!$AJ10,IF(ADRYr3!$AK10=Lookups!$E$117,ADRYr3!$AL10,IF(ADRYr3!$AM10=Lookups!$E$117,ADRYr3!$AN10,0)))))</f>
        <v/>
      </c>
      <c r="AR10" s="45" t="str">
        <f t="shared" si="24"/>
        <v/>
      </c>
      <c r="AS10" s="45" t="str">
        <f>IF($G10="","",AQ10*ADRYr3!$P10)</f>
        <v/>
      </c>
      <c r="AT10" s="45" t="str">
        <f t="shared" si="25"/>
        <v/>
      </c>
      <c r="AU10" s="45" t="str">
        <f>IF($G10="","",$G10*ADRYr3!$Q10*ADRYr3!$U10*(IF(ADRYr3!$AI10=Lookups!$E$118,ADRYr3!$AJ10,IF(ADRYr3!$AK10=Lookups!$E$118,ADRYr3!$AL10,IF(ADRYr3!$AM10=Lookups!$E$118,ADRYr3!$AN10,0)))))</f>
        <v/>
      </c>
      <c r="AV10" s="45" t="str">
        <f t="shared" si="26"/>
        <v/>
      </c>
      <c r="AW10" s="45" t="str">
        <f>IF($G10="","",AU10*ADRYr3!$P10)</f>
        <v/>
      </c>
      <c r="AX10" s="45" t="str">
        <f t="shared" si="27"/>
        <v/>
      </c>
      <c r="AY10" s="45">
        <f t="shared" si="28"/>
        <v>0</v>
      </c>
      <c r="AZ10" s="45">
        <f t="shared" si="29"/>
        <v>0</v>
      </c>
      <c r="BA10" s="101" t="str">
        <f>IF($G10="","",$G10*ADRYr3!$P10*ADRYr3!$Q10*ADRYr3!$U10*ADRYr3!AO10)</f>
        <v/>
      </c>
      <c r="BB10" s="102" t="str">
        <f>IF($G10="","",$G10*ADRYr3!$P10*ADRYr3!$Q10*ADRYr3!$U10*ADRYr3!AP10)</f>
        <v/>
      </c>
      <c r="BC10" s="100" t="str">
        <f t="shared" si="30"/>
        <v/>
      </c>
      <c r="BD10" s="961"/>
      <c r="BE10" s="961"/>
      <c r="BF10" s="961"/>
      <c r="BG10" s="961"/>
      <c r="BH10" s="962" t="str">
        <f t="shared" si="3"/>
        <v/>
      </c>
      <c r="BI10" s="961"/>
      <c r="BJ10" s="961"/>
      <c r="BK10" s="961"/>
      <c r="BL10" s="961"/>
      <c r="BM10" s="30" t="str">
        <f t="shared" si="4"/>
        <v/>
      </c>
      <c r="BN10" s="963" t="str">
        <f t="shared" si="31"/>
        <v/>
      </c>
      <c r="BO10" s="31" t="str">
        <f t="shared" si="32"/>
        <v/>
      </c>
      <c r="BP10" s="964" t="str">
        <f t="shared" si="5"/>
        <v/>
      </c>
      <c r="BQ10" s="28" t="str">
        <f t="shared" si="6"/>
        <v/>
      </c>
      <c r="BR10" s="964" t="str">
        <f t="shared" si="7"/>
        <v/>
      </c>
      <c r="BS10" s="964" t="str">
        <f t="shared" si="8"/>
        <v/>
      </c>
      <c r="BT10" s="28" t="str">
        <f t="shared" si="9"/>
        <v/>
      </c>
      <c r="BU10" s="28" t="str">
        <f t="shared" si="9"/>
        <v/>
      </c>
      <c r="BV10" s="28" t="str">
        <f t="shared" si="9"/>
        <v/>
      </c>
      <c r="BW10" s="29" t="str">
        <f t="shared" si="33"/>
        <v/>
      </c>
      <c r="BX10" s="29" t="str">
        <f t="shared" si="34"/>
        <v/>
      </c>
      <c r="BY10" s="28" t="str">
        <f>IF($G10="","",$G10*(IF(ADRYr3!$AI10=BY$4,ADRYr3!$AJ10,IF(ADRYr3!$AK10=BY$4,ADRYr3!$AL10,IF(ADRYr3!$AM10=BY$4,ADRYr3!$AN10,0))))*(INDEX(avoidedcosttbl3,$H10,BY$2)+(($H10-ROUNDDOWN($H10,0))*(INDEX(avoidedcosttbl3,ROUNDUP($H10,0),BY$2)-(INDEX(avoidedcosttbl3,ROUNDDOWN($H10,0),BY$2)))))*ADRYr3!P10*ADRYr3!Q10*ADRYr3!U10)</f>
        <v/>
      </c>
      <c r="BZ10" s="28" t="str">
        <f>IF($G10="","",$G10*(IF(ADRYr3!$AI10=BZ$4,ADRYr3!$AJ10,IF(ADRYr3!$AK10=BZ$4,ADRYr3!$AL10,IF(ADRYr3!$AM10=BZ$4,ADRYr3!$AN10,0))))*(INDEX(avoidedcosttbl3,$H10,BZ$2)+(($H10-ROUNDDOWN($H10,0))*(INDEX(avoidedcosttbl3,ROUNDUP($H10,0),BZ$2)-(INDEX(avoidedcosttbl3,ROUNDDOWN($H10,0),BZ$2)))))*ADRYr3!P10*ADRYr3!Q10*ADRYr3!U10)</f>
        <v/>
      </c>
      <c r="CA10" s="28" t="str">
        <f>IF($G10="","",$G10*(IF(ADRYr3!$AI10=CA$4,ADRYr3!$AJ10,IF(ADRYr3!$AK10=CA$4,ADRYr3!$AL10,IF(ADRYr3!$AM10=CA$4,ADRYr3!$AN10,0))))*(INDEX(avoidedcosttbl3,$H10,CA$2)+(($H10-ROUNDDOWN($H10,0))*(INDEX(avoidedcosttbl3,ROUNDUP($H10,0),CA$2)-(INDEX(avoidedcosttbl3,ROUNDDOWN($H10,0),CA$2)))))*ADRYr3!P10*ADRYr3!Q10*ADRYr3!U10)</f>
        <v/>
      </c>
      <c r="CB10" s="28" t="str">
        <f>IF($G10="","",$G10*(IF(ADRYr3!$AI10=CB$4,ADRYr3!$AJ10,IF(ADRYr3!$AK10=CB$4,ADRYr3!$AL10,IF(ADRYr3!$AM10=CB$4,ADRYr3!$AN10,0))))*(INDEX(avoidedcosttbl3,$H10,CB$2)+(($H10-ROUNDDOWN($H10,0))*(INDEX(avoidedcosttbl3,ROUNDUP($H10,0),CB$2)-(INDEX(avoidedcosttbl3,ROUNDDOWN($H10,0),CB$2)))))*ADRYr3!P10*ADRYr3!Q10*ADRYr3!U10)</f>
        <v/>
      </c>
      <c r="CC10" s="28" t="str">
        <f>IF($G10="","",$G10*(IF(ADRYr3!$AI10=CC$4,ADRYr3!$AJ10,IF(ADRYr3!$AK10=CC$4,ADRYr3!$AL10,IF(ADRYr3!$AM10=CC$4,ADRYr3!$AN10,0))))*(INDEX(avoidedcosttbl3,$H10,CC$2)+(($H10-ROUNDDOWN($H10,0))*(INDEX(avoidedcosttbl3,ROUNDUP($H10,0),CC$2)-(INDEX(avoidedcosttbl3,ROUNDDOWN($H10,0),CC$2)))))*ADRYr3!P10*ADRYr3!Q10*ADRYr3!U10)</f>
        <v/>
      </c>
      <c r="CD10" s="28" t="str">
        <f>IF($G10="","",$G10*(IF(ADRYr3!$AI10=CD$4,ADRYr3!$AJ10,IF(ADRYr3!$AK10=CD$4,ADRYr3!$AL10,IF(ADRYr3!$AM10=CD$4,ADRYr3!$AN10,0))))*(INDEX(avoidedcosttbl3,$H10,CD$2)+(($H10-ROUNDDOWN($H10,0))*(INDEX(avoidedcosttbl3,ROUNDUP($H10,0),CD$2)-(INDEX(avoidedcosttbl3,ROUNDDOWN($H10,0),CD$2)))))*ADRYr3!P10*ADRYr3!Q10*ADRYr3!U10)</f>
        <v/>
      </c>
      <c r="CE10" s="28" t="str">
        <f>IF($G10="","",$G10*(IF(ADRYr3!$AI10=CE$4,ADRYr3!$AJ10,IF(ADRYr3!$AK10=CE$4,ADRYr3!$AL10,IF(ADRYr3!$AM10=CE$4,ADRYr3!$AN10,0))))*(INDEX(avoidedcosttbl3,$H10,CE$2)+(($H10-ROUNDDOWN($H10,0))*(INDEX(avoidedcosttbl3,ROUNDUP($H10,0),CE$2)-(INDEX(avoidedcosttbl3,ROUNDDOWN($H10,0),CE$2)))))*ADRYr3!P10*ADRYr3!Q10*ADRYr3!U10)</f>
        <v/>
      </c>
      <c r="CF10" s="41" t="str">
        <f t="shared" si="35"/>
        <v/>
      </c>
      <c r="CG10" s="30" t="str">
        <f t="shared" si="10"/>
        <v/>
      </c>
      <c r="CH10" s="30" t="str">
        <f>IF($G10="","",$G10*(IF(ADRYr3!$AI10=BY$4,ADRYr3!$AJ10,IF(ADRYr3!$AK10=BY$4,ADRYr3!$AL10,IF(ADRYr3!$AM10=BY$4,ADRYr3!$AN10,0))))*(INDEX(avoidedcosttbl3,$H10,CH$2)+(($H10-ROUNDDOWN($H10,0))*(INDEX(avoidedcosttbl3,ROUNDUP($H10,0),CH$2)-(INDEX(avoidedcosttbl3,ROUNDDOWN($H10,0),CH$2)))))*ADRYr3!P10*ADRYr3!Q10*ADRYr3!U10)</f>
        <v/>
      </c>
      <c r="CI10" s="30" t="str">
        <f>IF($G10="","",$G10*(IF(ADRYr3!$AI10=BZ$4,ADRYr3!$AJ10,IF(ADRYr3!$AK10=BZ$4,ADRYr3!$AL10,IF(ADRYr3!$AM10=BZ$4,ADRYr3!$AN10,0))))*(INDEX(avoidedcosttbl3,$H10,CI$2)+(($H10-ROUNDDOWN($H10,0))*(INDEX(avoidedcosttbl3,ROUNDUP($H10,0),CI$2)-(INDEX(avoidedcosttbl3,ROUNDDOWN($H10,0),CI$2)))))*ADRYr3!P10*ADRYr3!Q10*ADRYr3!U10)</f>
        <v/>
      </c>
      <c r="CJ10" s="30" t="str">
        <f>IF($G10="","",$G10*(IF(ADRYr3!$AI10=CA$4,ADRYr3!$AJ10,IF(ADRYr3!$AK10=CA$4,ADRYr3!$AL10,IF(ADRYr3!$AM10=CA$4,ADRYr3!$AN10,0))))*(INDEX(avoidedcosttbl3,$H10,CJ$2)+(($H10-ROUNDDOWN($H10,0))*(INDEX(avoidedcosttbl3,ROUNDUP($H10,0),CJ$2)-(INDEX(avoidedcosttbl3,ROUNDDOWN($H10,0),CJ$2)))))*ADRYr3!P10*ADRYr3!Q10*ADRYr3!U10)</f>
        <v/>
      </c>
      <c r="CK10" s="30" t="str">
        <f>IF($G10="","",$G10*(IF(ADRYr3!$AI10=CB$4,ADRYr3!$AJ10,IF(ADRYr3!$AK10=CB$4,ADRYr3!$AL10,IF(ADRYr3!$AM10=CB$4,ADRYr3!$AN10,0))))*(INDEX(avoidedcosttbl3,$H10,CK$2)+(($H10-ROUNDDOWN($H10,0))*(INDEX(avoidedcosttbl3,ROUNDUP($H10,0),CK$2)-(INDEX(avoidedcosttbl3,ROUNDDOWN($H10,0),CK$2)))))*ADRYr3!P10*ADRYr3!Q10*ADRYr3!U10)</f>
        <v/>
      </c>
      <c r="CL10" s="30" t="str">
        <f>IF($G10="","",$G10*(IF(ADRYr3!$AI10=CC$4,ADRYr3!$AJ10,IF(ADRYr3!$AK10=CC$4,ADRYr3!$AL10,IF(ADRYr3!$AM10=CC$4,ADRYr3!$AN10,0))))*(INDEX(avoidedcosttbl3,$H10,CL$2)+(($H10-ROUNDDOWN($H10,0))*(INDEX(avoidedcosttbl3,ROUNDUP($H10,0),CL$2)-(INDEX(avoidedcosttbl3,ROUNDDOWN($H10,0),CL$2)))))*ADRYr3!P10*ADRYr3!Q10*ADRYr3!U10)</f>
        <v/>
      </c>
      <c r="CM10" s="30" t="str">
        <f>IF($G10="","",$G10*(IF(ADRYr3!$AI10=CD$4,ADRYr3!$AJ10,IF(ADRYr3!$AK10=CD$4,ADRYr3!$AL10,IF(ADRYr3!$AM10=CD$4,ADRYr3!$AN10,0))))*(INDEX(avoidedcosttbl3,$H10,CM$2)+(($H10-ROUNDDOWN($H10,0))*(INDEX(avoidedcosttbl3,ROUNDUP($H10,0),CM$2)-(INDEX(avoidedcosttbl3,ROUNDDOWN($H10,0),CM$2)))))*ADRYr3!P10*ADRYr3!Q10*ADRYr3!U10)</f>
        <v/>
      </c>
      <c r="CN10" s="30" t="str">
        <f>IF($G10="","",$G10*(IF(ADRYr3!$AI10=CE$4,ADRYr3!$AJ10,IF(ADRYr3!$AK10=CE$4,ADRYr3!$AL10,IF(ADRYr3!$AM10=CE$4,ADRYr3!$AN10,0))))*(INDEX(avoidedcosttbl3,$H10,CN$2)+(($H10-ROUNDDOWN($H10,0))*(INDEX(avoidedcosttbl3,ROUNDUP($H10,0),CN$2)-(INDEX(avoidedcosttbl3,ROUNDDOWN($H10,0),CN$2)))))*ADRYr3!P10*ADRYr3!Q10*ADRYr3!U10)</f>
        <v/>
      </c>
      <c r="CO10" s="220" t="str">
        <f t="shared" si="36"/>
        <v/>
      </c>
      <c r="CP10" s="220" t="str">
        <f t="shared" si="37"/>
        <v/>
      </c>
      <c r="CQ10" s="157" t="str">
        <f>IF($G10="","",$G10*(IF(ADRYr3!$AI10=CQ$4,ADRYr3!$AJ10,IF(ADRYr3!$AK10=CQ$4,ADRYr3!$AL10,IF(ADRYr3!$AM10=CQ$4,ADRYr3!$AN10,0))))*(INDEX(avoidedcosttbl3,$H10,CQ$2)+(($H10-ROUNDDOWN($H10,0))*(INDEX(avoidedcosttbl3,ROUNDUP($H10,0),CQ$2)-(INDEX(avoidedcosttbl3,ROUNDDOWN($H10,0),CQ$2)))))*ADRYr3!$P10*ADRYr3!$Q10*ADRYr3!$U10)</f>
        <v/>
      </c>
      <c r="CR10" s="28" t="str">
        <f>IF($G10="","",G10*(IF(ADRYr3!$AI10=CR$4,ADRYr3!$AJ10,IF(ADRYr3!$AK10=CR$4,ADRYr3!$AL10,IF(ADRYr3!$AM10=CR$4,ADRYr3!$AN10,0))))*(INDEX(avoidedcosttbl3,$H10,CR$2)+(($H10-ROUNDDOWN($H10,0))*(INDEX(avoidedcosttbl3,ROUNDUP($H10,0),CR$2)-(INDEX(avoidedcosttbl3,ROUNDDOWN($H10,0),CR$2)))))*ADRYr3!$P10*ADRYr3!$Q10*ADRYr3!$U10)</f>
        <v/>
      </c>
      <c r="CS10" s="28" t="str">
        <f>IF($G10="","",G10*(IF(ADRYr3!$AI10=CS$4,ADRYr3!$AJ10,IF(ADRYr3!$AK10=CS$4,ADRYr3!$AL10,IF(ADRYr3!$AM10=CS$4,ADRYr3!$AN10,0))))*(INDEX(avoidedcosttbl3,$H10,CS$2)+(($H10-ROUNDDOWN($H10,0))*(INDEX(avoidedcosttbl3,ROUNDUP($H10,0),CS$2)-(INDEX(avoidedcosttbl3,ROUNDDOWN($H10,0),CS$2)))))*ADRYr3!$P10*ADRYr3!$Q10*ADRYr3!$U10)</f>
        <v/>
      </c>
      <c r="CT10" s="28" t="str">
        <f t="shared" si="11"/>
        <v/>
      </c>
      <c r="CU10" s="28" t="str">
        <f>IF($G10="","",G10*(IF(ADRYr3!$AI10=CU$4,ADRYr3!$AJ10,IF(ADRYr3!$AK10=CU$4,ADRYr3!$AL10,IF(ADRYr3!$AM10=CU$4,ADRYr3!$AN10,0))))*(INDEX(avoidedcosttbl3,$H10,CU$2)+(($H10-ROUNDDOWN($H10,0))*(INDEX(avoidedcosttbl3,ROUNDUP($H10,0),CU$2)-(INDEX(avoidedcosttbl3,ROUNDDOWN($H10,0),CU$2)))))*ADRYr3!$P10*ADRYr3!$Q10*ADRYr3!$U10)</f>
        <v/>
      </c>
      <c r="CV10" s="28" t="str">
        <f>IF($G10="","",G10*(IF(ADRYr3!$AI10=CV$4,ADRYr3!$AJ10,IF(ADRYr3!$AK10=CV$4,ADRYr3!$AL10,IF(ADRYr3!$AM10=CV$4,ADRYr3!$AN10,0))))*(INDEX(avoidedcosttbl3,$H10,CV$2)+(($H10-ROUNDDOWN($H10,0))*(INDEX(avoidedcosttbl3,ROUNDUP($H10,0),CV$2)-(INDEX(avoidedcosttbl3,ROUNDDOWN($H10,0),CV$2)))))*ADRYr3!$P10*ADRYr3!$Q10*ADRYr3!$U10)</f>
        <v/>
      </c>
      <c r="CW10" s="28" t="str">
        <f>IF($G10="","",G10*(IF(ADRYr3!$AI10=CW$4,ADRYr3!$AJ10,IF(ADRYr3!$AK10=CW$4,ADRYr3!$AL10,IF(ADRYr3!$AM10=CW$4,ADRYr3!$AN10,0))))*(INDEX(avoidedcosttbl3,$H10,CW$2)+(($H10-ROUNDDOWN($H10,0))*(INDEX(avoidedcosttbl3,ROUNDUP($H10,0),CW$2)-(INDEX(avoidedcosttbl3,ROUNDDOWN($H10,0),CW$2)))))*ADRYr3!$P10*ADRYr3!$Q10*ADRYr3!$U10)</f>
        <v/>
      </c>
      <c r="CX10" s="28" t="str">
        <f>IF($G10="","",G10*(IF(ADRYr3!$AI10=CX$4,ADRYr3!$AJ10,IF(ADRYr3!$AK10=CX$4,ADRYr3!$AL10,IF(ADRYr3!$AM10=CX$4,ADRYr3!$AN10,0))))*(INDEX(avoidedcosttbl3,$H10,CX$2)+(($H10-ROUNDDOWN($H10,0))*(INDEX(avoidedcosttbl3,ROUNDUP($H10,0),CX$2)-(INDEX(avoidedcosttbl3,ROUNDDOWN($H10,0),CX$2)))))*ADRYr3!$P10*ADRYr3!$Q10*ADRYr3!$U10)</f>
        <v/>
      </c>
      <c r="CY10" s="28" t="str">
        <f t="shared" si="38"/>
        <v/>
      </c>
      <c r="CZ10" s="32" t="str">
        <f t="shared" si="39"/>
        <v/>
      </c>
      <c r="DA10" s="84" t="str">
        <f t="shared" si="40"/>
        <v/>
      </c>
      <c r="DB10" s="81" t="str">
        <f>IF(NEIadder="Yes",IF($G10="","",INDEX(Lookups!$G$70:$G$71,MATCH($A10,Lookups!$E$70:$E$71,0))*(SUM(CP10:CX10,BX10))),"")</f>
        <v/>
      </c>
      <c r="DC10" s="263" t="str">
        <f t="shared" si="41"/>
        <v/>
      </c>
      <c r="DD10" s="166" t="str">
        <f t="shared" si="42"/>
        <v/>
      </c>
      <c r="DE10" s="82">
        <f>SUM(DB10:DD10)</f>
        <v>0</v>
      </c>
      <c r="DF10" s="615" t="str">
        <f>IF($G10="","",(1+WntPeakEnergyLL)*(INDEX(avoidedcosttbl3,$H10,DF$2)+(($H10-ROUNDDOWN($H10,0))*(INDEX(avoidedcosttbl3,ROUNDUP($H10,0),DF$2)-(INDEX(avoidedcosttbl3,ROUNDDOWN($H10,0),DF$2)))))*$P10*1000*ADRYr3!Z10)</f>
        <v/>
      </c>
      <c r="DG10" s="615" t="str">
        <f>IF($G10="","",(1+WntOffPeakEnergyLL)*(INDEX(avoidedcosttbl3,$H10,DG$2)+(($H10-ROUNDDOWN($H10,0))*(INDEX(avoidedcosttbl3,ROUNDUP($H10,0),DG$2)-(INDEX(avoidedcosttbl3,ROUNDDOWN($H10,0),DG$2)))))*$P10*1000*ADRYr3!AA10)</f>
        <v/>
      </c>
      <c r="DH10" s="615" t="str">
        <f>IF($G10="","",(1+SumPeakEnergyLL)*(INDEX(avoidedcosttbl3,$H10,DH$2)+(($H10-ROUNDDOWN($H10,0))*(INDEX(avoidedcosttbl3,ROUNDUP($H10,0),DH$2)-(INDEX(avoidedcosttbl3,ROUNDDOWN($H10,0),DH$2)))))*$P10*1000*ADRYr3!AB10)</f>
        <v/>
      </c>
      <c r="DI10" s="615" t="str">
        <f>IF($G10="","",(1+SumOffPeakEnergyLL)*(INDEX(avoidedcosttbl3,$H10,DI$2)+(($H10-ROUNDDOWN($H10,0))*(INDEX(avoidedcosttbl3,ROUNDUP($H10,0),DI$2)-(INDEX(avoidedcosttbl3,ROUNDDOWN($H10,0),DI$2)))))*$P10*1000*ADRYr3!AC10)</f>
        <v/>
      </c>
      <c r="DJ10" s="29" t="str">
        <f t="shared" si="44"/>
        <v/>
      </c>
      <c r="DK10" s="161" t="str">
        <f t="shared" si="45"/>
        <v/>
      </c>
      <c r="DL10" s="1189" t="str">
        <f t="shared" si="46"/>
        <v/>
      </c>
      <c r="DM10" s="1189" t="str">
        <f t="shared" si="47"/>
        <v/>
      </c>
      <c r="DN10" s="43" t="str">
        <f t="shared" si="48"/>
        <v/>
      </c>
      <c r="DO10" s="966" t="str">
        <f>IF($G10="","",ADRYr3!AQ10)</f>
        <v/>
      </c>
      <c r="DP10" s="968" t="str">
        <f>IF($G10="","",ADRYr3!AR10)</f>
        <v/>
      </c>
      <c r="DQ10" s="970" t="str">
        <f>IF($G10="","",IF($DP10="Yes",COLUMN(AESC!$L$10),IF($DP10="No","Using AvoidedDemand tab",IF($DP10="Mixed",COLUMN(AESC!$N$10)))))</f>
        <v/>
      </c>
      <c r="DR10" s="970" t="str">
        <f>IF($G10="","",IF($DP10="Yes",COLUMN(AESC!$P$10),IF($DP10="No","Using AvoidedDemand tab",IF($DP10="Mixed",COLUMN(AESC!$R$10)))))</f>
        <v/>
      </c>
      <c r="DS10" s="970" t="str">
        <f>IF($G10="","",IF($DP10="Yes",COLUMN(AESC!$S$10),IF($DP10="No",COLUMN(AESC!$T$10),IF($DP10="Mixed",COLUMN(AESC!$U$10)))))</f>
        <v/>
      </c>
      <c r="DT10" s="970" t="str">
        <f t="shared" si="49"/>
        <v/>
      </c>
      <c r="DU10" s="970" t="str">
        <f>IF($G10="","",ADRYr3!AS10)</f>
        <v/>
      </c>
      <c r="DV10" s="971" t="str">
        <f>IF($G10="","",ADRYr3!AT10)</f>
        <v/>
      </c>
      <c r="DW10" s="1162" t="str">
        <f>IF($G10="","",INDEX(AvoidedEnergy!$H$4:$H$10,MATCH($DO10,AvoidedEnergy!$A$4:$A$10,0)))</f>
        <v/>
      </c>
    </row>
    <row r="11" spans="1:127">
      <c r="A11" s="160" t="str">
        <f>IF(ADRYr3!$B11=0,"",ADRYr3!A11)</f>
        <v>A - Residential</v>
      </c>
      <c r="B11" s="9" t="str">
        <f>IF(ADRYr3!$B11=0,"",ADRYr3!B11)</f>
        <v>A5 - Residential Active Demand Response</v>
      </c>
      <c r="C11" s="9" t="str">
        <f>IF(ADRYr3!$B11=0,"",ADRYr3!C11)</f>
        <v>A5a - Residential Active Demand Response</v>
      </c>
      <c r="D11" s="9" t="str">
        <f>IF(ADRYr3!$B11=0,"",ADRYr3!D11)</f>
        <v>Storage Daily Dispatch P4P (savings) Summer</v>
      </c>
      <c r="E11" s="9" t="str">
        <f>IF(ADRYr3!$B11=0,"",ADRYr3!E11)</f>
        <v>E21A5a002</v>
      </c>
      <c r="F11" s="11" t="str">
        <f>IF(ADRYr3!$B11=0,"",ADRYr3!F11)</f>
        <v>Behavior</v>
      </c>
      <c r="G11" s="12" t="str">
        <f>IF(ADRYr3!$G11&lt;&gt;0,ADRYr3!G11,"")</f>
        <v/>
      </c>
      <c r="H11" s="960" t="str">
        <f>IF($G11="","",ROUND(ADRYr3!H11,0))</f>
        <v/>
      </c>
      <c r="I11" s="47" t="str">
        <f>IF($G11="","",ADRYr3!I11*ADRYr3!P11*G11)</f>
        <v/>
      </c>
      <c r="J11" s="47" t="str">
        <f>IF($G11="","",ADRYr3!J11*G11)</f>
        <v/>
      </c>
      <c r="K11" s="47" t="str">
        <f t="shared" si="12"/>
        <v/>
      </c>
      <c r="L11" s="27" t="str">
        <f>IF($G11="","",ADRYr3!V11*G11/1000)</f>
        <v/>
      </c>
      <c r="M11" s="27" t="str">
        <f>IF($G11="","",L11*ADRYr3!$Q11*ADRYr3!$R11)</f>
        <v/>
      </c>
      <c r="N11" s="27" t="str">
        <f t="shared" si="13"/>
        <v/>
      </c>
      <c r="O11" s="27" t="str">
        <f t="shared" si="14"/>
        <v/>
      </c>
      <c r="P11" s="27" t="str">
        <f>IF($G11="","",M11*ADRYr3!P11)</f>
        <v/>
      </c>
      <c r="Q11" s="27" t="str">
        <f t="shared" si="15"/>
        <v/>
      </c>
      <c r="R11" s="27" t="str">
        <f>IF($G11="","",$Q11*ADRYr3!Z11)</f>
        <v/>
      </c>
      <c r="S11" s="27" t="str">
        <f>IF($G11="","",$Q11*ADRYr3!AA11)</f>
        <v/>
      </c>
      <c r="T11" s="27" t="str">
        <f>IF($G11="","",$Q11*ADRYr3!AB11)</f>
        <v/>
      </c>
      <c r="U11" s="27" t="str">
        <f>IF($G11="","",$Q11*ADRYr3!AC11)</f>
        <v/>
      </c>
      <c r="V11" s="27" t="str">
        <f>IF($G11="","",G11*ADRYr3!$AD11*ADRYr3!$P11*ADRYr3!$Q11)</f>
        <v/>
      </c>
      <c r="W11" s="27" t="str">
        <f>IF($G11="","",$G11*ADRYr3!$AD11*ADRYr3!$AF11*ADRYr3!Q11*ADRYr3!$S11)</f>
        <v/>
      </c>
      <c r="X11" s="27" t="str">
        <f>IF($G11="","",$G11*ADRYr3!$AD11*ADRYr3!$AF11*ADRYr3!P11*ADRYr3!Q11*ADRYr3!$S11)</f>
        <v/>
      </c>
      <c r="Y11" s="27" t="str">
        <f>IF($G11="","",$G11*ADRYr3!$AD11*ADRYr3!$AE11*ADRYr3!Q11*ADRYr3!$T11)</f>
        <v/>
      </c>
      <c r="Z11" s="27" t="str">
        <f>IF($G11="","",$G11*ADRYr3!$AD11*ADRYr3!$AE11*ADRYr3!P11*ADRYr3!Q11*ADRYr3!$T11)</f>
        <v/>
      </c>
      <c r="AA11" s="45" t="str">
        <f>IF($G11="","",$G11*ADRYr3!$Q11*ADRYr3!$U11*(IF(IFERROR(SEARCH("NG", ADRYr3!$AI11),0),ADRYr3!$AJ11,0)+IF(IFERROR(SEARCH("NG", ADRYr3!$AK11),0),ADRYr3!$AL11,0)+IF(IFERROR(SEARCH("NG", ADRYr3!$AM11),0),ADRYr3!$AN11,0)))</f>
        <v/>
      </c>
      <c r="AB11" s="45" t="str">
        <f t="shared" si="16"/>
        <v/>
      </c>
      <c r="AC11" s="45">
        <f>IF($G11="",0,AA11*ADRYr3!$P11)</f>
        <v>0</v>
      </c>
      <c r="AD11" s="45" t="str">
        <f t="shared" si="17"/>
        <v/>
      </c>
      <c r="AE11" s="45" t="str">
        <f>IF($G11="","",$G11*ADRYr3!$Q11*ADRYr3!$U11*(IF(IFERROR(SEARCH("Oil", ADRYr3!$AI11), 0),ADRYr3!$AJ11,0)+IF(IFERROR(SEARCH("Oil", ADRYr3!$AK11), 0),ADRYr3!$AL11,0)+IF(IFERROR(SEARCH("Oil", ADRYr3!$AM11), 0),ADRYr3!$AN11,0)))</f>
        <v/>
      </c>
      <c r="AF11" s="45" t="str">
        <f t="shared" si="18"/>
        <v/>
      </c>
      <c r="AG11" s="45">
        <f>IF($G11="",0,AE11*ADRYr3!$P11)</f>
        <v>0</v>
      </c>
      <c r="AH11" s="45" t="str">
        <f t="shared" si="19"/>
        <v/>
      </c>
      <c r="AI11" s="45" t="str">
        <f>IF($G11="","",$G11*ADRYr3!$Q11*ADRYr3!$U11*(IF(ADRYr3!$AI11=Lookups!$E$116,ADRYr3!$AJ11,IF(ADRYr3!$AK11=Lookups!$E$116,ADRYr3!$AL11,IF(ADRYr3!$AM11=Lookups!$E$116,ADRYr3!$AN11,0)))))</f>
        <v/>
      </c>
      <c r="AJ11" s="45" t="str">
        <f t="shared" si="20"/>
        <v/>
      </c>
      <c r="AK11" s="45">
        <f>IF($G11="",0,AI11*ADRYr3!$P11)</f>
        <v>0</v>
      </c>
      <c r="AL11" s="45" t="str">
        <f t="shared" si="21"/>
        <v/>
      </c>
      <c r="AM11" s="45" t="str">
        <f>IF($G11="","",$G11*ADRYr3!$Q11*ADRYr3!$U11*(IF(ADRYr3!$AI11=Lookups!$E$115,ADRYr3!$AJ11,IF(ADRYr3!$AK11=Lookups!$E$115,ADRYr3!$AL11,IF(ADRYr3!$AM11=Lookups!$E$115,ADRYr3!$AN11,0)))))</f>
        <v/>
      </c>
      <c r="AN11" s="45" t="str">
        <f t="shared" si="22"/>
        <v/>
      </c>
      <c r="AO11" s="45">
        <f>IF($G11="",0,AM11*ADRYr3!$P11)</f>
        <v>0</v>
      </c>
      <c r="AP11" s="45" t="str">
        <f t="shared" si="23"/>
        <v/>
      </c>
      <c r="AQ11" s="45" t="str">
        <f>IF($G11="","",$G11*ADRYr3!$Q11*ADRYr3!$U11*(IF(ADRYr3!$AI11=Lookups!$E$117,ADRYr3!$AJ11,IF(ADRYr3!$AK11=Lookups!$E$117,ADRYr3!$AL11,IF(ADRYr3!$AM11=Lookups!$E$117,ADRYr3!$AN11,0)))))</f>
        <v/>
      </c>
      <c r="AR11" s="45" t="str">
        <f t="shared" si="24"/>
        <v/>
      </c>
      <c r="AS11" s="45" t="str">
        <f>IF($G11="","",AQ11*ADRYr3!$P11)</f>
        <v/>
      </c>
      <c r="AT11" s="45" t="str">
        <f t="shared" si="25"/>
        <v/>
      </c>
      <c r="AU11" s="45" t="str">
        <f>IF($G11="","",$G11*ADRYr3!$Q11*ADRYr3!$U11*(IF(ADRYr3!$AI11=Lookups!$E$118,ADRYr3!$AJ11,IF(ADRYr3!$AK11=Lookups!$E$118,ADRYr3!$AL11,IF(ADRYr3!$AM11=Lookups!$E$118,ADRYr3!$AN11,0)))))</f>
        <v/>
      </c>
      <c r="AV11" s="45" t="str">
        <f t="shared" si="26"/>
        <v/>
      </c>
      <c r="AW11" s="45" t="str">
        <f>IF($G11="","",AU11*ADRYr3!$P11)</f>
        <v/>
      </c>
      <c r="AX11" s="45" t="str">
        <f t="shared" si="27"/>
        <v/>
      </c>
      <c r="AY11" s="45">
        <f t="shared" si="28"/>
        <v>0</v>
      </c>
      <c r="AZ11" s="45">
        <f t="shared" si="29"/>
        <v>0</v>
      </c>
      <c r="BA11" s="101" t="str">
        <f>IF($G11="","",$G11*ADRYr3!$P11*ADRYr3!$Q11*ADRYr3!$U11*ADRYr3!AO11)</f>
        <v/>
      </c>
      <c r="BB11" s="102" t="str">
        <f>IF($G11="","",$G11*ADRYr3!$P11*ADRYr3!$Q11*ADRYr3!$U11*ADRYr3!AP11)</f>
        <v/>
      </c>
      <c r="BC11" s="100" t="str">
        <f t="shared" si="30"/>
        <v/>
      </c>
      <c r="BD11" s="961"/>
      <c r="BE11" s="961"/>
      <c r="BF11" s="961"/>
      <c r="BG11" s="961"/>
      <c r="BH11" s="962" t="str">
        <f t="shared" si="3"/>
        <v/>
      </c>
      <c r="BI11" s="961"/>
      <c r="BJ11" s="961"/>
      <c r="BK11" s="961"/>
      <c r="BL11" s="961"/>
      <c r="BM11" s="30" t="str">
        <f t="shared" si="4"/>
        <v/>
      </c>
      <c r="BN11" s="963" t="str">
        <f t="shared" si="31"/>
        <v/>
      </c>
      <c r="BO11" s="31" t="str">
        <f t="shared" si="32"/>
        <v/>
      </c>
      <c r="BP11" s="964" t="str">
        <f t="shared" si="5"/>
        <v/>
      </c>
      <c r="BQ11" s="28" t="str">
        <f t="shared" si="6"/>
        <v/>
      </c>
      <c r="BR11" s="964" t="str">
        <f t="shared" si="7"/>
        <v/>
      </c>
      <c r="BS11" s="964" t="str">
        <f t="shared" si="8"/>
        <v/>
      </c>
      <c r="BT11" s="28" t="str">
        <f t="shared" si="9"/>
        <v/>
      </c>
      <c r="BU11" s="28" t="str">
        <f t="shared" si="9"/>
        <v/>
      </c>
      <c r="BV11" s="28" t="str">
        <f t="shared" si="9"/>
        <v/>
      </c>
      <c r="BW11" s="29" t="str">
        <f t="shared" si="33"/>
        <v/>
      </c>
      <c r="BX11" s="29" t="str">
        <f t="shared" si="34"/>
        <v/>
      </c>
      <c r="BY11" s="28" t="str">
        <f>IF($G11="","",$G11*(IF(ADRYr3!$AI11=BY$4,ADRYr3!$AJ11,IF(ADRYr3!$AK11=BY$4,ADRYr3!$AL11,IF(ADRYr3!$AM11=BY$4,ADRYr3!$AN11,0))))*(INDEX(avoidedcosttbl3,$H11,BY$2)+(($H11-ROUNDDOWN($H11,0))*(INDEX(avoidedcosttbl3,ROUNDUP($H11,0),BY$2)-(INDEX(avoidedcosttbl3,ROUNDDOWN($H11,0),BY$2)))))*ADRYr3!P11*ADRYr3!Q11*ADRYr3!U11)</f>
        <v/>
      </c>
      <c r="BZ11" s="28" t="str">
        <f>IF($G11="","",$G11*(IF(ADRYr3!$AI11=BZ$4,ADRYr3!$AJ11,IF(ADRYr3!$AK11=BZ$4,ADRYr3!$AL11,IF(ADRYr3!$AM11=BZ$4,ADRYr3!$AN11,0))))*(INDEX(avoidedcosttbl3,$H11,BZ$2)+(($H11-ROUNDDOWN($H11,0))*(INDEX(avoidedcosttbl3,ROUNDUP($H11,0),BZ$2)-(INDEX(avoidedcosttbl3,ROUNDDOWN($H11,0),BZ$2)))))*ADRYr3!P11*ADRYr3!Q11*ADRYr3!U11)</f>
        <v/>
      </c>
      <c r="CA11" s="28" t="str">
        <f>IF($G11="","",$G11*(IF(ADRYr3!$AI11=CA$4,ADRYr3!$AJ11,IF(ADRYr3!$AK11=CA$4,ADRYr3!$AL11,IF(ADRYr3!$AM11=CA$4,ADRYr3!$AN11,0))))*(INDEX(avoidedcosttbl3,$H11,CA$2)+(($H11-ROUNDDOWN($H11,0))*(INDEX(avoidedcosttbl3,ROUNDUP($H11,0),CA$2)-(INDEX(avoidedcosttbl3,ROUNDDOWN($H11,0),CA$2)))))*ADRYr3!P11*ADRYr3!Q11*ADRYr3!U11)</f>
        <v/>
      </c>
      <c r="CB11" s="28" t="str">
        <f>IF($G11="","",$G11*(IF(ADRYr3!$AI11=CB$4,ADRYr3!$AJ11,IF(ADRYr3!$AK11=CB$4,ADRYr3!$AL11,IF(ADRYr3!$AM11=CB$4,ADRYr3!$AN11,0))))*(INDEX(avoidedcosttbl3,$H11,CB$2)+(($H11-ROUNDDOWN($H11,0))*(INDEX(avoidedcosttbl3,ROUNDUP($H11,0),CB$2)-(INDEX(avoidedcosttbl3,ROUNDDOWN($H11,0),CB$2)))))*ADRYr3!P11*ADRYr3!Q11*ADRYr3!U11)</f>
        <v/>
      </c>
      <c r="CC11" s="28" t="str">
        <f>IF($G11="","",$G11*(IF(ADRYr3!$AI11=CC$4,ADRYr3!$AJ11,IF(ADRYr3!$AK11=CC$4,ADRYr3!$AL11,IF(ADRYr3!$AM11=CC$4,ADRYr3!$AN11,0))))*(INDEX(avoidedcosttbl3,$H11,CC$2)+(($H11-ROUNDDOWN($H11,0))*(INDEX(avoidedcosttbl3,ROUNDUP($H11,0),CC$2)-(INDEX(avoidedcosttbl3,ROUNDDOWN($H11,0),CC$2)))))*ADRYr3!P11*ADRYr3!Q11*ADRYr3!U11)</f>
        <v/>
      </c>
      <c r="CD11" s="28" t="str">
        <f>IF($G11="","",$G11*(IF(ADRYr3!$AI11=CD$4,ADRYr3!$AJ11,IF(ADRYr3!$AK11=CD$4,ADRYr3!$AL11,IF(ADRYr3!$AM11=CD$4,ADRYr3!$AN11,0))))*(INDEX(avoidedcosttbl3,$H11,CD$2)+(($H11-ROUNDDOWN($H11,0))*(INDEX(avoidedcosttbl3,ROUNDUP($H11,0),CD$2)-(INDEX(avoidedcosttbl3,ROUNDDOWN($H11,0),CD$2)))))*ADRYr3!P11*ADRYr3!Q11*ADRYr3!U11)</f>
        <v/>
      </c>
      <c r="CE11" s="28" t="str">
        <f>IF($G11="","",$G11*(IF(ADRYr3!$AI11=CE$4,ADRYr3!$AJ11,IF(ADRYr3!$AK11=CE$4,ADRYr3!$AL11,IF(ADRYr3!$AM11=CE$4,ADRYr3!$AN11,0))))*(INDEX(avoidedcosttbl3,$H11,CE$2)+(($H11-ROUNDDOWN($H11,0))*(INDEX(avoidedcosttbl3,ROUNDUP($H11,0),CE$2)-(INDEX(avoidedcosttbl3,ROUNDDOWN($H11,0),CE$2)))))*ADRYr3!P11*ADRYr3!Q11*ADRYr3!U11)</f>
        <v/>
      </c>
      <c r="CF11" s="41" t="str">
        <f t="shared" si="35"/>
        <v/>
      </c>
      <c r="CG11" s="30" t="str">
        <f t="shared" si="10"/>
        <v/>
      </c>
      <c r="CH11" s="30" t="str">
        <f>IF($G11="","",$G11*(IF(ADRYr3!$AI11=BY$4,ADRYr3!$AJ11,IF(ADRYr3!$AK11=BY$4,ADRYr3!$AL11,IF(ADRYr3!$AM11=BY$4,ADRYr3!$AN11,0))))*(INDEX(avoidedcosttbl3,$H11,CH$2)+(($H11-ROUNDDOWN($H11,0))*(INDEX(avoidedcosttbl3,ROUNDUP($H11,0),CH$2)-(INDEX(avoidedcosttbl3,ROUNDDOWN($H11,0),CH$2)))))*ADRYr3!P11*ADRYr3!Q11*ADRYr3!U11)</f>
        <v/>
      </c>
      <c r="CI11" s="30" t="str">
        <f>IF($G11="","",$G11*(IF(ADRYr3!$AI11=BZ$4,ADRYr3!$AJ11,IF(ADRYr3!$AK11=BZ$4,ADRYr3!$AL11,IF(ADRYr3!$AM11=BZ$4,ADRYr3!$AN11,0))))*(INDEX(avoidedcosttbl3,$H11,CI$2)+(($H11-ROUNDDOWN($H11,0))*(INDEX(avoidedcosttbl3,ROUNDUP($H11,0),CI$2)-(INDEX(avoidedcosttbl3,ROUNDDOWN($H11,0),CI$2)))))*ADRYr3!P11*ADRYr3!Q11*ADRYr3!U11)</f>
        <v/>
      </c>
      <c r="CJ11" s="30" t="str">
        <f>IF($G11="","",$G11*(IF(ADRYr3!$AI11=CA$4,ADRYr3!$AJ11,IF(ADRYr3!$AK11=CA$4,ADRYr3!$AL11,IF(ADRYr3!$AM11=CA$4,ADRYr3!$AN11,0))))*(INDEX(avoidedcosttbl3,$H11,CJ$2)+(($H11-ROUNDDOWN($H11,0))*(INDEX(avoidedcosttbl3,ROUNDUP($H11,0),CJ$2)-(INDEX(avoidedcosttbl3,ROUNDDOWN($H11,0),CJ$2)))))*ADRYr3!P11*ADRYr3!Q11*ADRYr3!U11)</f>
        <v/>
      </c>
      <c r="CK11" s="30" t="str">
        <f>IF($G11="","",$G11*(IF(ADRYr3!$AI11=CB$4,ADRYr3!$AJ11,IF(ADRYr3!$AK11=CB$4,ADRYr3!$AL11,IF(ADRYr3!$AM11=CB$4,ADRYr3!$AN11,0))))*(INDEX(avoidedcosttbl3,$H11,CK$2)+(($H11-ROUNDDOWN($H11,0))*(INDEX(avoidedcosttbl3,ROUNDUP($H11,0),CK$2)-(INDEX(avoidedcosttbl3,ROUNDDOWN($H11,0),CK$2)))))*ADRYr3!P11*ADRYr3!Q11*ADRYr3!U11)</f>
        <v/>
      </c>
      <c r="CL11" s="30" t="str">
        <f>IF($G11="","",$G11*(IF(ADRYr3!$AI11=CC$4,ADRYr3!$AJ11,IF(ADRYr3!$AK11=CC$4,ADRYr3!$AL11,IF(ADRYr3!$AM11=CC$4,ADRYr3!$AN11,0))))*(INDEX(avoidedcosttbl3,$H11,CL$2)+(($H11-ROUNDDOWN($H11,0))*(INDEX(avoidedcosttbl3,ROUNDUP($H11,0),CL$2)-(INDEX(avoidedcosttbl3,ROUNDDOWN($H11,0),CL$2)))))*ADRYr3!P11*ADRYr3!Q11*ADRYr3!U11)</f>
        <v/>
      </c>
      <c r="CM11" s="30" t="str">
        <f>IF($G11="","",$G11*(IF(ADRYr3!$AI11=CD$4,ADRYr3!$AJ11,IF(ADRYr3!$AK11=CD$4,ADRYr3!$AL11,IF(ADRYr3!$AM11=CD$4,ADRYr3!$AN11,0))))*(INDEX(avoidedcosttbl3,$H11,CM$2)+(($H11-ROUNDDOWN($H11,0))*(INDEX(avoidedcosttbl3,ROUNDUP($H11,0),CM$2)-(INDEX(avoidedcosttbl3,ROUNDDOWN($H11,0),CM$2)))))*ADRYr3!P11*ADRYr3!Q11*ADRYr3!U11)</f>
        <v/>
      </c>
      <c r="CN11" s="30" t="str">
        <f>IF($G11="","",$G11*(IF(ADRYr3!$AI11=CE$4,ADRYr3!$AJ11,IF(ADRYr3!$AK11=CE$4,ADRYr3!$AL11,IF(ADRYr3!$AM11=CE$4,ADRYr3!$AN11,0))))*(INDEX(avoidedcosttbl3,$H11,CN$2)+(($H11-ROUNDDOWN($H11,0))*(INDEX(avoidedcosttbl3,ROUNDUP($H11,0),CN$2)-(INDEX(avoidedcosttbl3,ROUNDDOWN($H11,0),CN$2)))))*ADRYr3!P11*ADRYr3!Q11*ADRYr3!U11)</f>
        <v/>
      </c>
      <c r="CO11" s="220" t="str">
        <f t="shared" si="36"/>
        <v/>
      </c>
      <c r="CP11" s="220" t="str">
        <f t="shared" si="37"/>
        <v/>
      </c>
      <c r="CQ11" s="157" t="str">
        <f>IF($G11="","",$G11*(IF(ADRYr3!$AI11=CQ$4,ADRYr3!$AJ11,IF(ADRYr3!$AK11=CQ$4,ADRYr3!$AL11,IF(ADRYr3!$AM11=CQ$4,ADRYr3!$AN11,0))))*(INDEX(avoidedcosttbl3,$H11,CQ$2)+(($H11-ROUNDDOWN($H11,0))*(INDEX(avoidedcosttbl3,ROUNDUP($H11,0),CQ$2)-(INDEX(avoidedcosttbl3,ROUNDDOWN($H11,0),CQ$2)))))*ADRYr3!$P11*ADRYr3!$Q11*ADRYr3!$U11)</f>
        <v/>
      </c>
      <c r="CR11" s="28" t="str">
        <f>IF($G11="","",G11*(IF(ADRYr3!$AI11=CR$4,ADRYr3!$AJ11,IF(ADRYr3!$AK11=CR$4,ADRYr3!$AL11,IF(ADRYr3!$AM11=CR$4,ADRYr3!$AN11,0))))*(INDEX(avoidedcosttbl3,$H11,CR$2)+(($H11-ROUNDDOWN($H11,0))*(INDEX(avoidedcosttbl3,ROUNDUP($H11,0),CR$2)-(INDEX(avoidedcosttbl3,ROUNDDOWN($H11,0),CR$2)))))*ADRYr3!$P11*ADRYr3!$Q11*ADRYr3!$U11)</f>
        <v/>
      </c>
      <c r="CS11" s="28" t="str">
        <f>IF($G11="","",G11*(IF(ADRYr3!$AI11=CS$4,ADRYr3!$AJ11,IF(ADRYr3!$AK11=CS$4,ADRYr3!$AL11,IF(ADRYr3!$AM11=CS$4,ADRYr3!$AN11,0))))*(INDEX(avoidedcosttbl3,$H11,CS$2)+(($H11-ROUNDDOWN($H11,0))*(INDEX(avoidedcosttbl3,ROUNDUP($H11,0),CS$2)-(INDEX(avoidedcosttbl3,ROUNDDOWN($H11,0),CS$2)))))*ADRYr3!$P11*ADRYr3!$Q11*ADRYr3!$U11)</f>
        <v/>
      </c>
      <c r="CT11" s="28" t="str">
        <f t="shared" si="11"/>
        <v/>
      </c>
      <c r="CU11" s="28" t="str">
        <f>IF($G11="","",G11*(IF(ADRYr3!$AI11=CU$4,ADRYr3!$AJ11,IF(ADRYr3!$AK11=CU$4,ADRYr3!$AL11,IF(ADRYr3!$AM11=CU$4,ADRYr3!$AN11,0))))*(INDEX(avoidedcosttbl3,$H11,CU$2)+(($H11-ROUNDDOWN($H11,0))*(INDEX(avoidedcosttbl3,ROUNDUP($H11,0),CU$2)-(INDEX(avoidedcosttbl3,ROUNDDOWN($H11,0),CU$2)))))*ADRYr3!$P11*ADRYr3!$Q11*ADRYr3!$U11)</f>
        <v/>
      </c>
      <c r="CV11" s="28" t="str">
        <f>IF($G11="","",G11*(IF(ADRYr3!$AI11=CV$4,ADRYr3!$AJ11,IF(ADRYr3!$AK11=CV$4,ADRYr3!$AL11,IF(ADRYr3!$AM11=CV$4,ADRYr3!$AN11,0))))*(INDEX(avoidedcosttbl3,$H11,CV$2)+(($H11-ROUNDDOWN($H11,0))*(INDEX(avoidedcosttbl3,ROUNDUP($H11,0),CV$2)-(INDEX(avoidedcosttbl3,ROUNDDOWN($H11,0),CV$2)))))*ADRYr3!$P11*ADRYr3!$Q11*ADRYr3!$U11)</f>
        <v/>
      </c>
      <c r="CW11" s="28" t="str">
        <f>IF($G11="","",G11*(IF(ADRYr3!$AI11=CW$4,ADRYr3!$AJ11,IF(ADRYr3!$AK11=CW$4,ADRYr3!$AL11,IF(ADRYr3!$AM11=CW$4,ADRYr3!$AN11,0))))*(INDEX(avoidedcosttbl3,$H11,CW$2)+(($H11-ROUNDDOWN($H11,0))*(INDEX(avoidedcosttbl3,ROUNDUP($H11,0),CW$2)-(INDEX(avoidedcosttbl3,ROUNDDOWN($H11,0),CW$2)))))*ADRYr3!$P11*ADRYr3!$Q11*ADRYr3!$U11)</f>
        <v/>
      </c>
      <c r="CX11" s="28" t="str">
        <f>IF($G11="","",G11*(IF(ADRYr3!$AI11=CX$4,ADRYr3!$AJ11,IF(ADRYr3!$AK11=CX$4,ADRYr3!$AL11,IF(ADRYr3!$AM11=CX$4,ADRYr3!$AN11,0))))*(INDEX(avoidedcosttbl3,$H11,CX$2)+(($H11-ROUNDDOWN($H11,0))*(INDEX(avoidedcosttbl3,ROUNDUP($H11,0),CX$2)-(INDEX(avoidedcosttbl3,ROUNDDOWN($H11,0),CX$2)))))*ADRYr3!$P11*ADRYr3!$Q11*ADRYr3!$U11)</f>
        <v/>
      </c>
      <c r="CY11" s="28" t="str">
        <f t="shared" si="38"/>
        <v/>
      </c>
      <c r="CZ11" s="32" t="str">
        <f t="shared" si="39"/>
        <v/>
      </c>
      <c r="DA11" s="84" t="str">
        <f t="shared" si="40"/>
        <v/>
      </c>
      <c r="DB11" s="81" t="str">
        <f>IF(NEIadder="Yes",IF($G11="","",INDEX(Lookups!$G$70:$G$71,MATCH($A11,Lookups!$E$70:$E$71,0))*(SUM(CP11:CX11,BX11))),"")</f>
        <v/>
      </c>
      <c r="DC11" s="263" t="str">
        <f t="shared" si="41"/>
        <v/>
      </c>
      <c r="DD11" s="166" t="str">
        <f t="shared" si="42"/>
        <v/>
      </c>
      <c r="DE11" s="82">
        <f>SUM(DB11:DD11)</f>
        <v>0</v>
      </c>
      <c r="DF11" s="615" t="str">
        <f>IF($G11="","",(1+WntPeakEnergyLL)*(INDEX(avoidedcosttbl3,$H11,DF$2)+(($H11-ROUNDDOWN($H11,0))*(INDEX(avoidedcosttbl3,ROUNDUP($H11,0),DF$2)-(INDEX(avoidedcosttbl3,ROUNDDOWN($H11,0),DF$2)))))*$P11*1000*ADRYr3!Z11)</f>
        <v/>
      </c>
      <c r="DG11" s="615" t="str">
        <f>IF($G11="","",(1+WntOffPeakEnergyLL)*(INDEX(avoidedcosttbl3,$H11,DG$2)+(($H11-ROUNDDOWN($H11,0))*(INDEX(avoidedcosttbl3,ROUNDUP($H11,0),DG$2)-(INDEX(avoidedcosttbl3,ROUNDDOWN($H11,0),DG$2)))))*$P11*1000*ADRYr3!AA11)</f>
        <v/>
      </c>
      <c r="DH11" s="615" t="str">
        <f>IF($G11="","",(1+SumPeakEnergyLL)*(INDEX(avoidedcosttbl3,$H11,DH$2)+(($H11-ROUNDDOWN($H11,0))*(INDEX(avoidedcosttbl3,ROUNDUP($H11,0),DH$2)-(INDEX(avoidedcosttbl3,ROUNDDOWN($H11,0),DH$2)))))*$P11*1000*ADRYr3!AB11)</f>
        <v/>
      </c>
      <c r="DI11" s="615" t="str">
        <f>IF($G11="","",(1+SumOffPeakEnergyLL)*(INDEX(avoidedcosttbl3,$H11,DI$2)+(($H11-ROUNDDOWN($H11,0))*(INDEX(avoidedcosttbl3,ROUNDUP($H11,0),DI$2)-(INDEX(avoidedcosttbl3,ROUNDDOWN($H11,0),DI$2)))))*$P11*1000*ADRYr3!AC11)</f>
        <v/>
      </c>
      <c r="DJ11" s="29" t="str">
        <f t="shared" si="44"/>
        <v/>
      </c>
      <c r="DK11" s="161" t="str">
        <f t="shared" si="45"/>
        <v/>
      </c>
      <c r="DL11" s="1189" t="str">
        <f t="shared" si="46"/>
        <v/>
      </c>
      <c r="DM11" s="1189" t="str">
        <f t="shared" si="47"/>
        <v/>
      </c>
      <c r="DN11" s="43" t="str">
        <f t="shared" si="48"/>
        <v/>
      </c>
      <c r="DO11" s="966" t="str">
        <f>IF($G11="","",ADRYr3!AQ11)</f>
        <v/>
      </c>
      <c r="DP11" s="968" t="str">
        <f>IF($G11="","",ADRYr3!AR11)</f>
        <v/>
      </c>
      <c r="DQ11" s="970" t="str">
        <f>IF($G11="","",IF($DP11="Yes",COLUMN(AESC!$L$10),IF($DP11="No","Using AvoidedDemand tab",IF($DP11="Mixed",COLUMN(AESC!$N$10)))))</f>
        <v/>
      </c>
      <c r="DR11" s="970" t="str">
        <f>IF($G11="","",IF($DP11="Yes",COLUMN(AESC!$P$10),IF($DP11="No","Using AvoidedDemand tab",IF($DP11="Mixed",COLUMN(AESC!$R$10)))))</f>
        <v/>
      </c>
      <c r="DS11" s="970" t="str">
        <f>IF($G11="","",IF($DP11="Yes",COLUMN(AESC!$S$10),IF($DP11="No",COLUMN(AESC!$T$10),IF($DP11="Mixed",COLUMN(AESC!$U$10)))))</f>
        <v/>
      </c>
      <c r="DT11" s="970" t="str">
        <f t="shared" si="49"/>
        <v/>
      </c>
      <c r="DU11" s="970" t="str">
        <f>IF($G11="","",ADRYr3!AS11)</f>
        <v/>
      </c>
      <c r="DV11" s="971" t="str">
        <f>IF($G11="","",ADRYr3!AT11)</f>
        <v/>
      </c>
      <c r="DW11" s="1162" t="str">
        <f>IF($G11="","",INDEX(AvoidedEnergy!$H$4:$H$10,MATCH($DO11,AvoidedEnergy!$A$4:$A$10,0)))</f>
        <v/>
      </c>
    </row>
    <row r="12" spans="1:127">
      <c r="A12" s="160" t="str">
        <f>IF(ADRYr3!$B12=0,"",ADRYr3!A12)</f>
        <v>A - Residential</v>
      </c>
      <c r="B12" s="9" t="str">
        <f>IF(ADRYr3!$B12=0,"",ADRYr3!B12)</f>
        <v>A5 - Residential Active Demand Response</v>
      </c>
      <c r="C12" s="9" t="str">
        <f>IF(ADRYr3!$B12=0,"",ADRYr3!C12)</f>
        <v>A5a - Residential Active Demand Response</v>
      </c>
      <c r="D12" s="9" t="str">
        <f>IF(ADRYr3!$B12=0,"",ADRYr3!D12)</f>
        <v>Storage Daily Dispatch P4P (consumption) Summer</v>
      </c>
      <c r="E12" s="9" t="str">
        <f>IF(ADRYr3!$B12=0,"",ADRYr3!E12)</f>
        <v>E21A5a003</v>
      </c>
      <c r="F12" s="11" t="str">
        <f>IF(ADRYr3!$B12=0,"",ADRYr3!F12)</f>
        <v>Behavior</v>
      </c>
      <c r="G12" s="12" t="str">
        <f>IF(ADRYr3!$G12&lt;&gt;0,ADRYr3!G12,"")</f>
        <v/>
      </c>
      <c r="H12" s="960" t="str">
        <f>IF($G12="","",ROUND(ADRYr3!H12,0))</f>
        <v/>
      </c>
      <c r="I12" s="47" t="str">
        <f>IF($G12="","",ADRYr3!I12*ADRYr3!P12*G12)</f>
        <v/>
      </c>
      <c r="J12" s="47" t="str">
        <f>IF($G12="","",ADRYr3!J12*G12)</f>
        <v/>
      </c>
      <c r="K12" s="47" t="str">
        <f t="shared" si="12"/>
        <v/>
      </c>
      <c r="L12" s="27" t="str">
        <f>IF($G12="","",ADRYr3!V12*G12/1000)</f>
        <v/>
      </c>
      <c r="M12" s="27" t="str">
        <f>IF($G12="","",L12*ADRYr3!$Q12*ADRYr3!$R12)</f>
        <v/>
      </c>
      <c r="N12" s="27" t="str">
        <f t="shared" si="13"/>
        <v/>
      </c>
      <c r="O12" s="27" t="str">
        <f t="shared" si="14"/>
        <v/>
      </c>
      <c r="P12" s="27" t="str">
        <f>IF($G12="","",M12*ADRYr3!P12)</f>
        <v/>
      </c>
      <c r="Q12" s="27" t="str">
        <f t="shared" si="15"/>
        <v/>
      </c>
      <c r="R12" s="27" t="str">
        <f>IF($G12="","",$Q12*ADRYr3!Z12)</f>
        <v/>
      </c>
      <c r="S12" s="27" t="str">
        <f>IF($G12="","",$Q12*ADRYr3!AA12)</f>
        <v/>
      </c>
      <c r="T12" s="27" t="str">
        <f>IF($G12="","",$Q12*ADRYr3!AB12)</f>
        <v/>
      </c>
      <c r="U12" s="27" t="str">
        <f>IF($G12="","",$Q12*ADRYr3!AC12)</f>
        <v/>
      </c>
      <c r="V12" s="27" t="str">
        <f>IF($G12="","",G12*ADRYr3!$AD12*ADRYr3!$P12*ADRYr3!$Q12)</f>
        <v/>
      </c>
      <c r="W12" s="27" t="str">
        <f>IF($G12="","",$G12*ADRYr3!$AD12*ADRYr3!$AF12*ADRYr3!Q12*ADRYr3!$S12)</f>
        <v/>
      </c>
      <c r="X12" s="27" t="str">
        <f>IF($G12="","",$G12*ADRYr3!$AD12*ADRYr3!$AF12*ADRYr3!P12*ADRYr3!Q12*ADRYr3!$S12)</f>
        <v/>
      </c>
      <c r="Y12" s="27" t="str">
        <f>IF($G12="","",$G12*ADRYr3!$AD12*ADRYr3!$AE12*ADRYr3!Q12*ADRYr3!$T12)</f>
        <v/>
      </c>
      <c r="Z12" s="27" t="str">
        <f>IF($G12="","",$G12*ADRYr3!$AD12*ADRYr3!$AE12*ADRYr3!P12*ADRYr3!Q12*ADRYr3!$T12)</f>
        <v/>
      </c>
      <c r="AA12" s="45" t="str">
        <f>IF($G12="","",$G12*ADRYr3!$Q12*ADRYr3!$U12*(IF(IFERROR(SEARCH("NG", ADRYr3!$AI12),0),ADRYr3!$AJ12,0)+IF(IFERROR(SEARCH("NG", ADRYr3!$AK12),0),ADRYr3!$AL12,0)+IF(IFERROR(SEARCH("NG", ADRYr3!$AM12),0),ADRYr3!$AN12,0)))</f>
        <v/>
      </c>
      <c r="AB12" s="45" t="str">
        <f t="shared" si="16"/>
        <v/>
      </c>
      <c r="AC12" s="45">
        <f>IF($G12="",0,AA12*ADRYr3!$P12)</f>
        <v>0</v>
      </c>
      <c r="AD12" s="45" t="str">
        <f t="shared" si="17"/>
        <v/>
      </c>
      <c r="AE12" s="45" t="str">
        <f>IF($G12="","",$G12*ADRYr3!$Q12*ADRYr3!$U12*(IF(IFERROR(SEARCH("Oil", ADRYr3!$AI12), 0),ADRYr3!$AJ12,0)+IF(IFERROR(SEARCH("Oil", ADRYr3!$AK12), 0),ADRYr3!$AL12,0)+IF(IFERROR(SEARCH("Oil", ADRYr3!$AM12), 0),ADRYr3!$AN12,0)))</f>
        <v/>
      </c>
      <c r="AF12" s="45" t="str">
        <f t="shared" si="18"/>
        <v/>
      </c>
      <c r="AG12" s="45">
        <f>IF($G12="",0,AE12*ADRYr3!$P12)</f>
        <v>0</v>
      </c>
      <c r="AH12" s="45" t="str">
        <f t="shared" si="19"/>
        <v/>
      </c>
      <c r="AI12" s="45" t="str">
        <f>IF($G12="","",$G12*ADRYr3!$Q12*ADRYr3!$U12*(IF(ADRYr3!$AI12=Lookups!$E$116,ADRYr3!$AJ12,IF(ADRYr3!$AK12=Lookups!$E$116,ADRYr3!$AL12,IF(ADRYr3!$AM12=Lookups!$E$116,ADRYr3!$AN12,0)))))</f>
        <v/>
      </c>
      <c r="AJ12" s="45" t="str">
        <f t="shared" si="20"/>
        <v/>
      </c>
      <c r="AK12" s="45">
        <f>IF($G12="",0,AI12*ADRYr3!$P12)</f>
        <v>0</v>
      </c>
      <c r="AL12" s="45" t="str">
        <f t="shared" si="21"/>
        <v/>
      </c>
      <c r="AM12" s="45" t="str">
        <f>IF($G12="","",$G12*ADRYr3!$Q12*ADRYr3!$U12*(IF(ADRYr3!$AI12=Lookups!$E$115,ADRYr3!$AJ12,IF(ADRYr3!$AK12=Lookups!$E$115,ADRYr3!$AL12,IF(ADRYr3!$AM12=Lookups!$E$115,ADRYr3!$AN12,0)))))</f>
        <v/>
      </c>
      <c r="AN12" s="45" t="str">
        <f t="shared" si="22"/>
        <v/>
      </c>
      <c r="AO12" s="45">
        <f>IF($G12="",0,AM12*ADRYr3!$P12)</f>
        <v>0</v>
      </c>
      <c r="AP12" s="45" t="str">
        <f t="shared" si="23"/>
        <v/>
      </c>
      <c r="AQ12" s="45" t="str">
        <f>IF($G12="","",$G12*ADRYr3!$Q12*ADRYr3!$U12*(IF(ADRYr3!$AI12=Lookups!$E$117,ADRYr3!$AJ12,IF(ADRYr3!$AK12=Lookups!$E$117,ADRYr3!$AL12,IF(ADRYr3!$AM12=Lookups!$E$117,ADRYr3!$AN12,0)))))</f>
        <v/>
      </c>
      <c r="AR12" s="45" t="str">
        <f t="shared" si="24"/>
        <v/>
      </c>
      <c r="AS12" s="45" t="str">
        <f>IF($G12="","",AQ12*ADRYr3!$P12)</f>
        <v/>
      </c>
      <c r="AT12" s="45" t="str">
        <f t="shared" si="25"/>
        <v/>
      </c>
      <c r="AU12" s="45" t="str">
        <f>IF($G12="","",$G12*ADRYr3!$Q12*ADRYr3!$U12*(IF(ADRYr3!$AI12=Lookups!$E$118,ADRYr3!$AJ12,IF(ADRYr3!$AK12=Lookups!$E$118,ADRYr3!$AL12,IF(ADRYr3!$AM12=Lookups!$E$118,ADRYr3!$AN12,0)))))</f>
        <v/>
      </c>
      <c r="AV12" s="45" t="str">
        <f t="shared" si="26"/>
        <v/>
      </c>
      <c r="AW12" s="45" t="str">
        <f>IF($G12="","",AU12*ADRYr3!$P12)</f>
        <v/>
      </c>
      <c r="AX12" s="45" t="str">
        <f t="shared" si="27"/>
        <v/>
      </c>
      <c r="AY12" s="45">
        <f t="shared" si="28"/>
        <v>0</v>
      </c>
      <c r="AZ12" s="45">
        <f t="shared" si="29"/>
        <v>0</v>
      </c>
      <c r="BA12" s="101" t="str">
        <f>IF($G12="","",$G12*ADRYr3!$P12*ADRYr3!$Q12*ADRYr3!$U12*ADRYr3!AO12)</f>
        <v/>
      </c>
      <c r="BB12" s="102" t="str">
        <f>IF($G12="","",$G12*ADRYr3!$P12*ADRYr3!$Q12*ADRYr3!$U12*ADRYr3!AP12)</f>
        <v/>
      </c>
      <c r="BC12" s="100" t="str">
        <f t="shared" si="30"/>
        <v/>
      </c>
      <c r="BD12" s="961"/>
      <c r="BE12" s="961"/>
      <c r="BF12" s="961"/>
      <c r="BG12" s="961"/>
      <c r="BH12" s="962" t="str">
        <f t="shared" si="3"/>
        <v/>
      </c>
      <c r="BI12" s="961"/>
      <c r="BJ12" s="961"/>
      <c r="BK12" s="961"/>
      <c r="BL12" s="961"/>
      <c r="BM12" s="30" t="str">
        <f t="shared" si="4"/>
        <v/>
      </c>
      <c r="BN12" s="963" t="str">
        <f t="shared" si="31"/>
        <v/>
      </c>
      <c r="BO12" s="31" t="str">
        <f t="shared" si="32"/>
        <v/>
      </c>
      <c r="BP12" s="964" t="str">
        <f t="shared" si="5"/>
        <v/>
      </c>
      <c r="BQ12" s="28" t="str">
        <f t="shared" si="6"/>
        <v/>
      </c>
      <c r="BR12" s="964" t="str">
        <f t="shared" si="7"/>
        <v/>
      </c>
      <c r="BS12" s="964" t="str">
        <f t="shared" si="8"/>
        <v/>
      </c>
      <c r="BT12" s="28" t="str">
        <f t="shared" si="9"/>
        <v/>
      </c>
      <c r="BU12" s="28" t="str">
        <f t="shared" si="9"/>
        <v/>
      </c>
      <c r="BV12" s="28" t="str">
        <f t="shared" si="9"/>
        <v/>
      </c>
      <c r="BW12" s="29" t="str">
        <f t="shared" si="33"/>
        <v/>
      </c>
      <c r="BX12" s="29" t="str">
        <f t="shared" si="34"/>
        <v/>
      </c>
      <c r="BY12" s="28" t="str">
        <f>IF($G12="","",$G12*(IF(ADRYr3!$AI12=BY$4,ADRYr3!$AJ12,IF(ADRYr3!$AK12=BY$4,ADRYr3!$AL12,IF(ADRYr3!$AM12=BY$4,ADRYr3!$AN12,0))))*(INDEX(avoidedcosttbl3,$H12,BY$2)+(($H12-ROUNDDOWN($H12,0))*(INDEX(avoidedcosttbl3,ROUNDUP($H12,0),BY$2)-(INDEX(avoidedcosttbl3,ROUNDDOWN($H12,0),BY$2)))))*ADRYr3!P12*ADRYr3!Q12*ADRYr3!U12)</f>
        <v/>
      </c>
      <c r="BZ12" s="28" t="str">
        <f>IF($G12="","",$G12*(IF(ADRYr3!$AI12=BZ$4,ADRYr3!$AJ12,IF(ADRYr3!$AK12=BZ$4,ADRYr3!$AL12,IF(ADRYr3!$AM12=BZ$4,ADRYr3!$AN12,0))))*(INDEX(avoidedcosttbl3,$H12,BZ$2)+(($H12-ROUNDDOWN($H12,0))*(INDEX(avoidedcosttbl3,ROUNDUP($H12,0),BZ$2)-(INDEX(avoidedcosttbl3,ROUNDDOWN($H12,0),BZ$2)))))*ADRYr3!P12*ADRYr3!Q12*ADRYr3!U12)</f>
        <v/>
      </c>
      <c r="CA12" s="28" t="str">
        <f>IF($G12="","",$G12*(IF(ADRYr3!$AI12=CA$4,ADRYr3!$AJ12,IF(ADRYr3!$AK12=CA$4,ADRYr3!$AL12,IF(ADRYr3!$AM12=CA$4,ADRYr3!$AN12,0))))*(INDEX(avoidedcosttbl3,$H12,CA$2)+(($H12-ROUNDDOWN($H12,0))*(INDEX(avoidedcosttbl3,ROUNDUP($H12,0),CA$2)-(INDEX(avoidedcosttbl3,ROUNDDOWN($H12,0),CA$2)))))*ADRYr3!P12*ADRYr3!Q12*ADRYr3!U12)</f>
        <v/>
      </c>
      <c r="CB12" s="28" t="str">
        <f>IF($G12="","",$G12*(IF(ADRYr3!$AI12=CB$4,ADRYr3!$AJ12,IF(ADRYr3!$AK12=CB$4,ADRYr3!$AL12,IF(ADRYr3!$AM12=CB$4,ADRYr3!$AN12,0))))*(INDEX(avoidedcosttbl3,$H12,CB$2)+(($H12-ROUNDDOWN($H12,0))*(INDEX(avoidedcosttbl3,ROUNDUP($H12,0),CB$2)-(INDEX(avoidedcosttbl3,ROUNDDOWN($H12,0),CB$2)))))*ADRYr3!P12*ADRYr3!Q12*ADRYr3!U12)</f>
        <v/>
      </c>
      <c r="CC12" s="28" t="str">
        <f>IF($G12="","",$G12*(IF(ADRYr3!$AI12=CC$4,ADRYr3!$AJ12,IF(ADRYr3!$AK12=CC$4,ADRYr3!$AL12,IF(ADRYr3!$AM12=CC$4,ADRYr3!$AN12,0))))*(INDEX(avoidedcosttbl3,$H12,CC$2)+(($H12-ROUNDDOWN($H12,0))*(INDEX(avoidedcosttbl3,ROUNDUP($H12,0),CC$2)-(INDEX(avoidedcosttbl3,ROUNDDOWN($H12,0),CC$2)))))*ADRYr3!P12*ADRYr3!Q12*ADRYr3!U12)</f>
        <v/>
      </c>
      <c r="CD12" s="28" t="str">
        <f>IF($G12="","",$G12*(IF(ADRYr3!$AI12=CD$4,ADRYr3!$AJ12,IF(ADRYr3!$AK12=CD$4,ADRYr3!$AL12,IF(ADRYr3!$AM12=CD$4,ADRYr3!$AN12,0))))*(INDEX(avoidedcosttbl3,$H12,CD$2)+(($H12-ROUNDDOWN($H12,0))*(INDEX(avoidedcosttbl3,ROUNDUP($H12,0),CD$2)-(INDEX(avoidedcosttbl3,ROUNDDOWN($H12,0),CD$2)))))*ADRYr3!P12*ADRYr3!Q12*ADRYr3!U12)</f>
        <v/>
      </c>
      <c r="CE12" s="28" t="str">
        <f>IF($G12="","",$G12*(IF(ADRYr3!$AI12=CE$4,ADRYr3!$AJ12,IF(ADRYr3!$AK12=CE$4,ADRYr3!$AL12,IF(ADRYr3!$AM12=CE$4,ADRYr3!$AN12,0))))*(INDEX(avoidedcosttbl3,$H12,CE$2)+(($H12-ROUNDDOWN($H12,0))*(INDEX(avoidedcosttbl3,ROUNDUP($H12,0),CE$2)-(INDEX(avoidedcosttbl3,ROUNDDOWN($H12,0),CE$2)))))*ADRYr3!P12*ADRYr3!Q12*ADRYr3!U12)</f>
        <v/>
      </c>
      <c r="CF12" s="41" t="str">
        <f t="shared" si="35"/>
        <v/>
      </c>
      <c r="CG12" s="30" t="str">
        <f t="shared" si="10"/>
        <v/>
      </c>
      <c r="CH12" s="30" t="str">
        <f>IF($G12="","",$G12*(IF(ADRYr3!$AI12=BY$4,ADRYr3!$AJ12,IF(ADRYr3!$AK12=BY$4,ADRYr3!$AL12,IF(ADRYr3!$AM12=BY$4,ADRYr3!$AN12,0))))*(INDEX(avoidedcosttbl3,$H12,CH$2)+(($H12-ROUNDDOWN($H12,0))*(INDEX(avoidedcosttbl3,ROUNDUP($H12,0),CH$2)-(INDEX(avoidedcosttbl3,ROUNDDOWN($H12,0),CH$2)))))*ADRYr3!P12*ADRYr3!Q12*ADRYr3!U12)</f>
        <v/>
      </c>
      <c r="CI12" s="30" t="str">
        <f>IF($G12="","",$G12*(IF(ADRYr3!$AI12=BZ$4,ADRYr3!$AJ12,IF(ADRYr3!$AK12=BZ$4,ADRYr3!$AL12,IF(ADRYr3!$AM12=BZ$4,ADRYr3!$AN12,0))))*(INDEX(avoidedcosttbl3,$H12,CI$2)+(($H12-ROUNDDOWN($H12,0))*(INDEX(avoidedcosttbl3,ROUNDUP($H12,0),CI$2)-(INDEX(avoidedcosttbl3,ROUNDDOWN($H12,0),CI$2)))))*ADRYr3!P12*ADRYr3!Q12*ADRYr3!U12)</f>
        <v/>
      </c>
      <c r="CJ12" s="30" t="str">
        <f>IF($G12="","",$G12*(IF(ADRYr3!$AI12=CA$4,ADRYr3!$AJ12,IF(ADRYr3!$AK12=CA$4,ADRYr3!$AL12,IF(ADRYr3!$AM12=CA$4,ADRYr3!$AN12,0))))*(INDEX(avoidedcosttbl3,$H12,CJ$2)+(($H12-ROUNDDOWN($H12,0))*(INDEX(avoidedcosttbl3,ROUNDUP($H12,0),CJ$2)-(INDEX(avoidedcosttbl3,ROUNDDOWN($H12,0),CJ$2)))))*ADRYr3!P12*ADRYr3!Q12*ADRYr3!U12)</f>
        <v/>
      </c>
      <c r="CK12" s="30" t="str">
        <f>IF($G12="","",$G12*(IF(ADRYr3!$AI12=CB$4,ADRYr3!$AJ12,IF(ADRYr3!$AK12=CB$4,ADRYr3!$AL12,IF(ADRYr3!$AM12=CB$4,ADRYr3!$AN12,0))))*(INDEX(avoidedcosttbl3,$H12,CK$2)+(($H12-ROUNDDOWN($H12,0))*(INDEX(avoidedcosttbl3,ROUNDUP($H12,0),CK$2)-(INDEX(avoidedcosttbl3,ROUNDDOWN($H12,0),CK$2)))))*ADRYr3!P12*ADRYr3!Q12*ADRYr3!U12)</f>
        <v/>
      </c>
      <c r="CL12" s="30" t="str">
        <f>IF($G12="","",$G12*(IF(ADRYr3!$AI12=CC$4,ADRYr3!$AJ12,IF(ADRYr3!$AK12=CC$4,ADRYr3!$AL12,IF(ADRYr3!$AM12=CC$4,ADRYr3!$AN12,0))))*(INDEX(avoidedcosttbl3,$H12,CL$2)+(($H12-ROUNDDOWN($H12,0))*(INDEX(avoidedcosttbl3,ROUNDUP($H12,0),CL$2)-(INDEX(avoidedcosttbl3,ROUNDDOWN($H12,0),CL$2)))))*ADRYr3!P12*ADRYr3!Q12*ADRYr3!U12)</f>
        <v/>
      </c>
      <c r="CM12" s="30" t="str">
        <f>IF($G12="","",$G12*(IF(ADRYr3!$AI12=CD$4,ADRYr3!$AJ12,IF(ADRYr3!$AK12=CD$4,ADRYr3!$AL12,IF(ADRYr3!$AM12=CD$4,ADRYr3!$AN12,0))))*(INDEX(avoidedcosttbl3,$H12,CM$2)+(($H12-ROUNDDOWN($H12,0))*(INDEX(avoidedcosttbl3,ROUNDUP($H12,0),CM$2)-(INDEX(avoidedcosttbl3,ROUNDDOWN($H12,0),CM$2)))))*ADRYr3!P12*ADRYr3!Q12*ADRYr3!U12)</f>
        <v/>
      </c>
      <c r="CN12" s="30" t="str">
        <f>IF($G12="","",$G12*(IF(ADRYr3!$AI12=CE$4,ADRYr3!$AJ12,IF(ADRYr3!$AK12=CE$4,ADRYr3!$AL12,IF(ADRYr3!$AM12=CE$4,ADRYr3!$AN12,0))))*(INDEX(avoidedcosttbl3,$H12,CN$2)+(($H12-ROUNDDOWN($H12,0))*(INDEX(avoidedcosttbl3,ROUNDUP($H12,0),CN$2)-(INDEX(avoidedcosttbl3,ROUNDDOWN($H12,0),CN$2)))))*ADRYr3!P12*ADRYr3!Q12*ADRYr3!U12)</f>
        <v/>
      </c>
      <c r="CO12" s="220" t="str">
        <f t="shared" si="36"/>
        <v/>
      </c>
      <c r="CP12" s="220" t="str">
        <f t="shared" si="37"/>
        <v/>
      </c>
      <c r="CQ12" s="157" t="str">
        <f>IF($G12="","",$G12*(IF(ADRYr3!$AI12=CQ$4,ADRYr3!$AJ12,IF(ADRYr3!$AK12=CQ$4,ADRYr3!$AL12,IF(ADRYr3!$AM12=CQ$4,ADRYr3!$AN12,0))))*(INDEX(avoidedcosttbl3,$H12,CQ$2)+(($H12-ROUNDDOWN($H12,0))*(INDEX(avoidedcosttbl3,ROUNDUP($H12,0),CQ$2)-(INDEX(avoidedcosttbl3,ROUNDDOWN($H12,0),CQ$2)))))*ADRYr3!$P12*ADRYr3!$Q12*ADRYr3!$U12)</f>
        <v/>
      </c>
      <c r="CR12" s="28" t="str">
        <f>IF($G12="","",G12*(IF(ADRYr3!$AI12=CR$4,ADRYr3!$AJ12,IF(ADRYr3!$AK12=CR$4,ADRYr3!$AL12,IF(ADRYr3!$AM12=CR$4,ADRYr3!$AN12,0))))*(INDEX(avoidedcosttbl3,$H12,CR$2)+(($H12-ROUNDDOWN($H12,0))*(INDEX(avoidedcosttbl3,ROUNDUP($H12,0),CR$2)-(INDEX(avoidedcosttbl3,ROUNDDOWN($H12,0),CR$2)))))*ADRYr3!$P12*ADRYr3!$Q12*ADRYr3!$U12)</f>
        <v/>
      </c>
      <c r="CS12" s="28" t="str">
        <f>IF($G12="","",G12*(IF(ADRYr3!$AI12=CS$4,ADRYr3!$AJ12,IF(ADRYr3!$AK12=CS$4,ADRYr3!$AL12,IF(ADRYr3!$AM12=CS$4,ADRYr3!$AN12,0))))*(INDEX(avoidedcosttbl3,$H12,CS$2)+(($H12-ROUNDDOWN($H12,0))*(INDEX(avoidedcosttbl3,ROUNDUP($H12,0),CS$2)-(INDEX(avoidedcosttbl3,ROUNDDOWN($H12,0),CS$2)))))*ADRYr3!$P12*ADRYr3!$Q12*ADRYr3!$U12)</f>
        <v/>
      </c>
      <c r="CT12" s="28" t="str">
        <f t="shared" si="11"/>
        <v/>
      </c>
      <c r="CU12" s="28" t="str">
        <f>IF($G12="","",G12*(IF(ADRYr3!$AI12=CU$4,ADRYr3!$AJ12,IF(ADRYr3!$AK12=CU$4,ADRYr3!$AL12,IF(ADRYr3!$AM12=CU$4,ADRYr3!$AN12,0))))*(INDEX(avoidedcosttbl3,$H12,CU$2)+(($H12-ROUNDDOWN($H12,0))*(INDEX(avoidedcosttbl3,ROUNDUP($H12,0),CU$2)-(INDEX(avoidedcosttbl3,ROUNDDOWN($H12,0),CU$2)))))*ADRYr3!$P12*ADRYr3!$Q12*ADRYr3!$U12)</f>
        <v/>
      </c>
      <c r="CV12" s="28" t="str">
        <f>IF($G12="","",G12*(IF(ADRYr3!$AI12=CV$4,ADRYr3!$AJ12,IF(ADRYr3!$AK12=CV$4,ADRYr3!$AL12,IF(ADRYr3!$AM12=CV$4,ADRYr3!$AN12,0))))*(INDEX(avoidedcosttbl3,$H12,CV$2)+(($H12-ROUNDDOWN($H12,0))*(INDEX(avoidedcosttbl3,ROUNDUP($H12,0),CV$2)-(INDEX(avoidedcosttbl3,ROUNDDOWN($H12,0),CV$2)))))*ADRYr3!$P12*ADRYr3!$Q12*ADRYr3!$U12)</f>
        <v/>
      </c>
      <c r="CW12" s="28" t="str">
        <f>IF($G12="","",G12*(IF(ADRYr3!$AI12=CW$4,ADRYr3!$AJ12,IF(ADRYr3!$AK12=CW$4,ADRYr3!$AL12,IF(ADRYr3!$AM12=CW$4,ADRYr3!$AN12,0))))*(INDEX(avoidedcosttbl3,$H12,CW$2)+(($H12-ROUNDDOWN($H12,0))*(INDEX(avoidedcosttbl3,ROUNDUP($H12,0),CW$2)-(INDEX(avoidedcosttbl3,ROUNDDOWN($H12,0),CW$2)))))*ADRYr3!$P12*ADRYr3!$Q12*ADRYr3!$U12)</f>
        <v/>
      </c>
      <c r="CX12" s="28" t="str">
        <f>IF($G12="","",G12*(IF(ADRYr3!$AI12=CX$4,ADRYr3!$AJ12,IF(ADRYr3!$AK12=CX$4,ADRYr3!$AL12,IF(ADRYr3!$AM12=CX$4,ADRYr3!$AN12,0))))*(INDEX(avoidedcosttbl3,$H12,CX$2)+(($H12-ROUNDDOWN($H12,0))*(INDEX(avoidedcosttbl3,ROUNDUP($H12,0),CX$2)-(INDEX(avoidedcosttbl3,ROUNDDOWN($H12,0),CX$2)))))*ADRYr3!$P12*ADRYr3!$Q12*ADRYr3!$U12)</f>
        <v/>
      </c>
      <c r="CY12" s="28" t="str">
        <f t="shared" si="38"/>
        <v/>
      </c>
      <c r="CZ12" s="32" t="str">
        <f t="shared" si="39"/>
        <v/>
      </c>
      <c r="DA12" s="84" t="str">
        <f t="shared" si="40"/>
        <v/>
      </c>
      <c r="DB12" s="81" t="str">
        <f>IF(NEIadder="Yes",IF($G12="","",INDEX(Lookups!$G$70:$G$71,MATCH($A12,Lookups!$E$70:$E$71,0))*(SUM(CP12:CX12,BX12))),"")</f>
        <v/>
      </c>
      <c r="DC12" s="263" t="str">
        <f t="shared" si="41"/>
        <v/>
      </c>
      <c r="DD12" s="166" t="str">
        <f t="shared" si="42"/>
        <v/>
      </c>
      <c r="DE12" s="82">
        <f t="shared" si="43"/>
        <v>0</v>
      </c>
      <c r="DF12" s="615" t="str">
        <f>IF($G12="","",(1+WntPeakEnergyLL)*(INDEX(avoidedcosttbl3,$H12,DF$2)+(($H12-ROUNDDOWN($H12,0))*(INDEX(avoidedcosttbl3,ROUNDUP($H12,0),DF$2)-(INDEX(avoidedcosttbl3,ROUNDDOWN($H12,0),DF$2)))))*$P12*1000*ADRYr3!Z12)</f>
        <v/>
      </c>
      <c r="DG12" s="615" t="str">
        <f>IF($G12="","",(1+WntOffPeakEnergyLL)*(INDEX(avoidedcosttbl3,$H12,DG$2)+(($H12-ROUNDDOWN($H12,0))*(INDEX(avoidedcosttbl3,ROUNDUP($H12,0),DG$2)-(INDEX(avoidedcosttbl3,ROUNDDOWN($H12,0),DG$2)))))*$P12*1000*ADRYr3!AA12)</f>
        <v/>
      </c>
      <c r="DH12" s="615" t="str">
        <f>IF($G12="","",(1+SumPeakEnergyLL)*(INDEX(avoidedcosttbl3,$H12,DH$2)+(($H12-ROUNDDOWN($H12,0))*(INDEX(avoidedcosttbl3,ROUNDUP($H12,0),DH$2)-(INDEX(avoidedcosttbl3,ROUNDDOWN($H12,0),DH$2)))))*$P12*1000*ADRYr3!AB12)</f>
        <v/>
      </c>
      <c r="DI12" s="615" t="str">
        <f>IF($G12="","",(1+SumOffPeakEnergyLL)*(INDEX(avoidedcosttbl3,$H12,DI$2)+(($H12-ROUNDDOWN($H12,0))*(INDEX(avoidedcosttbl3,ROUNDUP($H12,0),DI$2)-(INDEX(avoidedcosttbl3,ROUNDDOWN($H12,0),DI$2)))))*$P12*1000*ADRYr3!AC12)</f>
        <v/>
      </c>
      <c r="DJ12" s="29" t="str">
        <f t="shared" si="44"/>
        <v/>
      </c>
      <c r="DK12" s="161" t="str">
        <f t="shared" si="45"/>
        <v/>
      </c>
      <c r="DL12" s="1189" t="str">
        <f t="shared" si="46"/>
        <v/>
      </c>
      <c r="DM12" s="1189" t="str">
        <f t="shared" si="47"/>
        <v/>
      </c>
      <c r="DN12" s="43" t="str">
        <f t="shared" si="48"/>
        <v/>
      </c>
      <c r="DO12" s="966" t="str">
        <f>IF($G12="","",ADRYr3!AQ12)</f>
        <v/>
      </c>
      <c r="DP12" s="968" t="str">
        <f>IF($G12="","",ADRYr3!AR12)</f>
        <v/>
      </c>
      <c r="DQ12" s="970" t="str">
        <f>IF($G12="","",IF($DP12="Yes",COLUMN(AESC!$L$10),IF($DP12="No","Using AvoidedDemand tab",IF($DP12="Mixed",COLUMN(AESC!$N$10)))))</f>
        <v/>
      </c>
      <c r="DR12" s="970" t="str">
        <f>IF($G12="","",IF($DP12="Yes",COLUMN(AESC!$P$10),IF($DP12="No","Using AvoidedDemand tab",IF($DP12="Mixed",COLUMN(AESC!$R$10)))))</f>
        <v/>
      </c>
      <c r="DS12" s="970" t="str">
        <f>IF($G12="","",IF($DP12="Yes",COLUMN(AESC!$S$10),IF($DP12="No",COLUMN(AESC!$T$10),IF($DP12="Mixed",COLUMN(AESC!$U$10)))))</f>
        <v/>
      </c>
      <c r="DT12" s="970" t="str">
        <f t="shared" si="49"/>
        <v/>
      </c>
      <c r="DU12" s="970" t="str">
        <f>IF($G12="","",ADRYr3!AS12)</f>
        <v/>
      </c>
      <c r="DV12" s="971" t="str">
        <f>IF($G12="","",ADRYr3!AT12)</f>
        <v/>
      </c>
      <c r="DW12" s="1162" t="str">
        <f>IF($G12="","",INDEX(AvoidedEnergy!$H$4:$H$10,MATCH($DO12,AvoidedEnergy!$A$4:$A$10,0)))</f>
        <v/>
      </c>
    </row>
    <row r="13" spans="1:127">
      <c r="A13" s="160" t="str">
        <f>IF(ADRYr3!$B13=0,"",ADRYr3!A13)</f>
        <v>A - Residential</v>
      </c>
      <c r="B13" s="9" t="str">
        <f>IF(ADRYr3!$B13=0,"",ADRYr3!B13)</f>
        <v>A5 - Residential Active Demand Response</v>
      </c>
      <c r="C13" s="9" t="str">
        <f>IF(ADRYr3!$B13=0,"",ADRYr3!C13)</f>
        <v>A5a - Residential Active Demand Response</v>
      </c>
      <c r="D13" s="9" t="str">
        <f>IF(ADRYr3!$B13=0,"",ADRYr3!D13)</f>
        <v>Storage Targeted Dispatch P4P (savings) Winter</v>
      </c>
      <c r="E13" s="9">
        <f>IF(ADRYr3!$B13=0,"",ADRYr3!E13)</f>
        <v>0</v>
      </c>
      <c r="F13" s="11" t="str">
        <f>IF(ADRYr3!$B13=0,"",ADRYr3!F13)</f>
        <v>Behavior</v>
      </c>
      <c r="G13" s="12" t="str">
        <f>IF(ADRYr3!$G13&lt;&gt;0,ADRYr3!G13,"")</f>
        <v/>
      </c>
      <c r="H13" s="960" t="str">
        <f>IF($G13="","",ROUND(ADRYr3!H13,0))</f>
        <v/>
      </c>
      <c r="I13" s="47" t="str">
        <f>IF($G13="","",ADRYr3!I13*ADRYr3!P13*G13)</f>
        <v/>
      </c>
      <c r="J13" s="47" t="str">
        <f>IF($G13="","",ADRYr3!J13*G13)</f>
        <v/>
      </c>
      <c r="K13" s="47" t="str">
        <f t="shared" si="12"/>
        <v/>
      </c>
      <c r="L13" s="27" t="str">
        <f>IF($G13="","",ADRYr3!V13*G13/1000)</f>
        <v/>
      </c>
      <c r="M13" s="27" t="str">
        <f>IF($G13="","",L13*ADRYr3!$Q13*ADRYr3!$R13)</f>
        <v/>
      </c>
      <c r="N13" s="27" t="str">
        <f t="shared" si="13"/>
        <v/>
      </c>
      <c r="O13" s="27" t="str">
        <f t="shared" si="14"/>
        <v/>
      </c>
      <c r="P13" s="27" t="str">
        <f>IF($G13="","",M13*ADRYr3!P13)</f>
        <v/>
      </c>
      <c r="Q13" s="27" t="str">
        <f t="shared" si="15"/>
        <v/>
      </c>
      <c r="R13" s="27" t="str">
        <f>IF($G13="","",$Q13*ADRYr3!Z13)</f>
        <v/>
      </c>
      <c r="S13" s="27" t="str">
        <f>IF($G13="","",$Q13*ADRYr3!AA13)</f>
        <v/>
      </c>
      <c r="T13" s="27" t="str">
        <f>IF($G13="","",$Q13*ADRYr3!AB13)</f>
        <v/>
      </c>
      <c r="U13" s="27" t="str">
        <f>IF($G13="","",$Q13*ADRYr3!AC13)</f>
        <v/>
      </c>
      <c r="V13" s="27" t="str">
        <f>IF($G13="","",G13*ADRYr3!$AD13*ADRYr3!$P13*ADRYr3!$Q13)</f>
        <v/>
      </c>
      <c r="W13" s="27" t="str">
        <f>IF($G13="","",$G13*ADRYr3!$AD13*ADRYr3!$AF13*ADRYr3!Q13*ADRYr3!$S13)</f>
        <v/>
      </c>
      <c r="X13" s="27" t="str">
        <f>IF($G13="","",$G13*ADRYr3!$AD13*ADRYr3!$AF13*ADRYr3!P13*ADRYr3!Q13*ADRYr3!$S13)</f>
        <v/>
      </c>
      <c r="Y13" s="27" t="str">
        <f>IF($G13="","",$G13*ADRYr3!$AD13*ADRYr3!$AE13*ADRYr3!Q13*ADRYr3!$T13)</f>
        <v/>
      </c>
      <c r="Z13" s="27" t="str">
        <f>IF($G13="","",$G13*ADRYr3!$AD13*ADRYr3!$AE13*ADRYr3!P13*ADRYr3!Q13*ADRYr3!$T13)</f>
        <v/>
      </c>
      <c r="AA13" s="45" t="str">
        <f>IF($G13="","",$G13*ADRYr3!$Q13*ADRYr3!$U13*(IF(IFERROR(SEARCH("NG", ADRYr3!$AI13),0),ADRYr3!$AJ13,0)+IF(IFERROR(SEARCH("NG", ADRYr3!$AK13),0),ADRYr3!$AL13,0)+IF(IFERROR(SEARCH("NG", ADRYr3!$AM13),0),ADRYr3!$AN13,0)))</f>
        <v/>
      </c>
      <c r="AB13" s="45" t="str">
        <f t="shared" si="16"/>
        <v/>
      </c>
      <c r="AC13" s="45">
        <f>IF($G13="",0,AA13*ADRYr3!$P13)</f>
        <v>0</v>
      </c>
      <c r="AD13" s="45" t="str">
        <f t="shared" si="17"/>
        <v/>
      </c>
      <c r="AE13" s="45" t="str">
        <f>IF($G13="","",$G13*ADRYr3!$Q13*ADRYr3!$U13*(IF(IFERROR(SEARCH("Oil", ADRYr3!$AI13), 0),ADRYr3!$AJ13,0)+IF(IFERROR(SEARCH("Oil", ADRYr3!$AK13), 0),ADRYr3!$AL13,0)+IF(IFERROR(SEARCH("Oil", ADRYr3!$AM13), 0),ADRYr3!$AN13,0)))</f>
        <v/>
      </c>
      <c r="AF13" s="45" t="str">
        <f t="shared" si="18"/>
        <v/>
      </c>
      <c r="AG13" s="45">
        <f>IF($G13="",0,AE13*ADRYr3!$P13)</f>
        <v>0</v>
      </c>
      <c r="AH13" s="45" t="str">
        <f t="shared" si="19"/>
        <v/>
      </c>
      <c r="AI13" s="45" t="str">
        <f>IF($G13="","",$G13*ADRYr3!$Q13*ADRYr3!$U13*(IF(ADRYr3!$AI13=Lookups!$E$116,ADRYr3!$AJ13,IF(ADRYr3!$AK13=Lookups!$E$116,ADRYr3!$AL13,IF(ADRYr3!$AM13=Lookups!$E$116,ADRYr3!$AN13,0)))))</f>
        <v/>
      </c>
      <c r="AJ13" s="45" t="str">
        <f t="shared" si="20"/>
        <v/>
      </c>
      <c r="AK13" s="45">
        <f>IF($G13="",0,AI13*ADRYr3!$P13)</f>
        <v>0</v>
      </c>
      <c r="AL13" s="45" t="str">
        <f t="shared" si="21"/>
        <v/>
      </c>
      <c r="AM13" s="45" t="str">
        <f>IF($G13="","",$G13*ADRYr3!$Q13*ADRYr3!$U13*(IF(ADRYr3!$AI13=Lookups!$E$115,ADRYr3!$AJ13,IF(ADRYr3!$AK13=Lookups!$E$115,ADRYr3!$AL13,IF(ADRYr3!$AM13=Lookups!$E$115,ADRYr3!$AN13,0)))))</f>
        <v/>
      </c>
      <c r="AN13" s="45" t="str">
        <f t="shared" si="22"/>
        <v/>
      </c>
      <c r="AO13" s="45">
        <f>IF($G13="",0,AM13*ADRYr3!$P13)</f>
        <v>0</v>
      </c>
      <c r="AP13" s="45" t="str">
        <f t="shared" si="23"/>
        <v/>
      </c>
      <c r="AQ13" s="45" t="str">
        <f>IF($G13="","",$G13*ADRYr3!$Q13*ADRYr3!$U13*(IF(ADRYr3!$AI13=Lookups!$E$117,ADRYr3!$AJ13,IF(ADRYr3!$AK13=Lookups!$E$117,ADRYr3!$AL13,IF(ADRYr3!$AM13=Lookups!$E$117,ADRYr3!$AN13,0)))))</f>
        <v/>
      </c>
      <c r="AR13" s="45" t="str">
        <f t="shared" si="24"/>
        <v/>
      </c>
      <c r="AS13" s="45" t="str">
        <f>IF($G13="","",AQ13*ADRYr3!$P13)</f>
        <v/>
      </c>
      <c r="AT13" s="45" t="str">
        <f t="shared" si="25"/>
        <v/>
      </c>
      <c r="AU13" s="45" t="str">
        <f>IF($G13="","",$G13*ADRYr3!$Q13*ADRYr3!$U13*(IF(ADRYr3!$AI13=Lookups!$E$118,ADRYr3!$AJ13,IF(ADRYr3!$AK13=Lookups!$E$118,ADRYr3!$AL13,IF(ADRYr3!$AM13=Lookups!$E$118,ADRYr3!$AN13,0)))))</f>
        <v/>
      </c>
      <c r="AV13" s="45" t="str">
        <f t="shared" si="26"/>
        <v/>
      </c>
      <c r="AW13" s="45" t="str">
        <f>IF($G13="","",AU13*ADRYr3!$P13)</f>
        <v/>
      </c>
      <c r="AX13" s="45" t="str">
        <f t="shared" si="27"/>
        <v/>
      </c>
      <c r="AY13" s="45">
        <f t="shared" si="28"/>
        <v>0</v>
      </c>
      <c r="AZ13" s="45">
        <f t="shared" si="29"/>
        <v>0</v>
      </c>
      <c r="BA13" s="101" t="str">
        <f>IF($G13="","",$G13*ADRYr3!$P13*ADRYr3!$Q13*ADRYr3!$U13*ADRYr3!AO13)</f>
        <v/>
      </c>
      <c r="BB13" s="102" t="str">
        <f>IF($G13="","",$G13*ADRYr3!$P13*ADRYr3!$Q13*ADRYr3!$U13*ADRYr3!AP13)</f>
        <v/>
      </c>
      <c r="BC13" s="100" t="str">
        <f t="shared" si="30"/>
        <v/>
      </c>
      <c r="BD13" s="961"/>
      <c r="BE13" s="961"/>
      <c r="BF13" s="961"/>
      <c r="BG13" s="961"/>
      <c r="BH13" s="962" t="str">
        <f t="shared" si="3"/>
        <v/>
      </c>
      <c r="BI13" s="961"/>
      <c r="BJ13" s="961"/>
      <c r="BK13" s="961"/>
      <c r="BL13" s="961"/>
      <c r="BM13" s="30" t="str">
        <f t="shared" si="4"/>
        <v/>
      </c>
      <c r="BN13" s="963" t="str">
        <f t="shared" si="31"/>
        <v/>
      </c>
      <c r="BO13" s="31" t="str">
        <f t="shared" si="32"/>
        <v/>
      </c>
      <c r="BP13" s="964" t="str">
        <f t="shared" si="5"/>
        <v/>
      </c>
      <c r="BQ13" s="28" t="str">
        <f t="shared" si="6"/>
        <v/>
      </c>
      <c r="BR13" s="964" t="str">
        <f t="shared" si="7"/>
        <v/>
      </c>
      <c r="BS13" s="964" t="str">
        <f t="shared" si="8"/>
        <v/>
      </c>
      <c r="BT13" s="28" t="str">
        <f t="shared" si="9"/>
        <v/>
      </c>
      <c r="BU13" s="28" t="str">
        <f t="shared" si="9"/>
        <v/>
      </c>
      <c r="BV13" s="28" t="str">
        <f t="shared" si="9"/>
        <v/>
      </c>
      <c r="BW13" s="29" t="str">
        <f t="shared" si="33"/>
        <v/>
      </c>
      <c r="BX13" s="29" t="str">
        <f t="shared" si="34"/>
        <v/>
      </c>
      <c r="BY13" s="28" t="str">
        <f>IF($G13="","",$G13*(IF(ADRYr3!$AI13=BY$4,ADRYr3!$AJ13,IF(ADRYr3!$AK13=BY$4,ADRYr3!$AL13,IF(ADRYr3!$AM13=BY$4,ADRYr3!$AN13,0))))*(INDEX(avoidedcosttbl3,$H13,BY$2)+(($H13-ROUNDDOWN($H13,0))*(INDEX(avoidedcosttbl3,ROUNDUP($H13,0),BY$2)-(INDEX(avoidedcosttbl3,ROUNDDOWN($H13,0),BY$2)))))*ADRYr3!P13*ADRYr3!Q13*ADRYr3!U13)</f>
        <v/>
      </c>
      <c r="BZ13" s="28" t="str">
        <f>IF($G13="","",$G13*(IF(ADRYr3!$AI13=BZ$4,ADRYr3!$AJ13,IF(ADRYr3!$AK13=BZ$4,ADRYr3!$AL13,IF(ADRYr3!$AM13=BZ$4,ADRYr3!$AN13,0))))*(INDEX(avoidedcosttbl3,$H13,BZ$2)+(($H13-ROUNDDOWN($H13,0))*(INDEX(avoidedcosttbl3,ROUNDUP($H13,0),BZ$2)-(INDEX(avoidedcosttbl3,ROUNDDOWN($H13,0),BZ$2)))))*ADRYr3!P13*ADRYr3!Q13*ADRYr3!U13)</f>
        <v/>
      </c>
      <c r="CA13" s="28" t="str">
        <f>IF($G13="","",$G13*(IF(ADRYr3!$AI13=CA$4,ADRYr3!$AJ13,IF(ADRYr3!$AK13=CA$4,ADRYr3!$AL13,IF(ADRYr3!$AM13=CA$4,ADRYr3!$AN13,0))))*(INDEX(avoidedcosttbl3,$H13,CA$2)+(($H13-ROUNDDOWN($H13,0))*(INDEX(avoidedcosttbl3,ROUNDUP($H13,0),CA$2)-(INDEX(avoidedcosttbl3,ROUNDDOWN($H13,0),CA$2)))))*ADRYr3!P13*ADRYr3!Q13*ADRYr3!U13)</f>
        <v/>
      </c>
      <c r="CB13" s="28" t="str">
        <f>IF($G13="","",$G13*(IF(ADRYr3!$AI13=CB$4,ADRYr3!$AJ13,IF(ADRYr3!$AK13=CB$4,ADRYr3!$AL13,IF(ADRYr3!$AM13=CB$4,ADRYr3!$AN13,0))))*(INDEX(avoidedcosttbl3,$H13,CB$2)+(($H13-ROUNDDOWN($H13,0))*(INDEX(avoidedcosttbl3,ROUNDUP($H13,0),CB$2)-(INDEX(avoidedcosttbl3,ROUNDDOWN($H13,0),CB$2)))))*ADRYr3!P13*ADRYr3!Q13*ADRYr3!U13)</f>
        <v/>
      </c>
      <c r="CC13" s="28" t="str">
        <f>IF($G13="","",$G13*(IF(ADRYr3!$AI13=CC$4,ADRYr3!$AJ13,IF(ADRYr3!$AK13=CC$4,ADRYr3!$AL13,IF(ADRYr3!$AM13=CC$4,ADRYr3!$AN13,0))))*(INDEX(avoidedcosttbl3,$H13,CC$2)+(($H13-ROUNDDOWN($H13,0))*(INDEX(avoidedcosttbl3,ROUNDUP($H13,0),CC$2)-(INDEX(avoidedcosttbl3,ROUNDDOWN($H13,0),CC$2)))))*ADRYr3!P13*ADRYr3!Q13*ADRYr3!U13)</f>
        <v/>
      </c>
      <c r="CD13" s="28" t="str">
        <f>IF($G13="","",$G13*(IF(ADRYr3!$AI13=CD$4,ADRYr3!$AJ13,IF(ADRYr3!$AK13=CD$4,ADRYr3!$AL13,IF(ADRYr3!$AM13=CD$4,ADRYr3!$AN13,0))))*(INDEX(avoidedcosttbl3,$H13,CD$2)+(($H13-ROUNDDOWN($H13,0))*(INDEX(avoidedcosttbl3,ROUNDUP($H13,0),CD$2)-(INDEX(avoidedcosttbl3,ROUNDDOWN($H13,0),CD$2)))))*ADRYr3!P13*ADRYr3!Q13*ADRYr3!U13)</f>
        <v/>
      </c>
      <c r="CE13" s="28" t="str">
        <f>IF($G13="","",$G13*(IF(ADRYr3!$AI13=CE$4,ADRYr3!$AJ13,IF(ADRYr3!$AK13=CE$4,ADRYr3!$AL13,IF(ADRYr3!$AM13=CE$4,ADRYr3!$AN13,0))))*(INDEX(avoidedcosttbl3,$H13,CE$2)+(($H13-ROUNDDOWN($H13,0))*(INDEX(avoidedcosttbl3,ROUNDUP($H13,0),CE$2)-(INDEX(avoidedcosttbl3,ROUNDDOWN($H13,0),CE$2)))))*ADRYr3!P13*ADRYr3!Q13*ADRYr3!U13)</f>
        <v/>
      </c>
      <c r="CF13" s="41" t="str">
        <f t="shared" si="35"/>
        <v/>
      </c>
      <c r="CG13" s="30" t="str">
        <f t="shared" si="10"/>
        <v/>
      </c>
      <c r="CH13" s="30" t="str">
        <f>IF($G13="","",$G13*(IF(ADRYr3!$AI13=BY$4,ADRYr3!$AJ13,IF(ADRYr3!$AK13=BY$4,ADRYr3!$AL13,IF(ADRYr3!$AM13=BY$4,ADRYr3!$AN13,0))))*(INDEX(avoidedcosttbl3,$H13,CH$2)+(($H13-ROUNDDOWN($H13,0))*(INDEX(avoidedcosttbl3,ROUNDUP($H13,0),CH$2)-(INDEX(avoidedcosttbl3,ROUNDDOWN($H13,0),CH$2)))))*ADRYr3!P13*ADRYr3!Q13*ADRYr3!U13)</f>
        <v/>
      </c>
      <c r="CI13" s="30" t="str">
        <f>IF($G13="","",$G13*(IF(ADRYr3!$AI13=BZ$4,ADRYr3!$AJ13,IF(ADRYr3!$AK13=BZ$4,ADRYr3!$AL13,IF(ADRYr3!$AM13=BZ$4,ADRYr3!$AN13,0))))*(INDEX(avoidedcosttbl3,$H13,CI$2)+(($H13-ROUNDDOWN($H13,0))*(INDEX(avoidedcosttbl3,ROUNDUP($H13,0),CI$2)-(INDEX(avoidedcosttbl3,ROUNDDOWN($H13,0),CI$2)))))*ADRYr3!P13*ADRYr3!Q13*ADRYr3!U13)</f>
        <v/>
      </c>
      <c r="CJ13" s="30" t="str">
        <f>IF($G13="","",$G13*(IF(ADRYr3!$AI13=CA$4,ADRYr3!$AJ13,IF(ADRYr3!$AK13=CA$4,ADRYr3!$AL13,IF(ADRYr3!$AM13=CA$4,ADRYr3!$AN13,0))))*(INDEX(avoidedcosttbl3,$H13,CJ$2)+(($H13-ROUNDDOWN($H13,0))*(INDEX(avoidedcosttbl3,ROUNDUP($H13,0),CJ$2)-(INDEX(avoidedcosttbl3,ROUNDDOWN($H13,0),CJ$2)))))*ADRYr3!P13*ADRYr3!Q13*ADRYr3!U13)</f>
        <v/>
      </c>
      <c r="CK13" s="30" t="str">
        <f>IF($G13="","",$G13*(IF(ADRYr3!$AI13=CB$4,ADRYr3!$AJ13,IF(ADRYr3!$AK13=CB$4,ADRYr3!$AL13,IF(ADRYr3!$AM13=CB$4,ADRYr3!$AN13,0))))*(INDEX(avoidedcosttbl3,$H13,CK$2)+(($H13-ROUNDDOWN($H13,0))*(INDEX(avoidedcosttbl3,ROUNDUP($H13,0),CK$2)-(INDEX(avoidedcosttbl3,ROUNDDOWN($H13,0),CK$2)))))*ADRYr3!P13*ADRYr3!Q13*ADRYr3!U13)</f>
        <v/>
      </c>
      <c r="CL13" s="30" t="str">
        <f>IF($G13="","",$G13*(IF(ADRYr3!$AI13=CC$4,ADRYr3!$AJ13,IF(ADRYr3!$AK13=CC$4,ADRYr3!$AL13,IF(ADRYr3!$AM13=CC$4,ADRYr3!$AN13,0))))*(INDEX(avoidedcosttbl3,$H13,CL$2)+(($H13-ROUNDDOWN($H13,0))*(INDEX(avoidedcosttbl3,ROUNDUP($H13,0),CL$2)-(INDEX(avoidedcosttbl3,ROUNDDOWN($H13,0),CL$2)))))*ADRYr3!P13*ADRYr3!Q13*ADRYr3!U13)</f>
        <v/>
      </c>
      <c r="CM13" s="30" t="str">
        <f>IF($G13="","",$G13*(IF(ADRYr3!$AI13=CD$4,ADRYr3!$AJ13,IF(ADRYr3!$AK13=CD$4,ADRYr3!$AL13,IF(ADRYr3!$AM13=CD$4,ADRYr3!$AN13,0))))*(INDEX(avoidedcosttbl3,$H13,CM$2)+(($H13-ROUNDDOWN($H13,0))*(INDEX(avoidedcosttbl3,ROUNDUP($H13,0),CM$2)-(INDEX(avoidedcosttbl3,ROUNDDOWN($H13,0),CM$2)))))*ADRYr3!P13*ADRYr3!Q13*ADRYr3!U13)</f>
        <v/>
      </c>
      <c r="CN13" s="30" t="str">
        <f>IF($G13="","",$G13*(IF(ADRYr3!$AI13=CE$4,ADRYr3!$AJ13,IF(ADRYr3!$AK13=CE$4,ADRYr3!$AL13,IF(ADRYr3!$AM13=CE$4,ADRYr3!$AN13,0))))*(INDEX(avoidedcosttbl3,$H13,CN$2)+(($H13-ROUNDDOWN($H13,0))*(INDEX(avoidedcosttbl3,ROUNDUP($H13,0),CN$2)-(INDEX(avoidedcosttbl3,ROUNDDOWN($H13,0),CN$2)))))*ADRYr3!P13*ADRYr3!Q13*ADRYr3!U13)</f>
        <v/>
      </c>
      <c r="CO13" s="220" t="str">
        <f t="shared" si="36"/>
        <v/>
      </c>
      <c r="CP13" s="220" t="str">
        <f t="shared" si="37"/>
        <v/>
      </c>
      <c r="CQ13" s="157" t="str">
        <f>IF($G13="","",$G13*(IF(ADRYr3!$AI13=CQ$4,ADRYr3!$AJ13,IF(ADRYr3!$AK13=CQ$4,ADRYr3!$AL13,IF(ADRYr3!$AM13=CQ$4,ADRYr3!$AN13,0))))*(INDEX(avoidedcosttbl3,$H13,CQ$2)+(($H13-ROUNDDOWN($H13,0))*(INDEX(avoidedcosttbl3,ROUNDUP($H13,0),CQ$2)-(INDEX(avoidedcosttbl3,ROUNDDOWN($H13,0),CQ$2)))))*ADRYr3!$P13*ADRYr3!$Q13*ADRYr3!$U13)</f>
        <v/>
      </c>
      <c r="CR13" s="28" t="str">
        <f>IF($G13="","",G13*(IF(ADRYr3!$AI13=CR$4,ADRYr3!$AJ13,IF(ADRYr3!$AK13=CR$4,ADRYr3!$AL13,IF(ADRYr3!$AM13=CR$4,ADRYr3!$AN13,0))))*(INDEX(avoidedcosttbl3,$H13,CR$2)+(($H13-ROUNDDOWN($H13,0))*(INDEX(avoidedcosttbl3,ROUNDUP($H13,0),CR$2)-(INDEX(avoidedcosttbl3,ROUNDDOWN($H13,0),CR$2)))))*ADRYr3!$P13*ADRYr3!$Q13*ADRYr3!$U13)</f>
        <v/>
      </c>
      <c r="CS13" s="28" t="str">
        <f>IF($G13="","",G13*(IF(ADRYr3!$AI13=CS$4,ADRYr3!$AJ13,IF(ADRYr3!$AK13=CS$4,ADRYr3!$AL13,IF(ADRYr3!$AM13=CS$4,ADRYr3!$AN13,0))))*(INDEX(avoidedcosttbl3,$H13,CS$2)+(($H13-ROUNDDOWN($H13,0))*(INDEX(avoidedcosttbl3,ROUNDUP($H13,0),CS$2)-(INDEX(avoidedcosttbl3,ROUNDDOWN($H13,0),CS$2)))))*ADRYr3!$P13*ADRYr3!$Q13*ADRYr3!$U13)</f>
        <v/>
      </c>
      <c r="CT13" s="28" t="str">
        <f t="shared" si="11"/>
        <v/>
      </c>
      <c r="CU13" s="28" t="str">
        <f>IF($G13="","",G13*(IF(ADRYr3!$AI13=CU$4,ADRYr3!$AJ13,IF(ADRYr3!$AK13=CU$4,ADRYr3!$AL13,IF(ADRYr3!$AM13=CU$4,ADRYr3!$AN13,0))))*(INDEX(avoidedcosttbl3,$H13,CU$2)+(($H13-ROUNDDOWN($H13,0))*(INDEX(avoidedcosttbl3,ROUNDUP($H13,0),CU$2)-(INDEX(avoidedcosttbl3,ROUNDDOWN($H13,0),CU$2)))))*ADRYr3!$P13*ADRYr3!$Q13*ADRYr3!$U13)</f>
        <v/>
      </c>
      <c r="CV13" s="28" t="str">
        <f>IF($G13="","",G13*(IF(ADRYr3!$AI13=CV$4,ADRYr3!$AJ13,IF(ADRYr3!$AK13=CV$4,ADRYr3!$AL13,IF(ADRYr3!$AM13=CV$4,ADRYr3!$AN13,0))))*(INDEX(avoidedcosttbl3,$H13,CV$2)+(($H13-ROUNDDOWN($H13,0))*(INDEX(avoidedcosttbl3,ROUNDUP($H13,0),CV$2)-(INDEX(avoidedcosttbl3,ROUNDDOWN($H13,0),CV$2)))))*ADRYr3!$P13*ADRYr3!$Q13*ADRYr3!$U13)</f>
        <v/>
      </c>
      <c r="CW13" s="28" t="str">
        <f>IF($G13="","",G13*(IF(ADRYr3!$AI13=CW$4,ADRYr3!$AJ13,IF(ADRYr3!$AK13=CW$4,ADRYr3!$AL13,IF(ADRYr3!$AM13=CW$4,ADRYr3!$AN13,0))))*(INDEX(avoidedcosttbl3,$H13,CW$2)+(($H13-ROUNDDOWN($H13,0))*(INDEX(avoidedcosttbl3,ROUNDUP($H13,0),CW$2)-(INDEX(avoidedcosttbl3,ROUNDDOWN($H13,0),CW$2)))))*ADRYr3!$P13*ADRYr3!$Q13*ADRYr3!$U13)</f>
        <v/>
      </c>
      <c r="CX13" s="28" t="str">
        <f>IF($G13="","",G13*(IF(ADRYr3!$AI13=CX$4,ADRYr3!$AJ13,IF(ADRYr3!$AK13=CX$4,ADRYr3!$AL13,IF(ADRYr3!$AM13=CX$4,ADRYr3!$AN13,0))))*(INDEX(avoidedcosttbl3,$H13,CX$2)+(($H13-ROUNDDOWN($H13,0))*(INDEX(avoidedcosttbl3,ROUNDUP($H13,0),CX$2)-(INDEX(avoidedcosttbl3,ROUNDDOWN($H13,0),CX$2)))))*ADRYr3!$P13*ADRYr3!$Q13*ADRYr3!$U13)</f>
        <v/>
      </c>
      <c r="CY13" s="28" t="str">
        <f t="shared" si="38"/>
        <v/>
      </c>
      <c r="CZ13" s="32" t="str">
        <f t="shared" si="39"/>
        <v/>
      </c>
      <c r="DA13" s="84" t="str">
        <f t="shared" si="40"/>
        <v/>
      </c>
      <c r="DB13" s="81" t="str">
        <f>IF(NEIadder="Yes",IF($G13="","",INDEX(Lookups!$G$70:$G$71,MATCH($A13,Lookups!$E$70:$E$71,0))*(SUM(CP13:CX13,BX13))),"")</f>
        <v/>
      </c>
      <c r="DC13" s="263" t="str">
        <f t="shared" si="41"/>
        <v/>
      </c>
      <c r="DD13" s="166" t="str">
        <f t="shared" si="42"/>
        <v/>
      </c>
      <c r="DE13" s="82">
        <f t="shared" si="43"/>
        <v>0</v>
      </c>
      <c r="DF13" s="615" t="str">
        <f>IF($G13="","",(1+WntPeakEnergyLL)*(INDEX(avoidedcosttbl3,$H13,DF$2)+(($H13-ROUNDDOWN($H13,0))*(INDEX(avoidedcosttbl3,ROUNDUP($H13,0),DF$2)-(INDEX(avoidedcosttbl3,ROUNDDOWN($H13,0),DF$2)))))*$P13*1000*ADRYr3!Z13)</f>
        <v/>
      </c>
      <c r="DG13" s="615" t="str">
        <f>IF($G13="","",(1+WntOffPeakEnergyLL)*(INDEX(avoidedcosttbl3,$H13,DG$2)+(($H13-ROUNDDOWN($H13,0))*(INDEX(avoidedcosttbl3,ROUNDUP($H13,0),DG$2)-(INDEX(avoidedcosttbl3,ROUNDDOWN($H13,0),DG$2)))))*$P13*1000*ADRYr3!AA13)</f>
        <v/>
      </c>
      <c r="DH13" s="615" t="str">
        <f>IF($G13="","",(1+SumPeakEnergyLL)*(INDEX(avoidedcosttbl3,$H13,DH$2)+(($H13-ROUNDDOWN($H13,0))*(INDEX(avoidedcosttbl3,ROUNDUP($H13,0),DH$2)-(INDEX(avoidedcosttbl3,ROUNDDOWN($H13,0),DH$2)))))*$P13*1000*ADRYr3!AB13)</f>
        <v/>
      </c>
      <c r="DI13" s="615" t="str">
        <f>IF($G13="","",(1+SumOffPeakEnergyLL)*(INDEX(avoidedcosttbl3,$H13,DI$2)+(($H13-ROUNDDOWN($H13,0))*(INDEX(avoidedcosttbl3,ROUNDUP($H13,0),DI$2)-(INDEX(avoidedcosttbl3,ROUNDDOWN($H13,0),DI$2)))))*$P13*1000*ADRYr3!AC13)</f>
        <v/>
      </c>
      <c r="DJ13" s="29" t="str">
        <f t="shared" si="44"/>
        <v/>
      </c>
      <c r="DK13" s="161" t="str">
        <f t="shared" si="45"/>
        <v/>
      </c>
      <c r="DL13" s="1189" t="str">
        <f t="shared" si="46"/>
        <v/>
      </c>
      <c r="DM13" s="1189" t="str">
        <f t="shared" si="47"/>
        <v/>
      </c>
      <c r="DN13" s="43" t="str">
        <f t="shared" si="48"/>
        <v/>
      </c>
      <c r="DO13" s="966" t="str">
        <f>IF($G13="","",ADRYr3!AQ13)</f>
        <v/>
      </c>
      <c r="DP13" s="968" t="str">
        <f>IF($G13="","",ADRYr3!AR13)</f>
        <v/>
      </c>
      <c r="DQ13" s="970" t="str">
        <f>IF($G13="","",IF($DP13="Yes",COLUMN(AESC!$L$10),IF($DP13="No","Using AvoidedDemand tab",IF($DP13="Mixed",COLUMN(AESC!$N$10)))))</f>
        <v/>
      </c>
      <c r="DR13" s="970" t="str">
        <f>IF($G13="","",IF($DP13="Yes",COLUMN(AESC!$P$10),IF($DP13="No","Using AvoidedDemand tab",IF($DP13="Mixed",COLUMN(AESC!$R$10)))))</f>
        <v/>
      </c>
      <c r="DS13" s="970" t="str">
        <f>IF($G13="","",IF($DP13="Yes",COLUMN(AESC!$S$10),IF($DP13="No",COLUMN(AESC!$T$10),IF($DP13="Mixed",COLUMN(AESC!$U$10)))))</f>
        <v/>
      </c>
      <c r="DT13" s="970" t="str">
        <f t="shared" si="49"/>
        <v/>
      </c>
      <c r="DU13" s="970" t="str">
        <f>IF($G13="","",ADRYr3!AS13)</f>
        <v/>
      </c>
      <c r="DV13" s="971" t="str">
        <f>IF($G13="","",ADRYr3!AT13)</f>
        <v/>
      </c>
      <c r="DW13" s="1162" t="str">
        <f>IF($G13="","",INDEX(AvoidedEnergy!$H$4:$H$10,MATCH($DO13,AvoidedEnergy!$A$4:$A$10,0)))</f>
        <v/>
      </c>
    </row>
    <row r="14" spans="1:127">
      <c r="A14" s="160" t="str">
        <f>IF(ADRYr3!$B14=0,"",ADRYr3!A14)</f>
        <v>A - Residential</v>
      </c>
      <c r="B14" s="9" t="str">
        <f>IF(ADRYr3!$B14=0,"",ADRYr3!B14)</f>
        <v>A5 - Residential Active Demand Response</v>
      </c>
      <c r="C14" s="9" t="str">
        <f>IF(ADRYr3!$B14=0,"",ADRYr3!C14)</f>
        <v>A5a - Residential Active Demand Response</v>
      </c>
      <c r="D14" s="9" t="str">
        <f>IF(ADRYr3!$B14=0,"",ADRYr3!D14)</f>
        <v>Storage Targeted Dispatch P4P (consumption) Winter</v>
      </c>
      <c r="E14" s="9">
        <f>IF(ADRYr3!$B14=0,"",ADRYr3!E14)</f>
        <v>0</v>
      </c>
      <c r="F14" s="11" t="str">
        <f>IF(ADRYr3!$B14=0,"",ADRYr3!F14)</f>
        <v>Behavior</v>
      </c>
      <c r="G14" s="12" t="str">
        <f>IF(ADRYr3!$G14&lt;&gt;0,ADRYr3!G14,"")</f>
        <v/>
      </c>
      <c r="H14" s="960" t="str">
        <f>IF($G14="","",ROUND(ADRYr3!H14,0))</f>
        <v/>
      </c>
      <c r="I14" s="47" t="str">
        <f>IF($G14="","",ADRYr3!I14*ADRYr3!P14*G14)</f>
        <v/>
      </c>
      <c r="J14" s="47" t="str">
        <f>IF($G14="","",ADRYr3!J14*G14)</f>
        <v/>
      </c>
      <c r="K14" s="47" t="str">
        <f t="shared" si="12"/>
        <v/>
      </c>
      <c r="L14" s="27" t="str">
        <f>IF($G14="","",ADRYr3!V14*G14/1000)</f>
        <v/>
      </c>
      <c r="M14" s="27" t="str">
        <f>IF($G14="","",L14*ADRYr3!$Q14*ADRYr3!$R14)</f>
        <v/>
      </c>
      <c r="N14" s="27" t="str">
        <f t="shared" si="13"/>
        <v/>
      </c>
      <c r="O14" s="27" t="str">
        <f t="shared" si="14"/>
        <v/>
      </c>
      <c r="P14" s="27" t="str">
        <f>IF($G14="","",M14*ADRYr3!P14)</f>
        <v/>
      </c>
      <c r="Q14" s="27" t="str">
        <f t="shared" si="15"/>
        <v/>
      </c>
      <c r="R14" s="27" t="str">
        <f>IF($G14="","",$Q14*ADRYr3!Z14)</f>
        <v/>
      </c>
      <c r="S14" s="27" t="str">
        <f>IF($G14="","",$Q14*ADRYr3!AA14)</f>
        <v/>
      </c>
      <c r="T14" s="27" t="str">
        <f>IF($G14="","",$Q14*ADRYr3!AB14)</f>
        <v/>
      </c>
      <c r="U14" s="27" t="str">
        <f>IF($G14="","",$Q14*ADRYr3!AC14)</f>
        <v/>
      </c>
      <c r="V14" s="27" t="str">
        <f>IF($G14="","",G14*ADRYr3!$AD14*ADRYr3!$P14*ADRYr3!$Q14)</f>
        <v/>
      </c>
      <c r="W14" s="27" t="str">
        <f>IF($G14="","",$G14*ADRYr3!$AD14*ADRYr3!$AF14*ADRYr3!Q14*ADRYr3!$S14)</f>
        <v/>
      </c>
      <c r="X14" s="27" t="str">
        <f>IF($G14="","",$G14*ADRYr3!$AD14*ADRYr3!$AF14*ADRYr3!P14*ADRYr3!Q14*ADRYr3!$S14)</f>
        <v/>
      </c>
      <c r="Y14" s="27" t="str">
        <f>IF($G14="","",$G14*ADRYr3!$AD14*ADRYr3!$AE14*ADRYr3!Q14*ADRYr3!$T14)</f>
        <v/>
      </c>
      <c r="Z14" s="27" t="str">
        <f>IF($G14="","",$G14*ADRYr3!$AD14*ADRYr3!$AE14*ADRYr3!P14*ADRYr3!Q14*ADRYr3!$T14)</f>
        <v/>
      </c>
      <c r="AA14" s="45" t="str">
        <f>IF($G14="","",$G14*ADRYr3!$Q14*ADRYr3!$U14*(IF(IFERROR(SEARCH("NG", ADRYr3!$AI14),0),ADRYr3!$AJ14,0)+IF(IFERROR(SEARCH("NG", ADRYr3!$AK14),0),ADRYr3!$AL14,0)+IF(IFERROR(SEARCH("NG", ADRYr3!$AM14),0),ADRYr3!$AN14,0)))</f>
        <v/>
      </c>
      <c r="AB14" s="45" t="str">
        <f t="shared" si="16"/>
        <v/>
      </c>
      <c r="AC14" s="45">
        <f>IF($G14="",0,AA14*ADRYr3!$P14)</f>
        <v>0</v>
      </c>
      <c r="AD14" s="45" t="str">
        <f t="shared" si="17"/>
        <v/>
      </c>
      <c r="AE14" s="45" t="str">
        <f>IF($G14="","",$G14*ADRYr3!$Q14*ADRYr3!$U14*(IF(IFERROR(SEARCH("Oil", ADRYr3!$AI14), 0),ADRYr3!$AJ14,0)+IF(IFERROR(SEARCH("Oil", ADRYr3!$AK14), 0),ADRYr3!$AL14,0)+IF(IFERROR(SEARCH("Oil", ADRYr3!$AM14), 0),ADRYr3!$AN14,0)))</f>
        <v/>
      </c>
      <c r="AF14" s="45" t="str">
        <f t="shared" si="18"/>
        <v/>
      </c>
      <c r="AG14" s="45">
        <f>IF($G14="",0,AE14*ADRYr3!$P14)</f>
        <v>0</v>
      </c>
      <c r="AH14" s="45" t="str">
        <f t="shared" si="19"/>
        <v/>
      </c>
      <c r="AI14" s="45" t="str">
        <f>IF($G14="","",$G14*ADRYr3!$Q14*ADRYr3!$U14*(IF(ADRYr3!$AI14=Lookups!$E$116,ADRYr3!$AJ14,IF(ADRYr3!$AK14=Lookups!$E$116,ADRYr3!$AL14,IF(ADRYr3!$AM14=Lookups!$E$116,ADRYr3!$AN14,0)))))</f>
        <v/>
      </c>
      <c r="AJ14" s="45" t="str">
        <f t="shared" si="20"/>
        <v/>
      </c>
      <c r="AK14" s="45">
        <f>IF($G14="",0,AI14*ADRYr3!$P14)</f>
        <v>0</v>
      </c>
      <c r="AL14" s="45" t="str">
        <f t="shared" si="21"/>
        <v/>
      </c>
      <c r="AM14" s="45" t="str">
        <f>IF($G14="","",$G14*ADRYr3!$Q14*ADRYr3!$U14*(IF(ADRYr3!$AI14=Lookups!$E$115,ADRYr3!$AJ14,IF(ADRYr3!$AK14=Lookups!$E$115,ADRYr3!$AL14,IF(ADRYr3!$AM14=Lookups!$E$115,ADRYr3!$AN14,0)))))</f>
        <v/>
      </c>
      <c r="AN14" s="45" t="str">
        <f t="shared" si="22"/>
        <v/>
      </c>
      <c r="AO14" s="45">
        <f>IF($G14="",0,AM14*ADRYr3!$P14)</f>
        <v>0</v>
      </c>
      <c r="AP14" s="45" t="str">
        <f t="shared" si="23"/>
        <v/>
      </c>
      <c r="AQ14" s="45" t="str">
        <f>IF($G14="","",$G14*ADRYr3!$Q14*ADRYr3!$U14*(IF(ADRYr3!$AI14=Lookups!$E$117,ADRYr3!$AJ14,IF(ADRYr3!$AK14=Lookups!$E$117,ADRYr3!$AL14,IF(ADRYr3!$AM14=Lookups!$E$117,ADRYr3!$AN14,0)))))</f>
        <v/>
      </c>
      <c r="AR14" s="45" t="str">
        <f t="shared" si="24"/>
        <v/>
      </c>
      <c r="AS14" s="45" t="str">
        <f>IF($G14="","",AQ14*ADRYr3!$P14)</f>
        <v/>
      </c>
      <c r="AT14" s="45" t="str">
        <f t="shared" si="25"/>
        <v/>
      </c>
      <c r="AU14" s="45" t="str">
        <f>IF($G14="","",$G14*ADRYr3!$Q14*ADRYr3!$U14*(IF(ADRYr3!$AI14=Lookups!$E$118,ADRYr3!$AJ14,IF(ADRYr3!$AK14=Lookups!$E$118,ADRYr3!$AL14,IF(ADRYr3!$AM14=Lookups!$E$118,ADRYr3!$AN14,0)))))</f>
        <v/>
      </c>
      <c r="AV14" s="45" t="str">
        <f t="shared" si="26"/>
        <v/>
      </c>
      <c r="AW14" s="45" t="str">
        <f>IF($G14="","",AU14*ADRYr3!$P14)</f>
        <v/>
      </c>
      <c r="AX14" s="45" t="str">
        <f t="shared" si="27"/>
        <v/>
      </c>
      <c r="AY14" s="45">
        <f t="shared" si="28"/>
        <v>0</v>
      </c>
      <c r="AZ14" s="45">
        <f t="shared" si="29"/>
        <v>0</v>
      </c>
      <c r="BA14" s="101" t="str">
        <f>IF($G14="","",$G14*ADRYr3!$P14*ADRYr3!$Q14*ADRYr3!$U14*ADRYr3!AO14)</f>
        <v/>
      </c>
      <c r="BB14" s="102" t="str">
        <f>IF($G14="","",$G14*ADRYr3!$P14*ADRYr3!$Q14*ADRYr3!$U14*ADRYr3!AP14)</f>
        <v/>
      </c>
      <c r="BC14" s="100" t="str">
        <f t="shared" si="30"/>
        <v/>
      </c>
      <c r="BD14" s="961"/>
      <c r="BE14" s="961"/>
      <c r="BF14" s="961"/>
      <c r="BG14" s="961"/>
      <c r="BH14" s="962" t="str">
        <f t="shared" si="3"/>
        <v/>
      </c>
      <c r="BI14" s="961"/>
      <c r="BJ14" s="961"/>
      <c r="BK14" s="961"/>
      <c r="BL14" s="961"/>
      <c r="BM14" s="30" t="str">
        <f t="shared" si="4"/>
        <v/>
      </c>
      <c r="BN14" s="963" t="str">
        <f t="shared" si="31"/>
        <v/>
      </c>
      <c r="BO14" s="31" t="str">
        <f t="shared" si="32"/>
        <v/>
      </c>
      <c r="BP14" s="964" t="str">
        <f t="shared" si="5"/>
        <v/>
      </c>
      <c r="BQ14" s="28" t="str">
        <f t="shared" si="6"/>
        <v/>
      </c>
      <c r="BR14" s="964" t="str">
        <f t="shared" si="7"/>
        <v/>
      </c>
      <c r="BS14" s="964" t="str">
        <f t="shared" si="8"/>
        <v/>
      </c>
      <c r="BT14" s="28" t="str">
        <f t="shared" si="9"/>
        <v/>
      </c>
      <c r="BU14" s="28" t="str">
        <f t="shared" si="9"/>
        <v/>
      </c>
      <c r="BV14" s="28" t="str">
        <f t="shared" si="9"/>
        <v/>
      </c>
      <c r="BW14" s="29" t="str">
        <f t="shared" si="33"/>
        <v/>
      </c>
      <c r="BX14" s="29" t="str">
        <f t="shared" si="34"/>
        <v/>
      </c>
      <c r="BY14" s="28" t="str">
        <f>IF($G14="","",$G14*(IF(ADRYr3!$AI14=BY$4,ADRYr3!$AJ14,IF(ADRYr3!$AK14=BY$4,ADRYr3!$AL14,IF(ADRYr3!$AM14=BY$4,ADRYr3!$AN14,0))))*(INDEX(avoidedcosttbl3,$H14,BY$2)+(($H14-ROUNDDOWN($H14,0))*(INDEX(avoidedcosttbl3,ROUNDUP($H14,0),BY$2)-(INDEX(avoidedcosttbl3,ROUNDDOWN($H14,0),BY$2)))))*ADRYr3!P14*ADRYr3!Q14*ADRYr3!U14)</f>
        <v/>
      </c>
      <c r="BZ14" s="28" t="str">
        <f>IF($G14="","",$G14*(IF(ADRYr3!$AI14=BZ$4,ADRYr3!$AJ14,IF(ADRYr3!$AK14=BZ$4,ADRYr3!$AL14,IF(ADRYr3!$AM14=BZ$4,ADRYr3!$AN14,0))))*(INDEX(avoidedcosttbl3,$H14,BZ$2)+(($H14-ROUNDDOWN($H14,0))*(INDEX(avoidedcosttbl3,ROUNDUP($H14,0),BZ$2)-(INDEX(avoidedcosttbl3,ROUNDDOWN($H14,0),BZ$2)))))*ADRYr3!P14*ADRYr3!Q14*ADRYr3!U14)</f>
        <v/>
      </c>
      <c r="CA14" s="28" t="str">
        <f>IF($G14="","",$G14*(IF(ADRYr3!$AI14=CA$4,ADRYr3!$AJ14,IF(ADRYr3!$AK14=CA$4,ADRYr3!$AL14,IF(ADRYr3!$AM14=CA$4,ADRYr3!$AN14,0))))*(INDEX(avoidedcosttbl3,$H14,CA$2)+(($H14-ROUNDDOWN($H14,0))*(INDEX(avoidedcosttbl3,ROUNDUP($H14,0),CA$2)-(INDEX(avoidedcosttbl3,ROUNDDOWN($H14,0),CA$2)))))*ADRYr3!P14*ADRYr3!Q14*ADRYr3!U14)</f>
        <v/>
      </c>
      <c r="CB14" s="28" t="str">
        <f>IF($G14="","",$G14*(IF(ADRYr3!$AI14=CB$4,ADRYr3!$AJ14,IF(ADRYr3!$AK14=CB$4,ADRYr3!$AL14,IF(ADRYr3!$AM14=CB$4,ADRYr3!$AN14,0))))*(INDEX(avoidedcosttbl3,$H14,CB$2)+(($H14-ROUNDDOWN($H14,0))*(INDEX(avoidedcosttbl3,ROUNDUP($H14,0),CB$2)-(INDEX(avoidedcosttbl3,ROUNDDOWN($H14,0),CB$2)))))*ADRYr3!P14*ADRYr3!Q14*ADRYr3!U14)</f>
        <v/>
      </c>
      <c r="CC14" s="28" t="str">
        <f>IF($G14="","",$G14*(IF(ADRYr3!$AI14=CC$4,ADRYr3!$AJ14,IF(ADRYr3!$AK14=CC$4,ADRYr3!$AL14,IF(ADRYr3!$AM14=CC$4,ADRYr3!$AN14,0))))*(INDEX(avoidedcosttbl3,$H14,CC$2)+(($H14-ROUNDDOWN($H14,0))*(INDEX(avoidedcosttbl3,ROUNDUP($H14,0),CC$2)-(INDEX(avoidedcosttbl3,ROUNDDOWN($H14,0),CC$2)))))*ADRYr3!P14*ADRYr3!Q14*ADRYr3!U14)</f>
        <v/>
      </c>
      <c r="CD14" s="28" t="str">
        <f>IF($G14="","",$G14*(IF(ADRYr3!$AI14=CD$4,ADRYr3!$AJ14,IF(ADRYr3!$AK14=CD$4,ADRYr3!$AL14,IF(ADRYr3!$AM14=CD$4,ADRYr3!$AN14,0))))*(INDEX(avoidedcosttbl3,$H14,CD$2)+(($H14-ROUNDDOWN($H14,0))*(INDEX(avoidedcosttbl3,ROUNDUP($H14,0),CD$2)-(INDEX(avoidedcosttbl3,ROUNDDOWN($H14,0),CD$2)))))*ADRYr3!P14*ADRYr3!Q14*ADRYr3!U14)</f>
        <v/>
      </c>
      <c r="CE14" s="28" t="str">
        <f>IF($G14="","",$G14*(IF(ADRYr3!$AI14=CE$4,ADRYr3!$AJ14,IF(ADRYr3!$AK14=CE$4,ADRYr3!$AL14,IF(ADRYr3!$AM14=CE$4,ADRYr3!$AN14,0))))*(INDEX(avoidedcosttbl3,$H14,CE$2)+(($H14-ROUNDDOWN($H14,0))*(INDEX(avoidedcosttbl3,ROUNDUP($H14,0),CE$2)-(INDEX(avoidedcosttbl3,ROUNDDOWN($H14,0),CE$2)))))*ADRYr3!P14*ADRYr3!Q14*ADRYr3!U14)</f>
        <v/>
      </c>
      <c r="CF14" s="41" t="str">
        <f t="shared" si="35"/>
        <v/>
      </c>
      <c r="CG14" s="30" t="str">
        <f t="shared" si="10"/>
        <v/>
      </c>
      <c r="CH14" s="30" t="str">
        <f>IF($G14="","",$G14*(IF(ADRYr3!$AI14=BY$4,ADRYr3!$AJ14,IF(ADRYr3!$AK14=BY$4,ADRYr3!$AL14,IF(ADRYr3!$AM14=BY$4,ADRYr3!$AN14,0))))*(INDEX(avoidedcosttbl3,$H14,CH$2)+(($H14-ROUNDDOWN($H14,0))*(INDEX(avoidedcosttbl3,ROUNDUP($H14,0),CH$2)-(INDEX(avoidedcosttbl3,ROUNDDOWN($H14,0),CH$2)))))*ADRYr3!P14*ADRYr3!Q14*ADRYr3!U14)</f>
        <v/>
      </c>
      <c r="CI14" s="30" t="str">
        <f>IF($G14="","",$G14*(IF(ADRYr3!$AI14=BZ$4,ADRYr3!$AJ14,IF(ADRYr3!$AK14=BZ$4,ADRYr3!$AL14,IF(ADRYr3!$AM14=BZ$4,ADRYr3!$AN14,0))))*(INDEX(avoidedcosttbl3,$H14,CI$2)+(($H14-ROUNDDOWN($H14,0))*(INDEX(avoidedcosttbl3,ROUNDUP($H14,0),CI$2)-(INDEX(avoidedcosttbl3,ROUNDDOWN($H14,0),CI$2)))))*ADRYr3!P14*ADRYr3!Q14*ADRYr3!U14)</f>
        <v/>
      </c>
      <c r="CJ14" s="30" t="str">
        <f>IF($G14="","",$G14*(IF(ADRYr3!$AI14=CA$4,ADRYr3!$AJ14,IF(ADRYr3!$AK14=CA$4,ADRYr3!$AL14,IF(ADRYr3!$AM14=CA$4,ADRYr3!$AN14,0))))*(INDEX(avoidedcosttbl3,$H14,CJ$2)+(($H14-ROUNDDOWN($H14,0))*(INDEX(avoidedcosttbl3,ROUNDUP($H14,0),CJ$2)-(INDEX(avoidedcosttbl3,ROUNDDOWN($H14,0),CJ$2)))))*ADRYr3!P14*ADRYr3!Q14*ADRYr3!U14)</f>
        <v/>
      </c>
      <c r="CK14" s="30" t="str">
        <f>IF($G14="","",$G14*(IF(ADRYr3!$AI14=CB$4,ADRYr3!$AJ14,IF(ADRYr3!$AK14=CB$4,ADRYr3!$AL14,IF(ADRYr3!$AM14=CB$4,ADRYr3!$AN14,0))))*(INDEX(avoidedcosttbl3,$H14,CK$2)+(($H14-ROUNDDOWN($H14,0))*(INDEX(avoidedcosttbl3,ROUNDUP($H14,0),CK$2)-(INDEX(avoidedcosttbl3,ROUNDDOWN($H14,0),CK$2)))))*ADRYr3!P14*ADRYr3!Q14*ADRYr3!U14)</f>
        <v/>
      </c>
      <c r="CL14" s="30" t="str">
        <f>IF($G14="","",$G14*(IF(ADRYr3!$AI14=CC$4,ADRYr3!$AJ14,IF(ADRYr3!$AK14=CC$4,ADRYr3!$AL14,IF(ADRYr3!$AM14=CC$4,ADRYr3!$AN14,0))))*(INDEX(avoidedcosttbl3,$H14,CL$2)+(($H14-ROUNDDOWN($H14,0))*(INDEX(avoidedcosttbl3,ROUNDUP($H14,0),CL$2)-(INDEX(avoidedcosttbl3,ROUNDDOWN($H14,0),CL$2)))))*ADRYr3!P14*ADRYr3!Q14*ADRYr3!U14)</f>
        <v/>
      </c>
      <c r="CM14" s="30" t="str">
        <f>IF($G14="","",$G14*(IF(ADRYr3!$AI14=CD$4,ADRYr3!$AJ14,IF(ADRYr3!$AK14=CD$4,ADRYr3!$AL14,IF(ADRYr3!$AM14=CD$4,ADRYr3!$AN14,0))))*(INDEX(avoidedcosttbl3,$H14,CM$2)+(($H14-ROUNDDOWN($H14,0))*(INDEX(avoidedcosttbl3,ROUNDUP($H14,0),CM$2)-(INDEX(avoidedcosttbl3,ROUNDDOWN($H14,0),CM$2)))))*ADRYr3!P14*ADRYr3!Q14*ADRYr3!U14)</f>
        <v/>
      </c>
      <c r="CN14" s="30" t="str">
        <f>IF($G14="","",$G14*(IF(ADRYr3!$AI14=CE$4,ADRYr3!$AJ14,IF(ADRYr3!$AK14=CE$4,ADRYr3!$AL14,IF(ADRYr3!$AM14=CE$4,ADRYr3!$AN14,0))))*(INDEX(avoidedcosttbl3,$H14,CN$2)+(($H14-ROUNDDOWN($H14,0))*(INDEX(avoidedcosttbl3,ROUNDUP($H14,0),CN$2)-(INDEX(avoidedcosttbl3,ROUNDDOWN($H14,0),CN$2)))))*ADRYr3!P14*ADRYr3!Q14*ADRYr3!U14)</f>
        <v/>
      </c>
      <c r="CO14" s="220" t="str">
        <f t="shared" si="36"/>
        <v/>
      </c>
      <c r="CP14" s="220" t="str">
        <f t="shared" si="37"/>
        <v/>
      </c>
      <c r="CQ14" s="157" t="str">
        <f>IF($G14="","",$G14*(IF(ADRYr3!$AI14=CQ$4,ADRYr3!$AJ14,IF(ADRYr3!$AK14=CQ$4,ADRYr3!$AL14,IF(ADRYr3!$AM14=CQ$4,ADRYr3!$AN14,0))))*(INDEX(avoidedcosttbl3,$H14,CQ$2)+(($H14-ROUNDDOWN($H14,0))*(INDEX(avoidedcosttbl3,ROUNDUP($H14,0),CQ$2)-(INDEX(avoidedcosttbl3,ROUNDDOWN($H14,0),CQ$2)))))*ADRYr3!$P14*ADRYr3!$Q14*ADRYr3!$U14)</f>
        <v/>
      </c>
      <c r="CR14" s="28" t="str">
        <f>IF($G14="","",G14*(IF(ADRYr3!$AI14=CR$4,ADRYr3!$AJ14,IF(ADRYr3!$AK14=CR$4,ADRYr3!$AL14,IF(ADRYr3!$AM14=CR$4,ADRYr3!$AN14,0))))*(INDEX(avoidedcosttbl3,$H14,CR$2)+(($H14-ROUNDDOWN($H14,0))*(INDEX(avoidedcosttbl3,ROUNDUP($H14,0),CR$2)-(INDEX(avoidedcosttbl3,ROUNDDOWN($H14,0),CR$2)))))*ADRYr3!$P14*ADRYr3!$Q14*ADRYr3!$U14)</f>
        <v/>
      </c>
      <c r="CS14" s="28" t="str">
        <f>IF($G14="","",G14*(IF(ADRYr3!$AI14=CS$4,ADRYr3!$AJ14,IF(ADRYr3!$AK14=CS$4,ADRYr3!$AL14,IF(ADRYr3!$AM14=CS$4,ADRYr3!$AN14,0))))*(INDEX(avoidedcosttbl3,$H14,CS$2)+(($H14-ROUNDDOWN($H14,0))*(INDEX(avoidedcosttbl3,ROUNDUP($H14,0),CS$2)-(INDEX(avoidedcosttbl3,ROUNDDOWN($H14,0),CS$2)))))*ADRYr3!$P14*ADRYr3!$Q14*ADRYr3!$U14)</f>
        <v/>
      </c>
      <c r="CT14" s="28" t="str">
        <f t="shared" si="11"/>
        <v/>
      </c>
      <c r="CU14" s="28" t="str">
        <f>IF($G14="","",G14*(IF(ADRYr3!$AI14=CU$4,ADRYr3!$AJ14,IF(ADRYr3!$AK14=CU$4,ADRYr3!$AL14,IF(ADRYr3!$AM14=CU$4,ADRYr3!$AN14,0))))*(INDEX(avoidedcosttbl3,$H14,CU$2)+(($H14-ROUNDDOWN($H14,0))*(INDEX(avoidedcosttbl3,ROUNDUP($H14,0),CU$2)-(INDEX(avoidedcosttbl3,ROUNDDOWN($H14,0),CU$2)))))*ADRYr3!$P14*ADRYr3!$Q14*ADRYr3!$U14)</f>
        <v/>
      </c>
      <c r="CV14" s="28" t="str">
        <f>IF($G14="","",G14*(IF(ADRYr3!$AI14=CV$4,ADRYr3!$AJ14,IF(ADRYr3!$AK14=CV$4,ADRYr3!$AL14,IF(ADRYr3!$AM14=CV$4,ADRYr3!$AN14,0))))*(INDEX(avoidedcosttbl3,$H14,CV$2)+(($H14-ROUNDDOWN($H14,0))*(INDEX(avoidedcosttbl3,ROUNDUP($H14,0),CV$2)-(INDEX(avoidedcosttbl3,ROUNDDOWN($H14,0),CV$2)))))*ADRYr3!$P14*ADRYr3!$Q14*ADRYr3!$U14)</f>
        <v/>
      </c>
      <c r="CW14" s="28" t="str">
        <f>IF($G14="","",G14*(IF(ADRYr3!$AI14=CW$4,ADRYr3!$AJ14,IF(ADRYr3!$AK14=CW$4,ADRYr3!$AL14,IF(ADRYr3!$AM14=CW$4,ADRYr3!$AN14,0))))*(INDEX(avoidedcosttbl3,$H14,CW$2)+(($H14-ROUNDDOWN($H14,0))*(INDEX(avoidedcosttbl3,ROUNDUP($H14,0),CW$2)-(INDEX(avoidedcosttbl3,ROUNDDOWN($H14,0),CW$2)))))*ADRYr3!$P14*ADRYr3!$Q14*ADRYr3!$U14)</f>
        <v/>
      </c>
      <c r="CX14" s="28" t="str">
        <f>IF($G14="","",G14*(IF(ADRYr3!$AI14=CX$4,ADRYr3!$AJ14,IF(ADRYr3!$AK14=CX$4,ADRYr3!$AL14,IF(ADRYr3!$AM14=CX$4,ADRYr3!$AN14,0))))*(INDEX(avoidedcosttbl3,$H14,CX$2)+(($H14-ROUNDDOWN($H14,0))*(INDEX(avoidedcosttbl3,ROUNDUP($H14,0),CX$2)-(INDEX(avoidedcosttbl3,ROUNDDOWN($H14,0),CX$2)))))*ADRYr3!$P14*ADRYr3!$Q14*ADRYr3!$U14)</f>
        <v/>
      </c>
      <c r="CY14" s="28" t="str">
        <f t="shared" si="38"/>
        <v/>
      </c>
      <c r="CZ14" s="32" t="str">
        <f t="shared" si="39"/>
        <v/>
      </c>
      <c r="DA14" s="84" t="str">
        <f t="shared" si="40"/>
        <v/>
      </c>
      <c r="DB14" s="81" t="str">
        <f>IF(NEIadder="Yes",IF($G14="","",INDEX(Lookups!$G$70:$G$71,MATCH($A14,Lookups!$E$70:$E$71,0))*(SUM(CP14:CX14,BX14))),"")</f>
        <v/>
      </c>
      <c r="DC14" s="263" t="str">
        <f t="shared" si="41"/>
        <v/>
      </c>
      <c r="DD14" s="166" t="str">
        <f t="shared" si="42"/>
        <v/>
      </c>
      <c r="DE14" s="82">
        <f t="shared" si="43"/>
        <v>0</v>
      </c>
      <c r="DF14" s="615" t="str">
        <f>IF($G14="","",(1+WntPeakEnergyLL)*(INDEX(avoidedcosttbl3,$H14,DF$2)+(($H14-ROUNDDOWN($H14,0))*(INDEX(avoidedcosttbl3,ROUNDUP($H14,0),DF$2)-(INDEX(avoidedcosttbl3,ROUNDDOWN($H14,0),DF$2)))))*$P14*1000*ADRYr3!Z14)</f>
        <v/>
      </c>
      <c r="DG14" s="615" t="str">
        <f>IF($G14="","",(1+WntOffPeakEnergyLL)*(INDEX(avoidedcosttbl3,$H14,DG$2)+(($H14-ROUNDDOWN($H14,0))*(INDEX(avoidedcosttbl3,ROUNDUP($H14,0),DG$2)-(INDEX(avoidedcosttbl3,ROUNDDOWN($H14,0),DG$2)))))*$P14*1000*ADRYr3!AA14)</f>
        <v/>
      </c>
      <c r="DH14" s="615" t="str">
        <f>IF($G14="","",(1+SumPeakEnergyLL)*(INDEX(avoidedcosttbl3,$H14,DH$2)+(($H14-ROUNDDOWN($H14,0))*(INDEX(avoidedcosttbl3,ROUNDUP($H14,0),DH$2)-(INDEX(avoidedcosttbl3,ROUNDDOWN($H14,0),DH$2)))))*$P14*1000*ADRYr3!AB14)</f>
        <v/>
      </c>
      <c r="DI14" s="615" t="str">
        <f>IF($G14="","",(1+SumOffPeakEnergyLL)*(INDEX(avoidedcosttbl3,$H14,DI$2)+(($H14-ROUNDDOWN($H14,0))*(INDEX(avoidedcosttbl3,ROUNDUP($H14,0),DI$2)-(INDEX(avoidedcosttbl3,ROUNDDOWN($H14,0),DI$2)))))*$P14*1000*ADRYr3!AC14)</f>
        <v/>
      </c>
      <c r="DJ14" s="29" t="str">
        <f t="shared" si="44"/>
        <v/>
      </c>
      <c r="DK14" s="161" t="str">
        <f t="shared" si="45"/>
        <v/>
      </c>
      <c r="DL14" s="1189" t="str">
        <f t="shared" si="46"/>
        <v/>
      </c>
      <c r="DM14" s="1189" t="str">
        <f t="shared" si="47"/>
        <v/>
      </c>
      <c r="DN14" s="43" t="str">
        <f t="shared" si="48"/>
        <v/>
      </c>
      <c r="DO14" s="966" t="str">
        <f>IF($G14="","",ADRYr3!AQ14)</f>
        <v/>
      </c>
      <c r="DP14" s="968" t="str">
        <f>IF($G14="","",ADRYr3!AR14)</f>
        <v/>
      </c>
      <c r="DQ14" s="970" t="str">
        <f>IF($G14="","",IF($DP14="Yes",COLUMN(AESC!$L$10),IF($DP14="No","Using AvoidedDemand tab",IF($DP14="Mixed",COLUMN(AESC!$N$10)))))</f>
        <v/>
      </c>
      <c r="DR14" s="970" t="str">
        <f>IF($G14="","",IF($DP14="Yes",COLUMN(AESC!$P$10),IF($DP14="No","Using AvoidedDemand tab",IF($DP14="Mixed",COLUMN(AESC!$R$10)))))</f>
        <v/>
      </c>
      <c r="DS14" s="970" t="str">
        <f>IF($G14="","",IF($DP14="Yes",COLUMN(AESC!$S$10),IF($DP14="No",COLUMN(AESC!$T$10),IF($DP14="Mixed",COLUMN(AESC!$U$10)))))</f>
        <v/>
      </c>
      <c r="DT14" s="970" t="str">
        <f t="shared" si="49"/>
        <v/>
      </c>
      <c r="DU14" s="970" t="str">
        <f>IF($G14="","",ADRYr3!AS14)</f>
        <v/>
      </c>
      <c r="DV14" s="971" t="str">
        <f>IF($G14="","",ADRYr3!AT14)</f>
        <v/>
      </c>
      <c r="DW14" s="1162" t="str">
        <f>IF($G14="","",INDEX(AvoidedEnergy!$H$4:$H$10,MATCH($DO14,AvoidedEnergy!$A$4:$A$10,0)))</f>
        <v/>
      </c>
    </row>
    <row r="15" spans="1:127">
      <c r="A15" s="160" t="str">
        <f>IF(ADRYr3!$B15=0,"",ADRYr3!A15)</f>
        <v>A - Residential</v>
      </c>
      <c r="B15" s="9" t="str">
        <f>IF(ADRYr3!$B15=0,"",ADRYr3!B15)</f>
        <v>A5 - Residential Active Demand Response</v>
      </c>
      <c r="C15" s="9" t="str">
        <f>IF(ADRYr3!$B15=0,"",ADRYr3!C15)</f>
        <v>A5a - Residential Active Demand Response</v>
      </c>
      <c r="D15" s="9" t="str">
        <f>IF(ADRYr3!$B15=0,"",ADRYr3!D15)</f>
        <v>EV Load Management Summer</v>
      </c>
      <c r="E15" s="9">
        <f>IF(ADRYr3!$B15=0,"",ADRYr3!E15)</f>
        <v>0</v>
      </c>
      <c r="F15" s="11" t="str">
        <f>IF(ADRYr3!$B15=0,"",ADRYr3!F15)</f>
        <v>Behavior</v>
      </c>
      <c r="G15" s="12" t="str">
        <f>IF(ADRYr3!$G15&lt;&gt;0,ADRYr3!G15,"")</f>
        <v/>
      </c>
      <c r="H15" s="960" t="str">
        <f>IF($G15="","",ROUND(ADRYr3!H15,0))</f>
        <v/>
      </c>
      <c r="I15" s="47" t="str">
        <f>IF($G15="","",ADRYr3!I15*ADRYr3!P15*G15)</f>
        <v/>
      </c>
      <c r="J15" s="47" t="str">
        <f>IF($G15="","",ADRYr3!J15*G15)</f>
        <v/>
      </c>
      <c r="K15" s="47" t="str">
        <f t="shared" si="12"/>
        <v/>
      </c>
      <c r="L15" s="27" t="str">
        <f>IF($G15="","",ADRYr3!V15*G15/1000)</f>
        <v/>
      </c>
      <c r="M15" s="27" t="str">
        <f>IF($G15="","",L15*ADRYr3!$Q15*ADRYr3!$R15)</f>
        <v/>
      </c>
      <c r="N15" s="27" t="str">
        <f t="shared" si="13"/>
        <v/>
      </c>
      <c r="O15" s="27" t="str">
        <f t="shared" si="14"/>
        <v/>
      </c>
      <c r="P15" s="27" t="str">
        <f>IF($G15="","",M15*ADRYr3!P15)</f>
        <v/>
      </c>
      <c r="Q15" s="27" t="str">
        <f t="shared" si="15"/>
        <v/>
      </c>
      <c r="R15" s="27" t="str">
        <f>IF($G15="","",$Q15*ADRYr3!Z15)</f>
        <v/>
      </c>
      <c r="S15" s="27" t="str">
        <f>IF($G15="","",$Q15*ADRYr3!AA15)</f>
        <v/>
      </c>
      <c r="T15" s="27" t="str">
        <f>IF($G15="","",$Q15*ADRYr3!AB15)</f>
        <v/>
      </c>
      <c r="U15" s="27" t="str">
        <f>IF($G15="","",$Q15*ADRYr3!AC15)</f>
        <v/>
      </c>
      <c r="V15" s="27" t="str">
        <f>IF($G15="","",G15*ADRYr3!$AD15*ADRYr3!$P15*ADRYr3!$Q15)</f>
        <v/>
      </c>
      <c r="W15" s="27" t="str">
        <f>IF($G15="","",$G15*ADRYr3!$AD15*ADRYr3!$AF15*ADRYr3!Q15*ADRYr3!$S15)</f>
        <v/>
      </c>
      <c r="X15" s="27" t="str">
        <f>IF($G15="","",$G15*ADRYr3!$AD15*ADRYr3!$AF15*ADRYr3!P15*ADRYr3!Q15*ADRYr3!$S15)</f>
        <v/>
      </c>
      <c r="Y15" s="27" t="str">
        <f>IF($G15="","",$G15*ADRYr3!$AD15*ADRYr3!$AE15*ADRYr3!Q15*ADRYr3!$T15)</f>
        <v/>
      </c>
      <c r="Z15" s="27" t="str">
        <f>IF($G15="","",$G15*ADRYr3!$AD15*ADRYr3!$AE15*ADRYr3!P15*ADRYr3!Q15*ADRYr3!$T15)</f>
        <v/>
      </c>
      <c r="AA15" s="45" t="str">
        <f>IF($G15="","",$G15*ADRYr3!$Q15*ADRYr3!$U15*(IF(IFERROR(SEARCH("NG", ADRYr3!$AI15),0),ADRYr3!$AJ15,0)+IF(IFERROR(SEARCH("NG", ADRYr3!$AK15),0),ADRYr3!$AL15,0)+IF(IFERROR(SEARCH("NG", ADRYr3!$AM15),0),ADRYr3!$AN15,0)))</f>
        <v/>
      </c>
      <c r="AB15" s="45" t="str">
        <f t="shared" si="16"/>
        <v/>
      </c>
      <c r="AC15" s="45">
        <f>IF($G15="",0,AA15*ADRYr3!$P15)</f>
        <v>0</v>
      </c>
      <c r="AD15" s="45" t="str">
        <f t="shared" si="17"/>
        <v/>
      </c>
      <c r="AE15" s="45" t="str">
        <f>IF($G15="","",$G15*ADRYr3!$Q15*ADRYr3!$U15*(IF(IFERROR(SEARCH("Oil", ADRYr3!$AI15), 0),ADRYr3!$AJ15,0)+IF(IFERROR(SEARCH("Oil", ADRYr3!$AK15), 0),ADRYr3!$AL15,0)+IF(IFERROR(SEARCH("Oil", ADRYr3!$AM15), 0),ADRYr3!$AN15,0)))</f>
        <v/>
      </c>
      <c r="AF15" s="45" t="str">
        <f t="shared" si="18"/>
        <v/>
      </c>
      <c r="AG15" s="45">
        <f>IF($G15="",0,AE15*ADRYr3!$P15)</f>
        <v>0</v>
      </c>
      <c r="AH15" s="45" t="str">
        <f t="shared" si="19"/>
        <v/>
      </c>
      <c r="AI15" s="45" t="str">
        <f>IF($G15="","",$G15*ADRYr3!$Q15*ADRYr3!$U15*(IF(ADRYr3!$AI15=Lookups!$E$116,ADRYr3!$AJ15,IF(ADRYr3!$AK15=Lookups!$E$116,ADRYr3!$AL15,IF(ADRYr3!$AM15=Lookups!$E$116,ADRYr3!$AN15,0)))))</f>
        <v/>
      </c>
      <c r="AJ15" s="45" t="str">
        <f t="shared" si="20"/>
        <v/>
      </c>
      <c r="AK15" s="45">
        <f>IF($G15="",0,AI15*ADRYr3!$P15)</f>
        <v>0</v>
      </c>
      <c r="AL15" s="45" t="str">
        <f t="shared" si="21"/>
        <v/>
      </c>
      <c r="AM15" s="45" t="str">
        <f>IF($G15="","",$G15*ADRYr3!$Q15*ADRYr3!$U15*(IF(ADRYr3!$AI15=Lookups!$E$115,ADRYr3!$AJ15,IF(ADRYr3!$AK15=Lookups!$E$115,ADRYr3!$AL15,IF(ADRYr3!$AM15=Lookups!$E$115,ADRYr3!$AN15,0)))))</f>
        <v/>
      </c>
      <c r="AN15" s="45" t="str">
        <f t="shared" si="22"/>
        <v/>
      </c>
      <c r="AO15" s="45">
        <f>IF($G15="",0,AM15*ADRYr3!$P15)</f>
        <v>0</v>
      </c>
      <c r="AP15" s="45" t="str">
        <f t="shared" si="23"/>
        <v/>
      </c>
      <c r="AQ15" s="45" t="str">
        <f>IF($G15="","",$G15*ADRYr3!$Q15*ADRYr3!$U15*(IF(ADRYr3!$AI15=Lookups!$E$117,ADRYr3!$AJ15,IF(ADRYr3!$AK15=Lookups!$E$117,ADRYr3!$AL15,IF(ADRYr3!$AM15=Lookups!$E$117,ADRYr3!$AN15,0)))))</f>
        <v/>
      </c>
      <c r="AR15" s="45" t="str">
        <f t="shared" si="24"/>
        <v/>
      </c>
      <c r="AS15" s="45" t="str">
        <f>IF($G15="","",AQ15*ADRYr3!$P15)</f>
        <v/>
      </c>
      <c r="AT15" s="45" t="str">
        <f t="shared" si="25"/>
        <v/>
      </c>
      <c r="AU15" s="45" t="str">
        <f>IF($G15="","",$G15*ADRYr3!$Q15*ADRYr3!$U15*(IF(ADRYr3!$AI15=Lookups!$E$118,ADRYr3!$AJ15,IF(ADRYr3!$AK15=Lookups!$E$118,ADRYr3!$AL15,IF(ADRYr3!$AM15=Lookups!$E$118,ADRYr3!$AN15,0)))))</f>
        <v/>
      </c>
      <c r="AV15" s="45" t="str">
        <f t="shared" si="26"/>
        <v/>
      </c>
      <c r="AW15" s="45" t="str">
        <f>IF($G15="","",AU15*ADRYr3!$P15)</f>
        <v/>
      </c>
      <c r="AX15" s="45" t="str">
        <f t="shared" si="27"/>
        <v/>
      </c>
      <c r="AY15" s="45">
        <f t="shared" si="28"/>
        <v>0</v>
      </c>
      <c r="AZ15" s="45">
        <f t="shared" si="29"/>
        <v>0</v>
      </c>
      <c r="BA15" s="101" t="str">
        <f>IF($G15="","",$G15*ADRYr3!$P15*ADRYr3!$Q15*ADRYr3!$U15*ADRYr3!AO15)</f>
        <v/>
      </c>
      <c r="BB15" s="102" t="str">
        <f>IF($G15="","",$G15*ADRYr3!$P15*ADRYr3!$Q15*ADRYr3!$U15*ADRYr3!AP15)</f>
        <v/>
      </c>
      <c r="BC15" s="100" t="str">
        <f t="shared" si="30"/>
        <v/>
      </c>
      <c r="BD15" s="961"/>
      <c r="BE15" s="961"/>
      <c r="BF15" s="961"/>
      <c r="BG15" s="961"/>
      <c r="BH15" s="962" t="str">
        <f t="shared" si="3"/>
        <v/>
      </c>
      <c r="BI15" s="961"/>
      <c r="BJ15" s="961"/>
      <c r="BK15" s="961"/>
      <c r="BL15" s="961"/>
      <c r="BM15" s="30" t="str">
        <f t="shared" si="4"/>
        <v/>
      </c>
      <c r="BN15" s="963" t="str">
        <f t="shared" si="31"/>
        <v/>
      </c>
      <c r="BO15" s="31" t="str">
        <f t="shared" si="32"/>
        <v/>
      </c>
      <c r="BP15" s="964" t="str">
        <f t="shared" si="5"/>
        <v/>
      </c>
      <c r="BQ15" s="28" t="str">
        <f t="shared" si="6"/>
        <v/>
      </c>
      <c r="BR15" s="964" t="str">
        <f t="shared" si="7"/>
        <v/>
      </c>
      <c r="BS15" s="964" t="str">
        <f t="shared" si="8"/>
        <v/>
      </c>
      <c r="BT15" s="28" t="str">
        <f t="shared" si="9"/>
        <v/>
      </c>
      <c r="BU15" s="28" t="str">
        <f t="shared" si="9"/>
        <v/>
      </c>
      <c r="BV15" s="28" t="str">
        <f t="shared" si="9"/>
        <v/>
      </c>
      <c r="BW15" s="29" t="str">
        <f t="shared" si="33"/>
        <v/>
      </c>
      <c r="BX15" s="29" t="str">
        <f t="shared" si="34"/>
        <v/>
      </c>
      <c r="BY15" s="28" t="str">
        <f>IF($G15="","",$G15*(IF(ADRYr3!$AI15=BY$4,ADRYr3!$AJ15,IF(ADRYr3!$AK15=BY$4,ADRYr3!$AL15,IF(ADRYr3!$AM15=BY$4,ADRYr3!$AN15,0))))*(INDEX(avoidedcosttbl3,$H15,BY$2)+(($H15-ROUNDDOWN($H15,0))*(INDEX(avoidedcosttbl3,ROUNDUP($H15,0),BY$2)-(INDEX(avoidedcosttbl3,ROUNDDOWN($H15,0),BY$2)))))*ADRYr3!P15*ADRYr3!Q15*ADRYr3!U15)</f>
        <v/>
      </c>
      <c r="BZ15" s="28" t="str">
        <f>IF($G15="","",$G15*(IF(ADRYr3!$AI15=BZ$4,ADRYr3!$AJ15,IF(ADRYr3!$AK15=BZ$4,ADRYr3!$AL15,IF(ADRYr3!$AM15=BZ$4,ADRYr3!$AN15,0))))*(INDEX(avoidedcosttbl3,$H15,BZ$2)+(($H15-ROUNDDOWN($H15,0))*(INDEX(avoidedcosttbl3,ROUNDUP($H15,0),BZ$2)-(INDEX(avoidedcosttbl3,ROUNDDOWN($H15,0),BZ$2)))))*ADRYr3!P15*ADRYr3!Q15*ADRYr3!U15)</f>
        <v/>
      </c>
      <c r="CA15" s="28" t="str">
        <f>IF($G15="","",$G15*(IF(ADRYr3!$AI15=CA$4,ADRYr3!$AJ15,IF(ADRYr3!$AK15=CA$4,ADRYr3!$AL15,IF(ADRYr3!$AM15=CA$4,ADRYr3!$AN15,0))))*(INDEX(avoidedcosttbl3,$H15,CA$2)+(($H15-ROUNDDOWN($H15,0))*(INDEX(avoidedcosttbl3,ROUNDUP($H15,0),CA$2)-(INDEX(avoidedcosttbl3,ROUNDDOWN($H15,0),CA$2)))))*ADRYr3!P15*ADRYr3!Q15*ADRYr3!U15)</f>
        <v/>
      </c>
      <c r="CB15" s="28" t="str">
        <f>IF($G15="","",$G15*(IF(ADRYr3!$AI15=CB$4,ADRYr3!$AJ15,IF(ADRYr3!$AK15=CB$4,ADRYr3!$AL15,IF(ADRYr3!$AM15=CB$4,ADRYr3!$AN15,0))))*(INDEX(avoidedcosttbl3,$H15,CB$2)+(($H15-ROUNDDOWN($H15,0))*(INDEX(avoidedcosttbl3,ROUNDUP($H15,0),CB$2)-(INDEX(avoidedcosttbl3,ROUNDDOWN($H15,0),CB$2)))))*ADRYr3!P15*ADRYr3!Q15*ADRYr3!U15)</f>
        <v/>
      </c>
      <c r="CC15" s="28" t="str">
        <f>IF($G15="","",$G15*(IF(ADRYr3!$AI15=CC$4,ADRYr3!$AJ15,IF(ADRYr3!$AK15=CC$4,ADRYr3!$AL15,IF(ADRYr3!$AM15=CC$4,ADRYr3!$AN15,0))))*(INDEX(avoidedcosttbl3,$H15,CC$2)+(($H15-ROUNDDOWN($H15,0))*(INDEX(avoidedcosttbl3,ROUNDUP($H15,0),CC$2)-(INDEX(avoidedcosttbl3,ROUNDDOWN($H15,0),CC$2)))))*ADRYr3!P15*ADRYr3!Q15*ADRYr3!U15)</f>
        <v/>
      </c>
      <c r="CD15" s="28" t="str">
        <f>IF($G15="","",$G15*(IF(ADRYr3!$AI15=CD$4,ADRYr3!$AJ15,IF(ADRYr3!$AK15=CD$4,ADRYr3!$AL15,IF(ADRYr3!$AM15=CD$4,ADRYr3!$AN15,0))))*(INDEX(avoidedcosttbl3,$H15,CD$2)+(($H15-ROUNDDOWN($H15,0))*(INDEX(avoidedcosttbl3,ROUNDUP($H15,0),CD$2)-(INDEX(avoidedcosttbl3,ROUNDDOWN($H15,0),CD$2)))))*ADRYr3!P15*ADRYr3!Q15*ADRYr3!U15)</f>
        <v/>
      </c>
      <c r="CE15" s="28" t="str">
        <f>IF($G15="","",$G15*(IF(ADRYr3!$AI15=CE$4,ADRYr3!$AJ15,IF(ADRYr3!$AK15=CE$4,ADRYr3!$AL15,IF(ADRYr3!$AM15=CE$4,ADRYr3!$AN15,0))))*(INDEX(avoidedcosttbl3,$H15,CE$2)+(($H15-ROUNDDOWN($H15,0))*(INDEX(avoidedcosttbl3,ROUNDUP($H15,0),CE$2)-(INDEX(avoidedcosttbl3,ROUNDDOWN($H15,0),CE$2)))))*ADRYr3!P15*ADRYr3!Q15*ADRYr3!U15)</f>
        <v/>
      </c>
      <c r="CF15" s="41" t="str">
        <f t="shared" si="35"/>
        <v/>
      </c>
      <c r="CG15" s="30" t="str">
        <f t="shared" si="10"/>
        <v/>
      </c>
      <c r="CH15" s="30" t="str">
        <f>IF($G15="","",$G15*(IF(ADRYr3!$AI15=BY$4,ADRYr3!$AJ15,IF(ADRYr3!$AK15=BY$4,ADRYr3!$AL15,IF(ADRYr3!$AM15=BY$4,ADRYr3!$AN15,0))))*(INDEX(avoidedcosttbl3,$H15,CH$2)+(($H15-ROUNDDOWN($H15,0))*(INDEX(avoidedcosttbl3,ROUNDUP($H15,0),CH$2)-(INDEX(avoidedcosttbl3,ROUNDDOWN($H15,0),CH$2)))))*ADRYr3!P15*ADRYr3!Q15*ADRYr3!U15)</f>
        <v/>
      </c>
      <c r="CI15" s="30" t="str">
        <f>IF($G15="","",$G15*(IF(ADRYr3!$AI15=BZ$4,ADRYr3!$AJ15,IF(ADRYr3!$AK15=BZ$4,ADRYr3!$AL15,IF(ADRYr3!$AM15=BZ$4,ADRYr3!$AN15,0))))*(INDEX(avoidedcosttbl3,$H15,CI$2)+(($H15-ROUNDDOWN($H15,0))*(INDEX(avoidedcosttbl3,ROUNDUP($H15,0),CI$2)-(INDEX(avoidedcosttbl3,ROUNDDOWN($H15,0),CI$2)))))*ADRYr3!P15*ADRYr3!Q15*ADRYr3!U15)</f>
        <v/>
      </c>
      <c r="CJ15" s="30" t="str">
        <f>IF($G15="","",$G15*(IF(ADRYr3!$AI15=CA$4,ADRYr3!$AJ15,IF(ADRYr3!$AK15=CA$4,ADRYr3!$AL15,IF(ADRYr3!$AM15=CA$4,ADRYr3!$AN15,0))))*(INDEX(avoidedcosttbl3,$H15,CJ$2)+(($H15-ROUNDDOWN($H15,0))*(INDEX(avoidedcosttbl3,ROUNDUP($H15,0),CJ$2)-(INDEX(avoidedcosttbl3,ROUNDDOWN($H15,0),CJ$2)))))*ADRYr3!P15*ADRYr3!Q15*ADRYr3!U15)</f>
        <v/>
      </c>
      <c r="CK15" s="30" t="str">
        <f>IF($G15="","",$G15*(IF(ADRYr3!$AI15=CB$4,ADRYr3!$AJ15,IF(ADRYr3!$AK15=CB$4,ADRYr3!$AL15,IF(ADRYr3!$AM15=CB$4,ADRYr3!$AN15,0))))*(INDEX(avoidedcosttbl3,$H15,CK$2)+(($H15-ROUNDDOWN($H15,0))*(INDEX(avoidedcosttbl3,ROUNDUP($H15,0),CK$2)-(INDEX(avoidedcosttbl3,ROUNDDOWN($H15,0),CK$2)))))*ADRYr3!P15*ADRYr3!Q15*ADRYr3!U15)</f>
        <v/>
      </c>
      <c r="CL15" s="30" t="str">
        <f>IF($G15="","",$G15*(IF(ADRYr3!$AI15=CC$4,ADRYr3!$AJ15,IF(ADRYr3!$AK15=CC$4,ADRYr3!$AL15,IF(ADRYr3!$AM15=CC$4,ADRYr3!$AN15,0))))*(INDEX(avoidedcosttbl3,$H15,CL$2)+(($H15-ROUNDDOWN($H15,0))*(INDEX(avoidedcosttbl3,ROUNDUP($H15,0),CL$2)-(INDEX(avoidedcosttbl3,ROUNDDOWN($H15,0),CL$2)))))*ADRYr3!P15*ADRYr3!Q15*ADRYr3!U15)</f>
        <v/>
      </c>
      <c r="CM15" s="30" t="str">
        <f>IF($G15="","",$G15*(IF(ADRYr3!$AI15=CD$4,ADRYr3!$AJ15,IF(ADRYr3!$AK15=CD$4,ADRYr3!$AL15,IF(ADRYr3!$AM15=CD$4,ADRYr3!$AN15,0))))*(INDEX(avoidedcosttbl3,$H15,CM$2)+(($H15-ROUNDDOWN($H15,0))*(INDEX(avoidedcosttbl3,ROUNDUP($H15,0),CM$2)-(INDEX(avoidedcosttbl3,ROUNDDOWN($H15,0),CM$2)))))*ADRYr3!P15*ADRYr3!Q15*ADRYr3!U15)</f>
        <v/>
      </c>
      <c r="CN15" s="30" t="str">
        <f>IF($G15="","",$G15*(IF(ADRYr3!$AI15=CE$4,ADRYr3!$AJ15,IF(ADRYr3!$AK15=CE$4,ADRYr3!$AL15,IF(ADRYr3!$AM15=CE$4,ADRYr3!$AN15,0))))*(INDEX(avoidedcosttbl3,$H15,CN$2)+(($H15-ROUNDDOWN($H15,0))*(INDEX(avoidedcosttbl3,ROUNDUP($H15,0),CN$2)-(INDEX(avoidedcosttbl3,ROUNDDOWN($H15,0),CN$2)))))*ADRYr3!P15*ADRYr3!Q15*ADRYr3!U15)</f>
        <v/>
      </c>
      <c r="CO15" s="220" t="str">
        <f t="shared" si="36"/>
        <v/>
      </c>
      <c r="CP15" s="220" t="str">
        <f t="shared" si="37"/>
        <v/>
      </c>
      <c r="CQ15" s="157" t="str">
        <f>IF($G15="","",$G15*(IF(ADRYr3!$AI15=CQ$4,ADRYr3!$AJ15,IF(ADRYr3!$AK15=CQ$4,ADRYr3!$AL15,IF(ADRYr3!$AM15=CQ$4,ADRYr3!$AN15,0))))*(INDEX(avoidedcosttbl3,$H15,CQ$2)+(($H15-ROUNDDOWN($H15,0))*(INDEX(avoidedcosttbl3,ROUNDUP($H15,0),CQ$2)-(INDEX(avoidedcosttbl3,ROUNDDOWN($H15,0),CQ$2)))))*ADRYr3!$P15*ADRYr3!$Q15*ADRYr3!$U15)</f>
        <v/>
      </c>
      <c r="CR15" s="28" t="str">
        <f>IF($G15="","",G15*(IF(ADRYr3!$AI15=CR$4,ADRYr3!$AJ15,IF(ADRYr3!$AK15=CR$4,ADRYr3!$AL15,IF(ADRYr3!$AM15=CR$4,ADRYr3!$AN15,0))))*(INDEX(avoidedcosttbl3,$H15,CR$2)+(($H15-ROUNDDOWN($H15,0))*(INDEX(avoidedcosttbl3,ROUNDUP($H15,0),CR$2)-(INDEX(avoidedcosttbl3,ROUNDDOWN($H15,0),CR$2)))))*ADRYr3!$P15*ADRYr3!$Q15*ADRYr3!$U15)</f>
        <v/>
      </c>
      <c r="CS15" s="28" t="str">
        <f>IF($G15="","",G15*(IF(ADRYr3!$AI15=CS$4,ADRYr3!$AJ15,IF(ADRYr3!$AK15=CS$4,ADRYr3!$AL15,IF(ADRYr3!$AM15=CS$4,ADRYr3!$AN15,0))))*(INDEX(avoidedcosttbl3,$H15,CS$2)+(($H15-ROUNDDOWN($H15,0))*(INDEX(avoidedcosttbl3,ROUNDUP($H15,0),CS$2)-(INDEX(avoidedcosttbl3,ROUNDDOWN($H15,0),CS$2)))))*ADRYr3!$P15*ADRYr3!$Q15*ADRYr3!$U15)</f>
        <v/>
      </c>
      <c r="CT15" s="28" t="str">
        <f t="shared" si="11"/>
        <v/>
      </c>
      <c r="CU15" s="28" t="str">
        <f>IF($G15="","",G15*(IF(ADRYr3!$AI15=CU$4,ADRYr3!$AJ15,IF(ADRYr3!$AK15=CU$4,ADRYr3!$AL15,IF(ADRYr3!$AM15=CU$4,ADRYr3!$AN15,0))))*(INDEX(avoidedcosttbl3,$H15,CU$2)+(($H15-ROUNDDOWN($H15,0))*(INDEX(avoidedcosttbl3,ROUNDUP($H15,0),CU$2)-(INDEX(avoidedcosttbl3,ROUNDDOWN($H15,0),CU$2)))))*ADRYr3!$P15*ADRYr3!$Q15*ADRYr3!$U15)</f>
        <v/>
      </c>
      <c r="CV15" s="28" t="str">
        <f>IF($G15="","",G15*(IF(ADRYr3!$AI15=CV$4,ADRYr3!$AJ15,IF(ADRYr3!$AK15=CV$4,ADRYr3!$AL15,IF(ADRYr3!$AM15=CV$4,ADRYr3!$AN15,0))))*(INDEX(avoidedcosttbl3,$H15,CV$2)+(($H15-ROUNDDOWN($H15,0))*(INDEX(avoidedcosttbl3,ROUNDUP($H15,0),CV$2)-(INDEX(avoidedcosttbl3,ROUNDDOWN($H15,0),CV$2)))))*ADRYr3!$P15*ADRYr3!$Q15*ADRYr3!$U15)</f>
        <v/>
      </c>
      <c r="CW15" s="28" t="str">
        <f>IF($G15="","",G15*(IF(ADRYr3!$AI15=CW$4,ADRYr3!$AJ15,IF(ADRYr3!$AK15=CW$4,ADRYr3!$AL15,IF(ADRYr3!$AM15=CW$4,ADRYr3!$AN15,0))))*(INDEX(avoidedcosttbl3,$H15,CW$2)+(($H15-ROUNDDOWN($H15,0))*(INDEX(avoidedcosttbl3,ROUNDUP($H15,0),CW$2)-(INDEX(avoidedcosttbl3,ROUNDDOWN($H15,0),CW$2)))))*ADRYr3!$P15*ADRYr3!$Q15*ADRYr3!$U15)</f>
        <v/>
      </c>
      <c r="CX15" s="28" t="str">
        <f>IF($G15="","",G15*(IF(ADRYr3!$AI15=CX$4,ADRYr3!$AJ15,IF(ADRYr3!$AK15=CX$4,ADRYr3!$AL15,IF(ADRYr3!$AM15=CX$4,ADRYr3!$AN15,0))))*(INDEX(avoidedcosttbl3,$H15,CX$2)+(($H15-ROUNDDOWN($H15,0))*(INDEX(avoidedcosttbl3,ROUNDUP($H15,0),CX$2)-(INDEX(avoidedcosttbl3,ROUNDDOWN($H15,0),CX$2)))))*ADRYr3!$P15*ADRYr3!$Q15*ADRYr3!$U15)</f>
        <v/>
      </c>
      <c r="CY15" s="28" t="str">
        <f t="shared" si="38"/>
        <v/>
      </c>
      <c r="CZ15" s="32" t="str">
        <f t="shared" si="39"/>
        <v/>
      </c>
      <c r="DA15" s="84" t="str">
        <f t="shared" si="40"/>
        <v/>
      </c>
      <c r="DB15" s="81" t="str">
        <f>IF(NEIadder="Yes",IF($G15="","",INDEX(Lookups!$G$70:$G$71,MATCH($A15,Lookups!$E$70:$E$71,0))*(SUM(CP15:CX15,BX15))),"")</f>
        <v/>
      </c>
      <c r="DC15" s="263" t="str">
        <f t="shared" si="41"/>
        <v/>
      </c>
      <c r="DD15" s="166" t="str">
        <f t="shared" si="42"/>
        <v/>
      </c>
      <c r="DE15" s="82">
        <f t="shared" si="43"/>
        <v>0</v>
      </c>
      <c r="DF15" s="615" t="str">
        <f>IF($G15="","",(1+WntPeakEnergyLL)*(INDEX(avoidedcosttbl3,$H15,DF$2)+(($H15-ROUNDDOWN($H15,0))*(INDEX(avoidedcosttbl3,ROUNDUP($H15,0),DF$2)-(INDEX(avoidedcosttbl3,ROUNDDOWN($H15,0),DF$2)))))*$P15*1000*ADRYr3!Z15)</f>
        <v/>
      </c>
      <c r="DG15" s="615" t="str">
        <f>IF($G15="","",(1+WntOffPeakEnergyLL)*(INDEX(avoidedcosttbl3,$H15,DG$2)+(($H15-ROUNDDOWN($H15,0))*(INDEX(avoidedcosttbl3,ROUNDUP($H15,0),DG$2)-(INDEX(avoidedcosttbl3,ROUNDDOWN($H15,0),DG$2)))))*$P15*1000*ADRYr3!AA15)</f>
        <v/>
      </c>
      <c r="DH15" s="615" t="str">
        <f>IF($G15="","",(1+SumPeakEnergyLL)*(INDEX(avoidedcosttbl3,$H15,DH$2)+(($H15-ROUNDDOWN($H15,0))*(INDEX(avoidedcosttbl3,ROUNDUP($H15,0),DH$2)-(INDEX(avoidedcosttbl3,ROUNDDOWN($H15,0),DH$2)))))*$P15*1000*ADRYr3!AB15)</f>
        <v/>
      </c>
      <c r="DI15" s="615" t="str">
        <f>IF($G15="","",(1+SumOffPeakEnergyLL)*(INDEX(avoidedcosttbl3,$H15,DI$2)+(($H15-ROUNDDOWN($H15,0))*(INDEX(avoidedcosttbl3,ROUNDUP($H15,0),DI$2)-(INDEX(avoidedcosttbl3,ROUNDDOWN($H15,0),DI$2)))))*$P15*1000*ADRYr3!AC15)</f>
        <v/>
      </c>
      <c r="DJ15" s="29" t="str">
        <f t="shared" si="44"/>
        <v/>
      </c>
      <c r="DK15" s="161" t="str">
        <f t="shared" si="45"/>
        <v/>
      </c>
      <c r="DL15" s="1189" t="str">
        <f t="shared" si="46"/>
        <v/>
      </c>
      <c r="DM15" s="1189" t="str">
        <f t="shared" si="47"/>
        <v/>
      </c>
      <c r="DN15" s="43" t="str">
        <f t="shared" si="48"/>
        <v/>
      </c>
      <c r="DO15" s="966" t="str">
        <f>IF($G15="","",ADRYr3!AQ15)</f>
        <v/>
      </c>
      <c r="DP15" s="968" t="str">
        <f>IF($G15="","",ADRYr3!AR15)</f>
        <v/>
      </c>
      <c r="DQ15" s="970" t="str">
        <f>IF($G15="","",IF($DP15="Yes",COLUMN(AESC!$L$10),IF($DP15="No","Using AvoidedDemand tab",IF($DP15="Mixed",COLUMN(AESC!$N$10)))))</f>
        <v/>
      </c>
      <c r="DR15" s="970" t="str">
        <f>IF($G15="","",IF($DP15="Yes",COLUMN(AESC!$P$10),IF($DP15="No","Using AvoidedDemand tab",IF($DP15="Mixed",COLUMN(AESC!$R$10)))))</f>
        <v/>
      </c>
      <c r="DS15" s="970" t="str">
        <f>IF($G15="","",IF($DP15="Yes",COLUMN(AESC!$S$10),IF($DP15="No",COLUMN(AESC!$T$10),IF($DP15="Mixed",COLUMN(AESC!$U$10)))))</f>
        <v/>
      </c>
      <c r="DT15" s="970" t="str">
        <f t="shared" si="49"/>
        <v/>
      </c>
      <c r="DU15" s="970" t="str">
        <f>IF($G15="","",ADRYr3!AS15)</f>
        <v/>
      </c>
      <c r="DV15" s="971" t="str">
        <f>IF($G15="","",ADRYr3!AT15)</f>
        <v/>
      </c>
      <c r="DW15" s="1162" t="str">
        <f>IF($G15="","",INDEX(AvoidedEnergy!$H$4:$H$10,MATCH($DO15,AvoidedEnergy!$A$4:$A$10,0)))</f>
        <v/>
      </c>
    </row>
    <row r="16" spans="1:127">
      <c r="A16" s="160" t="str">
        <f>IF(ADRYr3!$B16=0,"",ADRYr3!A16)</f>
        <v>A - Residential</v>
      </c>
      <c r="B16" s="9" t="str">
        <f>IF(ADRYr3!$B16=0,"",ADRYr3!B16)</f>
        <v>A5 - Residential Active Demand Response</v>
      </c>
      <c r="C16" s="9" t="str">
        <f>IF(ADRYr3!$B16=0,"",ADRYr3!C16)</f>
        <v>A5a - Residential Active Demand Response</v>
      </c>
      <c r="D16" s="9" t="str">
        <f>IF(ADRYr3!$B16=0,"",ADRYr3!D16)</f>
        <v>EV Load Management Winter</v>
      </c>
      <c r="E16" s="9">
        <f>IF(ADRYr3!$B16=0,"",ADRYr3!E16)</f>
        <v>0</v>
      </c>
      <c r="F16" s="11" t="str">
        <f>IF(ADRYr3!$B16=0,"",ADRYr3!F16)</f>
        <v>Behavior</v>
      </c>
      <c r="G16" s="12" t="str">
        <f>IF(ADRYr3!$G16&lt;&gt;0,ADRYr3!G16,"")</f>
        <v/>
      </c>
      <c r="H16" s="960" t="str">
        <f>IF($G16="","",ROUND(ADRYr3!H16,0))</f>
        <v/>
      </c>
      <c r="I16" s="47" t="str">
        <f>IF($G16="","",ADRYr3!I16*ADRYr3!P16*G16)</f>
        <v/>
      </c>
      <c r="J16" s="47" t="str">
        <f>IF($G16="","",ADRYr3!J16*G16)</f>
        <v/>
      </c>
      <c r="K16" s="47" t="str">
        <f t="shared" si="12"/>
        <v/>
      </c>
      <c r="L16" s="27" t="str">
        <f>IF($G16="","",ADRYr3!V16*G16/1000)</f>
        <v/>
      </c>
      <c r="M16" s="27" t="str">
        <f>IF($G16="","",L16*ADRYr3!$Q16*ADRYr3!$R16)</f>
        <v/>
      </c>
      <c r="N16" s="27" t="str">
        <f t="shared" si="13"/>
        <v/>
      </c>
      <c r="O16" s="27" t="str">
        <f t="shared" si="14"/>
        <v/>
      </c>
      <c r="P16" s="27" t="str">
        <f>IF($G16="","",M16*ADRYr3!P16)</f>
        <v/>
      </c>
      <c r="Q16" s="27" t="str">
        <f t="shared" si="15"/>
        <v/>
      </c>
      <c r="R16" s="27" t="str">
        <f>IF($G16="","",$Q16*ADRYr3!Z16)</f>
        <v/>
      </c>
      <c r="S16" s="27" t="str">
        <f>IF($G16="","",$Q16*ADRYr3!AA16)</f>
        <v/>
      </c>
      <c r="T16" s="27" t="str">
        <f>IF($G16="","",$Q16*ADRYr3!AB16)</f>
        <v/>
      </c>
      <c r="U16" s="27" t="str">
        <f>IF($G16="","",$Q16*ADRYr3!AC16)</f>
        <v/>
      </c>
      <c r="V16" s="27" t="str">
        <f>IF($G16="","",G16*ADRYr3!$AD16*ADRYr3!$P16*ADRYr3!$Q16)</f>
        <v/>
      </c>
      <c r="W16" s="27" t="str">
        <f>IF($G16="","",$G16*ADRYr3!$AD16*ADRYr3!$AF16*ADRYr3!Q16*ADRYr3!$S16)</f>
        <v/>
      </c>
      <c r="X16" s="27" t="str">
        <f>IF($G16="","",$G16*ADRYr3!$AD16*ADRYr3!$AF16*ADRYr3!P16*ADRYr3!Q16*ADRYr3!$S16)</f>
        <v/>
      </c>
      <c r="Y16" s="27" t="str">
        <f>IF($G16="","",$G16*ADRYr3!$AD16*ADRYr3!$AE16*ADRYr3!Q16*ADRYr3!$T16)</f>
        <v/>
      </c>
      <c r="Z16" s="27" t="str">
        <f>IF($G16="","",$G16*ADRYr3!$AD16*ADRYr3!$AE16*ADRYr3!P16*ADRYr3!Q16*ADRYr3!$T16)</f>
        <v/>
      </c>
      <c r="AA16" s="45" t="str">
        <f>IF($G16="","",$G16*ADRYr3!$Q16*ADRYr3!$U16*(IF(IFERROR(SEARCH("NG", ADRYr3!$AI16),0),ADRYr3!$AJ16,0)+IF(IFERROR(SEARCH("NG", ADRYr3!$AK16),0),ADRYr3!$AL16,0)+IF(IFERROR(SEARCH("NG", ADRYr3!$AM16),0),ADRYr3!$AN16,0)))</f>
        <v/>
      </c>
      <c r="AB16" s="45" t="str">
        <f t="shared" si="16"/>
        <v/>
      </c>
      <c r="AC16" s="45">
        <f>IF($G16="",0,AA16*ADRYr3!$P16)</f>
        <v>0</v>
      </c>
      <c r="AD16" s="45" t="str">
        <f t="shared" si="17"/>
        <v/>
      </c>
      <c r="AE16" s="45" t="str">
        <f>IF($G16="","",$G16*ADRYr3!$Q16*ADRYr3!$U16*(IF(IFERROR(SEARCH("Oil", ADRYr3!$AI16), 0),ADRYr3!$AJ16,0)+IF(IFERROR(SEARCH("Oil", ADRYr3!$AK16), 0),ADRYr3!$AL16,0)+IF(IFERROR(SEARCH("Oil", ADRYr3!$AM16), 0),ADRYr3!$AN16,0)))</f>
        <v/>
      </c>
      <c r="AF16" s="45" t="str">
        <f t="shared" si="18"/>
        <v/>
      </c>
      <c r="AG16" s="45">
        <f>IF($G16="",0,AE16*ADRYr3!$P16)</f>
        <v>0</v>
      </c>
      <c r="AH16" s="45" t="str">
        <f t="shared" si="19"/>
        <v/>
      </c>
      <c r="AI16" s="45" t="str">
        <f>IF($G16="","",$G16*ADRYr3!$Q16*ADRYr3!$U16*(IF(ADRYr3!$AI16=Lookups!$E$116,ADRYr3!$AJ16,IF(ADRYr3!$AK16=Lookups!$E$116,ADRYr3!$AL16,IF(ADRYr3!$AM16=Lookups!$E$116,ADRYr3!$AN16,0)))))</f>
        <v/>
      </c>
      <c r="AJ16" s="45" t="str">
        <f t="shared" si="20"/>
        <v/>
      </c>
      <c r="AK16" s="45">
        <f>IF($G16="",0,AI16*ADRYr3!$P16)</f>
        <v>0</v>
      </c>
      <c r="AL16" s="45" t="str">
        <f t="shared" si="21"/>
        <v/>
      </c>
      <c r="AM16" s="45" t="str">
        <f>IF($G16="","",$G16*ADRYr3!$Q16*ADRYr3!$U16*(IF(ADRYr3!$AI16=Lookups!$E$115,ADRYr3!$AJ16,IF(ADRYr3!$AK16=Lookups!$E$115,ADRYr3!$AL16,IF(ADRYr3!$AM16=Lookups!$E$115,ADRYr3!$AN16,0)))))</f>
        <v/>
      </c>
      <c r="AN16" s="45" t="str">
        <f t="shared" si="22"/>
        <v/>
      </c>
      <c r="AO16" s="45">
        <f>IF($G16="",0,AM16*ADRYr3!$P16)</f>
        <v>0</v>
      </c>
      <c r="AP16" s="45" t="str">
        <f t="shared" si="23"/>
        <v/>
      </c>
      <c r="AQ16" s="45" t="str">
        <f>IF($G16="","",$G16*ADRYr3!$Q16*ADRYr3!$U16*(IF(ADRYr3!$AI16=Lookups!$E$117,ADRYr3!$AJ16,IF(ADRYr3!$AK16=Lookups!$E$117,ADRYr3!$AL16,IF(ADRYr3!$AM16=Lookups!$E$117,ADRYr3!$AN16,0)))))</f>
        <v/>
      </c>
      <c r="AR16" s="45" t="str">
        <f t="shared" si="24"/>
        <v/>
      </c>
      <c r="AS16" s="45" t="str">
        <f>IF($G16="","",AQ16*ADRYr3!$P16)</f>
        <v/>
      </c>
      <c r="AT16" s="45" t="str">
        <f t="shared" si="25"/>
        <v/>
      </c>
      <c r="AU16" s="45" t="str">
        <f>IF($G16="","",$G16*ADRYr3!$Q16*ADRYr3!$U16*(IF(ADRYr3!$AI16=Lookups!$E$118,ADRYr3!$AJ16,IF(ADRYr3!$AK16=Lookups!$E$118,ADRYr3!$AL16,IF(ADRYr3!$AM16=Lookups!$E$118,ADRYr3!$AN16,0)))))</f>
        <v/>
      </c>
      <c r="AV16" s="45" t="str">
        <f t="shared" si="26"/>
        <v/>
      </c>
      <c r="AW16" s="45" t="str">
        <f>IF($G16="","",AU16*ADRYr3!$P16)</f>
        <v/>
      </c>
      <c r="AX16" s="45" t="str">
        <f t="shared" si="27"/>
        <v/>
      </c>
      <c r="AY16" s="45">
        <f t="shared" si="28"/>
        <v>0</v>
      </c>
      <c r="AZ16" s="45">
        <f t="shared" si="29"/>
        <v>0</v>
      </c>
      <c r="BA16" s="101" t="str">
        <f>IF($G16="","",$G16*ADRYr3!$P16*ADRYr3!$Q16*ADRYr3!$U16*ADRYr3!AO16)</f>
        <v/>
      </c>
      <c r="BB16" s="102" t="str">
        <f>IF($G16="","",$G16*ADRYr3!$P16*ADRYr3!$Q16*ADRYr3!$U16*ADRYr3!AP16)</f>
        <v/>
      </c>
      <c r="BC16" s="100" t="str">
        <f t="shared" si="30"/>
        <v/>
      </c>
      <c r="BD16" s="961"/>
      <c r="BE16" s="961"/>
      <c r="BF16" s="961"/>
      <c r="BG16" s="961"/>
      <c r="BH16" s="962" t="str">
        <f t="shared" si="3"/>
        <v/>
      </c>
      <c r="BI16" s="961"/>
      <c r="BJ16" s="961"/>
      <c r="BK16" s="961"/>
      <c r="BL16" s="961"/>
      <c r="BM16" s="30" t="str">
        <f t="shared" si="4"/>
        <v/>
      </c>
      <c r="BN16" s="963" t="str">
        <f t="shared" si="31"/>
        <v/>
      </c>
      <c r="BO16" s="31" t="str">
        <f t="shared" si="32"/>
        <v/>
      </c>
      <c r="BP16" s="964" t="str">
        <f t="shared" si="5"/>
        <v/>
      </c>
      <c r="BQ16" s="28" t="str">
        <f t="shared" si="6"/>
        <v/>
      </c>
      <c r="BR16" s="964" t="str">
        <f t="shared" si="7"/>
        <v/>
      </c>
      <c r="BS16" s="964" t="str">
        <f t="shared" si="8"/>
        <v/>
      </c>
      <c r="BT16" s="28" t="str">
        <f t="shared" si="9"/>
        <v/>
      </c>
      <c r="BU16" s="28" t="str">
        <f t="shared" si="9"/>
        <v/>
      </c>
      <c r="BV16" s="28" t="str">
        <f t="shared" si="9"/>
        <v/>
      </c>
      <c r="BW16" s="29" t="str">
        <f t="shared" si="33"/>
        <v/>
      </c>
      <c r="BX16" s="29" t="str">
        <f t="shared" si="34"/>
        <v/>
      </c>
      <c r="BY16" s="28" t="str">
        <f>IF($G16="","",$G16*(IF(ADRYr3!$AI16=BY$4,ADRYr3!$AJ16,IF(ADRYr3!$AK16=BY$4,ADRYr3!$AL16,IF(ADRYr3!$AM16=BY$4,ADRYr3!$AN16,0))))*(INDEX(avoidedcosttbl3,$H16,BY$2)+(($H16-ROUNDDOWN($H16,0))*(INDEX(avoidedcosttbl3,ROUNDUP($H16,0),BY$2)-(INDEX(avoidedcosttbl3,ROUNDDOWN($H16,0),BY$2)))))*ADRYr3!P16*ADRYr3!Q16*ADRYr3!U16)</f>
        <v/>
      </c>
      <c r="BZ16" s="28" t="str">
        <f>IF($G16="","",$G16*(IF(ADRYr3!$AI16=BZ$4,ADRYr3!$AJ16,IF(ADRYr3!$AK16=BZ$4,ADRYr3!$AL16,IF(ADRYr3!$AM16=BZ$4,ADRYr3!$AN16,0))))*(INDEX(avoidedcosttbl3,$H16,BZ$2)+(($H16-ROUNDDOWN($H16,0))*(INDEX(avoidedcosttbl3,ROUNDUP($H16,0),BZ$2)-(INDEX(avoidedcosttbl3,ROUNDDOWN($H16,0),BZ$2)))))*ADRYr3!P16*ADRYr3!Q16*ADRYr3!U16)</f>
        <v/>
      </c>
      <c r="CA16" s="28" t="str">
        <f>IF($G16="","",$G16*(IF(ADRYr3!$AI16=CA$4,ADRYr3!$AJ16,IF(ADRYr3!$AK16=CA$4,ADRYr3!$AL16,IF(ADRYr3!$AM16=CA$4,ADRYr3!$AN16,0))))*(INDEX(avoidedcosttbl3,$H16,CA$2)+(($H16-ROUNDDOWN($H16,0))*(INDEX(avoidedcosttbl3,ROUNDUP($H16,0),CA$2)-(INDEX(avoidedcosttbl3,ROUNDDOWN($H16,0),CA$2)))))*ADRYr3!P16*ADRYr3!Q16*ADRYr3!U16)</f>
        <v/>
      </c>
      <c r="CB16" s="28" t="str">
        <f>IF($G16="","",$G16*(IF(ADRYr3!$AI16=CB$4,ADRYr3!$AJ16,IF(ADRYr3!$AK16=CB$4,ADRYr3!$AL16,IF(ADRYr3!$AM16=CB$4,ADRYr3!$AN16,0))))*(INDEX(avoidedcosttbl3,$H16,CB$2)+(($H16-ROUNDDOWN($H16,0))*(INDEX(avoidedcosttbl3,ROUNDUP($H16,0),CB$2)-(INDEX(avoidedcosttbl3,ROUNDDOWN($H16,0),CB$2)))))*ADRYr3!P16*ADRYr3!Q16*ADRYr3!U16)</f>
        <v/>
      </c>
      <c r="CC16" s="28" t="str">
        <f>IF($G16="","",$G16*(IF(ADRYr3!$AI16=CC$4,ADRYr3!$AJ16,IF(ADRYr3!$AK16=CC$4,ADRYr3!$AL16,IF(ADRYr3!$AM16=CC$4,ADRYr3!$AN16,0))))*(INDEX(avoidedcosttbl3,$H16,CC$2)+(($H16-ROUNDDOWN($H16,0))*(INDEX(avoidedcosttbl3,ROUNDUP($H16,0),CC$2)-(INDEX(avoidedcosttbl3,ROUNDDOWN($H16,0),CC$2)))))*ADRYr3!P16*ADRYr3!Q16*ADRYr3!U16)</f>
        <v/>
      </c>
      <c r="CD16" s="28" t="str">
        <f>IF($G16="","",$G16*(IF(ADRYr3!$AI16=CD$4,ADRYr3!$AJ16,IF(ADRYr3!$AK16=CD$4,ADRYr3!$AL16,IF(ADRYr3!$AM16=CD$4,ADRYr3!$AN16,0))))*(INDEX(avoidedcosttbl3,$H16,CD$2)+(($H16-ROUNDDOWN($H16,0))*(INDEX(avoidedcosttbl3,ROUNDUP($H16,0),CD$2)-(INDEX(avoidedcosttbl3,ROUNDDOWN($H16,0),CD$2)))))*ADRYr3!P16*ADRYr3!Q16*ADRYr3!U16)</f>
        <v/>
      </c>
      <c r="CE16" s="28" t="str">
        <f>IF($G16="","",$G16*(IF(ADRYr3!$AI16=CE$4,ADRYr3!$AJ16,IF(ADRYr3!$AK16=CE$4,ADRYr3!$AL16,IF(ADRYr3!$AM16=CE$4,ADRYr3!$AN16,0))))*(INDEX(avoidedcosttbl3,$H16,CE$2)+(($H16-ROUNDDOWN($H16,0))*(INDEX(avoidedcosttbl3,ROUNDUP($H16,0),CE$2)-(INDEX(avoidedcosttbl3,ROUNDDOWN($H16,0),CE$2)))))*ADRYr3!P16*ADRYr3!Q16*ADRYr3!U16)</f>
        <v/>
      </c>
      <c r="CF16" s="41" t="str">
        <f t="shared" si="35"/>
        <v/>
      </c>
      <c r="CG16" s="30" t="str">
        <f t="shared" si="10"/>
        <v/>
      </c>
      <c r="CH16" s="30" t="str">
        <f>IF($G16="","",$G16*(IF(ADRYr3!$AI16=BY$4,ADRYr3!$AJ16,IF(ADRYr3!$AK16=BY$4,ADRYr3!$AL16,IF(ADRYr3!$AM16=BY$4,ADRYr3!$AN16,0))))*(INDEX(avoidedcosttbl3,$H16,CH$2)+(($H16-ROUNDDOWN($H16,0))*(INDEX(avoidedcosttbl3,ROUNDUP($H16,0),CH$2)-(INDEX(avoidedcosttbl3,ROUNDDOWN($H16,0),CH$2)))))*ADRYr3!P16*ADRYr3!Q16*ADRYr3!U16)</f>
        <v/>
      </c>
      <c r="CI16" s="30" t="str">
        <f>IF($G16="","",$G16*(IF(ADRYr3!$AI16=BZ$4,ADRYr3!$AJ16,IF(ADRYr3!$AK16=BZ$4,ADRYr3!$AL16,IF(ADRYr3!$AM16=BZ$4,ADRYr3!$AN16,0))))*(INDEX(avoidedcosttbl3,$H16,CI$2)+(($H16-ROUNDDOWN($H16,0))*(INDEX(avoidedcosttbl3,ROUNDUP($H16,0),CI$2)-(INDEX(avoidedcosttbl3,ROUNDDOWN($H16,0),CI$2)))))*ADRYr3!P16*ADRYr3!Q16*ADRYr3!U16)</f>
        <v/>
      </c>
      <c r="CJ16" s="30" t="str">
        <f>IF($G16="","",$G16*(IF(ADRYr3!$AI16=CA$4,ADRYr3!$AJ16,IF(ADRYr3!$AK16=CA$4,ADRYr3!$AL16,IF(ADRYr3!$AM16=CA$4,ADRYr3!$AN16,0))))*(INDEX(avoidedcosttbl3,$H16,CJ$2)+(($H16-ROUNDDOWN($H16,0))*(INDEX(avoidedcosttbl3,ROUNDUP($H16,0),CJ$2)-(INDEX(avoidedcosttbl3,ROUNDDOWN($H16,0),CJ$2)))))*ADRYr3!P16*ADRYr3!Q16*ADRYr3!U16)</f>
        <v/>
      </c>
      <c r="CK16" s="30" t="str">
        <f>IF($G16="","",$G16*(IF(ADRYr3!$AI16=CB$4,ADRYr3!$AJ16,IF(ADRYr3!$AK16=CB$4,ADRYr3!$AL16,IF(ADRYr3!$AM16=CB$4,ADRYr3!$AN16,0))))*(INDEX(avoidedcosttbl3,$H16,CK$2)+(($H16-ROUNDDOWN($H16,0))*(INDEX(avoidedcosttbl3,ROUNDUP($H16,0),CK$2)-(INDEX(avoidedcosttbl3,ROUNDDOWN($H16,0),CK$2)))))*ADRYr3!P16*ADRYr3!Q16*ADRYr3!U16)</f>
        <v/>
      </c>
      <c r="CL16" s="30" t="str">
        <f>IF($G16="","",$G16*(IF(ADRYr3!$AI16=CC$4,ADRYr3!$AJ16,IF(ADRYr3!$AK16=CC$4,ADRYr3!$AL16,IF(ADRYr3!$AM16=CC$4,ADRYr3!$AN16,0))))*(INDEX(avoidedcosttbl3,$H16,CL$2)+(($H16-ROUNDDOWN($H16,0))*(INDEX(avoidedcosttbl3,ROUNDUP($H16,0),CL$2)-(INDEX(avoidedcosttbl3,ROUNDDOWN($H16,0),CL$2)))))*ADRYr3!P16*ADRYr3!Q16*ADRYr3!U16)</f>
        <v/>
      </c>
      <c r="CM16" s="30" t="str">
        <f>IF($G16="","",$G16*(IF(ADRYr3!$AI16=CD$4,ADRYr3!$AJ16,IF(ADRYr3!$AK16=CD$4,ADRYr3!$AL16,IF(ADRYr3!$AM16=CD$4,ADRYr3!$AN16,0))))*(INDEX(avoidedcosttbl3,$H16,CM$2)+(($H16-ROUNDDOWN($H16,0))*(INDEX(avoidedcosttbl3,ROUNDUP($H16,0),CM$2)-(INDEX(avoidedcosttbl3,ROUNDDOWN($H16,0),CM$2)))))*ADRYr3!P16*ADRYr3!Q16*ADRYr3!U16)</f>
        <v/>
      </c>
      <c r="CN16" s="30" t="str">
        <f>IF($G16="","",$G16*(IF(ADRYr3!$AI16=CE$4,ADRYr3!$AJ16,IF(ADRYr3!$AK16=CE$4,ADRYr3!$AL16,IF(ADRYr3!$AM16=CE$4,ADRYr3!$AN16,0))))*(INDEX(avoidedcosttbl3,$H16,CN$2)+(($H16-ROUNDDOWN($H16,0))*(INDEX(avoidedcosttbl3,ROUNDUP($H16,0),CN$2)-(INDEX(avoidedcosttbl3,ROUNDDOWN($H16,0),CN$2)))))*ADRYr3!P16*ADRYr3!Q16*ADRYr3!U16)</f>
        <v/>
      </c>
      <c r="CO16" s="220" t="str">
        <f t="shared" si="36"/>
        <v/>
      </c>
      <c r="CP16" s="220" t="str">
        <f t="shared" si="37"/>
        <v/>
      </c>
      <c r="CQ16" s="157" t="str">
        <f>IF($G16="","",$G16*(IF(ADRYr3!$AI16=CQ$4,ADRYr3!$AJ16,IF(ADRYr3!$AK16=CQ$4,ADRYr3!$AL16,IF(ADRYr3!$AM16=CQ$4,ADRYr3!$AN16,0))))*(INDEX(avoidedcosttbl3,$H16,CQ$2)+(($H16-ROUNDDOWN($H16,0))*(INDEX(avoidedcosttbl3,ROUNDUP($H16,0),CQ$2)-(INDEX(avoidedcosttbl3,ROUNDDOWN($H16,0),CQ$2)))))*ADRYr3!$P16*ADRYr3!$Q16*ADRYr3!$U16)</f>
        <v/>
      </c>
      <c r="CR16" s="28" t="str">
        <f>IF($G16="","",G16*(IF(ADRYr3!$AI16=CR$4,ADRYr3!$AJ16,IF(ADRYr3!$AK16=CR$4,ADRYr3!$AL16,IF(ADRYr3!$AM16=CR$4,ADRYr3!$AN16,0))))*(INDEX(avoidedcosttbl3,$H16,CR$2)+(($H16-ROUNDDOWN($H16,0))*(INDEX(avoidedcosttbl3,ROUNDUP($H16,0),CR$2)-(INDEX(avoidedcosttbl3,ROUNDDOWN($H16,0),CR$2)))))*ADRYr3!$P16*ADRYr3!$Q16*ADRYr3!$U16)</f>
        <v/>
      </c>
      <c r="CS16" s="28" t="str">
        <f>IF($G16="","",G16*(IF(ADRYr3!$AI16=CS$4,ADRYr3!$AJ16,IF(ADRYr3!$AK16=CS$4,ADRYr3!$AL16,IF(ADRYr3!$AM16=CS$4,ADRYr3!$AN16,0))))*(INDEX(avoidedcosttbl3,$H16,CS$2)+(($H16-ROUNDDOWN($H16,0))*(INDEX(avoidedcosttbl3,ROUNDUP($H16,0),CS$2)-(INDEX(avoidedcosttbl3,ROUNDDOWN($H16,0),CS$2)))))*ADRYr3!$P16*ADRYr3!$Q16*ADRYr3!$U16)</f>
        <v/>
      </c>
      <c r="CT16" s="28" t="str">
        <f t="shared" si="11"/>
        <v/>
      </c>
      <c r="CU16" s="28" t="str">
        <f>IF($G16="","",G16*(IF(ADRYr3!$AI16=CU$4,ADRYr3!$AJ16,IF(ADRYr3!$AK16=CU$4,ADRYr3!$AL16,IF(ADRYr3!$AM16=CU$4,ADRYr3!$AN16,0))))*(INDEX(avoidedcosttbl3,$H16,CU$2)+(($H16-ROUNDDOWN($H16,0))*(INDEX(avoidedcosttbl3,ROUNDUP($H16,0),CU$2)-(INDEX(avoidedcosttbl3,ROUNDDOWN($H16,0),CU$2)))))*ADRYr3!$P16*ADRYr3!$Q16*ADRYr3!$U16)</f>
        <v/>
      </c>
      <c r="CV16" s="28" t="str">
        <f>IF($G16="","",G16*(IF(ADRYr3!$AI16=CV$4,ADRYr3!$AJ16,IF(ADRYr3!$AK16=CV$4,ADRYr3!$AL16,IF(ADRYr3!$AM16=CV$4,ADRYr3!$AN16,0))))*(INDEX(avoidedcosttbl3,$H16,CV$2)+(($H16-ROUNDDOWN($H16,0))*(INDEX(avoidedcosttbl3,ROUNDUP($H16,0),CV$2)-(INDEX(avoidedcosttbl3,ROUNDDOWN($H16,0),CV$2)))))*ADRYr3!$P16*ADRYr3!$Q16*ADRYr3!$U16)</f>
        <v/>
      </c>
      <c r="CW16" s="28" t="str">
        <f>IF($G16="","",G16*(IF(ADRYr3!$AI16=CW$4,ADRYr3!$AJ16,IF(ADRYr3!$AK16=CW$4,ADRYr3!$AL16,IF(ADRYr3!$AM16=CW$4,ADRYr3!$AN16,0))))*(INDEX(avoidedcosttbl3,$H16,CW$2)+(($H16-ROUNDDOWN($H16,0))*(INDEX(avoidedcosttbl3,ROUNDUP($H16,0),CW$2)-(INDEX(avoidedcosttbl3,ROUNDDOWN($H16,0),CW$2)))))*ADRYr3!$P16*ADRYr3!$Q16*ADRYr3!$U16)</f>
        <v/>
      </c>
      <c r="CX16" s="28" t="str">
        <f>IF($G16="","",G16*(IF(ADRYr3!$AI16=CX$4,ADRYr3!$AJ16,IF(ADRYr3!$AK16=CX$4,ADRYr3!$AL16,IF(ADRYr3!$AM16=CX$4,ADRYr3!$AN16,0))))*(INDEX(avoidedcosttbl3,$H16,CX$2)+(($H16-ROUNDDOWN($H16,0))*(INDEX(avoidedcosttbl3,ROUNDUP($H16,0),CX$2)-(INDEX(avoidedcosttbl3,ROUNDDOWN($H16,0),CX$2)))))*ADRYr3!$P16*ADRYr3!$Q16*ADRYr3!$U16)</f>
        <v/>
      </c>
      <c r="CY16" s="28" t="str">
        <f t="shared" si="38"/>
        <v/>
      </c>
      <c r="CZ16" s="32" t="str">
        <f t="shared" si="39"/>
        <v/>
      </c>
      <c r="DA16" s="84" t="str">
        <f t="shared" si="40"/>
        <v/>
      </c>
      <c r="DB16" s="81" t="str">
        <f>IF(NEIadder="Yes",IF($G16="","",INDEX(Lookups!$G$70:$G$71,MATCH($A16,Lookups!$E$70:$E$71,0))*(SUM(CP16:CX16,BX16))),"")</f>
        <v/>
      </c>
      <c r="DC16" s="263" t="str">
        <f t="shared" si="41"/>
        <v/>
      </c>
      <c r="DD16" s="166" t="str">
        <f t="shared" si="42"/>
        <v/>
      </c>
      <c r="DE16" s="82">
        <f t="shared" si="43"/>
        <v>0</v>
      </c>
      <c r="DF16" s="615" t="str">
        <f>IF($G16="","",(1+WntPeakEnergyLL)*(INDEX(avoidedcosttbl3,$H16,DF$2)+(($H16-ROUNDDOWN($H16,0))*(INDEX(avoidedcosttbl3,ROUNDUP($H16,0),DF$2)-(INDEX(avoidedcosttbl3,ROUNDDOWN($H16,0),DF$2)))))*$P16*1000*ADRYr3!Z16)</f>
        <v/>
      </c>
      <c r="DG16" s="615" t="str">
        <f>IF($G16="","",(1+WntOffPeakEnergyLL)*(INDEX(avoidedcosttbl3,$H16,DG$2)+(($H16-ROUNDDOWN($H16,0))*(INDEX(avoidedcosttbl3,ROUNDUP($H16,0),DG$2)-(INDEX(avoidedcosttbl3,ROUNDDOWN($H16,0),DG$2)))))*$P16*1000*ADRYr3!AA16)</f>
        <v/>
      </c>
      <c r="DH16" s="615" t="str">
        <f>IF($G16="","",(1+SumPeakEnergyLL)*(INDEX(avoidedcosttbl3,$H16,DH$2)+(($H16-ROUNDDOWN($H16,0))*(INDEX(avoidedcosttbl3,ROUNDUP($H16,0),DH$2)-(INDEX(avoidedcosttbl3,ROUNDDOWN($H16,0),DH$2)))))*$P16*1000*ADRYr3!AB16)</f>
        <v/>
      </c>
      <c r="DI16" s="615" t="str">
        <f>IF($G16="","",(1+SumOffPeakEnergyLL)*(INDEX(avoidedcosttbl3,$H16,DI$2)+(($H16-ROUNDDOWN($H16,0))*(INDEX(avoidedcosttbl3,ROUNDUP($H16,0),DI$2)-(INDEX(avoidedcosttbl3,ROUNDDOWN($H16,0),DI$2)))))*$P16*1000*ADRYr3!AC16)</f>
        <v/>
      </c>
      <c r="DJ16" s="29" t="str">
        <f t="shared" si="44"/>
        <v/>
      </c>
      <c r="DK16" s="161" t="str">
        <f t="shared" si="45"/>
        <v/>
      </c>
      <c r="DL16" s="1189" t="str">
        <f t="shared" si="46"/>
        <v/>
      </c>
      <c r="DM16" s="1189" t="str">
        <f t="shared" si="47"/>
        <v/>
      </c>
      <c r="DN16" s="43" t="str">
        <f t="shared" si="48"/>
        <v/>
      </c>
      <c r="DO16" s="966" t="str">
        <f>IF($G16="","",ADRYr3!AQ16)</f>
        <v/>
      </c>
      <c r="DP16" s="968" t="str">
        <f>IF($G16="","",ADRYr3!AR16)</f>
        <v/>
      </c>
      <c r="DQ16" s="970" t="str">
        <f>IF($G16="","",IF($DP16="Yes",COLUMN(AESC!$L$10),IF($DP16="No","Using AvoidedDemand tab",IF($DP16="Mixed",COLUMN(AESC!$N$10)))))</f>
        <v/>
      </c>
      <c r="DR16" s="970" t="str">
        <f>IF($G16="","",IF($DP16="Yes",COLUMN(AESC!$P$10),IF($DP16="No","Using AvoidedDemand tab",IF($DP16="Mixed",COLUMN(AESC!$R$10)))))</f>
        <v/>
      </c>
      <c r="DS16" s="970" t="str">
        <f>IF($G16="","",IF($DP16="Yes",COLUMN(AESC!$S$10),IF($DP16="No",COLUMN(AESC!$T$10),IF($DP16="Mixed",COLUMN(AESC!$U$10)))))</f>
        <v/>
      </c>
      <c r="DT16" s="970" t="str">
        <f t="shared" si="49"/>
        <v/>
      </c>
      <c r="DU16" s="970" t="str">
        <f>IF($G16="","",ADRYr3!AS16)</f>
        <v/>
      </c>
      <c r="DV16" s="971" t="str">
        <f>IF($G16="","",ADRYr3!AT16)</f>
        <v/>
      </c>
      <c r="DW16" s="1162" t="str">
        <f>IF($G16="","",INDEX(AvoidedEnergy!$H$4:$H$10,MATCH($DO16,AvoidedEnergy!$A$4:$A$10,0)))</f>
        <v/>
      </c>
    </row>
    <row r="17" spans="1:127">
      <c r="A17" s="160" t="str">
        <f>IF(ADRYr3!$B17=0,"",ADRYr3!A17)</f>
        <v>B - Low-Income</v>
      </c>
      <c r="B17" s="9" t="str">
        <f>IF(ADRYr3!$B17=0,"",ADRYr3!B17)</f>
        <v>Home Energy Assistance</v>
      </c>
      <c r="C17" s="9" t="str">
        <f>IF(ADRYr3!$B17=0,"",ADRYr3!C17)</f>
        <v>Res Demand Response</v>
      </c>
      <c r="D17" s="9" t="str">
        <f>IF(ADRYr3!$B17=0,"",ADRYr3!D17)</f>
        <v>Direct Load Control Targeted Dispatch Upfront/Annual Incentive Summer</v>
      </c>
      <c r="E17" s="9">
        <f>IF(ADRYr3!$B17=0,"",ADRYr3!E17)</f>
        <v>0</v>
      </c>
      <c r="F17" s="11" t="str">
        <f>IF(ADRYr3!$B17=0,"",ADRYr3!F17)</f>
        <v>Behavior</v>
      </c>
      <c r="G17" s="12" t="str">
        <f>IF(ADRYr3!$G17&lt;&gt;0,ADRYr3!G17,"")</f>
        <v/>
      </c>
      <c r="H17" s="960" t="str">
        <f>IF($G17="","",ROUND(ADRYr3!H17,0))</f>
        <v/>
      </c>
      <c r="I17" s="47" t="str">
        <f>IF($G17="","",ADRYr3!I17*ADRYr3!P17*G17)</f>
        <v/>
      </c>
      <c r="J17" s="47" t="str">
        <f>IF($G17="","",ADRYr3!J17*G17)</f>
        <v/>
      </c>
      <c r="K17" s="47" t="str">
        <f t="shared" si="12"/>
        <v/>
      </c>
      <c r="L17" s="27" t="str">
        <f>IF($G17="","",ADRYr3!V17*G17/1000)</f>
        <v/>
      </c>
      <c r="M17" s="27" t="str">
        <f>IF($G17="","",L17*ADRYr3!$Q17*ADRYr3!$R17)</f>
        <v/>
      </c>
      <c r="N17" s="27" t="str">
        <f t="shared" si="13"/>
        <v/>
      </c>
      <c r="O17" s="27" t="str">
        <f t="shared" si="14"/>
        <v/>
      </c>
      <c r="P17" s="27" t="str">
        <f>IF($G17="","",M17*ADRYr3!P17)</f>
        <v/>
      </c>
      <c r="Q17" s="27" t="str">
        <f t="shared" si="15"/>
        <v/>
      </c>
      <c r="R17" s="27" t="str">
        <f>IF($G17="","",$Q17*ADRYr3!Z17)</f>
        <v/>
      </c>
      <c r="S17" s="27" t="str">
        <f>IF($G17="","",$Q17*ADRYr3!AA17)</f>
        <v/>
      </c>
      <c r="T17" s="27" t="str">
        <f>IF($G17="","",$Q17*ADRYr3!AB17)</f>
        <v/>
      </c>
      <c r="U17" s="27" t="str">
        <f>IF($G17="","",$Q17*ADRYr3!AC17)</f>
        <v/>
      </c>
      <c r="V17" s="27" t="str">
        <f>IF($G17="","",G17*ADRYr3!$AD17*ADRYr3!$P17*ADRYr3!$Q17)</f>
        <v/>
      </c>
      <c r="W17" s="27" t="str">
        <f>IF($G17="","",$G17*ADRYr3!$AD17*ADRYr3!$AF17*ADRYr3!Q17*ADRYr3!$S17)</f>
        <v/>
      </c>
      <c r="X17" s="27" t="str">
        <f>IF($G17="","",$G17*ADRYr3!$AD17*ADRYr3!$AF17*ADRYr3!P17*ADRYr3!Q17*ADRYr3!$S17)</f>
        <v/>
      </c>
      <c r="Y17" s="27" t="str">
        <f>IF($G17="","",$G17*ADRYr3!$AD17*ADRYr3!$AE17*ADRYr3!Q17*ADRYr3!$T17)</f>
        <v/>
      </c>
      <c r="Z17" s="27" t="str">
        <f>IF($G17="","",$G17*ADRYr3!$AD17*ADRYr3!$AE17*ADRYr3!P17*ADRYr3!Q17*ADRYr3!$T17)</f>
        <v/>
      </c>
      <c r="AA17" s="45" t="str">
        <f>IF($G17="","",$G17*ADRYr3!$Q17*ADRYr3!$U17*(IF(IFERROR(SEARCH("NG", ADRYr3!$AI17),0),ADRYr3!$AJ17,0)+IF(IFERROR(SEARCH("NG", ADRYr3!$AK17),0),ADRYr3!$AL17,0)+IF(IFERROR(SEARCH("NG", ADRYr3!$AM17),0),ADRYr3!$AN17,0)))</f>
        <v/>
      </c>
      <c r="AB17" s="45" t="str">
        <f t="shared" si="16"/>
        <v/>
      </c>
      <c r="AC17" s="45">
        <f>IF($G17="",0,AA17*ADRYr3!$P17)</f>
        <v>0</v>
      </c>
      <c r="AD17" s="45" t="str">
        <f t="shared" si="17"/>
        <v/>
      </c>
      <c r="AE17" s="45" t="str">
        <f>IF($G17="","",$G17*ADRYr3!$Q17*ADRYr3!$U17*(IF(IFERROR(SEARCH("Oil", ADRYr3!$AI17), 0),ADRYr3!$AJ17,0)+IF(IFERROR(SEARCH("Oil", ADRYr3!$AK17), 0),ADRYr3!$AL17,0)+IF(IFERROR(SEARCH("Oil", ADRYr3!$AM17), 0),ADRYr3!$AN17,0)))</f>
        <v/>
      </c>
      <c r="AF17" s="45" t="str">
        <f t="shared" si="18"/>
        <v/>
      </c>
      <c r="AG17" s="45">
        <f>IF($G17="",0,AE17*ADRYr3!$P17)</f>
        <v>0</v>
      </c>
      <c r="AH17" s="45" t="str">
        <f t="shared" si="19"/>
        <v/>
      </c>
      <c r="AI17" s="45" t="str">
        <f>IF($G17="","",$G17*ADRYr3!$Q17*ADRYr3!$U17*(IF(ADRYr3!$AI17=Lookups!$E$116,ADRYr3!$AJ17,IF(ADRYr3!$AK17=Lookups!$E$116,ADRYr3!$AL17,IF(ADRYr3!$AM17=Lookups!$E$116,ADRYr3!$AN17,0)))))</f>
        <v/>
      </c>
      <c r="AJ17" s="45" t="str">
        <f t="shared" si="20"/>
        <v/>
      </c>
      <c r="AK17" s="45">
        <f>IF($G17="",0,AI17*ADRYr3!$P17)</f>
        <v>0</v>
      </c>
      <c r="AL17" s="45" t="str">
        <f t="shared" si="21"/>
        <v/>
      </c>
      <c r="AM17" s="45" t="str">
        <f>IF($G17="","",$G17*ADRYr3!$Q17*ADRYr3!$U17*(IF(ADRYr3!$AI17=Lookups!$E$115,ADRYr3!$AJ17,IF(ADRYr3!$AK17=Lookups!$E$115,ADRYr3!$AL17,IF(ADRYr3!$AM17=Lookups!$E$115,ADRYr3!$AN17,0)))))</f>
        <v/>
      </c>
      <c r="AN17" s="45" t="str">
        <f t="shared" si="22"/>
        <v/>
      </c>
      <c r="AO17" s="45">
        <f>IF($G17="",0,AM17*ADRYr3!$P17)</f>
        <v>0</v>
      </c>
      <c r="AP17" s="45" t="str">
        <f t="shared" si="23"/>
        <v/>
      </c>
      <c r="AQ17" s="45" t="str">
        <f>IF($G17="","",$G17*ADRYr3!$Q17*ADRYr3!$U17*(IF(ADRYr3!$AI17=Lookups!$E$117,ADRYr3!$AJ17,IF(ADRYr3!$AK17=Lookups!$E$117,ADRYr3!$AL17,IF(ADRYr3!$AM17=Lookups!$E$117,ADRYr3!$AN17,0)))))</f>
        <v/>
      </c>
      <c r="AR17" s="45" t="str">
        <f t="shared" si="24"/>
        <v/>
      </c>
      <c r="AS17" s="45" t="str">
        <f>IF($G17="","",AQ17*ADRYr3!$P17)</f>
        <v/>
      </c>
      <c r="AT17" s="45" t="str">
        <f t="shared" si="25"/>
        <v/>
      </c>
      <c r="AU17" s="45" t="str">
        <f>IF($G17="","",$G17*ADRYr3!$Q17*ADRYr3!$U17*(IF(ADRYr3!$AI17=Lookups!$E$118,ADRYr3!$AJ17,IF(ADRYr3!$AK17=Lookups!$E$118,ADRYr3!$AL17,IF(ADRYr3!$AM17=Lookups!$E$118,ADRYr3!$AN17,0)))))</f>
        <v/>
      </c>
      <c r="AV17" s="45" t="str">
        <f t="shared" si="26"/>
        <v/>
      </c>
      <c r="AW17" s="45" t="str">
        <f>IF($G17="","",AU17*ADRYr3!$P17)</f>
        <v/>
      </c>
      <c r="AX17" s="45" t="str">
        <f t="shared" si="27"/>
        <v/>
      </c>
      <c r="AY17" s="45">
        <f t="shared" si="28"/>
        <v>0</v>
      </c>
      <c r="AZ17" s="45">
        <f t="shared" si="29"/>
        <v>0</v>
      </c>
      <c r="BA17" s="101" t="str">
        <f>IF($G17="","",$G17*ADRYr3!$P17*ADRYr3!$Q17*ADRYr3!$U17*ADRYr3!AO17)</f>
        <v/>
      </c>
      <c r="BB17" s="102" t="str">
        <f>IF($G17="","",$G17*ADRYr3!$P17*ADRYr3!$Q17*ADRYr3!$U17*ADRYr3!AP17)</f>
        <v/>
      </c>
      <c r="BC17" s="100" t="str">
        <f t="shared" si="30"/>
        <v/>
      </c>
      <c r="BD17" s="961"/>
      <c r="BE17" s="961"/>
      <c r="BF17" s="961"/>
      <c r="BG17" s="961"/>
      <c r="BH17" s="962" t="str">
        <f t="shared" si="3"/>
        <v/>
      </c>
      <c r="BI17" s="961"/>
      <c r="BJ17" s="961"/>
      <c r="BK17" s="961"/>
      <c r="BL17" s="961"/>
      <c r="BM17" s="30" t="str">
        <f t="shared" si="4"/>
        <v/>
      </c>
      <c r="BN17" s="963" t="str">
        <f t="shared" si="31"/>
        <v/>
      </c>
      <c r="BO17" s="31" t="str">
        <f t="shared" si="32"/>
        <v/>
      </c>
      <c r="BP17" s="964" t="str">
        <f t="shared" si="5"/>
        <v/>
      </c>
      <c r="BQ17" s="28" t="str">
        <f t="shared" si="6"/>
        <v/>
      </c>
      <c r="BR17" s="964" t="str">
        <f t="shared" si="7"/>
        <v/>
      </c>
      <c r="BS17" s="964" t="str">
        <f t="shared" si="8"/>
        <v/>
      </c>
      <c r="BT17" s="28" t="str">
        <f t="shared" si="9"/>
        <v/>
      </c>
      <c r="BU17" s="28" t="str">
        <f t="shared" si="9"/>
        <v/>
      </c>
      <c r="BV17" s="28" t="str">
        <f t="shared" si="9"/>
        <v/>
      </c>
      <c r="BW17" s="29" t="str">
        <f t="shared" si="33"/>
        <v/>
      </c>
      <c r="BX17" s="29" t="str">
        <f t="shared" si="34"/>
        <v/>
      </c>
      <c r="BY17" s="28" t="str">
        <f>IF($G17="","",$G17*(IF(ADRYr3!$AI17=BY$4,ADRYr3!$AJ17,IF(ADRYr3!$AK17=BY$4,ADRYr3!$AL17,IF(ADRYr3!$AM17=BY$4,ADRYr3!$AN17,0))))*(INDEX(avoidedcosttbl3,$H17,BY$2)+(($H17-ROUNDDOWN($H17,0))*(INDEX(avoidedcosttbl3,ROUNDUP($H17,0),BY$2)-(INDEX(avoidedcosttbl3,ROUNDDOWN($H17,0),BY$2)))))*ADRYr3!P17*ADRYr3!Q17*ADRYr3!U17)</f>
        <v/>
      </c>
      <c r="BZ17" s="28" t="str">
        <f>IF($G17="","",$G17*(IF(ADRYr3!$AI17=BZ$4,ADRYr3!$AJ17,IF(ADRYr3!$AK17=BZ$4,ADRYr3!$AL17,IF(ADRYr3!$AM17=BZ$4,ADRYr3!$AN17,0))))*(INDEX(avoidedcosttbl3,$H17,BZ$2)+(($H17-ROUNDDOWN($H17,0))*(INDEX(avoidedcosttbl3,ROUNDUP($H17,0),BZ$2)-(INDEX(avoidedcosttbl3,ROUNDDOWN($H17,0),BZ$2)))))*ADRYr3!P17*ADRYr3!Q17*ADRYr3!U17)</f>
        <v/>
      </c>
      <c r="CA17" s="28" t="str">
        <f>IF($G17="","",$G17*(IF(ADRYr3!$AI17=CA$4,ADRYr3!$AJ17,IF(ADRYr3!$AK17=CA$4,ADRYr3!$AL17,IF(ADRYr3!$AM17=CA$4,ADRYr3!$AN17,0))))*(INDEX(avoidedcosttbl3,$H17,CA$2)+(($H17-ROUNDDOWN($H17,0))*(INDEX(avoidedcosttbl3,ROUNDUP($H17,0),CA$2)-(INDEX(avoidedcosttbl3,ROUNDDOWN($H17,0),CA$2)))))*ADRYr3!P17*ADRYr3!Q17*ADRYr3!U17)</f>
        <v/>
      </c>
      <c r="CB17" s="28" t="str">
        <f>IF($G17="","",$G17*(IF(ADRYr3!$AI17=CB$4,ADRYr3!$AJ17,IF(ADRYr3!$AK17=CB$4,ADRYr3!$AL17,IF(ADRYr3!$AM17=CB$4,ADRYr3!$AN17,0))))*(INDEX(avoidedcosttbl3,$H17,CB$2)+(($H17-ROUNDDOWN($H17,0))*(INDEX(avoidedcosttbl3,ROUNDUP($H17,0),CB$2)-(INDEX(avoidedcosttbl3,ROUNDDOWN($H17,0),CB$2)))))*ADRYr3!P17*ADRYr3!Q17*ADRYr3!U17)</f>
        <v/>
      </c>
      <c r="CC17" s="28" t="str">
        <f>IF($G17="","",$G17*(IF(ADRYr3!$AI17=CC$4,ADRYr3!$AJ17,IF(ADRYr3!$AK17=CC$4,ADRYr3!$AL17,IF(ADRYr3!$AM17=CC$4,ADRYr3!$AN17,0))))*(INDEX(avoidedcosttbl3,$H17,CC$2)+(($H17-ROUNDDOWN($H17,0))*(INDEX(avoidedcosttbl3,ROUNDUP($H17,0),CC$2)-(INDEX(avoidedcosttbl3,ROUNDDOWN($H17,0),CC$2)))))*ADRYr3!P17*ADRYr3!Q17*ADRYr3!U17)</f>
        <v/>
      </c>
      <c r="CD17" s="28" t="str">
        <f>IF($G17="","",$G17*(IF(ADRYr3!$AI17=CD$4,ADRYr3!$AJ17,IF(ADRYr3!$AK17=CD$4,ADRYr3!$AL17,IF(ADRYr3!$AM17=CD$4,ADRYr3!$AN17,0))))*(INDEX(avoidedcosttbl3,$H17,CD$2)+(($H17-ROUNDDOWN($H17,0))*(INDEX(avoidedcosttbl3,ROUNDUP($H17,0),CD$2)-(INDEX(avoidedcosttbl3,ROUNDDOWN($H17,0),CD$2)))))*ADRYr3!P17*ADRYr3!Q17*ADRYr3!U17)</f>
        <v/>
      </c>
      <c r="CE17" s="28" t="str">
        <f>IF($G17="","",$G17*(IF(ADRYr3!$AI17=CE$4,ADRYr3!$AJ17,IF(ADRYr3!$AK17=CE$4,ADRYr3!$AL17,IF(ADRYr3!$AM17=CE$4,ADRYr3!$AN17,0))))*(INDEX(avoidedcosttbl3,$H17,CE$2)+(($H17-ROUNDDOWN($H17,0))*(INDEX(avoidedcosttbl3,ROUNDUP($H17,0),CE$2)-(INDEX(avoidedcosttbl3,ROUNDDOWN($H17,0),CE$2)))))*ADRYr3!P17*ADRYr3!Q17*ADRYr3!U17)</f>
        <v/>
      </c>
      <c r="CF17" s="41" t="str">
        <f t="shared" si="35"/>
        <v/>
      </c>
      <c r="CG17" s="30" t="str">
        <f t="shared" si="10"/>
        <v/>
      </c>
      <c r="CH17" s="30" t="str">
        <f>IF($G17="","",$G17*(IF(ADRYr3!$AI17=BY$4,ADRYr3!$AJ17,IF(ADRYr3!$AK17=BY$4,ADRYr3!$AL17,IF(ADRYr3!$AM17=BY$4,ADRYr3!$AN17,0))))*(INDEX(avoidedcosttbl3,$H17,CH$2)+(($H17-ROUNDDOWN($H17,0))*(INDEX(avoidedcosttbl3,ROUNDUP($H17,0),CH$2)-(INDEX(avoidedcosttbl3,ROUNDDOWN($H17,0),CH$2)))))*ADRYr3!P17*ADRYr3!Q17*ADRYr3!U17)</f>
        <v/>
      </c>
      <c r="CI17" s="30" t="str">
        <f>IF($G17="","",$G17*(IF(ADRYr3!$AI17=BZ$4,ADRYr3!$AJ17,IF(ADRYr3!$AK17=BZ$4,ADRYr3!$AL17,IF(ADRYr3!$AM17=BZ$4,ADRYr3!$AN17,0))))*(INDEX(avoidedcosttbl3,$H17,CI$2)+(($H17-ROUNDDOWN($H17,0))*(INDEX(avoidedcosttbl3,ROUNDUP($H17,0),CI$2)-(INDEX(avoidedcosttbl3,ROUNDDOWN($H17,0),CI$2)))))*ADRYr3!P17*ADRYr3!Q17*ADRYr3!U17)</f>
        <v/>
      </c>
      <c r="CJ17" s="30" t="str">
        <f>IF($G17="","",$G17*(IF(ADRYr3!$AI17=CA$4,ADRYr3!$AJ17,IF(ADRYr3!$AK17=CA$4,ADRYr3!$AL17,IF(ADRYr3!$AM17=CA$4,ADRYr3!$AN17,0))))*(INDEX(avoidedcosttbl3,$H17,CJ$2)+(($H17-ROUNDDOWN($H17,0))*(INDEX(avoidedcosttbl3,ROUNDUP($H17,0),CJ$2)-(INDEX(avoidedcosttbl3,ROUNDDOWN($H17,0),CJ$2)))))*ADRYr3!P17*ADRYr3!Q17*ADRYr3!U17)</f>
        <v/>
      </c>
      <c r="CK17" s="30" t="str">
        <f>IF($G17="","",$G17*(IF(ADRYr3!$AI17=CB$4,ADRYr3!$AJ17,IF(ADRYr3!$AK17=CB$4,ADRYr3!$AL17,IF(ADRYr3!$AM17=CB$4,ADRYr3!$AN17,0))))*(INDEX(avoidedcosttbl3,$H17,CK$2)+(($H17-ROUNDDOWN($H17,0))*(INDEX(avoidedcosttbl3,ROUNDUP($H17,0),CK$2)-(INDEX(avoidedcosttbl3,ROUNDDOWN($H17,0),CK$2)))))*ADRYr3!P17*ADRYr3!Q17*ADRYr3!U17)</f>
        <v/>
      </c>
      <c r="CL17" s="30" t="str">
        <f>IF($G17="","",$G17*(IF(ADRYr3!$AI17=CC$4,ADRYr3!$AJ17,IF(ADRYr3!$AK17=CC$4,ADRYr3!$AL17,IF(ADRYr3!$AM17=CC$4,ADRYr3!$AN17,0))))*(INDEX(avoidedcosttbl3,$H17,CL$2)+(($H17-ROUNDDOWN($H17,0))*(INDEX(avoidedcosttbl3,ROUNDUP($H17,0),CL$2)-(INDEX(avoidedcosttbl3,ROUNDDOWN($H17,0),CL$2)))))*ADRYr3!P17*ADRYr3!Q17*ADRYr3!U17)</f>
        <v/>
      </c>
      <c r="CM17" s="30" t="str">
        <f>IF($G17="","",$G17*(IF(ADRYr3!$AI17=CD$4,ADRYr3!$AJ17,IF(ADRYr3!$AK17=CD$4,ADRYr3!$AL17,IF(ADRYr3!$AM17=CD$4,ADRYr3!$AN17,0))))*(INDEX(avoidedcosttbl3,$H17,CM$2)+(($H17-ROUNDDOWN($H17,0))*(INDEX(avoidedcosttbl3,ROUNDUP($H17,0),CM$2)-(INDEX(avoidedcosttbl3,ROUNDDOWN($H17,0),CM$2)))))*ADRYr3!P17*ADRYr3!Q17*ADRYr3!U17)</f>
        <v/>
      </c>
      <c r="CN17" s="30" t="str">
        <f>IF($G17="","",$G17*(IF(ADRYr3!$AI17=CE$4,ADRYr3!$AJ17,IF(ADRYr3!$AK17=CE$4,ADRYr3!$AL17,IF(ADRYr3!$AM17=CE$4,ADRYr3!$AN17,0))))*(INDEX(avoidedcosttbl3,$H17,CN$2)+(($H17-ROUNDDOWN($H17,0))*(INDEX(avoidedcosttbl3,ROUNDUP($H17,0),CN$2)-(INDEX(avoidedcosttbl3,ROUNDDOWN($H17,0),CN$2)))))*ADRYr3!P17*ADRYr3!Q17*ADRYr3!U17)</f>
        <v/>
      </c>
      <c r="CO17" s="220" t="str">
        <f t="shared" si="36"/>
        <v/>
      </c>
      <c r="CP17" s="220" t="str">
        <f t="shared" si="37"/>
        <v/>
      </c>
      <c r="CQ17" s="157" t="str">
        <f>IF($G17="","",$G17*(IF(ADRYr3!$AI17=CQ$4,ADRYr3!$AJ17,IF(ADRYr3!$AK17=CQ$4,ADRYr3!$AL17,IF(ADRYr3!$AM17=CQ$4,ADRYr3!$AN17,0))))*(INDEX(avoidedcosttbl3,$H17,CQ$2)+(($H17-ROUNDDOWN($H17,0))*(INDEX(avoidedcosttbl3,ROUNDUP($H17,0),CQ$2)-(INDEX(avoidedcosttbl3,ROUNDDOWN($H17,0),CQ$2)))))*ADRYr3!$P17*ADRYr3!$Q17*ADRYr3!$U17)</f>
        <v/>
      </c>
      <c r="CR17" s="28" t="str">
        <f>IF($G17="","",G17*(IF(ADRYr3!$AI17=CR$4,ADRYr3!$AJ17,IF(ADRYr3!$AK17=CR$4,ADRYr3!$AL17,IF(ADRYr3!$AM17=CR$4,ADRYr3!$AN17,0))))*(INDEX(avoidedcosttbl3,$H17,CR$2)+(($H17-ROUNDDOWN($H17,0))*(INDEX(avoidedcosttbl3,ROUNDUP($H17,0),CR$2)-(INDEX(avoidedcosttbl3,ROUNDDOWN($H17,0),CR$2)))))*ADRYr3!$P17*ADRYr3!$Q17*ADRYr3!$U17)</f>
        <v/>
      </c>
      <c r="CS17" s="28" t="str">
        <f>IF($G17="","",G17*(IF(ADRYr3!$AI17=CS$4,ADRYr3!$AJ17,IF(ADRYr3!$AK17=CS$4,ADRYr3!$AL17,IF(ADRYr3!$AM17=CS$4,ADRYr3!$AN17,0))))*(INDEX(avoidedcosttbl3,$H17,CS$2)+(($H17-ROUNDDOWN($H17,0))*(INDEX(avoidedcosttbl3,ROUNDUP($H17,0),CS$2)-(INDEX(avoidedcosttbl3,ROUNDDOWN($H17,0),CS$2)))))*ADRYr3!$P17*ADRYr3!$Q17*ADRYr3!$U17)</f>
        <v/>
      </c>
      <c r="CT17" s="28" t="str">
        <f t="shared" si="11"/>
        <v/>
      </c>
      <c r="CU17" s="28" t="str">
        <f>IF($G17="","",G17*(IF(ADRYr3!$AI17=CU$4,ADRYr3!$AJ17,IF(ADRYr3!$AK17=CU$4,ADRYr3!$AL17,IF(ADRYr3!$AM17=CU$4,ADRYr3!$AN17,0))))*(INDEX(avoidedcosttbl3,$H17,CU$2)+(($H17-ROUNDDOWN($H17,0))*(INDEX(avoidedcosttbl3,ROUNDUP($H17,0),CU$2)-(INDEX(avoidedcosttbl3,ROUNDDOWN($H17,0),CU$2)))))*ADRYr3!$P17*ADRYr3!$Q17*ADRYr3!$U17)</f>
        <v/>
      </c>
      <c r="CV17" s="28" t="str">
        <f>IF($G17="","",G17*(IF(ADRYr3!$AI17=CV$4,ADRYr3!$AJ17,IF(ADRYr3!$AK17=CV$4,ADRYr3!$AL17,IF(ADRYr3!$AM17=CV$4,ADRYr3!$AN17,0))))*(INDEX(avoidedcosttbl3,$H17,CV$2)+(($H17-ROUNDDOWN($H17,0))*(INDEX(avoidedcosttbl3,ROUNDUP($H17,0),CV$2)-(INDEX(avoidedcosttbl3,ROUNDDOWN($H17,0),CV$2)))))*ADRYr3!$P17*ADRYr3!$Q17*ADRYr3!$U17)</f>
        <v/>
      </c>
      <c r="CW17" s="28" t="str">
        <f>IF($G17="","",G17*(IF(ADRYr3!$AI17=CW$4,ADRYr3!$AJ17,IF(ADRYr3!$AK17=CW$4,ADRYr3!$AL17,IF(ADRYr3!$AM17=CW$4,ADRYr3!$AN17,0))))*(INDEX(avoidedcosttbl3,$H17,CW$2)+(($H17-ROUNDDOWN($H17,0))*(INDEX(avoidedcosttbl3,ROUNDUP($H17,0),CW$2)-(INDEX(avoidedcosttbl3,ROUNDDOWN($H17,0),CW$2)))))*ADRYr3!$P17*ADRYr3!$Q17*ADRYr3!$U17)</f>
        <v/>
      </c>
      <c r="CX17" s="28" t="str">
        <f>IF($G17="","",G17*(IF(ADRYr3!$AI17=CX$4,ADRYr3!$AJ17,IF(ADRYr3!$AK17=CX$4,ADRYr3!$AL17,IF(ADRYr3!$AM17=CX$4,ADRYr3!$AN17,0))))*(INDEX(avoidedcosttbl3,$H17,CX$2)+(($H17-ROUNDDOWN($H17,0))*(INDEX(avoidedcosttbl3,ROUNDUP($H17,0),CX$2)-(INDEX(avoidedcosttbl3,ROUNDDOWN($H17,0),CX$2)))))*ADRYr3!$P17*ADRYr3!$Q17*ADRYr3!$U17)</f>
        <v/>
      </c>
      <c r="CY17" s="28" t="str">
        <f t="shared" si="38"/>
        <v/>
      </c>
      <c r="CZ17" s="32" t="str">
        <f t="shared" si="39"/>
        <v/>
      </c>
      <c r="DA17" s="84" t="str">
        <f t="shared" si="40"/>
        <v/>
      </c>
      <c r="DB17" s="81" t="str">
        <f>IF(NEIadder="Yes",IF($G17="","",INDEX(Lookups!$G$70:$G$71,MATCH($A17,Lookups!$E$70:$E$71,0))*(SUM(CP17:CX17,BX17))),"")</f>
        <v/>
      </c>
      <c r="DC17" s="263" t="str">
        <f t="shared" si="41"/>
        <v/>
      </c>
      <c r="DD17" s="166" t="str">
        <f t="shared" si="42"/>
        <v/>
      </c>
      <c r="DE17" s="82">
        <f t="shared" si="43"/>
        <v>0</v>
      </c>
      <c r="DF17" s="615" t="str">
        <f>IF($G17="","",(1+WntPeakEnergyLL)*(INDEX(avoidedcosttbl3,$H17,DF$2)+(($H17-ROUNDDOWN($H17,0))*(INDEX(avoidedcosttbl3,ROUNDUP($H17,0),DF$2)-(INDEX(avoidedcosttbl3,ROUNDDOWN($H17,0),DF$2)))))*$P17*1000*ADRYr3!Z17)</f>
        <v/>
      </c>
      <c r="DG17" s="615" t="str">
        <f>IF($G17="","",(1+WntOffPeakEnergyLL)*(INDEX(avoidedcosttbl3,$H17,DG$2)+(($H17-ROUNDDOWN($H17,0))*(INDEX(avoidedcosttbl3,ROUNDUP($H17,0),DG$2)-(INDEX(avoidedcosttbl3,ROUNDDOWN($H17,0),DG$2)))))*$P17*1000*ADRYr3!AA17)</f>
        <v/>
      </c>
      <c r="DH17" s="615" t="str">
        <f>IF($G17="","",(1+SumPeakEnergyLL)*(INDEX(avoidedcosttbl3,$H17,DH$2)+(($H17-ROUNDDOWN($H17,0))*(INDEX(avoidedcosttbl3,ROUNDUP($H17,0),DH$2)-(INDEX(avoidedcosttbl3,ROUNDDOWN($H17,0),DH$2)))))*$P17*1000*ADRYr3!AB17)</f>
        <v/>
      </c>
      <c r="DI17" s="615" t="str">
        <f>IF($G17="","",(1+SumOffPeakEnergyLL)*(INDEX(avoidedcosttbl3,$H17,DI$2)+(($H17-ROUNDDOWN($H17,0))*(INDEX(avoidedcosttbl3,ROUNDUP($H17,0),DI$2)-(INDEX(avoidedcosttbl3,ROUNDDOWN($H17,0),DI$2)))))*$P17*1000*ADRYr3!AC17)</f>
        <v/>
      </c>
      <c r="DJ17" s="29" t="str">
        <f t="shared" si="44"/>
        <v/>
      </c>
      <c r="DK17" s="161" t="str">
        <f t="shared" si="45"/>
        <v/>
      </c>
      <c r="DL17" s="1189" t="str">
        <f t="shared" si="46"/>
        <v/>
      </c>
      <c r="DM17" s="1189" t="str">
        <f t="shared" si="47"/>
        <v/>
      </c>
      <c r="DN17" s="43" t="str">
        <f t="shared" si="48"/>
        <v/>
      </c>
      <c r="DO17" s="966" t="str">
        <f>IF($G17="","",ADRYr3!AQ17)</f>
        <v/>
      </c>
      <c r="DP17" s="968" t="str">
        <f>IF($G17="","",ADRYr3!AR17)</f>
        <v/>
      </c>
      <c r="DQ17" s="970" t="str">
        <f>IF($G17="","",IF($DP17="Yes",COLUMN(AESC!$L$10),IF($DP17="No","Using AvoidedDemand tab",IF($DP17="Mixed",COLUMN(AESC!$N$10)))))</f>
        <v/>
      </c>
      <c r="DR17" s="970" t="str">
        <f>IF($G17="","",IF($DP17="Yes",COLUMN(AESC!$P$10),IF($DP17="No","Using AvoidedDemand tab",IF($DP17="Mixed",COLUMN(AESC!$R$10)))))</f>
        <v/>
      </c>
      <c r="DS17" s="970" t="str">
        <f>IF($G17="","",IF($DP17="Yes",COLUMN(AESC!$S$10),IF($DP17="No",COLUMN(AESC!$T$10),IF($DP17="Mixed",COLUMN(AESC!$U$10)))))</f>
        <v/>
      </c>
      <c r="DT17" s="970" t="str">
        <f t="shared" si="49"/>
        <v/>
      </c>
      <c r="DU17" s="970" t="str">
        <f>IF($G17="","",ADRYr3!AS17)</f>
        <v/>
      </c>
      <c r="DV17" s="971" t="str">
        <f>IF($G17="","",ADRYr3!AT17)</f>
        <v/>
      </c>
      <c r="DW17" s="1162" t="str">
        <f>IF($G17="","",INDEX(AvoidedEnergy!$H$4:$H$10,MATCH($DO17,AvoidedEnergy!$A$4:$A$10,0)))</f>
        <v/>
      </c>
    </row>
    <row r="18" spans="1:127">
      <c r="A18" s="160" t="str">
        <f>IF(ADRYr3!$B18=0,"",ADRYr3!A18)</f>
        <v>B - Low-Income</v>
      </c>
      <c r="B18" s="9" t="str">
        <f>IF(ADRYr3!$B18=0,"",ADRYr3!B18)</f>
        <v>Home Energy Assistance</v>
      </c>
      <c r="C18" s="9" t="str">
        <f>IF(ADRYr3!$B18=0,"",ADRYr3!C18)</f>
        <v>Res Demand Response</v>
      </c>
      <c r="D18" s="9" t="str">
        <f>IF(ADRYr3!$B18=0,"",ADRYr3!D18)</f>
        <v>Behavior DR</v>
      </c>
      <c r="E18" s="9">
        <f>IF(ADRYr3!$B18=0,"",ADRYr3!E18)</f>
        <v>0</v>
      </c>
      <c r="F18" s="11" t="str">
        <f>IF(ADRYr3!$B18=0,"",ADRYr3!F18)</f>
        <v>Behavior</v>
      </c>
      <c r="G18" s="12" t="str">
        <f>IF(ADRYr3!$G18&lt;&gt;0,ADRYr3!G18,"")</f>
        <v/>
      </c>
      <c r="H18" s="960" t="str">
        <f>IF($G18="","",ROUND(ADRYr3!H18,0))</f>
        <v/>
      </c>
      <c r="I18" s="47" t="str">
        <f>IF($G18="","",ADRYr3!I18*ADRYr3!P18*G18)</f>
        <v/>
      </c>
      <c r="J18" s="47" t="str">
        <f>IF($G18="","",ADRYr3!J18*G18)</f>
        <v/>
      </c>
      <c r="K18" s="47" t="str">
        <f t="shared" ref="K18:K50" si="50">IF($G18="","",I18-J18)</f>
        <v/>
      </c>
      <c r="L18" s="27" t="str">
        <f>IF($G18="","",ADRYr3!V18*G18/1000)</f>
        <v/>
      </c>
      <c r="M18" s="27" t="str">
        <f>IF($G18="","",L18*ADRYr3!$Q18*ADRYr3!$R18)</f>
        <v/>
      </c>
      <c r="N18" s="27" t="str">
        <f t="shared" ref="N18:N50" si="51">IFERROR(L18*H18,"")</f>
        <v/>
      </c>
      <c r="O18" s="27" t="str">
        <f t="shared" ref="O18:O50" si="52">IF($G18="","",M18*$H18)</f>
        <v/>
      </c>
      <c r="P18" s="27" t="str">
        <f>IF($G18="","",M18*ADRYr3!P18)</f>
        <v/>
      </c>
      <c r="Q18" s="27" t="str">
        <f t="shared" ref="Q18:Q50" si="53">IF($G18="","",P18*$H18)</f>
        <v/>
      </c>
      <c r="R18" s="27" t="str">
        <f>IF($G18="","",$Q18*ADRYr3!Z18)</f>
        <v/>
      </c>
      <c r="S18" s="27" t="str">
        <f>IF($G18="","",$Q18*ADRYr3!AA18)</f>
        <v/>
      </c>
      <c r="T18" s="27" t="str">
        <f>IF($G18="","",$Q18*ADRYr3!AB18)</f>
        <v/>
      </c>
      <c r="U18" s="27" t="str">
        <f>IF($G18="","",$Q18*ADRYr3!AC18)</f>
        <v/>
      </c>
      <c r="V18" s="27" t="str">
        <f>IF($G18="","",G18*ADRYr3!$AD18*ADRYr3!$P18*ADRYr3!$Q18)</f>
        <v/>
      </c>
      <c r="W18" s="27" t="str">
        <f>IF($G18="","",$G18*ADRYr3!$AD18*ADRYr3!$AF18*ADRYr3!Q18*ADRYr3!$S18)</f>
        <v/>
      </c>
      <c r="X18" s="27" t="str">
        <f>IF($G18="","",$G18*ADRYr3!$AD18*ADRYr3!$AF18*ADRYr3!P18*ADRYr3!Q18*ADRYr3!$S18)</f>
        <v/>
      </c>
      <c r="Y18" s="27" t="str">
        <f>IF($G18="","",$G18*ADRYr3!$AD18*ADRYr3!$AE18*ADRYr3!Q18*ADRYr3!$T18)</f>
        <v/>
      </c>
      <c r="Z18" s="27" t="str">
        <f>IF($G18="","",$G18*ADRYr3!$AD18*ADRYr3!$AE18*ADRYr3!P18*ADRYr3!Q18*ADRYr3!$T18)</f>
        <v/>
      </c>
      <c r="AA18" s="45" t="str">
        <f>IF($G18="","",$G18*ADRYr3!$Q18*ADRYr3!$U18*(IF(IFERROR(SEARCH("NG", ADRYr3!$AI18),0),ADRYr3!$AJ18,0)+IF(IFERROR(SEARCH("NG", ADRYr3!$AK18),0),ADRYr3!$AL18,0)+IF(IFERROR(SEARCH("NG", ADRYr3!$AM18),0),ADRYr3!$AN18,0)))</f>
        <v/>
      </c>
      <c r="AB18" s="45" t="str">
        <f t="shared" ref="AB18:AB50" si="54">IF($G18="","",AA18*$H18)</f>
        <v/>
      </c>
      <c r="AC18" s="45">
        <f>IF($G18="",0,AA18*ADRYr3!$P18)</f>
        <v>0</v>
      </c>
      <c r="AD18" s="45" t="str">
        <f t="shared" ref="AD18:AD50" si="55">IF($G18="","",AC18*$H18)</f>
        <v/>
      </c>
      <c r="AE18" s="45" t="str">
        <f>IF($G18="","",$G18*ADRYr3!$Q18*ADRYr3!$U18*(IF(IFERROR(SEARCH("Oil", ADRYr3!$AI18), 0),ADRYr3!$AJ18,0)+IF(IFERROR(SEARCH("Oil", ADRYr3!$AK18), 0),ADRYr3!$AL18,0)+IF(IFERROR(SEARCH("Oil", ADRYr3!$AM18), 0),ADRYr3!$AN18,0)))</f>
        <v/>
      </c>
      <c r="AF18" s="45" t="str">
        <f t="shared" ref="AF18:AF50" si="56">IF($G18="","",AE18*$H18)</f>
        <v/>
      </c>
      <c r="AG18" s="45">
        <f>IF($G18="",0,AE18*ADRYr3!$P18)</f>
        <v>0</v>
      </c>
      <c r="AH18" s="45" t="str">
        <f t="shared" ref="AH18:AH50" si="57">IF($G18="","",AG18*$H18)</f>
        <v/>
      </c>
      <c r="AI18" s="45" t="str">
        <f>IF($G18="","",$G18*ADRYr3!$Q18*ADRYr3!$U18*(IF(ADRYr3!$AI18=Lookups!$E$116,ADRYr3!$AJ18,IF(ADRYr3!$AK18=Lookups!$E$116,ADRYr3!$AL18,IF(ADRYr3!$AM18=Lookups!$E$116,ADRYr3!$AN18,0)))))</f>
        <v/>
      </c>
      <c r="AJ18" s="45" t="str">
        <f t="shared" ref="AJ18:AJ50" si="58">IF($G18="","",AI18*$H18)</f>
        <v/>
      </c>
      <c r="AK18" s="45">
        <f>IF($G18="",0,AI18*ADRYr3!$P18)</f>
        <v>0</v>
      </c>
      <c r="AL18" s="45" t="str">
        <f t="shared" ref="AL18:AL50" si="59">IF($G18="","",AK18*$H18)</f>
        <v/>
      </c>
      <c r="AM18" s="45" t="str">
        <f>IF($G18="","",$G18*ADRYr3!$Q18*ADRYr3!$U18*(IF(ADRYr3!$AI18=Lookups!$E$115,ADRYr3!$AJ18,IF(ADRYr3!$AK18=Lookups!$E$115,ADRYr3!$AL18,IF(ADRYr3!$AM18=Lookups!$E$115,ADRYr3!$AN18,0)))))</f>
        <v/>
      </c>
      <c r="AN18" s="45" t="str">
        <f t="shared" ref="AN18:AN50" si="60">IF($G18="","",AM18*$H18)</f>
        <v/>
      </c>
      <c r="AO18" s="45">
        <f>IF($G18="",0,AM18*ADRYr3!$P18)</f>
        <v>0</v>
      </c>
      <c r="AP18" s="45" t="str">
        <f t="shared" ref="AP18:AP50" si="61">IF($G18="","",AO18*$H18)</f>
        <v/>
      </c>
      <c r="AQ18" s="45" t="str">
        <f>IF($G18="","",$G18*ADRYr3!$Q18*ADRYr3!$U18*(IF(ADRYr3!$AI18=Lookups!$E$117,ADRYr3!$AJ18,IF(ADRYr3!$AK18=Lookups!$E$117,ADRYr3!$AL18,IF(ADRYr3!$AM18=Lookups!$E$117,ADRYr3!$AN18,0)))))</f>
        <v/>
      </c>
      <c r="AR18" s="45" t="str">
        <f t="shared" ref="AR18:AR50" si="62">IF($G18="","",AQ18*$H18)</f>
        <v/>
      </c>
      <c r="AS18" s="45" t="str">
        <f>IF($G18="","",AQ18*ADRYr3!$P18)</f>
        <v/>
      </c>
      <c r="AT18" s="45" t="str">
        <f t="shared" ref="AT18:AT50" si="63">IF($G18="","",AS18*$H18)</f>
        <v/>
      </c>
      <c r="AU18" s="45" t="str">
        <f>IF($G18="","",$G18*ADRYr3!$Q18*ADRYr3!$U18*(IF(ADRYr3!$AI18=Lookups!$E$118,ADRYr3!$AJ18,IF(ADRYr3!$AK18=Lookups!$E$118,ADRYr3!$AL18,IF(ADRYr3!$AM18=Lookups!$E$118,ADRYr3!$AN18,0)))))</f>
        <v/>
      </c>
      <c r="AV18" s="45" t="str">
        <f t="shared" ref="AV18:AV50" si="64">IF($G18="","",AU18*$H18)</f>
        <v/>
      </c>
      <c r="AW18" s="45" t="str">
        <f>IF($G18="","",AU18*ADRYr3!$P18)</f>
        <v/>
      </c>
      <c r="AX18" s="45" t="str">
        <f t="shared" ref="AX18:AX50" si="65">IF($G18="","",AW18*$H18)</f>
        <v/>
      </c>
      <c r="AY18" s="45">
        <f t="shared" ref="AY18:AY50" si="66">SUM(AC18,AG18,AK18,AO18,AS18,AW18)</f>
        <v>0</v>
      </c>
      <c r="AZ18" s="45">
        <f t="shared" ref="AZ18:AZ50" si="67">SUM(AD18,AH18,AL18,AP18,AT18,AX18)</f>
        <v>0</v>
      </c>
      <c r="BA18" s="101" t="str">
        <f>IF($G18="","",$G18*ADRYr3!$P18*ADRYr3!$Q18*ADRYr3!$U18*ADRYr3!AO18)</f>
        <v/>
      </c>
      <c r="BB18" s="102" t="str">
        <f>IF($G18="","",$G18*ADRYr3!$P18*ADRYr3!$Q18*ADRYr3!$U18*ADRYr3!AP18)</f>
        <v/>
      </c>
      <c r="BC18" s="100" t="str">
        <f t="shared" ref="BC18:BC50" si="68">IF($G18="","",SUM(BA18:BB18)*$H18)</f>
        <v/>
      </c>
      <c r="BD18" s="961"/>
      <c r="BE18" s="961"/>
      <c r="BF18" s="961"/>
      <c r="BG18" s="961"/>
      <c r="BH18" s="962" t="str">
        <f t="shared" si="3"/>
        <v/>
      </c>
      <c r="BI18" s="961"/>
      <c r="BJ18" s="961"/>
      <c r="BK18" s="961"/>
      <c r="BL18" s="961"/>
      <c r="BM18" s="30" t="str">
        <f t="shared" si="4"/>
        <v/>
      </c>
      <c r="BN18" s="963" t="str">
        <f t="shared" si="31"/>
        <v/>
      </c>
      <c r="BO18" s="31" t="str">
        <f t="shared" ref="BO18:BO50" si="69">IF($G18="","",SUM(BH18,BN18))</f>
        <v/>
      </c>
      <c r="BP18" s="964" t="str">
        <f t="shared" si="5"/>
        <v/>
      </c>
      <c r="BQ18" s="28" t="str">
        <f t="shared" si="6"/>
        <v/>
      </c>
      <c r="BR18" s="964" t="str">
        <f t="shared" si="7"/>
        <v/>
      </c>
      <c r="BS18" s="964" t="str">
        <f t="shared" si="8"/>
        <v/>
      </c>
      <c r="BT18" s="28" t="str">
        <f t="shared" si="9"/>
        <v/>
      </c>
      <c r="BU18" s="28" t="str">
        <f t="shared" si="9"/>
        <v/>
      </c>
      <c r="BV18" s="28" t="str">
        <f t="shared" si="9"/>
        <v/>
      </c>
      <c r="BW18" s="29" t="str">
        <f t="shared" ref="BW18:BW50" si="70">IF($G18="","",SUM(BP18:BV18))</f>
        <v/>
      </c>
      <c r="BX18" s="29" t="str">
        <f t="shared" ref="BX18:BX50" si="71">IF($G18="","",BO18+BW18)</f>
        <v/>
      </c>
      <c r="BY18" s="28" t="str">
        <f>IF($G18="","",$G18*(IF(ADRYr3!$AI18=BY$4,ADRYr3!$AJ18,IF(ADRYr3!$AK18=BY$4,ADRYr3!$AL18,IF(ADRYr3!$AM18=BY$4,ADRYr3!$AN18,0))))*(INDEX(avoidedcosttbl3,$H18,BY$2)+(($H18-ROUNDDOWN($H18,0))*(INDEX(avoidedcosttbl3,ROUNDUP($H18,0),BY$2)-(INDEX(avoidedcosttbl3,ROUNDDOWN($H18,0),BY$2)))))*ADRYr3!P18*ADRYr3!Q18*ADRYr3!U18)</f>
        <v/>
      </c>
      <c r="BZ18" s="28" t="str">
        <f>IF($G18="","",$G18*(IF(ADRYr3!$AI18=BZ$4,ADRYr3!$AJ18,IF(ADRYr3!$AK18=BZ$4,ADRYr3!$AL18,IF(ADRYr3!$AM18=BZ$4,ADRYr3!$AN18,0))))*(INDEX(avoidedcosttbl3,$H18,BZ$2)+(($H18-ROUNDDOWN($H18,0))*(INDEX(avoidedcosttbl3,ROUNDUP($H18,0),BZ$2)-(INDEX(avoidedcosttbl3,ROUNDDOWN($H18,0),BZ$2)))))*ADRYr3!P18*ADRYr3!Q18*ADRYr3!U18)</f>
        <v/>
      </c>
      <c r="CA18" s="28" t="str">
        <f>IF($G18="","",$G18*(IF(ADRYr3!$AI18=CA$4,ADRYr3!$AJ18,IF(ADRYr3!$AK18=CA$4,ADRYr3!$AL18,IF(ADRYr3!$AM18=CA$4,ADRYr3!$AN18,0))))*(INDEX(avoidedcosttbl3,$H18,CA$2)+(($H18-ROUNDDOWN($H18,0))*(INDEX(avoidedcosttbl3,ROUNDUP($H18,0),CA$2)-(INDEX(avoidedcosttbl3,ROUNDDOWN($H18,0),CA$2)))))*ADRYr3!P18*ADRYr3!Q18*ADRYr3!U18)</f>
        <v/>
      </c>
      <c r="CB18" s="28" t="str">
        <f>IF($G18="","",$G18*(IF(ADRYr3!$AI18=CB$4,ADRYr3!$AJ18,IF(ADRYr3!$AK18=CB$4,ADRYr3!$AL18,IF(ADRYr3!$AM18=CB$4,ADRYr3!$AN18,0))))*(INDEX(avoidedcosttbl3,$H18,CB$2)+(($H18-ROUNDDOWN($H18,0))*(INDEX(avoidedcosttbl3,ROUNDUP($H18,0),CB$2)-(INDEX(avoidedcosttbl3,ROUNDDOWN($H18,0),CB$2)))))*ADRYr3!P18*ADRYr3!Q18*ADRYr3!U18)</f>
        <v/>
      </c>
      <c r="CC18" s="28" t="str">
        <f>IF($G18="","",$G18*(IF(ADRYr3!$AI18=CC$4,ADRYr3!$AJ18,IF(ADRYr3!$AK18=CC$4,ADRYr3!$AL18,IF(ADRYr3!$AM18=CC$4,ADRYr3!$AN18,0))))*(INDEX(avoidedcosttbl3,$H18,CC$2)+(($H18-ROUNDDOWN($H18,0))*(INDEX(avoidedcosttbl3,ROUNDUP($H18,0),CC$2)-(INDEX(avoidedcosttbl3,ROUNDDOWN($H18,0),CC$2)))))*ADRYr3!P18*ADRYr3!Q18*ADRYr3!U18)</f>
        <v/>
      </c>
      <c r="CD18" s="28" t="str">
        <f>IF($G18="","",$G18*(IF(ADRYr3!$AI18=CD$4,ADRYr3!$AJ18,IF(ADRYr3!$AK18=CD$4,ADRYr3!$AL18,IF(ADRYr3!$AM18=CD$4,ADRYr3!$AN18,0))))*(INDEX(avoidedcosttbl3,$H18,CD$2)+(($H18-ROUNDDOWN($H18,0))*(INDEX(avoidedcosttbl3,ROUNDUP($H18,0),CD$2)-(INDEX(avoidedcosttbl3,ROUNDDOWN($H18,0),CD$2)))))*ADRYr3!P18*ADRYr3!Q18*ADRYr3!U18)</f>
        <v/>
      </c>
      <c r="CE18" s="28" t="str">
        <f>IF($G18="","",$G18*(IF(ADRYr3!$AI18=CE$4,ADRYr3!$AJ18,IF(ADRYr3!$AK18=CE$4,ADRYr3!$AL18,IF(ADRYr3!$AM18=CE$4,ADRYr3!$AN18,0))))*(INDEX(avoidedcosttbl3,$H18,CE$2)+(($H18-ROUNDDOWN($H18,0))*(INDEX(avoidedcosttbl3,ROUNDUP($H18,0),CE$2)-(INDEX(avoidedcosttbl3,ROUNDDOWN($H18,0),CE$2)))))*ADRYr3!P18*ADRYr3!Q18*ADRYr3!U18)</f>
        <v/>
      </c>
      <c r="CF18" s="41" t="str">
        <f t="shared" ref="CF18:CF50" si="72">IF($G18="","",SUM(BY18:CE18))</f>
        <v/>
      </c>
      <c r="CG18" s="30" t="str">
        <f t="shared" si="10"/>
        <v/>
      </c>
      <c r="CH18" s="30" t="str">
        <f>IF($G18="","",$G18*(IF(ADRYr3!$AI18=BY$4,ADRYr3!$AJ18,IF(ADRYr3!$AK18=BY$4,ADRYr3!$AL18,IF(ADRYr3!$AM18=BY$4,ADRYr3!$AN18,0))))*(INDEX(avoidedcosttbl3,$H18,CH$2)+(($H18-ROUNDDOWN($H18,0))*(INDEX(avoidedcosttbl3,ROUNDUP($H18,0),CH$2)-(INDEX(avoidedcosttbl3,ROUNDDOWN($H18,0),CH$2)))))*ADRYr3!P18*ADRYr3!Q18*ADRYr3!U18)</f>
        <v/>
      </c>
      <c r="CI18" s="30" t="str">
        <f>IF($G18="","",$G18*(IF(ADRYr3!$AI18=BZ$4,ADRYr3!$AJ18,IF(ADRYr3!$AK18=BZ$4,ADRYr3!$AL18,IF(ADRYr3!$AM18=BZ$4,ADRYr3!$AN18,0))))*(INDEX(avoidedcosttbl3,$H18,CI$2)+(($H18-ROUNDDOWN($H18,0))*(INDEX(avoidedcosttbl3,ROUNDUP($H18,0),CI$2)-(INDEX(avoidedcosttbl3,ROUNDDOWN($H18,0),CI$2)))))*ADRYr3!P18*ADRYr3!Q18*ADRYr3!U18)</f>
        <v/>
      </c>
      <c r="CJ18" s="30" t="str">
        <f>IF($G18="","",$G18*(IF(ADRYr3!$AI18=CA$4,ADRYr3!$AJ18,IF(ADRYr3!$AK18=CA$4,ADRYr3!$AL18,IF(ADRYr3!$AM18=CA$4,ADRYr3!$AN18,0))))*(INDEX(avoidedcosttbl3,$H18,CJ$2)+(($H18-ROUNDDOWN($H18,0))*(INDEX(avoidedcosttbl3,ROUNDUP($H18,0),CJ$2)-(INDEX(avoidedcosttbl3,ROUNDDOWN($H18,0),CJ$2)))))*ADRYr3!P18*ADRYr3!Q18*ADRYr3!U18)</f>
        <v/>
      </c>
      <c r="CK18" s="30" t="str">
        <f>IF($G18="","",$G18*(IF(ADRYr3!$AI18=CB$4,ADRYr3!$AJ18,IF(ADRYr3!$AK18=CB$4,ADRYr3!$AL18,IF(ADRYr3!$AM18=CB$4,ADRYr3!$AN18,0))))*(INDEX(avoidedcosttbl3,$H18,CK$2)+(($H18-ROUNDDOWN($H18,0))*(INDEX(avoidedcosttbl3,ROUNDUP($H18,0),CK$2)-(INDEX(avoidedcosttbl3,ROUNDDOWN($H18,0),CK$2)))))*ADRYr3!P18*ADRYr3!Q18*ADRYr3!U18)</f>
        <v/>
      </c>
      <c r="CL18" s="30" t="str">
        <f>IF($G18="","",$G18*(IF(ADRYr3!$AI18=CC$4,ADRYr3!$AJ18,IF(ADRYr3!$AK18=CC$4,ADRYr3!$AL18,IF(ADRYr3!$AM18=CC$4,ADRYr3!$AN18,0))))*(INDEX(avoidedcosttbl3,$H18,CL$2)+(($H18-ROUNDDOWN($H18,0))*(INDEX(avoidedcosttbl3,ROUNDUP($H18,0),CL$2)-(INDEX(avoidedcosttbl3,ROUNDDOWN($H18,0),CL$2)))))*ADRYr3!P18*ADRYr3!Q18*ADRYr3!U18)</f>
        <v/>
      </c>
      <c r="CM18" s="30" t="str">
        <f>IF($G18="","",$G18*(IF(ADRYr3!$AI18=CD$4,ADRYr3!$AJ18,IF(ADRYr3!$AK18=CD$4,ADRYr3!$AL18,IF(ADRYr3!$AM18=CD$4,ADRYr3!$AN18,0))))*(INDEX(avoidedcosttbl3,$H18,CM$2)+(($H18-ROUNDDOWN($H18,0))*(INDEX(avoidedcosttbl3,ROUNDUP($H18,0),CM$2)-(INDEX(avoidedcosttbl3,ROUNDDOWN($H18,0),CM$2)))))*ADRYr3!P18*ADRYr3!Q18*ADRYr3!U18)</f>
        <v/>
      </c>
      <c r="CN18" s="30" t="str">
        <f>IF($G18="","",$G18*(IF(ADRYr3!$AI18=CE$4,ADRYr3!$AJ18,IF(ADRYr3!$AK18=CE$4,ADRYr3!$AL18,IF(ADRYr3!$AM18=CE$4,ADRYr3!$AN18,0))))*(INDEX(avoidedcosttbl3,$H18,CN$2)+(($H18-ROUNDDOWN($H18,0))*(INDEX(avoidedcosttbl3,ROUNDUP($H18,0),CN$2)-(INDEX(avoidedcosttbl3,ROUNDDOWN($H18,0),CN$2)))))*ADRYr3!P18*ADRYr3!Q18*ADRYr3!U18)</f>
        <v/>
      </c>
      <c r="CO18" s="220" t="str">
        <f t="shared" ref="CO18:CO50" si="73">IF($G18="","",SUM(CG18:CN18))</f>
        <v/>
      </c>
      <c r="CP18" s="220" t="str">
        <f t="shared" ref="CP18:CP50" si="74">IF($G18="","",CF18+CO18)</f>
        <v/>
      </c>
      <c r="CQ18" s="157" t="str">
        <f>IF($G18="","",$G18*(IF(ADRYr3!$AI18=CQ$4,ADRYr3!$AJ18,IF(ADRYr3!$AK18=CQ$4,ADRYr3!$AL18,IF(ADRYr3!$AM18=CQ$4,ADRYr3!$AN18,0))))*(INDEX(avoidedcosttbl3,$H18,CQ$2)+(($H18-ROUNDDOWN($H18,0))*(INDEX(avoidedcosttbl3,ROUNDUP($H18,0),CQ$2)-(INDEX(avoidedcosttbl3,ROUNDDOWN($H18,0),CQ$2)))))*ADRYr3!$P18*ADRYr3!$Q18*ADRYr3!$U18)</f>
        <v/>
      </c>
      <c r="CR18" s="28" t="str">
        <f>IF($G18="","",G18*(IF(ADRYr3!$AI18=CR$4,ADRYr3!$AJ18,IF(ADRYr3!$AK18=CR$4,ADRYr3!$AL18,IF(ADRYr3!$AM18=CR$4,ADRYr3!$AN18,0))))*(INDEX(avoidedcosttbl3,$H18,CR$2)+(($H18-ROUNDDOWN($H18,0))*(INDEX(avoidedcosttbl3,ROUNDUP($H18,0),CR$2)-(INDEX(avoidedcosttbl3,ROUNDDOWN($H18,0),CR$2)))))*ADRYr3!$P18*ADRYr3!$Q18*ADRYr3!$U18)</f>
        <v/>
      </c>
      <c r="CS18" s="28" t="str">
        <f>IF($G18="","",G18*(IF(ADRYr3!$AI18=CS$4,ADRYr3!$AJ18,IF(ADRYr3!$AK18=CS$4,ADRYr3!$AL18,IF(ADRYr3!$AM18=CS$4,ADRYr3!$AN18,0))))*(INDEX(avoidedcosttbl3,$H18,CS$2)+(($H18-ROUNDDOWN($H18,0))*(INDEX(avoidedcosttbl3,ROUNDUP($H18,0),CS$2)-(INDEX(avoidedcosttbl3,ROUNDDOWN($H18,0),CS$2)))))*ADRYr3!$P18*ADRYr3!$Q18*ADRYr3!$U18)</f>
        <v/>
      </c>
      <c r="CT18" s="28" t="str">
        <f t="shared" si="11"/>
        <v/>
      </c>
      <c r="CU18" s="28" t="str">
        <f>IF($G18="","",G18*(IF(ADRYr3!$AI18=CU$4,ADRYr3!$AJ18,IF(ADRYr3!$AK18=CU$4,ADRYr3!$AL18,IF(ADRYr3!$AM18=CU$4,ADRYr3!$AN18,0))))*(INDEX(avoidedcosttbl3,$H18,CU$2)+(($H18-ROUNDDOWN($H18,0))*(INDEX(avoidedcosttbl3,ROUNDUP($H18,0),CU$2)-(INDEX(avoidedcosttbl3,ROUNDDOWN($H18,0),CU$2)))))*ADRYr3!$P18*ADRYr3!$Q18*ADRYr3!$U18)</f>
        <v/>
      </c>
      <c r="CV18" s="28" t="str">
        <f>IF($G18="","",G18*(IF(ADRYr3!$AI18=CV$4,ADRYr3!$AJ18,IF(ADRYr3!$AK18=CV$4,ADRYr3!$AL18,IF(ADRYr3!$AM18=CV$4,ADRYr3!$AN18,0))))*(INDEX(avoidedcosttbl3,$H18,CV$2)+(($H18-ROUNDDOWN($H18,0))*(INDEX(avoidedcosttbl3,ROUNDUP($H18,0),CV$2)-(INDEX(avoidedcosttbl3,ROUNDDOWN($H18,0),CV$2)))))*ADRYr3!$P18*ADRYr3!$Q18*ADRYr3!$U18)</f>
        <v/>
      </c>
      <c r="CW18" s="28" t="str">
        <f>IF($G18="","",G18*(IF(ADRYr3!$AI18=CW$4,ADRYr3!$AJ18,IF(ADRYr3!$AK18=CW$4,ADRYr3!$AL18,IF(ADRYr3!$AM18=CW$4,ADRYr3!$AN18,0))))*(INDEX(avoidedcosttbl3,$H18,CW$2)+(($H18-ROUNDDOWN($H18,0))*(INDEX(avoidedcosttbl3,ROUNDUP($H18,0),CW$2)-(INDEX(avoidedcosttbl3,ROUNDDOWN($H18,0),CW$2)))))*ADRYr3!$P18*ADRYr3!$Q18*ADRYr3!$U18)</f>
        <v/>
      </c>
      <c r="CX18" s="28" t="str">
        <f>IF($G18="","",G18*(IF(ADRYr3!$AI18=CX$4,ADRYr3!$AJ18,IF(ADRYr3!$AK18=CX$4,ADRYr3!$AL18,IF(ADRYr3!$AM18=CX$4,ADRYr3!$AN18,0))))*(INDEX(avoidedcosttbl3,$H18,CX$2)+(($H18-ROUNDDOWN($H18,0))*(INDEX(avoidedcosttbl3,ROUNDUP($H18,0),CX$2)-(INDEX(avoidedcosttbl3,ROUNDDOWN($H18,0),CX$2)))))*ADRYr3!$P18*ADRYr3!$Q18*ADRYr3!$U18)</f>
        <v/>
      </c>
      <c r="CY18" s="28" t="str">
        <f t="shared" ref="CY18:CY50" si="75">IF($G18="","",BA18*(INDEX(avoidedcosttbl3,$H18,CY$2)+(($H18-ROUNDDOWN($H18,0))*(INDEX(avoidedcosttbl3,ROUNDUP($H18,0),CY$2)-(INDEX(avoidedcosttbl3,ROUNDDOWN($H18,0),CY$2))))))</f>
        <v/>
      </c>
      <c r="CZ18" s="32" t="str">
        <f t="shared" ref="CZ18:CZ50" si="76">IF($G18="","",BB18*(INDEX(avoidedcosttbl3,$H18,CZ$2)+(($H18-ROUNDDOWN($H18,0))*(INDEX(avoidedcosttbl3,ROUNDUP($H18,0),CZ$2)-(INDEX(avoidedcosttbl3,ROUNDDOWN($H18,0),CZ$2))))))</f>
        <v/>
      </c>
      <c r="DA18" s="84" t="str">
        <f t="shared" ref="DA18:DA50" si="77">IF($G18="","",SUM(CP18:CZ18))</f>
        <v/>
      </c>
      <c r="DB18" s="81" t="str">
        <f>IF(NEIadder="Yes",IF($G18="","",INDEX(Lookups!$G$70:$G$71,MATCH($A18,Lookups!$E$70:$E$71,0))*(SUM(CP18:CX18,BX18))),"")</f>
        <v/>
      </c>
      <c r="DC18" s="263" t="str">
        <f t="shared" ref="DC18:DC50" si="78">IF(FE="Yes",IF($G18="","", FEpercent*(AC18*NGE+AG18*OilE+AK18*PropE+AO18*KerE)*(INDEX(avoidedcosttbl3,$H18,DC$2)+(($H18-ROUNDDOWN($H18,0))*(INDEX(avoidedcosttbl3,ROUNDUP($H18,0),DC$2)-(INDEX(avoidedcosttbl3,ROUNDDOWN($H18,0),DC$2)))))),"")</f>
        <v/>
      </c>
      <c r="DD18" s="166" t="str">
        <f t="shared" ref="DD18:DD50" si="79">IF($G18="","",(AC18*NGCO2+AG18*OilCO2+AK18*PropaneCO2+AO18*KeroseneCO2)/2000*(INDEX(avoidedcosttbl3,$H18,DD$2)+(($H18-ROUNDDOWN($H18,0))*(INDEX(avoidedcosttbl3,ROUNDUP($H18,0),DD$2)-(INDEX(avoidedcosttbl3,ROUNDDOWN($H18,0),DD$2))))))</f>
        <v/>
      </c>
      <c r="DE18" s="82">
        <f t="shared" ref="DE18:DE50" si="80">SUM(DB18:DD18)</f>
        <v>0</v>
      </c>
      <c r="DF18" s="615" t="str">
        <f>IF($G18="","",(1+WntPeakEnergyLL)*(INDEX(avoidedcosttbl3,$H18,DF$2)+(($H18-ROUNDDOWN($H18,0))*(INDEX(avoidedcosttbl3,ROUNDUP($H18,0),DF$2)-(INDEX(avoidedcosttbl3,ROUNDDOWN($H18,0),DF$2)))))*$P18*1000*ADRYr3!Z18)</f>
        <v/>
      </c>
      <c r="DG18" s="615" t="str">
        <f>IF($G18="","",(1+WntOffPeakEnergyLL)*(INDEX(avoidedcosttbl3,$H18,DG$2)+(($H18-ROUNDDOWN($H18,0))*(INDEX(avoidedcosttbl3,ROUNDUP($H18,0),DG$2)-(INDEX(avoidedcosttbl3,ROUNDDOWN($H18,0),DG$2)))))*$P18*1000*ADRYr3!AA18)</f>
        <v/>
      </c>
      <c r="DH18" s="615" t="str">
        <f>IF($G18="","",(1+SumPeakEnergyLL)*(INDEX(avoidedcosttbl3,$H18,DH$2)+(($H18-ROUNDDOWN($H18,0))*(INDEX(avoidedcosttbl3,ROUNDUP($H18,0),DH$2)-(INDEX(avoidedcosttbl3,ROUNDDOWN($H18,0),DH$2)))))*$P18*1000*ADRYr3!AB18)</f>
        <v/>
      </c>
      <c r="DI18" s="615" t="str">
        <f>IF($G18="","",(1+SumOffPeakEnergyLL)*(INDEX(avoidedcosttbl3,$H18,DI$2)+(($H18-ROUNDDOWN($H18,0))*(INDEX(avoidedcosttbl3,ROUNDUP($H18,0),DI$2)-(INDEX(avoidedcosttbl3,ROUNDDOWN($H18,0),DI$2)))))*$P18*1000*ADRYr3!AC18)</f>
        <v/>
      </c>
      <c r="DJ18" s="29" t="str">
        <f t="shared" ref="DJ18:DJ50" si="81">IF($G18="","",SUM(DF18:DI18))</f>
        <v/>
      </c>
      <c r="DK18" s="161" t="str">
        <f t="shared" si="45"/>
        <v/>
      </c>
      <c r="DL18" s="1189" t="str">
        <f t="shared" si="46"/>
        <v/>
      </c>
      <c r="DM18" s="1189" t="str">
        <f t="shared" si="47"/>
        <v/>
      </c>
      <c r="DN18" s="43" t="str">
        <f t="shared" si="48"/>
        <v/>
      </c>
      <c r="DO18" s="966" t="str">
        <f>IF($G18="","",ADRYr3!AQ18)</f>
        <v/>
      </c>
      <c r="DP18" s="968" t="str">
        <f>IF($G18="","",ADRYr3!AR18)</f>
        <v/>
      </c>
      <c r="DQ18" s="970" t="str">
        <f>IF($G18="","",IF($DP18="Yes",COLUMN(AESC!$L$10),IF($DP18="No","Using AvoidedDemand tab",IF($DP18="Mixed",COLUMN(AESC!$N$10)))))</f>
        <v/>
      </c>
      <c r="DR18" s="970" t="str">
        <f>IF($G18="","",IF($DP18="Yes",COLUMN(AESC!$P$10),IF($DP18="No","Using AvoidedDemand tab",IF($DP18="Mixed",COLUMN(AESC!$R$10)))))</f>
        <v/>
      </c>
      <c r="DS18" s="970" t="str">
        <f>IF($G18="","",IF($DP18="Yes",COLUMN(AESC!$S$10),IF($DP18="No",COLUMN(AESC!$T$10),IF($DP18="Mixed",COLUMN(AESC!$U$10)))))</f>
        <v/>
      </c>
      <c r="DT18" s="970" t="str">
        <f t="shared" si="49"/>
        <v/>
      </c>
      <c r="DU18" s="970" t="str">
        <f>IF($G18="","",ADRYr3!AS18)</f>
        <v/>
      </c>
      <c r="DV18" s="971" t="str">
        <f>IF($G18="","",ADRYr3!AT18)</f>
        <v/>
      </c>
      <c r="DW18" s="1162" t="str">
        <f>IF($G18="","",INDEX(AvoidedEnergy!$H$4:$H$10,MATCH($DO18,AvoidedEnergy!$A$4:$A$10,0)))</f>
        <v/>
      </c>
    </row>
    <row r="19" spans="1:127">
      <c r="A19" s="160" t="str">
        <f>IF(ADRYr3!$B19=0,"",ADRYr3!A19)</f>
        <v>B - Low-Income</v>
      </c>
      <c r="B19" s="9" t="str">
        <f>IF(ADRYr3!$B19=0,"",ADRYr3!B19)</f>
        <v>Home Energy Assistance</v>
      </c>
      <c r="C19" s="9" t="str">
        <f>IF(ADRYr3!$B19=0,"",ADRYr3!C19)</f>
        <v>Res Demand Response</v>
      </c>
      <c r="D19" s="9" t="str">
        <f>IF(ADRYr3!$B19=0,"",ADRYr3!D19)</f>
        <v>Storage Daily Dispatch Upfront Incentive (savings) Summer</v>
      </c>
      <c r="E19" s="9">
        <f>IF(ADRYr3!$B19=0,"",ADRYr3!E19)</f>
        <v>0</v>
      </c>
      <c r="F19" s="11" t="str">
        <f>IF(ADRYr3!$B19=0,"",ADRYr3!F19)</f>
        <v>Behavior</v>
      </c>
      <c r="G19" s="12" t="str">
        <f>IF(ADRYr3!$G19&lt;&gt;0,ADRYr3!G19,"")</f>
        <v/>
      </c>
      <c r="H19" s="960" t="str">
        <f>IF($G19="","",ROUND(ADRYr3!H19,0))</f>
        <v/>
      </c>
      <c r="I19" s="47" t="str">
        <f>IF($G19="","",ADRYr3!I19*ADRYr3!P19*G19)</f>
        <v/>
      </c>
      <c r="J19" s="47" t="str">
        <f>IF($G19="","",ADRYr3!J19*G19)</f>
        <v/>
      </c>
      <c r="K19" s="47" t="str">
        <f t="shared" si="50"/>
        <v/>
      </c>
      <c r="L19" s="27" t="str">
        <f>IF($G19="","",ADRYr3!V19*G19/1000)</f>
        <v/>
      </c>
      <c r="M19" s="27" t="str">
        <f>IF($G19="","",L19*ADRYr3!$Q19*ADRYr3!$R19)</f>
        <v/>
      </c>
      <c r="N19" s="27" t="str">
        <f t="shared" si="51"/>
        <v/>
      </c>
      <c r="O19" s="27" t="str">
        <f t="shared" si="52"/>
        <v/>
      </c>
      <c r="P19" s="27" t="str">
        <f>IF($G19="","",M19*ADRYr3!P19)</f>
        <v/>
      </c>
      <c r="Q19" s="27" t="str">
        <f t="shared" si="53"/>
        <v/>
      </c>
      <c r="R19" s="27" t="str">
        <f>IF($G19="","",$Q19*ADRYr3!Z19)</f>
        <v/>
      </c>
      <c r="S19" s="27" t="str">
        <f>IF($G19="","",$Q19*ADRYr3!AA19)</f>
        <v/>
      </c>
      <c r="T19" s="27" t="str">
        <f>IF($G19="","",$Q19*ADRYr3!AB19)</f>
        <v/>
      </c>
      <c r="U19" s="27" t="str">
        <f>IF($G19="","",$Q19*ADRYr3!AC19)</f>
        <v/>
      </c>
      <c r="V19" s="27" t="str">
        <f>IF($G19="","",G19*ADRYr3!$AD19*ADRYr3!$P19*ADRYr3!$Q19)</f>
        <v/>
      </c>
      <c r="W19" s="27" t="str">
        <f>IF($G19="","",$G19*ADRYr3!$AD19*ADRYr3!$AF19*ADRYr3!Q19*ADRYr3!$S19)</f>
        <v/>
      </c>
      <c r="X19" s="27" t="str">
        <f>IF($G19="","",$G19*ADRYr3!$AD19*ADRYr3!$AF19*ADRYr3!P19*ADRYr3!Q19*ADRYr3!$S19)</f>
        <v/>
      </c>
      <c r="Y19" s="27" t="str">
        <f>IF($G19="","",$G19*ADRYr3!$AD19*ADRYr3!$AE19*ADRYr3!Q19*ADRYr3!$T19)</f>
        <v/>
      </c>
      <c r="Z19" s="27" t="str">
        <f>IF($G19="","",$G19*ADRYr3!$AD19*ADRYr3!$AE19*ADRYr3!P19*ADRYr3!Q19*ADRYr3!$T19)</f>
        <v/>
      </c>
      <c r="AA19" s="45" t="str">
        <f>IF($G19="","",$G19*ADRYr3!$Q19*ADRYr3!$U19*(IF(IFERROR(SEARCH("NG", ADRYr3!$AI19),0),ADRYr3!$AJ19,0)+IF(IFERROR(SEARCH("NG", ADRYr3!$AK19),0),ADRYr3!$AL19,0)+IF(IFERROR(SEARCH("NG", ADRYr3!$AM19),0),ADRYr3!$AN19,0)))</f>
        <v/>
      </c>
      <c r="AB19" s="45" t="str">
        <f t="shared" si="54"/>
        <v/>
      </c>
      <c r="AC19" s="45">
        <f>IF($G19="",0,AA19*ADRYr3!$P19)</f>
        <v>0</v>
      </c>
      <c r="AD19" s="45" t="str">
        <f t="shared" si="55"/>
        <v/>
      </c>
      <c r="AE19" s="45" t="str">
        <f>IF($G19="","",$G19*ADRYr3!$Q19*ADRYr3!$U19*(IF(IFERROR(SEARCH("Oil", ADRYr3!$AI19), 0),ADRYr3!$AJ19,0)+IF(IFERROR(SEARCH("Oil", ADRYr3!$AK19), 0),ADRYr3!$AL19,0)+IF(IFERROR(SEARCH("Oil", ADRYr3!$AM19), 0),ADRYr3!$AN19,0)))</f>
        <v/>
      </c>
      <c r="AF19" s="45" t="str">
        <f t="shared" si="56"/>
        <v/>
      </c>
      <c r="AG19" s="45">
        <f>IF($G19="",0,AE19*ADRYr3!$P19)</f>
        <v>0</v>
      </c>
      <c r="AH19" s="45" t="str">
        <f t="shared" si="57"/>
        <v/>
      </c>
      <c r="AI19" s="45" t="str">
        <f>IF($G19="","",$G19*ADRYr3!$Q19*ADRYr3!$U19*(IF(ADRYr3!$AI19=Lookups!$E$116,ADRYr3!$AJ19,IF(ADRYr3!$AK19=Lookups!$E$116,ADRYr3!$AL19,IF(ADRYr3!$AM19=Lookups!$E$116,ADRYr3!$AN19,0)))))</f>
        <v/>
      </c>
      <c r="AJ19" s="45" t="str">
        <f t="shared" si="58"/>
        <v/>
      </c>
      <c r="AK19" s="45">
        <f>IF($G19="",0,AI19*ADRYr3!$P19)</f>
        <v>0</v>
      </c>
      <c r="AL19" s="45" t="str">
        <f t="shared" si="59"/>
        <v/>
      </c>
      <c r="AM19" s="45" t="str">
        <f>IF($G19="","",$G19*ADRYr3!$Q19*ADRYr3!$U19*(IF(ADRYr3!$AI19=Lookups!$E$115,ADRYr3!$AJ19,IF(ADRYr3!$AK19=Lookups!$E$115,ADRYr3!$AL19,IF(ADRYr3!$AM19=Lookups!$E$115,ADRYr3!$AN19,0)))))</f>
        <v/>
      </c>
      <c r="AN19" s="45" t="str">
        <f t="shared" si="60"/>
        <v/>
      </c>
      <c r="AO19" s="45">
        <f>IF($G19="",0,AM19*ADRYr3!$P19)</f>
        <v>0</v>
      </c>
      <c r="AP19" s="45" t="str">
        <f t="shared" si="61"/>
        <v/>
      </c>
      <c r="AQ19" s="45" t="str">
        <f>IF($G19="","",$G19*ADRYr3!$Q19*ADRYr3!$U19*(IF(ADRYr3!$AI19=Lookups!$E$117,ADRYr3!$AJ19,IF(ADRYr3!$AK19=Lookups!$E$117,ADRYr3!$AL19,IF(ADRYr3!$AM19=Lookups!$E$117,ADRYr3!$AN19,0)))))</f>
        <v/>
      </c>
      <c r="AR19" s="45" t="str">
        <f t="shared" si="62"/>
        <v/>
      </c>
      <c r="AS19" s="45" t="str">
        <f>IF($G19="","",AQ19*ADRYr3!$P19)</f>
        <v/>
      </c>
      <c r="AT19" s="45" t="str">
        <f t="shared" si="63"/>
        <v/>
      </c>
      <c r="AU19" s="45" t="str">
        <f>IF($G19="","",$G19*ADRYr3!$Q19*ADRYr3!$U19*(IF(ADRYr3!$AI19=Lookups!$E$118,ADRYr3!$AJ19,IF(ADRYr3!$AK19=Lookups!$E$118,ADRYr3!$AL19,IF(ADRYr3!$AM19=Lookups!$E$118,ADRYr3!$AN19,0)))))</f>
        <v/>
      </c>
      <c r="AV19" s="45" t="str">
        <f t="shared" si="64"/>
        <v/>
      </c>
      <c r="AW19" s="45" t="str">
        <f>IF($G19="","",AU19*ADRYr3!$P19)</f>
        <v/>
      </c>
      <c r="AX19" s="45" t="str">
        <f t="shared" si="65"/>
        <v/>
      </c>
      <c r="AY19" s="45">
        <f t="shared" si="66"/>
        <v>0</v>
      </c>
      <c r="AZ19" s="45">
        <f t="shared" si="67"/>
        <v>0</v>
      </c>
      <c r="BA19" s="101" t="str">
        <f>IF($G19="","",$G19*ADRYr3!$P19*ADRYr3!$Q19*ADRYr3!$U19*ADRYr3!AO19)</f>
        <v/>
      </c>
      <c r="BB19" s="102" t="str">
        <f>IF($G19="","",$G19*ADRYr3!$P19*ADRYr3!$Q19*ADRYr3!$U19*ADRYr3!AP19)</f>
        <v/>
      </c>
      <c r="BC19" s="100" t="str">
        <f t="shared" si="68"/>
        <v/>
      </c>
      <c r="BD19" s="961"/>
      <c r="BE19" s="961"/>
      <c r="BF19" s="961"/>
      <c r="BG19" s="961"/>
      <c r="BH19" s="962" t="str">
        <f t="shared" si="3"/>
        <v/>
      </c>
      <c r="BI19" s="961"/>
      <c r="BJ19" s="961"/>
      <c r="BK19" s="961"/>
      <c r="BL19" s="961"/>
      <c r="BM19" s="30" t="str">
        <f t="shared" si="4"/>
        <v/>
      </c>
      <c r="BN19" s="963" t="str">
        <f t="shared" si="31"/>
        <v/>
      </c>
      <c r="BO19" s="31" t="str">
        <f t="shared" si="69"/>
        <v/>
      </c>
      <c r="BP19" s="964" t="str">
        <f t="shared" si="5"/>
        <v/>
      </c>
      <c r="BQ19" s="28" t="str">
        <f t="shared" si="6"/>
        <v/>
      </c>
      <c r="BR19" s="964" t="str">
        <f t="shared" si="7"/>
        <v/>
      </c>
      <c r="BS19" s="964" t="str">
        <f t="shared" si="8"/>
        <v/>
      </c>
      <c r="BT19" s="28" t="str">
        <f t="shared" si="9"/>
        <v/>
      </c>
      <c r="BU19" s="28" t="str">
        <f t="shared" si="9"/>
        <v/>
      </c>
      <c r="BV19" s="28" t="str">
        <f t="shared" si="9"/>
        <v/>
      </c>
      <c r="BW19" s="29" t="str">
        <f t="shared" si="70"/>
        <v/>
      </c>
      <c r="BX19" s="29" t="str">
        <f t="shared" si="71"/>
        <v/>
      </c>
      <c r="BY19" s="28" t="str">
        <f>IF($G19="","",$G19*(IF(ADRYr3!$AI19=BY$4,ADRYr3!$AJ19,IF(ADRYr3!$AK19=BY$4,ADRYr3!$AL19,IF(ADRYr3!$AM19=BY$4,ADRYr3!$AN19,0))))*(INDEX(avoidedcosttbl3,$H19,BY$2)+(($H19-ROUNDDOWN($H19,0))*(INDEX(avoidedcosttbl3,ROUNDUP($H19,0),BY$2)-(INDEX(avoidedcosttbl3,ROUNDDOWN($H19,0),BY$2)))))*ADRYr3!P19*ADRYr3!Q19*ADRYr3!U19)</f>
        <v/>
      </c>
      <c r="BZ19" s="28" t="str">
        <f>IF($G19="","",$G19*(IF(ADRYr3!$AI19=BZ$4,ADRYr3!$AJ19,IF(ADRYr3!$AK19=BZ$4,ADRYr3!$AL19,IF(ADRYr3!$AM19=BZ$4,ADRYr3!$AN19,0))))*(INDEX(avoidedcosttbl3,$H19,BZ$2)+(($H19-ROUNDDOWN($H19,0))*(INDEX(avoidedcosttbl3,ROUNDUP($H19,0),BZ$2)-(INDEX(avoidedcosttbl3,ROUNDDOWN($H19,0),BZ$2)))))*ADRYr3!P19*ADRYr3!Q19*ADRYr3!U19)</f>
        <v/>
      </c>
      <c r="CA19" s="28" t="str">
        <f>IF($G19="","",$G19*(IF(ADRYr3!$AI19=CA$4,ADRYr3!$AJ19,IF(ADRYr3!$AK19=CA$4,ADRYr3!$AL19,IF(ADRYr3!$AM19=CA$4,ADRYr3!$AN19,0))))*(INDEX(avoidedcosttbl3,$H19,CA$2)+(($H19-ROUNDDOWN($H19,0))*(INDEX(avoidedcosttbl3,ROUNDUP($H19,0),CA$2)-(INDEX(avoidedcosttbl3,ROUNDDOWN($H19,0),CA$2)))))*ADRYr3!P19*ADRYr3!Q19*ADRYr3!U19)</f>
        <v/>
      </c>
      <c r="CB19" s="28" t="str">
        <f>IF($G19="","",$G19*(IF(ADRYr3!$AI19=CB$4,ADRYr3!$AJ19,IF(ADRYr3!$AK19=CB$4,ADRYr3!$AL19,IF(ADRYr3!$AM19=CB$4,ADRYr3!$AN19,0))))*(INDEX(avoidedcosttbl3,$H19,CB$2)+(($H19-ROUNDDOWN($H19,0))*(INDEX(avoidedcosttbl3,ROUNDUP($H19,0),CB$2)-(INDEX(avoidedcosttbl3,ROUNDDOWN($H19,0),CB$2)))))*ADRYr3!P19*ADRYr3!Q19*ADRYr3!U19)</f>
        <v/>
      </c>
      <c r="CC19" s="28" t="str">
        <f>IF($G19="","",$G19*(IF(ADRYr3!$AI19=CC$4,ADRYr3!$AJ19,IF(ADRYr3!$AK19=CC$4,ADRYr3!$AL19,IF(ADRYr3!$AM19=CC$4,ADRYr3!$AN19,0))))*(INDEX(avoidedcosttbl3,$H19,CC$2)+(($H19-ROUNDDOWN($H19,0))*(INDEX(avoidedcosttbl3,ROUNDUP($H19,0),CC$2)-(INDEX(avoidedcosttbl3,ROUNDDOWN($H19,0),CC$2)))))*ADRYr3!P19*ADRYr3!Q19*ADRYr3!U19)</f>
        <v/>
      </c>
      <c r="CD19" s="28" t="str">
        <f>IF($G19="","",$G19*(IF(ADRYr3!$AI19=CD$4,ADRYr3!$AJ19,IF(ADRYr3!$AK19=CD$4,ADRYr3!$AL19,IF(ADRYr3!$AM19=CD$4,ADRYr3!$AN19,0))))*(INDEX(avoidedcosttbl3,$H19,CD$2)+(($H19-ROUNDDOWN($H19,0))*(INDEX(avoidedcosttbl3,ROUNDUP($H19,0),CD$2)-(INDEX(avoidedcosttbl3,ROUNDDOWN($H19,0),CD$2)))))*ADRYr3!P19*ADRYr3!Q19*ADRYr3!U19)</f>
        <v/>
      </c>
      <c r="CE19" s="28" t="str">
        <f>IF($G19="","",$G19*(IF(ADRYr3!$AI19=CE$4,ADRYr3!$AJ19,IF(ADRYr3!$AK19=CE$4,ADRYr3!$AL19,IF(ADRYr3!$AM19=CE$4,ADRYr3!$AN19,0))))*(INDEX(avoidedcosttbl3,$H19,CE$2)+(($H19-ROUNDDOWN($H19,0))*(INDEX(avoidedcosttbl3,ROUNDUP($H19,0),CE$2)-(INDEX(avoidedcosttbl3,ROUNDDOWN($H19,0),CE$2)))))*ADRYr3!P19*ADRYr3!Q19*ADRYr3!U19)</f>
        <v/>
      </c>
      <c r="CF19" s="41" t="str">
        <f t="shared" si="72"/>
        <v/>
      </c>
      <c r="CG19" s="30" t="str">
        <f t="shared" si="10"/>
        <v/>
      </c>
      <c r="CH19" s="30" t="str">
        <f>IF($G19="","",$G19*(IF(ADRYr3!$AI19=BY$4,ADRYr3!$AJ19,IF(ADRYr3!$AK19=BY$4,ADRYr3!$AL19,IF(ADRYr3!$AM19=BY$4,ADRYr3!$AN19,0))))*(INDEX(avoidedcosttbl3,$H19,CH$2)+(($H19-ROUNDDOWN($H19,0))*(INDEX(avoidedcosttbl3,ROUNDUP($H19,0),CH$2)-(INDEX(avoidedcosttbl3,ROUNDDOWN($H19,0),CH$2)))))*ADRYr3!P19*ADRYr3!Q19*ADRYr3!U19)</f>
        <v/>
      </c>
      <c r="CI19" s="30" t="str">
        <f>IF($G19="","",$G19*(IF(ADRYr3!$AI19=BZ$4,ADRYr3!$AJ19,IF(ADRYr3!$AK19=BZ$4,ADRYr3!$AL19,IF(ADRYr3!$AM19=BZ$4,ADRYr3!$AN19,0))))*(INDEX(avoidedcosttbl3,$H19,CI$2)+(($H19-ROUNDDOWN($H19,0))*(INDEX(avoidedcosttbl3,ROUNDUP($H19,0),CI$2)-(INDEX(avoidedcosttbl3,ROUNDDOWN($H19,0),CI$2)))))*ADRYr3!P19*ADRYr3!Q19*ADRYr3!U19)</f>
        <v/>
      </c>
      <c r="CJ19" s="30" t="str">
        <f>IF($G19="","",$G19*(IF(ADRYr3!$AI19=CA$4,ADRYr3!$AJ19,IF(ADRYr3!$AK19=CA$4,ADRYr3!$AL19,IF(ADRYr3!$AM19=CA$4,ADRYr3!$AN19,0))))*(INDEX(avoidedcosttbl3,$H19,CJ$2)+(($H19-ROUNDDOWN($H19,0))*(INDEX(avoidedcosttbl3,ROUNDUP($H19,0),CJ$2)-(INDEX(avoidedcosttbl3,ROUNDDOWN($H19,0),CJ$2)))))*ADRYr3!P19*ADRYr3!Q19*ADRYr3!U19)</f>
        <v/>
      </c>
      <c r="CK19" s="30" t="str">
        <f>IF($G19="","",$G19*(IF(ADRYr3!$AI19=CB$4,ADRYr3!$AJ19,IF(ADRYr3!$AK19=CB$4,ADRYr3!$AL19,IF(ADRYr3!$AM19=CB$4,ADRYr3!$AN19,0))))*(INDEX(avoidedcosttbl3,$H19,CK$2)+(($H19-ROUNDDOWN($H19,0))*(INDEX(avoidedcosttbl3,ROUNDUP($H19,0),CK$2)-(INDEX(avoidedcosttbl3,ROUNDDOWN($H19,0),CK$2)))))*ADRYr3!P19*ADRYr3!Q19*ADRYr3!U19)</f>
        <v/>
      </c>
      <c r="CL19" s="30" t="str">
        <f>IF($G19="","",$G19*(IF(ADRYr3!$AI19=CC$4,ADRYr3!$AJ19,IF(ADRYr3!$AK19=CC$4,ADRYr3!$AL19,IF(ADRYr3!$AM19=CC$4,ADRYr3!$AN19,0))))*(INDEX(avoidedcosttbl3,$H19,CL$2)+(($H19-ROUNDDOWN($H19,0))*(INDEX(avoidedcosttbl3,ROUNDUP($H19,0),CL$2)-(INDEX(avoidedcosttbl3,ROUNDDOWN($H19,0),CL$2)))))*ADRYr3!P19*ADRYr3!Q19*ADRYr3!U19)</f>
        <v/>
      </c>
      <c r="CM19" s="30" t="str">
        <f>IF($G19="","",$G19*(IF(ADRYr3!$AI19=CD$4,ADRYr3!$AJ19,IF(ADRYr3!$AK19=CD$4,ADRYr3!$AL19,IF(ADRYr3!$AM19=CD$4,ADRYr3!$AN19,0))))*(INDEX(avoidedcosttbl3,$H19,CM$2)+(($H19-ROUNDDOWN($H19,0))*(INDEX(avoidedcosttbl3,ROUNDUP($H19,0),CM$2)-(INDEX(avoidedcosttbl3,ROUNDDOWN($H19,0),CM$2)))))*ADRYr3!P19*ADRYr3!Q19*ADRYr3!U19)</f>
        <v/>
      </c>
      <c r="CN19" s="30" t="str">
        <f>IF($G19="","",$G19*(IF(ADRYr3!$AI19=CE$4,ADRYr3!$AJ19,IF(ADRYr3!$AK19=CE$4,ADRYr3!$AL19,IF(ADRYr3!$AM19=CE$4,ADRYr3!$AN19,0))))*(INDEX(avoidedcosttbl3,$H19,CN$2)+(($H19-ROUNDDOWN($H19,0))*(INDEX(avoidedcosttbl3,ROUNDUP($H19,0),CN$2)-(INDEX(avoidedcosttbl3,ROUNDDOWN($H19,0),CN$2)))))*ADRYr3!P19*ADRYr3!Q19*ADRYr3!U19)</f>
        <v/>
      </c>
      <c r="CO19" s="220" t="str">
        <f t="shared" si="73"/>
        <v/>
      </c>
      <c r="CP19" s="220" t="str">
        <f t="shared" si="74"/>
        <v/>
      </c>
      <c r="CQ19" s="157" t="str">
        <f>IF($G19="","",$G19*(IF(ADRYr3!$AI19=CQ$4,ADRYr3!$AJ19,IF(ADRYr3!$AK19=CQ$4,ADRYr3!$AL19,IF(ADRYr3!$AM19=CQ$4,ADRYr3!$AN19,0))))*(INDEX(avoidedcosttbl3,$H19,CQ$2)+(($H19-ROUNDDOWN($H19,0))*(INDEX(avoidedcosttbl3,ROUNDUP($H19,0),CQ$2)-(INDEX(avoidedcosttbl3,ROUNDDOWN($H19,0),CQ$2)))))*ADRYr3!$P19*ADRYr3!$Q19*ADRYr3!$U19)</f>
        <v/>
      </c>
      <c r="CR19" s="28" t="str">
        <f>IF($G19="","",G19*(IF(ADRYr3!$AI19=CR$4,ADRYr3!$AJ19,IF(ADRYr3!$AK19=CR$4,ADRYr3!$AL19,IF(ADRYr3!$AM19=CR$4,ADRYr3!$AN19,0))))*(INDEX(avoidedcosttbl3,$H19,CR$2)+(($H19-ROUNDDOWN($H19,0))*(INDEX(avoidedcosttbl3,ROUNDUP($H19,0),CR$2)-(INDEX(avoidedcosttbl3,ROUNDDOWN($H19,0),CR$2)))))*ADRYr3!$P19*ADRYr3!$Q19*ADRYr3!$U19)</f>
        <v/>
      </c>
      <c r="CS19" s="28" t="str">
        <f>IF($G19="","",G19*(IF(ADRYr3!$AI19=CS$4,ADRYr3!$AJ19,IF(ADRYr3!$AK19=CS$4,ADRYr3!$AL19,IF(ADRYr3!$AM19=CS$4,ADRYr3!$AN19,0))))*(INDEX(avoidedcosttbl3,$H19,CS$2)+(($H19-ROUNDDOWN($H19,0))*(INDEX(avoidedcosttbl3,ROUNDUP($H19,0),CS$2)-(INDEX(avoidedcosttbl3,ROUNDDOWN($H19,0),CS$2)))))*ADRYr3!$P19*ADRYr3!$Q19*ADRYr3!$U19)</f>
        <v/>
      </c>
      <c r="CT19" s="28" t="str">
        <f t="shared" si="11"/>
        <v/>
      </c>
      <c r="CU19" s="28" t="str">
        <f>IF($G19="","",G19*(IF(ADRYr3!$AI19=CU$4,ADRYr3!$AJ19,IF(ADRYr3!$AK19=CU$4,ADRYr3!$AL19,IF(ADRYr3!$AM19=CU$4,ADRYr3!$AN19,0))))*(INDEX(avoidedcosttbl3,$H19,CU$2)+(($H19-ROUNDDOWN($H19,0))*(INDEX(avoidedcosttbl3,ROUNDUP($H19,0),CU$2)-(INDEX(avoidedcosttbl3,ROUNDDOWN($H19,0),CU$2)))))*ADRYr3!$P19*ADRYr3!$Q19*ADRYr3!$U19)</f>
        <v/>
      </c>
      <c r="CV19" s="28" t="str">
        <f>IF($G19="","",G19*(IF(ADRYr3!$AI19=CV$4,ADRYr3!$AJ19,IF(ADRYr3!$AK19=CV$4,ADRYr3!$AL19,IF(ADRYr3!$AM19=CV$4,ADRYr3!$AN19,0))))*(INDEX(avoidedcosttbl3,$H19,CV$2)+(($H19-ROUNDDOWN($H19,0))*(INDEX(avoidedcosttbl3,ROUNDUP($H19,0),CV$2)-(INDEX(avoidedcosttbl3,ROUNDDOWN($H19,0),CV$2)))))*ADRYr3!$P19*ADRYr3!$Q19*ADRYr3!$U19)</f>
        <v/>
      </c>
      <c r="CW19" s="28" t="str">
        <f>IF($G19="","",G19*(IF(ADRYr3!$AI19=CW$4,ADRYr3!$AJ19,IF(ADRYr3!$AK19=CW$4,ADRYr3!$AL19,IF(ADRYr3!$AM19=CW$4,ADRYr3!$AN19,0))))*(INDEX(avoidedcosttbl3,$H19,CW$2)+(($H19-ROUNDDOWN($H19,0))*(INDEX(avoidedcosttbl3,ROUNDUP($H19,0),CW$2)-(INDEX(avoidedcosttbl3,ROUNDDOWN($H19,0),CW$2)))))*ADRYr3!$P19*ADRYr3!$Q19*ADRYr3!$U19)</f>
        <v/>
      </c>
      <c r="CX19" s="28" t="str">
        <f>IF($G19="","",G19*(IF(ADRYr3!$AI19=CX$4,ADRYr3!$AJ19,IF(ADRYr3!$AK19=CX$4,ADRYr3!$AL19,IF(ADRYr3!$AM19=CX$4,ADRYr3!$AN19,0))))*(INDEX(avoidedcosttbl3,$H19,CX$2)+(($H19-ROUNDDOWN($H19,0))*(INDEX(avoidedcosttbl3,ROUNDUP($H19,0),CX$2)-(INDEX(avoidedcosttbl3,ROUNDDOWN($H19,0),CX$2)))))*ADRYr3!$P19*ADRYr3!$Q19*ADRYr3!$U19)</f>
        <v/>
      </c>
      <c r="CY19" s="28" t="str">
        <f t="shared" si="75"/>
        <v/>
      </c>
      <c r="CZ19" s="32" t="str">
        <f t="shared" si="76"/>
        <v/>
      </c>
      <c r="DA19" s="84" t="str">
        <f t="shared" si="77"/>
        <v/>
      </c>
      <c r="DB19" s="81" t="str">
        <f>IF(NEIadder="Yes",IF($G19="","",INDEX(Lookups!$G$70:$G$71,MATCH($A19,Lookups!$E$70:$E$71,0))*(SUM(CP19:CX19,BX19))),"")</f>
        <v/>
      </c>
      <c r="DC19" s="263" t="str">
        <f t="shared" si="78"/>
        <v/>
      </c>
      <c r="DD19" s="166" t="str">
        <f t="shared" si="79"/>
        <v/>
      </c>
      <c r="DE19" s="82">
        <f t="shared" si="80"/>
        <v>0</v>
      </c>
      <c r="DF19" s="615" t="str">
        <f>IF($G19="","",(1+WntPeakEnergyLL)*(INDEX(avoidedcosttbl3,$H19,DF$2)+(($H19-ROUNDDOWN($H19,0))*(INDEX(avoidedcosttbl3,ROUNDUP($H19,0),DF$2)-(INDEX(avoidedcosttbl3,ROUNDDOWN($H19,0),DF$2)))))*$P19*1000*ADRYr3!Z19)</f>
        <v/>
      </c>
      <c r="DG19" s="615" t="str">
        <f>IF($G19="","",(1+WntOffPeakEnergyLL)*(INDEX(avoidedcosttbl3,$H19,DG$2)+(($H19-ROUNDDOWN($H19,0))*(INDEX(avoidedcosttbl3,ROUNDUP($H19,0),DG$2)-(INDEX(avoidedcosttbl3,ROUNDDOWN($H19,0),DG$2)))))*$P19*1000*ADRYr3!AA19)</f>
        <v/>
      </c>
      <c r="DH19" s="615" t="str">
        <f>IF($G19="","",(1+SumPeakEnergyLL)*(INDEX(avoidedcosttbl3,$H19,DH$2)+(($H19-ROUNDDOWN($H19,0))*(INDEX(avoidedcosttbl3,ROUNDUP($H19,0),DH$2)-(INDEX(avoidedcosttbl3,ROUNDDOWN($H19,0),DH$2)))))*$P19*1000*ADRYr3!AB19)</f>
        <v/>
      </c>
      <c r="DI19" s="615" t="str">
        <f>IF($G19="","",(1+SumOffPeakEnergyLL)*(INDEX(avoidedcosttbl3,$H19,DI$2)+(($H19-ROUNDDOWN($H19,0))*(INDEX(avoidedcosttbl3,ROUNDUP($H19,0),DI$2)-(INDEX(avoidedcosttbl3,ROUNDDOWN($H19,0),DI$2)))))*$P19*1000*ADRYr3!AC19)</f>
        <v/>
      </c>
      <c r="DJ19" s="29" t="str">
        <f t="shared" si="81"/>
        <v/>
      </c>
      <c r="DK19" s="161" t="str">
        <f t="shared" si="45"/>
        <v/>
      </c>
      <c r="DL19" s="1189" t="str">
        <f t="shared" si="46"/>
        <v/>
      </c>
      <c r="DM19" s="1189" t="str">
        <f t="shared" si="47"/>
        <v/>
      </c>
      <c r="DN19" s="43" t="str">
        <f t="shared" si="48"/>
        <v/>
      </c>
      <c r="DO19" s="966" t="str">
        <f>IF($G19="","",ADRYr3!AQ19)</f>
        <v/>
      </c>
      <c r="DP19" s="968" t="str">
        <f>IF($G19="","",ADRYr3!AR19)</f>
        <v/>
      </c>
      <c r="DQ19" s="970" t="str">
        <f>IF($G19="","",IF($DP19="Yes",COLUMN(AESC!$L$10),IF($DP19="No","Using AvoidedDemand tab",IF($DP19="Mixed",COLUMN(AESC!$N$10)))))</f>
        <v/>
      </c>
      <c r="DR19" s="970" t="str">
        <f>IF($G19="","",IF($DP19="Yes",COLUMN(AESC!$P$10),IF($DP19="No","Using AvoidedDemand tab",IF($DP19="Mixed",COLUMN(AESC!$R$10)))))</f>
        <v/>
      </c>
      <c r="DS19" s="970" t="str">
        <f>IF($G19="","",IF($DP19="Yes",COLUMN(AESC!$S$10),IF($DP19="No",COLUMN(AESC!$T$10),IF($DP19="Mixed",COLUMN(AESC!$U$10)))))</f>
        <v/>
      </c>
      <c r="DT19" s="970" t="str">
        <f t="shared" si="49"/>
        <v/>
      </c>
      <c r="DU19" s="970" t="str">
        <f>IF($G19="","",ADRYr3!AS19)</f>
        <v/>
      </c>
      <c r="DV19" s="971" t="str">
        <f>IF($G19="","",ADRYr3!AT19)</f>
        <v/>
      </c>
      <c r="DW19" s="1162" t="str">
        <f>IF($G19="","",INDEX(AvoidedEnergy!$H$4:$H$10,MATCH($DO19,AvoidedEnergy!$A$4:$A$10,0)))</f>
        <v/>
      </c>
    </row>
    <row r="20" spans="1:127">
      <c r="A20" s="160" t="str">
        <f>IF(ADRYr3!$B20=0,"",ADRYr3!A20)</f>
        <v>B - Low-Income</v>
      </c>
      <c r="B20" s="9" t="str">
        <f>IF(ADRYr3!$B20=0,"",ADRYr3!B20)</f>
        <v>Home Energy Assistance</v>
      </c>
      <c r="C20" s="9" t="str">
        <f>IF(ADRYr3!$B20=0,"",ADRYr3!C20)</f>
        <v>Res Demand Response</v>
      </c>
      <c r="D20" s="9" t="str">
        <f>IF(ADRYr3!$B20=0,"",ADRYr3!D20)</f>
        <v>Storage Daily Dispatch Upfront Incentive (consumption) Summer</v>
      </c>
      <c r="E20" s="9">
        <f>IF(ADRYr3!$B20=0,"",ADRYr3!E20)</f>
        <v>0</v>
      </c>
      <c r="F20" s="11" t="str">
        <f>IF(ADRYr3!$B20=0,"",ADRYr3!F20)</f>
        <v>Behavior</v>
      </c>
      <c r="G20" s="12" t="str">
        <f>IF(ADRYr3!$G20&lt;&gt;0,ADRYr3!G20,"")</f>
        <v/>
      </c>
      <c r="H20" s="960" t="str">
        <f>IF($G20="","",ROUND(ADRYr3!H20,0))</f>
        <v/>
      </c>
      <c r="I20" s="47" t="str">
        <f>IF($G20="","",ADRYr3!I20*ADRYr3!P20*G20)</f>
        <v/>
      </c>
      <c r="J20" s="47" t="str">
        <f>IF($G20="","",ADRYr3!J20*G20)</f>
        <v/>
      </c>
      <c r="K20" s="47" t="str">
        <f t="shared" si="50"/>
        <v/>
      </c>
      <c r="L20" s="27" t="str">
        <f>IF($G20="","",ADRYr3!V20*G20/1000)</f>
        <v/>
      </c>
      <c r="M20" s="27" t="str">
        <f>IF($G20="","",L20*ADRYr3!$Q20*ADRYr3!$R20)</f>
        <v/>
      </c>
      <c r="N20" s="27" t="str">
        <f t="shared" si="51"/>
        <v/>
      </c>
      <c r="O20" s="27" t="str">
        <f t="shared" si="52"/>
        <v/>
      </c>
      <c r="P20" s="27" t="str">
        <f>IF($G20="","",M20*ADRYr3!P20)</f>
        <v/>
      </c>
      <c r="Q20" s="27" t="str">
        <f t="shared" si="53"/>
        <v/>
      </c>
      <c r="R20" s="27" t="str">
        <f>IF($G20="","",$Q20*ADRYr3!Z20)</f>
        <v/>
      </c>
      <c r="S20" s="27" t="str">
        <f>IF($G20="","",$Q20*ADRYr3!AA20)</f>
        <v/>
      </c>
      <c r="T20" s="27" t="str">
        <f>IF($G20="","",$Q20*ADRYr3!AB20)</f>
        <v/>
      </c>
      <c r="U20" s="27" t="str">
        <f>IF($G20="","",$Q20*ADRYr3!AC20)</f>
        <v/>
      </c>
      <c r="V20" s="27" t="str">
        <f>IF($G20="","",G20*ADRYr3!$AD20*ADRYr3!$P20*ADRYr3!$Q20)</f>
        <v/>
      </c>
      <c r="W20" s="27" t="str">
        <f>IF($G20="","",$G20*ADRYr3!$AD20*ADRYr3!$AF20*ADRYr3!Q20*ADRYr3!$S20)</f>
        <v/>
      </c>
      <c r="X20" s="27" t="str">
        <f>IF($G20="","",$G20*ADRYr3!$AD20*ADRYr3!$AF20*ADRYr3!P20*ADRYr3!Q20*ADRYr3!$S20)</f>
        <v/>
      </c>
      <c r="Y20" s="27" t="str">
        <f>IF($G20="","",$G20*ADRYr3!$AD20*ADRYr3!$AE20*ADRYr3!Q20*ADRYr3!$T20)</f>
        <v/>
      </c>
      <c r="Z20" s="27" t="str">
        <f>IF($G20="","",$G20*ADRYr3!$AD20*ADRYr3!$AE20*ADRYr3!P20*ADRYr3!Q20*ADRYr3!$T20)</f>
        <v/>
      </c>
      <c r="AA20" s="45" t="str">
        <f>IF($G20="","",$G20*ADRYr3!$Q20*ADRYr3!$U20*(IF(IFERROR(SEARCH("NG", ADRYr3!$AI20),0),ADRYr3!$AJ20,0)+IF(IFERROR(SEARCH("NG", ADRYr3!$AK20),0),ADRYr3!$AL20,0)+IF(IFERROR(SEARCH("NG", ADRYr3!$AM20),0),ADRYr3!$AN20,0)))</f>
        <v/>
      </c>
      <c r="AB20" s="45" t="str">
        <f t="shared" si="54"/>
        <v/>
      </c>
      <c r="AC20" s="45">
        <f>IF($G20="",0,AA20*ADRYr3!$P20)</f>
        <v>0</v>
      </c>
      <c r="AD20" s="45" t="str">
        <f t="shared" si="55"/>
        <v/>
      </c>
      <c r="AE20" s="45" t="str">
        <f>IF($G20="","",$G20*ADRYr3!$Q20*ADRYr3!$U20*(IF(IFERROR(SEARCH("Oil", ADRYr3!$AI20), 0),ADRYr3!$AJ20,0)+IF(IFERROR(SEARCH("Oil", ADRYr3!$AK20), 0),ADRYr3!$AL20,0)+IF(IFERROR(SEARCH("Oil", ADRYr3!$AM20), 0),ADRYr3!$AN20,0)))</f>
        <v/>
      </c>
      <c r="AF20" s="45" t="str">
        <f t="shared" si="56"/>
        <v/>
      </c>
      <c r="AG20" s="45">
        <f>IF($G20="",0,AE20*ADRYr3!$P20)</f>
        <v>0</v>
      </c>
      <c r="AH20" s="45" t="str">
        <f t="shared" si="57"/>
        <v/>
      </c>
      <c r="AI20" s="45" t="str">
        <f>IF($G20="","",$G20*ADRYr3!$Q20*ADRYr3!$U20*(IF(ADRYr3!$AI20=Lookups!$E$116,ADRYr3!$AJ20,IF(ADRYr3!$AK20=Lookups!$E$116,ADRYr3!$AL20,IF(ADRYr3!$AM20=Lookups!$E$116,ADRYr3!$AN20,0)))))</f>
        <v/>
      </c>
      <c r="AJ20" s="45" t="str">
        <f t="shared" si="58"/>
        <v/>
      </c>
      <c r="AK20" s="45">
        <f>IF($G20="",0,AI20*ADRYr3!$P20)</f>
        <v>0</v>
      </c>
      <c r="AL20" s="45" t="str">
        <f t="shared" si="59"/>
        <v/>
      </c>
      <c r="AM20" s="45" t="str">
        <f>IF($G20="","",$G20*ADRYr3!$Q20*ADRYr3!$U20*(IF(ADRYr3!$AI20=Lookups!$E$115,ADRYr3!$AJ20,IF(ADRYr3!$AK20=Lookups!$E$115,ADRYr3!$AL20,IF(ADRYr3!$AM20=Lookups!$E$115,ADRYr3!$AN20,0)))))</f>
        <v/>
      </c>
      <c r="AN20" s="45" t="str">
        <f t="shared" si="60"/>
        <v/>
      </c>
      <c r="AO20" s="45">
        <f>IF($G20="",0,AM20*ADRYr3!$P20)</f>
        <v>0</v>
      </c>
      <c r="AP20" s="45" t="str">
        <f t="shared" si="61"/>
        <v/>
      </c>
      <c r="AQ20" s="45" t="str">
        <f>IF($G20="","",$G20*ADRYr3!$Q20*ADRYr3!$U20*(IF(ADRYr3!$AI20=Lookups!$E$117,ADRYr3!$AJ20,IF(ADRYr3!$AK20=Lookups!$E$117,ADRYr3!$AL20,IF(ADRYr3!$AM20=Lookups!$E$117,ADRYr3!$AN20,0)))))</f>
        <v/>
      </c>
      <c r="AR20" s="45" t="str">
        <f t="shared" si="62"/>
        <v/>
      </c>
      <c r="AS20" s="45" t="str">
        <f>IF($G20="","",AQ20*ADRYr3!$P20)</f>
        <v/>
      </c>
      <c r="AT20" s="45" t="str">
        <f t="shared" si="63"/>
        <v/>
      </c>
      <c r="AU20" s="45" t="str">
        <f>IF($G20="","",$G20*ADRYr3!$Q20*ADRYr3!$U20*(IF(ADRYr3!$AI20=Lookups!$E$118,ADRYr3!$AJ20,IF(ADRYr3!$AK20=Lookups!$E$118,ADRYr3!$AL20,IF(ADRYr3!$AM20=Lookups!$E$118,ADRYr3!$AN20,0)))))</f>
        <v/>
      </c>
      <c r="AV20" s="45" t="str">
        <f t="shared" si="64"/>
        <v/>
      </c>
      <c r="AW20" s="45" t="str">
        <f>IF($G20="","",AU20*ADRYr3!$P20)</f>
        <v/>
      </c>
      <c r="AX20" s="45" t="str">
        <f t="shared" si="65"/>
        <v/>
      </c>
      <c r="AY20" s="45">
        <f t="shared" si="66"/>
        <v>0</v>
      </c>
      <c r="AZ20" s="45">
        <f t="shared" si="67"/>
        <v>0</v>
      </c>
      <c r="BA20" s="101" t="str">
        <f>IF($G20="","",$G20*ADRYr3!$P20*ADRYr3!$Q20*ADRYr3!$U20*ADRYr3!AO20)</f>
        <v/>
      </c>
      <c r="BB20" s="102" t="str">
        <f>IF($G20="","",$G20*ADRYr3!$P20*ADRYr3!$Q20*ADRYr3!$U20*ADRYr3!AP20)</f>
        <v/>
      </c>
      <c r="BC20" s="100" t="str">
        <f t="shared" si="68"/>
        <v/>
      </c>
      <c r="BD20" s="961"/>
      <c r="BE20" s="961"/>
      <c r="BF20" s="961"/>
      <c r="BG20" s="961"/>
      <c r="BH20" s="962" t="str">
        <f t="shared" si="3"/>
        <v/>
      </c>
      <c r="BI20" s="961"/>
      <c r="BJ20" s="961"/>
      <c r="BK20" s="961"/>
      <c r="BL20" s="961"/>
      <c r="BM20" s="30" t="str">
        <f t="shared" si="4"/>
        <v/>
      </c>
      <c r="BN20" s="963" t="str">
        <f t="shared" si="31"/>
        <v/>
      </c>
      <c r="BO20" s="31" t="str">
        <f t="shared" si="69"/>
        <v/>
      </c>
      <c r="BP20" s="964" t="str">
        <f t="shared" si="5"/>
        <v/>
      </c>
      <c r="BQ20" s="28" t="str">
        <f t="shared" si="6"/>
        <v/>
      </c>
      <c r="BR20" s="964" t="str">
        <f t="shared" si="7"/>
        <v/>
      </c>
      <c r="BS20" s="964" t="str">
        <f t="shared" si="8"/>
        <v/>
      </c>
      <c r="BT20" s="28" t="str">
        <f t="shared" si="9"/>
        <v/>
      </c>
      <c r="BU20" s="28" t="str">
        <f t="shared" si="9"/>
        <v/>
      </c>
      <c r="BV20" s="28" t="str">
        <f t="shared" si="9"/>
        <v/>
      </c>
      <c r="BW20" s="29" t="str">
        <f t="shared" si="70"/>
        <v/>
      </c>
      <c r="BX20" s="29" t="str">
        <f t="shared" si="71"/>
        <v/>
      </c>
      <c r="BY20" s="28" t="str">
        <f>IF($G20="","",$G20*(IF(ADRYr3!$AI20=BY$4,ADRYr3!$AJ20,IF(ADRYr3!$AK20=BY$4,ADRYr3!$AL20,IF(ADRYr3!$AM20=BY$4,ADRYr3!$AN20,0))))*(INDEX(avoidedcosttbl3,$H20,BY$2)+(($H20-ROUNDDOWN($H20,0))*(INDEX(avoidedcosttbl3,ROUNDUP($H20,0),BY$2)-(INDEX(avoidedcosttbl3,ROUNDDOWN($H20,0),BY$2)))))*ADRYr3!P20*ADRYr3!Q20*ADRYr3!U20)</f>
        <v/>
      </c>
      <c r="BZ20" s="28" t="str">
        <f>IF($G20="","",$G20*(IF(ADRYr3!$AI20=BZ$4,ADRYr3!$AJ20,IF(ADRYr3!$AK20=BZ$4,ADRYr3!$AL20,IF(ADRYr3!$AM20=BZ$4,ADRYr3!$AN20,0))))*(INDEX(avoidedcosttbl3,$H20,BZ$2)+(($H20-ROUNDDOWN($H20,0))*(INDEX(avoidedcosttbl3,ROUNDUP($H20,0),BZ$2)-(INDEX(avoidedcosttbl3,ROUNDDOWN($H20,0),BZ$2)))))*ADRYr3!P20*ADRYr3!Q20*ADRYr3!U20)</f>
        <v/>
      </c>
      <c r="CA20" s="28" t="str">
        <f>IF($G20="","",$G20*(IF(ADRYr3!$AI20=CA$4,ADRYr3!$AJ20,IF(ADRYr3!$AK20=CA$4,ADRYr3!$AL20,IF(ADRYr3!$AM20=CA$4,ADRYr3!$AN20,0))))*(INDEX(avoidedcosttbl3,$H20,CA$2)+(($H20-ROUNDDOWN($H20,0))*(INDEX(avoidedcosttbl3,ROUNDUP($H20,0),CA$2)-(INDEX(avoidedcosttbl3,ROUNDDOWN($H20,0),CA$2)))))*ADRYr3!P20*ADRYr3!Q20*ADRYr3!U20)</f>
        <v/>
      </c>
      <c r="CB20" s="28" t="str">
        <f>IF($G20="","",$G20*(IF(ADRYr3!$AI20=CB$4,ADRYr3!$AJ20,IF(ADRYr3!$AK20=CB$4,ADRYr3!$AL20,IF(ADRYr3!$AM20=CB$4,ADRYr3!$AN20,0))))*(INDEX(avoidedcosttbl3,$H20,CB$2)+(($H20-ROUNDDOWN($H20,0))*(INDEX(avoidedcosttbl3,ROUNDUP($H20,0),CB$2)-(INDEX(avoidedcosttbl3,ROUNDDOWN($H20,0),CB$2)))))*ADRYr3!P20*ADRYr3!Q20*ADRYr3!U20)</f>
        <v/>
      </c>
      <c r="CC20" s="28" t="str">
        <f>IF($G20="","",$G20*(IF(ADRYr3!$AI20=CC$4,ADRYr3!$AJ20,IF(ADRYr3!$AK20=CC$4,ADRYr3!$AL20,IF(ADRYr3!$AM20=CC$4,ADRYr3!$AN20,0))))*(INDEX(avoidedcosttbl3,$H20,CC$2)+(($H20-ROUNDDOWN($H20,0))*(INDEX(avoidedcosttbl3,ROUNDUP($H20,0),CC$2)-(INDEX(avoidedcosttbl3,ROUNDDOWN($H20,0),CC$2)))))*ADRYr3!P20*ADRYr3!Q20*ADRYr3!U20)</f>
        <v/>
      </c>
      <c r="CD20" s="28" t="str">
        <f>IF($G20="","",$G20*(IF(ADRYr3!$AI20=CD$4,ADRYr3!$AJ20,IF(ADRYr3!$AK20=CD$4,ADRYr3!$AL20,IF(ADRYr3!$AM20=CD$4,ADRYr3!$AN20,0))))*(INDEX(avoidedcosttbl3,$H20,CD$2)+(($H20-ROUNDDOWN($H20,0))*(INDEX(avoidedcosttbl3,ROUNDUP($H20,0),CD$2)-(INDEX(avoidedcosttbl3,ROUNDDOWN($H20,0),CD$2)))))*ADRYr3!P20*ADRYr3!Q20*ADRYr3!U20)</f>
        <v/>
      </c>
      <c r="CE20" s="28" t="str">
        <f>IF($G20="","",$G20*(IF(ADRYr3!$AI20=CE$4,ADRYr3!$AJ20,IF(ADRYr3!$AK20=CE$4,ADRYr3!$AL20,IF(ADRYr3!$AM20=CE$4,ADRYr3!$AN20,0))))*(INDEX(avoidedcosttbl3,$H20,CE$2)+(($H20-ROUNDDOWN($H20,0))*(INDEX(avoidedcosttbl3,ROUNDUP($H20,0),CE$2)-(INDEX(avoidedcosttbl3,ROUNDDOWN($H20,0),CE$2)))))*ADRYr3!P20*ADRYr3!Q20*ADRYr3!U20)</f>
        <v/>
      </c>
      <c r="CF20" s="41" t="str">
        <f t="shared" si="72"/>
        <v/>
      </c>
      <c r="CG20" s="30" t="str">
        <f t="shared" si="10"/>
        <v/>
      </c>
      <c r="CH20" s="30" t="str">
        <f>IF($G20="","",$G20*(IF(ADRYr3!$AI20=BY$4,ADRYr3!$AJ20,IF(ADRYr3!$AK20=BY$4,ADRYr3!$AL20,IF(ADRYr3!$AM20=BY$4,ADRYr3!$AN20,0))))*(INDEX(avoidedcosttbl3,$H20,CH$2)+(($H20-ROUNDDOWN($H20,0))*(INDEX(avoidedcosttbl3,ROUNDUP($H20,0),CH$2)-(INDEX(avoidedcosttbl3,ROUNDDOWN($H20,0),CH$2)))))*ADRYr3!P20*ADRYr3!Q20*ADRYr3!U20)</f>
        <v/>
      </c>
      <c r="CI20" s="30" t="str">
        <f>IF($G20="","",$G20*(IF(ADRYr3!$AI20=BZ$4,ADRYr3!$AJ20,IF(ADRYr3!$AK20=BZ$4,ADRYr3!$AL20,IF(ADRYr3!$AM20=BZ$4,ADRYr3!$AN20,0))))*(INDEX(avoidedcosttbl3,$H20,CI$2)+(($H20-ROUNDDOWN($H20,0))*(INDEX(avoidedcosttbl3,ROUNDUP($H20,0),CI$2)-(INDEX(avoidedcosttbl3,ROUNDDOWN($H20,0),CI$2)))))*ADRYr3!P20*ADRYr3!Q20*ADRYr3!U20)</f>
        <v/>
      </c>
      <c r="CJ20" s="30" t="str">
        <f>IF($G20="","",$G20*(IF(ADRYr3!$AI20=CA$4,ADRYr3!$AJ20,IF(ADRYr3!$AK20=CA$4,ADRYr3!$AL20,IF(ADRYr3!$AM20=CA$4,ADRYr3!$AN20,0))))*(INDEX(avoidedcosttbl3,$H20,CJ$2)+(($H20-ROUNDDOWN($H20,0))*(INDEX(avoidedcosttbl3,ROUNDUP($H20,0),CJ$2)-(INDEX(avoidedcosttbl3,ROUNDDOWN($H20,0),CJ$2)))))*ADRYr3!P20*ADRYr3!Q20*ADRYr3!U20)</f>
        <v/>
      </c>
      <c r="CK20" s="30" t="str">
        <f>IF($G20="","",$G20*(IF(ADRYr3!$AI20=CB$4,ADRYr3!$AJ20,IF(ADRYr3!$AK20=CB$4,ADRYr3!$AL20,IF(ADRYr3!$AM20=CB$4,ADRYr3!$AN20,0))))*(INDEX(avoidedcosttbl3,$H20,CK$2)+(($H20-ROUNDDOWN($H20,0))*(INDEX(avoidedcosttbl3,ROUNDUP($H20,0),CK$2)-(INDEX(avoidedcosttbl3,ROUNDDOWN($H20,0),CK$2)))))*ADRYr3!P20*ADRYr3!Q20*ADRYr3!U20)</f>
        <v/>
      </c>
      <c r="CL20" s="30" t="str">
        <f>IF($G20="","",$G20*(IF(ADRYr3!$AI20=CC$4,ADRYr3!$AJ20,IF(ADRYr3!$AK20=CC$4,ADRYr3!$AL20,IF(ADRYr3!$AM20=CC$4,ADRYr3!$AN20,0))))*(INDEX(avoidedcosttbl3,$H20,CL$2)+(($H20-ROUNDDOWN($H20,0))*(INDEX(avoidedcosttbl3,ROUNDUP($H20,0),CL$2)-(INDEX(avoidedcosttbl3,ROUNDDOWN($H20,0),CL$2)))))*ADRYr3!P20*ADRYr3!Q20*ADRYr3!U20)</f>
        <v/>
      </c>
      <c r="CM20" s="30" t="str">
        <f>IF($G20="","",$G20*(IF(ADRYr3!$AI20=CD$4,ADRYr3!$AJ20,IF(ADRYr3!$AK20=CD$4,ADRYr3!$AL20,IF(ADRYr3!$AM20=CD$4,ADRYr3!$AN20,0))))*(INDEX(avoidedcosttbl3,$H20,CM$2)+(($H20-ROUNDDOWN($H20,0))*(INDEX(avoidedcosttbl3,ROUNDUP($H20,0),CM$2)-(INDEX(avoidedcosttbl3,ROUNDDOWN($H20,0),CM$2)))))*ADRYr3!P20*ADRYr3!Q20*ADRYr3!U20)</f>
        <v/>
      </c>
      <c r="CN20" s="30" t="str">
        <f>IF($G20="","",$G20*(IF(ADRYr3!$AI20=CE$4,ADRYr3!$AJ20,IF(ADRYr3!$AK20=CE$4,ADRYr3!$AL20,IF(ADRYr3!$AM20=CE$4,ADRYr3!$AN20,0))))*(INDEX(avoidedcosttbl3,$H20,CN$2)+(($H20-ROUNDDOWN($H20,0))*(INDEX(avoidedcosttbl3,ROUNDUP($H20,0),CN$2)-(INDEX(avoidedcosttbl3,ROUNDDOWN($H20,0),CN$2)))))*ADRYr3!P20*ADRYr3!Q20*ADRYr3!U20)</f>
        <v/>
      </c>
      <c r="CO20" s="220" t="str">
        <f t="shared" si="73"/>
        <v/>
      </c>
      <c r="CP20" s="220" t="str">
        <f t="shared" si="74"/>
        <v/>
      </c>
      <c r="CQ20" s="157" t="str">
        <f>IF($G20="","",$G20*(IF(ADRYr3!$AI20=CQ$4,ADRYr3!$AJ20,IF(ADRYr3!$AK20=CQ$4,ADRYr3!$AL20,IF(ADRYr3!$AM20=CQ$4,ADRYr3!$AN20,0))))*(INDEX(avoidedcosttbl3,$H20,CQ$2)+(($H20-ROUNDDOWN($H20,0))*(INDEX(avoidedcosttbl3,ROUNDUP($H20,0),CQ$2)-(INDEX(avoidedcosttbl3,ROUNDDOWN($H20,0),CQ$2)))))*ADRYr3!$P20*ADRYr3!$Q20*ADRYr3!$U20)</f>
        <v/>
      </c>
      <c r="CR20" s="28" t="str">
        <f>IF($G20="","",G20*(IF(ADRYr3!$AI20=CR$4,ADRYr3!$AJ20,IF(ADRYr3!$AK20=CR$4,ADRYr3!$AL20,IF(ADRYr3!$AM20=CR$4,ADRYr3!$AN20,0))))*(INDEX(avoidedcosttbl3,$H20,CR$2)+(($H20-ROUNDDOWN($H20,0))*(INDEX(avoidedcosttbl3,ROUNDUP($H20,0),CR$2)-(INDEX(avoidedcosttbl3,ROUNDDOWN($H20,0),CR$2)))))*ADRYr3!$P20*ADRYr3!$Q20*ADRYr3!$U20)</f>
        <v/>
      </c>
      <c r="CS20" s="28" t="str">
        <f>IF($G20="","",G20*(IF(ADRYr3!$AI20=CS$4,ADRYr3!$AJ20,IF(ADRYr3!$AK20=CS$4,ADRYr3!$AL20,IF(ADRYr3!$AM20=CS$4,ADRYr3!$AN20,0))))*(INDEX(avoidedcosttbl3,$H20,CS$2)+(($H20-ROUNDDOWN($H20,0))*(INDEX(avoidedcosttbl3,ROUNDUP($H20,0),CS$2)-(INDEX(avoidedcosttbl3,ROUNDDOWN($H20,0),CS$2)))))*ADRYr3!$P20*ADRYr3!$Q20*ADRYr3!$U20)</f>
        <v/>
      </c>
      <c r="CT20" s="28" t="str">
        <f t="shared" si="11"/>
        <v/>
      </c>
      <c r="CU20" s="28" t="str">
        <f>IF($G20="","",G20*(IF(ADRYr3!$AI20=CU$4,ADRYr3!$AJ20,IF(ADRYr3!$AK20=CU$4,ADRYr3!$AL20,IF(ADRYr3!$AM20=CU$4,ADRYr3!$AN20,0))))*(INDEX(avoidedcosttbl3,$H20,CU$2)+(($H20-ROUNDDOWN($H20,0))*(INDEX(avoidedcosttbl3,ROUNDUP($H20,0),CU$2)-(INDEX(avoidedcosttbl3,ROUNDDOWN($H20,0),CU$2)))))*ADRYr3!$P20*ADRYr3!$Q20*ADRYr3!$U20)</f>
        <v/>
      </c>
      <c r="CV20" s="28" t="str">
        <f>IF($G20="","",G20*(IF(ADRYr3!$AI20=CV$4,ADRYr3!$AJ20,IF(ADRYr3!$AK20=CV$4,ADRYr3!$AL20,IF(ADRYr3!$AM20=CV$4,ADRYr3!$AN20,0))))*(INDEX(avoidedcosttbl3,$H20,CV$2)+(($H20-ROUNDDOWN($H20,0))*(INDEX(avoidedcosttbl3,ROUNDUP($H20,0),CV$2)-(INDEX(avoidedcosttbl3,ROUNDDOWN($H20,0),CV$2)))))*ADRYr3!$P20*ADRYr3!$Q20*ADRYr3!$U20)</f>
        <v/>
      </c>
      <c r="CW20" s="28" t="str">
        <f>IF($G20="","",G20*(IF(ADRYr3!$AI20=CW$4,ADRYr3!$AJ20,IF(ADRYr3!$AK20=CW$4,ADRYr3!$AL20,IF(ADRYr3!$AM20=CW$4,ADRYr3!$AN20,0))))*(INDEX(avoidedcosttbl3,$H20,CW$2)+(($H20-ROUNDDOWN($H20,0))*(INDEX(avoidedcosttbl3,ROUNDUP($H20,0),CW$2)-(INDEX(avoidedcosttbl3,ROUNDDOWN($H20,0),CW$2)))))*ADRYr3!$P20*ADRYr3!$Q20*ADRYr3!$U20)</f>
        <v/>
      </c>
      <c r="CX20" s="28" t="str">
        <f>IF($G20="","",G20*(IF(ADRYr3!$AI20=CX$4,ADRYr3!$AJ20,IF(ADRYr3!$AK20=CX$4,ADRYr3!$AL20,IF(ADRYr3!$AM20=CX$4,ADRYr3!$AN20,0))))*(INDEX(avoidedcosttbl3,$H20,CX$2)+(($H20-ROUNDDOWN($H20,0))*(INDEX(avoidedcosttbl3,ROUNDUP($H20,0),CX$2)-(INDEX(avoidedcosttbl3,ROUNDDOWN($H20,0),CX$2)))))*ADRYr3!$P20*ADRYr3!$Q20*ADRYr3!$U20)</f>
        <v/>
      </c>
      <c r="CY20" s="28" t="str">
        <f t="shared" si="75"/>
        <v/>
      </c>
      <c r="CZ20" s="32" t="str">
        <f t="shared" si="76"/>
        <v/>
      </c>
      <c r="DA20" s="84" t="str">
        <f t="shared" si="77"/>
        <v/>
      </c>
      <c r="DB20" s="81" t="str">
        <f>IF(NEIadder="Yes",IF($G20="","",INDEX(Lookups!$G$70:$G$71,MATCH($A20,Lookups!$E$70:$E$71,0))*(SUM(CP20:CX20,BX20))),"")</f>
        <v/>
      </c>
      <c r="DC20" s="263" t="str">
        <f t="shared" si="78"/>
        <v/>
      </c>
      <c r="DD20" s="166" t="str">
        <f t="shared" si="79"/>
        <v/>
      </c>
      <c r="DE20" s="82">
        <f t="shared" si="80"/>
        <v>0</v>
      </c>
      <c r="DF20" s="615" t="str">
        <f>IF($G20="","",(1+WntPeakEnergyLL)*(INDEX(avoidedcosttbl3,$H20,DF$2)+(($H20-ROUNDDOWN($H20,0))*(INDEX(avoidedcosttbl3,ROUNDUP($H20,0),DF$2)-(INDEX(avoidedcosttbl3,ROUNDDOWN($H20,0),DF$2)))))*$P20*1000*ADRYr3!Z20)</f>
        <v/>
      </c>
      <c r="DG20" s="615" t="str">
        <f>IF($G20="","",(1+WntOffPeakEnergyLL)*(INDEX(avoidedcosttbl3,$H20,DG$2)+(($H20-ROUNDDOWN($H20,0))*(INDEX(avoidedcosttbl3,ROUNDUP($H20,0),DG$2)-(INDEX(avoidedcosttbl3,ROUNDDOWN($H20,0),DG$2)))))*$P20*1000*ADRYr3!AA20)</f>
        <v/>
      </c>
      <c r="DH20" s="615" t="str">
        <f>IF($G20="","",(1+SumPeakEnergyLL)*(INDEX(avoidedcosttbl3,$H20,DH$2)+(($H20-ROUNDDOWN($H20,0))*(INDEX(avoidedcosttbl3,ROUNDUP($H20,0),DH$2)-(INDEX(avoidedcosttbl3,ROUNDDOWN($H20,0),DH$2)))))*$P20*1000*ADRYr3!AB20)</f>
        <v/>
      </c>
      <c r="DI20" s="615" t="str">
        <f>IF($G20="","",(1+SumOffPeakEnergyLL)*(INDEX(avoidedcosttbl3,$H20,DI$2)+(($H20-ROUNDDOWN($H20,0))*(INDEX(avoidedcosttbl3,ROUNDUP($H20,0),DI$2)-(INDEX(avoidedcosttbl3,ROUNDDOWN($H20,0),DI$2)))))*$P20*1000*ADRYr3!AC20)</f>
        <v/>
      </c>
      <c r="DJ20" s="29" t="str">
        <f t="shared" si="81"/>
        <v/>
      </c>
      <c r="DK20" s="161" t="str">
        <f t="shared" si="45"/>
        <v/>
      </c>
      <c r="DL20" s="1189" t="str">
        <f t="shared" si="46"/>
        <v/>
      </c>
      <c r="DM20" s="1189" t="str">
        <f t="shared" si="47"/>
        <v/>
      </c>
      <c r="DN20" s="43" t="str">
        <f t="shared" si="48"/>
        <v/>
      </c>
      <c r="DO20" s="966" t="str">
        <f>IF($G20="","",ADRYr3!AQ20)</f>
        <v/>
      </c>
      <c r="DP20" s="968" t="str">
        <f>IF($G20="","",ADRYr3!AR20)</f>
        <v/>
      </c>
      <c r="DQ20" s="970" t="str">
        <f>IF($G20="","",IF($DP20="Yes",COLUMN(AESC!$L$10),IF($DP20="No","Using AvoidedDemand tab",IF($DP20="Mixed",COLUMN(AESC!$N$10)))))</f>
        <v/>
      </c>
      <c r="DR20" s="970" t="str">
        <f>IF($G20="","",IF($DP20="Yes",COLUMN(AESC!$P$10),IF($DP20="No","Using AvoidedDemand tab",IF($DP20="Mixed",COLUMN(AESC!$R$10)))))</f>
        <v/>
      </c>
      <c r="DS20" s="970" t="str">
        <f>IF($G20="","",IF($DP20="Yes",COLUMN(AESC!$S$10),IF($DP20="No",COLUMN(AESC!$T$10),IF($DP20="Mixed",COLUMN(AESC!$U$10)))))</f>
        <v/>
      </c>
      <c r="DT20" s="970" t="str">
        <f t="shared" si="49"/>
        <v/>
      </c>
      <c r="DU20" s="970" t="str">
        <f>IF($G20="","",ADRYr3!AS20)</f>
        <v/>
      </c>
      <c r="DV20" s="971" t="str">
        <f>IF($G20="","",ADRYr3!AT20)</f>
        <v/>
      </c>
      <c r="DW20" s="1162" t="str">
        <f>IF($G20="","",INDEX(AvoidedEnergy!$H$4:$H$10,MATCH($DO20,AvoidedEnergy!$A$4:$A$10,0)))</f>
        <v/>
      </c>
    </row>
    <row r="21" spans="1:127">
      <c r="A21" s="160" t="str">
        <f>IF(ADRYr3!$B21=0,"",ADRYr3!A21)</f>
        <v>B - Low-Income</v>
      </c>
      <c r="B21" s="9" t="str">
        <f>IF(ADRYr3!$B21=0,"",ADRYr3!B21)</f>
        <v>Home Energy Assistance</v>
      </c>
      <c r="C21" s="9" t="str">
        <f>IF(ADRYr3!$B21=0,"",ADRYr3!C21)</f>
        <v>Res Demand Response</v>
      </c>
      <c r="D21" s="9" t="str">
        <f>IF(ADRYr3!$B21=0,"",ADRYr3!D21)</f>
        <v>Storage Daily Dispatch Upfront Incentive (savings) Winter</v>
      </c>
      <c r="E21" s="9">
        <f>IF(ADRYr3!$B21=0,"",ADRYr3!E21)</f>
        <v>0</v>
      </c>
      <c r="F21" s="11" t="str">
        <f>IF(ADRYr3!$B21=0,"",ADRYr3!F21)</f>
        <v>Behavior</v>
      </c>
      <c r="G21" s="12" t="str">
        <f>IF(ADRYr3!$G21&lt;&gt;0,ADRYr3!G21,"")</f>
        <v/>
      </c>
      <c r="H21" s="960" t="str">
        <f>IF($G21="","",ROUND(ADRYr3!H21,0))</f>
        <v/>
      </c>
      <c r="I21" s="47" t="str">
        <f>IF($G21="","",ADRYr3!I21*ADRYr3!P21*G21)</f>
        <v/>
      </c>
      <c r="J21" s="47" t="str">
        <f>IF($G21="","",ADRYr3!J21*G21)</f>
        <v/>
      </c>
      <c r="K21" s="47" t="str">
        <f t="shared" si="50"/>
        <v/>
      </c>
      <c r="L21" s="27" t="str">
        <f>IF($G21="","",ADRYr3!V21*G21/1000)</f>
        <v/>
      </c>
      <c r="M21" s="27" t="str">
        <f>IF($G21="","",L21*ADRYr3!$Q21*ADRYr3!$R21)</f>
        <v/>
      </c>
      <c r="N21" s="27" t="str">
        <f t="shared" si="51"/>
        <v/>
      </c>
      <c r="O21" s="27" t="str">
        <f t="shared" si="52"/>
        <v/>
      </c>
      <c r="P21" s="27" t="str">
        <f>IF($G21="","",M21*ADRYr3!P21)</f>
        <v/>
      </c>
      <c r="Q21" s="27" t="str">
        <f t="shared" si="53"/>
        <v/>
      </c>
      <c r="R21" s="27" t="str">
        <f>IF($G21="","",$Q21*ADRYr3!Z21)</f>
        <v/>
      </c>
      <c r="S21" s="27" t="str">
        <f>IF($G21="","",$Q21*ADRYr3!AA21)</f>
        <v/>
      </c>
      <c r="T21" s="27" t="str">
        <f>IF($G21="","",$Q21*ADRYr3!AB21)</f>
        <v/>
      </c>
      <c r="U21" s="27" t="str">
        <f>IF($G21="","",$Q21*ADRYr3!AC21)</f>
        <v/>
      </c>
      <c r="V21" s="27" t="str">
        <f>IF($G21="","",G21*ADRYr3!$AD21*ADRYr3!$P21*ADRYr3!$Q21)</f>
        <v/>
      </c>
      <c r="W21" s="27" t="str">
        <f>IF($G21="","",$G21*ADRYr3!$AD21*ADRYr3!$AF21*ADRYr3!Q21*ADRYr3!$S21)</f>
        <v/>
      </c>
      <c r="X21" s="27" t="str">
        <f>IF($G21="","",$G21*ADRYr3!$AD21*ADRYr3!$AF21*ADRYr3!P21*ADRYr3!Q21*ADRYr3!$S21)</f>
        <v/>
      </c>
      <c r="Y21" s="27" t="str">
        <f>IF($G21="","",$G21*ADRYr3!$AD21*ADRYr3!$AE21*ADRYr3!Q21*ADRYr3!$T21)</f>
        <v/>
      </c>
      <c r="Z21" s="27" t="str">
        <f>IF($G21="","",$G21*ADRYr3!$AD21*ADRYr3!$AE21*ADRYr3!P21*ADRYr3!Q21*ADRYr3!$T21)</f>
        <v/>
      </c>
      <c r="AA21" s="45" t="str">
        <f>IF($G21="","",$G21*ADRYr3!$Q21*ADRYr3!$U21*(IF(IFERROR(SEARCH("NG", ADRYr3!$AI21),0),ADRYr3!$AJ21,0)+IF(IFERROR(SEARCH("NG", ADRYr3!$AK21),0),ADRYr3!$AL21,0)+IF(IFERROR(SEARCH("NG", ADRYr3!$AM21),0),ADRYr3!$AN21,0)))</f>
        <v/>
      </c>
      <c r="AB21" s="45" t="str">
        <f t="shared" si="54"/>
        <v/>
      </c>
      <c r="AC21" s="45">
        <f>IF($G21="",0,AA21*ADRYr3!$P21)</f>
        <v>0</v>
      </c>
      <c r="AD21" s="45" t="str">
        <f t="shared" si="55"/>
        <v/>
      </c>
      <c r="AE21" s="45" t="str">
        <f>IF($G21="","",$G21*ADRYr3!$Q21*ADRYr3!$U21*(IF(IFERROR(SEARCH("Oil", ADRYr3!$AI21), 0),ADRYr3!$AJ21,0)+IF(IFERROR(SEARCH("Oil", ADRYr3!$AK21), 0),ADRYr3!$AL21,0)+IF(IFERROR(SEARCH("Oil", ADRYr3!$AM21), 0),ADRYr3!$AN21,0)))</f>
        <v/>
      </c>
      <c r="AF21" s="45" t="str">
        <f t="shared" si="56"/>
        <v/>
      </c>
      <c r="AG21" s="45">
        <f>IF($G21="",0,AE21*ADRYr3!$P21)</f>
        <v>0</v>
      </c>
      <c r="AH21" s="45" t="str">
        <f t="shared" si="57"/>
        <v/>
      </c>
      <c r="AI21" s="45" t="str">
        <f>IF($G21="","",$G21*ADRYr3!$Q21*ADRYr3!$U21*(IF(ADRYr3!$AI21=Lookups!$E$116,ADRYr3!$AJ21,IF(ADRYr3!$AK21=Lookups!$E$116,ADRYr3!$AL21,IF(ADRYr3!$AM21=Lookups!$E$116,ADRYr3!$AN21,0)))))</f>
        <v/>
      </c>
      <c r="AJ21" s="45" t="str">
        <f t="shared" si="58"/>
        <v/>
      </c>
      <c r="AK21" s="45">
        <f>IF($G21="",0,AI21*ADRYr3!$P21)</f>
        <v>0</v>
      </c>
      <c r="AL21" s="45" t="str">
        <f t="shared" si="59"/>
        <v/>
      </c>
      <c r="AM21" s="45" t="str">
        <f>IF($G21="","",$G21*ADRYr3!$Q21*ADRYr3!$U21*(IF(ADRYr3!$AI21=Lookups!$E$115,ADRYr3!$AJ21,IF(ADRYr3!$AK21=Lookups!$E$115,ADRYr3!$AL21,IF(ADRYr3!$AM21=Lookups!$E$115,ADRYr3!$AN21,0)))))</f>
        <v/>
      </c>
      <c r="AN21" s="45" t="str">
        <f t="shared" si="60"/>
        <v/>
      </c>
      <c r="AO21" s="45">
        <f>IF($G21="",0,AM21*ADRYr3!$P21)</f>
        <v>0</v>
      </c>
      <c r="AP21" s="45" t="str">
        <f t="shared" si="61"/>
        <v/>
      </c>
      <c r="AQ21" s="45" t="str">
        <f>IF($G21="","",$G21*ADRYr3!$Q21*ADRYr3!$U21*(IF(ADRYr3!$AI21=Lookups!$E$117,ADRYr3!$AJ21,IF(ADRYr3!$AK21=Lookups!$E$117,ADRYr3!$AL21,IF(ADRYr3!$AM21=Lookups!$E$117,ADRYr3!$AN21,0)))))</f>
        <v/>
      </c>
      <c r="AR21" s="45" t="str">
        <f t="shared" si="62"/>
        <v/>
      </c>
      <c r="AS21" s="45" t="str">
        <f>IF($G21="","",AQ21*ADRYr3!$P21)</f>
        <v/>
      </c>
      <c r="AT21" s="45" t="str">
        <f t="shared" si="63"/>
        <v/>
      </c>
      <c r="AU21" s="45" t="str">
        <f>IF($G21="","",$G21*ADRYr3!$Q21*ADRYr3!$U21*(IF(ADRYr3!$AI21=Lookups!$E$118,ADRYr3!$AJ21,IF(ADRYr3!$AK21=Lookups!$E$118,ADRYr3!$AL21,IF(ADRYr3!$AM21=Lookups!$E$118,ADRYr3!$AN21,0)))))</f>
        <v/>
      </c>
      <c r="AV21" s="45" t="str">
        <f t="shared" si="64"/>
        <v/>
      </c>
      <c r="AW21" s="45" t="str">
        <f>IF($G21="","",AU21*ADRYr3!$P21)</f>
        <v/>
      </c>
      <c r="AX21" s="45" t="str">
        <f t="shared" si="65"/>
        <v/>
      </c>
      <c r="AY21" s="45">
        <f t="shared" si="66"/>
        <v>0</v>
      </c>
      <c r="AZ21" s="45">
        <f t="shared" si="67"/>
        <v>0</v>
      </c>
      <c r="BA21" s="101" t="str">
        <f>IF($G21="","",$G21*ADRYr3!$P21*ADRYr3!$Q21*ADRYr3!$U21*ADRYr3!AO21)</f>
        <v/>
      </c>
      <c r="BB21" s="102" t="str">
        <f>IF($G21="","",$G21*ADRYr3!$P21*ADRYr3!$Q21*ADRYr3!$U21*ADRYr3!AP21)</f>
        <v/>
      </c>
      <c r="BC21" s="100" t="str">
        <f t="shared" si="68"/>
        <v/>
      </c>
      <c r="BD21" s="961"/>
      <c r="BE21" s="961"/>
      <c r="BF21" s="961"/>
      <c r="BG21" s="961"/>
      <c r="BH21" s="962" t="str">
        <f t="shared" si="3"/>
        <v/>
      </c>
      <c r="BI21" s="961"/>
      <c r="BJ21" s="961"/>
      <c r="BK21" s="961"/>
      <c r="BL21" s="961"/>
      <c r="BM21" s="30" t="str">
        <f t="shared" si="4"/>
        <v/>
      </c>
      <c r="BN21" s="963" t="str">
        <f t="shared" si="31"/>
        <v/>
      </c>
      <c r="BO21" s="31" t="str">
        <f t="shared" si="69"/>
        <v/>
      </c>
      <c r="BP21" s="964" t="str">
        <f t="shared" si="5"/>
        <v/>
      </c>
      <c r="BQ21" s="28" t="str">
        <f t="shared" si="6"/>
        <v/>
      </c>
      <c r="BR21" s="964" t="str">
        <f t="shared" si="7"/>
        <v/>
      </c>
      <c r="BS21" s="964" t="str">
        <f t="shared" si="8"/>
        <v/>
      </c>
      <c r="BT21" s="28" t="str">
        <f t="shared" si="9"/>
        <v/>
      </c>
      <c r="BU21" s="28" t="str">
        <f t="shared" si="9"/>
        <v/>
      </c>
      <c r="BV21" s="28" t="str">
        <f t="shared" si="9"/>
        <v/>
      </c>
      <c r="BW21" s="29" t="str">
        <f t="shared" si="70"/>
        <v/>
      </c>
      <c r="BX21" s="29" t="str">
        <f t="shared" si="71"/>
        <v/>
      </c>
      <c r="BY21" s="28" t="str">
        <f>IF($G21="","",$G21*(IF(ADRYr3!$AI21=BY$4,ADRYr3!$AJ21,IF(ADRYr3!$AK21=BY$4,ADRYr3!$AL21,IF(ADRYr3!$AM21=BY$4,ADRYr3!$AN21,0))))*(INDEX(avoidedcosttbl3,$H21,BY$2)+(($H21-ROUNDDOWN($H21,0))*(INDEX(avoidedcosttbl3,ROUNDUP($H21,0),BY$2)-(INDEX(avoidedcosttbl3,ROUNDDOWN($H21,0),BY$2)))))*ADRYr3!P21*ADRYr3!Q21*ADRYr3!U21)</f>
        <v/>
      </c>
      <c r="BZ21" s="28" t="str">
        <f>IF($G21="","",$G21*(IF(ADRYr3!$AI21=BZ$4,ADRYr3!$AJ21,IF(ADRYr3!$AK21=BZ$4,ADRYr3!$AL21,IF(ADRYr3!$AM21=BZ$4,ADRYr3!$AN21,0))))*(INDEX(avoidedcosttbl3,$H21,BZ$2)+(($H21-ROUNDDOWN($H21,0))*(INDEX(avoidedcosttbl3,ROUNDUP($H21,0),BZ$2)-(INDEX(avoidedcosttbl3,ROUNDDOWN($H21,0),BZ$2)))))*ADRYr3!P21*ADRYr3!Q21*ADRYr3!U21)</f>
        <v/>
      </c>
      <c r="CA21" s="28" t="str">
        <f>IF($G21="","",$G21*(IF(ADRYr3!$AI21=CA$4,ADRYr3!$AJ21,IF(ADRYr3!$AK21=CA$4,ADRYr3!$AL21,IF(ADRYr3!$AM21=CA$4,ADRYr3!$AN21,0))))*(INDEX(avoidedcosttbl3,$H21,CA$2)+(($H21-ROUNDDOWN($H21,0))*(INDEX(avoidedcosttbl3,ROUNDUP($H21,0),CA$2)-(INDEX(avoidedcosttbl3,ROUNDDOWN($H21,0),CA$2)))))*ADRYr3!P21*ADRYr3!Q21*ADRYr3!U21)</f>
        <v/>
      </c>
      <c r="CB21" s="28" t="str">
        <f>IF($G21="","",$G21*(IF(ADRYr3!$AI21=CB$4,ADRYr3!$AJ21,IF(ADRYr3!$AK21=CB$4,ADRYr3!$AL21,IF(ADRYr3!$AM21=CB$4,ADRYr3!$AN21,0))))*(INDEX(avoidedcosttbl3,$H21,CB$2)+(($H21-ROUNDDOWN($H21,0))*(INDEX(avoidedcosttbl3,ROUNDUP($H21,0),CB$2)-(INDEX(avoidedcosttbl3,ROUNDDOWN($H21,0),CB$2)))))*ADRYr3!P21*ADRYr3!Q21*ADRYr3!U21)</f>
        <v/>
      </c>
      <c r="CC21" s="28" t="str">
        <f>IF($G21="","",$G21*(IF(ADRYr3!$AI21=CC$4,ADRYr3!$AJ21,IF(ADRYr3!$AK21=CC$4,ADRYr3!$AL21,IF(ADRYr3!$AM21=CC$4,ADRYr3!$AN21,0))))*(INDEX(avoidedcosttbl3,$H21,CC$2)+(($H21-ROUNDDOWN($H21,0))*(INDEX(avoidedcosttbl3,ROUNDUP($H21,0),CC$2)-(INDEX(avoidedcosttbl3,ROUNDDOWN($H21,0),CC$2)))))*ADRYr3!P21*ADRYr3!Q21*ADRYr3!U21)</f>
        <v/>
      </c>
      <c r="CD21" s="28" t="str">
        <f>IF($G21="","",$G21*(IF(ADRYr3!$AI21=CD$4,ADRYr3!$AJ21,IF(ADRYr3!$AK21=CD$4,ADRYr3!$AL21,IF(ADRYr3!$AM21=CD$4,ADRYr3!$AN21,0))))*(INDEX(avoidedcosttbl3,$H21,CD$2)+(($H21-ROUNDDOWN($H21,0))*(INDEX(avoidedcosttbl3,ROUNDUP($H21,0),CD$2)-(INDEX(avoidedcosttbl3,ROUNDDOWN($H21,0),CD$2)))))*ADRYr3!P21*ADRYr3!Q21*ADRYr3!U21)</f>
        <v/>
      </c>
      <c r="CE21" s="28" t="str">
        <f>IF($G21="","",$G21*(IF(ADRYr3!$AI21=CE$4,ADRYr3!$AJ21,IF(ADRYr3!$AK21=CE$4,ADRYr3!$AL21,IF(ADRYr3!$AM21=CE$4,ADRYr3!$AN21,0))))*(INDEX(avoidedcosttbl3,$H21,CE$2)+(($H21-ROUNDDOWN($H21,0))*(INDEX(avoidedcosttbl3,ROUNDUP($H21,0),CE$2)-(INDEX(avoidedcosttbl3,ROUNDDOWN($H21,0),CE$2)))))*ADRYr3!P21*ADRYr3!Q21*ADRYr3!U21)</f>
        <v/>
      </c>
      <c r="CF21" s="41" t="str">
        <f t="shared" si="72"/>
        <v/>
      </c>
      <c r="CG21" s="30" t="str">
        <f t="shared" si="10"/>
        <v/>
      </c>
      <c r="CH21" s="30" t="str">
        <f>IF($G21="","",$G21*(IF(ADRYr3!$AI21=BY$4,ADRYr3!$AJ21,IF(ADRYr3!$AK21=BY$4,ADRYr3!$AL21,IF(ADRYr3!$AM21=BY$4,ADRYr3!$AN21,0))))*(INDEX(avoidedcosttbl3,$H21,CH$2)+(($H21-ROUNDDOWN($H21,0))*(INDEX(avoidedcosttbl3,ROUNDUP($H21,0),CH$2)-(INDEX(avoidedcosttbl3,ROUNDDOWN($H21,0),CH$2)))))*ADRYr3!P21*ADRYr3!Q21*ADRYr3!U21)</f>
        <v/>
      </c>
      <c r="CI21" s="30" t="str">
        <f>IF($G21="","",$G21*(IF(ADRYr3!$AI21=BZ$4,ADRYr3!$AJ21,IF(ADRYr3!$AK21=BZ$4,ADRYr3!$AL21,IF(ADRYr3!$AM21=BZ$4,ADRYr3!$AN21,0))))*(INDEX(avoidedcosttbl3,$H21,CI$2)+(($H21-ROUNDDOWN($H21,0))*(INDEX(avoidedcosttbl3,ROUNDUP($H21,0),CI$2)-(INDEX(avoidedcosttbl3,ROUNDDOWN($H21,0),CI$2)))))*ADRYr3!P21*ADRYr3!Q21*ADRYr3!U21)</f>
        <v/>
      </c>
      <c r="CJ21" s="30" t="str">
        <f>IF($G21="","",$G21*(IF(ADRYr3!$AI21=CA$4,ADRYr3!$AJ21,IF(ADRYr3!$AK21=CA$4,ADRYr3!$AL21,IF(ADRYr3!$AM21=CA$4,ADRYr3!$AN21,0))))*(INDEX(avoidedcosttbl3,$H21,CJ$2)+(($H21-ROUNDDOWN($H21,0))*(INDEX(avoidedcosttbl3,ROUNDUP($H21,0),CJ$2)-(INDEX(avoidedcosttbl3,ROUNDDOWN($H21,0),CJ$2)))))*ADRYr3!P21*ADRYr3!Q21*ADRYr3!U21)</f>
        <v/>
      </c>
      <c r="CK21" s="30" t="str">
        <f>IF($G21="","",$G21*(IF(ADRYr3!$AI21=CB$4,ADRYr3!$AJ21,IF(ADRYr3!$AK21=CB$4,ADRYr3!$AL21,IF(ADRYr3!$AM21=CB$4,ADRYr3!$AN21,0))))*(INDEX(avoidedcosttbl3,$H21,CK$2)+(($H21-ROUNDDOWN($H21,0))*(INDEX(avoidedcosttbl3,ROUNDUP($H21,0),CK$2)-(INDEX(avoidedcosttbl3,ROUNDDOWN($H21,0),CK$2)))))*ADRYr3!P21*ADRYr3!Q21*ADRYr3!U21)</f>
        <v/>
      </c>
      <c r="CL21" s="30" t="str">
        <f>IF($G21="","",$G21*(IF(ADRYr3!$AI21=CC$4,ADRYr3!$AJ21,IF(ADRYr3!$AK21=CC$4,ADRYr3!$AL21,IF(ADRYr3!$AM21=CC$4,ADRYr3!$AN21,0))))*(INDEX(avoidedcosttbl3,$H21,CL$2)+(($H21-ROUNDDOWN($H21,0))*(INDEX(avoidedcosttbl3,ROUNDUP($H21,0),CL$2)-(INDEX(avoidedcosttbl3,ROUNDDOWN($H21,0),CL$2)))))*ADRYr3!P21*ADRYr3!Q21*ADRYr3!U21)</f>
        <v/>
      </c>
      <c r="CM21" s="30" t="str">
        <f>IF($G21="","",$G21*(IF(ADRYr3!$AI21=CD$4,ADRYr3!$AJ21,IF(ADRYr3!$AK21=CD$4,ADRYr3!$AL21,IF(ADRYr3!$AM21=CD$4,ADRYr3!$AN21,0))))*(INDEX(avoidedcosttbl3,$H21,CM$2)+(($H21-ROUNDDOWN($H21,0))*(INDEX(avoidedcosttbl3,ROUNDUP($H21,0),CM$2)-(INDEX(avoidedcosttbl3,ROUNDDOWN($H21,0),CM$2)))))*ADRYr3!P21*ADRYr3!Q21*ADRYr3!U21)</f>
        <v/>
      </c>
      <c r="CN21" s="30" t="str">
        <f>IF($G21="","",$G21*(IF(ADRYr3!$AI21=CE$4,ADRYr3!$AJ21,IF(ADRYr3!$AK21=CE$4,ADRYr3!$AL21,IF(ADRYr3!$AM21=CE$4,ADRYr3!$AN21,0))))*(INDEX(avoidedcosttbl3,$H21,CN$2)+(($H21-ROUNDDOWN($H21,0))*(INDEX(avoidedcosttbl3,ROUNDUP($H21,0),CN$2)-(INDEX(avoidedcosttbl3,ROUNDDOWN($H21,0),CN$2)))))*ADRYr3!P21*ADRYr3!Q21*ADRYr3!U21)</f>
        <v/>
      </c>
      <c r="CO21" s="220" t="str">
        <f t="shared" si="73"/>
        <v/>
      </c>
      <c r="CP21" s="220" t="str">
        <f t="shared" si="74"/>
        <v/>
      </c>
      <c r="CQ21" s="157" t="str">
        <f>IF($G21="","",$G21*(IF(ADRYr3!$AI21=CQ$4,ADRYr3!$AJ21,IF(ADRYr3!$AK21=CQ$4,ADRYr3!$AL21,IF(ADRYr3!$AM21=CQ$4,ADRYr3!$AN21,0))))*(INDEX(avoidedcosttbl3,$H21,CQ$2)+(($H21-ROUNDDOWN($H21,0))*(INDEX(avoidedcosttbl3,ROUNDUP($H21,0),CQ$2)-(INDEX(avoidedcosttbl3,ROUNDDOWN($H21,0),CQ$2)))))*ADRYr3!$P21*ADRYr3!$Q21*ADRYr3!$U21)</f>
        <v/>
      </c>
      <c r="CR21" s="28" t="str">
        <f>IF($G21="","",G21*(IF(ADRYr3!$AI21=CR$4,ADRYr3!$AJ21,IF(ADRYr3!$AK21=CR$4,ADRYr3!$AL21,IF(ADRYr3!$AM21=CR$4,ADRYr3!$AN21,0))))*(INDEX(avoidedcosttbl3,$H21,CR$2)+(($H21-ROUNDDOWN($H21,0))*(INDEX(avoidedcosttbl3,ROUNDUP($H21,0),CR$2)-(INDEX(avoidedcosttbl3,ROUNDDOWN($H21,0),CR$2)))))*ADRYr3!$P21*ADRYr3!$Q21*ADRYr3!$U21)</f>
        <v/>
      </c>
      <c r="CS21" s="28" t="str">
        <f>IF($G21="","",G21*(IF(ADRYr3!$AI21=CS$4,ADRYr3!$AJ21,IF(ADRYr3!$AK21=CS$4,ADRYr3!$AL21,IF(ADRYr3!$AM21=CS$4,ADRYr3!$AN21,0))))*(INDEX(avoidedcosttbl3,$H21,CS$2)+(($H21-ROUNDDOWN($H21,0))*(INDEX(avoidedcosttbl3,ROUNDUP($H21,0),CS$2)-(INDEX(avoidedcosttbl3,ROUNDDOWN($H21,0),CS$2)))))*ADRYr3!$P21*ADRYr3!$Q21*ADRYr3!$U21)</f>
        <v/>
      </c>
      <c r="CT21" s="28" t="str">
        <f t="shared" si="11"/>
        <v/>
      </c>
      <c r="CU21" s="28" t="str">
        <f>IF($G21="","",G21*(IF(ADRYr3!$AI21=CU$4,ADRYr3!$AJ21,IF(ADRYr3!$AK21=CU$4,ADRYr3!$AL21,IF(ADRYr3!$AM21=CU$4,ADRYr3!$AN21,0))))*(INDEX(avoidedcosttbl3,$H21,CU$2)+(($H21-ROUNDDOWN($H21,0))*(INDEX(avoidedcosttbl3,ROUNDUP($H21,0),CU$2)-(INDEX(avoidedcosttbl3,ROUNDDOWN($H21,0),CU$2)))))*ADRYr3!$P21*ADRYr3!$Q21*ADRYr3!$U21)</f>
        <v/>
      </c>
      <c r="CV21" s="28" t="str">
        <f>IF($G21="","",G21*(IF(ADRYr3!$AI21=CV$4,ADRYr3!$AJ21,IF(ADRYr3!$AK21=CV$4,ADRYr3!$AL21,IF(ADRYr3!$AM21=CV$4,ADRYr3!$AN21,0))))*(INDEX(avoidedcosttbl3,$H21,CV$2)+(($H21-ROUNDDOWN($H21,0))*(INDEX(avoidedcosttbl3,ROUNDUP($H21,0),CV$2)-(INDEX(avoidedcosttbl3,ROUNDDOWN($H21,0),CV$2)))))*ADRYr3!$P21*ADRYr3!$Q21*ADRYr3!$U21)</f>
        <v/>
      </c>
      <c r="CW21" s="28" t="str">
        <f>IF($G21="","",G21*(IF(ADRYr3!$AI21=CW$4,ADRYr3!$AJ21,IF(ADRYr3!$AK21=CW$4,ADRYr3!$AL21,IF(ADRYr3!$AM21=CW$4,ADRYr3!$AN21,0))))*(INDEX(avoidedcosttbl3,$H21,CW$2)+(($H21-ROUNDDOWN($H21,0))*(INDEX(avoidedcosttbl3,ROUNDUP($H21,0),CW$2)-(INDEX(avoidedcosttbl3,ROUNDDOWN($H21,0),CW$2)))))*ADRYr3!$P21*ADRYr3!$Q21*ADRYr3!$U21)</f>
        <v/>
      </c>
      <c r="CX21" s="28" t="str">
        <f>IF($G21="","",G21*(IF(ADRYr3!$AI21=CX$4,ADRYr3!$AJ21,IF(ADRYr3!$AK21=CX$4,ADRYr3!$AL21,IF(ADRYr3!$AM21=CX$4,ADRYr3!$AN21,0))))*(INDEX(avoidedcosttbl3,$H21,CX$2)+(($H21-ROUNDDOWN($H21,0))*(INDEX(avoidedcosttbl3,ROUNDUP($H21,0),CX$2)-(INDEX(avoidedcosttbl3,ROUNDDOWN($H21,0),CX$2)))))*ADRYr3!$P21*ADRYr3!$Q21*ADRYr3!$U21)</f>
        <v/>
      </c>
      <c r="CY21" s="28" t="str">
        <f t="shared" si="75"/>
        <v/>
      </c>
      <c r="CZ21" s="32" t="str">
        <f t="shared" si="76"/>
        <v/>
      </c>
      <c r="DA21" s="84" t="str">
        <f t="shared" si="77"/>
        <v/>
      </c>
      <c r="DB21" s="81" t="str">
        <f>IF(NEIadder="Yes",IF($G21="","",INDEX(Lookups!$G$70:$G$71,MATCH($A21,Lookups!$E$70:$E$71,0))*(SUM(CP21:CX21,BX21))),"")</f>
        <v/>
      </c>
      <c r="DC21" s="263" t="str">
        <f t="shared" si="78"/>
        <v/>
      </c>
      <c r="DD21" s="166" t="str">
        <f t="shared" si="79"/>
        <v/>
      </c>
      <c r="DE21" s="82">
        <f t="shared" si="80"/>
        <v>0</v>
      </c>
      <c r="DF21" s="615" t="str">
        <f>IF($G21="","",(1+WntPeakEnergyLL)*(INDEX(avoidedcosttbl3,$H21,DF$2)+(($H21-ROUNDDOWN($H21,0))*(INDEX(avoidedcosttbl3,ROUNDUP($H21,0),DF$2)-(INDEX(avoidedcosttbl3,ROUNDDOWN($H21,0),DF$2)))))*$P21*1000*ADRYr3!Z21)</f>
        <v/>
      </c>
      <c r="DG21" s="615" t="str">
        <f>IF($G21="","",(1+WntOffPeakEnergyLL)*(INDEX(avoidedcosttbl3,$H21,DG$2)+(($H21-ROUNDDOWN($H21,0))*(INDEX(avoidedcosttbl3,ROUNDUP($H21,0),DG$2)-(INDEX(avoidedcosttbl3,ROUNDDOWN($H21,0),DG$2)))))*$P21*1000*ADRYr3!AA21)</f>
        <v/>
      </c>
      <c r="DH21" s="615" t="str">
        <f>IF($G21="","",(1+SumPeakEnergyLL)*(INDEX(avoidedcosttbl3,$H21,DH$2)+(($H21-ROUNDDOWN($H21,0))*(INDEX(avoidedcosttbl3,ROUNDUP($H21,0),DH$2)-(INDEX(avoidedcosttbl3,ROUNDDOWN($H21,0),DH$2)))))*$P21*1000*ADRYr3!AB21)</f>
        <v/>
      </c>
      <c r="DI21" s="615" t="str">
        <f>IF($G21="","",(1+SumOffPeakEnergyLL)*(INDEX(avoidedcosttbl3,$H21,DI$2)+(($H21-ROUNDDOWN($H21,0))*(INDEX(avoidedcosttbl3,ROUNDUP($H21,0),DI$2)-(INDEX(avoidedcosttbl3,ROUNDDOWN($H21,0),DI$2)))))*$P21*1000*ADRYr3!AC21)</f>
        <v/>
      </c>
      <c r="DJ21" s="29" t="str">
        <f t="shared" si="81"/>
        <v/>
      </c>
      <c r="DK21" s="161" t="str">
        <f t="shared" si="45"/>
        <v/>
      </c>
      <c r="DL21" s="1189" t="str">
        <f t="shared" si="46"/>
        <v/>
      </c>
      <c r="DM21" s="1189" t="str">
        <f t="shared" si="47"/>
        <v/>
      </c>
      <c r="DN21" s="43" t="str">
        <f t="shared" si="48"/>
        <v/>
      </c>
      <c r="DO21" s="966" t="str">
        <f>IF($G21="","",ADRYr3!AQ21)</f>
        <v/>
      </c>
      <c r="DP21" s="968" t="str">
        <f>IF($G21="","",ADRYr3!AR21)</f>
        <v/>
      </c>
      <c r="DQ21" s="970" t="str">
        <f>IF($G21="","",IF($DP21="Yes",COLUMN(AESC!$L$10),IF($DP21="No","Using AvoidedDemand tab",IF($DP21="Mixed",COLUMN(AESC!$N$10)))))</f>
        <v/>
      </c>
      <c r="DR21" s="970" t="str">
        <f>IF($G21="","",IF($DP21="Yes",COLUMN(AESC!$P$10),IF($DP21="No","Using AvoidedDemand tab",IF($DP21="Mixed",COLUMN(AESC!$R$10)))))</f>
        <v/>
      </c>
      <c r="DS21" s="970" t="str">
        <f>IF($G21="","",IF($DP21="Yes",COLUMN(AESC!$S$10),IF($DP21="No",COLUMN(AESC!$T$10),IF($DP21="Mixed",COLUMN(AESC!$U$10)))))</f>
        <v/>
      </c>
      <c r="DT21" s="970" t="str">
        <f t="shared" si="49"/>
        <v/>
      </c>
      <c r="DU21" s="970" t="str">
        <f>IF($G21="","",ADRYr3!AS21)</f>
        <v/>
      </c>
      <c r="DV21" s="971" t="str">
        <f>IF($G21="","",ADRYr3!AT21)</f>
        <v/>
      </c>
      <c r="DW21" s="1162" t="str">
        <f>IF($G21="","",INDEX(AvoidedEnergy!$H$4:$H$10,MATCH($DO21,AvoidedEnergy!$A$4:$A$10,0)))</f>
        <v/>
      </c>
    </row>
    <row r="22" spans="1:127">
      <c r="A22" s="160" t="str">
        <f>IF(ADRYr3!$B22=0,"",ADRYr3!A22)</f>
        <v>B - Low-Income</v>
      </c>
      <c r="B22" s="9" t="str">
        <f>IF(ADRYr3!$B22=0,"",ADRYr3!B22)</f>
        <v>Home Energy Assistance</v>
      </c>
      <c r="C22" s="9" t="str">
        <f>IF(ADRYr3!$B22=0,"",ADRYr3!C22)</f>
        <v>Res Demand Response</v>
      </c>
      <c r="D22" s="9" t="str">
        <f>IF(ADRYr3!$B22=0,"",ADRYr3!D22)</f>
        <v>Storage Daily Dispatch Upfront Incentive (consumption) Winter</v>
      </c>
      <c r="E22" s="9">
        <f>IF(ADRYr3!$B22=0,"",ADRYr3!E22)</f>
        <v>0</v>
      </c>
      <c r="F22" s="11" t="str">
        <f>IF(ADRYr3!$B22=0,"",ADRYr3!F22)</f>
        <v>Behavior</v>
      </c>
      <c r="G22" s="12" t="str">
        <f>IF(ADRYr3!$G22&lt;&gt;0,ADRYr3!G22,"")</f>
        <v/>
      </c>
      <c r="H22" s="960" t="str">
        <f>IF($G22="","",ROUND(ADRYr3!H22,0))</f>
        <v/>
      </c>
      <c r="I22" s="47" t="str">
        <f>IF($G22="","",ADRYr3!I22*ADRYr3!P22*G22)</f>
        <v/>
      </c>
      <c r="J22" s="47" t="str">
        <f>IF($G22="","",ADRYr3!J22*G22)</f>
        <v/>
      </c>
      <c r="K22" s="47" t="str">
        <f t="shared" si="50"/>
        <v/>
      </c>
      <c r="L22" s="27" t="str">
        <f>IF($G22="","",ADRYr3!V22*G22/1000)</f>
        <v/>
      </c>
      <c r="M22" s="27" t="str">
        <f>IF($G22="","",L22*ADRYr3!$Q22*ADRYr3!$R22)</f>
        <v/>
      </c>
      <c r="N22" s="27" t="str">
        <f t="shared" si="51"/>
        <v/>
      </c>
      <c r="O22" s="27" t="str">
        <f t="shared" si="52"/>
        <v/>
      </c>
      <c r="P22" s="27" t="str">
        <f>IF($G22="","",M22*ADRYr3!P22)</f>
        <v/>
      </c>
      <c r="Q22" s="27" t="str">
        <f t="shared" si="53"/>
        <v/>
      </c>
      <c r="R22" s="27" t="str">
        <f>IF($G22="","",$Q22*ADRYr3!Z22)</f>
        <v/>
      </c>
      <c r="S22" s="27" t="str">
        <f>IF($G22="","",$Q22*ADRYr3!AA22)</f>
        <v/>
      </c>
      <c r="T22" s="27" t="str">
        <f>IF($G22="","",$Q22*ADRYr3!AB22)</f>
        <v/>
      </c>
      <c r="U22" s="27" t="str">
        <f>IF($G22="","",$Q22*ADRYr3!AC22)</f>
        <v/>
      </c>
      <c r="V22" s="27" t="str">
        <f>IF($G22="","",G22*ADRYr3!$AD22*ADRYr3!$P22*ADRYr3!$Q22)</f>
        <v/>
      </c>
      <c r="W22" s="27" t="str">
        <f>IF($G22="","",$G22*ADRYr3!$AD22*ADRYr3!$AF22*ADRYr3!Q22*ADRYr3!$S22)</f>
        <v/>
      </c>
      <c r="X22" s="27" t="str">
        <f>IF($G22="","",$G22*ADRYr3!$AD22*ADRYr3!$AF22*ADRYr3!P22*ADRYr3!Q22*ADRYr3!$S22)</f>
        <v/>
      </c>
      <c r="Y22" s="27" t="str">
        <f>IF($G22="","",$G22*ADRYr3!$AD22*ADRYr3!$AE22*ADRYr3!Q22*ADRYr3!$T22)</f>
        <v/>
      </c>
      <c r="Z22" s="27" t="str">
        <f>IF($G22="","",$G22*ADRYr3!$AD22*ADRYr3!$AE22*ADRYr3!P22*ADRYr3!Q22*ADRYr3!$T22)</f>
        <v/>
      </c>
      <c r="AA22" s="45" t="str">
        <f>IF($G22="","",$G22*ADRYr3!$Q22*ADRYr3!$U22*(IF(IFERROR(SEARCH("NG", ADRYr3!$AI22),0),ADRYr3!$AJ22,0)+IF(IFERROR(SEARCH("NG", ADRYr3!$AK22),0),ADRYr3!$AL22,0)+IF(IFERROR(SEARCH("NG", ADRYr3!$AM22),0),ADRYr3!$AN22,0)))</f>
        <v/>
      </c>
      <c r="AB22" s="45" t="str">
        <f t="shared" si="54"/>
        <v/>
      </c>
      <c r="AC22" s="45">
        <f>IF($G22="",0,AA22*ADRYr3!$P22)</f>
        <v>0</v>
      </c>
      <c r="AD22" s="45" t="str">
        <f t="shared" si="55"/>
        <v/>
      </c>
      <c r="AE22" s="45" t="str">
        <f>IF($G22="","",$G22*ADRYr3!$Q22*ADRYr3!$U22*(IF(IFERROR(SEARCH("Oil", ADRYr3!$AI22), 0),ADRYr3!$AJ22,0)+IF(IFERROR(SEARCH("Oil", ADRYr3!$AK22), 0),ADRYr3!$AL22,0)+IF(IFERROR(SEARCH("Oil", ADRYr3!$AM22), 0),ADRYr3!$AN22,0)))</f>
        <v/>
      </c>
      <c r="AF22" s="45" t="str">
        <f t="shared" si="56"/>
        <v/>
      </c>
      <c r="AG22" s="45">
        <f>IF($G22="",0,AE22*ADRYr3!$P22)</f>
        <v>0</v>
      </c>
      <c r="AH22" s="45" t="str">
        <f t="shared" si="57"/>
        <v/>
      </c>
      <c r="AI22" s="45" t="str">
        <f>IF($G22="","",$G22*ADRYr3!$Q22*ADRYr3!$U22*(IF(ADRYr3!$AI22=Lookups!$E$116,ADRYr3!$AJ22,IF(ADRYr3!$AK22=Lookups!$E$116,ADRYr3!$AL22,IF(ADRYr3!$AM22=Lookups!$E$116,ADRYr3!$AN22,0)))))</f>
        <v/>
      </c>
      <c r="AJ22" s="45" t="str">
        <f t="shared" si="58"/>
        <v/>
      </c>
      <c r="AK22" s="45">
        <f>IF($G22="",0,AI22*ADRYr3!$P22)</f>
        <v>0</v>
      </c>
      <c r="AL22" s="45" t="str">
        <f t="shared" si="59"/>
        <v/>
      </c>
      <c r="AM22" s="45" t="str">
        <f>IF($G22="","",$G22*ADRYr3!$Q22*ADRYr3!$U22*(IF(ADRYr3!$AI22=Lookups!$E$115,ADRYr3!$AJ22,IF(ADRYr3!$AK22=Lookups!$E$115,ADRYr3!$AL22,IF(ADRYr3!$AM22=Lookups!$E$115,ADRYr3!$AN22,0)))))</f>
        <v/>
      </c>
      <c r="AN22" s="45" t="str">
        <f t="shared" si="60"/>
        <v/>
      </c>
      <c r="AO22" s="45">
        <f>IF($G22="",0,AM22*ADRYr3!$P22)</f>
        <v>0</v>
      </c>
      <c r="AP22" s="45" t="str">
        <f t="shared" si="61"/>
        <v/>
      </c>
      <c r="AQ22" s="45" t="str">
        <f>IF($G22="","",$G22*ADRYr3!$Q22*ADRYr3!$U22*(IF(ADRYr3!$AI22=Lookups!$E$117,ADRYr3!$AJ22,IF(ADRYr3!$AK22=Lookups!$E$117,ADRYr3!$AL22,IF(ADRYr3!$AM22=Lookups!$E$117,ADRYr3!$AN22,0)))))</f>
        <v/>
      </c>
      <c r="AR22" s="45" t="str">
        <f t="shared" si="62"/>
        <v/>
      </c>
      <c r="AS22" s="45" t="str">
        <f>IF($G22="","",AQ22*ADRYr3!$P22)</f>
        <v/>
      </c>
      <c r="AT22" s="45" t="str">
        <f t="shared" si="63"/>
        <v/>
      </c>
      <c r="AU22" s="45" t="str">
        <f>IF($G22="","",$G22*ADRYr3!$Q22*ADRYr3!$U22*(IF(ADRYr3!$AI22=Lookups!$E$118,ADRYr3!$AJ22,IF(ADRYr3!$AK22=Lookups!$E$118,ADRYr3!$AL22,IF(ADRYr3!$AM22=Lookups!$E$118,ADRYr3!$AN22,0)))))</f>
        <v/>
      </c>
      <c r="AV22" s="45" t="str">
        <f t="shared" si="64"/>
        <v/>
      </c>
      <c r="AW22" s="45" t="str">
        <f>IF($G22="","",AU22*ADRYr3!$P22)</f>
        <v/>
      </c>
      <c r="AX22" s="45" t="str">
        <f t="shared" si="65"/>
        <v/>
      </c>
      <c r="AY22" s="45">
        <f t="shared" si="66"/>
        <v>0</v>
      </c>
      <c r="AZ22" s="45">
        <f t="shared" si="67"/>
        <v>0</v>
      </c>
      <c r="BA22" s="101" t="str">
        <f>IF($G22="","",$G22*ADRYr3!$P22*ADRYr3!$Q22*ADRYr3!$U22*ADRYr3!AO22)</f>
        <v/>
      </c>
      <c r="BB22" s="102" t="str">
        <f>IF($G22="","",$G22*ADRYr3!$P22*ADRYr3!$Q22*ADRYr3!$U22*ADRYr3!AP22)</f>
        <v/>
      </c>
      <c r="BC22" s="100" t="str">
        <f t="shared" si="68"/>
        <v/>
      </c>
      <c r="BD22" s="961"/>
      <c r="BE22" s="961"/>
      <c r="BF22" s="961"/>
      <c r="BG22" s="961"/>
      <c r="BH22" s="962" t="str">
        <f t="shared" si="3"/>
        <v/>
      </c>
      <c r="BI22" s="961"/>
      <c r="BJ22" s="961"/>
      <c r="BK22" s="961"/>
      <c r="BL22" s="961"/>
      <c r="BM22" s="30" t="str">
        <f t="shared" si="4"/>
        <v/>
      </c>
      <c r="BN22" s="963" t="str">
        <f t="shared" si="31"/>
        <v/>
      </c>
      <c r="BO22" s="31" t="str">
        <f t="shared" si="69"/>
        <v/>
      </c>
      <c r="BP22" s="964" t="str">
        <f t="shared" si="5"/>
        <v/>
      </c>
      <c r="BQ22" s="28" t="str">
        <f t="shared" si="6"/>
        <v/>
      </c>
      <c r="BR22" s="964" t="str">
        <f t="shared" si="7"/>
        <v/>
      </c>
      <c r="BS22" s="964" t="str">
        <f t="shared" si="8"/>
        <v/>
      </c>
      <c r="BT22" s="28" t="str">
        <f t="shared" si="9"/>
        <v/>
      </c>
      <c r="BU22" s="28" t="str">
        <f t="shared" si="9"/>
        <v/>
      </c>
      <c r="BV22" s="28" t="str">
        <f t="shared" si="9"/>
        <v/>
      </c>
      <c r="BW22" s="29" t="str">
        <f t="shared" si="70"/>
        <v/>
      </c>
      <c r="BX22" s="29" t="str">
        <f t="shared" si="71"/>
        <v/>
      </c>
      <c r="BY22" s="28" t="str">
        <f>IF($G22="","",$G22*(IF(ADRYr3!$AI22=BY$4,ADRYr3!$AJ22,IF(ADRYr3!$AK22=BY$4,ADRYr3!$AL22,IF(ADRYr3!$AM22=BY$4,ADRYr3!$AN22,0))))*(INDEX(avoidedcosttbl3,$H22,BY$2)+(($H22-ROUNDDOWN($H22,0))*(INDEX(avoidedcosttbl3,ROUNDUP($H22,0),BY$2)-(INDEX(avoidedcosttbl3,ROUNDDOWN($H22,0),BY$2)))))*ADRYr3!P22*ADRYr3!Q22*ADRYr3!U22)</f>
        <v/>
      </c>
      <c r="BZ22" s="28" t="str">
        <f>IF($G22="","",$G22*(IF(ADRYr3!$AI22=BZ$4,ADRYr3!$AJ22,IF(ADRYr3!$AK22=BZ$4,ADRYr3!$AL22,IF(ADRYr3!$AM22=BZ$4,ADRYr3!$AN22,0))))*(INDEX(avoidedcosttbl3,$H22,BZ$2)+(($H22-ROUNDDOWN($H22,0))*(INDEX(avoidedcosttbl3,ROUNDUP($H22,0),BZ$2)-(INDEX(avoidedcosttbl3,ROUNDDOWN($H22,0),BZ$2)))))*ADRYr3!P22*ADRYr3!Q22*ADRYr3!U22)</f>
        <v/>
      </c>
      <c r="CA22" s="28" t="str">
        <f>IF($G22="","",$G22*(IF(ADRYr3!$AI22=CA$4,ADRYr3!$AJ22,IF(ADRYr3!$AK22=CA$4,ADRYr3!$AL22,IF(ADRYr3!$AM22=CA$4,ADRYr3!$AN22,0))))*(INDEX(avoidedcosttbl3,$H22,CA$2)+(($H22-ROUNDDOWN($H22,0))*(INDEX(avoidedcosttbl3,ROUNDUP($H22,0),CA$2)-(INDEX(avoidedcosttbl3,ROUNDDOWN($H22,0),CA$2)))))*ADRYr3!P22*ADRYr3!Q22*ADRYr3!U22)</f>
        <v/>
      </c>
      <c r="CB22" s="28" t="str">
        <f>IF($G22="","",$G22*(IF(ADRYr3!$AI22=CB$4,ADRYr3!$AJ22,IF(ADRYr3!$AK22=CB$4,ADRYr3!$AL22,IF(ADRYr3!$AM22=CB$4,ADRYr3!$AN22,0))))*(INDEX(avoidedcosttbl3,$H22,CB$2)+(($H22-ROUNDDOWN($H22,0))*(INDEX(avoidedcosttbl3,ROUNDUP($H22,0),CB$2)-(INDEX(avoidedcosttbl3,ROUNDDOWN($H22,0),CB$2)))))*ADRYr3!P22*ADRYr3!Q22*ADRYr3!U22)</f>
        <v/>
      </c>
      <c r="CC22" s="28" t="str">
        <f>IF($G22="","",$G22*(IF(ADRYr3!$AI22=CC$4,ADRYr3!$AJ22,IF(ADRYr3!$AK22=CC$4,ADRYr3!$AL22,IF(ADRYr3!$AM22=CC$4,ADRYr3!$AN22,0))))*(INDEX(avoidedcosttbl3,$H22,CC$2)+(($H22-ROUNDDOWN($H22,0))*(INDEX(avoidedcosttbl3,ROUNDUP($H22,0),CC$2)-(INDEX(avoidedcosttbl3,ROUNDDOWN($H22,0),CC$2)))))*ADRYr3!P22*ADRYr3!Q22*ADRYr3!U22)</f>
        <v/>
      </c>
      <c r="CD22" s="28" t="str">
        <f>IF($G22="","",$G22*(IF(ADRYr3!$AI22=CD$4,ADRYr3!$AJ22,IF(ADRYr3!$AK22=CD$4,ADRYr3!$AL22,IF(ADRYr3!$AM22=CD$4,ADRYr3!$AN22,0))))*(INDEX(avoidedcosttbl3,$H22,CD$2)+(($H22-ROUNDDOWN($H22,0))*(INDEX(avoidedcosttbl3,ROUNDUP($H22,0),CD$2)-(INDEX(avoidedcosttbl3,ROUNDDOWN($H22,0),CD$2)))))*ADRYr3!P22*ADRYr3!Q22*ADRYr3!U22)</f>
        <v/>
      </c>
      <c r="CE22" s="28" t="str">
        <f>IF($G22="","",$G22*(IF(ADRYr3!$AI22=CE$4,ADRYr3!$AJ22,IF(ADRYr3!$AK22=CE$4,ADRYr3!$AL22,IF(ADRYr3!$AM22=CE$4,ADRYr3!$AN22,0))))*(INDEX(avoidedcosttbl3,$H22,CE$2)+(($H22-ROUNDDOWN($H22,0))*(INDEX(avoidedcosttbl3,ROUNDUP($H22,0),CE$2)-(INDEX(avoidedcosttbl3,ROUNDDOWN($H22,0),CE$2)))))*ADRYr3!P22*ADRYr3!Q22*ADRYr3!U22)</f>
        <v/>
      </c>
      <c r="CF22" s="41" t="str">
        <f t="shared" si="72"/>
        <v/>
      </c>
      <c r="CG22" s="30" t="str">
        <f t="shared" si="10"/>
        <v/>
      </c>
      <c r="CH22" s="30" t="str">
        <f>IF($G22="","",$G22*(IF(ADRYr3!$AI22=BY$4,ADRYr3!$AJ22,IF(ADRYr3!$AK22=BY$4,ADRYr3!$AL22,IF(ADRYr3!$AM22=BY$4,ADRYr3!$AN22,0))))*(INDEX(avoidedcosttbl3,$H22,CH$2)+(($H22-ROUNDDOWN($H22,0))*(INDEX(avoidedcosttbl3,ROUNDUP($H22,0),CH$2)-(INDEX(avoidedcosttbl3,ROUNDDOWN($H22,0),CH$2)))))*ADRYr3!P22*ADRYr3!Q22*ADRYr3!U22)</f>
        <v/>
      </c>
      <c r="CI22" s="30" t="str">
        <f>IF($G22="","",$G22*(IF(ADRYr3!$AI22=BZ$4,ADRYr3!$AJ22,IF(ADRYr3!$AK22=BZ$4,ADRYr3!$AL22,IF(ADRYr3!$AM22=BZ$4,ADRYr3!$AN22,0))))*(INDEX(avoidedcosttbl3,$H22,CI$2)+(($H22-ROUNDDOWN($H22,0))*(INDEX(avoidedcosttbl3,ROUNDUP($H22,0),CI$2)-(INDEX(avoidedcosttbl3,ROUNDDOWN($H22,0),CI$2)))))*ADRYr3!P22*ADRYr3!Q22*ADRYr3!U22)</f>
        <v/>
      </c>
      <c r="CJ22" s="30" t="str">
        <f>IF($G22="","",$G22*(IF(ADRYr3!$AI22=CA$4,ADRYr3!$AJ22,IF(ADRYr3!$AK22=CA$4,ADRYr3!$AL22,IF(ADRYr3!$AM22=CA$4,ADRYr3!$AN22,0))))*(INDEX(avoidedcosttbl3,$H22,CJ$2)+(($H22-ROUNDDOWN($H22,0))*(INDEX(avoidedcosttbl3,ROUNDUP($H22,0),CJ$2)-(INDEX(avoidedcosttbl3,ROUNDDOWN($H22,0),CJ$2)))))*ADRYr3!P22*ADRYr3!Q22*ADRYr3!U22)</f>
        <v/>
      </c>
      <c r="CK22" s="30" t="str">
        <f>IF($G22="","",$G22*(IF(ADRYr3!$AI22=CB$4,ADRYr3!$AJ22,IF(ADRYr3!$AK22=CB$4,ADRYr3!$AL22,IF(ADRYr3!$AM22=CB$4,ADRYr3!$AN22,0))))*(INDEX(avoidedcosttbl3,$H22,CK$2)+(($H22-ROUNDDOWN($H22,0))*(INDEX(avoidedcosttbl3,ROUNDUP($H22,0),CK$2)-(INDEX(avoidedcosttbl3,ROUNDDOWN($H22,0),CK$2)))))*ADRYr3!P22*ADRYr3!Q22*ADRYr3!U22)</f>
        <v/>
      </c>
      <c r="CL22" s="30" t="str">
        <f>IF($G22="","",$G22*(IF(ADRYr3!$AI22=CC$4,ADRYr3!$AJ22,IF(ADRYr3!$AK22=CC$4,ADRYr3!$AL22,IF(ADRYr3!$AM22=CC$4,ADRYr3!$AN22,0))))*(INDEX(avoidedcosttbl3,$H22,CL$2)+(($H22-ROUNDDOWN($H22,0))*(INDEX(avoidedcosttbl3,ROUNDUP($H22,0),CL$2)-(INDEX(avoidedcosttbl3,ROUNDDOWN($H22,0),CL$2)))))*ADRYr3!P22*ADRYr3!Q22*ADRYr3!U22)</f>
        <v/>
      </c>
      <c r="CM22" s="30" t="str">
        <f>IF($G22="","",$G22*(IF(ADRYr3!$AI22=CD$4,ADRYr3!$AJ22,IF(ADRYr3!$AK22=CD$4,ADRYr3!$AL22,IF(ADRYr3!$AM22=CD$4,ADRYr3!$AN22,0))))*(INDEX(avoidedcosttbl3,$H22,CM$2)+(($H22-ROUNDDOWN($H22,0))*(INDEX(avoidedcosttbl3,ROUNDUP($H22,0),CM$2)-(INDEX(avoidedcosttbl3,ROUNDDOWN($H22,0),CM$2)))))*ADRYr3!P22*ADRYr3!Q22*ADRYr3!U22)</f>
        <v/>
      </c>
      <c r="CN22" s="30" t="str">
        <f>IF($G22="","",$G22*(IF(ADRYr3!$AI22=CE$4,ADRYr3!$AJ22,IF(ADRYr3!$AK22=CE$4,ADRYr3!$AL22,IF(ADRYr3!$AM22=CE$4,ADRYr3!$AN22,0))))*(INDEX(avoidedcosttbl3,$H22,CN$2)+(($H22-ROUNDDOWN($H22,0))*(INDEX(avoidedcosttbl3,ROUNDUP($H22,0),CN$2)-(INDEX(avoidedcosttbl3,ROUNDDOWN($H22,0),CN$2)))))*ADRYr3!P22*ADRYr3!Q22*ADRYr3!U22)</f>
        <v/>
      </c>
      <c r="CO22" s="220" t="str">
        <f t="shared" si="73"/>
        <v/>
      </c>
      <c r="CP22" s="220" t="str">
        <f t="shared" si="74"/>
        <v/>
      </c>
      <c r="CQ22" s="157" t="str">
        <f>IF($G22="","",$G22*(IF(ADRYr3!$AI22=CQ$4,ADRYr3!$AJ22,IF(ADRYr3!$AK22=CQ$4,ADRYr3!$AL22,IF(ADRYr3!$AM22=CQ$4,ADRYr3!$AN22,0))))*(INDEX(avoidedcosttbl3,$H22,CQ$2)+(($H22-ROUNDDOWN($H22,0))*(INDEX(avoidedcosttbl3,ROUNDUP($H22,0),CQ$2)-(INDEX(avoidedcosttbl3,ROUNDDOWN($H22,0),CQ$2)))))*ADRYr3!$P22*ADRYr3!$Q22*ADRYr3!$U22)</f>
        <v/>
      </c>
      <c r="CR22" s="28" t="str">
        <f>IF($G22="","",G22*(IF(ADRYr3!$AI22=CR$4,ADRYr3!$AJ22,IF(ADRYr3!$AK22=CR$4,ADRYr3!$AL22,IF(ADRYr3!$AM22=CR$4,ADRYr3!$AN22,0))))*(INDEX(avoidedcosttbl3,$H22,CR$2)+(($H22-ROUNDDOWN($H22,0))*(INDEX(avoidedcosttbl3,ROUNDUP($H22,0),CR$2)-(INDEX(avoidedcosttbl3,ROUNDDOWN($H22,0),CR$2)))))*ADRYr3!$P22*ADRYr3!$Q22*ADRYr3!$U22)</f>
        <v/>
      </c>
      <c r="CS22" s="28" t="str">
        <f>IF($G22="","",G22*(IF(ADRYr3!$AI22=CS$4,ADRYr3!$AJ22,IF(ADRYr3!$AK22=CS$4,ADRYr3!$AL22,IF(ADRYr3!$AM22=CS$4,ADRYr3!$AN22,0))))*(INDEX(avoidedcosttbl3,$H22,CS$2)+(($H22-ROUNDDOWN($H22,0))*(INDEX(avoidedcosttbl3,ROUNDUP($H22,0),CS$2)-(INDEX(avoidedcosttbl3,ROUNDDOWN($H22,0),CS$2)))))*ADRYr3!$P22*ADRYr3!$Q22*ADRYr3!$U22)</f>
        <v/>
      </c>
      <c r="CT22" s="28" t="str">
        <f t="shared" si="11"/>
        <v/>
      </c>
      <c r="CU22" s="28" t="str">
        <f>IF($G22="","",G22*(IF(ADRYr3!$AI22=CU$4,ADRYr3!$AJ22,IF(ADRYr3!$AK22=CU$4,ADRYr3!$AL22,IF(ADRYr3!$AM22=CU$4,ADRYr3!$AN22,0))))*(INDEX(avoidedcosttbl3,$H22,CU$2)+(($H22-ROUNDDOWN($H22,0))*(INDEX(avoidedcosttbl3,ROUNDUP($H22,0),CU$2)-(INDEX(avoidedcosttbl3,ROUNDDOWN($H22,0),CU$2)))))*ADRYr3!$P22*ADRYr3!$Q22*ADRYr3!$U22)</f>
        <v/>
      </c>
      <c r="CV22" s="28" t="str">
        <f>IF($G22="","",G22*(IF(ADRYr3!$AI22=CV$4,ADRYr3!$AJ22,IF(ADRYr3!$AK22=CV$4,ADRYr3!$AL22,IF(ADRYr3!$AM22=CV$4,ADRYr3!$AN22,0))))*(INDEX(avoidedcosttbl3,$H22,CV$2)+(($H22-ROUNDDOWN($H22,0))*(INDEX(avoidedcosttbl3,ROUNDUP($H22,0),CV$2)-(INDEX(avoidedcosttbl3,ROUNDDOWN($H22,0),CV$2)))))*ADRYr3!$P22*ADRYr3!$Q22*ADRYr3!$U22)</f>
        <v/>
      </c>
      <c r="CW22" s="28" t="str">
        <f>IF($G22="","",G22*(IF(ADRYr3!$AI22=CW$4,ADRYr3!$AJ22,IF(ADRYr3!$AK22=CW$4,ADRYr3!$AL22,IF(ADRYr3!$AM22=CW$4,ADRYr3!$AN22,0))))*(INDEX(avoidedcosttbl3,$H22,CW$2)+(($H22-ROUNDDOWN($H22,0))*(INDEX(avoidedcosttbl3,ROUNDUP($H22,0),CW$2)-(INDEX(avoidedcosttbl3,ROUNDDOWN($H22,0),CW$2)))))*ADRYr3!$P22*ADRYr3!$Q22*ADRYr3!$U22)</f>
        <v/>
      </c>
      <c r="CX22" s="28" t="str">
        <f>IF($G22="","",G22*(IF(ADRYr3!$AI22=CX$4,ADRYr3!$AJ22,IF(ADRYr3!$AK22=CX$4,ADRYr3!$AL22,IF(ADRYr3!$AM22=CX$4,ADRYr3!$AN22,0))))*(INDEX(avoidedcosttbl3,$H22,CX$2)+(($H22-ROUNDDOWN($H22,0))*(INDEX(avoidedcosttbl3,ROUNDUP($H22,0),CX$2)-(INDEX(avoidedcosttbl3,ROUNDDOWN($H22,0),CX$2)))))*ADRYr3!$P22*ADRYr3!$Q22*ADRYr3!$U22)</f>
        <v/>
      </c>
      <c r="CY22" s="28" t="str">
        <f t="shared" si="75"/>
        <v/>
      </c>
      <c r="CZ22" s="32" t="str">
        <f t="shared" si="76"/>
        <v/>
      </c>
      <c r="DA22" s="84" t="str">
        <f t="shared" si="77"/>
        <v/>
      </c>
      <c r="DB22" s="81" t="str">
        <f>IF(NEIadder="Yes",IF($G22="","",INDEX(Lookups!$G$70:$G$71,MATCH($A22,Lookups!$E$70:$E$71,0))*(SUM(CP22:CX22,BX22))),"")</f>
        <v/>
      </c>
      <c r="DC22" s="263" t="str">
        <f t="shared" si="78"/>
        <v/>
      </c>
      <c r="DD22" s="166" t="str">
        <f t="shared" si="79"/>
        <v/>
      </c>
      <c r="DE22" s="82">
        <f t="shared" si="80"/>
        <v>0</v>
      </c>
      <c r="DF22" s="615" t="str">
        <f>IF($G22="","",(1+WntPeakEnergyLL)*(INDEX(avoidedcosttbl3,$H22,DF$2)+(($H22-ROUNDDOWN($H22,0))*(INDEX(avoidedcosttbl3,ROUNDUP($H22,0),DF$2)-(INDEX(avoidedcosttbl3,ROUNDDOWN($H22,0),DF$2)))))*$P22*1000*ADRYr3!Z22)</f>
        <v/>
      </c>
      <c r="DG22" s="615" t="str">
        <f>IF($G22="","",(1+WntOffPeakEnergyLL)*(INDEX(avoidedcosttbl3,$H22,DG$2)+(($H22-ROUNDDOWN($H22,0))*(INDEX(avoidedcosttbl3,ROUNDUP($H22,0),DG$2)-(INDEX(avoidedcosttbl3,ROUNDDOWN($H22,0),DG$2)))))*$P22*1000*ADRYr3!AA22)</f>
        <v/>
      </c>
      <c r="DH22" s="615" t="str">
        <f>IF($G22="","",(1+SumPeakEnergyLL)*(INDEX(avoidedcosttbl3,$H22,DH$2)+(($H22-ROUNDDOWN($H22,0))*(INDEX(avoidedcosttbl3,ROUNDUP($H22,0),DH$2)-(INDEX(avoidedcosttbl3,ROUNDDOWN($H22,0),DH$2)))))*$P22*1000*ADRYr3!AB22)</f>
        <v/>
      </c>
      <c r="DI22" s="615" t="str">
        <f>IF($G22="","",(1+SumOffPeakEnergyLL)*(INDEX(avoidedcosttbl3,$H22,DI$2)+(($H22-ROUNDDOWN($H22,0))*(INDEX(avoidedcosttbl3,ROUNDUP($H22,0),DI$2)-(INDEX(avoidedcosttbl3,ROUNDDOWN($H22,0),DI$2)))))*$P22*1000*ADRYr3!AC22)</f>
        <v/>
      </c>
      <c r="DJ22" s="29" t="str">
        <f t="shared" si="81"/>
        <v/>
      </c>
      <c r="DK22" s="161" t="str">
        <f t="shared" si="45"/>
        <v/>
      </c>
      <c r="DL22" s="1189" t="str">
        <f t="shared" si="46"/>
        <v/>
      </c>
      <c r="DM22" s="1189" t="str">
        <f t="shared" si="47"/>
        <v/>
      </c>
      <c r="DN22" s="43" t="str">
        <f t="shared" si="48"/>
        <v/>
      </c>
      <c r="DO22" s="966" t="str">
        <f>IF($G22="","",ADRYr3!AQ22)</f>
        <v/>
      </c>
      <c r="DP22" s="968" t="str">
        <f>IF($G22="","",ADRYr3!AR22)</f>
        <v/>
      </c>
      <c r="DQ22" s="970" t="str">
        <f>IF($G22="","",IF($DP22="Yes",COLUMN(AESC!$L$10),IF($DP22="No","Using AvoidedDemand tab",IF($DP22="Mixed",COLUMN(AESC!$N$10)))))</f>
        <v/>
      </c>
      <c r="DR22" s="970" t="str">
        <f>IF($G22="","",IF($DP22="Yes",COLUMN(AESC!$P$10),IF($DP22="No","Using AvoidedDemand tab",IF($DP22="Mixed",COLUMN(AESC!$R$10)))))</f>
        <v/>
      </c>
      <c r="DS22" s="970" t="str">
        <f>IF($G22="","",IF($DP22="Yes",COLUMN(AESC!$S$10),IF($DP22="No",COLUMN(AESC!$T$10),IF($DP22="Mixed",COLUMN(AESC!$U$10)))))</f>
        <v/>
      </c>
      <c r="DT22" s="970" t="str">
        <f t="shared" si="49"/>
        <v/>
      </c>
      <c r="DU22" s="970" t="str">
        <f>IF($G22="","",ADRYr3!AS22)</f>
        <v/>
      </c>
      <c r="DV22" s="971" t="str">
        <f>IF($G22="","",ADRYr3!AT22)</f>
        <v/>
      </c>
      <c r="DW22" s="1162" t="str">
        <f>IF($G22="","",INDEX(AvoidedEnergy!$H$4:$H$10,MATCH($DO22,AvoidedEnergy!$A$4:$A$10,0)))</f>
        <v/>
      </c>
    </row>
    <row r="23" spans="1:127">
      <c r="A23" s="160" t="str">
        <f>IF(ADRYr3!$B23=0,"",ADRYr3!A23)</f>
        <v>B - Low-Income</v>
      </c>
      <c r="B23" s="9" t="str">
        <f>IF(ADRYr3!$B23=0,"",ADRYr3!B23)</f>
        <v>Home Energy Assistance</v>
      </c>
      <c r="C23" s="9" t="str">
        <f>IF(ADRYr3!$B23=0,"",ADRYr3!C23)</f>
        <v>Res Demand Response</v>
      </c>
      <c r="D23" s="9" t="str">
        <f>IF(ADRYr3!$B23=0,"",ADRYr3!D23)</f>
        <v>Storage Daily Dispatch P4P (savings) Summer</v>
      </c>
      <c r="E23" s="9">
        <f>IF(ADRYr3!$B23=0,"",ADRYr3!E23)</f>
        <v>0</v>
      </c>
      <c r="F23" s="11" t="str">
        <f>IF(ADRYr3!$B23=0,"",ADRYr3!F23)</f>
        <v>Behavior</v>
      </c>
      <c r="G23" s="12" t="str">
        <f>IF(ADRYr3!$G23&lt;&gt;0,ADRYr3!G23,"")</f>
        <v/>
      </c>
      <c r="H23" s="960" t="str">
        <f>IF($G23="","",ROUND(ADRYr3!H23,0))</f>
        <v/>
      </c>
      <c r="I23" s="47" t="str">
        <f>IF($G23="","",ADRYr3!I23*ADRYr3!P23*G23)</f>
        <v/>
      </c>
      <c r="J23" s="47" t="str">
        <f>IF($G23="","",ADRYr3!J23*G23)</f>
        <v/>
      </c>
      <c r="K23" s="47" t="str">
        <f t="shared" si="50"/>
        <v/>
      </c>
      <c r="L23" s="27" t="str">
        <f>IF($G23="","",ADRYr3!V23*G23/1000)</f>
        <v/>
      </c>
      <c r="M23" s="27" t="str">
        <f>IF($G23="","",L23*ADRYr3!$Q23*ADRYr3!$R23)</f>
        <v/>
      </c>
      <c r="N23" s="27" t="str">
        <f t="shared" si="51"/>
        <v/>
      </c>
      <c r="O23" s="27" t="str">
        <f t="shared" si="52"/>
        <v/>
      </c>
      <c r="P23" s="27" t="str">
        <f>IF($G23="","",M23*ADRYr3!P23)</f>
        <v/>
      </c>
      <c r="Q23" s="27" t="str">
        <f t="shared" si="53"/>
        <v/>
      </c>
      <c r="R23" s="27" t="str">
        <f>IF($G23="","",$Q23*ADRYr3!Z23)</f>
        <v/>
      </c>
      <c r="S23" s="27" t="str">
        <f>IF($G23="","",$Q23*ADRYr3!AA23)</f>
        <v/>
      </c>
      <c r="T23" s="27" t="str">
        <f>IF($G23="","",$Q23*ADRYr3!AB23)</f>
        <v/>
      </c>
      <c r="U23" s="27" t="str">
        <f>IF($G23="","",$Q23*ADRYr3!AC23)</f>
        <v/>
      </c>
      <c r="V23" s="27" t="str">
        <f>IF($G23="","",G23*ADRYr3!$AD23*ADRYr3!$P23*ADRYr3!$Q23)</f>
        <v/>
      </c>
      <c r="W23" s="27" t="str">
        <f>IF($G23="","",$G23*ADRYr3!$AD23*ADRYr3!$AF23*ADRYr3!Q23*ADRYr3!$S23)</f>
        <v/>
      </c>
      <c r="X23" s="27" t="str">
        <f>IF($G23="","",$G23*ADRYr3!$AD23*ADRYr3!$AF23*ADRYr3!P23*ADRYr3!Q23*ADRYr3!$S23)</f>
        <v/>
      </c>
      <c r="Y23" s="27" t="str">
        <f>IF($G23="","",$G23*ADRYr3!$AD23*ADRYr3!$AE23*ADRYr3!Q23*ADRYr3!$T23)</f>
        <v/>
      </c>
      <c r="Z23" s="27" t="str">
        <f>IF($G23="","",$G23*ADRYr3!$AD23*ADRYr3!$AE23*ADRYr3!P23*ADRYr3!Q23*ADRYr3!$T23)</f>
        <v/>
      </c>
      <c r="AA23" s="45" t="str">
        <f>IF($G23="","",$G23*ADRYr3!$Q23*ADRYr3!$U23*(IF(IFERROR(SEARCH("NG", ADRYr3!$AI23),0),ADRYr3!$AJ23,0)+IF(IFERROR(SEARCH("NG", ADRYr3!$AK23),0),ADRYr3!$AL23,0)+IF(IFERROR(SEARCH("NG", ADRYr3!$AM23),0),ADRYr3!$AN23,0)))</f>
        <v/>
      </c>
      <c r="AB23" s="45" t="str">
        <f t="shared" si="54"/>
        <v/>
      </c>
      <c r="AC23" s="45">
        <f>IF($G23="",0,AA23*ADRYr3!$P23)</f>
        <v>0</v>
      </c>
      <c r="AD23" s="45" t="str">
        <f t="shared" si="55"/>
        <v/>
      </c>
      <c r="AE23" s="45" t="str">
        <f>IF($G23="","",$G23*ADRYr3!$Q23*ADRYr3!$U23*(IF(IFERROR(SEARCH("Oil", ADRYr3!$AI23), 0),ADRYr3!$AJ23,0)+IF(IFERROR(SEARCH("Oil", ADRYr3!$AK23), 0),ADRYr3!$AL23,0)+IF(IFERROR(SEARCH("Oil", ADRYr3!$AM23), 0),ADRYr3!$AN23,0)))</f>
        <v/>
      </c>
      <c r="AF23" s="45" t="str">
        <f t="shared" si="56"/>
        <v/>
      </c>
      <c r="AG23" s="45">
        <f>IF($G23="",0,AE23*ADRYr3!$P23)</f>
        <v>0</v>
      </c>
      <c r="AH23" s="45" t="str">
        <f t="shared" si="57"/>
        <v/>
      </c>
      <c r="AI23" s="45" t="str">
        <f>IF($G23="","",$G23*ADRYr3!$Q23*ADRYr3!$U23*(IF(ADRYr3!$AI23=Lookups!$E$116,ADRYr3!$AJ23,IF(ADRYr3!$AK23=Lookups!$E$116,ADRYr3!$AL23,IF(ADRYr3!$AM23=Lookups!$E$116,ADRYr3!$AN23,0)))))</f>
        <v/>
      </c>
      <c r="AJ23" s="45" t="str">
        <f t="shared" si="58"/>
        <v/>
      </c>
      <c r="AK23" s="45">
        <f>IF($G23="",0,AI23*ADRYr3!$P23)</f>
        <v>0</v>
      </c>
      <c r="AL23" s="45" t="str">
        <f t="shared" si="59"/>
        <v/>
      </c>
      <c r="AM23" s="45" t="str">
        <f>IF($G23="","",$G23*ADRYr3!$Q23*ADRYr3!$U23*(IF(ADRYr3!$AI23=Lookups!$E$115,ADRYr3!$AJ23,IF(ADRYr3!$AK23=Lookups!$E$115,ADRYr3!$AL23,IF(ADRYr3!$AM23=Lookups!$E$115,ADRYr3!$AN23,0)))))</f>
        <v/>
      </c>
      <c r="AN23" s="45" t="str">
        <f t="shared" si="60"/>
        <v/>
      </c>
      <c r="AO23" s="45">
        <f>IF($G23="",0,AM23*ADRYr3!$P23)</f>
        <v>0</v>
      </c>
      <c r="AP23" s="45" t="str">
        <f t="shared" si="61"/>
        <v/>
      </c>
      <c r="AQ23" s="45" t="str">
        <f>IF($G23="","",$G23*ADRYr3!$Q23*ADRYr3!$U23*(IF(ADRYr3!$AI23=Lookups!$E$117,ADRYr3!$AJ23,IF(ADRYr3!$AK23=Lookups!$E$117,ADRYr3!$AL23,IF(ADRYr3!$AM23=Lookups!$E$117,ADRYr3!$AN23,0)))))</f>
        <v/>
      </c>
      <c r="AR23" s="45" t="str">
        <f t="shared" si="62"/>
        <v/>
      </c>
      <c r="AS23" s="45" t="str">
        <f>IF($G23="","",AQ23*ADRYr3!$P23)</f>
        <v/>
      </c>
      <c r="AT23" s="45" t="str">
        <f t="shared" si="63"/>
        <v/>
      </c>
      <c r="AU23" s="45" t="str">
        <f>IF($G23="","",$G23*ADRYr3!$Q23*ADRYr3!$U23*(IF(ADRYr3!$AI23=Lookups!$E$118,ADRYr3!$AJ23,IF(ADRYr3!$AK23=Lookups!$E$118,ADRYr3!$AL23,IF(ADRYr3!$AM23=Lookups!$E$118,ADRYr3!$AN23,0)))))</f>
        <v/>
      </c>
      <c r="AV23" s="45" t="str">
        <f t="shared" si="64"/>
        <v/>
      </c>
      <c r="AW23" s="45" t="str">
        <f>IF($G23="","",AU23*ADRYr3!$P23)</f>
        <v/>
      </c>
      <c r="AX23" s="45" t="str">
        <f t="shared" si="65"/>
        <v/>
      </c>
      <c r="AY23" s="45">
        <f t="shared" si="66"/>
        <v>0</v>
      </c>
      <c r="AZ23" s="45">
        <f t="shared" si="67"/>
        <v>0</v>
      </c>
      <c r="BA23" s="101" t="str">
        <f>IF($G23="","",$G23*ADRYr3!$P23*ADRYr3!$Q23*ADRYr3!$U23*ADRYr3!AO23)</f>
        <v/>
      </c>
      <c r="BB23" s="102" t="str">
        <f>IF($G23="","",$G23*ADRYr3!$P23*ADRYr3!$Q23*ADRYr3!$U23*ADRYr3!AP23)</f>
        <v/>
      </c>
      <c r="BC23" s="100" t="str">
        <f t="shared" si="68"/>
        <v/>
      </c>
      <c r="BD23" s="961"/>
      <c r="BE23" s="961"/>
      <c r="BF23" s="961"/>
      <c r="BG23" s="961"/>
      <c r="BH23" s="962" t="str">
        <f t="shared" si="3"/>
        <v/>
      </c>
      <c r="BI23" s="961"/>
      <c r="BJ23" s="961"/>
      <c r="BK23" s="961"/>
      <c r="BL23" s="961"/>
      <c r="BM23" s="30" t="str">
        <f t="shared" si="4"/>
        <v/>
      </c>
      <c r="BN23" s="963" t="str">
        <f t="shared" si="31"/>
        <v/>
      </c>
      <c r="BO23" s="31" t="str">
        <f t="shared" si="69"/>
        <v/>
      </c>
      <c r="BP23" s="964" t="str">
        <f t="shared" si="5"/>
        <v/>
      </c>
      <c r="BQ23" s="28" t="str">
        <f t="shared" si="6"/>
        <v/>
      </c>
      <c r="BR23" s="964" t="str">
        <f t="shared" si="7"/>
        <v/>
      </c>
      <c r="BS23" s="964" t="str">
        <f t="shared" si="8"/>
        <v/>
      </c>
      <c r="BT23" s="28" t="str">
        <f t="shared" si="9"/>
        <v/>
      </c>
      <c r="BU23" s="28" t="str">
        <f t="shared" si="9"/>
        <v/>
      </c>
      <c r="BV23" s="28" t="str">
        <f t="shared" si="9"/>
        <v/>
      </c>
      <c r="BW23" s="29" t="str">
        <f t="shared" si="70"/>
        <v/>
      </c>
      <c r="BX23" s="29" t="str">
        <f t="shared" si="71"/>
        <v/>
      </c>
      <c r="BY23" s="28" t="str">
        <f>IF($G23="","",$G23*(IF(ADRYr3!$AI23=BY$4,ADRYr3!$AJ23,IF(ADRYr3!$AK23=BY$4,ADRYr3!$AL23,IF(ADRYr3!$AM23=BY$4,ADRYr3!$AN23,0))))*(INDEX(avoidedcosttbl3,$H23,BY$2)+(($H23-ROUNDDOWN($H23,0))*(INDEX(avoidedcosttbl3,ROUNDUP($H23,0),BY$2)-(INDEX(avoidedcosttbl3,ROUNDDOWN($H23,0),BY$2)))))*ADRYr3!P23*ADRYr3!Q23*ADRYr3!U23)</f>
        <v/>
      </c>
      <c r="BZ23" s="28" t="str">
        <f>IF($G23="","",$G23*(IF(ADRYr3!$AI23=BZ$4,ADRYr3!$AJ23,IF(ADRYr3!$AK23=BZ$4,ADRYr3!$AL23,IF(ADRYr3!$AM23=BZ$4,ADRYr3!$AN23,0))))*(INDEX(avoidedcosttbl3,$H23,BZ$2)+(($H23-ROUNDDOWN($H23,0))*(INDEX(avoidedcosttbl3,ROUNDUP($H23,0),BZ$2)-(INDEX(avoidedcosttbl3,ROUNDDOWN($H23,0),BZ$2)))))*ADRYr3!P23*ADRYr3!Q23*ADRYr3!U23)</f>
        <v/>
      </c>
      <c r="CA23" s="28" t="str">
        <f>IF($G23="","",$G23*(IF(ADRYr3!$AI23=CA$4,ADRYr3!$AJ23,IF(ADRYr3!$AK23=CA$4,ADRYr3!$AL23,IF(ADRYr3!$AM23=CA$4,ADRYr3!$AN23,0))))*(INDEX(avoidedcosttbl3,$H23,CA$2)+(($H23-ROUNDDOWN($H23,0))*(INDEX(avoidedcosttbl3,ROUNDUP($H23,0),CA$2)-(INDEX(avoidedcosttbl3,ROUNDDOWN($H23,0),CA$2)))))*ADRYr3!P23*ADRYr3!Q23*ADRYr3!U23)</f>
        <v/>
      </c>
      <c r="CB23" s="28" t="str">
        <f>IF($G23="","",$G23*(IF(ADRYr3!$AI23=CB$4,ADRYr3!$AJ23,IF(ADRYr3!$AK23=CB$4,ADRYr3!$AL23,IF(ADRYr3!$AM23=CB$4,ADRYr3!$AN23,0))))*(INDEX(avoidedcosttbl3,$H23,CB$2)+(($H23-ROUNDDOWN($H23,0))*(INDEX(avoidedcosttbl3,ROUNDUP($H23,0),CB$2)-(INDEX(avoidedcosttbl3,ROUNDDOWN($H23,0),CB$2)))))*ADRYr3!P23*ADRYr3!Q23*ADRYr3!U23)</f>
        <v/>
      </c>
      <c r="CC23" s="28" t="str">
        <f>IF($G23="","",$G23*(IF(ADRYr3!$AI23=CC$4,ADRYr3!$AJ23,IF(ADRYr3!$AK23=CC$4,ADRYr3!$AL23,IF(ADRYr3!$AM23=CC$4,ADRYr3!$AN23,0))))*(INDEX(avoidedcosttbl3,$H23,CC$2)+(($H23-ROUNDDOWN($H23,0))*(INDEX(avoidedcosttbl3,ROUNDUP($H23,0),CC$2)-(INDEX(avoidedcosttbl3,ROUNDDOWN($H23,0),CC$2)))))*ADRYr3!P23*ADRYr3!Q23*ADRYr3!U23)</f>
        <v/>
      </c>
      <c r="CD23" s="28" t="str">
        <f>IF($G23="","",$G23*(IF(ADRYr3!$AI23=CD$4,ADRYr3!$AJ23,IF(ADRYr3!$AK23=CD$4,ADRYr3!$AL23,IF(ADRYr3!$AM23=CD$4,ADRYr3!$AN23,0))))*(INDEX(avoidedcosttbl3,$H23,CD$2)+(($H23-ROUNDDOWN($H23,0))*(INDEX(avoidedcosttbl3,ROUNDUP($H23,0),CD$2)-(INDEX(avoidedcosttbl3,ROUNDDOWN($H23,0),CD$2)))))*ADRYr3!P23*ADRYr3!Q23*ADRYr3!U23)</f>
        <v/>
      </c>
      <c r="CE23" s="28" t="str">
        <f>IF($G23="","",$G23*(IF(ADRYr3!$AI23=CE$4,ADRYr3!$AJ23,IF(ADRYr3!$AK23=CE$4,ADRYr3!$AL23,IF(ADRYr3!$AM23=CE$4,ADRYr3!$AN23,0))))*(INDEX(avoidedcosttbl3,$H23,CE$2)+(($H23-ROUNDDOWN($H23,0))*(INDEX(avoidedcosttbl3,ROUNDUP($H23,0),CE$2)-(INDEX(avoidedcosttbl3,ROUNDDOWN($H23,0),CE$2)))))*ADRYr3!P23*ADRYr3!Q23*ADRYr3!U23)</f>
        <v/>
      </c>
      <c r="CF23" s="41" t="str">
        <f t="shared" si="72"/>
        <v/>
      </c>
      <c r="CG23" s="30" t="str">
        <f t="shared" si="10"/>
        <v/>
      </c>
      <c r="CH23" s="30" t="str">
        <f>IF($G23="","",$G23*(IF(ADRYr3!$AI23=BY$4,ADRYr3!$AJ23,IF(ADRYr3!$AK23=BY$4,ADRYr3!$AL23,IF(ADRYr3!$AM23=BY$4,ADRYr3!$AN23,0))))*(INDEX(avoidedcosttbl3,$H23,CH$2)+(($H23-ROUNDDOWN($H23,0))*(INDEX(avoidedcosttbl3,ROUNDUP($H23,0),CH$2)-(INDEX(avoidedcosttbl3,ROUNDDOWN($H23,0),CH$2)))))*ADRYr3!P23*ADRYr3!Q23*ADRYr3!U23)</f>
        <v/>
      </c>
      <c r="CI23" s="30" t="str">
        <f>IF($G23="","",$G23*(IF(ADRYr3!$AI23=BZ$4,ADRYr3!$AJ23,IF(ADRYr3!$AK23=BZ$4,ADRYr3!$AL23,IF(ADRYr3!$AM23=BZ$4,ADRYr3!$AN23,0))))*(INDEX(avoidedcosttbl3,$H23,CI$2)+(($H23-ROUNDDOWN($H23,0))*(INDEX(avoidedcosttbl3,ROUNDUP($H23,0),CI$2)-(INDEX(avoidedcosttbl3,ROUNDDOWN($H23,0),CI$2)))))*ADRYr3!P23*ADRYr3!Q23*ADRYr3!U23)</f>
        <v/>
      </c>
      <c r="CJ23" s="30" t="str">
        <f>IF($G23="","",$G23*(IF(ADRYr3!$AI23=CA$4,ADRYr3!$AJ23,IF(ADRYr3!$AK23=CA$4,ADRYr3!$AL23,IF(ADRYr3!$AM23=CA$4,ADRYr3!$AN23,0))))*(INDEX(avoidedcosttbl3,$H23,CJ$2)+(($H23-ROUNDDOWN($H23,0))*(INDEX(avoidedcosttbl3,ROUNDUP($H23,0),CJ$2)-(INDEX(avoidedcosttbl3,ROUNDDOWN($H23,0),CJ$2)))))*ADRYr3!P23*ADRYr3!Q23*ADRYr3!U23)</f>
        <v/>
      </c>
      <c r="CK23" s="30" t="str">
        <f>IF($G23="","",$G23*(IF(ADRYr3!$AI23=CB$4,ADRYr3!$AJ23,IF(ADRYr3!$AK23=CB$4,ADRYr3!$AL23,IF(ADRYr3!$AM23=CB$4,ADRYr3!$AN23,0))))*(INDEX(avoidedcosttbl3,$H23,CK$2)+(($H23-ROUNDDOWN($H23,0))*(INDEX(avoidedcosttbl3,ROUNDUP($H23,0),CK$2)-(INDEX(avoidedcosttbl3,ROUNDDOWN($H23,0),CK$2)))))*ADRYr3!P23*ADRYr3!Q23*ADRYr3!U23)</f>
        <v/>
      </c>
      <c r="CL23" s="30" t="str">
        <f>IF($G23="","",$G23*(IF(ADRYr3!$AI23=CC$4,ADRYr3!$AJ23,IF(ADRYr3!$AK23=CC$4,ADRYr3!$AL23,IF(ADRYr3!$AM23=CC$4,ADRYr3!$AN23,0))))*(INDEX(avoidedcosttbl3,$H23,CL$2)+(($H23-ROUNDDOWN($H23,0))*(INDEX(avoidedcosttbl3,ROUNDUP($H23,0),CL$2)-(INDEX(avoidedcosttbl3,ROUNDDOWN($H23,0),CL$2)))))*ADRYr3!P23*ADRYr3!Q23*ADRYr3!U23)</f>
        <v/>
      </c>
      <c r="CM23" s="30" t="str">
        <f>IF($G23="","",$G23*(IF(ADRYr3!$AI23=CD$4,ADRYr3!$AJ23,IF(ADRYr3!$AK23=CD$4,ADRYr3!$AL23,IF(ADRYr3!$AM23=CD$4,ADRYr3!$AN23,0))))*(INDEX(avoidedcosttbl3,$H23,CM$2)+(($H23-ROUNDDOWN($H23,0))*(INDEX(avoidedcosttbl3,ROUNDUP($H23,0),CM$2)-(INDEX(avoidedcosttbl3,ROUNDDOWN($H23,0),CM$2)))))*ADRYr3!P23*ADRYr3!Q23*ADRYr3!U23)</f>
        <v/>
      </c>
      <c r="CN23" s="30" t="str">
        <f>IF($G23="","",$G23*(IF(ADRYr3!$AI23=CE$4,ADRYr3!$AJ23,IF(ADRYr3!$AK23=CE$4,ADRYr3!$AL23,IF(ADRYr3!$AM23=CE$4,ADRYr3!$AN23,0))))*(INDEX(avoidedcosttbl3,$H23,CN$2)+(($H23-ROUNDDOWN($H23,0))*(INDEX(avoidedcosttbl3,ROUNDUP($H23,0),CN$2)-(INDEX(avoidedcosttbl3,ROUNDDOWN($H23,0),CN$2)))))*ADRYr3!P23*ADRYr3!Q23*ADRYr3!U23)</f>
        <v/>
      </c>
      <c r="CO23" s="220" t="str">
        <f t="shared" si="73"/>
        <v/>
      </c>
      <c r="CP23" s="220" t="str">
        <f t="shared" si="74"/>
        <v/>
      </c>
      <c r="CQ23" s="157" t="str">
        <f>IF($G23="","",$G23*(IF(ADRYr3!$AI23=CQ$4,ADRYr3!$AJ23,IF(ADRYr3!$AK23=CQ$4,ADRYr3!$AL23,IF(ADRYr3!$AM23=CQ$4,ADRYr3!$AN23,0))))*(INDEX(avoidedcosttbl3,$H23,CQ$2)+(($H23-ROUNDDOWN($H23,0))*(INDEX(avoidedcosttbl3,ROUNDUP($H23,0),CQ$2)-(INDEX(avoidedcosttbl3,ROUNDDOWN($H23,0),CQ$2)))))*ADRYr3!$P23*ADRYr3!$Q23*ADRYr3!$U23)</f>
        <v/>
      </c>
      <c r="CR23" s="28" t="str">
        <f>IF($G23="","",G23*(IF(ADRYr3!$AI23=CR$4,ADRYr3!$AJ23,IF(ADRYr3!$AK23=CR$4,ADRYr3!$AL23,IF(ADRYr3!$AM23=CR$4,ADRYr3!$AN23,0))))*(INDEX(avoidedcosttbl3,$H23,CR$2)+(($H23-ROUNDDOWN($H23,0))*(INDEX(avoidedcosttbl3,ROUNDUP($H23,0),CR$2)-(INDEX(avoidedcosttbl3,ROUNDDOWN($H23,0),CR$2)))))*ADRYr3!$P23*ADRYr3!$Q23*ADRYr3!$U23)</f>
        <v/>
      </c>
      <c r="CS23" s="28" t="str">
        <f>IF($G23="","",G23*(IF(ADRYr3!$AI23=CS$4,ADRYr3!$AJ23,IF(ADRYr3!$AK23=CS$4,ADRYr3!$AL23,IF(ADRYr3!$AM23=CS$4,ADRYr3!$AN23,0))))*(INDEX(avoidedcosttbl3,$H23,CS$2)+(($H23-ROUNDDOWN($H23,0))*(INDEX(avoidedcosttbl3,ROUNDUP($H23,0),CS$2)-(INDEX(avoidedcosttbl3,ROUNDDOWN($H23,0),CS$2)))))*ADRYr3!$P23*ADRYr3!$Q23*ADRYr3!$U23)</f>
        <v/>
      </c>
      <c r="CT23" s="28" t="str">
        <f t="shared" si="11"/>
        <v/>
      </c>
      <c r="CU23" s="28" t="str">
        <f>IF($G23="","",G23*(IF(ADRYr3!$AI23=CU$4,ADRYr3!$AJ23,IF(ADRYr3!$AK23=CU$4,ADRYr3!$AL23,IF(ADRYr3!$AM23=CU$4,ADRYr3!$AN23,0))))*(INDEX(avoidedcosttbl3,$H23,CU$2)+(($H23-ROUNDDOWN($H23,0))*(INDEX(avoidedcosttbl3,ROUNDUP($H23,0),CU$2)-(INDEX(avoidedcosttbl3,ROUNDDOWN($H23,0),CU$2)))))*ADRYr3!$P23*ADRYr3!$Q23*ADRYr3!$U23)</f>
        <v/>
      </c>
      <c r="CV23" s="28" t="str">
        <f>IF($G23="","",G23*(IF(ADRYr3!$AI23=CV$4,ADRYr3!$AJ23,IF(ADRYr3!$AK23=CV$4,ADRYr3!$AL23,IF(ADRYr3!$AM23=CV$4,ADRYr3!$AN23,0))))*(INDEX(avoidedcosttbl3,$H23,CV$2)+(($H23-ROUNDDOWN($H23,0))*(INDEX(avoidedcosttbl3,ROUNDUP($H23,0),CV$2)-(INDEX(avoidedcosttbl3,ROUNDDOWN($H23,0),CV$2)))))*ADRYr3!$P23*ADRYr3!$Q23*ADRYr3!$U23)</f>
        <v/>
      </c>
      <c r="CW23" s="28" t="str">
        <f>IF($G23="","",G23*(IF(ADRYr3!$AI23=CW$4,ADRYr3!$AJ23,IF(ADRYr3!$AK23=CW$4,ADRYr3!$AL23,IF(ADRYr3!$AM23=CW$4,ADRYr3!$AN23,0))))*(INDEX(avoidedcosttbl3,$H23,CW$2)+(($H23-ROUNDDOWN($H23,0))*(INDEX(avoidedcosttbl3,ROUNDUP($H23,0),CW$2)-(INDEX(avoidedcosttbl3,ROUNDDOWN($H23,0),CW$2)))))*ADRYr3!$P23*ADRYr3!$Q23*ADRYr3!$U23)</f>
        <v/>
      </c>
      <c r="CX23" s="28" t="str">
        <f>IF($G23="","",G23*(IF(ADRYr3!$AI23=CX$4,ADRYr3!$AJ23,IF(ADRYr3!$AK23=CX$4,ADRYr3!$AL23,IF(ADRYr3!$AM23=CX$4,ADRYr3!$AN23,0))))*(INDEX(avoidedcosttbl3,$H23,CX$2)+(($H23-ROUNDDOWN($H23,0))*(INDEX(avoidedcosttbl3,ROUNDUP($H23,0),CX$2)-(INDEX(avoidedcosttbl3,ROUNDDOWN($H23,0),CX$2)))))*ADRYr3!$P23*ADRYr3!$Q23*ADRYr3!$U23)</f>
        <v/>
      </c>
      <c r="CY23" s="28" t="str">
        <f t="shared" si="75"/>
        <v/>
      </c>
      <c r="CZ23" s="32" t="str">
        <f t="shared" si="76"/>
        <v/>
      </c>
      <c r="DA23" s="84" t="str">
        <f t="shared" si="77"/>
        <v/>
      </c>
      <c r="DB23" s="81" t="str">
        <f>IF(NEIadder="Yes",IF($G23="","",INDEX(Lookups!$G$70:$G$71,MATCH($A23,Lookups!$E$70:$E$71,0))*(SUM(CP23:CX23,BX23))),"")</f>
        <v/>
      </c>
      <c r="DC23" s="263" t="str">
        <f t="shared" si="78"/>
        <v/>
      </c>
      <c r="DD23" s="166" t="str">
        <f t="shared" si="79"/>
        <v/>
      </c>
      <c r="DE23" s="82">
        <f t="shared" si="80"/>
        <v>0</v>
      </c>
      <c r="DF23" s="615" t="str">
        <f>IF($G23="","",(1+WntPeakEnergyLL)*(INDEX(avoidedcosttbl3,$H23,DF$2)+(($H23-ROUNDDOWN($H23,0))*(INDEX(avoidedcosttbl3,ROUNDUP($H23,0),DF$2)-(INDEX(avoidedcosttbl3,ROUNDDOWN($H23,0),DF$2)))))*$P23*1000*ADRYr3!Z23)</f>
        <v/>
      </c>
      <c r="DG23" s="615" t="str">
        <f>IF($G23="","",(1+WntOffPeakEnergyLL)*(INDEX(avoidedcosttbl3,$H23,DG$2)+(($H23-ROUNDDOWN($H23,0))*(INDEX(avoidedcosttbl3,ROUNDUP($H23,0),DG$2)-(INDEX(avoidedcosttbl3,ROUNDDOWN($H23,0),DG$2)))))*$P23*1000*ADRYr3!AA23)</f>
        <v/>
      </c>
      <c r="DH23" s="615" t="str">
        <f>IF($G23="","",(1+SumPeakEnergyLL)*(INDEX(avoidedcosttbl3,$H23,DH$2)+(($H23-ROUNDDOWN($H23,0))*(INDEX(avoidedcosttbl3,ROUNDUP($H23,0),DH$2)-(INDEX(avoidedcosttbl3,ROUNDDOWN($H23,0),DH$2)))))*$P23*1000*ADRYr3!AB23)</f>
        <v/>
      </c>
      <c r="DI23" s="615" t="str">
        <f>IF($G23="","",(1+SumOffPeakEnergyLL)*(INDEX(avoidedcosttbl3,$H23,DI$2)+(($H23-ROUNDDOWN($H23,0))*(INDEX(avoidedcosttbl3,ROUNDUP($H23,0),DI$2)-(INDEX(avoidedcosttbl3,ROUNDDOWN($H23,0),DI$2)))))*$P23*1000*ADRYr3!AC23)</f>
        <v/>
      </c>
      <c r="DJ23" s="29" t="str">
        <f t="shared" si="81"/>
        <v/>
      </c>
      <c r="DK23" s="161" t="str">
        <f t="shared" si="45"/>
        <v/>
      </c>
      <c r="DL23" s="1189" t="str">
        <f t="shared" si="46"/>
        <v/>
      </c>
      <c r="DM23" s="1189" t="str">
        <f t="shared" si="47"/>
        <v/>
      </c>
      <c r="DN23" s="43" t="str">
        <f t="shared" si="48"/>
        <v/>
      </c>
      <c r="DO23" s="966" t="str">
        <f>IF($G23="","",ADRYr3!AQ23)</f>
        <v/>
      </c>
      <c r="DP23" s="968" t="str">
        <f>IF($G23="","",ADRYr3!AR23)</f>
        <v/>
      </c>
      <c r="DQ23" s="970" t="str">
        <f>IF($G23="","",IF($DP23="Yes",COLUMN(AESC!$L$10),IF($DP23="No","Using AvoidedDemand tab",IF($DP23="Mixed",COLUMN(AESC!$N$10)))))</f>
        <v/>
      </c>
      <c r="DR23" s="970" t="str">
        <f>IF($G23="","",IF($DP23="Yes",COLUMN(AESC!$P$10),IF($DP23="No","Using AvoidedDemand tab",IF($DP23="Mixed",COLUMN(AESC!$R$10)))))</f>
        <v/>
      </c>
      <c r="DS23" s="970" t="str">
        <f>IF($G23="","",IF($DP23="Yes",COLUMN(AESC!$S$10),IF($DP23="No",COLUMN(AESC!$T$10),IF($DP23="Mixed",COLUMN(AESC!$U$10)))))</f>
        <v/>
      </c>
      <c r="DT23" s="970" t="str">
        <f t="shared" si="49"/>
        <v/>
      </c>
      <c r="DU23" s="970" t="str">
        <f>IF($G23="","",ADRYr3!AS23)</f>
        <v/>
      </c>
      <c r="DV23" s="971" t="str">
        <f>IF($G23="","",ADRYr3!AT23)</f>
        <v/>
      </c>
      <c r="DW23" s="1162" t="str">
        <f>IF($G23="","",INDEX(AvoidedEnergy!$H$4:$H$10,MATCH($DO23,AvoidedEnergy!$A$4:$A$10,0)))</f>
        <v/>
      </c>
    </row>
    <row r="24" spans="1:127">
      <c r="A24" s="160" t="str">
        <f>IF(ADRYr3!$B24=0,"",ADRYr3!A24)</f>
        <v>B - Low-Income</v>
      </c>
      <c r="B24" s="9" t="str">
        <f>IF(ADRYr3!$B24=0,"",ADRYr3!B24)</f>
        <v>Home Energy Assistance</v>
      </c>
      <c r="C24" s="9" t="str">
        <f>IF(ADRYr3!$B24=0,"",ADRYr3!C24)</f>
        <v>Res Demand Response</v>
      </c>
      <c r="D24" s="9" t="str">
        <f>IF(ADRYr3!$B24=0,"",ADRYr3!D24)</f>
        <v>Storage Daily Dispatch P4P (consumption) Summer</v>
      </c>
      <c r="E24" s="9">
        <f>IF(ADRYr3!$B24=0,"",ADRYr3!E24)</f>
        <v>0</v>
      </c>
      <c r="F24" s="11" t="str">
        <f>IF(ADRYr3!$B24=0,"",ADRYr3!F24)</f>
        <v>Behavior</v>
      </c>
      <c r="G24" s="12" t="str">
        <f>IF(ADRYr3!$G24&lt;&gt;0,ADRYr3!G24,"")</f>
        <v/>
      </c>
      <c r="H24" s="960" t="str">
        <f>IF($G24="","",ROUND(ADRYr3!H24,0))</f>
        <v/>
      </c>
      <c r="I24" s="47" t="str">
        <f>IF($G24="","",ADRYr3!I24*ADRYr3!P24*G24)</f>
        <v/>
      </c>
      <c r="J24" s="47" t="str">
        <f>IF($G24="","",ADRYr3!J24*G24)</f>
        <v/>
      </c>
      <c r="K24" s="47" t="str">
        <f t="shared" si="50"/>
        <v/>
      </c>
      <c r="L24" s="27" t="str">
        <f>IF($G24="","",ADRYr3!V24*G24/1000)</f>
        <v/>
      </c>
      <c r="M24" s="27" t="str">
        <f>IF($G24="","",L24*ADRYr3!$Q24*ADRYr3!$R24)</f>
        <v/>
      </c>
      <c r="N24" s="27" t="str">
        <f t="shared" si="51"/>
        <v/>
      </c>
      <c r="O24" s="27" t="str">
        <f t="shared" si="52"/>
        <v/>
      </c>
      <c r="P24" s="27" t="str">
        <f>IF($G24="","",M24*ADRYr3!P24)</f>
        <v/>
      </c>
      <c r="Q24" s="27" t="str">
        <f t="shared" si="53"/>
        <v/>
      </c>
      <c r="R24" s="27" t="str">
        <f>IF($G24="","",$Q24*ADRYr3!Z24)</f>
        <v/>
      </c>
      <c r="S24" s="27" t="str">
        <f>IF($G24="","",$Q24*ADRYr3!AA24)</f>
        <v/>
      </c>
      <c r="T24" s="27" t="str">
        <f>IF($G24="","",$Q24*ADRYr3!AB24)</f>
        <v/>
      </c>
      <c r="U24" s="27" t="str">
        <f>IF($G24="","",$Q24*ADRYr3!AC24)</f>
        <v/>
      </c>
      <c r="V24" s="27" t="str">
        <f>IF($G24="","",G24*ADRYr3!$AD24*ADRYr3!$P24*ADRYr3!$Q24)</f>
        <v/>
      </c>
      <c r="W24" s="27" t="str">
        <f>IF($G24="","",$G24*ADRYr3!$AD24*ADRYr3!$AF24*ADRYr3!Q24*ADRYr3!$S24)</f>
        <v/>
      </c>
      <c r="X24" s="27" t="str">
        <f>IF($G24="","",$G24*ADRYr3!$AD24*ADRYr3!$AF24*ADRYr3!P24*ADRYr3!Q24*ADRYr3!$S24)</f>
        <v/>
      </c>
      <c r="Y24" s="27" t="str">
        <f>IF($G24="","",$G24*ADRYr3!$AD24*ADRYr3!$AE24*ADRYr3!Q24*ADRYr3!$T24)</f>
        <v/>
      </c>
      <c r="Z24" s="27" t="str">
        <f>IF($G24="","",$G24*ADRYr3!$AD24*ADRYr3!$AE24*ADRYr3!P24*ADRYr3!Q24*ADRYr3!$T24)</f>
        <v/>
      </c>
      <c r="AA24" s="45" t="str">
        <f>IF($G24="","",$G24*ADRYr3!$Q24*ADRYr3!$U24*(IF(IFERROR(SEARCH("NG", ADRYr3!$AI24),0),ADRYr3!$AJ24,0)+IF(IFERROR(SEARCH("NG", ADRYr3!$AK24),0),ADRYr3!$AL24,0)+IF(IFERROR(SEARCH("NG", ADRYr3!$AM24),0),ADRYr3!$AN24,0)))</f>
        <v/>
      </c>
      <c r="AB24" s="45" t="str">
        <f t="shared" si="54"/>
        <v/>
      </c>
      <c r="AC24" s="45">
        <f>IF($G24="",0,AA24*ADRYr3!$P24)</f>
        <v>0</v>
      </c>
      <c r="AD24" s="45" t="str">
        <f t="shared" si="55"/>
        <v/>
      </c>
      <c r="AE24" s="45" t="str">
        <f>IF($G24="","",$G24*ADRYr3!$Q24*ADRYr3!$U24*(IF(IFERROR(SEARCH("Oil", ADRYr3!$AI24), 0),ADRYr3!$AJ24,0)+IF(IFERROR(SEARCH("Oil", ADRYr3!$AK24), 0),ADRYr3!$AL24,0)+IF(IFERROR(SEARCH("Oil", ADRYr3!$AM24), 0),ADRYr3!$AN24,0)))</f>
        <v/>
      </c>
      <c r="AF24" s="45" t="str">
        <f t="shared" si="56"/>
        <v/>
      </c>
      <c r="AG24" s="45">
        <f>IF($G24="",0,AE24*ADRYr3!$P24)</f>
        <v>0</v>
      </c>
      <c r="AH24" s="45" t="str">
        <f t="shared" si="57"/>
        <v/>
      </c>
      <c r="AI24" s="45" t="str">
        <f>IF($G24="","",$G24*ADRYr3!$Q24*ADRYr3!$U24*(IF(ADRYr3!$AI24=Lookups!$E$116,ADRYr3!$AJ24,IF(ADRYr3!$AK24=Lookups!$E$116,ADRYr3!$AL24,IF(ADRYr3!$AM24=Lookups!$E$116,ADRYr3!$AN24,0)))))</f>
        <v/>
      </c>
      <c r="AJ24" s="45" t="str">
        <f t="shared" si="58"/>
        <v/>
      </c>
      <c r="AK24" s="45">
        <f>IF($G24="",0,AI24*ADRYr3!$P24)</f>
        <v>0</v>
      </c>
      <c r="AL24" s="45" t="str">
        <f t="shared" si="59"/>
        <v/>
      </c>
      <c r="AM24" s="45" t="str">
        <f>IF($G24="","",$G24*ADRYr3!$Q24*ADRYr3!$U24*(IF(ADRYr3!$AI24=Lookups!$E$115,ADRYr3!$AJ24,IF(ADRYr3!$AK24=Lookups!$E$115,ADRYr3!$AL24,IF(ADRYr3!$AM24=Lookups!$E$115,ADRYr3!$AN24,0)))))</f>
        <v/>
      </c>
      <c r="AN24" s="45" t="str">
        <f t="shared" si="60"/>
        <v/>
      </c>
      <c r="AO24" s="45">
        <f>IF($G24="",0,AM24*ADRYr3!$P24)</f>
        <v>0</v>
      </c>
      <c r="AP24" s="45" t="str">
        <f t="shared" si="61"/>
        <v/>
      </c>
      <c r="AQ24" s="45" t="str">
        <f>IF($G24="","",$G24*ADRYr3!$Q24*ADRYr3!$U24*(IF(ADRYr3!$AI24=Lookups!$E$117,ADRYr3!$AJ24,IF(ADRYr3!$AK24=Lookups!$E$117,ADRYr3!$AL24,IF(ADRYr3!$AM24=Lookups!$E$117,ADRYr3!$AN24,0)))))</f>
        <v/>
      </c>
      <c r="AR24" s="45" t="str">
        <f t="shared" si="62"/>
        <v/>
      </c>
      <c r="AS24" s="45" t="str">
        <f>IF($G24="","",AQ24*ADRYr3!$P24)</f>
        <v/>
      </c>
      <c r="AT24" s="45" t="str">
        <f t="shared" si="63"/>
        <v/>
      </c>
      <c r="AU24" s="45" t="str">
        <f>IF($G24="","",$G24*ADRYr3!$Q24*ADRYr3!$U24*(IF(ADRYr3!$AI24=Lookups!$E$118,ADRYr3!$AJ24,IF(ADRYr3!$AK24=Lookups!$E$118,ADRYr3!$AL24,IF(ADRYr3!$AM24=Lookups!$E$118,ADRYr3!$AN24,0)))))</f>
        <v/>
      </c>
      <c r="AV24" s="45" t="str">
        <f t="shared" si="64"/>
        <v/>
      </c>
      <c r="AW24" s="45" t="str">
        <f>IF($G24="","",AU24*ADRYr3!$P24)</f>
        <v/>
      </c>
      <c r="AX24" s="45" t="str">
        <f t="shared" si="65"/>
        <v/>
      </c>
      <c r="AY24" s="45">
        <f t="shared" si="66"/>
        <v>0</v>
      </c>
      <c r="AZ24" s="45">
        <f t="shared" si="67"/>
        <v>0</v>
      </c>
      <c r="BA24" s="101" t="str">
        <f>IF($G24="","",$G24*ADRYr3!$P24*ADRYr3!$Q24*ADRYr3!$U24*ADRYr3!AO24)</f>
        <v/>
      </c>
      <c r="BB24" s="102" t="str">
        <f>IF($G24="","",$G24*ADRYr3!$P24*ADRYr3!$Q24*ADRYr3!$U24*ADRYr3!AP24)</f>
        <v/>
      </c>
      <c r="BC24" s="100" t="str">
        <f t="shared" si="68"/>
        <v/>
      </c>
      <c r="BD24" s="961"/>
      <c r="BE24" s="961"/>
      <c r="BF24" s="961"/>
      <c r="BG24" s="961"/>
      <c r="BH24" s="962" t="str">
        <f t="shared" si="3"/>
        <v/>
      </c>
      <c r="BI24" s="961"/>
      <c r="BJ24" s="961"/>
      <c r="BK24" s="961"/>
      <c r="BL24" s="961"/>
      <c r="BM24" s="30" t="str">
        <f t="shared" si="4"/>
        <v/>
      </c>
      <c r="BN24" s="963" t="str">
        <f t="shared" si="31"/>
        <v/>
      </c>
      <c r="BO24" s="31" t="str">
        <f t="shared" si="69"/>
        <v/>
      </c>
      <c r="BP24" s="964" t="str">
        <f t="shared" si="5"/>
        <v/>
      </c>
      <c r="BQ24" s="28" t="str">
        <f t="shared" si="6"/>
        <v/>
      </c>
      <c r="BR24" s="964" t="str">
        <f t="shared" si="7"/>
        <v/>
      </c>
      <c r="BS24" s="964" t="str">
        <f t="shared" si="8"/>
        <v/>
      </c>
      <c r="BT24" s="28" t="str">
        <f t="shared" si="9"/>
        <v/>
      </c>
      <c r="BU24" s="28" t="str">
        <f t="shared" si="9"/>
        <v/>
      </c>
      <c r="BV24" s="28" t="str">
        <f t="shared" si="9"/>
        <v/>
      </c>
      <c r="BW24" s="29" t="str">
        <f t="shared" si="70"/>
        <v/>
      </c>
      <c r="BX24" s="29" t="str">
        <f t="shared" si="71"/>
        <v/>
      </c>
      <c r="BY24" s="28" t="str">
        <f>IF($G24="","",$G24*(IF(ADRYr3!$AI24=BY$4,ADRYr3!$AJ24,IF(ADRYr3!$AK24=BY$4,ADRYr3!$AL24,IF(ADRYr3!$AM24=BY$4,ADRYr3!$AN24,0))))*(INDEX(avoidedcosttbl3,$H24,BY$2)+(($H24-ROUNDDOWN($H24,0))*(INDEX(avoidedcosttbl3,ROUNDUP($H24,0),BY$2)-(INDEX(avoidedcosttbl3,ROUNDDOWN($H24,0),BY$2)))))*ADRYr3!P24*ADRYr3!Q24*ADRYr3!U24)</f>
        <v/>
      </c>
      <c r="BZ24" s="28" t="str">
        <f>IF($G24="","",$G24*(IF(ADRYr3!$AI24=BZ$4,ADRYr3!$AJ24,IF(ADRYr3!$AK24=BZ$4,ADRYr3!$AL24,IF(ADRYr3!$AM24=BZ$4,ADRYr3!$AN24,0))))*(INDEX(avoidedcosttbl3,$H24,BZ$2)+(($H24-ROUNDDOWN($H24,0))*(INDEX(avoidedcosttbl3,ROUNDUP($H24,0),BZ$2)-(INDEX(avoidedcosttbl3,ROUNDDOWN($H24,0),BZ$2)))))*ADRYr3!P24*ADRYr3!Q24*ADRYr3!U24)</f>
        <v/>
      </c>
      <c r="CA24" s="28" t="str">
        <f>IF($G24="","",$G24*(IF(ADRYr3!$AI24=CA$4,ADRYr3!$AJ24,IF(ADRYr3!$AK24=CA$4,ADRYr3!$AL24,IF(ADRYr3!$AM24=CA$4,ADRYr3!$AN24,0))))*(INDEX(avoidedcosttbl3,$H24,CA$2)+(($H24-ROUNDDOWN($H24,0))*(INDEX(avoidedcosttbl3,ROUNDUP($H24,0),CA$2)-(INDEX(avoidedcosttbl3,ROUNDDOWN($H24,0),CA$2)))))*ADRYr3!P24*ADRYr3!Q24*ADRYr3!U24)</f>
        <v/>
      </c>
      <c r="CB24" s="28" t="str">
        <f>IF($G24="","",$G24*(IF(ADRYr3!$AI24=CB$4,ADRYr3!$AJ24,IF(ADRYr3!$AK24=CB$4,ADRYr3!$AL24,IF(ADRYr3!$AM24=CB$4,ADRYr3!$AN24,0))))*(INDEX(avoidedcosttbl3,$H24,CB$2)+(($H24-ROUNDDOWN($H24,0))*(INDEX(avoidedcosttbl3,ROUNDUP($H24,0),CB$2)-(INDEX(avoidedcosttbl3,ROUNDDOWN($H24,0),CB$2)))))*ADRYr3!P24*ADRYr3!Q24*ADRYr3!U24)</f>
        <v/>
      </c>
      <c r="CC24" s="28" t="str">
        <f>IF($G24="","",$G24*(IF(ADRYr3!$AI24=CC$4,ADRYr3!$AJ24,IF(ADRYr3!$AK24=CC$4,ADRYr3!$AL24,IF(ADRYr3!$AM24=CC$4,ADRYr3!$AN24,0))))*(INDEX(avoidedcosttbl3,$H24,CC$2)+(($H24-ROUNDDOWN($H24,0))*(INDEX(avoidedcosttbl3,ROUNDUP($H24,0),CC$2)-(INDEX(avoidedcosttbl3,ROUNDDOWN($H24,0),CC$2)))))*ADRYr3!P24*ADRYr3!Q24*ADRYr3!U24)</f>
        <v/>
      </c>
      <c r="CD24" s="28" t="str">
        <f>IF($G24="","",$G24*(IF(ADRYr3!$AI24=CD$4,ADRYr3!$AJ24,IF(ADRYr3!$AK24=CD$4,ADRYr3!$AL24,IF(ADRYr3!$AM24=CD$4,ADRYr3!$AN24,0))))*(INDEX(avoidedcosttbl3,$H24,CD$2)+(($H24-ROUNDDOWN($H24,0))*(INDEX(avoidedcosttbl3,ROUNDUP($H24,0),CD$2)-(INDEX(avoidedcosttbl3,ROUNDDOWN($H24,0),CD$2)))))*ADRYr3!P24*ADRYr3!Q24*ADRYr3!U24)</f>
        <v/>
      </c>
      <c r="CE24" s="28" t="str">
        <f>IF($G24="","",$G24*(IF(ADRYr3!$AI24=CE$4,ADRYr3!$AJ24,IF(ADRYr3!$AK24=CE$4,ADRYr3!$AL24,IF(ADRYr3!$AM24=CE$4,ADRYr3!$AN24,0))))*(INDEX(avoidedcosttbl3,$H24,CE$2)+(($H24-ROUNDDOWN($H24,0))*(INDEX(avoidedcosttbl3,ROUNDUP($H24,0),CE$2)-(INDEX(avoidedcosttbl3,ROUNDDOWN($H24,0),CE$2)))))*ADRYr3!P24*ADRYr3!Q24*ADRYr3!U24)</f>
        <v/>
      </c>
      <c r="CF24" s="41" t="str">
        <f t="shared" si="72"/>
        <v/>
      </c>
      <c r="CG24" s="30" t="str">
        <f t="shared" si="10"/>
        <v/>
      </c>
      <c r="CH24" s="30" t="str">
        <f>IF($G24="","",$G24*(IF(ADRYr3!$AI24=BY$4,ADRYr3!$AJ24,IF(ADRYr3!$AK24=BY$4,ADRYr3!$AL24,IF(ADRYr3!$AM24=BY$4,ADRYr3!$AN24,0))))*(INDEX(avoidedcosttbl3,$H24,CH$2)+(($H24-ROUNDDOWN($H24,0))*(INDEX(avoidedcosttbl3,ROUNDUP($H24,0),CH$2)-(INDEX(avoidedcosttbl3,ROUNDDOWN($H24,0),CH$2)))))*ADRYr3!P24*ADRYr3!Q24*ADRYr3!U24)</f>
        <v/>
      </c>
      <c r="CI24" s="30" t="str">
        <f>IF($G24="","",$G24*(IF(ADRYr3!$AI24=BZ$4,ADRYr3!$AJ24,IF(ADRYr3!$AK24=BZ$4,ADRYr3!$AL24,IF(ADRYr3!$AM24=BZ$4,ADRYr3!$AN24,0))))*(INDEX(avoidedcosttbl3,$H24,CI$2)+(($H24-ROUNDDOWN($H24,0))*(INDEX(avoidedcosttbl3,ROUNDUP($H24,0),CI$2)-(INDEX(avoidedcosttbl3,ROUNDDOWN($H24,0),CI$2)))))*ADRYr3!P24*ADRYr3!Q24*ADRYr3!U24)</f>
        <v/>
      </c>
      <c r="CJ24" s="30" t="str">
        <f>IF($G24="","",$G24*(IF(ADRYr3!$AI24=CA$4,ADRYr3!$AJ24,IF(ADRYr3!$AK24=CA$4,ADRYr3!$AL24,IF(ADRYr3!$AM24=CA$4,ADRYr3!$AN24,0))))*(INDEX(avoidedcosttbl3,$H24,CJ$2)+(($H24-ROUNDDOWN($H24,0))*(INDEX(avoidedcosttbl3,ROUNDUP($H24,0),CJ$2)-(INDEX(avoidedcosttbl3,ROUNDDOWN($H24,0),CJ$2)))))*ADRYr3!P24*ADRYr3!Q24*ADRYr3!U24)</f>
        <v/>
      </c>
      <c r="CK24" s="30" t="str">
        <f>IF($G24="","",$G24*(IF(ADRYr3!$AI24=CB$4,ADRYr3!$AJ24,IF(ADRYr3!$AK24=CB$4,ADRYr3!$AL24,IF(ADRYr3!$AM24=CB$4,ADRYr3!$AN24,0))))*(INDEX(avoidedcosttbl3,$H24,CK$2)+(($H24-ROUNDDOWN($H24,0))*(INDEX(avoidedcosttbl3,ROUNDUP($H24,0),CK$2)-(INDEX(avoidedcosttbl3,ROUNDDOWN($H24,0),CK$2)))))*ADRYr3!P24*ADRYr3!Q24*ADRYr3!U24)</f>
        <v/>
      </c>
      <c r="CL24" s="30" t="str">
        <f>IF($G24="","",$G24*(IF(ADRYr3!$AI24=CC$4,ADRYr3!$AJ24,IF(ADRYr3!$AK24=CC$4,ADRYr3!$AL24,IF(ADRYr3!$AM24=CC$4,ADRYr3!$AN24,0))))*(INDEX(avoidedcosttbl3,$H24,CL$2)+(($H24-ROUNDDOWN($H24,0))*(INDEX(avoidedcosttbl3,ROUNDUP($H24,0),CL$2)-(INDEX(avoidedcosttbl3,ROUNDDOWN($H24,0),CL$2)))))*ADRYr3!P24*ADRYr3!Q24*ADRYr3!U24)</f>
        <v/>
      </c>
      <c r="CM24" s="30" t="str">
        <f>IF($G24="","",$G24*(IF(ADRYr3!$AI24=CD$4,ADRYr3!$AJ24,IF(ADRYr3!$AK24=CD$4,ADRYr3!$AL24,IF(ADRYr3!$AM24=CD$4,ADRYr3!$AN24,0))))*(INDEX(avoidedcosttbl3,$H24,CM$2)+(($H24-ROUNDDOWN($H24,0))*(INDEX(avoidedcosttbl3,ROUNDUP($H24,0),CM$2)-(INDEX(avoidedcosttbl3,ROUNDDOWN($H24,0),CM$2)))))*ADRYr3!P24*ADRYr3!Q24*ADRYr3!U24)</f>
        <v/>
      </c>
      <c r="CN24" s="30" t="str">
        <f>IF($G24="","",$G24*(IF(ADRYr3!$AI24=CE$4,ADRYr3!$AJ24,IF(ADRYr3!$AK24=CE$4,ADRYr3!$AL24,IF(ADRYr3!$AM24=CE$4,ADRYr3!$AN24,0))))*(INDEX(avoidedcosttbl3,$H24,CN$2)+(($H24-ROUNDDOWN($H24,0))*(INDEX(avoidedcosttbl3,ROUNDUP($H24,0),CN$2)-(INDEX(avoidedcosttbl3,ROUNDDOWN($H24,0),CN$2)))))*ADRYr3!P24*ADRYr3!Q24*ADRYr3!U24)</f>
        <v/>
      </c>
      <c r="CO24" s="220" t="str">
        <f t="shared" si="73"/>
        <v/>
      </c>
      <c r="CP24" s="220" t="str">
        <f t="shared" si="74"/>
        <v/>
      </c>
      <c r="CQ24" s="157" t="str">
        <f>IF($G24="","",$G24*(IF(ADRYr3!$AI24=CQ$4,ADRYr3!$AJ24,IF(ADRYr3!$AK24=CQ$4,ADRYr3!$AL24,IF(ADRYr3!$AM24=CQ$4,ADRYr3!$AN24,0))))*(INDEX(avoidedcosttbl3,$H24,CQ$2)+(($H24-ROUNDDOWN($H24,0))*(INDEX(avoidedcosttbl3,ROUNDUP($H24,0),CQ$2)-(INDEX(avoidedcosttbl3,ROUNDDOWN($H24,0),CQ$2)))))*ADRYr3!$P24*ADRYr3!$Q24*ADRYr3!$U24)</f>
        <v/>
      </c>
      <c r="CR24" s="28" t="str">
        <f>IF($G24="","",G24*(IF(ADRYr3!$AI24=CR$4,ADRYr3!$AJ24,IF(ADRYr3!$AK24=CR$4,ADRYr3!$AL24,IF(ADRYr3!$AM24=CR$4,ADRYr3!$AN24,0))))*(INDEX(avoidedcosttbl3,$H24,CR$2)+(($H24-ROUNDDOWN($H24,0))*(INDEX(avoidedcosttbl3,ROUNDUP($H24,0),CR$2)-(INDEX(avoidedcosttbl3,ROUNDDOWN($H24,0),CR$2)))))*ADRYr3!$P24*ADRYr3!$Q24*ADRYr3!$U24)</f>
        <v/>
      </c>
      <c r="CS24" s="28" t="str">
        <f>IF($G24="","",G24*(IF(ADRYr3!$AI24=CS$4,ADRYr3!$AJ24,IF(ADRYr3!$AK24=CS$4,ADRYr3!$AL24,IF(ADRYr3!$AM24=CS$4,ADRYr3!$AN24,0))))*(INDEX(avoidedcosttbl3,$H24,CS$2)+(($H24-ROUNDDOWN($H24,0))*(INDEX(avoidedcosttbl3,ROUNDUP($H24,0),CS$2)-(INDEX(avoidedcosttbl3,ROUNDDOWN($H24,0),CS$2)))))*ADRYr3!$P24*ADRYr3!$Q24*ADRYr3!$U24)</f>
        <v/>
      </c>
      <c r="CT24" s="28" t="str">
        <f t="shared" si="11"/>
        <v/>
      </c>
      <c r="CU24" s="28" t="str">
        <f>IF($G24="","",G24*(IF(ADRYr3!$AI24=CU$4,ADRYr3!$AJ24,IF(ADRYr3!$AK24=CU$4,ADRYr3!$AL24,IF(ADRYr3!$AM24=CU$4,ADRYr3!$AN24,0))))*(INDEX(avoidedcosttbl3,$H24,CU$2)+(($H24-ROUNDDOWN($H24,0))*(INDEX(avoidedcosttbl3,ROUNDUP($H24,0),CU$2)-(INDEX(avoidedcosttbl3,ROUNDDOWN($H24,0),CU$2)))))*ADRYr3!$P24*ADRYr3!$Q24*ADRYr3!$U24)</f>
        <v/>
      </c>
      <c r="CV24" s="28" t="str">
        <f>IF($G24="","",G24*(IF(ADRYr3!$AI24=CV$4,ADRYr3!$AJ24,IF(ADRYr3!$AK24=CV$4,ADRYr3!$AL24,IF(ADRYr3!$AM24=CV$4,ADRYr3!$AN24,0))))*(INDEX(avoidedcosttbl3,$H24,CV$2)+(($H24-ROUNDDOWN($H24,0))*(INDEX(avoidedcosttbl3,ROUNDUP($H24,0),CV$2)-(INDEX(avoidedcosttbl3,ROUNDDOWN($H24,0),CV$2)))))*ADRYr3!$P24*ADRYr3!$Q24*ADRYr3!$U24)</f>
        <v/>
      </c>
      <c r="CW24" s="28" t="str">
        <f>IF($G24="","",G24*(IF(ADRYr3!$AI24=CW$4,ADRYr3!$AJ24,IF(ADRYr3!$AK24=CW$4,ADRYr3!$AL24,IF(ADRYr3!$AM24=CW$4,ADRYr3!$AN24,0))))*(INDEX(avoidedcosttbl3,$H24,CW$2)+(($H24-ROUNDDOWN($H24,0))*(INDEX(avoidedcosttbl3,ROUNDUP($H24,0),CW$2)-(INDEX(avoidedcosttbl3,ROUNDDOWN($H24,0),CW$2)))))*ADRYr3!$P24*ADRYr3!$Q24*ADRYr3!$U24)</f>
        <v/>
      </c>
      <c r="CX24" s="28" t="str">
        <f>IF($G24="","",G24*(IF(ADRYr3!$AI24=CX$4,ADRYr3!$AJ24,IF(ADRYr3!$AK24=CX$4,ADRYr3!$AL24,IF(ADRYr3!$AM24=CX$4,ADRYr3!$AN24,0))))*(INDEX(avoidedcosttbl3,$H24,CX$2)+(($H24-ROUNDDOWN($H24,0))*(INDEX(avoidedcosttbl3,ROUNDUP($H24,0),CX$2)-(INDEX(avoidedcosttbl3,ROUNDDOWN($H24,0),CX$2)))))*ADRYr3!$P24*ADRYr3!$Q24*ADRYr3!$U24)</f>
        <v/>
      </c>
      <c r="CY24" s="28" t="str">
        <f t="shared" si="75"/>
        <v/>
      </c>
      <c r="CZ24" s="32" t="str">
        <f t="shared" si="76"/>
        <v/>
      </c>
      <c r="DA24" s="84" t="str">
        <f t="shared" si="77"/>
        <v/>
      </c>
      <c r="DB24" s="81" t="str">
        <f>IF(NEIadder="Yes",IF($G24="","",INDEX(Lookups!$G$70:$G$71,MATCH($A24,Lookups!$E$70:$E$71,0))*(SUM(CP24:CX24,BX24))),"")</f>
        <v/>
      </c>
      <c r="DC24" s="263" t="str">
        <f t="shared" si="78"/>
        <v/>
      </c>
      <c r="DD24" s="166" t="str">
        <f t="shared" si="79"/>
        <v/>
      </c>
      <c r="DE24" s="82">
        <f t="shared" si="80"/>
        <v>0</v>
      </c>
      <c r="DF24" s="615" t="str">
        <f>IF($G24="","",(1+WntPeakEnergyLL)*(INDEX(avoidedcosttbl3,$H24,DF$2)+(($H24-ROUNDDOWN($H24,0))*(INDEX(avoidedcosttbl3,ROUNDUP($H24,0),DF$2)-(INDEX(avoidedcosttbl3,ROUNDDOWN($H24,0),DF$2)))))*$P24*1000*ADRYr3!Z24)</f>
        <v/>
      </c>
      <c r="DG24" s="615" t="str">
        <f>IF($G24="","",(1+WntOffPeakEnergyLL)*(INDEX(avoidedcosttbl3,$H24,DG$2)+(($H24-ROUNDDOWN($H24,0))*(INDEX(avoidedcosttbl3,ROUNDUP($H24,0),DG$2)-(INDEX(avoidedcosttbl3,ROUNDDOWN($H24,0),DG$2)))))*$P24*1000*ADRYr3!AA24)</f>
        <v/>
      </c>
      <c r="DH24" s="615" t="str">
        <f>IF($G24="","",(1+SumPeakEnergyLL)*(INDEX(avoidedcosttbl3,$H24,DH$2)+(($H24-ROUNDDOWN($H24,0))*(INDEX(avoidedcosttbl3,ROUNDUP($H24,0),DH$2)-(INDEX(avoidedcosttbl3,ROUNDDOWN($H24,0),DH$2)))))*$P24*1000*ADRYr3!AB24)</f>
        <v/>
      </c>
      <c r="DI24" s="615" t="str">
        <f>IF($G24="","",(1+SumOffPeakEnergyLL)*(INDEX(avoidedcosttbl3,$H24,DI$2)+(($H24-ROUNDDOWN($H24,0))*(INDEX(avoidedcosttbl3,ROUNDUP($H24,0),DI$2)-(INDEX(avoidedcosttbl3,ROUNDDOWN($H24,0),DI$2)))))*$P24*1000*ADRYr3!AC24)</f>
        <v/>
      </c>
      <c r="DJ24" s="29" t="str">
        <f t="shared" si="81"/>
        <v/>
      </c>
      <c r="DK24" s="161" t="str">
        <f t="shared" si="45"/>
        <v/>
      </c>
      <c r="DL24" s="1189" t="str">
        <f t="shared" si="46"/>
        <v/>
      </c>
      <c r="DM24" s="1189" t="str">
        <f t="shared" si="47"/>
        <v/>
      </c>
      <c r="DN24" s="43" t="str">
        <f t="shared" si="48"/>
        <v/>
      </c>
      <c r="DO24" s="966" t="str">
        <f>IF($G24="","",ADRYr3!AQ24)</f>
        <v/>
      </c>
      <c r="DP24" s="968" t="str">
        <f>IF($G24="","",ADRYr3!AR24)</f>
        <v/>
      </c>
      <c r="DQ24" s="970" t="str">
        <f>IF($G24="","",IF($DP24="Yes",COLUMN(AESC!$L$10),IF($DP24="No","Using AvoidedDemand tab",IF($DP24="Mixed",COLUMN(AESC!$N$10)))))</f>
        <v/>
      </c>
      <c r="DR24" s="970" t="str">
        <f>IF($G24="","",IF($DP24="Yes",COLUMN(AESC!$P$10),IF($DP24="No","Using AvoidedDemand tab",IF($DP24="Mixed",COLUMN(AESC!$R$10)))))</f>
        <v/>
      </c>
      <c r="DS24" s="970" t="str">
        <f>IF($G24="","",IF($DP24="Yes",COLUMN(AESC!$S$10),IF($DP24="No",COLUMN(AESC!$T$10),IF($DP24="Mixed",COLUMN(AESC!$U$10)))))</f>
        <v/>
      </c>
      <c r="DT24" s="970" t="str">
        <f t="shared" si="49"/>
        <v/>
      </c>
      <c r="DU24" s="970" t="str">
        <f>IF($G24="","",ADRYr3!AS24)</f>
        <v/>
      </c>
      <c r="DV24" s="971" t="str">
        <f>IF($G24="","",ADRYr3!AT24)</f>
        <v/>
      </c>
      <c r="DW24" s="1162" t="str">
        <f>IF($G24="","",INDEX(AvoidedEnergy!$H$4:$H$10,MATCH($DO24,AvoidedEnergy!$A$4:$A$10,0)))</f>
        <v/>
      </c>
    </row>
    <row r="25" spans="1:127">
      <c r="A25" s="160" t="str">
        <f>IF(ADRYr3!$B25=0,"",ADRYr3!A25)</f>
        <v>B - Low-Income</v>
      </c>
      <c r="B25" s="9" t="str">
        <f>IF(ADRYr3!$B25=0,"",ADRYr3!B25)</f>
        <v>Home Energy Assistance</v>
      </c>
      <c r="C25" s="9" t="str">
        <f>IF(ADRYr3!$B25=0,"",ADRYr3!C25)</f>
        <v>Res Demand Response</v>
      </c>
      <c r="D25" s="9" t="str">
        <f>IF(ADRYr3!$B25=0,"",ADRYr3!D25)</f>
        <v>Storage Targeted Dispatch P4P (savings) Winter</v>
      </c>
      <c r="E25" s="9">
        <f>IF(ADRYr3!$B25=0,"",ADRYr3!E25)</f>
        <v>0</v>
      </c>
      <c r="F25" s="11" t="str">
        <f>IF(ADRYr3!$B25=0,"",ADRYr3!F25)</f>
        <v>Behavior</v>
      </c>
      <c r="G25" s="12" t="str">
        <f>IF(ADRYr3!$G25&lt;&gt;0,ADRYr3!G25,"")</f>
        <v/>
      </c>
      <c r="H25" s="960" t="str">
        <f>IF($G25="","",ROUND(ADRYr3!H25,0))</f>
        <v/>
      </c>
      <c r="I25" s="47" t="str">
        <f>IF($G25="","",ADRYr3!I25*ADRYr3!P25*G25)</f>
        <v/>
      </c>
      <c r="J25" s="47" t="str">
        <f>IF($G25="","",ADRYr3!J25*G25)</f>
        <v/>
      </c>
      <c r="K25" s="47" t="str">
        <f t="shared" si="50"/>
        <v/>
      </c>
      <c r="L25" s="27" t="str">
        <f>IF($G25="","",ADRYr3!V25*G25/1000)</f>
        <v/>
      </c>
      <c r="M25" s="27" t="str">
        <f>IF($G25="","",L25*ADRYr3!$Q25*ADRYr3!$R25)</f>
        <v/>
      </c>
      <c r="N25" s="27" t="str">
        <f t="shared" si="51"/>
        <v/>
      </c>
      <c r="O25" s="27" t="str">
        <f t="shared" si="52"/>
        <v/>
      </c>
      <c r="P25" s="27" t="str">
        <f>IF($G25="","",M25*ADRYr3!P25)</f>
        <v/>
      </c>
      <c r="Q25" s="27" t="str">
        <f t="shared" si="53"/>
        <v/>
      </c>
      <c r="R25" s="27" t="str">
        <f>IF($G25="","",$Q25*ADRYr3!Z25)</f>
        <v/>
      </c>
      <c r="S25" s="27" t="str">
        <f>IF($G25="","",$Q25*ADRYr3!AA25)</f>
        <v/>
      </c>
      <c r="T25" s="27" t="str">
        <f>IF($G25="","",$Q25*ADRYr3!AB25)</f>
        <v/>
      </c>
      <c r="U25" s="27" t="str">
        <f>IF($G25="","",$Q25*ADRYr3!AC25)</f>
        <v/>
      </c>
      <c r="V25" s="27" t="str">
        <f>IF($G25="","",G25*ADRYr3!$AD25*ADRYr3!$P25*ADRYr3!$Q25)</f>
        <v/>
      </c>
      <c r="W25" s="27" t="str">
        <f>IF($G25="","",$G25*ADRYr3!$AD25*ADRYr3!$AF25*ADRYr3!Q25*ADRYr3!$S25)</f>
        <v/>
      </c>
      <c r="X25" s="27" t="str">
        <f>IF($G25="","",$G25*ADRYr3!$AD25*ADRYr3!$AF25*ADRYr3!P25*ADRYr3!Q25*ADRYr3!$S25)</f>
        <v/>
      </c>
      <c r="Y25" s="27" t="str">
        <f>IF($G25="","",$G25*ADRYr3!$AD25*ADRYr3!$AE25*ADRYr3!Q25*ADRYr3!$T25)</f>
        <v/>
      </c>
      <c r="Z25" s="27" t="str">
        <f>IF($G25="","",$G25*ADRYr3!$AD25*ADRYr3!$AE25*ADRYr3!P25*ADRYr3!Q25*ADRYr3!$T25)</f>
        <v/>
      </c>
      <c r="AA25" s="45" t="str">
        <f>IF($G25="","",$G25*ADRYr3!$Q25*ADRYr3!$U25*(IF(IFERROR(SEARCH("NG", ADRYr3!$AI25),0),ADRYr3!$AJ25,0)+IF(IFERROR(SEARCH("NG", ADRYr3!$AK25),0),ADRYr3!$AL25,0)+IF(IFERROR(SEARCH("NG", ADRYr3!$AM25),0),ADRYr3!$AN25,0)))</f>
        <v/>
      </c>
      <c r="AB25" s="45" t="str">
        <f t="shared" si="54"/>
        <v/>
      </c>
      <c r="AC25" s="45">
        <f>IF($G25="",0,AA25*ADRYr3!$P25)</f>
        <v>0</v>
      </c>
      <c r="AD25" s="45" t="str">
        <f t="shared" si="55"/>
        <v/>
      </c>
      <c r="AE25" s="45" t="str">
        <f>IF($G25="","",$G25*ADRYr3!$Q25*ADRYr3!$U25*(IF(IFERROR(SEARCH("Oil", ADRYr3!$AI25), 0),ADRYr3!$AJ25,0)+IF(IFERROR(SEARCH("Oil", ADRYr3!$AK25), 0),ADRYr3!$AL25,0)+IF(IFERROR(SEARCH("Oil", ADRYr3!$AM25), 0),ADRYr3!$AN25,0)))</f>
        <v/>
      </c>
      <c r="AF25" s="45" t="str">
        <f t="shared" si="56"/>
        <v/>
      </c>
      <c r="AG25" s="45">
        <f>IF($G25="",0,AE25*ADRYr3!$P25)</f>
        <v>0</v>
      </c>
      <c r="AH25" s="45" t="str">
        <f t="shared" si="57"/>
        <v/>
      </c>
      <c r="AI25" s="45" t="str">
        <f>IF($G25="","",$G25*ADRYr3!$Q25*ADRYr3!$U25*(IF(ADRYr3!$AI25=Lookups!$E$116,ADRYr3!$AJ25,IF(ADRYr3!$AK25=Lookups!$E$116,ADRYr3!$AL25,IF(ADRYr3!$AM25=Lookups!$E$116,ADRYr3!$AN25,0)))))</f>
        <v/>
      </c>
      <c r="AJ25" s="45" t="str">
        <f t="shared" si="58"/>
        <v/>
      </c>
      <c r="AK25" s="45">
        <f>IF($G25="",0,AI25*ADRYr3!$P25)</f>
        <v>0</v>
      </c>
      <c r="AL25" s="45" t="str">
        <f t="shared" si="59"/>
        <v/>
      </c>
      <c r="AM25" s="45" t="str">
        <f>IF($G25="","",$G25*ADRYr3!$Q25*ADRYr3!$U25*(IF(ADRYr3!$AI25=Lookups!$E$115,ADRYr3!$AJ25,IF(ADRYr3!$AK25=Lookups!$E$115,ADRYr3!$AL25,IF(ADRYr3!$AM25=Lookups!$E$115,ADRYr3!$AN25,0)))))</f>
        <v/>
      </c>
      <c r="AN25" s="45" t="str">
        <f t="shared" si="60"/>
        <v/>
      </c>
      <c r="AO25" s="45">
        <f>IF($G25="",0,AM25*ADRYr3!$P25)</f>
        <v>0</v>
      </c>
      <c r="AP25" s="45" t="str">
        <f t="shared" si="61"/>
        <v/>
      </c>
      <c r="AQ25" s="45" t="str">
        <f>IF($G25="","",$G25*ADRYr3!$Q25*ADRYr3!$U25*(IF(ADRYr3!$AI25=Lookups!$E$117,ADRYr3!$AJ25,IF(ADRYr3!$AK25=Lookups!$E$117,ADRYr3!$AL25,IF(ADRYr3!$AM25=Lookups!$E$117,ADRYr3!$AN25,0)))))</f>
        <v/>
      </c>
      <c r="AR25" s="45" t="str">
        <f t="shared" si="62"/>
        <v/>
      </c>
      <c r="AS25" s="45" t="str">
        <f>IF($G25="","",AQ25*ADRYr3!$P25)</f>
        <v/>
      </c>
      <c r="AT25" s="45" t="str">
        <f t="shared" si="63"/>
        <v/>
      </c>
      <c r="AU25" s="45" t="str">
        <f>IF($G25="","",$G25*ADRYr3!$Q25*ADRYr3!$U25*(IF(ADRYr3!$AI25=Lookups!$E$118,ADRYr3!$AJ25,IF(ADRYr3!$AK25=Lookups!$E$118,ADRYr3!$AL25,IF(ADRYr3!$AM25=Lookups!$E$118,ADRYr3!$AN25,0)))))</f>
        <v/>
      </c>
      <c r="AV25" s="45" t="str">
        <f t="shared" si="64"/>
        <v/>
      </c>
      <c r="AW25" s="45" t="str">
        <f>IF($G25="","",AU25*ADRYr3!$P25)</f>
        <v/>
      </c>
      <c r="AX25" s="45" t="str">
        <f t="shared" si="65"/>
        <v/>
      </c>
      <c r="AY25" s="45">
        <f t="shared" si="66"/>
        <v>0</v>
      </c>
      <c r="AZ25" s="45">
        <f t="shared" si="67"/>
        <v>0</v>
      </c>
      <c r="BA25" s="101" t="str">
        <f>IF($G25="","",$G25*ADRYr3!$P25*ADRYr3!$Q25*ADRYr3!$U25*ADRYr3!AO25)</f>
        <v/>
      </c>
      <c r="BB25" s="102" t="str">
        <f>IF($G25="","",$G25*ADRYr3!$P25*ADRYr3!$Q25*ADRYr3!$U25*ADRYr3!AP25)</f>
        <v/>
      </c>
      <c r="BC25" s="100" t="str">
        <f t="shared" si="68"/>
        <v/>
      </c>
      <c r="BD25" s="961"/>
      <c r="BE25" s="961"/>
      <c r="BF25" s="961"/>
      <c r="BG25" s="961"/>
      <c r="BH25" s="962" t="str">
        <f t="shared" si="3"/>
        <v/>
      </c>
      <c r="BI25" s="961"/>
      <c r="BJ25" s="961"/>
      <c r="BK25" s="961"/>
      <c r="BL25" s="961"/>
      <c r="BM25" s="30" t="str">
        <f t="shared" si="4"/>
        <v/>
      </c>
      <c r="BN25" s="963" t="str">
        <f t="shared" si="31"/>
        <v/>
      </c>
      <c r="BO25" s="31" t="str">
        <f t="shared" si="69"/>
        <v/>
      </c>
      <c r="BP25" s="964" t="str">
        <f t="shared" si="5"/>
        <v/>
      </c>
      <c r="BQ25" s="28" t="str">
        <f t="shared" si="6"/>
        <v/>
      </c>
      <c r="BR25" s="964" t="str">
        <f t="shared" si="7"/>
        <v/>
      </c>
      <c r="BS25" s="964" t="str">
        <f t="shared" si="8"/>
        <v/>
      </c>
      <c r="BT25" s="28" t="str">
        <f t="shared" ref="BT25:BV50" si="82">IF($G25="","",(INDEX(avoidedcosttbl3,$H25,BT$2)+(($H25-ROUNDDOWN($H25,0))*(INDEX(avoidedcosttbl3,ROUNDUP($H25,0),BT$2)-(INDEX(avoidedcosttbl3,ROUNDDOWN($H25,0),BT$2)))))*$Z25)</f>
        <v/>
      </c>
      <c r="BU25" s="28" t="str">
        <f t="shared" si="82"/>
        <v/>
      </c>
      <c r="BV25" s="28" t="str">
        <f t="shared" si="82"/>
        <v/>
      </c>
      <c r="BW25" s="29" t="str">
        <f t="shared" si="70"/>
        <v/>
      </c>
      <c r="BX25" s="29" t="str">
        <f t="shared" si="71"/>
        <v/>
      </c>
      <c r="BY25" s="28" t="str">
        <f>IF($G25="","",$G25*(IF(ADRYr3!$AI25=BY$4,ADRYr3!$AJ25,IF(ADRYr3!$AK25=BY$4,ADRYr3!$AL25,IF(ADRYr3!$AM25=BY$4,ADRYr3!$AN25,0))))*(INDEX(avoidedcosttbl3,$H25,BY$2)+(($H25-ROUNDDOWN($H25,0))*(INDEX(avoidedcosttbl3,ROUNDUP($H25,0),BY$2)-(INDEX(avoidedcosttbl3,ROUNDDOWN($H25,0),BY$2)))))*ADRYr3!P25*ADRYr3!Q25*ADRYr3!U25)</f>
        <v/>
      </c>
      <c r="BZ25" s="28" t="str">
        <f>IF($G25="","",$G25*(IF(ADRYr3!$AI25=BZ$4,ADRYr3!$AJ25,IF(ADRYr3!$AK25=BZ$4,ADRYr3!$AL25,IF(ADRYr3!$AM25=BZ$4,ADRYr3!$AN25,0))))*(INDEX(avoidedcosttbl3,$H25,BZ$2)+(($H25-ROUNDDOWN($H25,0))*(INDEX(avoidedcosttbl3,ROUNDUP($H25,0),BZ$2)-(INDEX(avoidedcosttbl3,ROUNDDOWN($H25,0),BZ$2)))))*ADRYr3!P25*ADRYr3!Q25*ADRYr3!U25)</f>
        <v/>
      </c>
      <c r="CA25" s="28" t="str">
        <f>IF($G25="","",$G25*(IF(ADRYr3!$AI25=CA$4,ADRYr3!$AJ25,IF(ADRYr3!$AK25=CA$4,ADRYr3!$AL25,IF(ADRYr3!$AM25=CA$4,ADRYr3!$AN25,0))))*(INDEX(avoidedcosttbl3,$H25,CA$2)+(($H25-ROUNDDOWN($H25,0))*(INDEX(avoidedcosttbl3,ROUNDUP($H25,0),CA$2)-(INDEX(avoidedcosttbl3,ROUNDDOWN($H25,0),CA$2)))))*ADRYr3!P25*ADRYr3!Q25*ADRYr3!U25)</f>
        <v/>
      </c>
      <c r="CB25" s="28" t="str">
        <f>IF($G25="","",$G25*(IF(ADRYr3!$AI25=CB$4,ADRYr3!$AJ25,IF(ADRYr3!$AK25=CB$4,ADRYr3!$AL25,IF(ADRYr3!$AM25=CB$4,ADRYr3!$AN25,0))))*(INDEX(avoidedcosttbl3,$H25,CB$2)+(($H25-ROUNDDOWN($H25,0))*(INDEX(avoidedcosttbl3,ROUNDUP($H25,0),CB$2)-(INDEX(avoidedcosttbl3,ROUNDDOWN($H25,0),CB$2)))))*ADRYr3!P25*ADRYr3!Q25*ADRYr3!U25)</f>
        <v/>
      </c>
      <c r="CC25" s="28" t="str">
        <f>IF($G25="","",$G25*(IF(ADRYr3!$AI25=CC$4,ADRYr3!$AJ25,IF(ADRYr3!$AK25=CC$4,ADRYr3!$AL25,IF(ADRYr3!$AM25=CC$4,ADRYr3!$AN25,0))))*(INDEX(avoidedcosttbl3,$H25,CC$2)+(($H25-ROUNDDOWN($H25,0))*(INDEX(avoidedcosttbl3,ROUNDUP($H25,0),CC$2)-(INDEX(avoidedcosttbl3,ROUNDDOWN($H25,0),CC$2)))))*ADRYr3!P25*ADRYr3!Q25*ADRYr3!U25)</f>
        <v/>
      </c>
      <c r="CD25" s="28" t="str">
        <f>IF($G25="","",$G25*(IF(ADRYr3!$AI25=CD$4,ADRYr3!$AJ25,IF(ADRYr3!$AK25=CD$4,ADRYr3!$AL25,IF(ADRYr3!$AM25=CD$4,ADRYr3!$AN25,0))))*(INDEX(avoidedcosttbl3,$H25,CD$2)+(($H25-ROUNDDOWN($H25,0))*(INDEX(avoidedcosttbl3,ROUNDUP($H25,0),CD$2)-(INDEX(avoidedcosttbl3,ROUNDDOWN($H25,0),CD$2)))))*ADRYr3!P25*ADRYr3!Q25*ADRYr3!U25)</f>
        <v/>
      </c>
      <c r="CE25" s="28" t="str">
        <f>IF($G25="","",$G25*(IF(ADRYr3!$AI25=CE$4,ADRYr3!$AJ25,IF(ADRYr3!$AK25=CE$4,ADRYr3!$AL25,IF(ADRYr3!$AM25=CE$4,ADRYr3!$AN25,0))))*(INDEX(avoidedcosttbl3,$H25,CE$2)+(($H25-ROUNDDOWN($H25,0))*(INDEX(avoidedcosttbl3,ROUNDUP($H25,0),CE$2)-(INDEX(avoidedcosttbl3,ROUNDDOWN($H25,0),CE$2)))))*ADRYr3!P25*ADRYr3!Q25*ADRYr3!U25)</f>
        <v/>
      </c>
      <c r="CF25" s="41" t="str">
        <f t="shared" si="72"/>
        <v/>
      </c>
      <c r="CG25" s="30" t="str">
        <f t="shared" si="10"/>
        <v/>
      </c>
      <c r="CH25" s="30" t="str">
        <f>IF($G25="","",$G25*(IF(ADRYr3!$AI25=BY$4,ADRYr3!$AJ25,IF(ADRYr3!$AK25=BY$4,ADRYr3!$AL25,IF(ADRYr3!$AM25=BY$4,ADRYr3!$AN25,0))))*(INDEX(avoidedcosttbl3,$H25,CH$2)+(($H25-ROUNDDOWN($H25,0))*(INDEX(avoidedcosttbl3,ROUNDUP($H25,0),CH$2)-(INDEX(avoidedcosttbl3,ROUNDDOWN($H25,0),CH$2)))))*ADRYr3!P25*ADRYr3!Q25*ADRYr3!U25)</f>
        <v/>
      </c>
      <c r="CI25" s="30" t="str">
        <f>IF($G25="","",$G25*(IF(ADRYr3!$AI25=BZ$4,ADRYr3!$AJ25,IF(ADRYr3!$AK25=BZ$4,ADRYr3!$AL25,IF(ADRYr3!$AM25=BZ$4,ADRYr3!$AN25,0))))*(INDEX(avoidedcosttbl3,$H25,CI$2)+(($H25-ROUNDDOWN($H25,0))*(INDEX(avoidedcosttbl3,ROUNDUP($H25,0),CI$2)-(INDEX(avoidedcosttbl3,ROUNDDOWN($H25,0),CI$2)))))*ADRYr3!P25*ADRYr3!Q25*ADRYr3!U25)</f>
        <v/>
      </c>
      <c r="CJ25" s="30" t="str">
        <f>IF($G25="","",$G25*(IF(ADRYr3!$AI25=CA$4,ADRYr3!$AJ25,IF(ADRYr3!$AK25=CA$4,ADRYr3!$AL25,IF(ADRYr3!$AM25=CA$4,ADRYr3!$AN25,0))))*(INDEX(avoidedcosttbl3,$H25,CJ$2)+(($H25-ROUNDDOWN($H25,0))*(INDEX(avoidedcosttbl3,ROUNDUP($H25,0),CJ$2)-(INDEX(avoidedcosttbl3,ROUNDDOWN($H25,0),CJ$2)))))*ADRYr3!P25*ADRYr3!Q25*ADRYr3!U25)</f>
        <v/>
      </c>
      <c r="CK25" s="30" t="str">
        <f>IF($G25="","",$G25*(IF(ADRYr3!$AI25=CB$4,ADRYr3!$AJ25,IF(ADRYr3!$AK25=CB$4,ADRYr3!$AL25,IF(ADRYr3!$AM25=CB$4,ADRYr3!$AN25,0))))*(INDEX(avoidedcosttbl3,$H25,CK$2)+(($H25-ROUNDDOWN($H25,0))*(INDEX(avoidedcosttbl3,ROUNDUP($H25,0),CK$2)-(INDEX(avoidedcosttbl3,ROUNDDOWN($H25,0),CK$2)))))*ADRYr3!P25*ADRYr3!Q25*ADRYr3!U25)</f>
        <v/>
      </c>
      <c r="CL25" s="30" t="str">
        <f>IF($G25="","",$G25*(IF(ADRYr3!$AI25=CC$4,ADRYr3!$AJ25,IF(ADRYr3!$AK25=CC$4,ADRYr3!$AL25,IF(ADRYr3!$AM25=CC$4,ADRYr3!$AN25,0))))*(INDEX(avoidedcosttbl3,$H25,CL$2)+(($H25-ROUNDDOWN($H25,0))*(INDEX(avoidedcosttbl3,ROUNDUP($H25,0),CL$2)-(INDEX(avoidedcosttbl3,ROUNDDOWN($H25,0),CL$2)))))*ADRYr3!P25*ADRYr3!Q25*ADRYr3!U25)</f>
        <v/>
      </c>
      <c r="CM25" s="30" t="str">
        <f>IF($G25="","",$G25*(IF(ADRYr3!$AI25=CD$4,ADRYr3!$AJ25,IF(ADRYr3!$AK25=CD$4,ADRYr3!$AL25,IF(ADRYr3!$AM25=CD$4,ADRYr3!$AN25,0))))*(INDEX(avoidedcosttbl3,$H25,CM$2)+(($H25-ROUNDDOWN($H25,0))*(INDEX(avoidedcosttbl3,ROUNDUP($H25,0),CM$2)-(INDEX(avoidedcosttbl3,ROUNDDOWN($H25,0),CM$2)))))*ADRYr3!P25*ADRYr3!Q25*ADRYr3!U25)</f>
        <v/>
      </c>
      <c r="CN25" s="30" t="str">
        <f>IF($G25="","",$G25*(IF(ADRYr3!$AI25=CE$4,ADRYr3!$AJ25,IF(ADRYr3!$AK25=CE$4,ADRYr3!$AL25,IF(ADRYr3!$AM25=CE$4,ADRYr3!$AN25,0))))*(INDEX(avoidedcosttbl3,$H25,CN$2)+(($H25-ROUNDDOWN($H25,0))*(INDEX(avoidedcosttbl3,ROUNDUP($H25,0),CN$2)-(INDEX(avoidedcosttbl3,ROUNDDOWN($H25,0),CN$2)))))*ADRYr3!P25*ADRYr3!Q25*ADRYr3!U25)</f>
        <v/>
      </c>
      <c r="CO25" s="220" t="str">
        <f t="shared" si="73"/>
        <v/>
      </c>
      <c r="CP25" s="220" t="str">
        <f t="shared" si="74"/>
        <v/>
      </c>
      <c r="CQ25" s="157" t="str">
        <f>IF($G25="","",$G25*(IF(ADRYr3!$AI25=CQ$4,ADRYr3!$AJ25,IF(ADRYr3!$AK25=CQ$4,ADRYr3!$AL25,IF(ADRYr3!$AM25=CQ$4,ADRYr3!$AN25,0))))*(INDEX(avoidedcosttbl3,$H25,CQ$2)+(($H25-ROUNDDOWN($H25,0))*(INDEX(avoidedcosttbl3,ROUNDUP($H25,0),CQ$2)-(INDEX(avoidedcosttbl3,ROUNDDOWN($H25,0),CQ$2)))))*ADRYr3!$P25*ADRYr3!$Q25*ADRYr3!$U25)</f>
        <v/>
      </c>
      <c r="CR25" s="28" t="str">
        <f>IF($G25="","",G25*(IF(ADRYr3!$AI25=CR$4,ADRYr3!$AJ25,IF(ADRYr3!$AK25=CR$4,ADRYr3!$AL25,IF(ADRYr3!$AM25=CR$4,ADRYr3!$AN25,0))))*(INDEX(avoidedcosttbl3,$H25,CR$2)+(($H25-ROUNDDOWN($H25,0))*(INDEX(avoidedcosttbl3,ROUNDUP($H25,0),CR$2)-(INDEX(avoidedcosttbl3,ROUNDDOWN($H25,0),CR$2)))))*ADRYr3!$P25*ADRYr3!$Q25*ADRYr3!$U25)</f>
        <v/>
      </c>
      <c r="CS25" s="28" t="str">
        <f>IF($G25="","",G25*(IF(ADRYr3!$AI25=CS$4,ADRYr3!$AJ25,IF(ADRYr3!$AK25=CS$4,ADRYr3!$AL25,IF(ADRYr3!$AM25=CS$4,ADRYr3!$AN25,0))))*(INDEX(avoidedcosttbl3,$H25,CS$2)+(($H25-ROUNDDOWN($H25,0))*(INDEX(avoidedcosttbl3,ROUNDUP($H25,0),CS$2)-(INDEX(avoidedcosttbl3,ROUNDDOWN($H25,0),CS$2)))))*ADRYr3!$P25*ADRYr3!$Q25*ADRYr3!$U25)</f>
        <v/>
      </c>
      <c r="CT25" s="28" t="str">
        <f t="shared" si="11"/>
        <v/>
      </c>
      <c r="CU25" s="28" t="str">
        <f>IF($G25="","",G25*(IF(ADRYr3!$AI25=CU$4,ADRYr3!$AJ25,IF(ADRYr3!$AK25=CU$4,ADRYr3!$AL25,IF(ADRYr3!$AM25=CU$4,ADRYr3!$AN25,0))))*(INDEX(avoidedcosttbl3,$H25,CU$2)+(($H25-ROUNDDOWN($H25,0))*(INDEX(avoidedcosttbl3,ROUNDUP($H25,0),CU$2)-(INDEX(avoidedcosttbl3,ROUNDDOWN($H25,0),CU$2)))))*ADRYr3!$P25*ADRYr3!$Q25*ADRYr3!$U25)</f>
        <v/>
      </c>
      <c r="CV25" s="28" t="str">
        <f>IF($G25="","",G25*(IF(ADRYr3!$AI25=CV$4,ADRYr3!$AJ25,IF(ADRYr3!$AK25=CV$4,ADRYr3!$AL25,IF(ADRYr3!$AM25=CV$4,ADRYr3!$AN25,0))))*(INDEX(avoidedcosttbl3,$H25,CV$2)+(($H25-ROUNDDOWN($H25,0))*(INDEX(avoidedcosttbl3,ROUNDUP($H25,0),CV$2)-(INDEX(avoidedcosttbl3,ROUNDDOWN($H25,0),CV$2)))))*ADRYr3!$P25*ADRYr3!$Q25*ADRYr3!$U25)</f>
        <v/>
      </c>
      <c r="CW25" s="28" t="str">
        <f>IF($G25="","",G25*(IF(ADRYr3!$AI25=CW$4,ADRYr3!$AJ25,IF(ADRYr3!$AK25=CW$4,ADRYr3!$AL25,IF(ADRYr3!$AM25=CW$4,ADRYr3!$AN25,0))))*(INDEX(avoidedcosttbl3,$H25,CW$2)+(($H25-ROUNDDOWN($H25,0))*(INDEX(avoidedcosttbl3,ROUNDUP($H25,0),CW$2)-(INDEX(avoidedcosttbl3,ROUNDDOWN($H25,0),CW$2)))))*ADRYr3!$P25*ADRYr3!$Q25*ADRYr3!$U25)</f>
        <v/>
      </c>
      <c r="CX25" s="28" t="str">
        <f>IF($G25="","",G25*(IF(ADRYr3!$AI25=CX$4,ADRYr3!$AJ25,IF(ADRYr3!$AK25=CX$4,ADRYr3!$AL25,IF(ADRYr3!$AM25=CX$4,ADRYr3!$AN25,0))))*(INDEX(avoidedcosttbl3,$H25,CX$2)+(($H25-ROUNDDOWN($H25,0))*(INDEX(avoidedcosttbl3,ROUNDUP($H25,0),CX$2)-(INDEX(avoidedcosttbl3,ROUNDDOWN($H25,0),CX$2)))))*ADRYr3!$P25*ADRYr3!$Q25*ADRYr3!$U25)</f>
        <v/>
      </c>
      <c r="CY25" s="28" t="str">
        <f t="shared" si="75"/>
        <v/>
      </c>
      <c r="CZ25" s="32" t="str">
        <f t="shared" si="76"/>
        <v/>
      </c>
      <c r="DA25" s="84" t="str">
        <f t="shared" si="77"/>
        <v/>
      </c>
      <c r="DB25" s="81" t="str">
        <f>IF(NEIadder="Yes",IF($G25="","",INDEX(Lookups!$G$70:$G$71,MATCH($A25,Lookups!$E$70:$E$71,0))*(SUM(CP25:CX25,BX25))),"")</f>
        <v/>
      </c>
      <c r="DC25" s="263" t="str">
        <f t="shared" si="78"/>
        <v/>
      </c>
      <c r="DD25" s="166" t="str">
        <f t="shared" si="79"/>
        <v/>
      </c>
      <c r="DE25" s="82">
        <f t="shared" si="80"/>
        <v>0</v>
      </c>
      <c r="DF25" s="615" t="str">
        <f>IF($G25="","",(1+WntPeakEnergyLL)*(INDEX(avoidedcosttbl3,$H25,DF$2)+(($H25-ROUNDDOWN($H25,0))*(INDEX(avoidedcosttbl3,ROUNDUP($H25,0),DF$2)-(INDEX(avoidedcosttbl3,ROUNDDOWN($H25,0),DF$2)))))*$P25*1000*ADRYr3!Z25)</f>
        <v/>
      </c>
      <c r="DG25" s="615" t="str">
        <f>IF($G25="","",(1+WntOffPeakEnergyLL)*(INDEX(avoidedcosttbl3,$H25,DG$2)+(($H25-ROUNDDOWN($H25,0))*(INDEX(avoidedcosttbl3,ROUNDUP($H25,0),DG$2)-(INDEX(avoidedcosttbl3,ROUNDDOWN($H25,0),DG$2)))))*$P25*1000*ADRYr3!AA25)</f>
        <v/>
      </c>
      <c r="DH25" s="615" t="str">
        <f>IF($G25="","",(1+SumPeakEnergyLL)*(INDEX(avoidedcosttbl3,$H25,DH$2)+(($H25-ROUNDDOWN($H25,0))*(INDEX(avoidedcosttbl3,ROUNDUP($H25,0),DH$2)-(INDEX(avoidedcosttbl3,ROUNDDOWN($H25,0),DH$2)))))*$P25*1000*ADRYr3!AB25)</f>
        <v/>
      </c>
      <c r="DI25" s="615" t="str">
        <f>IF($G25="","",(1+SumOffPeakEnergyLL)*(INDEX(avoidedcosttbl3,$H25,DI$2)+(($H25-ROUNDDOWN($H25,0))*(INDEX(avoidedcosttbl3,ROUNDUP($H25,0),DI$2)-(INDEX(avoidedcosttbl3,ROUNDDOWN($H25,0),DI$2)))))*$P25*1000*ADRYr3!AC25)</f>
        <v/>
      </c>
      <c r="DJ25" s="29" t="str">
        <f t="shared" si="81"/>
        <v/>
      </c>
      <c r="DK25" s="161" t="str">
        <f t="shared" si="45"/>
        <v/>
      </c>
      <c r="DL25" s="1189" t="str">
        <f t="shared" si="46"/>
        <v/>
      </c>
      <c r="DM25" s="1189" t="str">
        <f t="shared" si="47"/>
        <v/>
      </c>
      <c r="DN25" s="43" t="str">
        <f t="shared" si="48"/>
        <v/>
      </c>
      <c r="DO25" s="966" t="str">
        <f>IF($G25="","",ADRYr3!AQ25)</f>
        <v/>
      </c>
      <c r="DP25" s="968" t="str">
        <f>IF($G25="","",ADRYr3!AR25)</f>
        <v/>
      </c>
      <c r="DQ25" s="970" t="str">
        <f>IF($G25="","",IF($DP25="Yes",COLUMN(AESC!$L$10),IF($DP25="No","Using AvoidedDemand tab",IF($DP25="Mixed",COLUMN(AESC!$N$10)))))</f>
        <v/>
      </c>
      <c r="DR25" s="970" t="str">
        <f>IF($G25="","",IF($DP25="Yes",COLUMN(AESC!$P$10),IF($DP25="No","Using AvoidedDemand tab",IF($DP25="Mixed",COLUMN(AESC!$R$10)))))</f>
        <v/>
      </c>
      <c r="DS25" s="970" t="str">
        <f>IF($G25="","",IF($DP25="Yes",COLUMN(AESC!$S$10),IF($DP25="No",COLUMN(AESC!$T$10),IF($DP25="Mixed",COLUMN(AESC!$U$10)))))</f>
        <v/>
      </c>
      <c r="DT25" s="970" t="str">
        <f t="shared" si="49"/>
        <v/>
      </c>
      <c r="DU25" s="970" t="str">
        <f>IF($G25="","",ADRYr3!AS25)</f>
        <v/>
      </c>
      <c r="DV25" s="971" t="str">
        <f>IF($G25="","",ADRYr3!AT25)</f>
        <v/>
      </c>
      <c r="DW25" s="1162" t="str">
        <f>IF($G25="","",INDEX(AvoidedEnergy!$H$4:$H$10,MATCH($DO25,AvoidedEnergy!$A$4:$A$10,0)))</f>
        <v/>
      </c>
    </row>
    <row r="26" spans="1:127">
      <c r="A26" s="160" t="str">
        <f>IF(ADRYr3!$B26=0,"",ADRYr3!A26)</f>
        <v>B - Low-Income</v>
      </c>
      <c r="B26" s="9" t="str">
        <f>IF(ADRYr3!$B26=0,"",ADRYr3!B26)</f>
        <v>Home Energy Assistance</v>
      </c>
      <c r="C26" s="9" t="str">
        <f>IF(ADRYr3!$B26=0,"",ADRYr3!C26)</f>
        <v>Res Demand Response</v>
      </c>
      <c r="D26" s="9" t="str">
        <f>IF(ADRYr3!$B26=0,"",ADRYr3!D26)</f>
        <v>Storage Targeted Dispatch P4P (consumption) Winter</v>
      </c>
      <c r="E26" s="9">
        <f>IF(ADRYr3!$B26=0,"",ADRYr3!E26)</f>
        <v>0</v>
      </c>
      <c r="F26" s="11" t="str">
        <f>IF(ADRYr3!$B26=0,"",ADRYr3!F26)</f>
        <v>Behavior</v>
      </c>
      <c r="G26" s="12" t="str">
        <f>IF(ADRYr3!$G26&lt;&gt;0,ADRYr3!G26,"")</f>
        <v/>
      </c>
      <c r="H26" s="960" t="str">
        <f>IF($G26="","",ROUND(ADRYr3!H26,0))</f>
        <v/>
      </c>
      <c r="I26" s="47" t="str">
        <f>IF($G26="","",ADRYr3!I26*ADRYr3!P26*G26)</f>
        <v/>
      </c>
      <c r="J26" s="47" t="str">
        <f>IF($G26="","",ADRYr3!J26*G26)</f>
        <v/>
      </c>
      <c r="K26" s="47" t="str">
        <f t="shared" si="50"/>
        <v/>
      </c>
      <c r="L26" s="27" t="str">
        <f>IF($G26="","",ADRYr3!V26*G26/1000)</f>
        <v/>
      </c>
      <c r="M26" s="27" t="str">
        <f>IF($G26="","",L26*ADRYr3!$Q26*ADRYr3!$R26)</f>
        <v/>
      </c>
      <c r="N26" s="27" t="str">
        <f t="shared" si="51"/>
        <v/>
      </c>
      <c r="O26" s="27" t="str">
        <f t="shared" si="52"/>
        <v/>
      </c>
      <c r="P26" s="27" t="str">
        <f>IF($G26="","",M26*ADRYr3!P26)</f>
        <v/>
      </c>
      <c r="Q26" s="27" t="str">
        <f t="shared" si="53"/>
        <v/>
      </c>
      <c r="R26" s="27" t="str">
        <f>IF($G26="","",$Q26*ADRYr3!Z26)</f>
        <v/>
      </c>
      <c r="S26" s="27" t="str">
        <f>IF($G26="","",$Q26*ADRYr3!AA26)</f>
        <v/>
      </c>
      <c r="T26" s="27" t="str">
        <f>IF($G26="","",$Q26*ADRYr3!AB26)</f>
        <v/>
      </c>
      <c r="U26" s="27" t="str">
        <f>IF($G26="","",$Q26*ADRYr3!AC26)</f>
        <v/>
      </c>
      <c r="V26" s="27" t="str">
        <f>IF($G26="","",G26*ADRYr3!$AD26*ADRYr3!$P26*ADRYr3!$Q26)</f>
        <v/>
      </c>
      <c r="W26" s="27" t="str">
        <f>IF($G26="","",$G26*ADRYr3!$AD26*ADRYr3!$AF26*ADRYr3!Q26*ADRYr3!$S26)</f>
        <v/>
      </c>
      <c r="X26" s="27" t="str">
        <f>IF($G26="","",$G26*ADRYr3!$AD26*ADRYr3!$AF26*ADRYr3!P26*ADRYr3!Q26*ADRYr3!$S26)</f>
        <v/>
      </c>
      <c r="Y26" s="27" t="str">
        <f>IF($G26="","",$G26*ADRYr3!$AD26*ADRYr3!$AE26*ADRYr3!Q26*ADRYr3!$T26)</f>
        <v/>
      </c>
      <c r="Z26" s="27" t="str">
        <f>IF($G26="","",$G26*ADRYr3!$AD26*ADRYr3!$AE26*ADRYr3!P26*ADRYr3!Q26*ADRYr3!$T26)</f>
        <v/>
      </c>
      <c r="AA26" s="45" t="str">
        <f>IF($G26="","",$G26*ADRYr3!$Q26*ADRYr3!$U26*(IF(IFERROR(SEARCH("NG", ADRYr3!$AI26),0),ADRYr3!$AJ26,0)+IF(IFERROR(SEARCH("NG", ADRYr3!$AK26),0),ADRYr3!$AL26,0)+IF(IFERROR(SEARCH("NG", ADRYr3!$AM26),0),ADRYr3!$AN26,0)))</f>
        <v/>
      </c>
      <c r="AB26" s="45" t="str">
        <f t="shared" si="54"/>
        <v/>
      </c>
      <c r="AC26" s="45">
        <f>IF($G26="",0,AA26*ADRYr3!$P26)</f>
        <v>0</v>
      </c>
      <c r="AD26" s="45" t="str">
        <f t="shared" si="55"/>
        <v/>
      </c>
      <c r="AE26" s="45" t="str">
        <f>IF($G26="","",$G26*ADRYr3!$Q26*ADRYr3!$U26*(IF(IFERROR(SEARCH("Oil", ADRYr3!$AI26), 0),ADRYr3!$AJ26,0)+IF(IFERROR(SEARCH("Oil", ADRYr3!$AK26), 0),ADRYr3!$AL26,0)+IF(IFERROR(SEARCH("Oil", ADRYr3!$AM26), 0),ADRYr3!$AN26,0)))</f>
        <v/>
      </c>
      <c r="AF26" s="45" t="str">
        <f t="shared" si="56"/>
        <v/>
      </c>
      <c r="AG26" s="45">
        <f>IF($G26="",0,AE26*ADRYr3!$P26)</f>
        <v>0</v>
      </c>
      <c r="AH26" s="45" t="str">
        <f t="shared" si="57"/>
        <v/>
      </c>
      <c r="AI26" s="45" t="str">
        <f>IF($G26="","",$G26*ADRYr3!$Q26*ADRYr3!$U26*(IF(ADRYr3!$AI26=Lookups!$E$116,ADRYr3!$AJ26,IF(ADRYr3!$AK26=Lookups!$E$116,ADRYr3!$AL26,IF(ADRYr3!$AM26=Lookups!$E$116,ADRYr3!$AN26,0)))))</f>
        <v/>
      </c>
      <c r="AJ26" s="45" t="str">
        <f t="shared" si="58"/>
        <v/>
      </c>
      <c r="AK26" s="45">
        <f>IF($G26="",0,AI26*ADRYr3!$P26)</f>
        <v>0</v>
      </c>
      <c r="AL26" s="45" t="str">
        <f t="shared" si="59"/>
        <v/>
      </c>
      <c r="AM26" s="45" t="str">
        <f>IF($G26="","",$G26*ADRYr3!$Q26*ADRYr3!$U26*(IF(ADRYr3!$AI26=Lookups!$E$115,ADRYr3!$AJ26,IF(ADRYr3!$AK26=Lookups!$E$115,ADRYr3!$AL26,IF(ADRYr3!$AM26=Lookups!$E$115,ADRYr3!$AN26,0)))))</f>
        <v/>
      </c>
      <c r="AN26" s="45" t="str">
        <f t="shared" si="60"/>
        <v/>
      </c>
      <c r="AO26" s="45">
        <f>IF($G26="",0,AM26*ADRYr3!$P26)</f>
        <v>0</v>
      </c>
      <c r="AP26" s="45" t="str">
        <f t="shared" si="61"/>
        <v/>
      </c>
      <c r="AQ26" s="45" t="str">
        <f>IF($G26="","",$G26*ADRYr3!$Q26*ADRYr3!$U26*(IF(ADRYr3!$AI26=Lookups!$E$117,ADRYr3!$AJ26,IF(ADRYr3!$AK26=Lookups!$E$117,ADRYr3!$AL26,IF(ADRYr3!$AM26=Lookups!$E$117,ADRYr3!$AN26,0)))))</f>
        <v/>
      </c>
      <c r="AR26" s="45" t="str">
        <f t="shared" si="62"/>
        <v/>
      </c>
      <c r="AS26" s="45" t="str">
        <f>IF($G26="","",AQ26*ADRYr3!$P26)</f>
        <v/>
      </c>
      <c r="AT26" s="45" t="str">
        <f t="shared" si="63"/>
        <v/>
      </c>
      <c r="AU26" s="45" t="str">
        <f>IF($G26="","",$G26*ADRYr3!$Q26*ADRYr3!$U26*(IF(ADRYr3!$AI26=Lookups!$E$118,ADRYr3!$AJ26,IF(ADRYr3!$AK26=Lookups!$E$118,ADRYr3!$AL26,IF(ADRYr3!$AM26=Lookups!$E$118,ADRYr3!$AN26,0)))))</f>
        <v/>
      </c>
      <c r="AV26" s="45" t="str">
        <f t="shared" si="64"/>
        <v/>
      </c>
      <c r="AW26" s="45" t="str">
        <f>IF($G26="","",AU26*ADRYr3!$P26)</f>
        <v/>
      </c>
      <c r="AX26" s="45" t="str">
        <f t="shared" si="65"/>
        <v/>
      </c>
      <c r="AY26" s="45">
        <f t="shared" si="66"/>
        <v>0</v>
      </c>
      <c r="AZ26" s="45">
        <f t="shared" si="67"/>
        <v>0</v>
      </c>
      <c r="BA26" s="101" t="str">
        <f>IF($G26="","",$G26*ADRYr3!$P26*ADRYr3!$Q26*ADRYr3!$U26*ADRYr3!AO26)</f>
        <v/>
      </c>
      <c r="BB26" s="102" t="str">
        <f>IF($G26="","",$G26*ADRYr3!$P26*ADRYr3!$Q26*ADRYr3!$U26*ADRYr3!AP26)</f>
        <v/>
      </c>
      <c r="BC26" s="100" t="str">
        <f t="shared" si="68"/>
        <v/>
      </c>
      <c r="BD26" s="961"/>
      <c r="BE26" s="961"/>
      <c r="BF26" s="961"/>
      <c r="BG26" s="961"/>
      <c r="BH26" s="962" t="str">
        <f t="shared" si="3"/>
        <v/>
      </c>
      <c r="BI26" s="961"/>
      <c r="BJ26" s="961"/>
      <c r="BK26" s="961"/>
      <c r="BL26" s="961"/>
      <c r="BM26" s="30" t="str">
        <f t="shared" si="4"/>
        <v/>
      </c>
      <c r="BN26" s="963" t="str">
        <f t="shared" si="31"/>
        <v/>
      </c>
      <c r="BO26" s="31" t="str">
        <f t="shared" si="69"/>
        <v/>
      </c>
      <c r="BP26" s="964" t="str">
        <f t="shared" si="5"/>
        <v/>
      </c>
      <c r="BQ26" s="28" t="str">
        <f t="shared" si="6"/>
        <v/>
      </c>
      <c r="BR26" s="964" t="str">
        <f t="shared" si="7"/>
        <v/>
      </c>
      <c r="BS26" s="964" t="str">
        <f t="shared" si="8"/>
        <v/>
      </c>
      <c r="BT26" s="28" t="str">
        <f t="shared" si="82"/>
        <v/>
      </c>
      <c r="BU26" s="28" t="str">
        <f t="shared" si="82"/>
        <v/>
      </c>
      <c r="BV26" s="28" t="str">
        <f t="shared" si="82"/>
        <v/>
      </c>
      <c r="BW26" s="29" t="str">
        <f t="shared" si="70"/>
        <v/>
      </c>
      <c r="BX26" s="29" t="str">
        <f t="shared" si="71"/>
        <v/>
      </c>
      <c r="BY26" s="28" t="str">
        <f>IF($G26="","",$G26*(IF(ADRYr3!$AI26=BY$4,ADRYr3!$AJ26,IF(ADRYr3!$AK26=BY$4,ADRYr3!$AL26,IF(ADRYr3!$AM26=BY$4,ADRYr3!$AN26,0))))*(INDEX(avoidedcosttbl3,$H26,BY$2)+(($H26-ROUNDDOWN($H26,0))*(INDEX(avoidedcosttbl3,ROUNDUP($H26,0),BY$2)-(INDEX(avoidedcosttbl3,ROUNDDOWN($H26,0),BY$2)))))*ADRYr3!P26*ADRYr3!Q26*ADRYr3!U26)</f>
        <v/>
      </c>
      <c r="BZ26" s="28" t="str">
        <f>IF($G26="","",$G26*(IF(ADRYr3!$AI26=BZ$4,ADRYr3!$AJ26,IF(ADRYr3!$AK26=BZ$4,ADRYr3!$AL26,IF(ADRYr3!$AM26=BZ$4,ADRYr3!$AN26,0))))*(INDEX(avoidedcosttbl3,$H26,BZ$2)+(($H26-ROUNDDOWN($H26,0))*(INDEX(avoidedcosttbl3,ROUNDUP($H26,0),BZ$2)-(INDEX(avoidedcosttbl3,ROUNDDOWN($H26,0),BZ$2)))))*ADRYr3!P26*ADRYr3!Q26*ADRYr3!U26)</f>
        <v/>
      </c>
      <c r="CA26" s="28" t="str">
        <f>IF($G26="","",$G26*(IF(ADRYr3!$AI26=CA$4,ADRYr3!$AJ26,IF(ADRYr3!$AK26=CA$4,ADRYr3!$AL26,IF(ADRYr3!$AM26=CA$4,ADRYr3!$AN26,0))))*(INDEX(avoidedcosttbl3,$H26,CA$2)+(($H26-ROUNDDOWN($H26,0))*(INDEX(avoidedcosttbl3,ROUNDUP($H26,0),CA$2)-(INDEX(avoidedcosttbl3,ROUNDDOWN($H26,0),CA$2)))))*ADRYr3!P26*ADRYr3!Q26*ADRYr3!U26)</f>
        <v/>
      </c>
      <c r="CB26" s="28" t="str">
        <f>IF($G26="","",$G26*(IF(ADRYr3!$AI26=CB$4,ADRYr3!$AJ26,IF(ADRYr3!$AK26=CB$4,ADRYr3!$AL26,IF(ADRYr3!$AM26=CB$4,ADRYr3!$AN26,0))))*(INDEX(avoidedcosttbl3,$H26,CB$2)+(($H26-ROUNDDOWN($H26,0))*(INDEX(avoidedcosttbl3,ROUNDUP($H26,0),CB$2)-(INDEX(avoidedcosttbl3,ROUNDDOWN($H26,0),CB$2)))))*ADRYr3!P26*ADRYr3!Q26*ADRYr3!U26)</f>
        <v/>
      </c>
      <c r="CC26" s="28" t="str">
        <f>IF($G26="","",$G26*(IF(ADRYr3!$AI26=CC$4,ADRYr3!$AJ26,IF(ADRYr3!$AK26=CC$4,ADRYr3!$AL26,IF(ADRYr3!$AM26=CC$4,ADRYr3!$AN26,0))))*(INDEX(avoidedcosttbl3,$H26,CC$2)+(($H26-ROUNDDOWN($H26,0))*(INDEX(avoidedcosttbl3,ROUNDUP($H26,0),CC$2)-(INDEX(avoidedcosttbl3,ROUNDDOWN($H26,0),CC$2)))))*ADRYr3!P26*ADRYr3!Q26*ADRYr3!U26)</f>
        <v/>
      </c>
      <c r="CD26" s="28" t="str">
        <f>IF($G26="","",$G26*(IF(ADRYr3!$AI26=CD$4,ADRYr3!$AJ26,IF(ADRYr3!$AK26=CD$4,ADRYr3!$AL26,IF(ADRYr3!$AM26=CD$4,ADRYr3!$AN26,0))))*(INDEX(avoidedcosttbl3,$H26,CD$2)+(($H26-ROUNDDOWN($H26,0))*(INDEX(avoidedcosttbl3,ROUNDUP($H26,0),CD$2)-(INDEX(avoidedcosttbl3,ROUNDDOWN($H26,0),CD$2)))))*ADRYr3!P26*ADRYr3!Q26*ADRYr3!U26)</f>
        <v/>
      </c>
      <c r="CE26" s="28" t="str">
        <f>IF($G26="","",$G26*(IF(ADRYr3!$AI26=CE$4,ADRYr3!$AJ26,IF(ADRYr3!$AK26=CE$4,ADRYr3!$AL26,IF(ADRYr3!$AM26=CE$4,ADRYr3!$AN26,0))))*(INDEX(avoidedcosttbl3,$H26,CE$2)+(($H26-ROUNDDOWN($H26,0))*(INDEX(avoidedcosttbl3,ROUNDUP($H26,0),CE$2)-(INDEX(avoidedcosttbl3,ROUNDDOWN($H26,0),CE$2)))))*ADRYr3!P26*ADRYr3!Q26*ADRYr3!U26)</f>
        <v/>
      </c>
      <c r="CF26" s="41" t="str">
        <f t="shared" si="72"/>
        <v/>
      </c>
      <c r="CG26" s="30" t="str">
        <f t="shared" si="10"/>
        <v/>
      </c>
      <c r="CH26" s="30" t="str">
        <f>IF($G26="","",$G26*(IF(ADRYr3!$AI26=BY$4,ADRYr3!$AJ26,IF(ADRYr3!$AK26=BY$4,ADRYr3!$AL26,IF(ADRYr3!$AM26=BY$4,ADRYr3!$AN26,0))))*(INDEX(avoidedcosttbl3,$H26,CH$2)+(($H26-ROUNDDOWN($H26,0))*(INDEX(avoidedcosttbl3,ROUNDUP($H26,0),CH$2)-(INDEX(avoidedcosttbl3,ROUNDDOWN($H26,0),CH$2)))))*ADRYr3!P26*ADRYr3!Q26*ADRYr3!U26)</f>
        <v/>
      </c>
      <c r="CI26" s="30" t="str">
        <f>IF($G26="","",$G26*(IF(ADRYr3!$AI26=BZ$4,ADRYr3!$AJ26,IF(ADRYr3!$AK26=BZ$4,ADRYr3!$AL26,IF(ADRYr3!$AM26=BZ$4,ADRYr3!$AN26,0))))*(INDEX(avoidedcosttbl3,$H26,CI$2)+(($H26-ROUNDDOWN($H26,0))*(INDEX(avoidedcosttbl3,ROUNDUP($H26,0),CI$2)-(INDEX(avoidedcosttbl3,ROUNDDOWN($H26,0),CI$2)))))*ADRYr3!P26*ADRYr3!Q26*ADRYr3!U26)</f>
        <v/>
      </c>
      <c r="CJ26" s="30" t="str">
        <f>IF($G26="","",$G26*(IF(ADRYr3!$AI26=CA$4,ADRYr3!$AJ26,IF(ADRYr3!$AK26=CA$4,ADRYr3!$AL26,IF(ADRYr3!$AM26=CA$4,ADRYr3!$AN26,0))))*(INDEX(avoidedcosttbl3,$H26,CJ$2)+(($H26-ROUNDDOWN($H26,0))*(INDEX(avoidedcosttbl3,ROUNDUP($H26,0),CJ$2)-(INDEX(avoidedcosttbl3,ROUNDDOWN($H26,0),CJ$2)))))*ADRYr3!P26*ADRYr3!Q26*ADRYr3!U26)</f>
        <v/>
      </c>
      <c r="CK26" s="30" t="str">
        <f>IF($G26="","",$G26*(IF(ADRYr3!$AI26=CB$4,ADRYr3!$AJ26,IF(ADRYr3!$AK26=CB$4,ADRYr3!$AL26,IF(ADRYr3!$AM26=CB$4,ADRYr3!$AN26,0))))*(INDEX(avoidedcosttbl3,$H26,CK$2)+(($H26-ROUNDDOWN($H26,0))*(INDEX(avoidedcosttbl3,ROUNDUP($H26,0),CK$2)-(INDEX(avoidedcosttbl3,ROUNDDOWN($H26,0),CK$2)))))*ADRYr3!P26*ADRYr3!Q26*ADRYr3!U26)</f>
        <v/>
      </c>
      <c r="CL26" s="30" t="str">
        <f>IF($G26="","",$G26*(IF(ADRYr3!$AI26=CC$4,ADRYr3!$AJ26,IF(ADRYr3!$AK26=CC$4,ADRYr3!$AL26,IF(ADRYr3!$AM26=CC$4,ADRYr3!$AN26,0))))*(INDEX(avoidedcosttbl3,$H26,CL$2)+(($H26-ROUNDDOWN($H26,0))*(INDEX(avoidedcosttbl3,ROUNDUP($H26,0),CL$2)-(INDEX(avoidedcosttbl3,ROUNDDOWN($H26,0),CL$2)))))*ADRYr3!P26*ADRYr3!Q26*ADRYr3!U26)</f>
        <v/>
      </c>
      <c r="CM26" s="30" t="str">
        <f>IF($G26="","",$G26*(IF(ADRYr3!$AI26=CD$4,ADRYr3!$AJ26,IF(ADRYr3!$AK26=CD$4,ADRYr3!$AL26,IF(ADRYr3!$AM26=CD$4,ADRYr3!$AN26,0))))*(INDEX(avoidedcosttbl3,$H26,CM$2)+(($H26-ROUNDDOWN($H26,0))*(INDEX(avoidedcosttbl3,ROUNDUP($H26,0),CM$2)-(INDEX(avoidedcosttbl3,ROUNDDOWN($H26,0),CM$2)))))*ADRYr3!P26*ADRYr3!Q26*ADRYr3!U26)</f>
        <v/>
      </c>
      <c r="CN26" s="30" t="str">
        <f>IF($G26="","",$G26*(IF(ADRYr3!$AI26=CE$4,ADRYr3!$AJ26,IF(ADRYr3!$AK26=CE$4,ADRYr3!$AL26,IF(ADRYr3!$AM26=CE$4,ADRYr3!$AN26,0))))*(INDEX(avoidedcosttbl3,$H26,CN$2)+(($H26-ROUNDDOWN($H26,0))*(INDEX(avoidedcosttbl3,ROUNDUP($H26,0),CN$2)-(INDEX(avoidedcosttbl3,ROUNDDOWN($H26,0),CN$2)))))*ADRYr3!P26*ADRYr3!Q26*ADRYr3!U26)</f>
        <v/>
      </c>
      <c r="CO26" s="220" t="str">
        <f t="shared" si="73"/>
        <v/>
      </c>
      <c r="CP26" s="220" t="str">
        <f t="shared" si="74"/>
        <v/>
      </c>
      <c r="CQ26" s="157" t="str">
        <f>IF($G26="","",$G26*(IF(ADRYr3!$AI26=CQ$4,ADRYr3!$AJ26,IF(ADRYr3!$AK26=CQ$4,ADRYr3!$AL26,IF(ADRYr3!$AM26=CQ$4,ADRYr3!$AN26,0))))*(INDEX(avoidedcosttbl3,$H26,CQ$2)+(($H26-ROUNDDOWN($H26,0))*(INDEX(avoidedcosttbl3,ROUNDUP($H26,0),CQ$2)-(INDEX(avoidedcosttbl3,ROUNDDOWN($H26,0),CQ$2)))))*ADRYr3!$P26*ADRYr3!$Q26*ADRYr3!$U26)</f>
        <v/>
      </c>
      <c r="CR26" s="28" t="str">
        <f>IF($G26="","",G26*(IF(ADRYr3!$AI26=CR$4,ADRYr3!$AJ26,IF(ADRYr3!$AK26=CR$4,ADRYr3!$AL26,IF(ADRYr3!$AM26=CR$4,ADRYr3!$AN26,0))))*(INDEX(avoidedcosttbl3,$H26,CR$2)+(($H26-ROUNDDOWN($H26,0))*(INDEX(avoidedcosttbl3,ROUNDUP($H26,0),CR$2)-(INDEX(avoidedcosttbl3,ROUNDDOWN($H26,0),CR$2)))))*ADRYr3!$P26*ADRYr3!$Q26*ADRYr3!$U26)</f>
        <v/>
      </c>
      <c r="CS26" s="28" t="str">
        <f>IF($G26="","",G26*(IF(ADRYr3!$AI26=CS$4,ADRYr3!$AJ26,IF(ADRYr3!$AK26=CS$4,ADRYr3!$AL26,IF(ADRYr3!$AM26=CS$4,ADRYr3!$AN26,0))))*(INDEX(avoidedcosttbl3,$H26,CS$2)+(($H26-ROUNDDOWN($H26,0))*(INDEX(avoidedcosttbl3,ROUNDUP($H26,0),CS$2)-(INDEX(avoidedcosttbl3,ROUNDDOWN($H26,0),CS$2)))))*ADRYr3!$P26*ADRYr3!$Q26*ADRYr3!$U26)</f>
        <v/>
      </c>
      <c r="CT26" s="28" t="str">
        <f t="shared" si="11"/>
        <v/>
      </c>
      <c r="CU26" s="28" t="str">
        <f>IF($G26="","",G26*(IF(ADRYr3!$AI26=CU$4,ADRYr3!$AJ26,IF(ADRYr3!$AK26=CU$4,ADRYr3!$AL26,IF(ADRYr3!$AM26=CU$4,ADRYr3!$AN26,0))))*(INDEX(avoidedcosttbl3,$H26,CU$2)+(($H26-ROUNDDOWN($H26,0))*(INDEX(avoidedcosttbl3,ROUNDUP($H26,0),CU$2)-(INDEX(avoidedcosttbl3,ROUNDDOWN($H26,0),CU$2)))))*ADRYr3!$P26*ADRYr3!$Q26*ADRYr3!$U26)</f>
        <v/>
      </c>
      <c r="CV26" s="28" t="str">
        <f>IF($G26="","",G26*(IF(ADRYr3!$AI26=CV$4,ADRYr3!$AJ26,IF(ADRYr3!$AK26=CV$4,ADRYr3!$AL26,IF(ADRYr3!$AM26=CV$4,ADRYr3!$AN26,0))))*(INDEX(avoidedcosttbl3,$H26,CV$2)+(($H26-ROUNDDOWN($H26,0))*(INDEX(avoidedcosttbl3,ROUNDUP($H26,0),CV$2)-(INDEX(avoidedcosttbl3,ROUNDDOWN($H26,0),CV$2)))))*ADRYr3!$P26*ADRYr3!$Q26*ADRYr3!$U26)</f>
        <v/>
      </c>
      <c r="CW26" s="28" t="str">
        <f>IF($G26="","",G26*(IF(ADRYr3!$AI26=CW$4,ADRYr3!$AJ26,IF(ADRYr3!$AK26=CW$4,ADRYr3!$AL26,IF(ADRYr3!$AM26=CW$4,ADRYr3!$AN26,0))))*(INDEX(avoidedcosttbl3,$H26,CW$2)+(($H26-ROUNDDOWN($H26,0))*(INDEX(avoidedcosttbl3,ROUNDUP($H26,0),CW$2)-(INDEX(avoidedcosttbl3,ROUNDDOWN($H26,0),CW$2)))))*ADRYr3!$P26*ADRYr3!$Q26*ADRYr3!$U26)</f>
        <v/>
      </c>
      <c r="CX26" s="28" t="str">
        <f>IF($G26="","",G26*(IF(ADRYr3!$AI26=CX$4,ADRYr3!$AJ26,IF(ADRYr3!$AK26=CX$4,ADRYr3!$AL26,IF(ADRYr3!$AM26=CX$4,ADRYr3!$AN26,0))))*(INDEX(avoidedcosttbl3,$H26,CX$2)+(($H26-ROUNDDOWN($H26,0))*(INDEX(avoidedcosttbl3,ROUNDUP($H26,0),CX$2)-(INDEX(avoidedcosttbl3,ROUNDDOWN($H26,0),CX$2)))))*ADRYr3!$P26*ADRYr3!$Q26*ADRYr3!$U26)</f>
        <v/>
      </c>
      <c r="CY26" s="28" t="str">
        <f t="shared" si="75"/>
        <v/>
      </c>
      <c r="CZ26" s="32" t="str">
        <f t="shared" si="76"/>
        <v/>
      </c>
      <c r="DA26" s="84" t="str">
        <f t="shared" si="77"/>
        <v/>
      </c>
      <c r="DB26" s="81" t="str">
        <f>IF(NEIadder="Yes",IF($G26="","",INDEX(Lookups!$G$70:$G$71,MATCH($A26,Lookups!$E$70:$E$71,0))*(SUM(CP26:CX26,BX26))),"")</f>
        <v/>
      </c>
      <c r="DC26" s="263" t="str">
        <f t="shared" si="78"/>
        <v/>
      </c>
      <c r="DD26" s="166" t="str">
        <f t="shared" si="79"/>
        <v/>
      </c>
      <c r="DE26" s="82">
        <f t="shared" si="80"/>
        <v>0</v>
      </c>
      <c r="DF26" s="615" t="str">
        <f>IF($G26="","",(1+WntPeakEnergyLL)*(INDEX(avoidedcosttbl3,$H26,DF$2)+(($H26-ROUNDDOWN($H26,0))*(INDEX(avoidedcosttbl3,ROUNDUP($H26,0),DF$2)-(INDEX(avoidedcosttbl3,ROUNDDOWN($H26,0),DF$2)))))*$P26*1000*ADRYr3!Z26)</f>
        <v/>
      </c>
      <c r="DG26" s="615" t="str">
        <f>IF($G26="","",(1+WntOffPeakEnergyLL)*(INDEX(avoidedcosttbl3,$H26,DG$2)+(($H26-ROUNDDOWN($H26,0))*(INDEX(avoidedcosttbl3,ROUNDUP($H26,0),DG$2)-(INDEX(avoidedcosttbl3,ROUNDDOWN($H26,0),DG$2)))))*$P26*1000*ADRYr3!AA26)</f>
        <v/>
      </c>
      <c r="DH26" s="615" t="str">
        <f>IF($G26="","",(1+SumPeakEnergyLL)*(INDEX(avoidedcosttbl3,$H26,DH$2)+(($H26-ROUNDDOWN($H26,0))*(INDEX(avoidedcosttbl3,ROUNDUP($H26,0),DH$2)-(INDEX(avoidedcosttbl3,ROUNDDOWN($H26,0),DH$2)))))*$P26*1000*ADRYr3!AB26)</f>
        <v/>
      </c>
      <c r="DI26" s="615" t="str">
        <f>IF($G26="","",(1+SumOffPeakEnergyLL)*(INDEX(avoidedcosttbl3,$H26,DI$2)+(($H26-ROUNDDOWN($H26,0))*(INDEX(avoidedcosttbl3,ROUNDUP($H26,0),DI$2)-(INDEX(avoidedcosttbl3,ROUNDDOWN($H26,0),DI$2)))))*$P26*1000*ADRYr3!AC26)</f>
        <v/>
      </c>
      <c r="DJ26" s="29" t="str">
        <f t="shared" si="81"/>
        <v/>
      </c>
      <c r="DK26" s="161" t="str">
        <f t="shared" si="45"/>
        <v/>
      </c>
      <c r="DL26" s="1189" t="str">
        <f t="shared" si="46"/>
        <v/>
      </c>
      <c r="DM26" s="1189" t="str">
        <f t="shared" si="47"/>
        <v/>
      </c>
      <c r="DN26" s="43" t="str">
        <f t="shared" si="48"/>
        <v/>
      </c>
      <c r="DO26" s="966" t="str">
        <f>IF($G26="","",ADRYr3!AQ26)</f>
        <v/>
      </c>
      <c r="DP26" s="968" t="str">
        <f>IF($G26="","",ADRYr3!AR26)</f>
        <v/>
      </c>
      <c r="DQ26" s="970" t="str">
        <f>IF($G26="","",IF($DP26="Yes",COLUMN(AESC!$L$10),IF($DP26="No","Using AvoidedDemand tab",IF($DP26="Mixed",COLUMN(AESC!$N$10)))))</f>
        <v/>
      </c>
      <c r="DR26" s="970" t="str">
        <f>IF($G26="","",IF($DP26="Yes",COLUMN(AESC!$P$10),IF($DP26="No","Using AvoidedDemand tab",IF($DP26="Mixed",COLUMN(AESC!$R$10)))))</f>
        <v/>
      </c>
      <c r="DS26" s="970" t="str">
        <f>IF($G26="","",IF($DP26="Yes",COLUMN(AESC!$S$10),IF($DP26="No",COLUMN(AESC!$T$10),IF($DP26="Mixed",COLUMN(AESC!$U$10)))))</f>
        <v/>
      </c>
      <c r="DT26" s="970" t="str">
        <f t="shared" si="49"/>
        <v/>
      </c>
      <c r="DU26" s="970" t="str">
        <f>IF($G26="","",ADRYr3!AS26)</f>
        <v/>
      </c>
      <c r="DV26" s="971" t="str">
        <f>IF($G26="","",ADRYr3!AT26)</f>
        <v/>
      </c>
      <c r="DW26" s="1162" t="str">
        <f>IF($G26="","",INDEX(AvoidedEnergy!$H$4:$H$10,MATCH($DO26,AvoidedEnergy!$A$4:$A$10,0)))</f>
        <v/>
      </c>
    </row>
    <row r="27" spans="1:127">
      <c r="A27" s="160" t="str">
        <f>IF(ADRYr3!$B27=0,"",ADRYr3!A27)</f>
        <v>B - Low-Income</v>
      </c>
      <c r="B27" s="9" t="str">
        <f>IF(ADRYr3!$B27=0,"",ADRYr3!B27)</f>
        <v>Home Energy Assistance</v>
      </c>
      <c r="C27" s="9" t="str">
        <f>IF(ADRYr3!$B27=0,"",ADRYr3!C27)</f>
        <v>Res Demand Response</v>
      </c>
      <c r="D27" s="9" t="str">
        <f>IF(ADRYr3!$B27=0,"",ADRYr3!D27)</f>
        <v>EV Load Management Summer</v>
      </c>
      <c r="E27" s="9">
        <f>IF(ADRYr3!$B27=0,"",ADRYr3!E27)</f>
        <v>0</v>
      </c>
      <c r="F27" s="11" t="str">
        <f>IF(ADRYr3!$B27=0,"",ADRYr3!F27)</f>
        <v>Behavior</v>
      </c>
      <c r="G27" s="12" t="str">
        <f>IF(ADRYr3!$G27&lt;&gt;0,ADRYr3!G27,"")</f>
        <v/>
      </c>
      <c r="H27" s="960" t="str">
        <f>IF($G27="","",ROUND(ADRYr3!H27,0))</f>
        <v/>
      </c>
      <c r="I27" s="47" t="str">
        <f>IF($G27="","",ADRYr3!I27*ADRYr3!P27*G27)</f>
        <v/>
      </c>
      <c r="J27" s="47" t="str">
        <f>IF($G27="","",ADRYr3!J27*G27)</f>
        <v/>
      </c>
      <c r="K27" s="47" t="str">
        <f t="shared" si="50"/>
        <v/>
      </c>
      <c r="L27" s="27" t="str">
        <f>IF($G27="","",ADRYr3!V27*G27/1000)</f>
        <v/>
      </c>
      <c r="M27" s="27" t="str">
        <f>IF($G27="","",L27*ADRYr3!$Q27*ADRYr3!$R27)</f>
        <v/>
      </c>
      <c r="N27" s="27" t="str">
        <f t="shared" si="51"/>
        <v/>
      </c>
      <c r="O27" s="27" t="str">
        <f t="shared" si="52"/>
        <v/>
      </c>
      <c r="P27" s="27" t="str">
        <f>IF($G27="","",M27*ADRYr3!P27)</f>
        <v/>
      </c>
      <c r="Q27" s="27" t="str">
        <f t="shared" si="53"/>
        <v/>
      </c>
      <c r="R27" s="27" t="str">
        <f>IF($G27="","",$Q27*ADRYr3!Z27)</f>
        <v/>
      </c>
      <c r="S27" s="27" t="str">
        <f>IF($G27="","",$Q27*ADRYr3!AA27)</f>
        <v/>
      </c>
      <c r="T27" s="27" t="str">
        <f>IF($G27="","",$Q27*ADRYr3!AB27)</f>
        <v/>
      </c>
      <c r="U27" s="27" t="str">
        <f>IF($G27="","",$Q27*ADRYr3!AC27)</f>
        <v/>
      </c>
      <c r="V27" s="27" t="str">
        <f>IF($G27="","",G27*ADRYr3!$AD27*ADRYr3!$P27*ADRYr3!$Q27)</f>
        <v/>
      </c>
      <c r="W27" s="27" t="str">
        <f>IF($G27="","",$G27*ADRYr3!$AD27*ADRYr3!$AF27*ADRYr3!Q27*ADRYr3!$S27)</f>
        <v/>
      </c>
      <c r="X27" s="27" t="str">
        <f>IF($G27="","",$G27*ADRYr3!$AD27*ADRYr3!$AF27*ADRYr3!P27*ADRYr3!Q27*ADRYr3!$S27)</f>
        <v/>
      </c>
      <c r="Y27" s="27" t="str">
        <f>IF($G27="","",$G27*ADRYr3!$AD27*ADRYr3!$AE27*ADRYr3!Q27*ADRYr3!$T27)</f>
        <v/>
      </c>
      <c r="Z27" s="27" t="str">
        <f>IF($G27="","",$G27*ADRYr3!$AD27*ADRYr3!$AE27*ADRYr3!P27*ADRYr3!Q27*ADRYr3!$T27)</f>
        <v/>
      </c>
      <c r="AA27" s="45" t="str">
        <f>IF($G27="","",$G27*ADRYr3!$Q27*ADRYr3!$U27*(IF(IFERROR(SEARCH("NG", ADRYr3!$AI27),0),ADRYr3!$AJ27,0)+IF(IFERROR(SEARCH("NG", ADRYr3!$AK27),0),ADRYr3!$AL27,0)+IF(IFERROR(SEARCH("NG", ADRYr3!$AM27),0),ADRYr3!$AN27,0)))</f>
        <v/>
      </c>
      <c r="AB27" s="45" t="str">
        <f t="shared" si="54"/>
        <v/>
      </c>
      <c r="AC27" s="45">
        <f>IF($G27="",0,AA27*ADRYr3!$P27)</f>
        <v>0</v>
      </c>
      <c r="AD27" s="45" t="str">
        <f t="shared" si="55"/>
        <v/>
      </c>
      <c r="AE27" s="45" t="str">
        <f>IF($G27="","",$G27*ADRYr3!$Q27*ADRYr3!$U27*(IF(IFERROR(SEARCH("Oil", ADRYr3!$AI27), 0),ADRYr3!$AJ27,0)+IF(IFERROR(SEARCH("Oil", ADRYr3!$AK27), 0),ADRYr3!$AL27,0)+IF(IFERROR(SEARCH("Oil", ADRYr3!$AM27), 0),ADRYr3!$AN27,0)))</f>
        <v/>
      </c>
      <c r="AF27" s="45" t="str">
        <f t="shared" si="56"/>
        <v/>
      </c>
      <c r="AG27" s="45">
        <f>IF($G27="",0,AE27*ADRYr3!$P27)</f>
        <v>0</v>
      </c>
      <c r="AH27" s="45" t="str">
        <f t="shared" si="57"/>
        <v/>
      </c>
      <c r="AI27" s="45" t="str">
        <f>IF($G27="","",$G27*ADRYr3!$Q27*ADRYr3!$U27*(IF(ADRYr3!$AI27=Lookups!$E$116,ADRYr3!$AJ27,IF(ADRYr3!$AK27=Lookups!$E$116,ADRYr3!$AL27,IF(ADRYr3!$AM27=Lookups!$E$116,ADRYr3!$AN27,0)))))</f>
        <v/>
      </c>
      <c r="AJ27" s="45" t="str">
        <f t="shared" si="58"/>
        <v/>
      </c>
      <c r="AK27" s="45">
        <f>IF($G27="",0,AI27*ADRYr3!$P27)</f>
        <v>0</v>
      </c>
      <c r="AL27" s="45" t="str">
        <f t="shared" si="59"/>
        <v/>
      </c>
      <c r="AM27" s="45" t="str">
        <f>IF($G27="","",$G27*ADRYr3!$Q27*ADRYr3!$U27*(IF(ADRYr3!$AI27=Lookups!$E$115,ADRYr3!$AJ27,IF(ADRYr3!$AK27=Lookups!$E$115,ADRYr3!$AL27,IF(ADRYr3!$AM27=Lookups!$E$115,ADRYr3!$AN27,0)))))</f>
        <v/>
      </c>
      <c r="AN27" s="45" t="str">
        <f t="shared" si="60"/>
        <v/>
      </c>
      <c r="AO27" s="45">
        <f>IF($G27="",0,AM27*ADRYr3!$P27)</f>
        <v>0</v>
      </c>
      <c r="AP27" s="45" t="str">
        <f t="shared" si="61"/>
        <v/>
      </c>
      <c r="AQ27" s="45" t="str">
        <f>IF($G27="","",$G27*ADRYr3!$Q27*ADRYr3!$U27*(IF(ADRYr3!$AI27=Lookups!$E$117,ADRYr3!$AJ27,IF(ADRYr3!$AK27=Lookups!$E$117,ADRYr3!$AL27,IF(ADRYr3!$AM27=Lookups!$E$117,ADRYr3!$AN27,0)))))</f>
        <v/>
      </c>
      <c r="AR27" s="45" t="str">
        <f t="shared" si="62"/>
        <v/>
      </c>
      <c r="AS27" s="45" t="str">
        <f>IF($G27="","",AQ27*ADRYr3!$P27)</f>
        <v/>
      </c>
      <c r="AT27" s="45" t="str">
        <f t="shared" si="63"/>
        <v/>
      </c>
      <c r="AU27" s="45" t="str">
        <f>IF($G27="","",$G27*ADRYr3!$Q27*ADRYr3!$U27*(IF(ADRYr3!$AI27=Lookups!$E$118,ADRYr3!$AJ27,IF(ADRYr3!$AK27=Lookups!$E$118,ADRYr3!$AL27,IF(ADRYr3!$AM27=Lookups!$E$118,ADRYr3!$AN27,0)))))</f>
        <v/>
      </c>
      <c r="AV27" s="45" t="str">
        <f t="shared" si="64"/>
        <v/>
      </c>
      <c r="AW27" s="45" t="str">
        <f>IF($G27="","",AU27*ADRYr3!$P27)</f>
        <v/>
      </c>
      <c r="AX27" s="45" t="str">
        <f t="shared" si="65"/>
        <v/>
      </c>
      <c r="AY27" s="45">
        <f t="shared" si="66"/>
        <v>0</v>
      </c>
      <c r="AZ27" s="45">
        <f t="shared" si="67"/>
        <v>0</v>
      </c>
      <c r="BA27" s="101" t="str">
        <f>IF($G27="","",$G27*ADRYr3!$P27*ADRYr3!$Q27*ADRYr3!$U27*ADRYr3!AO27)</f>
        <v/>
      </c>
      <c r="BB27" s="102" t="str">
        <f>IF($G27="","",$G27*ADRYr3!$P27*ADRYr3!$Q27*ADRYr3!$U27*ADRYr3!AP27)</f>
        <v/>
      </c>
      <c r="BC27" s="100" t="str">
        <f t="shared" si="68"/>
        <v/>
      </c>
      <c r="BD27" s="961"/>
      <c r="BE27" s="961"/>
      <c r="BF27" s="961"/>
      <c r="BG27" s="961"/>
      <c r="BH27" s="962" t="str">
        <f t="shared" si="3"/>
        <v/>
      </c>
      <c r="BI27" s="961"/>
      <c r="BJ27" s="961"/>
      <c r="BK27" s="961"/>
      <c r="BL27" s="961"/>
      <c r="BM27" s="30" t="str">
        <f t="shared" si="4"/>
        <v/>
      </c>
      <c r="BN27" s="963" t="str">
        <f t="shared" si="31"/>
        <v/>
      </c>
      <c r="BO27" s="31" t="str">
        <f t="shared" si="69"/>
        <v/>
      </c>
      <c r="BP27" s="964" t="str">
        <f t="shared" si="5"/>
        <v/>
      </c>
      <c r="BQ27" s="28" t="str">
        <f t="shared" si="6"/>
        <v/>
      </c>
      <c r="BR27" s="964" t="str">
        <f t="shared" si="7"/>
        <v/>
      </c>
      <c r="BS27" s="964" t="str">
        <f t="shared" si="8"/>
        <v/>
      </c>
      <c r="BT27" s="28" t="str">
        <f t="shared" si="82"/>
        <v/>
      </c>
      <c r="BU27" s="28" t="str">
        <f t="shared" si="82"/>
        <v/>
      </c>
      <c r="BV27" s="28" t="str">
        <f t="shared" si="82"/>
        <v/>
      </c>
      <c r="BW27" s="29" t="str">
        <f t="shared" si="70"/>
        <v/>
      </c>
      <c r="BX27" s="29" t="str">
        <f t="shared" si="71"/>
        <v/>
      </c>
      <c r="BY27" s="28" t="str">
        <f>IF($G27="","",$G27*(IF(ADRYr3!$AI27=BY$4,ADRYr3!$AJ27,IF(ADRYr3!$AK27=BY$4,ADRYr3!$AL27,IF(ADRYr3!$AM27=BY$4,ADRYr3!$AN27,0))))*(INDEX(avoidedcosttbl3,$H27,BY$2)+(($H27-ROUNDDOWN($H27,0))*(INDEX(avoidedcosttbl3,ROUNDUP($H27,0),BY$2)-(INDEX(avoidedcosttbl3,ROUNDDOWN($H27,0),BY$2)))))*ADRYr3!P27*ADRYr3!Q27*ADRYr3!U27)</f>
        <v/>
      </c>
      <c r="BZ27" s="28" t="str">
        <f>IF($G27="","",$G27*(IF(ADRYr3!$AI27=BZ$4,ADRYr3!$AJ27,IF(ADRYr3!$AK27=BZ$4,ADRYr3!$AL27,IF(ADRYr3!$AM27=BZ$4,ADRYr3!$AN27,0))))*(INDEX(avoidedcosttbl3,$H27,BZ$2)+(($H27-ROUNDDOWN($H27,0))*(INDEX(avoidedcosttbl3,ROUNDUP($H27,0),BZ$2)-(INDEX(avoidedcosttbl3,ROUNDDOWN($H27,0),BZ$2)))))*ADRYr3!P27*ADRYr3!Q27*ADRYr3!U27)</f>
        <v/>
      </c>
      <c r="CA27" s="28" t="str">
        <f>IF($G27="","",$G27*(IF(ADRYr3!$AI27=CA$4,ADRYr3!$AJ27,IF(ADRYr3!$AK27=CA$4,ADRYr3!$AL27,IF(ADRYr3!$AM27=CA$4,ADRYr3!$AN27,0))))*(INDEX(avoidedcosttbl3,$H27,CA$2)+(($H27-ROUNDDOWN($H27,0))*(INDEX(avoidedcosttbl3,ROUNDUP($H27,0),CA$2)-(INDEX(avoidedcosttbl3,ROUNDDOWN($H27,0),CA$2)))))*ADRYr3!P27*ADRYr3!Q27*ADRYr3!U27)</f>
        <v/>
      </c>
      <c r="CB27" s="28" t="str">
        <f>IF($G27="","",$G27*(IF(ADRYr3!$AI27=CB$4,ADRYr3!$AJ27,IF(ADRYr3!$AK27=CB$4,ADRYr3!$AL27,IF(ADRYr3!$AM27=CB$4,ADRYr3!$AN27,0))))*(INDEX(avoidedcosttbl3,$H27,CB$2)+(($H27-ROUNDDOWN($H27,0))*(INDEX(avoidedcosttbl3,ROUNDUP($H27,0),CB$2)-(INDEX(avoidedcosttbl3,ROUNDDOWN($H27,0),CB$2)))))*ADRYr3!P27*ADRYr3!Q27*ADRYr3!U27)</f>
        <v/>
      </c>
      <c r="CC27" s="28" t="str">
        <f>IF($G27="","",$G27*(IF(ADRYr3!$AI27=CC$4,ADRYr3!$AJ27,IF(ADRYr3!$AK27=CC$4,ADRYr3!$AL27,IF(ADRYr3!$AM27=CC$4,ADRYr3!$AN27,0))))*(INDEX(avoidedcosttbl3,$H27,CC$2)+(($H27-ROUNDDOWN($H27,0))*(INDEX(avoidedcosttbl3,ROUNDUP($H27,0),CC$2)-(INDEX(avoidedcosttbl3,ROUNDDOWN($H27,0),CC$2)))))*ADRYr3!P27*ADRYr3!Q27*ADRYr3!U27)</f>
        <v/>
      </c>
      <c r="CD27" s="28" t="str">
        <f>IF($G27="","",$G27*(IF(ADRYr3!$AI27=CD$4,ADRYr3!$AJ27,IF(ADRYr3!$AK27=CD$4,ADRYr3!$AL27,IF(ADRYr3!$AM27=CD$4,ADRYr3!$AN27,0))))*(INDEX(avoidedcosttbl3,$H27,CD$2)+(($H27-ROUNDDOWN($H27,0))*(INDEX(avoidedcosttbl3,ROUNDUP($H27,0),CD$2)-(INDEX(avoidedcosttbl3,ROUNDDOWN($H27,0),CD$2)))))*ADRYr3!P27*ADRYr3!Q27*ADRYr3!U27)</f>
        <v/>
      </c>
      <c r="CE27" s="28" t="str">
        <f>IF($G27="","",$G27*(IF(ADRYr3!$AI27=CE$4,ADRYr3!$AJ27,IF(ADRYr3!$AK27=CE$4,ADRYr3!$AL27,IF(ADRYr3!$AM27=CE$4,ADRYr3!$AN27,0))))*(INDEX(avoidedcosttbl3,$H27,CE$2)+(($H27-ROUNDDOWN($H27,0))*(INDEX(avoidedcosttbl3,ROUNDUP($H27,0),CE$2)-(INDEX(avoidedcosttbl3,ROUNDDOWN($H27,0),CE$2)))))*ADRYr3!P27*ADRYr3!Q27*ADRYr3!U27)</f>
        <v/>
      </c>
      <c r="CF27" s="41" t="str">
        <f t="shared" si="72"/>
        <v/>
      </c>
      <c r="CG27" s="30" t="str">
        <f t="shared" si="10"/>
        <v/>
      </c>
      <c r="CH27" s="30" t="str">
        <f>IF($G27="","",$G27*(IF(ADRYr3!$AI27=BY$4,ADRYr3!$AJ27,IF(ADRYr3!$AK27=BY$4,ADRYr3!$AL27,IF(ADRYr3!$AM27=BY$4,ADRYr3!$AN27,0))))*(INDEX(avoidedcosttbl3,$H27,CH$2)+(($H27-ROUNDDOWN($H27,0))*(INDEX(avoidedcosttbl3,ROUNDUP($H27,0),CH$2)-(INDEX(avoidedcosttbl3,ROUNDDOWN($H27,0),CH$2)))))*ADRYr3!P27*ADRYr3!Q27*ADRYr3!U27)</f>
        <v/>
      </c>
      <c r="CI27" s="30" t="str">
        <f>IF($G27="","",$G27*(IF(ADRYr3!$AI27=BZ$4,ADRYr3!$AJ27,IF(ADRYr3!$AK27=BZ$4,ADRYr3!$AL27,IF(ADRYr3!$AM27=BZ$4,ADRYr3!$AN27,0))))*(INDEX(avoidedcosttbl3,$H27,CI$2)+(($H27-ROUNDDOWN($H27,0))*(INDEX(avoidedcosttbl3,ROUNDUP($H27,0),CI$2)-(INDEX(avoidedcosttbl3,ROUNDDOWN($H27,0),CI$2)))))*ADRYr3!P27*ADRYr3!Q27*ADRYr3!U27)</f>
        <v/>
      </c>
      <c r="CJ27" s="30" t="str">
        <f>IF($G27="","",$G27*(IF(ADRYr3!$AI27=CA$4,ADRYr3!$AJ27,IF(ADRYr3!$AK27=CA$4,ADRYr3!$AL27,IF(ADRYr3!$AM27=CA$4,ADRYr3!$AN27,0))))*(INDEX(avoidedcosttbl3,$H27,CJ$2)+(($H27-ROUNDDOWN($H27,0))*(INDEX(avoidedcosttbl3,ROUNDUP($H27,0),CJ$2)-(INDEX(avoidedcosttbl3,ROUNDDOWN($H27,0),CJ$2)))))*ADRYr3!P27*ADRYr3!Q27*ADRYr3!U27)</f>
        <v/>
      </c>
      <c r="CK27" s="30" t="str">
        <f>IF($G27="","",$G27*(IF(ADRYr3!$AI27=CB$4,ADRYr3!$AJ27,IF(ADRYr3!$AK27=CB$4,ADRYr3!$AL27,IF(ADRYr3!$AM27=CB$4,ADRYr3!$AN27,0))))*(INDEX(avoidedcosttbl3,$H27,CK$2)+(($H27-ROUNDDOWN($H27,0))*(INDEX(avoidedcosttbl3,ROUNDUP($H27,0),CK$2)-(INDEX(avoidedcosttbl3,ROUNDDOWN($H27,0),CK$2)))))*ADRYr3!P27*ADRYr3!Q27*ADRYr3!U27)</f>
        <v/>
      </c>
      <c r="CL27" s="30" t="str">
        <f>IF($G27="","",$G27*(IF(ADRYr3!$AI27=CC$4,ADRYr3!$AJ27,IF(ADRYr3!$AK27=CC$4,ADRYr3!$AL27,IF(ADRYr3!$AM27=CC$4,ADRYr3!$AN27,0))))*(INDEX(avoidedcosttbl3,$H27,CL$2)+(($H27-ROUNDDOWN($H27,0))*(INDEX(avoidedcosttbl3,ROUNDUP($H27,0),CL$2)-(INDEX(avoidedcosttbl3,ROUNDDOWN($H27,0),CL$2)))))*ADRYr3!P27*ADRYr3!Q27*ADRYr3!U27)</f>
        <v/>
      </c>
      <c r="CM27" s="30" t="str">
        <f>IF($G27="","",$G27*(IF(ADRYr3!$AI27=CD$4,ADRYr3!$AJ27,IF(ADRYr3!$AK27=CD$4,ADRYr3!$AL27,IF(ADRYr3!$AM27=CD$4,ADRYr3!$AN27,0))))*(INDEX(avoidedcosttbl3,$H27,CM$2)+(($H27-ROUNDDOWN($H27,0))*(INDEX(avoidedcosttbl3,ROUNDUP($H27,0),CM$2)-(INDEX(avoidedcosttbl3,ROUNDDOWN($H27,0),CM$2)))))*ADRYr3!P27*ADRYr3!Q27*ADRYr3!U27)</f>
        <v/>
      </c>
      <c r="CN27" s="30" t="str">
        <f>IF($G27="","",$G27*(IF(ADRYr3!$AI27=CE$4,ADRYr3!$AJ27,IF(ADRYr3!$AK27=CE$4,ADRYr3!$AL27,IF(ADRYr3!$AM27=CE$4,ADRYr3!$AN27,0))))*(INDEX(avoidedcosttbl3,$H27,CN$2)+(($H27-ROUNDDOWN($H27,0))*(INDEX(avoidedcosttbl3,ROUNDUP($H27,0),CN$2)-(INDEX(avoidedcosttbl3,ROUNDDOWN($H27,0),CN$2)))))*ADRYr3!P27*ADRYr3!Q27*ADRYr3!U27)</f>
        <v/>
      </c>
      <c r="CO27" s="220" t="str">
        <f t="shared" si="73"/>
        <v/>
      </c>
      <c r="CP27" s="220" t="str">
        <f t="shared" si="74"/>
        <v/>
      </c>
      <c r="CQ27" s="157" t="str">
        <f>IF($G27="","",$G27*(IF(ADRYr3!$AI27=CQ$4,ADRYr3!$AJ27,IF(ADRYr3!$AK27=CQ$4,ADRYr3!$AL27,IF(ADRYr3!$AM27=CQ$4,ADRYr3!$AN27,0))))*(INDEX(avoidedcosttbl3,$H27,CQ$2)+(($H27-ROUNDDOWN($H27,0))*(INDEX(avoidedcosttbl3,ROUNDUP($H27,0),CQ$2)-(INDEX(avoidedcosttbl3,ROUNDDOWN($H27,0),CQ$2)))))*ADRYr3!$P27*ADRYr3!$Q27*ADRYr3!$U27)</f>
        <v/>
      </c>
      <c r="CR27" s="28" t="str">
        <f>IF($G27="","",G27*(IF(ADRYr3!$AI27=CR$4,ADRYr3!$AJ27,IF(ADRYr3!$AK27=CR$4,ADRYr3!$AL27,IF(ADRYr3!$AM27=CR$4,ADRYr3!$AN27,0))))*(INDEX(avoidedcosttbl3,$H27,CR$2)+(($H27-ROUNDDOWN($H27,0))*(INDEX(avoidedcosttbl3,ROUNDUP($H27,0),CR$2)-(INDEX(avoidedcosttbl3,ROUNDDOWN($H27,0),CR$2)))))*ADRYr3!$P27*ADRYr3!$Q27*ADRYr3!$U27)</f>
        <v/>
      </c>
      <c r="CS27" s="28" t="str">
        <f>IF($G27="","",G27*(IF(ADRYr3!$AI27=CS$4,ADRYr3!$AJ27,IF(ADRYr3!$AK27=CS$4,ADRYr3!$AL27,IF(ADRYr3!$AM27=CS$4,ADRYr3!$AN27,0))))*(INDEX(avoidedcosttbl3,$H27,CS$2)+(($H27-ROUNDDOWN($H27,0))*(INDEX(avoidedcosttbl3,ROUNDUP($H27,0),CS$2)-(INDEX(avoidedcosttbl3,ROUNDDOWN($H27,0),CS$2)))))*ADRYr3!$P27*ADRYr3!$Q27*ADRYr3!$U27)</f>
        <v/>
      </c>
      <c r="CT27" s="28" t="str">
        <f t="shared" si="11"/>
        <v/>
      </c>
      <c r="CU27" s="28" t="str">
        <f>IF($G27="","",G27*(IF(ADRYr3!$AI27=CU$4,ADRYr3!$AJ27,IF(ADRYr3!$AK27=CU$4,ADRYr3!$AL27,IF(ADRYr3!$AM27=CU$4,ADRYr3!$AN27,0))))*(INDEX(avoidedcosttbl3,$H27,CU$2)+(($H27-ROUNDDOWN($H27,0))*(INDEX(avoidedcosttbl3,ROUNDUP($H27,0),CU$2)-(INDEX(avoidedcosttbl3,ROUNDDOWN($H27,0),CU$2)))))*ADRYr3!$P27*ADRYr3!$Q27*ADRYr3!$U27)</f>
        <v/>
      </c>
      <c r="CV27" s="28" t="str">
        <f>IF($G27="","",G27*(IF(ADRYr3!$AI27=CV$4,ADRYr3!$AJ27,IF(ADRYr3!$AK27=CV$4,ADRYr3!$AL27,IF(ADRYr3!$AM27=CV$4,ADRYr3!$AN27,0))))*(INDEX(avoidedcosttbl3,$H27,CV$2)+(($H27-ROUNDDOWN($H27,0))*(INDEX(avoidedcosttbl3,ROUNDUP($H27,0),CV$2)-(INDEX(avoidedcosttbl3,ROUNDDOWN($H27,0),CV$2)))))*ADRYr3!$P27*ADRYr3!$Q27*ADRYr3!$U27)</f>
        <v/>
      </c>
      <c r="CW27" s="28" t="str">
        <f>IF($G27="","",G27*(IF(ADRYr3!$AI27=CW$4,ADRYr3!$AJ27,IF(ADRYr3!$AK27=CW$4,ADRYr3!$AL27,IF(ADRYr3!$AM27=CW$4,ADRYr3!$AN27,0))))*(INDEX(avoidedcosttbl3,$H27,CW$2)+(($H27-ROUNDDOWN($H27,0))*(INDEX(avoidedcosttbl3,ROUNDUP($H27,0),CW$2)-(INDEX(avoidedcosttbl3,ROUNDDOWN($H27,0),CW$2)))))*ADRYr3!$P27*ADRYr3!$Q27*ADRYr3!$U27)</f>
        <v/>
      </c>
      <c r="CX27" s="28" t="str">
        <f>IF($G27="","",G27*(IF(ADRYr3!$AI27=CX$4,ADRYr3!$AJ27,IF(ADRYr3!$AK27=CX$4,ADRYr3!$AL27,IF(ADRYr3!$AM27=CX$4,ADRYr3!$AN27,0))))*(INDEX(avoidedcosttbl3,$H27,CX$2)+(($H27-ROUNDDOWN($H27,0))*(INDEX(avoidedcosttbl3,ROUNDUP($H27,0),CX$2)-(INDEX(avoidedcosttbl3,ROUNDDOWN($H27,0),CX$2)))))*ADRYr3!$P27*ADRYr3!$Q27*ADRYr3!$U27)</f>
        <v/>
      </c>
      <c r="CY27" s="28" t="str">
        <f t="shared" si="75"/>
        <v/>
      </c>
      <c r="CZ27" s="32" t="str">
        <f t="shared" si="76"/>
        <v/>
      </c>
      <c r="DA27" s="84" t="str">
        <f t="shared" si="77"/>
        <v/>
      </c>
      <c r="DB27" s="81" t="str">
        <f>IF(NEIadder="Yes",IF($G27="","",INDEX(Lookups!$G$70:$G$71,MATCH($A27,Lookups!$E$70:$E$71,0))*(SUM(CP27:CX27,BX27))),"")</f>
        <v/>
      </c>
      <c r="DC27" s="263" t="str">
        <f t="shared" si="78"/>
        <v/>
      </c>
      <c r="DD27" s="166" t="str">
        <f t="shared" si="79"/>
        <v/>
      </c>
      <c r="DE27" s="82">
        <f t="shared" si="80"/>
        <v>0</v>
      </c>
      <c r="DF27" s="615" t="str">
        <f>IF($G27="","",(1+WntPeakEnergyLL)*(INDEX(avoidedcosttbl3,$H27,DF$2)+(($H27-ROUNDDOWN($H27,0))*(INDEX(avoidedcosttbl3,ROUNDUP($H27,0),DF$2)-(INDEX(avoidedcosttbl3,ROUNDDOWN($H27,0),DF$2)))))*$P27*1000*ADRYr3!Z27)</f>
        <v/>
      </c>
      <c r="DG27" s="615" t="str">
        <f>IF($G27="","",(1+WntOffPeakEnergyLL)*(INDEX(avoidedcosttbl3,$H27,DG$2)+(($H27-ROUNDDOWN($H27,0))*(INDEX(avoidedcosttbl3,ROUNDUP($H27,0),DG$2)-(INDEX(avoidedcosttbl3,ROUNDDOWN($H27,0),DG$2)))))*$P27*1000*ADRYr3!AA27)</f>
        <v/>
      </c>
      <c r="DH27" s="615" t="str">
        <f>IF($G27="","",(1+SumPeakEnergyLL)*(INDEX(avoidedcosttbl3,$H27,DH$2)+(($H27-ROUNDDOWN($H27,0))*(INDEX(avoidedcosttbl3,ROUNDUP($H27,0),DH$2)-(INDEX(avoidedcosttbl3,ROUNDDOWN($H27,0),DH$2)))))*$P27*1000*ADRYr3!AB27)</f>
        <v/>
      </c>
      <c r="DI27" s="615" t="str">
        <f>IF($G27="","",(1+SumOffPeakEnergyLL)*(INDEX(avoidedcosttbl3,$H27,DI$2)+(($H27-ROUNDDOWN($H27,0))*(INDEX(avoidedcosttbl3,ROUNDUP($H27,0),DI$2)-(INDEX(avoidedcosttbl3,ROUNDDOWN($H27,0),DI$2)))))*$P27*1000*ADRYr3!AC27)</f>
        <v/>
      </c>
      <c r="DJ27" s="29" t="str">
        <f t="shared" si="81"/>
        <v/>
      </c>
      <c r="DK27" s="161" t="str">
        <f t="shared" si="45"/>
        <v/>
      </c>
      <c r="DL27" s="1189" t="str">
        <f t="shared" si="46"/>
        <v/>
      </c>
      <c r="DM27" s="1189" t="str">
        <f t="shared" si="47"/>
        <v/>
      </c>
      <c r="DN27" s="43" t="str">
        <f t="shared" si="48"/>
        <v/>
      </c>
      <c r="DO27" s="966" t="str">
        <f>IF($G27="","",ADRYr3!AQ27)</f>
        <v/>
      </c>
      <c r="DP27" s="968" t="str">
        <f>IF($G27="","",ADRYr3!AR27)</f>
        <v/>
      </c>
      <c r="DQ27" s="970" t="str">
        <f>IF($G27="","",IF($DP27="Yes",COLUMN(AESC!$L$10),IF($DP27="No","Using AvoidedDemand tab",IF($DP27="Mixed",COLUMN(AESC!$N$10)))))</f>
        <v/>
      </c>
      <c r="DR27" s="970" t="str">
        <f>IF($G27="","",IF($DP27="Yes",COLUMN(AESC!$P$10),IF($DP27="No","Using AvoidedDemand tab",IF($DP27="Mixed",COLUMN(AESC!$R$10)))))</f>
        <v/>
      </c>
      <c r="DS27" s="970" t="str">
        <f>IF($G27="","",IF($DP27="Yes",COLUMN(AESC!$S$10),IF($DP27="No",COLUMN(AESC!$T$10),IF($DP27="Mixed",COLUMN(AESC!$U$10)))))</f>
        <v/>
      </c>
      <c r="DT27" s="970" t="str">
        <f t="shared" si="49"/>
        <v/>
      </c>
      <c r="DU27" s="970" t="str">
        <f>IF($G27="","",ADRYr3!AS27)</f>
        <v/>
      </c>
      <c r="DV27" s="971" t="str">
        <f>IF($G27="","",ADRYr3!AT27)</f>
        <v/>
      </c>
      <c r="DW27" s="1162" t="str">
        <f>IF($G27="","",INDEX(AvoidedEnergy!$H$4:$H$10,MATCH($DO27,AvoidedEnergy!$A$4:$A$10,0)))</f>
        <v/>
      </c>
    </row>
    <row r="28" spans="1:127">
      <c r="A28" s="160" t="str">
        <f>IF(ADRYr3!$B28=0,"",ADRYr3!A28)</f>
        <v>B - Low-Income</v>
      </c>
      <c r="B28" s="9" t="str">
        <f>IF(ADRYr3!$B28=0,"",ADRYr3!B28)</f>
        <v>Home Energy Assistance</v>
      </c>
      <c r="C28" s="9" t="str">
        <f>IF(ADRYr3!$B28=0,"",ADRYr3!C28)</f>
        <v>Res Demand Response</v>
      </c>
      <c r="D28" s="9" t="str">
        <f>IF(ADRYr3!$B28=0,"",ADRYr3!D28)</f>
        <v>EV Load Management Winter</v>
      </c>
      <c r="E28" s="9">
        <f>IF(ADRYr3!$B28=0,"",ADRYr3!E28)</f>
        <v>0</v>
      </c>
      <c r="F28" s="11" t="str">
        <f>IF(ADRYr3!$B28=0,"",ADRYr3!F28)</f>
        <v>Behavior</v>
      </c>
      <c r="G28" s="12" t="str">
        <f>IF(ADRYr3!$G28&lt;&gt;0,ADRYr3!G28,"")</f>
        <v/>
      </c>
      <c r="H28" s="960" t="str">
        <f>IF($G28="","",ROUND(ADRYr3!H28,0))</f>
        <v/>
      </c>
      <c r="I28" s="47" t="str">
        <f>IF($G28="","",ADRYr3!I28*ADRYr3!P28*G28)</f>
        <v/>
      </c>
      <c r="J28" s="47" t="str">
        <f>IF($G28="","",ADRYr3!J28*G28)</f>
        <v/>
      </c>
      <c r="K28" s="47" t="str">
        <f t="shared" si="50"/>
        <v/>
      </c>
      <c r="L28" s="27" t="str">
        <f>IF($G28="","",ADRYr3!V28*G28/1000)</f>
        <v/>
      </c>
      <c r="M28" s="27" t="str">
        <f>IF($G28="","",L28*ADRYr3!$Q28*ADRYr3!$R28)</f>
        <v/>
      </c>
      <c r="N28" s="27" t="str">
        <f t="shared" si="51"/>
        <v/>
      </c>
      <c r="O28" s="27" t="str">
        <f t="shared" si="52"/>
        <v/>
      </c>
      <c r="P28" s="27" t="str">
        <f>IF($G28="","",M28*ADRYr3!P28)</f>
        <v/>
      </c>
      <c r="Q28" s="27" t="str">
        <f t="shared" si="53"/>
        <v/>
      </c>
      <c r="R28" s="27" t="str">
        <f>IF($G28="","",$Q28*ADRYr3!Z28)</f>
        <v/>
      </c>
      <c r="S28" s="27" t="str">
        <f>IF($G28="","",$Q28*ADRYr3!AA28)</f>
        <v/>
      </c>
      <c r="T28" s="27" t="str">
        <f>IF($G28="","",$Q28*ADRYr3!AB28)</f>
        <v/>
      </c>
      <c r="U28" s="27" t="str">
        <f>IF($G28="","",$Q28*ADRYr3!AC28)</f>
        <v/>
      </c>
      <c r="V28" s="27" t="str">
        <f>IF($G28="","",G28*ADRYr3!$AD28*ADRYr3!$P28*ADRYr3!$Q28)</f>
        <v/>
      </c>
      <c r="W28" s="27" t="str">
        <f>IF($G28="","",$G28*ADRYr3!$AD28*ADRYr3!$AF28*ADRYr3!Q28*ADRYr3!$S28)</f>
        <v/>
      </c>
      <c r="X28" s="27" t="str">
        <f>IF($G28="","",$G28*ADRYr3!$AD28*ADRYr3!$AF28*ADRYr3!P28*ADRYr3!Q28*ADRYr3!$S28)</f>
        <v/>
      </c>
      <c r="Y28" s="27" t="str">
        <f>IF($G28="","",$G28*ADRYr3!$AD28*ADRYr3!$AE28*ADRYr3!Q28*ADRYr3!$T28)</f>
        <v/>
      </c>
      <c r="Z28" s="27" t="str">
        <f>IF($G28="","",$G28*ADRYr3!$AD28*ADRYr3!$AE28*ADRYr3!P28*ADRYr3!Q28*ADRYr3!$T28)</f>
        <v/>
      </c>
      <c r="AA28" s="45" t="str">
        <f>IF($G28="","",$G28*ADRYr3!$Q28*ADRYr3!$U28*(IF(IFERROR(SEARCH("NG", ADRYr3!$AI28),0),ADRYr3!$AJ28,0)+IF(IFERROR(SEARCH("NG", ADRYr3!$AK28),0),ADRYr3!$AL28,0)+IF(IFERROR(SEARCH("NG", ADRYr3!$AM28),0),ADRYr3!$AN28,0)))</f>
        <v/>
      </c>
      <c r="AB28" s="45" t="str">
        <f t="shared" si="54"/>
        <v/>
      </c>
      <c r="AC28" s="45">
        <f>IF($G28="",0,AA28*ADRYr3!$P28)</f>
        <v>0</v>
      </c>
      <c r="AD28" s="45" t="str">
        <f t="shared" si="55"/>
        <v/>
      </c>
      <c r="AE28" s="45" t="str">
        <f>IF($G28="","",$G28*ADRYr3!$Q28*ADRYr3!$U28*(IF(IFERROR(SEARCH("Oil", ADRYr3!$AI28), 0),ADRYr3!$AJ28,0)+IF(IFERROR(SEARCH("Oil", ADRYr3!$AK28), 0),ADRYr3!$AL28,0)+IF(IFERROR(SEARCH("Oil", ADRYr3!$AM28), 0),ADRYr3!$AN28,0)))</f>
        <v/>
      </c>
      <c r="AF28" s="45" t="str">
        <f t="shared" si="56"/>
        <v/>
      </c>
      <c r="AG28" s="45">
        <f>IF($G28="",0,AE28*ADRYr3!$P28)</f>
        <v>0</v>
      </c>
      <c r="AH28" s="45" t="str">
        <f t="shared" si="57"/>
        <v/>
      </c>
      <c r="AI28" s="45" t="str">
        <f>IF($G28="","",$G28*ADRYr3!$Q28*ADRYr3!$U28*(IF(ADRYr3!$AI28=Lookups!$E$116,ADRYr3!$AJ28,IF(ADRYr3!$AK28=Lookups!$E$116,ADRYr3!$AL28,IF(ADRYr3!$AM28=Lookups!$E$116,ADRYr3!$AN28,0)))))</f>
        <v/>
      </c>
      <c r="AJ28" s="45" t="str">
        <f t="shared" si="58"/>
        <v/>
      </c>
      <c r="AK28" s="45">
        <f>IF($G28="",0,AI28*ADRYr3!$P28)</f>
        <v>0</v>
      </c>
      <c r="AL28" s="45" t="str">
        <f t="shared" si="59"/>
        <v/>
      </c>
      <c r="AM28" s="45" t="str">
        <f>IF($G28="","",$G28*ADRYr3!$Q28*ADRYr3!$U28*(IF(ADRYr3!$AI28=Lookups!$E$115,ADRYr3!$AJ28,IF(ADRYr3!$AK28=Lookups!$E$115,ADRYr3!$AL28,IF(ADRYr3!$AM28=Lookups!$E$115,ADRYr3!$AN28,0)))))</f>
        <v/>
      </c>
      <c r="AN28" s="45" t="str">
        <f t="shared" si="60"/>
        <v/>
      </c>
      <c r="AO28" s="45">
        <f>IF($G28="",0,AM28*ADRYr3!$P28)</f>
        <v>0</v>
      </c>
      <c r="AP28" s="45" t="str">
        <f t="shared" si="61"/>
        <v/>
      </c>
      <c r="AQ28" s="45" t="str">
        <f>IF($G28="","",$G28*ADRYr3!$Q28*ADRYr3!$U28*(IF(ADRYr3!$AI28=Lookups!$E$117,ADRYr3!$AJ28,IF(ADRYr3!$AK28=Lookups!$E$117,ADRYr3!$AL28,IF(ADRYr3!$AM28=Lookups!$E$117,ADRYr3!$AN28,0)))))</f>
        <v/>
      </c>
      <c r="AR28" s="45" t="str">
        <f t="shared" si="62"/>
        <v/>
      </c>
      <c r="AS28" s="45" t="str">
        <f>IF($G28="","",AQ28*ADRYr3!$P28)</f>
        <v/>
      </c>
      <c r="AT28" s="45" t="str">
        <f t="shared" si="63"/>
        <v/>
      </c>
      <c r="AU28" s="45" t="str">
        <f>IF($G28="","",$G28*ADRYr3!$Q28*ADRYr3!$U28*(IF(ADRYr3!$AI28=Lookups!$E$118,ADRYr3!$AJ28,IF(ADRYr3!$AK28=Lookups!$E$118,ADRYr3!$AL28,IF(ADRYr3!$AM28=Lookups!$E$118,ADRYr3!$AN28,0)))))</f>
        <v/>
      </c>
      <c r="AV28" s="45" t="str">
        <f t="shared" si="64"/>
        <v/>
      </c>
      <c r="AW28" s="45" t="str">
        <f>IF($G28="","",AU28*ADRYr3!$P28)</f>
        <v/>
      </c>
      <c r="AX28" s="45" t="str">
        <f t="shared" si="65"/>
        <v/>
      </c>
      <c r="AY28" s="45">
        <f t="shared" si="66"/>
        <v>0</v>
      </c>
      <c r="AZ28" s="45">
        <f t="shared" si="67"/>
        <v>0</v>
      </c>
      <c r="BA28" s="101" t="str">
        <f>IF($G28="","",$G28*ADRYr3!$P28*ADRYr3!$Q28*ADRYr3!$U28*ADRYr3!AO28)</f>
        <v/>
      </c>
      <c r="BB28" s="102" t="str">
        <f>IF($G28="","",$G28*ADRYr3!$P28*ADRYr3!$Q28*ADRYr3!$U28*ADRYr3!AP28)</f>
        <v/>
      </c>
      <c r="BC28" s="100" t="str">
        <f t="shared" si="68"/>
        <v/>
      </c>
      <c r="BD28" s="961"/>
      <c r="BE28" s="961"/>
      <c r="BF28" s="961"/>
      <c r="BG28" s="961"/>
      <c r="BH28" s="962" t="str">
        <f t="shared" si="3"/>
        <v/>
      </c>
      <c r="BI28" s="961"/>
      <c r="BJ28" s="961"/>
      <c r="BK28" s="961"/>
      <c r="BL28" s="961"/>
      <c r="BM28" s="30" t="str">
        <f t="shared" si="4"/>
        <v/>
      </c>
      <c r="BN28" s="963" t="str">
        <f t="shared" si="31"/>
        <v/>
      </c>
      <c r="BO28" s="31" t="str">
        <f t="shared" si="69"/>
        <v/>
      </c>
      <c r="BP28" s="964" t="str">
        <f t="shared" si="5"/>
        <v/>
      </c>
      <c r="BQ28" s="28" t="str">
        <f t="shared" si="6"/>
        <v/>
      </c>
      <c r="BR28" s="964" t="str">
        <f t="shared" si="7"/>
        <v/>
      </c>
      <c r="BS28" s="964" t="str">
        <f t="shared" si="8"/>
        <v/>
      </c>
      <c r="BT28" s="28" t="str">
        <f t="shared" si="82"/>
        <v/>
      </c>
      <c r="BU28" s="28" t="str">
        <f t="shared" si="82"/>
        <v/>
      </c>
      <c r="BV28" s="28" t="str">
        <f t="shared" si="82"/>
        <v/>
      </c>
      <c r="BW28" s="29" t="str">
        <f t="shared" si="70"/>
        <v/>
      </c>
      <c r="BX28" s="29" t="str">
        <f t="shared" si="71"/>
        <v/>
      </c>
      <c r="BY28" s="28" t="str">
        <f>IF($G28="","",$G28*(IF(ADRYr3!$AI28=BY$4,ADRYr3!$AJ28,IF(ADRYr3!$AK28=BY$4,ADRYr3!$AL28,IF(ADRYr3!$AM28=BY$4,ADRYr3!$AN28,0))))*(INDEX(avoidedcosttbl3,$H28,BY$2)+(($H28-ROUNDDOWN($H28,0))*(INDEX(avoidedcosttbl3,ROUNDUP($H28,0),BY$2)-(INDEX(avoidedcosttbl3,ROUNDDOWN($H28,0),BY$2)))))*ADRYr3!P28*ADRYr3!Q28*ADRYr3!U28)</f>
        <v/>
      </c>
      <c r="BZ28" s="28" t="str">
        <f>IF($G28="","",$G28*(IF(ADRYr3!$AI28=BZ$4,ADRYr3!$AJ28,IF(ADRYr3!$AK28=BZ$4,ADRYr3!$AL28,IF(ADRYr3!$AM28=BZ$4,ADRYr3!$AN28,0))))*(INDEX(avoidedcosttbl3,$H28,BZ$2)+(($H28-ROUNDDOWN($H28,0))*(INDEX(avoidedcosttbl3,ROUNDUP($H28,0),BZ$2)-(INDEX(avoidedcosttbl3,ROUNDDOWN($H28,0),BZ$2)))))*ADRYr3!P28*ADRYr3!Q28*ADRYr3!U28)</f>
        <v/>
      </c>
      <c r="CA28" s="28" t="str">
        <f>IF($G28="","",$G28*(IF(ADRYr3!$AI28=CA$4,ADRYr3!$AJ28,IF(ADRYr3!$AK28=CA$4,ADRYr3!$AL28,IF(ADRYr3!$AM28=CA$4,ADRYr3!$AN28,0))))*(INDEX(avoidedcosttbl3,$H28,CA$2)+(($H28-ROUNDDOWN($H28,0))*(INDEX(avoidedcosttbl3,ROUNDUP($H28,0),CA$2)-(INDEX(avoidedcosttbl3,ROUNDDOWN($H28,0),CA$2)))))*ADRYr3!P28*ADRYr3!Q28*ADRYr3!U28)</f>
        <v/>
      </c>
      <c r="CB28" s="28" t="str">
        <f>IF($G28="","",$G28*(IF(ADRYr3!$AI28=CB$4,ADRYr3!$AJ28,IF(ADRYr3!$AK28=CB$4,ADRYr3!$AL28,IF(ADRYr3!$AM28=CB$4,ADRYr3!$AN28,0))))*(INDEX(avoidedcosttbl3,$H28,CB$2)+(($H28-ROUNDDOWN($H28,0))*(INDEX(avoidedcosttbl3,ROUNDUP($H28,0),CB$2)-(INDEX(avoidedcosttbl3,ROUNDDOWN($H28,0),CB$2)))))*ADRYr3!P28*ADRYr3!Q28*ADRYr3!U28)</f>
        <v/>
      </c>
      <c r="CC28" s="28" t="str">
        <f>IF($G28="","",$G28*(IF(ADRYr3!$AI28=CC$4,ADRYr3!$AJ28,IF(ADRYr3!$AK28=CC$4,ADRYr3!$AL28,IF(ADRYr3!$AM28=CC$4,ADRYr3!$AN28,0))))*(INDEX(avoidedcosttbl3,$H28,CC$2)+(($H28-ROUNDDOWN($H28,0))*(INDEX(avoidedcosttbl3,ROUNDUP($H28,0),CC$2)-(INDEX(avoidedcosttbl3,ROUNDDOWN($H28,0),CC$2)))))*ADRYr3!P28*ADRYr3!Q28*ADRYr3!U28)</f>
        <v/>
      </c>
      <c r="CD28" s="28" t="str">
        <f>IF($G28="","",$G28*(IF(ADRYr3!$AI28=CD$4,ADRYr3!$AJ28,IF(ADRYr3!$AK28=CD$4,ADRYr3!$AL28,IF(ADRYr3!$AM28=CD$4,ADRYr3!$AN28,0))))*(INDEX(avoidedcosttbl3,$H28,CD$2)+(($H28-ROUNDDOWN($H28,0))*(INDEX(avoidedcosttbl3,ROUNDUP($H28,0),CD$2)-(INDEX(avoidedcosttbl3,ROUNDDOWN($H28,0),CD$2)))))*ADRYr3!P28*ADRYr3!Q28*ADRYr3!U28)</f>
        <v/>
      </c>
      <c r="CE28" s="28" t="str">
        <f>IF($G28="","",$G28*(IF(ADRYr3!$AI28=CE$4,ADRYr3!$AJ28,IF(ADRYr3!$AK28=CE$4,ADRYr3!$AL28,IF(ADRYr3!$AM28=CE$4,ADRYr3!$AN28,0))))*(INDEX(avoidedcosttbl3,$H28,CE$2)+(($H28-ROUNDDOWN($H28,0))*(INDEX(avoidedcosttbl3,ROUNDUP($H28,0),CE$2)-(INDEX(avoidedcosttbl3,ROUNDDOWN($H28,0),CE$2)))))*ADRYr3!P28*ADRYr3!Q28*ADRYr3!U28)</f>
        <v/>
      </c>
      <c r="CF28" s="41" t="str">
        <f t="shared" si="72"/>
        <v/>
      </c>
      <c r="CG28" s="30" t="str">
        <f t="shared" si="10"/>
        <v/>
      </c>
      <c r="CH28" s="30" t="str">
        <f>IF($G28="","",$G28*(IF(ADRYr3!$AI28=BY$4,ADRYr3!$AJ28,IF(ADRYr3!$AK28=BY$4,ADRYr3!$AL28,IF(ADRYr3!$AM28=BY$4,ADRYr3!$AN28,0))))*(INDEX(avoidedcosttbl3,$H28,CH$2)+(($H28-ROUNDDOWN($H28,0))*(INDEX(avoidedcosttbl3,ROUNDUP($H28,0),CH$2)-(INDEX(avoidedcosttbl3,ROUNDDOWN($H28,0),CH$2)))))*ADRYr3!P28*ADRYr3!Q28*ADRYr3!U28)</f>
        <v/>
      </c>
      <c r="CI28" s="30" t="str">
        <f>IF($G28="","",$G28*(IF(ADRYr3!$AI28=BZ$4,ADRYr3!$AJ28,IF(ADRYr3!$AK28=BZ$4,ADRYr3!$AL28,IF(ADRYr3!$AM28=BZ$4,ADRYr3!$AN28,0))))*(INDEX(avoidedcosttbl3,$H28,CI$2)+(($H28-ROUNDDOWN($H28,0))*(INDEX(avoidedcosttbl3,ROUNDUP($H28,0),CI$2)-(INDEX(avoidedcosttbl3,ROUNDDOWN($H28,0),CI$2)))))*ADRYr3!P28*ADRYr3!Q28*ADRYr3!U28)</f>
        <v/>
      </c>
      <c r="CJ28" s="30" t="str">
        <f>IF($G28="","",$G28*(IF(ADRYr3!$AI28=CA$4,ADRYr3!$AJ28,IF(ADRYr3!$AK28=CA$4,ADRYr3!$AL28,IF(ADRYr3!$AM28=CA$4,ADRYr3!$AN28,0))))*(INDEX(avoidedcosttbl3,$H28,CJ$2)+(($H28-ROUNDDOWN($H28,0))*(INDEX(avoidedcosttbl3,ROUNDUP($H28,0),CJ$2)-(INDEX(avoidedcosttbl3,ROUNDDOWN($H28,0),CJ$2)))))*ADRYr3!P28*ADRYr3!Q28*ADRYr3!U28)</f>
        <v/>
      </c>
      <c r="CK28" s="30" t="str">
        <f>IF($G28="","",$G28*(IF(ADRYr3!$AI28=CB$4,ADRYr3!$AJ28,IF(ADRYr3!$AK28=CB$4,ADRYr3!$AL28,IF(ADRYr3!$AM28=CB$4,ADRYr3!$AN28,0))))*(INDEX(avoidedcosttbl3,$H28,CK$2)+(($H28-ROUNDDOWN($H28,0))*(INDEX(avoidedcosttbl3,ROUNDUP($H28,0),CK$2)-(INDEX(avoidedcosttbl3,ROUNDDOWN($H28,0),CK$2)))))*ADRYr3!P28*ADRYr3!Q28*ADRYr3!U28)</f>
        <v/>
      </c>
      <c r="CL28" s="30" t="str">
        <f>IF($G28="","",$G28*(IF(ADRYr3!$AI28=CC$4,ADRYr3!$AJ28,IF(ADRYr3!$AK28=CC$4,ADRYr3!$AL28,IF(ADRYr3!$AM28=CC$4,ADRYr3!$AN28,0))))*(INDEX(avoidedcosttbl3,$H28,CL$2)+(($H28-ROUNDDOWN($H28,0))*(INDEX(avoidedcosttbl3,ROUNDUP($H28,0),CL$2)-(INDEX(avoidedcosttbl3,ROUNDDOWN($H28,0),CL$2)))))*ADRYr3!P28*ADRYr3!Q28*ADRYr3!U28)</f>
        <v/>
      </c>
      <c r="CM28" s="30" t="str">
        <f>IF($G28="","",$G28*(IF(ADRYr3!$AI28=CD$4,ADRYr3!$AJ28,IF(ADRYr3!$AK28=CD$4,ADRYr3!$AL28,IF(ADRYr3!$AM28=CD$4,ADRYr3!$AN28,0))))*(INDEX(avoidedcosttbl3,$H28,CM$2)+(($H28-ROUNDDOWN($H28,0))*(INDEX(avoidedcosttbl3,ROUNDUP($H28,0),CM$2)-(INDEX(avoidedcosttbl3,ROUNDDOWN($H28,0),CM$2)))))*ADRYr3!P28*ADRYr3!Q28*ADRYr3!U28)</f>
        <v/>
      </c>
      <c r="CN28" s="30" t="str">
        <f>IF($G28="","",$G28*(IF(ADRYr3!$AI28=CE$4,ADRYr3!$AJ28,IF(ADRYr3!$AK28=CE$4,ADRYr3!$AL28,IF(ADRYr3!$AM28=CE$4,ADRYr3!$AN28,0))))*(INDEX(avoidedcosttbl3,$H28,CN$2)+(($H28-ROUNDDOWN($H28,0))*(INDEX(avoidedcosttbl3,ROUNDUP($H28,0),CN$2)-(INDEX(avoidedcosttbl3,ROUNDDOWN($H28,0),CN$2)))))*ADRYr3!P28*ADRYr3!Q28*ADRYr3!U28)</f>
        <v/>
      </c>
      <c r="CO28" s="220" t="str">
        <f t="shared" si="73"/>
        <v/>
      </c>
      <c r="CP28" s="220" t="str">
        <f t="shared" si="74"/>
        <v/>
      </c>
      <c r="CQ28" s="157" t="str">
        <f>IF($G28="","",$G28*(IF(ADRYr3!$AI28=CQ$4,ADRYr3!$AJ28,IF(ADRYr3!$AK28=CQ$4,ADRYr3!$AL28,IF(ADRYr3!$AM28=CQ$4,ADRYr3!$AN28,0))))*(INDEX(avoidedcosttbl3,$H28,CQ$2)+(($H28-ROUNDDOWN($H28,0))*(INDEX(avoidedcosttbl3,ROUNDUP($H28,0),CQ$2)-(INDEX(avoidedcosttbl3,ROUNDDOWN($H28,0),CQ$2)))))*ADRYr3!$P28*ADRYr3!$Q28*ADRYr3!$U28)</f>
        <v/>
      </c>
      <c r="CR28" s="28" t="str">
        <f>IF($G28="","",G28*(IF(ADRYr3!$AI28=CR$4,ADRYr3!$AJ28,IF(ADRYr3!$AK28=CR$4,ADRYr3!$AL28,IF(ADRYr3!$AM28=CR$4,ADRYr3!$AN28,0))))*(INDEX(avoidedcosttbl3,$H28,CR$2)+(($H28-ROUNDDOWN($H28,0))*(INDEX(avoidedcosttbl3,ROUNDUP($H28,0),CR$2)-(INDEX(avoidedcosttbl3,ROUNDDOWN($H28,0),CR$2)))))*ADRYr3!$P28*ADRYr3!$Q28*ADRYr3!$U28)</f>
        <v/>
      </c>
      <c r="CS28" s="28" t="str">
        <f>IF($G28="","",G28*(IF(ADRYr3!$AI28=CS$4,ADRYr3!$AJ28,IF(ADRYr3!$AK28=CS$4,ADRYr3!$AL28,IF(ADRYr3!$AM28=CS$4,ADRYr3!$AN28,0))))*(INDEX(avoidedcosttbl3,$H28,CS$2)+(($H28-ROUNDDOWN($H28,0))*(INDEX(avoidedcosttbl3,ROUNDUP($H28,0),CS$2)-(INDEX(avoidedcosttbl3,ROUNDDOWN($H28,0),CS$2)))))*ADRYr3!$P28*ADRYr3!$Q28*ADRYr3!$U28)</f>
        <v/>
      </c>
      <c r="CT28" s="28" t="str">
        <f t="shared" si="11"/>
        <v/>
      </c>
      <c r="CU28" s="28" t="str">
        <f>IF($G28="","",G28*(IF(ADRYr3!$AI28=CU$4,ADRYr3!$AJ28,IF(ADRYr3!$AK28=CU$4,ADRYr3!$AL28,IF(ADRYr3!$AM28=CU$4,ADRYr3!$AN28,0))))*(INDEX(avoidedcosttbl3,$H28,CU$2)+(($H28-ROUNDDOWN($H28,0))*(INDEX(avoidedcosttbl3,ROUNDUP($H28,0),CU$2)-(INDEX(avoidedcosttbl3,ROUNDDOWN($H28,0),CU$2)))))*ADRYr3!$P28*ADRYr3!$Q28*ADRYr3!$U28)</f>
        <v/>
      </c>
      <c r="CV28" s="28" t="str">
        <f>IF($G28="","",G28*(IF(ADRYr3!$AI28=CV$4,ADRYr3!$AJ28,IF(ADRYr3!$AK28=CV$4,ADRYr3!$AL28,IF(ADRYr3!$AM28=CV$4,ADRYr3!$AN28,0))))*(INDEX(avoidedcosttbl3,$H28,CV$2)+(($H28-ROUNDDOWN($H28,0))*(INDEX(avoidedcosttbl3,ROUNDUP($H28,0),CV$2)-(INDEX(avoidedcosttbl3,ROUNDDOWN($H28,0),CV$2)))))*ADRYr3!$P28*ADRYr3!$Q28*ADRYr3!$U28)</f>
        <v/>
      </c>
      <c r="CW28" s="28" t="str">
        <f>IF($G28="","",G28*(IF(ADRYr3!$AI28=CW$4,ADRYr3!$AJ28,IF(ADRYr3!$AK28=CW$4,ADRYr3!$AL28,IF(ADRYr3!$AM28=CW$4,ADRYr3!$AN28,0))))*(INDEX(avoidedcosttbl3,$H28,CW$2)+(($H28-ROUNDDOWN($H28,0))*(INDEX(avoidedcosttbl3,ROUNDUP($H28,0),CW$2)-(INDEX(avoidedcosttbl3,ROUNDDOWN($H28,0),CW$2)))))*ADRYr3!$P28*ADRYr3!$Q28*ADRYr3!$U28)</f>
        <v/>
      </c>
      <c r="CX28" s="28" t="str">
        <f>IF($G28="","",G28*(IF(ADRYr3!$AI28=CX$4,ADRYr3!$AJ28,IF(ADRYr3!$AK28=CX$4,ADRYr3!$AL28,IF(ADRYr3!$AM28=CX$4,ADRYr3!$AN28,0))))*(INDEX(avoidedcosttbl3,$H28,CX$2)+(($H28-ROUNDDOWN($H28,0))*(INDEX(avoidedcosttbl3,ROUNDUP($H28,0),CX$2)-(INDEX(avoidedcosttbl3,ROUNDDOWN($H28,0),CX$2)))))*ADRYr3!$P28*ADRYr3!$Q28*ADRYr3!$U28)</f>
        <v/>
      </c>
      <c r="CY28" s="28" t="str">
        <f t="shared" si="75"/>
        <v/>
      </c>
      <c r="CZ28" s="32" t="str">
        <f t="shared" si="76"/>
        <v/>
      </c>
      <c r="DA28" s="84" t="str">
        <f t="shared" si="77"/>
        <v/>
      </c>
      <c r="DB28" s="81" t="str">
        <f>IF(NEIadder="Yes",IF($G28="","",INDEX(Lookups!$G$70:$G$71,MATCH($A28,Lookups!$E$70:$E$71,0))*(SUM(CP28:CX28,BX28))),"")</f>
        <v/>
      </c>
      <c r="DC28" s="263" t="str">
        <f t="shared" si="78"/>
        <v/>
      </c>
      <c r="DD28" s="166" t="str">
        <f t="shared" si="79"/>
        <v/>
      </c>
      <c r="DE28" s="82">
        <f t="shared" si="80"/>
        <v>0</v>
      </c>
      <c r="DF28" s="615" t="str">
        <f>IF($G28="","",(1+WntPeakEnergyLL)*(INDEX(avoidedcosttbl3,$H28,DF$2)+(($H28-ROUNDDOWN($H28,0))*(INDEX(avoidedcosttbl3,ROUNDUP($H28,0),DF$2)-(INDEX(avoidedcosttbl3,ROUNDDOWN($H28,0),DF$2)))))*$P28*1000*ADRYr3!Z28)</f>
        <v/>
      </c>
      <c r="DG28" s="615" t="str">
        <f>IF($G28="","",(1+WntOffPeakEnergyLL)*(INDEX(avoidedcosttbl3,$H28,DG$2)+(($H28-ROUNDDOWN($H28,0))*(INDEX(avoidedcosttbl3,ROUNDUP($H28,0),DG$2)-(INDEX(avoidedcosttbl3,ROUNDDOWN($H28,0),DG$2)))))*$P28*1000*ADRYr3!AA28)</f>
        <v/>
      </c>
      <c r="DH28" s="615" t="str">
        <f>IF($G28="","",(1+SumPeakEnergyLL)*(INDEX(avoidedcosttbl3,$H28,DH$2)+(($H28-ROUNDDOWN($H28,0))*(INDEX(avoidedcosttbl3,ROUNDUP($H28,0),DH$2)-(INDEX(avoidedcosttbl3,ROUNDDOWN($H28,0),DH$2)))))*$P28*1000*ADRYr3!AB28)</f>
        <v/>
      </c>
      <c r="DI28" s="615" t="str">
        <f>IF($G28="","",(1+SumOffPeakEnergyLL)*(INDEX(avoidedcosttbl3,$H28,DI$2)+(($H28-ROUNDDOWN($H28,0))*(INDEX(avoidedcosttbl3,ROUNDUP($H28,0),DI$2)-(INDEX(avoidedcosttbl3,ROUNDDOWN($H28,0),DI$2)))))*$P28*1000*ADRYr3!AC28)</f>
        <v/>
      </c>
      <c r="DJ28" s="29" t="str">
        <f t="shared" si="81"/>
        <v/>
      </c>
      <c r="DK28" s="161" t="str">
        <f t="shared" si="45"/>
        <v/>
      </c>
      <c r="DL28" s="1189" t="str">
        <f t="shared" si="46"/>
        <v/>
      </c>
      <c r="DM28" s="1189" t="str">
        <f t="shared" si="47"/>
        <v/>
      </c>
      <c r="DN28" s="43" t="str">
        <f t="shared" si="48"/>
        <v/>
      </c>
      <c r="DO28" s="966" t="str">
        <f>IF($G28="","",ADRYr3!AQ28)</f>
        <v/>
      </c>
      <c r="DP28" s="968" t="str">
        <f>IF($G28="","",ADRYr3!AR28)</f>
        <v/>
      </c>
      <c r="DQ28" s="970" t="str">
        <f>IF($G28="","",IF($DP28="Yes",COLUMN(AESC!$L$10),IF($DP28="No","Using AvoidedDemand tab",IF($DP28="Mixed",COLUMN(AESC!$N$10)))))</f>
        <v/>
      </c>
      <c r="DR28" s="970" t="str">
        <f>IF($G28="","",IF($DP28="Yes",COLUMN(AESC!$P$10),IF($DP28="No","Using AvoidedDemand tab",IF($DP28="Mixed",COLUMN(AESC!$R$10)))))</f>
        <v/>
      </c>
      <c r="DS28" s="970" t="str">
        <f>IF($G28="","",IF($DP28="Yes",COLUMN(AESC!$S$10),IF($DP28="No",COLUMN(AESC!$T$10),IF($DP28="Mixed",COLUMN(AESC!$U$10)))))</f>
        <v/>
      </c>
      <c r="DT28" s="970" t="str">
        <f t="shared" si="49"/>
        <v/>
      </c>
      <c r="DU28" s="970" t="str">
        <f>IF($G28="","",ADRYr3!AS28)</f>
        <v/>
      </c>
      <c r="DV28" s="971" t="str">
        <f>IF($G28="","",ADRYr3!AT28)</f>
        <v/>
      </c>
      <c r="DW28" s="1162" t="str">
        <f>IF($G28="","",INDEX(AvoidedEnergy!$H$4:$H$10,MATCH($DO28,AvoidedEnergy!$A$4:$A$10,0)))</f>
        <v/>
      </c>
    </row>
    <row r="29" spans="1:127">
      <c r="A29" s="160" t="str">
        <f>IF(ADRYr3!$B29=0,"",ADRYr3!A29)</f>
        <v>C - Commercial &amp; Industrial</v>
      </c>
      <c r="B29" s="9" t="str">
        <f>IF(ADRYr3!$B29=0,"",ADRYr3!B29)</f>
        <v>C5 - C&amp;I Active Demand Response</v>
      </c>
      <c r="C29" s="9" t="str">
        <f>IF(ADRYr3!$B29=0,"",ADRYr3!C29)</f>
        <v>C5a - C&amp;I Active Demand Response</v>
      </c>
      <c r="D29" s="9" t="str">
        <f>IF(ADRYr3!$B29=0,"",ADRYr3!D29)</f>
        <v>Load Curtailment Targeted Dispatch P4P Summer</v>
      </c>
      <c r="E29" s="9" t="str">
        <f>IF(ADRYr3!$B29=0,"",ADRYr3!E29)</f>
        <v>E21C5a001</v>
      </c>
      <c r="F29" s="11" t="str">
        <f>IF(ADRYr3!$B29=0,"",ADRYr3!F29)</f>
        <v>Behavior</v>
      </c>
      <c r="G29" s="12">
        <f>IF(ADRYr3!$G29&lt;&gt;0,ADRYr3!G29,"")</f>
        <v>22.05</v>
      </c>
      <c r="H29" s="960">
        <f>IF($G29="","",ROUND(ADRYr3!H29,0))</f>
        <v>1</v>
      </c>
      <c r="I29" s="47">
        <f>IF($G29="","",ADRYr3!I29*ADRYr3!P29*G29)</f>
        <v>60775.3125</v>
      </c>
      <c r="J29" s="47">
        <f>IF($G29="","",ADRYr3!J29*G29)</f>
        <v>60775.3125</v>
      </c>
      <c r="K29" s="47">
        <f t="shared" si="50"/>
        <v>0</v>
      </c>
      <c r="L29" s="27">
        <f>IF($G29="","",ADRYr3!V29*G29/1000)</f>
        <v>0</v>
      </c>
      <c r="M29" s="27">
        <f>IF($G29="","",L29*ADRYr3!$Q29*ADRYr3!$R29)</f>
        <v>0</v>
      </c>
      <c r="N29" s="27">
        <f t="shared" si="51"/>
        <v>0</v>
      </c>
      <c r="O29" s="27">
        <f t="shared" si="52"/>
        <v>0</v>
      </c>
      <c r="P29" s="27">
        <f>IF($G29="","",M29*ADRYr3!P29)</f>
        <v>0</v>
      </c>
      <c r="Q29" s="27">
        <f t="shared" si="53"/>
        <v>0</v>
      </c>
      <c r="R29" s="27">
        <f>IF($G29="","",$Q29*ADRYr3!Z29)</f>
        <v>0</v>
      </c>
      <c r="S29" s="27">
        <f>IF($G29="","",$Q29*ADRYr3!AA29)</f>
        <v>0</v>
      </c>
      <c r="T29" s="27">
        <f>IF($G29="","",$Q29*ADRYr3!AB29)</f>
        <v>0</v>
      </c>
      <c r="U29" s="27">
        <f>IF($G29="","",$Q29*ADRYr3!AC29)</f>
        <v>0</v>
      </c>
      <c r="V29" s="27">
        <f>IF($G29="","",G29*ADRYr3!$AD29*ADRYr3!$P29*ADRYr3!$Q29)</f>
        <v>3516.9749999999999</v>
      </c>
      <c r="W29" s="27">
        <f>IF($G29="","",$G29*ADRYr3!$AD29*ADRYr3!$AF29*ADRYr3!Q29*ADRYr3!$S29)</f>
        <v>0</v>
      </c>
      <c r="X29" s="27">
        <f>IF($G29="","",$G29*ADRYr3!$AD29*ADRYr3!$AF29*ADRYr3!P29*ADRYr3!Q29*ADRYr3!$S29)</f>
        <v>0</v>
      </c>
      <c r="Y29" s="27">
        <f>IF($G29="","",$G29*ADRYr3!$AD29*ADRYr3!$AE29*ADRYr3!Q29*ADRYr3!$T29)</f>
        <v>3516.9749999999999</v>
      </c>
      <c r="Z29" s="27">
        <f>IF($G29="","",$G29*ADRYr3!$AD29*ADRYr3!$AE29*ADRYr3!P29*ADRYr3!Q29*ADRYr3!$T29)</f>
        <v>3516.9749999999999</v>
      </c>
      <c r="AA29" s="45">
        <f>IF($G29="","",$G29*ADRYr3!$Q29*ADRYr3!$U29*(IF(IFERROR(SEARCH("NG", ADRYr3!$AI29),0),ADRYr3!$AJ29,0)+IF(IFERROR(SEARCH("NG", ADRYr3!$AK29),0),ADRYr3!$AL29,0)+IF(IFERROR(SEARCH("NG", ADRYr3!$AM29),0),ADRYr3!$AN29,0)))</f>
        <v>0</v>
      </c>
      <c r="AB29" s="45">
        <f t="shared" si="54"/>
        <v>0</v>
      </c>
      <c r="AC29" s="45">
        <f>IF($G29="",0,AA29*ADRYr3!$P29)</f>
        <v>0</v>
      </c>
      <c r="AD29" s="45">
        <f t="shared" si="55"/>
        <v>0</v>
      </c>
      <c r="AE29" s="45">
        <f>IF($G29="","",$G29*ADRYr3!$Q29*ADRYr3!$U29*(IF(IFERROR(SEARCH("Oil", ADRYr3!$AI29), 0),ADRYr3!$AJ29,0)+IF(IFERROR(SEARCH("Oil", ADRYr3!$AK29), 0),ADRYr3!$AL29,0)+IF(IFERROR(SEARCH("Oil", ADRYr3!$AM29), 0),ADRYr3!$AN29,0)))</f>
        <v>0</v>
      </c>
      <c r="AF29" s="45">
        <f t="shared" si="56"/>
        <v>0</v>
      </c>
      <c r="AG29" s="45">
        <f>IF($G29="",0,AE29*ADRYr3!$P29)</f>
        <v>0</v>
      </c>
      <c r="AH29" s="45">
        <f t="shared" si="57"/>
        <v>0</v>
      </c>
      <c r="AI29" s="45">
        <f>IF($G29="","",$G29*ADRYr3!$Q29*ADRYr3!$U29*(IF(ADRYr3!$AI29=Lookups!$E$116,ADRYr3!$AJ29,IF(ADRYr3!$AK29=Lookups!$E$116,ADRYr3!$AL29,IF(ADRYr3!$AM29=Lookups!$E$116,ADRYr3!$AN29,0)))))</f>
        <v>0</v>
      </c>
      <c r="AJ29" s="45">
        <f t="shared" si="58"/>
        <v>0</v>
      </c>
      <c r="AK29" s="45">
        <f>IF($G29="",0,AI29*ADRYr3!$P29)</f>
        <v>0</v>
      </c>
      <c r="AL29" s="45">
        <f t="shared" si="59"/>
        <v>0</v>
      </c>
      <c r="AM29" s="45">
        <f>IF($G29="","",$G29*ADRYr3!$Q29*ADRYr3!$U29*(IF(ADRYr3!$AI29=Lookups!$E$115,ADRYr3!$AJ29,IF(ADRYr3!$AK29=Lookups!$E$115,ADRYr3!$AL29,IF(ADRYr3!$AM29=Lookups!$E$115,ADRYr3!$AN29,0)))))</f>
        <v>0</v>
      </c>
      <c r="AN29" s="45">
        <f t="shared" si="60"/>
        <v>0</v>
      </c>
      <c r="AO29" s="45">
        <f>IF($G29="",0,AM29*ADRYr3!$P29)</f>
        <v>0</v>
      </c>
      <c r="AP29" s="45">
        <f t="shared" si="61"/>
        <v>0</v>
      </c>
      <c r="AQ29" s="45">
        <f>IF($G29="","",$G29*ADRYr3!$Q29*ADRYr3!$U29*(IF(ADRYr3!$AI29=Lookups!$E$117,ADRYr3!$AJ29,IF(ADRYr3!$AK29=Lookups!$E$117,ADRYr3!$AL29,IF(ADRYr3!$AM29=Lookups!$E$117,ADRYr3!$AN29,0)))))</f>
        <v>0</v>
      </c>
      <c r="AR29" s="45">
        <f t="shared" si="62"/>
        <v>0</v>
      </c>
      <c r="AS29" s="45">
        <f>IF($G29="","",AQ29*ADRYr3!$P29)</f>
        <v>0</v>
      </c>
      <c r="AT29" s="45">
        <f t="shared" si="63"/>
        <v>0</v>
      </c>
      <c r="AU29" s="45">
        <f>IF($G29="","",$G29*ADRYr3!$Q29*ADRYr3!$U29*(IF(ADRYr3!$AI29=Lookups!$E$118,ADRYr3!$AJ29,IF(ADRYr3!$AK29=Lookups!$E$118,ADRYr3!$AL29,IF(ADRYr3!$AM29=Lookups!$E$118,ADRYr3!$AN29,0)))))</f>
        <v>0</v>
      </c>
      <c r="AV29" s="45">
        <f t="shared" si="64"/>
        <v>0</v>
      </c>
      <c r="AW29" s="45">
        <f>IF($G29="","",AU29*ADRYr3!$P29)</f>
        <v>0</v>
      </c>
      <c r="AX29" s="45">
        <f t="shared" si="65"/>
        <v>0</v>
      </c>
      <c r="AY29" s="45">
        <f t="shared" si="66"/>
        <v>0</v>
      </c>
      <c r="AZ29" s="45">
        <f t="shared" si="67"/>
        <v>0</v>
      </c>
      <c r="BA29" s="101">
        <f>IF($G29="","",$G29*ADRYr3!$P29*ADRYr3!$Q29*ADRYr3!$U29*ADRYr3!AO29)</f>
        <v>0</v>
      </c>
      <c r="BB29" s="102">
        <f>IF($G29="","",$G29*ADRYr3!$P29*ADRYr3!$Q29*ADRYr3!$U29*ADRYr3!AP29)</f>
        <v>0</v>
      </c>
      <c r="BC29" s="100">
        <f t="shared" si="68"/>
        <v>0</v>
      </c>
      <c r="BD29" s="961"/>
      <c r="BE29" s="961"/>
      <c r="BF29" s="961"/>
      <c r="BG29" s="961"/>
      <c r="BH29" s="962">
        <f t="shared" si="3"/>
        <v>0</v>
      </c>
      <c r="BI29" s="961"/>
      <c r="BJ29" s="961"/>
      <c r="BK29" s="961"/>
      <c r="BL29" s="961"/>
      <c r="BM29" s="30">
        <f t="shared" si="4"/>
        <v>0</v>
      </c>
      <c r="BN29" s="963">
        <f t="shared" si="31"/>
        <v>0</v>
      </c>
      <c r="BO29" s="31">
        <f t="shared" si="69"/>
        <v>0</v>
      </c>
      <c r="BP29" s="964">
        <f t="shared" si="5"/>
        <v>29756.738945135738</v>
      </c>
      <c r="BQ29" s="28">
        <f t="shared" si="6"/>
        <v>0</v>
      </c>
      <c r="BR29" s="964">
        <f t="shared" si="7"/>
        <v>12613.570555550505</v>
      </c>
      <c r="BS29" s="964">
        <f t="shared" si="8"/>
        <v>0</v>
      </c>
      <c r="BT29" s="28">
        <f t="shared" si="82"/>
        <v>387618.81908471335</v>
      </c>
      <c r="BU29" s="28">
        <f t="shared" si="82"/>
        <v>0</v>
      </c>
      <c r="BV29" s="28">
        <f t="shared" si="82"/>
        <v>471257.96369686909</v>
      </c>
      <c r="BW29" s="29">
        <f t="shared" si="70"/>
        <v>901247.09228226868</v>
      </c>
      <c r="BX29" s="29">
        <f t="shared" si="71"/>
        <v>901247.09228226868</v>
      </c>
      <c r="BY29" s="28">
        <f>IF($G29="","",$G29*(IF(ADRYr3!$AI29=BY$4,ADRYr3!$AJ29,IF(ADRYr3!$AK29=BY$4,ADRYr3!$AL29,IF(ADRYr3!$AM29=BY$4,ADRYr3!$AN29,0))))*(INDEX(avoidedcosttbl3,$H29,BY$2)+(($H29-ROUNDDOWN($H29,0))*(INDEX(avoidedcosttbl3,ROUNDUP($H29,0),BY$2)-(INDEX(avoidedcosttbl3,ROUNDDOWN($H29,0),BY$2)))))*ADRYr3!P29*ADRYr3!Q29*ADRYr3!U29)</f>
        <v>0</v>
      </c>
      <c r="BZ29" s="28">
        <f>IF($G29="","",$G29*(IF(ADRYr3!$AI29=BZ$4,ADRYr3!$AJ29,IF(ADRYr3!$AK29=BZ$4,ADRYr3!$AL29,IF(ADRYr3!$AM29=BZ$4,ADRYr3!$AN29,0))))*(INDEX(avoidedcosttbl3,$H29,BZ$2)+(($H29-ROUNDDOWN($H29,0))*(INDEX(avoidedcosttbl3,ROUNDUP($H29,0),BZ$2)-(INDEX(avoidedcosttbl3,ROUNDDOWN($H29,0),BZ$2)))))*ADRYr3!P29*ADRYr3!Q29*ADRYr3!U29)</f>
        <v>0</v>
      </c>
      <c r="CA29" s="28">
        <f>IF($G29="","",$G29*(IF(ADRYr3!$AI29=CA$4,ADRYr3!$AJ29,IF(ADRYr3!$AK29=CA$4,ADRYr3!$AL29,IF(ADRYr3!$AM29=CA$4,ADRYr3!$AN29,0))))*(INDEX(avoidedcosttbl3,$H29,CA$2)+(($H29-ROUNDDOWN($H29,0))*(INDEX(avoidedcosttbl3,ROUNDUP($H29,0),CA$2)-(INDEX(avoidedcosttbl3,ROUNDDOWN($H29,0),CA$2)))))*ADRYr3!P29*ADRYr3!Q29*ADRYr3!U29)</f>
        <v>0</v>
      </c>
      <c r="CB29" s="28">
        <f>IF($G29="","",$G29*(IF(ADRYr3!$AI29=CB$4,ADRYr3!$AJ29,IF(ADRYr3!$AK29=CB$4,ADRYr3!$AL29,IF(ADRYr3!$AM29=CB$4,ADRYr3!$AN29,0))))*(INDEX(avoidedcosttbl3,$H29,CB$2)+(($H29-ROUNDDOWN($H29,0))*(INDEX(avoidedcosttbl3,ROUNDUP($H29,0),CB$2)-(INDEX(avoidedcosttbl3,ROUNDDOWN($H29,0),CB$2)))))*ADRYr3!P29*ADRYr3!Q29*ADRYr3!U29)</f>
        <v>0</v>
      </c>
      <c r="CC29" s="28">
        <f>IF($G29="","",$G29*(IF(ADRYr3!$AI29=CC$4,ADRYr3!$AJ29,IF(ADRYr3!$AK29=CC$4,ADRYr3!$AL29,IF(ADRYr3!$AM29=CC$4,ADRYr3!$AN29,0))))*(INDEX(avoidedcosttbl3,$H29,CC$2)+(($H29-ROUNDDOWN($H29,0))*(INDEX(avoidedcosttbl3,ROUNDUP($H29,0),CC$2)-(INDEX(avoidedcosttbl3,ROUNDDOWN($H29,0),CC$2)))))*ADRYr3!P29*ADRYr3!Q29*ADRYr3!U29)</f>
        <v>0</v>
      </c>
      <c r="CD29" s="28">
        <f>IF($G29="","",$G29*(IF(ADRYr3!$AI29=CD$4,ADRYr3!$AJ29,IF(ADRYr3!$AK29=CD$4,ADRYr3!$AL29,IF(ADRYr3!$AM29=CD$4,ADRYr3!$AN29,0))))*(INDEX(avoidedcosttbl3,$H29,CD$2)+(($H29-ROUNDDOWN($H29,0))*(INDEX(avoidedcosttbl3,ROUNDUP($H29,0),CD$2)-(INDEX(avoidedcosttbl3,ROUNDDOWN($H29,0),CD$2)))))*ADRYr3!P29*ADRYr3!Q29*ADRYr3!U29)</f>
        <v>0</v>
      </c>
      <c r="CE29" s="28">
        <f>IF($G29="","",$G29*(IF(ADRYr3!$AI29=CE$4,ADRYr3!$AJ29,IF(ADRYr3!$AK29=CE$4,ADRYr3!$AL29,IF(ADRYr3!$AM29=CE$4,ADRYr3!$AN29,0))))*(INDEX(avoidedcosttbl3,$H29,CE$2)+(($H29-ROUNDDOWN($H29,0))*(INDEX(avoidedcosttbl3,ROUNDUP($H29,0),CE$2)-(INDEX(avoidedcosttbl3,ROUNDDOWN($H29,0),CE$2)))))*ADRYr3!P29*ADRYr3!Q29*ADRYr3!U29)</f>
        <v>0</v>
      </c>
      <c r="CF29" s="41">
        <f t="shared" si="72"/>
        <v>0</v>
      </c>
      <c r="CG29" s="30">
        <f t="shared" si="10"/>
        <v>0</v>
      </c>
      <c r="CH29" s="30">
        <f>IF($G29="","",$G29*(IF(ADRYr3!$AI29=BY$4,ADRYr3!$AJ29,IF(ADRYr3!$AK29=BY$4,ADRYr3!$AL29,IF(ADRYr3!$AM29=BY$4,ADRYr3!$AN29,0))))*(INDEX(avoidedcosttbl3,$H29,CH$2)+(($H29-ROUNDDOWN($H29,0))*(INDEX(avoidedcosttbl3,ROUNDUP($H29,0),CH$2)-(INDEX(avoidedcosttbl3,ROUNDDOWN($H29,0),CH$2)))))*ADRYr3!P29*ADRYr3!Q29*ADRYr3!U29)</f>
        <v>0</v>
      </c>
      <c r="CI29" s="30">
        <f>IF($G29="","",$G29*(IF(ADRYr3!$AI29=BZ$4,ADRYr3!$AJ29,IF(ADRYr3!$AK29=BZ$4,ADRYr3!$AL29,IF(ADRYr3!$AM29=BZ$4,ADRYr3!$AN29,0))))*(INDEX(avoidedcosttbl3,$H29,CI$2)+(($H29-ROUNDDOWN($H29,0))*(INDEX(avoidedcosttbl3,ROUNDUP($H29,0),CI$2)-(INDEX(avoidedcosttbl3,ROUNDDOWN($H29,0),CI$2)))))*ADRYr3!P29*ADRYr3!Q29*ADRYr3!U29)</f>
        <v>0</v>
      </c>
      <c r="CJ29" s="30">
        <f>IF($G29="","",$G29*(IF(ADRYr3!$AI29=CA$4,ADRYr3!$AJ29,IF(ADRYr3!$AK29=CA$4,ADRYr3!$AL29,IF(ADRYr3!$AM29=CA$4,ADRYr3!$AN29,0))))*(INDEX(avoidedcosttbl3,$H29,CJ$2)+(($H29-ROUNDDOWN($H29,0))*(INDEX(avoidedcosttbl3,ROUNDUP($H29,0),CJ$2)-(INDEX(avoidedcosttbl3,ROUNDDOWN($H29,0),CJ$2)))))*ADRYr3!P29*ADRYr3!Q29*ADRYr3!U29)</f>
        <v>0</v>
      </c>
      <c r="CK29" s="30">
        <f>IF($G29="","",$G29*(IF(ADRYr3!$AI29=CB$4,ADRYr3!$AJ29,IF(ADRYr3!$AK29=CB$4,ADRYr3!$AL29,IF(ADRYr3!$AM29=CB$4,ADRYr3!$AN29,0))))*(INDEX(avoidedcosttbl3,$H29,CK$2)+(($H29-ROUNDDOWN($H29,0))*(INDEX(avoidedcosttbl3,ROUNDUP($H29,0),CK$2)-(INDEX(avoidedcosttbl3,ROUNDDOWN($H29,0),CK$2)))))*ADRYr3!P29*ADRYr3!Q29*ADRYr3!U29)</f>
        <v>0</v>
      </c>
      <c r="CL29" s="30">
        <f>IF($G29="","",$G29*(IF(ADRYr3!$AI29=CC$4,ADRYr3!$AJ29,IF(ADRYr3!$AK29=CC$4,ADRYr3!$AL29,IF(ADRYr3!$AM29=CC$4,ADRYr3!$AN29,0))))*(INDEX(avoidedcosttbl3,$H29,CL$2)+(($H29-ROUNDDOWN($H29,0))*(INDEX(avoidedcosttbl3,ROUNDUP($H29,0),CL$2)-(INDEX(avoidedcosttbl3,ROUNDDOWN($H29,0),CL$2)))))*ADRYr3!P29*ADRYr3!Q29*ADRYr3!U29)</f>
        <v>0</v>
      </c>
      <c r="CM29" s="30">
        <f>IF($G29="","",$G29*(IF(ADRYr3!$AI29=CD$4,ADRYr3!$AJ29,IF(ADRYr3!$AK29=CD$4,ADRYr3!$AL29,IF(ADRYr3!$AM29=CD$4,ADRYr3!$AN29,0))))*(INDEX(avoidedcosttbl3,$H29,CM$2)+(($H29-ROUNDDOWN($H29,0))*(INDEX(avoidedcosttbl3,ROUNDUP($H29,0),CM$2)-(INDEX(avoidedcosttbl3,ROUNDDOWN($H29,0),CM$2)))))*ADRYr3!P29*ADRYr3!Q29*ADRYr3!U29)</f>
        <v>0</v>
      </c>
      <c r="CN29" s="30">
        <f>IF($G29="","",$G29*(IF(ADRYr3!$AI29=CE$4,ADRYr3!$AJ29,IF(ADRYr3!$AK29=CE$4,ADRYr3!$AL29,IF(ADRYr3!$AM29=CE$4,ADRYr3!$AN29,0))))*(INDEX(avoidedcosttbl3,$H29,CN$2)+(($H29-ROUNDDOWN($H29,0))*(INDEX(avoidedcosttbl3,ROUNDUP($H29,0),CN$2)-(INDEX(avoidedcosttbl3,ROUNDDOWN($H29,0),CN$2)))))*ADRYr3!P29*ADRYr3!Q29*ADRYr3!U29)</f>
        <v>0</v>
      </c>
      <c r="CO29" s="220">
        <f t="shared" si="73"/>
        <v>0</v>
      </c>
      <c r="CP29" s="220">
        <f t="shared" si="74"/>
        <v>0</v>
      </c>
      <c r="CQ29" s="157">
        <f>IF($G29="","",$G29*(IF(ADRYr3!$AI29=CQ$4,ADRYr3!$AJ29,IF(ADRYr3!$AK29=CQ$4,ADRYr3!$AL29,IF(ADRYr3!$AM29=CQ$4,ADRYr3!$AN29,0))))*(INDEX(avoidedcosttbl3,$H29,CQ$2)+(($H29-ROUNDDOWN($H29,0))*(INDEX(avoidedcosttbl3,ROUNDUP($H29,0),CQ$2)-(INDEX(avoidedcosttbl3,ROUNDDOWN($H29,0),CQ$2)))))*ADRYr3!$P29*ADRYr3!$Q29*ADRYr3!$U29)</f>
        <v>0</v>
      </c>
      <c r="CR29" s="28">
        <f>IF($G29="","",G29*(IF(ADRYr3!$AI29=CR$4,ADRYr3!$AJ29,IF(ADRYr3!$AK29=CR$4,ADRYr3!$AL29,IF(ADRYr3!$AM29=CR$4,ADRYr3!$AN29,0))))*(INDEX(avoidedcosttbl3,$H29,CR$2)+(($H29-ROUNDDOWN($H29,0))*(INDEX(avoidedcosttbl3,ROUNDUP($H29,0),CR$2)-(INDEX(avoidedcosttbl3,ROUNDDOWN($H29,0),CR$2)))))*ADRYr3!$P29*ADRYr3!$Q29*ADRYr3!$U29)</f>
        <v>0</v>
      </c>
      <c r="CS29" s="28">
        <f>IF($G29="","",G29*(IF(ADRYr3!$AI29=CS$4,ADRYr3!$AJ29,IF(ADRYr3!$AK29=CS$4,ADRYr3!$AL29,IF(ADRYr3!$AM29=CS$4,ADRYr3!$AN29,0))))*(INDEX(avoidedcosttbl3,$H29,CS$2)+(($H29-ROUNDDOWN($H29,0))*(INDEX(avoidedcosttbl3,ROUNDUP($H29,0),CS$2)-(INDEX(avoidedcosttbl3,ROUNDDOWN($H29,0),CS$2)))))*ADRYr3!$P29*ADRYr3!$Q29*ADRYr3!$U29)</f>
        <v>0</v>
      </c>
      <c r="CT29" s="28">
        <f t="shared" si="11"/>
        <v>0</v>
      </c>
      <c r="CU29" s="28">
        <f>IF($G29="","",G29*(IF(ADRYr3!$AI29=CU$4,ADRYr3!$AJ29,IF(ADRYr3!$AK29=CU$4,ADRYr3!$AL29,IF(ADRYr3!$AM29=CU$4,ADRYr3!$AN29,0))))*(INDEX(avoidedcosttbl3,$H29,CU$2)+(($H29-ROUNDDOWN($H29,0))*(INDEX(avoidedcosttbl3,ROUNDUP($H29,0),CU$2)-(INDEX(avoidedcosttbl3,ROUNDDOWN($H29,0),CU$2)))))*ADRYr3!$P29*ADRYr3!$Q29*ADRYr3!$U29)</f>
        <v>0</v>
      </c>
      <c r="CV29" s="28">
        <f>IF($G29="","",G29*(IF(ADRYr3!$AI29=CV$4,ADRYr3!$AJ29,IF(ADRYr3!$AK29=CV$4,ADRYr3!$AL29,IF(ADRYr3!$AM29=CV$4,ADRYr3!$AN29,0))))*(INDEX(avoidedcosttbl3,$H29,CV$2)+(($H29-ROUNDDOWN($H29,0))*(INDEX(avoidedcosttbl3,ROUNDUP($H29,0),CV$2)-(INDEX(avoidedcosttbl3,ROUNDDOWN($H29,0),CV$2)))))*ADRYr3!$P29*ADRYr3!$Q29*ADRYr3!$U29)</f>
        <v>0</v>
      </c>
      <c r="CW29" s="28">
        <f>IF($G29="","",G29*(IF(ADRYr3!$AI29=CW$4,ADRYr3!$AJ29,IF(ADRYr3!$AK29=CW$4,ADRYr3!$AL29,IF(ADRYr3!$AM29=CW$4,ADRYr3!$AN29,0))))*(INDEX(avoidedcosttbl3,$H29,CW$2)+(($H29-ROUNDDOWN($H29,0))*(INDEX(avoidedcosttbl3,ROUNDUP($H29,0),CW$2)-(INDEX(avoidedcosttbl3,ROUNDDOWN($H29,0),CW$2)))))*ADRYr3!$P29*ADRYr3!$Q29*ADRYr3!$U29)</f>
        <v>0</v>
      </c>
      <c r="CX29" s="28">
        <f>IF($G29="","",G29*(IF(ADRYr3!$AI29=CX$4,ADRYr3!$AJ29,IF(ADRYr3!$AK29=CX$4,ADRYr3!$AL29,IF(ADRYr3!$AM29=CX$4,ADRYr3!$AN29,0))))*(INDEX(avoidedcosttbl3,$H29,CX$2)+(($H29-ROUNDDOWN($H29,0))*(INDEX(avoidedcosttbl3,ROUNDUP($H29,0),CX$2)-(INDEX(avoidedcosttbl3,ROUNDDOWN($H29,0),CX$2)))))*ADRYr3!$P29*ADRYr3!$Q29*ADRYr3!$U29)</f>
        <v>0</v>
      </c>
      <c r="CY29" s="28">
        <f t="shared" si="75"/>
        <v>0</v>
      </c>
      <c r="CZ29" s="32">
        <f t="shared" si="76"/>
        <v>0</v>
      </c>
      <c r="DA29" s="84">
        <f t="shared" si="77"/>
        <v>0</v>
      </c>
      <c r="DB29" s="81" t="str">
        <f>IF(NEIadder="Yes",IF($G29="","",INDEX(Lookups!$G$70:$G$71,MATCH($A29,Lookups!$E$70:$E$71,0))*(SUM(CP29:CX29,BX29))),"")</f>
        <v/>
      </c>
      <c r="DC29" s="263" t="str">
        <f t="shared" si="78"/>
        <v/>
      </c>
      <c r="DD29" s="166">
        <f t="shared" si="79"/>
        <v>0</v>
      </c>
      <c r="DE29" s="82">
        <f t="shared" si="80"/>
        <v>0</v>
      </c>
      <c r="DF29" s="615">
        <f>IF($G29="","",(1+WntPeakEnergyLL)*(INDEX(avoidedcosttbl3,$H29,DF$2)+(($H29-ROUNDDOWN($H29,0))*(INDEX(avoidedcosttbl3,ROUNDUP($H29,0),DF$2)-(INDEX(avoidedcosttbl3,ROUNDDOWN($H29,0),DF$2)))))*$P29*1000*ADRYr3!Z29)</f>
        <v>0</v>
      </c>
      <c r="DG29" s="615">
        <f>IF($G29="","",(1+WntOffPeakEnergyLL)*(INDEX(avoidedcosttbl3,$H29,DG$2)+(($H29-ROUNDDOWN($H29,0))*(INDEX(avoidedcosttbl3,ROUNDUP($H29,0),DG$2)-(INDEX(avoidedcosttbl3,ROUNDDOWN($H29,0),DG$2)))))*$P29*1000*ADRYr3!AA29)</f>
        <v>0</v>
      </c>
      <c r="DH29" s="615">
        <f>IF($G29="","",(1+SumPeakEnergyLL)*(INDEX(avoidedcosttbl3,$H29,DH$2)+(($H29-ROUNDDOWN($H29,0))*(INDEX(avoidedcosttbl3,ROUNDUP($H29,0),DH$2)-(INDEX(avoidedcosttbl3,ROUNDDOWN($H29,0),DH$2)))))*$P29*1000*ADRYr3!AB29)</f>
        <v>0</v>
      </c>
      <c r="DI29" s="615">
        <f>IF($G29="","",(1+SumOffPeakEnergyLL)*(INDEX(avoidedcosttbl3,$H29,DI$2)+(($H29-ROUNDDOWN($H29,0))*(INDEX(avoidedcosttbl3,ROUNDUP($H29,0),DI$2)-(INDEX(avoidedcosttbl3,ROUNDDOWN($H29,0),DI$2)))))*$P29*1000*ADRYr3!AC29)</f>
        <v>0</v>
      </c>
      <c r="DJ29" s="29">
        <f t="shared" si="81"/>
        <v>0</v>
      </c>
      <c r="DK29" s="161">
        <f t="shared" si="45"/>
        <v>901247.09228226868</v>
      </c>
      <c r="DL29" s="1189">
        <f t="shared" si="46"/>
        <v>901247.09228226868</v>
      </c>
      <c r="DM29" s="1189">
        <f t="shared" si="47"/>
        <v>901247.09228226868</v>
      </c>
      <c r="DN29" s="43">
        <f t="shared" si="48"/>
        <v>901247.09228226868</v>
      </c>
      <c r="DO29" s="966" t="str">
        <f>IF($G29="","",ADRYr3!AQ29)</f>
        <v>Top 20 All Hours</v>
      </c>
      <c r="DP29" s="968" t="str">
        <f>IF($G29="","",ADRYr3!AR29)</f>
        <v>No</v>
      </c>
      <c r="DQ29" s="970" t="str">
        <f>IF($G29="","",IF($DP29="Yes",COLUMN(AESC!$L$10),IF($DP29="No","Using AvoidedDemand tab",IF($DP29="Mixed",COLUMN(AESC!$N$10)))))</f>
        <v>Using AvoidedDemand tab</v>
      </c>
      <c r="DR29" s="970" t="str">
        <f>IF($G29="","",IF($DP29="Yes",COLUMN(AESC!$P$10),IF($DP29="No","Using AvoidedDemand tab",IF($DP29="Mixed",COLUMN(AESC!$R$10)))))</f>
        <v>Using AvoidedDemand tab</v>
      </c>
      <c r="DS29" s="970">
        <f>IF($G29="","",IF($DP29="Yes",COLUMN(AESC!$S$10),IF($DP29="No",COLUMN(AESC!$T$10),IF($DP29="Mixed",COLUMN(AESC!$U$10)))))</f>
        <v>20</v>
      </c>
      <c r="DT29" s="970" t="str">
        <f t="shared" si="49"/>
        <v>2026-Top 20 All Hours-1</v>
      </c>
      <c r="DU29" s="970" t="str">
        <f>IF($G29="","",ADRYr3!AS29)</f>
        <v>No</v>
      </c>
      <c r="DV29" s="971">
        <f>IF($G29="","",ADRYr3!AT29)</f>
        <v>0.1</v>
      </c>
      <c r="DW29" s="1162">
        <f>IF($G29="","",INDEX(AvoidedEnergy!$H$4:$H$10,MATCH($DO29,AvoidedEnergy!$A$4:$A$10,0)))</f>
        <v>0.09</v>
      </c>
    </row>
    <row r="30" spans="1:127">
      <c r="A30" s="160" t="str">
        <f>IF(ADRYr3!$B30=0,"",ADRYr3!A30)</f>
        <v>C - Commercial &amp; Industrial</v>
      </c>
      <c r="B30" s="9" t="str">
        <f>IF(ADRYr3!$B30=0,"",ADRYr3!B30)</f>
        <v>C5 - C&amp;I Active Demand Response</v>
      </c>
      <c r="C30" s="9" t="str">
        <f>IF(ADRYr3!$B30=0,"",ADRYr3!C30)</f>
        <v>C5a - C&amp;I Active Demand Response</v>
      </c>
      <c r="D30" s="9" t="str">
        <f>IF(ADRYr3!$B30=0,"",ADRYr3!D30)</f>
        <v>Load Curtailment Targeted Dispatch P4P Winter</v>
      </c>
      <c r="E30" s="9">
        <f>IF(ADRYr3!$B30=0,"",ADRYr3!E30)</f>
        <v>0</v>
      </c>
      <c r="F30" s="11" t="str">
        <f>IF(ADRYr3!$B30=0,"",ADRYr3!F30)</f>
        <v>Behavior</v>
      </c>
      <c r="G30" s="12" t="str">
        <f>IF(ADRYr3!$G30&lt;&gt;0,ADRYr3!G30,"")</f>
        <v/>
      </c>
      <c r="H30" s="960" t="str">
        <f>IF($G30="","",ROUND(ADRYr3!H30,0))</f>
        <v/>
      </c>
      <c r="I30" s="47" t="str">
        <f>IF($G30="","",ADRYr3!I30*ADRYr3!P30*G30)</f>
        <v/>
      </c>
      <c r="J30" s="47" t="str">
        <f>IF($G30="","",ADRYr3!J30*G30)</f>
        <v/>
      </c>
      <c r="K30" s="47" t="str">
        <f t="shared" si="50"/>
        <v/>
      </c>
      <c r="L30" s="27" t="str">
        <f>IF($G30="","",ADRYr3!V30*G30/1000)</f>
        <v/>
      </c>
      <c r="M30" s="27" t="str">
        <f>IF($G30="","",L30*ADRYr3!$Q30*ADRYr3!$R30)</f>
        <v/>
      </c>
      <c r="N30" s="27" t="str">
        <f t="shared" si="51"/>
        <v/>
      </c>
      <c r="O30" s="27" t="str">
        <f t="shared" si="52"/>
        <v/>
      </c>
      <c r="P30" s="27" t="str">
        <f>IF($G30="","",M30*ADRYr3!P30)</f>
        <v/>
      </c>
      <c r="Q30" s="27" t="str">
        <f t="shared" si="53"/>
        <v/>
      </c>
      <c r="R30" s="27" t="str">
        <f>IF($G30="","",$Q30*ADRYr3!Z30)</f>
        <v/>
      </c>
      <c r="S30" s="27" t="str">
        <f>IF($G30="","",$Q30*ADRYr3!AA30)</f>
        <v/>
      </c>
      <c r="T30" s="27" t="str">
        <f>IF($G30="","",$Q30*ADRYr3!AB30)</f>
        <v/>
      </c>
      <c r="U30" s="27" t="str">
        <f>IF($G30="","",$Q30*ADRYr3!AC30)</f>
        <v/>
      </c>
      <c r="V30" s="27" t="str">
        <f>IF($G30="","",G30*ADRYr3!$AD30*ADRYr3!$P30*ADRYr3!$Q30)</f>
        <v/>
      </c>
      <c r="W30" s="27" t="str">
        <f>IF($G30="","",$G30*ADRYr3!$AD30*ADRYr3!$AF30*ADRYr3!Q30*ADRYr3!$S30)</f>
        <v/>
      </c>
      <c r="X30" s="27" t="str">
        <f>IF($G30="","",$G30*ADRYr3!$AD30*ADRYr3!$AF30*ADRYr3!P30*ADRYr3!Q30*ADRYr3!$S30)</f>
        <v/>
      </c>
      <c r="Y30" s="27" t="str">
        <f>IF($G30="","",$G30*ADRYr3!$AD30*ADRYr3!$AE30*ADRYr3!Q30*ADRYr3!$T30)</f>
        <v/>
      </c>
      <c r="Z30" s="27" t="str">
        <f>IF($G30="","",$G30*ADRYr3!$AD30*ADRYr3!$AE30*ADRYr3!P30*ADRYr3!Q30*ADRYr3!$T30)</f>
        <v/>
      </c>
      <c r="AA30" s="45" t="str">
        <f>IF($G30="","",$G30*ADRYr3!$Q30*ADRYr3!$U30*(IF(IFERROR(SEARCH("NG", ADRYr3!$AI30),0),ADRYr3!$AJ30,0)+IF(IFERROR(SEARCH("NG", ADRYr3!$AK30),0),ADRYr3!$AL30,0)+IF(IFERROR(SEARCH("NG", ADRYr3!$AM30),0),ADRYr3!$AN30,0)))</f>
        <v/>
      </c>
      <c r="AB30" s="45" t="str">
        <f t="shared" si="54"/>
        <v/>
      </c>
      <c r="AC30" s="45">
        <f>IF($G30="",0,AA30*ADRYr3!$P30)</f>
        <v>0</v>
      </c>
      <c r="AD30" s="45" t="str">
        <f t="shared" si="55"/>
        <v/>
      </c>
      <c r="AE30" s="45" t="str">
        <f>IF($G30="","",$G30*ADRYr3!$Q30*ADRYr3!$U30*(IF(IFERROR(SEARCH("Oil", ADRYr3!$AI30), 0),ADRYr3!$AJ30,0)+IF(IFERROR(SEARCH("Oil", ADRYr3!$AK30), 0),ADRYr3!$AL30,0)+IF(IFERROR(SEARCH("Oil", ADRYr3!$AM30), 0),ADRYr3!$AN30,0)))</f>
        <v/>
      </c>
      <c r="AF30" s="45" t="str">
        <f t="shared" si="56"/>
        <v/>
      </c>
      <c r="AG30" s="45">
        <f>IF($G30="",0,AE30*ADRYr3!$P30)</f>
        <v>0</v>
      </c>
      <c r="AH30" s="45" t="str">
        <f t="shared" si="57"/>
        <v/>
      </c>
      <c r="AI30" s="45" t="str">
        <f>IF($G30="","",$G30*ADRYr3!$Q30*ADRYr3!$U30*(IF(ADRYr3!$AI30=Lookups!$E$116,ADRYr3!$AJ30,IF(ADRYr3!$AK30=Lookups!$E$116,ADRYr3!$AL30,IF(ADRYr3!$AM30=Lookups!$E$116,ADRYr3!$AN30,0)))))</f>
        <v/>
      </c>
      <c r="AJ30" s="45" t="str">
        <f t="shared" si="58"/>
        <v/>
      </c>
      <c r="AK30" s="45">
        <f>IF($G30="",0,AI30*ADRYr3!$P30)</f>
        <v>0</v>
      </c>
      <c r="AL30" s="45" t="str">
        <f t="shared" si="59"/>
        <v/>
      </c>
      <c r="AM30" s="45" t="str">
        <f>IF($G30="","",$G30*ADRYr3!$Q30*ADRYr3!$U30*(IF(ADRYr3!$AI30=Lookups!$E$115,ADRYr3!$AJ30,IF(ADRYr3!$AK30=Lookups!$E$115,ADRYr3!$AL30,IF(ADRYr3!$AM30=Lookups!$E$115,ADRYr3!$AN30,0)))))</f>
        <v/>
      </c>
      <c r="AN30" s="45" t="str">
        <f t="shared" si="60"/>
        <v/>
      </c>
      <c r="AO30" s="45">
        <f>IF($G30="",0,AM30*ADRYr3!$P30)</f>
        <v>0</v>
      </c>
      <c r="AP30" s="45" t="str">
        <f t="shared" si="61"/>
        <v/>
      </c>
      <c r="AQ30" s="45" t="str">
        <f>IF($G30="","",$G30*ADRYr3!$Q30*ADRYr3!$U30*(IF(ADRYr3!$AI30=Lookups!$E$117,ADRYr3!$AJ30,IF(ADRYr3!$AK30=Lookups!$E$117,ADRYr3!$AL30,IF(ADRYr3!$AM30=Lookups!$E$117,ADRYr3!$AN30,0)))))</f>
        <v/>
      </c>
      <c r="AR30" s="45" t="str">
        <f t="shared" si="62"/>
        <v/>
      </c>
      <c r="AS30" s="45" t="str">
        <f>IF($G30="","",AQ30*ADRYr3!$P30)</f>
        <v/>
      </c>
      <c r="AT30" s="45" t="str">
        <f t="shared" si="63"/>
        <v/>
      </c>
      <c r="AU30" s="45" t="str">
        <f>IF($G30="","",$G30*ADRYr3!$Q30*ADRYr3!$U30*(IF(ADRYr3!$AI30=Lookups!$E$118,ADRYr3!$AJ30,IF(ADRYr3!$AK30=Lookups!$E$118,ADRYr3!$AL30,IF(ADRYr3!$AM30=Lookups!$E$118,ADRYr3!$AN30,0)))))</f>
        <v/>
      </c>
      <c r="AV30" s="45" t="str">
        <f t="shared" si="64"/>
        <v/>
      </c>
      <c r="AW30" s="45" t="str">
        <f>IF($G30="","",AU30*ADRYr3!$P30)</f>
        <v/>
      </c>
      <c r="AX30" s="45" t="str">
        <f t="shared" si="65"/>
        <v/>
      </c>
      <c r="AY30" s="45">
        <f t="shared" si="66"/>
        <v>0</v>
      </c>
      <c r="AZ30" s="45">
        <f t="shared" si="67"/>
        <v>0</v>
      </c>
      <c r="BA30" s="101" t="str">
        <f>IF($G30="","",$G30*ADRYr3!$P30*ADRYr3!$Q30*ADRYr3!$U30*ADRYr3!AO30)</f>
        <v/>
      </c>
      <c r="BB30" s="102" t="str">
        <f>IF($G30="","",$G30*ADRYr3!$P30*ADRYr3!$Q30*ADRYr3!$U30*ADRYr3!AP30)</f>
        <v/>
      </c>
      <c r="BC30" s="100" t="str">
        <f t="shared" si="68"/>
        <v/>
      </c>
      <c r="BD30" s="961"/>
      <c r="BE30" s="961"/>
      <c r="BF30" s="961"/>
      <c r="BG30" s="961"/>
      <c r="BH30" s="962" t="str">
        <f t="shared" si="3"/>
        <v/>
      </c>
      <c r="BI30" s="961"/>
      <c r="BJ30" s="961"/>
      <c r="BK30" s="961"/>
      <c r="BL30" s="961"/>
      <c r="BM30" s="30" t="str">
        <f t="shared" si="4"/>
        <v/>
      </c>
      <c r="BN30" s="963" t="str">
        <f t="shared" si="31"/>
        <v/>
      </c>
      <c r="BO30" s="31" t="str">
        <f t="shared" si="69"/>
        <v/>
      </c>
      <c r="BP30" s="964" t="str">
        <f t="shared" si="5"/>
        <v/>
      </c>
      <c r="BQ30" s="28" t="str">
        <f t="shared" si="6"/>
        <v/>
      </c>
      <c r="BR30" s="964" t="str">
        <f t="shared" si="7"/>
        <v/>
      </c>
      <c r="BS30" s="964" t="str">
        <f t="shared" si="8"/>
        <v/>
      </c>
      <c r="BT30" s="28" t="str">
        <f t="shared" si="82"/>
        <v/>
      </c>
      <c r="BU30" s="28" t="str">
        <f t="shared" si="82"/>
        <v/>
      </c>
      <c r="BV30" s="28" t="str">
        <f t="shared" si="82"/>
        <v/>
      </c>
      <c r="BW30" s="29" t="str">
        <f t="shared" si="70"/>
        <v/>
      </c>
      <c r="BX30" s="29" t="str">
        <f t="shared" si="71"/>
        <v/>
      </c>
      <c r="BY30" s="28" t="str">
        <f>IF($G30="","",$G30*(IF(ADRYr3!$AI30=BY$4,ADRYr3!$AJ30,IF(ADRYr3!$AK30=BY$4,ADRYr3!$AL30,IF(ADRYr3!$AM30=BY$4,ADRYr3!$AN30,0))))*(INDEX(avoidedcosttbl3,$H30,BY$2)+(($H30-ROUNDDOWN($H30,0))*(INDEX(avoidedcosttbl3,ROUNDUP($H30,0),BY$2)-(INDEX(avoidedcosttbl3,ROUNDDOWN($H30,0),BY$2)))))*ADRYr3!P30*ADRYr3!Q30*ADRYr3!U30)</f>
        <v/>
      </c>
      <c r="BZ30" s="28" t="str">
        <f>IF($G30="","",$G30*(IF(ADRYr3!$AI30=BZ$4,ADRYr3!$AJ30,IF(ADRYr3!$AK30=BZ$4,ADRYr3!$AL30,IF(ADRYr3!$AM30=BZ$4,ADRYr3!$AN30,0))))*(INDEX(avoidedcosttbl3,$H30,BZ$2)+(($H30-ROUNDDOWN($H30,0))*(INDEX(avoidedcosttbl3,ROUNDUP($H30,0),BZ$2)-(INDEX(avoidedcosttbl3,ROUNDDOWN($H30,0),BZ$2)))))*ADRYr3!P30*ADRYr3!Q30*ADRYr3!U30)</f>
        <v/>
      </c>
      <c r="CA30" s="28" t="str">
        <f>IF($G30="","",$G30*(IF(ADRYr3!$AI30=CA$4,ADRYr3!$AJ30,IF(ADRYr3!$AK30=CA$4,ADRYr3!$AL30,IF(ADRYr3!$AM30=CA$4,ADRYr3!$AN30,0))))*(INDEX(avoidedcosttbl3,$H30,CA$2)+(($H30-ROUNDDOWN($H30,0))*(INDEX(avoidedcosttbl3,ROUNDUP($H30,0),CA$2)-(INDEX(avoidedcosttbl3,ROUNDDOWN($H30,0),CA$2)))))*ADRYr3!P30*ADRYr3!Q30*ADRYr3!U30)</f>
        <v/>
      </c>
      <c r="CB30" s="28" t="str">
        <f>IF($G30="","",$G30*(IF(ADRYr3!$AI30=CB$4,ADRYr3!$AJ30,IF(ADRYr3!$AK30=CB$4,ADRYr3!$AL30,IF(ADRYr3!$AM30=CB$4,ADRYr3!$AN30,0))))*(INDEX(avoidedcosttbl3,$H30,CB$2)+(($H30-ROUNDDOWN($H30,0))*(INDEX(avoidedcosttbl3,ROUNDUP($H30,0),CB$2)-(INDEX(avoidedcosttbl3,ROUNDDOWN($H30,0),CB$2)))))*ADRYr3!P30*ADRYr3!Q30*ADRYr3!U30)</f>
        <v/>
      </c>
      <c r="CC30" s="28" t="str">
        <f>IF($G30="","",$G30*(IF(ADRYr3!$AI30=CC$4,ADRYr3!$AJ30,IF(ADRYr3!$AK30=CC$4,ADRYr3!$AL30,IF(ADRYr3!$AM30=CC$4,ADRYr3!$AN30,0))))*(INDEX(avoidedcosttbl3,$H30,CC$2)+(($H30-ROUNDDOWN($H30,0))*(INDEX(avoidedcosttbl3,ROUNDUP($H30,0),CC$2)-(INDEX(avoidedcosttbl3,ROUNDDOWN($H30,0),CC$2)))))*ADRYr3!P30*ADRYr3!Q30*ADRYr3!U30)</f>
        <v/>
      </c>
      <c r="CD30" s="28" t="str">
        <f>IF($G30="","",$G30*(IF(ADRYr3!$AI30=CD$4,ADRYr3!$AJ30,IF(ADRYr3!$AK30=CD$4,ADRYr3!$AL30,IF(ADRYr3!$AM30=CD$4,ADRYr3!$AN30,0))))*(INDEX(avoidedcosttbl3,$H30,CD$2)+(($H30-ROUNDDOWN($H30,0))*(INDEX(avoidedcosttbl3,ROUNDUP($H30,0),CD$2)-(INDEX(avoidedcosttbl3,ROUNDDOWN($H30,0),CD$2)))))*ADRYr3!P30*ADRYr3!Q30*ADRYr3!U30)</f>
        <v/>
      </c>
      <c r="CE30" s="28" t="str">
        <f>IF($G30="","",$G30*(IF(ADRYr3!$AI30=CE$4,ADRYr3!$AJ30,IF(ADRYr3!$AK30=CE$4,ADRYr3!$AL30,IF(ADRYr3!$AM30=CE$4,ADRYr3!$AN30,0))))*(INDEX(avoidedcosttbl3,$H30,CE$2)+(($H30-ROUNDDOWN($H30,0))*(INDEX(avoidedcosttbl3,ROUNDUP($H30,0),CE$2)-(INDEX(avoidedcosttbl3,ROUNDDOWN($H30,0),CE$2)))))*ADRYr3!P30*ADRYr3!Q30*ADRYr3!U30)</f>
        <v/>
      </c>
      <c r="CF30" s="41" t="str">
        <f t="shared" si="72"/>
        <v/>
      </c>
      <c r="CG30" s="30" t="str">
        <f t="shared" si="10"/>
        <v/>
      </c>
      <c r="CH30" s="30" t="str">
        <f>IF($G30="","",$G30*(IF(ADRYr3!$AI30=BY$4,ADRYr3!$AJ30,IF(ADRYr3!$AK30=BY$4,ADRYr3!$AL30,IF(ADRYr3!$AM30=BY$4,ADRYr3!$AN30,0))))*(INDEX(avoidedcosttbl3,$H30,CH$2)+(($H30-ROUNDDOWN($H30,0))*(INDEX(avoidedcosttbl3,ROUNDUP($H30,0),CH$2)-(INDEX(avoidedcosttbl3,ROUNDDOWN($H30,0),CH$2)))))*ADRYr3!P30*ADRYr3!Q30*ADRYr3!U30)</f>
        <v/>
      </c>
      <c r="CI30" s="30" t="str">
        <f>IF($G30="","",$G30*(IF(ADRYr3!$AI30=BZ$4,ADRYr3!$AJ30,IF(ADRYr3!$AK30=BZ$4,ADRYr3!$AL30,IF(ADRYr3!$AM30=BZ$4,ADRYr3!$AN30,0))))*(INDEX(avoidedcosttbl3,$H30,CI$2)+(($H30-ROUNDDOWN($H30,0))*(INDEX(avoidedcosttbl3,ROUNDUP($H30,0),CI$2)-(INDEX(avoidedcosttbl3,ROUNDDOWN($H30,0),CI$2)))))*ADRYr3!P30*ADRYr3!Q30*ADRYr3!U30)</f>
        <v/>
      </c>
      <c r="CJ30" s="30" t="str">
        <f>IF($G30="","",$G30*(IF(ADRYr3!$AI30=CA$4,ADRYr3!$AJ30,IF(ADRYr3!$AK30=CA$4,ADRYr3!$AL30,IF(ADRYr3!$AM30=CA$4,ADRYr3!$AN30,0))))*(INDEX(avoidedcosttbl3,$H30,CJ$2)+(($H30-ROUNDDOWN($H30,0))*(INDEX(avoidedcosttbl3,ROUNDUP($H30,0),CJ$2)-(INDEX(avoidedcosttbl3,ROUNDDOWN($H30,0),CJ$2)))))*ADRYr3!P30*ADRYr3!Q30*ADRYr3!U30)</f>
        <v/>
      </c>
      <c r="CK30" s="30" t="str">
        <f>IF($G30="","",$G30*(IF(ADRYr3!$AI30=CB$4,ADRYr3!$AJ30,IF(ADRYr3!$AK30=CB$4,ADRYr3!$AL30,IF(ADRYr3!$AM30=CB$4,ADRYr3!$AN30,0))))*(INDEX(avoidedcosttbl3,$H30,CK$2)+(($H30-ROUNDDOWN($H30,0))*(INDEX(avoidedcosttbl3,ROUNDUP($H30,0),CK$2)-(INDEX(avoidedcosttbl3,ROUNDDOWN($H30,0),CK$2)))))*ADRYr3!P30*ADRYr3!Q30*ADRYr3!U30)</f>
        <v/>
      </c>
      <c r="CL30" s="30" t="str">
        <f>IF($G30="","",$G30*(IF(ADRYr3!$AI30=CC$4,ADRYr3!$AJ30,IF(ADRYr3!$AK30=CC$4,ADRYr3!$AL30,IF(ADRYr3!$AM30=CC$4,ADRYr3!$AN30,0))))*(INDEX(avoidedcosttbl3,$H30,CL$2)+(($H30-ROUNDDOWN($H30,0))*(INDEX(avoidedcosttbl3,ROUNDUP($H30,0),CL$2)-(INDEX(avoidedcosttbl3,ROUNDDOWN($H30,0),CL$2)))))*ADRYr3!P30*ADRYr3!Q30*ADRYr3!U30)</f>
        <v/>
      </c>
      <c r="CM30" s="30" t="str">
        <f>IF($G30="","",$G30*(IF(ADRYr3!$AI30=CD$4,ADRYr3!$AJ30,IF(ADRYr3!$AK30=CD$4,ADRYr3!$AL30,IF(ADRYr3!$AM30=CD$4,ADRYr3!$AN30,0))))*(INDEX(avoidedcosttbl3,$H30,CM$2)+(($H30-ROUNDDOWN($H30,0))*(INDEX(avoidedcosttbl3,ROUNDUP($H30,0),CM$2)-(INDEX(avoidedcosttbl3,ROUNDDOWN($H30,0),CM$2)))))*ADRYr3!P30*ADRYr3!Q30*ADRYr3!U30)</f>
        <v/>
      </c>
      <c r="CN30" s="30" t="str">
        <f>IF($G30="","",$G30*(IF(ADRYr3!$AI30=CE$4,ADRYr3!$AJ30,IF(ADRYr3!$AK30=CE$4,ADRYr3!$AL30,IF(ADRYr3!$AM30=CE$4,ADRYr3!$AN30,0))))*(INDEX(avoidedcosttbl3,$H30,CN$2)+(($H30-ROUNDDOWN($H30,0))*(INDEX(avoidedcosttbl3,ROUNDUP($H30,0),CN$2)-(INDEX(avoidedcosttbl3,ROUNDDOWN($H30,0),CN$2)))))*ADRYr3!P30*ADRYr3!Q30*ADRYr3!U30)</f>
        <v/>
      </c>
      <c r="CO30" s="220" t="str">
        <f t="shared" si="73"/>
        <v/>
      </c>
      <c r="CP30" s="220" t="str">
        <f t="shared" si="74"/>
        <v/>
      </c>
      <c r="CQ30" s="157" t="str">
        <f>IF($G30="","",$G30*(IF(ADRYr3!$AI30=CQ$4,ADRYr3!$AJ30,IF(ADRYr3!$AK30=CQ$4,ADRYr3!$AL30,IF(ADRYr3!$AM30=CQ$4,ADRYr3!$AN30,0))))*(INDEX(avoidedcosttbl3,$H30,CQ$2)+(($H30-ROUNDDOWN($H30,0))*(INDEX(avoidedcosttbl3,ROUNDUP($H30,0),CQ$2)-(INDEX(avoidedcosttbl3,ROUNDDOWN($H30,0),CQ$2)))))*ADRYr3!$P30*ADRYr3!$Q30*ADRYr3!$U30)</f>
        <v/>
      </c>
      <c r="CR30" s="28" t="str">
        <f>IF($G30="","",G30*(IF(ADRYr3!$AI30=CR$4,ADRYr3!$AJ30,IF(ADRYr3!$AK30=CR$4,ADRYr3!$AL30,IF(ADRYr3!$AM30=CR$4,ADRYr3!$AN30,0))))*(INDEX(avoidedcosttbl3,$H30,CR$2)+(($H30-ROUNDDOWN($H30,0))*(INDEX(avoidedcosttbl3,ROUNDUP($H30,0),CR$2)-(INDEX(avoidedcosttbl3,ROUNDDOWN($H30,0),CR$2)))))*ADRYr3!$P30*ADRYr3!$Q30*ADRYr3!$U30)</f>
        <v/>
      </c>
      <c r="CS30" s="28" t="str">
        <f>IF($G30="","",G30*(IF(ADRYr3!$AI30=CS$4,ADRYr3!$AJ30,IF(ADRYr3!$AK30=CS$4,ADRYr3!$AL30,IF(ADRYr3!$AM30=CS$4,ADRYr3!$AN30,0))))*(INDEX(avoidedcosttbl3,$H30,CS$2)+(($H30-ROUNDDOWN($H30,0))*(INDEX(avoidedcosttbl3,ROUNDUP($H30,0),CS$2)-(INDEX(avoidedcosttbl3,ROUNDDOWN($H30,0),CS$2)))))*ADRYr3!$P30*ADRYr3!$Q30*ADRYr3!$U30)</f>
        <v/>
      </c>
      <c r="CT30" s="28" t="str">
        <f t="shared" si="11"/>
        <v/>
      </c>
      <c r="CU30" s="28" t="str">
        <f>IF($G30="","",G30*(IF(ADRYr3!$AI30=CU$4,ADRYr3!$AJ30,IF(ADRYr3!$AK30=CU$4,ADRYr3!$AL30,IF(ADRYr3!$AM30=CU$4,ADRYr3!$AN30,0))))*(INDEX(avoidedcosttbl3,$H30,CU$2)+(($H30-ROUNDDOWN($H30,0))*(INDEX(avoidedcosttbl3,ROUNDUP($H30,0),CU$2)-(INDEX(avoidedcosttbl3,ROUNDDOWN($H30,0),CU$2)))))*ADRYr3!$P30*ADRYr3!$Q30*ADRYr3!$U30)</f>
        <v/>
      </c>
      <c r="CV30" s="28" t="str">
        <f>IF($G30="","",G30*(IF(ADRYr3!$AI30=CV$4,ADRYr3!$AJ30,IF(ADRYr3!$AK30=CV$4,ADRYr3!$AL30,IF(ADRYr3!$AM30=CV$4,ADRYr3!$AN30,0))))*(INDEX(avoidedcosttbl3,$H30,CV$2)+(($H30-ROUNDDOWN($H30,0))*(INDEX(avoidedcosttbl3,ROUNDUP($H30,0),CV$2)-(INDEX(avoidedcosttbl3,ROUNDDOWN($H30,0),CV$2)))))*ADRYr3!$P30*ADRYr3!$Q30*ADRYr3!$U30)</f>
        <v/>
      </c>
      <c r="CW30" s="28" t="str">
        <f>IF($G30="","",G30*(IF(ADRYr3!$AI30=CW$4,ADRYr3!$AJ30,IF(ADRYr3!$AK30=CW$4,ADRYr3!$AL30,IF(ADRYr3!$AM30=CW$4,ADRYr3!$AN30,0))))*(INDEX(avoidedcosttbl3,$H30,CW$2)+(($H30-ROUNDDOWN($H30,0))*(INDEX(avoidedcosttbl3,ROUNDUP($H30,0),CW$2)-(INDEX(avoidedcosttbl3,ROUNDDOWN($H30,0),CW$2)))))*ADRYr3!$P30*ADRYr3!$Q30*ADRYr3!$U30)</f>
        <v/>
      </c>
      <c r="CX30" s="28" t="str">
        <f>IF($G30="","",G30*(IF(ADRYr3!$AI30=CX$4,ADRYr3!$AJ30,IF(ADRYr3!$AK30=CX$4,ADRYr3!$AL30,IF(ADRYr3!$AM30=CX$4,ADRYr3!$AN30,0))))*(INDEX(avoidedcosttbl3,$H30,CX$2)+(($H30-ROUNDDOWN($H30,0))*(INDEX(avoidedcosttbl3,ROUNDUP($H30,0),CX$2)-(INDEX(avoidedcosttbl3,ROUNDDOWN($H30,0),CX$2)))))*ADRYr3!$P30*ADRYr3!$Q30*ADRYr3!$U30)</f>
        <v/>
      </c>
      <c r="CY30" s="28" t="str">
        <f t="shared" si="75"/>
        <v/>
      </c>
      <c r="CZ30" s="32" t="str">
        <f t="shared" si="76"/>
        <v/>
      </c>
      <c r="DA30" s="84" t="str">
        <f t="shared" si="77"/>
        <v/>
      </c>
      <c r="DB30" s="81" t="str">
        <f>IF(NEIadder="Yes",IF($G30="","",INDEX(Lookups!$G$70:$G$71,MATCH($A30,Lookups!$E$70:$E$71,0))*(SUM(CP30:CX30,BX30))),"")</f>
        <v/>
      </c>
      <c r="DC30" s="263" t="str">
        <f t="shared" si="78"/>
        <v/>
      </c>
      <c r="DD30" s="166" t="str">
        <f t="shared" si="79"/>
        <v/>
      </c>
      <c r="DE30" s="82">
        <f t="shared" si="80"/>
        <v>0</v>
      </c>
      <c r="DF30" s="615" t="str">
        <f>IF($G30="","",(1+WntPeakEnergyLL)*(INDEX(avoidedcosttbl3,$H30,DF$2)+(($H30-ROUNDDOWN($H30,0))*(INDEX(avoidedcosttbl3,ROUNDUP($H30,0),DF$2)-(INDEX(avoidedcosttbl3,ROUNDDOWN($H30,0),DF$2)))))*$P30*1000*ADRYr3!Z30)</f>
        <v/>
      </c>
      <c r="DG30" s="615" t="str">
        <f>IF($G30="","",(1+WntOffPeakEnergyLL)*(INDEX(avoidedcosttbl3,$H30,DG$2)+(($H30-ROUNDDOWN($H30,0))*(INDEX(avoidedcosttbl3,ROUNDUP($H30,0),DG$2)-(INDEX(avoidedcosttbl3,ROUNDDOWN($H30,0),DG$2)))))*$P30*1000*ADRYr3!AA30)</f>
        <v/>
      </c>
      <c r="DH30" s="615" t="str">
        <f>IF($G30="","",(1+SumPeakEnergyLL)*(INDEX(avoidedcosttbl3,$H30,DH$2)+(($H30-ROUNDDOWN($H30,0))*(INDEX(avoidedcosttbl3,ROUNDUP($H30,0),DH$2)-(INDEX(avoidedcosttbl3,ROUNDDOWN($H30,0),DH$2)))))*$P30*1000*ADRYr3!AB30)</f>
        <v/>
      </c>
      <c r="DI30" s="615" t="str">
        <f>IF($G30="","",(1+SumOffPeakEnergyLL)*(INDEX(avoidedcosttbl3,$H30,DI$2)+(($H30-ROUNDDOWN($H30,0))*(INDEX(avoidedcosttbl3,ROUNDUP($H30,0),DI$2)-(INDEX(avoidedcosttbl3,ROUNDDOWN($H30,0),DI$2)))))*$P30*1000*ADRYr3!AC30)</f>
        <v/>
      </c>
      <c r="DJ30" s="29" t="str">
        <f t="shared" si="81"/>
        <v/>
      </c>
      <c r="DK30" s="161" t="str">
        <f t="shared" si="45"/>
        <v/>
      </c>
      <c r="DL30" s="1189" t="str">
        <f t="shared" si="46"/>
        <v/>
      </c>
      <c r="DM30" s="1189" t="str">
        <f t="shared" si="47"/>
        <v/>
      </c>
      <c r="DN30" s="43" t="str">
        <f t="shared" si="48"/>
        <v/>
      </c>
      <c r="DO30" s="966" t="str">
        <f>IF($G30="","",ADRYr3!AQ30)</f>
        <v/>
      </c>
      <c r="DP30" s="968" t="str">
        <f>IF($G30="","",ADRYr3!AR30)</f>
        <v/>
      </c>
      <c r="DQ30" s="970" t="str">
        <f>IF($G30="","",IF($DP30="Yes",COLUMN(AESC!$L$10),IF($DP30="No","Using AvoidedDemand tab",IF($DP30="Mixed",COLUMN(AESC!$N$10)))))</f>
        <v/>
      </c>
      <c r="DR30" s="970" t="str">
        <f>IF($G30="","",IF($DP30="Yes",COLUMN(AESC!$P$10),IF($DP30="No","Using AvoidedDemand tab",IF($DP30="Mixed",COLUMN(AESC!$R$10)))))</f>
        <v/>
      </c>
      <c r="DS30" s="970" t="str">
        <f>IF($G30="","",IF($DP30="Yes",COLUMN(AESC!$S$10),IF($DP30="No",COLUMN(AESC!$T$10),IF($DP30="Mixed",COLUMN(AESC!$U$10)))))</f>
        <v/>
      </c>
      <c r="DT30" s="970" t="str">
        <f t="shared" si="49"/>
        <v/>
      </c>
      <c r="DU30" s="970" t="str">
        <f>IF($G30="","",ADRYr3!AS30)</f>
        <v/>
      </c>
      <c r="DV30" s="971" t="str">
        <f>IF($G30="","",ADRYr3!AT30)</f>
        <v/>
      </c>
      <c r="DW30" s="1162" t="str">
        <f>IF($G30="","",INDEX(AvoidedEnergy!$H$4:$H$10,MATCH($DO30,AvoidedEnergy!$A$4:$A$10,0)))</f>
        <v/>
      </c>
    </row>
    <row r="31" spans="1:127">
      <c r="A31" s="160" t="str">
        <f>IF(ADRYr3!$B31=0,"",ADRYr3!A31)</f>
        <v>C - Commercial &amp; Industrial</v>
      </c>
      <c r="B31" s="9" t="str">
        <f>IF(ADRYr3!$B31=0,"",ADRYr3!B31)</f>
        <v>C5 - C&amp;I Active Demand Response</v>
      </c>
      <c r="C31" s="9" t="str">
        <f>IF(ADRYr3!$B31=0,"",ADRYr3!C31)</f>
        <v>C5a - C&amp;I Active Demand Response</v>
      </c>
      <c r="D31" s="9" t="str">
        <f>IF(ADRYr3!$B31=0,"",ADRYr3!D31)</f>
        <v>Storage Daily Dispatch Upfront Incentive (savings) Summer</v>
      </c>
      <c r="E31" s="9">
        <f>IF(ADRYr3!$B31=0,"",ADRYr3!E31)</f>
        <v>0</v>
      </c>
      <c r="F31" s="11" t="str">
        <f>IF(ADRYr3!$B31=0,"",ADRYr3!F31)</f>
        <v>Behavior</v>
      </c>
      <c r="G31" s="12" t="str">
        <f>IF(ADRYr3!$G31&lt;&gt;0,ADRYr3!G31,"")</f>
        <v/>
      </c>
      <c r="H31" s="960" t="str">
        <f>IF($G31="","",ROUND(ADRYr3!H31,0))</f>
        <v/>
      </c>
      <c r="I31" s="47" t="str">
        <f>IF($G31="","",ADRYr3!I31*ADRYr3!P31*G31)</f>
        <v/>
      </c>
      <c r="J31" s="47" t="str">
        <f>IF($G31="","",ADRYr3!J31*G31)</f>
        <v/>
      </c>
      <c r="K31" s="47" t="str">
        <f t="shared" si="50"/>
        <v/>
      </c>
      <c r="L31" s="27" t="str">
        <f>IF($G31="","",ADRYr3!V31*G31/1000)</f>
        <v/>
      </c>
      <c r="M31" s="27" t="str">
        <f>IF($G31="","",L31*ADRYr3!$Q31*ADRYr3!$R31)</f>
        <v/>
      </c>
      <c r="N31" s="27" t="str">
        <f t="shared" si="51"/>
        <v/>
      </c>
      <c r="O31" s="27" t="str">
        <f t="shared" si="52"/>
        <v/>
      </c>
      <c r="P31" s="27" t="str">
        <f>IF($G31="","",M31*ADRYr3!P31)</f>
        <v/>
      </c>
      <c r="Q31" s="27" t="str">
        <f t="shared" si="53"/>
        <v/>
      </c>
      <c r="R31" s="27" t="str">
        <f>IF($G31="","",$Q31*ADRYr3!Z31)</f>
        <v/>
      </c>
      <c r="S31" s="27" t="str">
        <f>IF($G31="","",$Q31*ADRYr3!AA31)</f>
        <v/>
      </c>
      <c r="T31" s="27" t="str">
        <f>IF($G31="","",$Q31*ADRYr3!AB31)</f>
        <v/>
      </c>
      <c r="U31" s="27" t="str">
        <f>IF($G31="","",$Q31*ADRYr3!AC31)</f>
        <v/>
      </c>
      <c r="V31" s="27" t="str">
        <f>IF($G31="","",G31*ADRYr3!$AD31*ADRYr3!$P31*ADRYr3!$Q31)</f>
        <v/>
      </c>
      <c r="W31" s="27" t="str">
        <f>IF($G31="","",$G31*ADRYr3!$AD31*ADRYr3!$AF31*ADRYr3!Q31*ADRYr3!$S31)</f>
        <v/>
      </c>
      <c r="X31" s="27" t="str">
        <f>IF($G31="","",$G31*ADRYr3!$AD31*ADRYr3!$AF31*ADRYr3!P31*ADRYr3!Q31*ADRYr3!$S31)</f>
        <v/>
      </c>
      <c r="Y31" s="27" t="str">
        <f>IF($G31="","",$G31*ADRYr3!$AD31*ADRYr3!$AE31*ADRYr3!Q31*ADRYr3!$T31)</f>
        <v/>
      </c>
      <c r="Z31" s="27" t="str">
        <f>IF($G31="","",$G31*ADRYr3!$AD31*ADRYr3!$AE31*ADRYr3!P31*ADRYr3!Q31*ADRYr3!$T31)</f>
        <v/>
      </c>
      <c r="AA31" s="45" t="str">
        <f>IF($G31="","",$G31*ADRYr3!$Q31*ADRYr3!$U31*(IF(IFERROR(SEARCH("NG", ADRYr3!$AI31),0),ADRYr3!$AJ31,0)+IF(IFERROR(SEARCH("NG", ADRYr3!$AK31),0),ADRYr3!$AL31,0)+IF(IFERROR(SEARCH("NG", ADRYr3!$AM31),0),ADRYr3!$AN31,0)))</f>
        <v/>
      </c>
      <c r="AB31" s="45" t="str">
        <f t="shared" si="54"/>
        <v/>
      </c>
      <c r="AC31" s="45">
        <f>IF($G31="",0,AA31*ADRYr3!$P31)</f>
        <v>0</v>
      </c>
      <c r="AD31" s="45" t="str">
        <f t="shared" si="55"/>
        <v/>
      </c>
      <c r="AE31" s="45" t="str">
        <f>IF($G31="","",$G31*ADRYr3!$Q31*ADRYr3!$U31*(IF(IFERROR(SEARCH("Oil", ADRYr3!$AI31), 0),ADRYr3!$AJ31,0)+IF(IFERROR(SEARCH("Oil", ADRYr3!$AK31), 0),ADRYr3!$AL31,0)+IF(IFERROR(SEARCH("Oil", ADRYr3!$AM31), 0),ADRYr3!$AN31,0)))</f>
        <v/>
      </c>
      <c r="AF31" s="45" t="str">
        <f t="shared" si="56"/>
        <v/>
      </c>
      <c r="AG31" s="45">
        <f>IF($G31="",0,AE31*ADRYr3!$P31)</f>
        <v>0</v>
      </c>
      <c r="AH31" s="45" t="str">
        <f t="shared" si="57"/>
        <v/>
      </c>
      <c r="AI31" s="45" t="str">
        <f>IF($G31="","",$G31*ADRYr3!$Q31*ADRYr3!$U31*(IF(ADRYr3!$AI31=Lookups!$E$116,ADRYr3!$AJ31,IF(ADRYr3!$AK31=Lookups!$E$116,ADRYr3!$AL31,IF(ADRYr3!$AM31=Lookups!$E$116,ADRYr3!$AN31,0)))))</f>
        <v/>
      </c>
      <c r="AJ31" s="45" t="str">
        <f t="shared" si="58"/>
        <v/>
      </c>
      <c r="AK31" s="45">
        <f>IF($G31="",0,AI31*ADRYr3!$P31)</f>
        <v>0</v>
      </c>
      <c r="AL31" s="45" t="str">
        <f t="shared" si="59"/>
        <v/>
      </c>
      <c r="AM31" s="45" t="str">
        <f>IF($G31="","",$G31*ADRYr3!$Q31*ADRYr3!$U31*(IF(ADRYr3!$AI31=Lookups!$E$115,ADRYr3!$AJ31,IF(ADRYr3!$AK31=Lookups!$E$115,ADRYr3!$AL31,IF(ADRYr3!$AM31=Lookups!$E$115,ADRYr3!$AN31,0)))))</f>
        <v/>
      </c>
      <c r="AN31" s="45" t="str">
        <f t="shared" si="60"/>
        <v/>
      </c>
      <c r="AO31" s="45">
        <f>IF($G31="",0,AM31*ADRYr3!$P31)</f>
        <v>0</v>
      </c>
      <c r="AP31" s="45" t="str">
        <f t="shared" si="61"/>
        <v/>
      </c>
      <c r="AQ31" s="45" t="str">
        <f>IF($G31="","",$G31*ADRYr3!$Q31*ADRYr3!$U31*(IF(ADRYr3!$AI31=Lookups!$E$117,ADRYr3!$AJ31,IF(ADRYr3!$AK31=Lookups!$E$117,ADRYr3!$AL31,IF(ADRYr3!$AM31=Lookups!$E$117,ADRYr3!$AN31,0)))))</f>
        <v/>
      </c>
      <c r="AR31" s="45" t="str">
        <f t="shared" si="62"/>
        <v/>
      </c>
      <c r="AS31" s="45" t="str">
        <f>IF($G31="","",AQ31*ADRYr3!$P31)</f>
        <v/>
      </c>
      <c r="AT31" s="45" t="str">
        <f t="shared" si="63"/>
        <v/>
      </c>
      <c r="AU31" s="45" t="str">
        <f>IF($G31="","",$G31*ADRYr3!$Q31*ADRYr3!$U31*(IF(ADRYr3!$AI31=Lookups!$E$118,ADRYr3!$AJ31,IF(ADRYr3!$AK31=Lookups!$E$118,ADRYr3!$AL31,IF(ADRYr3!$AM31=Lookups!$E$118,ADRYr3!$AN31,0)))))</f>
        <v/>
      </c>
      <c r="AV31" s="45" t="str">
        <f t="shared" si="64"/>
        <v/>
      </c>
      <c r="AW31" s="45" t="str">
        <f>IF($G31="","",AU31*ADRYr3!$P31)</f>
        <v/>
      </c>
      <c r="AX31" s="45" t="str">
        <f t="shared" si="65"/>
        <v/>
      </c>
      <c r="AY31" s="45">
        <f t="shared" si="66"/>
        <v>0</v>
      </c>
      <c r="AZ31" s="45">
        <f t="shared" si="67"/>
        <v>0</v>
      </c>
      <c r="BA31" s="101" t="str">
        <f>IF($G31="","",$G31*ADRYr3!$P31*ADRYr3!$Q31*ADRYr3!$U31*ADRYr3!AO31)</f>
        <v/>
      </c>
      <c r="BB31" s="102" t="str">
        <f>IF($G31="","",$G31*ADRYr3!$P31*ADRYr3!$Q31*ADRYr3!$U31*ADRYr3!AP31)</f>
        <v/>
      </c>
      <c r="BC31" s="100" t="str">
        <f t="shared" si="68"/>
        <v/>
      </c>
      <c r="BD31" s="961"/>
      <c r="BE31" s="961"/>
      <c r="BF31" s="961"/>
      <c r="BG31" s="961"/>
      <c r="BH31" s="962" t="str">
        <f t="shared" si="3"/>
        <v/>
      </c>
      <c r="BI31" s="961"/>
      <c r="BJ31" s="961"/>
      <c r="BK31" s="961"/>
      <c r="BL31" s="961"/>
      <c r="BM31" s="30" t="str">
        <f t="shared" si="4"/>
        <v/>
      </c>
      <c r="BN31" s="963" t="str">
        <f t="shared" si="31"/>
        <v/>
      </c>
      <c r="BO31" s="31" t="str">
        <f t="shared" si="69"/>
        <v/>
      </c>
      <c r="BP31" s="964" t="str">
        <f t="shared" si="5"/>
        <v/>
      </c>
      <c r="BQ31" s="28" t="str">
        <f t="shared" si="6"/>
        <v/>
      </c>
      <c r="BR31" s="964" t="str">
        <f t="shared" si="7"/>
        <v/>
      </c>
      <c r="BS31" s="964" t="str">
        <f t="shared" si="8"/>
        <v/>
      </c>
      <c r="BT31" s="28" t="str">
        <f t="shared" si="82"/>
        <v/>
      </c>
      <c r="BU31" s="28" t="str">
        <f t="shared" si="82"/>
        <v/>
      </c>
      <c r="BV31" s="28" t="str">
        <f t="shared" si="82"/>
        <v/>
      </c>
      <c r="BW31" s="29" t="str">
        <f t="shared" si="70"/>
        <v/>
      </c>
      <c r="BX31" s="29" t="str">
        <f t="shared" si="71"/>
        <v/>
      </c>
      <c r="BY31" s="28" t="str">
        <f>IF($G31="","",$G31*(IF(ADRYr3!$AI31=BY$4,ADRYr3!$AJ31,IF(ADRYr3!$AK31=BY$4,ADRYr3!$AL31,IF(ADRYr3!$AM31=BY$4,ADRYr3!$AN31,0))))*(INDEX(avoidedcosttbl3,$H31,BY$2)+(($H31-ROUNDDOWN($H31,0))*(INDEX(avoidedcosttbl3,ROUNDUP($H31,0),BY$2)-(INDEX(avoidedcosttbl3,ROUNDDOWN($H31,0),BY$2)))))*ADRYr3!P31*ADRYr3!Q31*ADRYr3!U31)</f>
        <v/>
      </c>
      <c r="BZ31" s="28" t="str">
        <f>IF($G31="","",$G31*(IF(ADRYr3!$AI31=BZ$4,ADRYr3!$AJ31,IF(ADRYr3!$AK31=BZ$4,ADRYr3!$AL31,IF(ADRYr3!$AM31=BZ$4,ADRYr3!$AN31,0))))*(INDEX(avoidedcosttbl3,$H31,BZ$2)+(($H31-ROUNDDOWN($H31,0))*(INDEX(avoidedcosttbl3,ROUNDUP($H31,0),BZ$2)-(INDEX(avoidedcosttbl3,ROUNDDOWN($H31,0),BZ$2)))))*ADRYr3!P31*ADRYr3!Q31*ADRYr3!U31)</f>
        <v/>
      </c>
      <c r="CA31" s="28" t="str">
        <f>IF($G31="","",$G31*(IF(ADRYr3!$AI31=CA$4,ADRYr3!$AJ31,IF(ADRYr3!$AK31=CA$4,ADRYr3!$AL31,IF(ADRYr3!$AM31=CA$4,ADRYr3!$AN31,0))))*(INDEX(avoidedcosttbl3,$H31,CA$2)+(($H31-ROUNDDOWN($H31,0))*(INDEX(avoidedcosttbl3,ROUNDUP($H31,0),CA$2)-(INDEX(avoidedcosttbl3,ROUNDDOWN($H31,0),CA$2)))))*ADRYr3!P31*ADRYr3!Q31*ADRYr3!U31)</f>
        <v/>
      </c>
      <c r="CB31" s="28" t="str">
        <f>IF($G31="","",$G31*(IF(ADRYr3!$AI31=CB$4,ADRYr3!$AJ31,IF(ADRYr3!$AK31=CB$4,ADRYr3!$AL31,IF(ADRYr3!$AM31=CB$4,ADRYr3!$AN31,0))))*(INDEX(avoidedcosttbl3,$H31,CB$2)+(($H31-ROUNDDOWN($H31,0))*(INDEX(avoidedcosttbl3,ROUNDUP($H31,0),CB$2)-(INDEX(avoidedcosttbl3,ROUNDDOWN($H31,0),CB$2)))))*ADRYr3!P31*ADRYr3!Q31*ADRYr3!U31)</f>
        <v/>
      </c>
      <c r="CC31" s="28" t="str">
        <f>IF($G31="","",$G31*(IF(ADRYr3!$AI31=CC$4,ADRYr3!$AJ31,IF(ADRYr3!$AK31=CC$4,ADRYr3!$AL31,IF(ADRYr3!$AM31=CC$4,ADRYr3!$AN31,0))))*(INDEX(avoidedcosttbl3,$H31,CC$2)+(($H31-ROUNDDOWN($H31,0))*(INDEX(avoidedcosttbl3,ROUNDUP($H31,0),CC$2)-(INDEX(avoidedcosttbl3,ROUNDDOWN($H31,0),CC$2)))))*ADRYr3!P31*ADRYr3!Q31*ADRYr3!U31)</f>
        <v/>
      </c>
      <c r="CD31" s="28" t="str">
        <f>IF($G31="","",$G31*(IF(ADRYr3!$AI31=CD$4,ADRYr3!$AJ31,IF(ADRYr3!$AK31=CD$4,ADRYr3!$AL31,IF(ADRYr3!$AM31=CD$4,ADRYr3!$AN31,0))))*(INDEX(avoidedcosttbl3,$H31,CD$2)+(($H31-ROUNDDOWN($H31,0))*(INDEX(avoidedcosttbl3,ROUNDUP($H31,0),CD$2)-(INDEX(avoidedcosttbl3,ROUNDDOWN($H31,0),CD$2)))))*ADRYr3!P31*ADRYr3!Q31*ADRYr3!U31)</f>
        <v/>
      </c>
      <c r="CE31" s="28" t="str">
        <f>IF($G31="","",$G31*(IF(ADRYr3!$AI31=CE$4,ADRYr3!$AJ31,IF(ADRYr3!$AK31=CE$4,ADRYr3!$AL31,IF(ADRYr3!$AM31=CE$4,ADRYr3!$AN31,0))))*(INDEX(avoidedcosttbl3,$H31,CE$2)+(($H31-ROUNDDOWN($H31,0))*(INDEX(avoidedcosttbl3,ROUNDUP($H31,0),CE$2)-(INDEX(avoidedcosttbl3,ROUNDDOWN($H31,0),CE$2)))))*ADRYr3!P31*ADRYr3!Q31*ADRYr3!U31)</f>
        <v/>
      </c>
      <c r="CF31" s="41" t="str">
        <f t="shared" si="72"/>
        <v/>
      </c>
      <c r="CG31" s="30" t="str">
        <f t="shared" si="10"/>
        <v/>
      </c>
      <c r="CH31" s="30" t="str">
        <f>IF($G31="","",$G31*(IF(ADRYr3!$AI31=BY$4,ADRYr3!$AJ31,IF(ADRYr3!$AK31=BY$4,ADRYr3!$AL31,IF(ADRYr3!$AM31=BY$4,ADRYr3!$AN31,0))))*(INDEX(avoidedcosttbl3,$H31,CH$2)+(($H31-ROUNDDOWN($H31,0))*(INDEX(avoidedcosttbl3,ROUNDUP($H31,0),CH$2)-(INDEX(avoidedcosttbl3,ROUNDDOWN($H31,0),CH$2)))))*ADRYr3!P31*ADRYr3!Q31*ADRYr3!U31)</f>
        <v/>
      </c>
      <c r="CI31" s="30" t="str">
        <f>IF($G31="","",$G31*(IF(ADRYr3!$AI31=BZ$4,ADRYr3!$AJ31,IF(ADRYr3!$AK31=BZ$4,ADRYr3!$AL31,IF(ADRYr3!$AM31=BZ$4,ADRYr3!$AN31,0))))*(INDEX(avoidedcosttbl3,$H31,CI$2)+(($H31-ROUNDDOWN($H31,0))*(INDEX(avoidedcosttbl3,ROUNDUP($H31,0),CI$2)-(INDEX(avoidedcosttbl3,ROUNDDOWN($H31,0),CI$2)))))*ADRYr3!P31*ADRYr3!Q31*ADRYr3!U31)</f>
        <v/>
      </c>
      <c r="CJ31" s="30" t="str">
        <f>IF($G31="","",$G31*(IF(ADRYr3!$AI31=CA$4,ADRYr3!$AJ31,IF(ADRYr3!$AK31=CA$4,ADRYr3!$AL31,IF(ADRYr3!$AM31=CA$4,ADRYr3!$AN31,0))))*(INDEX(avoidedcosttbl3,$H31,CJ$2)+(($H31-ROUNDDOWN($H31,0))*(INDEX(avoidedcosttbl3,ROUNDUP($H31,0),CJ$2)-(INDEX(avoidedcosttbl3,ROUNDDOWN($H31,0),CJ$2)))))*ADRYr3!P31*ADRYr3!Q31*ADRYr3!U31)</f>
        <v/>
      </c>
      <c r="CK31" s="30" t="str">
        <f>IF($G31="","",$G31*(IF(ADRYr3!$AI31=CB$4,ADRYr3!$AJ31,IF(ADRYr3!$AK31=CB$4,ADRYr3!$AL31,IF(ADRYr3!$AM31=CB$4,ADRYr3!$AN31,0))))*(INDEX(avoidedcosttbl3,$H31,CK$2)+(($H31-ROUNDDOWN($H31,0))*(INDEX(avoidedcosttbl3,ROUNDUP($H31,0),CK$2)-(INDEX(avoidedcosttbl3,ROUNDDOWN($H31,0),CK$2)))))*ADRYr3!P31*ADRYr3!Q31*ADRYr3!U31)</f>
        <v/>
      </c>
      <c r="CL31" s="30" t="str">
        <f>IF($G31="","",$G31*(IF(ADRYr3!$AI31=CC$4,ADRYr3!$AJ31,IF(ADRYr3!$AK31=CC$4,ADRYr3!$AL31,IF(ADRYr3!$AM31=CC$4,ADRYr3!$AN31,0))))*(INDEX(avoidedcosttbl3,$H31,CL$2)+(($H31-ROUNDDOWN($H31,0))*(INDEX(avoidedcosttbl3,ROUNDUP($H31,0),CL$2)-(INDEX(avoidedcosttbl3,ROUNDDOWN($H31,0),CL$2)))))*ADRYr3!P31*ADRYr3!Q31*ADRYr3!U31)</f>
        <v/>
      </c>
      <c r="CM31" s="30" t="str">
        <f>IF($G31="","",$G31*(IF(ADRYr3!$AI31=CD$4,ADRYr3!$AJ31,IF(ADRYr3!$AK31=CD$4,ADRYr3!$AL31,IF(ADRYr3!$AM31=CD$4,ADRYr3!$AN31,0))))*(INDEX(avoidedcosttbl3,$H31,CM$2)+(($H31-ROUNDDOWN($H31,0))*(INDEX(avoidedcosttbl3,ROUNDUP($H31,0),CM$2)-(INDEX(avoidedcosttbl3,ROUNDDOWN($H31,0),CM$2)))))*ADRYr3!P31*ADRYr3!Q31*ADRYr3!U31)</f>
        <v/>
      </c>
      <c r="CN31" s="30" t="str">
        <f>IF($G31="","",$G31*(IF(ADRYr3!$AI31=CE$4,ADRYr3!$AJ31,IF(ADRYr3!$AK31=CE$4,ADRYr3!$AL31,IF(ADRYr3!$AM31=CE$4,ADRYr3!$AN31,0))))*(INDEX(avoidedcosttbl3,$H31,CN$2)+(($H31-ROUNDDOWN($H31,0))*(INDEX(avoidedcosttbl3,ROUNDUP($H31,0),CN$2)-(INDEX(avoidedcosttbl3,ROUNDDOWN($H31,0),CN$2)))))*ADRYr3!P31*ADRYr3!Q31*ADRYr3!U31)</f>
        <v/>
      </c>
      <c r="CO31" s="220" t="str">
        <f t="shared" si="73"/>
        <v/>
      </c>
      <c r="CP31" s="220" t="str">
        <f t="shared" si="74"/>
        <v/>
      </c>
      <c r="CQ31" s="157" t="str">
        <f>IF($G31="","",$G31*(IF(ADRYr3!$AI31=CQ$4,ADRYr3!$AJ31,IF(ADRYr3!$AK31=CQ$4,ADRYr3!$AL31,IF(ADRYr3!$AM31=CQ$4,ADRYr3!$AN31,0))))*(INDEX(avoidedcosttbl3,$H31,CQ$2)+(($H31-ROUNDDOWN($H31,0))*(INDEX(avoidedcosttbl3,ROUNDUP($H31,0),CQ$2)-(INDEX(avoidedcosttbl3,ROUNDDOWN($H31,0),CQ$2)))))*ADRYr3!$P31*ADRYr3!$Q31*ADRYr3!$U31)</f>
        <v/>
      </c>
      <c r="CR31" s="28" t="str">
        <f>IF($G31="","",G31*(IF(ADRYr3!$AI31=CR$4,ADRYr3!$AJ31,IF(ADRYr3!$AK31=CR$4,ADRYr3!$AL31,IF(ADRYr3!$AM31=CR$4,ADRYr3!$AN31,0))))*(INDEX(avoidedcosttbl3,$H31,CR$2)+(($H31-ROUNDDOWN($H31,0))*(INDEX(avoidedcosttbl3,ROUNDUP($H31,0),CR$2)-(INDEX(avoidedcosttbl3,ROUNDDOWN($H31,0),CR$2)))))*ADRYr3!$P31*ADRYr3!$Q31*ADRYr3!$U31)</f>
        <v/>
      </c>
      <c r="CS31" s="28" t="str">
        <f>IF($G31="","",G31*(IF(ADRYr3!$AI31=CS$4,ADRYr3!$AJ31,IF(ADRYr3!$AK31=CS$4,ADRYr3!$AL31,IF(ADRYr3!$AM31=CS$4,ADRYr3!$AN31,0))))*(INDEX(avoidedcosttbl3,$H31,CS$2)+(($H31-ROUNDDOWN($H31,0))*(INDEX(avoidedcosttbl3,ROUNDUP($H31,0),CS$2)-(INDEX(avoidedcosttbl3,ROUNDDOWN($H31,0),CS$2)))))*ADRYr3!$P31*ADRYr3!$Q31*ADRYr3!$U31)</f>
        <v/>
      </c>
      <c r="CT31" s="28" t="str">
        <f t="shared" si="11"/>
        <v/>
      </c>
      <c r="CU31" s="28" t="str">
        <f>IF($G31="","",G31*(IF(ADRYr3!$AI31=CU$4,ADRYr3!$AJ31,IF(ADRYr3!$AK31=CU$4,ADRYr3!$AL31,IF(ADRYr3!$AM31=CU$4,ADRYr3!$AN31,0))))*(INDEX(avoidedcosttbl3,$H31,CU$2)+(($H31-ROUNDDOWN($H31,0))*(INDEX(avoidedcosttbl3,ROUNDUP($H31,0),CU$2)-(INDEX(avoidedcosttbl3,ROUNDDOWN($H31,0),CU$2)))))*ADRYr3!$P31*ADRYr3!$Q31*ADRYr3!$U31)</f>
        <v/>
      </c>
      <c r="CV31" s="28" t="str">
        <f>IF($G31="","",G31*(IF(ADRYr3!$AI31=CV$4,ADRYr3!$AJ31,IF(ADRYr3!$AK31=CV$4,ADRYr3!$AL31,IF(ADRYr3!$AM31=CV$4,ADRYr3!$AN31,0))))*(INDEX(avoidedcosttbl3,$H31,CV$2)+(($H31-ROUNDDOWN($H31,0))*(INDEX(avoidedcosttbl3,ROUNDUP($H31,0),CV$2)-(INDEX(avoidedcosttbl3,ROUNDDOWN($H31,0),CV$2)))))*ADRYr3!$P31*ADRYr3!$Q31*ADRYr3!$U31)</f>
        <v/>
      </c>
      <c r="CW31" s="28" t="str">
        <f>IF($G31="","",G31*(IF(ADRYr3!$AI31=CW$4,ADRYr3!$AJ31,IF(ADRYr3!$AK31=CW$4,ADRYr3!$AL31,IF(ADRYr3!$AM31=CW$4,ADRYr3!$AN31,0))))*(INDEX(avoidedcosttbl3,$H31,CW$2)+(($H31-ROUNDDOWN($H31,0))*(INDEX(avoidedcosttbl3,ROUNDUP($H31,0),CW$2)-(INDEX(avoidedcosttbl3,ROUNDDOWN($H31,0),CW$2)))))*ADRYr3!$P31*ADRYr3!$Q31*ADRYr3!$U31)</f>
        <v/>
      </c>
      <c r="CX31" s="28" t="str">
        <f>IF($G31="","",G31*(IF(ADRYr3!$AI31=CX$4,ADRYr3!$AJ31,IF(ADRYr3!$AK31=CX$4,ADRYr3!$AL31,IF(ADRYr3!$AM31=CX$4,ADRYr3!$AN31,0))))*(INDEX(avoidedcosttbl3,$H31,CX$2)+(($H31-ROUNDDOWN($H31,0))*(INDEX(avoidedcosttbl3,ROUNDUP($H31,0),CX$2)-(INDEX(avoidedcosttbl3,ROUNDDOWN($H31,0),CX$2)))))*ADRYr3!$P31*ADRYr3!$Q31*ADRYr3!$U31)</f>
        <v/>
      </c>
      <c r="CY31" s="28" t="str">
        <f t="shared" si="75"/>
        <v/>
      </c>
      <c r="CZ31" s="32" t="str">
        <f t="shared" si="76"/>
        <v/>
      </c>
      <c r="DA31" s="84" t="str">
        <f t="shared" si="77"/>
        <v/>
      </c>
      <c r="DB31" s="81" t="str">
        <f>IF(NEIadder="Yes",IF($G31="","",INDEX(Lookups!$G$70:$G$71,MATCH($A31,Lookups!$E$70:$E$71,0))*(SUM(CP31:CX31,BX31))),"")</f>
        <v/>
      </c>
      <c r="DC31" s="263" t="str">
        <f t="shared" si="78"/>
        <v/>
      </c>
      <c r="DD31" s="166" t="str">
        <f t="shared" si="79"/>
        <v/>
      </c>
      <c r="DE31" s="82">
        <f t="shared" si="80"/>
        <v>0</v>
      </c>
      <c r="DF31" s="615" t="str">
        <f>IF($G31="","",(1+WntPeakEnergyLL)*(INDEX(avoidedcosttbl3,$H31,DF$2)+(($H31-ROUNDDOWN($H31,0))*(INDEX(avoidedcosttbl3,ROUNDUP($H31,0),DF$2)-(INDEX(avoidedcosttbl3,ROUNDDOWN($H31,0),DF$2)))))*$P31*1000*ADRYr3!Z31)</f>
        <v/>
      </c>
      <c r="DG31" s="615" t="str">
        <f>IF($G31="","",(1+WntOffPeakEnergyLL)*(INDEX(avoidedcosttbl3,$H31,DG$2)+(($H31-ROUNDDOWN($H31,0))*(INDEX(avoidedcosttbl3,ROUNDUP($H31,0),DG$2)-(INDEX(avoidedcosttbl3,ROUNDDOWN($H31,0),DG$2)))))*$P31*1000*ADRYr3!AA31)</f>
        <v/>
      </c>
      <c r="DH31" s="615" t="str">
        <f>IF($G31="","",(1+SumPeakEnergyLL)*(INDEX(avoidedcosttbl3,$H31,DH$2)+(($H31-ROUNDDOWN($H31,0))*(INDEX(avoidedcosttbl3,ROUNDUP($H31,0),DH$2)-(INDEX(avoidedcosttbl3,ROUNDDOWN($H31,0),DH$2)))))*$P31*1000*ADRYr3!AB31)</f>
        <v/>
      </c>
      <c r="DI31" s="615" t="str">
        <f>IF($G31="","",(1+SumOffPeakEnergyLL)*(INDEX(avoidedcosttbl3,$H31,DI$2)+(($H31-ROUNDDOWN($H31,0))*(INDEX(avoidedcosttbl3,ROUNDUP($H31,0),DI$2)-(INDEX(avoidedcosttbl3,ROUNDDOWN($H31,0),DI$2)))))*$P31*1000*ADRYr3!AC31)</f>
        <v/>
      </c>
      <c r="DJ31" s="29" t="str">
        <f t="shared" si="81"/>
        <v/>
      </c>
      <c r="DK31" s="161" t="str">
        <f t="shared" si="45"/>
        <v/>
      </c>
      <c r="DL31" s="1189" t="str">
        <f t="shared" si="46"/>
        <v/>
      </c>
      <c r="DM31" s="1189" t="str">
        <f t="shared" si="47"/>
        <v/>
      </c>
      <c r="DN31" s="43" t="str">
        <f t="shared" si="48"/>
        <v/>
      </c>
      <c r="DO31" s="966" t="str">
        <f>IF($G31="","",ADRYr3!AQ31)</f>
        <v/>
      </c>
      <c r="DP31" s="968" t="str">
        <f>IF($G31="","",ADRYr3!AR31)</f>
        <v/>
      </c>
      <c r="DQ31" s="970" t="str">
        <f>IF($G31="","",IF($DP31="Yes",COLUMN(AESC!$L$10),IF($DP31="No","Using AvoidedDemand tab",IF($DP31="Mixed",COLUMN(AESC!$N$10)))))</f>
        <v/>
      </c>
      <c r="DR31" s="970" t="str">
        <f>IF($G31="","",IF($DP31="Yes",COLUMN(AESC!$P$10),IF($DP31="No","Using AvoidedDemand tab",IF($DP31="Mixed",COLUMN(AESC!$R$10)))))</f>
        <v/>
      </c>
      <c r="DS31" s="970" t="str">
        <f>IF($G31="","",IF($DP31="Yes",COLUMN(AESC!$S$10),IF($DP31="No",COLUMN(AESC!$T$10),IF($DP31="Mixed",COLUMN(AESC!$U$10)))))</f>
        <v/>
      </c>
      <c r="DT31" s="970" t="str">
        <f t="shared" si="49"/>
        <v/>
      </c>
      <c r="DU31" s="970" t="str">
        <f>IF($G31="","",ADRYr3!AS31)</f>
        <v/>
      </c>
      <c r="DV31" s="971" t="str">
        <f>IF($G31="","",ADRYr3!AT31)</f>
        <v/>
      </c>
      <c r="DW31" s="1162" t="str">
        <f>IF($G31="","",INDEX(AvoidedEnergy!$H$4:$H$10,MATCH($DO31,AvoidedEnergy!$A$4:$A$10,0)))</f>
        <v/>
      </c>
    </row>
    <row r="32" spans="1:127">
      <c r="A32" s="160" t="str">
        <f>IF(ADRYr3!$B32=0,"",ADRYr3!A32)</f>
        <v>C - Commercial &amp; Industrial</v>
      </c>
      <c r="B32" s="9" t="str">
        <f>IF(ADRYr3!$B32=0,"",ADRYr3!B32)</f>
        <v>C5 - C&amp;I Active Demand Response</v>
      </c>
      <c r="C32" s="9" t="str">
        <f>IF(ADRYr3!$B32=0,"",ADRYr3!C32)</f>
        <v>C5a - C&amp;I Active Demand Response</v>
      </c>
      <c r="D32" s="9" t="str">
        <f>IF(ADRYr3!$B32=0,"",ADRYr3!D32)</f>
        <v>Storage Daily Dispatch Upfront Incentive (consumption) Summer</v>
      </c>
      <c r="E32" s="9">
        <f>IF(ADRYr3!$B32=0,"",ADRYr3!E32)</f>
        <v>0</v>
      </c>
      <c r="F32" s="11" t="str">
        <f>IF(ADRYr3!$B32=0,"",ADRYr3!F32)</f>
        <v>Behavior</v>
      </c>
      <c r="G32" s="12" t="str">
        <f>IF(ADRYr3!$G32&lt;&gt;0,ADRYr3!G32,"")</f>
        <v/>
      </c>
      <c r="H32" s="960" t="str">
        <f>IF($G32="","",ROUND(ADRYr3!H32,0))</f>
        <v/>
      </c>
      <c r="I32" s="47" t="str">
        <f>IF($G32="","",ADRYr3!I32*ADRYr3!P32*G32)</f>
        <v/>
      </c>
      <c r="J32" s="47" t="str">
        <f>IF($G32="","",ADRYr3!J32*G32)</f>
        <v/>
      </c>
      <c r="K32" s="47" t="str">
        <f t="shared" si="50"/>
        <v/>
      </c>
      <c r="L32" s="27" t="str">
        <f>IF($G32="","",ADRYr3!V32*G32/1000)</f>
        <v/>
      </c>
      <c r="M32" s="27" t="str">
        <f>IF($G32="","",L32*ADRYr3!$Q32*ADRYr3!$R32)</f>
        <v/>
      </c>
      <c r="N32" s="27" t="str">
        <f t="shared" si="51"/>
        <v/>
      </c>
      <c r="O32" s="27" t="str">
        <f t="shared" si="52"/>
        <v/>
      </c>
      <c r="P32" s="27" t="str">
        <f>IF($G32="","",M32*ADRYr3!P32)</f>
        <v/>
      </c>
      <c r="Q32" s="27" t="str">
        <f t="shared" si="53"/>
        <v/>
      </c>
      <c r="R32" s="27" t="str">
        <f>IF($G32="","",$Q32*ADRYr3!Z32)</f>
        <v/>
      </c>
      <c r="S32" s="27" t="str">
        <f>IF($G32="","",$Q32*ADRYr3!AA32)</f>
        <v/>
      </c>
      <c r="T32" s="27" t="str">
        <f>IF($G32="","",$Q32*ADRYr3!AB32)</f>
        <v/>
      </c>
      <c r="U32" s="27" t="str">
        <f>IF($G32="","",$Q32*ADRYr3!AC32)</f>
        <v/>
      </c>
      <c r="V32" s="27" t="str">
        <f>IF($G32="","",G32*ADRYr3!$AD32*ADRYr3!$P32*ADRYr3!$Q32)</f>
        <v/>
      </c>
      <c r="W32" s="27" t="str">
        <f>IF($G32="","",$G32*ADRYr3!$AD32*ADRYr3!$AF32*ADRYr3!Q32*ADRYr3!$S32)</f>
        <v/>
      </c>
      <c r="X32" s="27" t="str">
        <f>IF($G32="","",$G32*ADRYr3!$AD32*ADRYr3!$AF32*ADRYr3!P32*ADRYr3!Q32*ADRYr3!$S32)</f>
        <v/>
      </c>
      <c r="Y32" s="27" t="str">
        <f>IF($G32="","",$G32*ADRYr3!$AD32*ADRYr3!$AE32*ADRYr3!Q32*ADRYr3!$T32)</f>
        <v/>
      </c>
      <c r="Z32" s="27" t="str">
        <f>IF($G32="","",$G32*ADRYr3!$AD32*ADRYr3!$AE32*ADRYr3!P32*ADRYr3!Q32*ADRYr3!$T32)</f>
        <v/>
      </c>
      <c r="AA32" s="45" t="str">
        <f>IF($G32="","",$G32*ADRYr3!$Q32*ADRYr3!$U32*(IF(IFERROR(SEARCH("NG", ADRYr3!$AI32),0),ADRYr3!$AJ32,0)+IF(IFERROR(SEARCH("NG", ADRYr3!$AK32),0),ADRYr3!$AL32,0)+IF(IFERROR(SEARCH("NG", ADRYr3!$AM32),0),ADRYr3!$AN32,0)))</f>
        <v/>
      </c>
      <c r="AB32" s="45" t="str">
        <f t="shared" si="54"/>
        <v/>
      </c>
      <c r="AC32" s="45">
        <f>IF($G32="",0,AA32*ADRYr3!$P32)</f>
        <v>0</v>
      </c>
      <c r="AD32" s="45" t="str">
        <f t="shared" si="55"/>
        <v/>
      </c>
      <c r="AE32" s="45" t="str">
        <f>IF($G32="","",$G32*ADRYr3!$Q32*ADRYr3!$U32*(IF(IFERROR(SEARCH("Oil", ADRYr3!$AI32), 0),ADRYr3!$AJ32,0)+IF(IFERROR(SEARCH("Oil", ADRYr3!$AK32), 0),ADRYr3!$AL32,0)+IF(IFERROR(SEARCH("Oil", ADRYr3!$AM32), 0),ADRYr3!$AN32,0)))</f>
        <v/>
      </c>
      <c r="AF32" s="45" t="str">
        <f t="shared" si="56"/>
        <v/>
      </c>
      <c r="AG32" s="45">
        <f>IF($G32="",0,AE32*ADRYr3!$P32)</f>
        <v>0</v>
      </c>
      <c r="AH32" s="45" t="str">
        <f t="shared" si="57"/>
        <v/>
      </c>
      <c r="AI32" s="45" t="str">
        <f>IF($G32="","",$G32*ADRYr3!$Q32*ADRYr3!$U32*(IF(ADRYr3!$AI32=Lookups!$E$116,ADRYr3!$AJ32,IF(ADRYr3!$AK32=Lookups!$E$116,ADRYr3!$AL32,IF(ADRYr3!$AM32=Lookups!$E$116,ADRYr3!$AN32,0)))))</f>
        <v/>
      </c>
      <c r="AJ32" s="45" t="str">
        <f t="shared" si="58"/>
        <v/>
      </c>
      <c r="AK32" s="45">
        <f>IF($G32="",0,AI32*ADRYr3!$P32)</f>
        <v>0</v>
      </c>
      <c r="AL32" s="45" t="str">
        <f t="shared" si="59"/>
        <v/>
      </c>
      <c r="AM32" s="45" t="str">
        <f>IF($G32="","",$G32*ADRYr3!$Q32*ADRYr3!$U32*(IF(ADRYr3!$AI32=Lookups!$E$115,ADRYr3!$AJ32,IF(ADRYr3!$AK32=Lookups!$E$115,ADRYr3!$AL32,IF(ADRYr3!$AM32=Lookups!$E$115,ADRYr3!$AN32,0)))))</f>
        <v/>
      </c>
      <c r="AN32" s="45" t="str">
        <f t="shared" si="60"/>
        <v/>
      </c>
      <c r="AO32" s="45">
        <f>IF($G32="",0,AM32*ADRYr3!$P32)</f>
        <v>0</v>
      </c>
      <c r="AP32" s="45" t="str">
        <f t="shared" si="61"/>
        <v/>
      </c>
      <c r="AQ32" s="45" t="str">
        <f>IF($G32="","",$G32*ADRYr3!$Q32*ADRYr3!$U32*(IF(ADRYr3!$AI32=Lookups!$E$117,ADRYr3!$AJ32,IF(ADRYr3!$AK32=Lookups!$E$117,ADRYr3!$AL32,IF(ADRYr3!$AM32=Lookups!$E$117,ADRYr3!$AN32,0)))))</f>
        <v/>
      </c>
      <c r="AR32" s="45" t="str">
        <f t="shared" si="62"/>
        <v/>
      </c>
      <c r="AS32" s="45" t="str">
        <f>IF($G32="","",AQ32*ADRYr3!$P32)</f>
        <v/>
      </c>
      <c r="AT32" s="45" t="str">
        <f t="shared" si="63"/>
        <v/>
      </c>
      <c r="AU32" s="45" t="str">
        <f>IF($G32="","",$G32*ADRYr3!$Q32*ADRYr3!$U32*(IF(ADRYr3!$AI32=Lookups!$E$118,ADRYr3!$AJ32,IF(ADRYr3!$AK32=Lookups!$E$118,ADRYr3!$AL32,IF(ADRYr3!$AM32=Lookups!$E$118,ADRYr3!$AN32,0)))))</f>
        <v/>
      </c>
      <c r="AV32" s="45" t="str">
        <f t="shared" si="64"/>
        <v/>
      </c>
      <c r="AW32" s="45" t="str">
        <f>IF($G32="","",AU32*ADRYr3!$P32)</f>
        <v/>
      </c>
      <c r="AX32" s="45" t="str">
        <f t="shared" si="65"/>
        <v/>
      </c>
      <c r="AY32" s="45">
        <f t="shared" si="66"/>
        <v>0</v>
      </c>
      <c r="AZ32" s="45">
        <f t="shared" si="67"/>
        <v>0</v>
      </c>
      <c r="BA32" s="101" t="str">
        <f>IF($G32="","",$G32*ADRYr3!$P32*ADRYr3!$Q32*ADRYr3!$U32*ADRYr3!AO32)</f>
        <v/>
      </c>
      <c r="BB32" s="102" t="str">
        <f>IF($G32="","",$G32*ADRYr3!$P32*ADRYr3!$Q32*ADRYr3!$U32*ADRYr3!AP32)</f>
        <v/>
      </c>
      <c r="BC32" s="100" t="str">
        <f t="shared" si="68"/>
        <v/>
      </c>
      <c r="BD32" s="961"/>
      <c r="BE32" s="961"/>
      <c r="BF32" s="961"/>
      <c r="BG32" s="961"/>
      <c r="BH32" s="962" t="str">
        <f t="shared" si="3"/>
        <v/>
      </c>
      <c r="BI32" s="961"/>
      <c r="BJ32" s="961"/>
      <c r="BK32" s="961"/>
      <c r="BL32" s="961"/>
      <c r="BM32" s="30" t="str">
        <f t="shared" si="4"/>
        <v/>
      </c>
      <c r="BN32" s="963" t="str">
        <f t="shared" si="31"/>
        <v/>
      </c>
      <c r="BO32" s="31" t="str">
        <f t="shared" si="69"/>
        <v/>
      </c>
      <c r="BP32" s="964" t="str">
        <f t="shared" si="5"/>
        <v/>
      </c>
      <c r="BQ32" s="28" t="str">
        <f t="shared" si="6"/>
        <v/>
      </c>
      <c r="BR32" s="964" t="str">
        <f t="shared" si="7"/>
        <v/>
      </c>
      <c r="BS32" s="964" t="str">
        <f t="shared" si="8"/>
        <v/>
      </c>
      <c r="BT32" s="28" t="str">
        <f t="shared" si="82"/>
        <v/>
      </c>
      <c r="BU32" s="28" t="str">
        <f t="shared" si="82"/>
        <v/>
      </c>
      <c r="BV32" s="28" t="str">
        <f t="shared" si="82"/>
        <v/>
      </c>
      <c r="BW32" s="29" t="str">
        <f t="shared" si="70"/>
        <v/>
      </c>
      <c r="BX32" s="29" t="str">
        <f t="shared" si="71"/>
        <v/>
      </c>
      <c r="BY32" s="28" t="str">
        <f>IF($G32="","",$G32*(IF(ADRYr3!$AI32=BY$4,ADRYr3!$AJ32,IF(ADRYr3!$AK32=BY$4,ADRYr3!$AL32,IF(ADRYr3!$AM32=BY$4,ADRYr3!$AN32,0))))*(INDEX(avoidedcosttbl3,$H32,BY$2)+(($H32-ROUNDDOWN($H32,0))*(INDEX(avoidedcosttbl3,ROUNDUP($H32,0),BY$2)-(INDEX(avoidedcosttbl3,ROUNDDOWN($H32,0),BY$2)))))*ADRYr3!P32*ADRYr3!Q32*ADRYr3!U32)</f>
        <v/>
      </c>
      <c r="BZ32" s="28" t="str">
        <f>IF($G32="","",$G32*(IF(ADRYr3!$AI32=BZ$4,ADRYr3!$AJ32,IF(ADRYr3!$AK32=BZ$4,ADRYr3!$AL32,IF(ADRYr3!$AM32=BZ$4,ADRYr3!$AN32,0))))*(INDEX(avoidedcosttbl3,$H32,BZ$2)+(($H32-ROUNDDOWN($H32,0))*(INDEX(avoidedcosttbl3,ROUNDUP($H32,0),BZ$2)-(INDEX(avoidedcosttbl3,ROUNDDOWN($H32,0),BZ$2)))))*ADRYr3!P32*ADRYr3!Q32*ADRYr3!U32)</f>
        <v/>
      </c>
      <c r="CA32" s="28" t="str">
        <f>IF($G32="","",$G32*(IF(ADRYr3!$AI32=CA$4,ADRYr3!$AJ32,IF(ADRYr3!$AK32=CA$4,ADRYr3!$AL32,IF(ADRYr3!$AM32=CA$4,ADRYr3!$AN32,0))))*(INDEX(avoidedcosttbl3,$H32,CA$2)+(($H32-ROUNDDOWN($H32,0))*(INDEX(avoidedcosttbl3,ROUNDUP($H32,0),CA$2)-(INDEX(avoidedcosttbl3,ROUNDDOWN($H32,0),CA$2)))))*ADRYr3!P32*ADRYr3!Q32*ADRYr3!U32)</f>
        <v/>
      </c>
      <c r="CB32" s="28" t="str">
        <f>IF($G32="","",$G32*(IF(ADRYr3!$AI32=CB$4,ADRYr3!$AJ32,IF(ADRYr3!$AK32=CB$4,ADRYr3!$AL32,IF(ADRYr3!$AM32=CB$4,ADRYr3!$AN32,0))))*(INDEX(avoidedcosttbl3,$H32,CB$2)+(($H32-ROUNDDOWN($H32,0))*(INDEX(avoidedcosttbl3,ROUNDUP($H32,0),CB$2)-(INDEX(avoidedcosttbl3,ROUNDDOWN($H32,0),CB$2)))))*ADRYr3!P32*ADRYr3!Q32*ADRYr3!U32)</f>
        <v/>
      </c>
      <c r="CC32" s="28" t="str">
        <f>IF($G32="","",$G32*(IF(ADRYr3!$AI32=CC$4,ADRYr3!$AJ32,IF(ADRYr3!$AK32=CC$4,ADRYr3!$AL32,IF(ADRYr3!$AM32=CC$4,ADRYr3!$AN32,0))))*(INDEX(avoidedcosttbl3,$H32,CC$2)+(($H32-ROUNDDOWN($H32,0))*(INDEX(avoidedcosttbl3,ROUNDUP($H32,0),CC$2)-(INDEX(avoidedcosttbl3,ROUNDDOWN($H32,0),CC$2)))))*ADRYr3!P32*ADRYr3!Q32*ADRYr3!U32)</f>
        <v/>
      </c>
      <c r="CD32" s="28" t="str">
        <f>IF($G32="","",$G32*(IF(ADRYr3!$AI32=CD$4,ADRYr3!$AJ32,IF(ADRYr3!$AK32=CD$4,ADRYr3!$AL32,IF(ADRYr3!$AM32=CD$4,ADRYr3!$AN32,0))))*(INDEX(avoidedcosttbl3,$H32,CD$2)+(($H32-ROUNDDOWN($H32,0))*(INDEX(avoidedcosttbl3,ROUNDUP($H32,0),CD$2)-(INDEX(avoidedcosttbl3,ROUNDDOWN($H32,0),CD$2)))))*ADRYr3!P32*ADRYr3!Q32*ADRYr3!U32)</f>
        <v/>
      </c>
      <c r="CE32" s="28" t="str">
        <f>IF($G32="","",$G32*(IF(ADRYr3!$AI32=CE$4,ADRYr3!$AJ32,IF(ADRYr3!$AK32=CE$4,ADRYr3!$AL32,IF(ADRYr3!$AM32=CE$4,ADRYr3!$AN32,0))))*(INDEX(avoidedcosttbl3,$H32,CE$2)+(($H32-ROUNDDOWN($H32,0))*(INDEX(avoidedcosttbl3,ROUNDUP($H32,0),CE$2)-(INDEX(avoidedcosttbl3,ROUNDDOWN($H32,0),CE$2)))))*ADRYr3!P32*ADRYr3!Q32*ADRYr3!U32)</f>
        <v/>
      </c>
      <c r="CF32" s="41" t="str">
        <f t="shared" si="72"/>
        <v/>
      </c>
      <c r="CG32" s="30" t="str">
        <f t="shared" si="10"/>
        <v/>
      </c>
      <c r="CH32" s="30" t="str">
        <f>IF($G32="","",$G32*(IF(ADRYr3!$AI32=BY$4,ADRYr3!$AJ32,IF(ADRYr3!$AK32=BY$4,ADRYr3!$AL32,IF(ADRYr3!$AM32=BY$4,ADRYr3!$AN32,0))))*(INDEX(avoidedcosttbl3,$H32,CH$2)+(($H32-ROUNDDOWN($H32,0))*(INDEX(avoidedcosttbl3,ROUNDUP($H32,0),CH$2)-(INDEX(avoidedcosttbl3,ROUNDDOWN($H32,0),CH$2)))))*ADRYr3!P32*ADRYr3!Q32*ADRYr3!U32)</f>
        <v/>
      </c>
      <c r="CI32" s="30" t="str">
        <f>IF($G32="","",$G32*(IF(ADRYr3!$AI32=BZ$4,ADRYr3!$AJ32,IF(ADRYr3!$AK32=BZ$4,ADRYr3!$AL32,IF(ADRYr3!$AM32=BZ$4,ADRYr3!$AN32,0))))*(INDEX(avoidedcosttbl3,$H32,CI$2)+(($H32-ROUNDDOWN($H32,0))*(INDEX(avoidedcosttbl3,ROUNDUP($H32,0),CI$2)-(INDEX(avoidedcosttbl3,ROUNDDOWN($H32,0),CI$2)))))*ADRYr3!P32*ADRYr3!Q32*ADRYr3!U32)</f>
        <v/>
      </c>
      <c r="CJ32" s="30" t="str">
        <f>IF($G32="","",$G32*(IF(ADRYr3!$AI32=CA$4,ADRYr3!$AJ32,IF(ADRYr3!$AK32=CA$4,ADRYr3!$AL32,IF(ADRYr3!$AM32=CA$4,ADRYr3!$AN32,0))))*(INDEX(avoidedcosttbl3,$H32,CJ$2)+(($H32-ROUNDDOWN($H32,0))*(INDEX(avoidedcosttbl3,ROUNDUP($H32,0),CJ$2)-(INDEX(avoidedcosttbl3,ROUNDDOWN($H32,0),CJ$2)))))*ADRYr3!P32*ADRYr3!Q32*ADRYr3!U32)</f>
        <v/>
      </c>
      <c r="CK32" s="30" t="str">
        <f>IF($G32="","",$G32*(IF(ADRYr3!$AI32=CB$4,ADRYr3!$AJ32,IF(ADRYr3!$AK32=CB$4,ADRYr3!$AL32,IF(ADRYr3!$AM32=CB$4,ADRYr3!$AN32,0))))*(INDEX(avoidedcosttbl3,$H32,CK$2)+(($H32-ROUNDDOWN($H32,0))*(INDEX(avoidedcosttbl3,ROUNDUP($H32,0),CK$2)-(INDEX(avoidedcosttbl3,ROUNDDOWN($H32,0),CK$2)))))*ADRYr3!P32*ADRYr3!Q32*ADRYr3!U32)</f>
        <v/>
      </c>
      <c r="CL32" s="30" t="str">
        <f>IF($G32="","",$G32*(IF(ADRYr3!$AI32=CC$4,ADRYr3!$AJ32,IF(ADRYr3!$AK32=CC$4,ADRYr3!$AL32,IF(ADRYr3!$AM32=CC$4,ADRYr3!$AN32,0))))*(INDEX(avoidedcosttbl3,$H32,CL$2)+(($H32-ROUNDDOWN($H32,0))*(INDEX(avoidedcosttbl3,ROUNDUP($H32,0),CL$2)-(INDEX(avoidedcosttbl3,ROUNDDOWN($H32,0),CL$2)))))*ADRYr3!P32*ADRYr3!Q32*ADRYr3!U32)</f>
        <v/>
      </c>
      <c r="CM32" s="30" t="str">
        <f>IF($G32="","",$G32*(IF(ADRYr3!$AI32=CD$4,ADRYr3!$AJ32,IF(ADRYr3!$AK32=CD$4,ADRYr3!$AL32,IF(ADRYr3!$AM32=CD$4,ADRYr3!$AN32,0))))*(INDEX(avoidedcosttbl3,$H32,CM$2)+(($H32-ROUNDDOWN($H32,0))*(INDEX(avoidedcosttbl3,ROUNDUP($H32,0),CM$2)-(INDEX(avoidedcosttbl3,ROUNDDOWN($H32,0),CM$2)))))*ADRYr3!P32*ADRYr3!Q32*ADRYr3!U32)</f>
        <v/>
      </c>
      <c r="CN32" s="30" t="str">
        <f>IF($G32="","",$G32*(IF(ADRYr3!$AI32=CE$4,ADRYr3!$AJ32,IF(ADRYr3!$AK32=CE$4,ADRYr3!$AL32,IF(ADRYr3!$AM32=CE$4,ADRYr3!$AN32,0))))*(INDEX(avoidedcosttbl3,$H32,CN$2)+(($H32-ROUNDDOWN($H32,0))*(INDEX(avoidedcosttbl3,ROUNDUP($H32,0),CN$2)-(INDEX(avoidedcosttbl3,ROUNDDOWN($H32,0),CN$2)))))*ADRYr3!P32*ADRYr3!Q32*ADRYr3!U32)</f>
        <v/>
      </c>
      <c r="CO32" s="220" t="str">
        <f t="shared" si="73"/>
        <v/>
      </c>
      <c r="CP32" s="220" t="str">
        <f t="shared" si="74"/>
        <v/>
      </c>
      <c r="CQ32" s="157" t="str">
        <f>IF($G32="","",$G32*(IF(ADRYr3!$AI32=CQ$4,ADRYr3!$AJ32,IF(ADRYr3!$AK32=CQ$4,ADRYr3!$AL32,IF(ADRYr3!$AM32=CQ$4,ADRYr3!$AN32,0))))*(INDEX(avoidedcosttbl3,$H32,CQ$2)+(($H32-ROUNDDOWN($H32,0))*(INDEX(avoidedcosttbl3,ROUNDUP($H32,0),CQ$2)-(INDEX(avoidedcosttbl3,ROUNDDOWN($H32,0),CQ$2)))))*ADRYr3!$P32*ADRYr3!$Q32*ADRYr3!$U32)</f>
        <v/>
      </c>
      <c r="CR32" s="28" t="str">
        <f>IF($G32="","",G32*(IF(ADRYr3!$AI32=CR$4,ADRYr3!$AJ32,IF(ADRYr3!$AK32=CR$4,ADRYr3!$AL32,IF(ADRYr3!$AM32=CR$4,ADRYr3!$AN32,0))))*(INDEX(avoidedcosttbl3,$H32,CR$2)+(($H32-ROUNDDOWN($H32,0))*(INDEX(avoidedcosttbl3,ROUNDUP($H32,0),CR$2)-(INDEX(avoidedcosttbl3,ROUNDDOWN($H32,0),CR$2)))))*ADRYr3!$P32*ADRYr3!$Q32*ADRYr3!$U32)</f>
        <v/>
      </c>
      <c r="CS32" s="28" t="str">
        <f>IF($G32="","",G32*(IF(ADRYr3!$AI32=CS$4,ADRYr3!$AJ32,IF(ADRYr3!$AK32=CS$4,ADRYr3!$AL32,IF(ADRYr3!$AM32=CS$4,ADRYr3!$AN32,0))))*(INDEX(avoidedcosttbl3,$H32,CS$2)+(($H32-ROUNDDOWN($H32,0))*(INDEX(avoidedcosttbl3,ROUNDUP($H32,0),CS$2)-(INDEX(avoidedcosttbl3,ROUNDDOWN($H32,0),CS$2)))))*ADRYr3!$P32*ADRYr3!$Q32*ADRYr3!$U32)</f>
        <v/>
      </c>
      <c r="CT32" s="28" t="str">
        <f t="shared" si="11"/>
        <v/>
      </c>
      <c r="CU32" s="28" t="str">
        <f>IF($G32="","",G32*(IF(ADRYr3!$AI32=CU$4,ADRYr3!$AJ32,IF(ADRYr3!$AK32=CU$4,ADRYr3!$AL32,IF(ADRYr3!$AM32=CU$4,ADRYr3!$AN32,0))))*(INDEX(avoidedcosttbl3,$H32,CU$2)+(($H32-ROUNDDOWN($H32,0))*(INDEX(avoidedcosttbl3,ROUNDUP($H32,0),CU$2)-(INDEX(avoidedcosttbl3,ROUNDDOWN($H32,0),CU$2)))))*ADRYr3!$P32*ADRYr3!$Q32*ADRYr3!$U32)</f>
        <v/>
      </c>
      <c r="CV32" s="28" t="str">
        <f>IF($G32="","",G32*(IF(ADRYr3!$AI32=CV$4,ADRYr3!$AJ32,IF(ADRYr3!$AK32=CV$4,ADRYr3!$AL32,IF(ADRYr3!$AM32=CV$4,ADRYr3!$AN32,0))))*(INDEX(avoidedcosttbl3,$H32,CV$2)+(($H32-ROUNDDOWN($H32,0))*(INDEX(avoidedcosttbl3,ROUNDUP($H32,0),CV$2)-(INDEX(avoidedcosttbl3,ROUNDDOWN($H32,0),CV$2)))))*ADRYr3!$P32*ADRYr3!$Q32*ADRYr3!$U32)</f>
        <v/>
      </c>
      <c r="CW32" s="28" t="str">
        <f>IF($G32="","",G32*(IF(ADRYr3!$AI32=CW$4,ADRYr3!$AJ32,IF(ADRYr3!$AK32=CW$4,ADRYr3!$AL32,IF(ADRYr3!$AM32=CW$4,ADRYr3!$AN32,0))))*(INDEX(avoidedcosttbl3,$H32,CW$2)+(($H32-ROUNDDOWN($H32,0))*(INDEX(avoidedcosttbl3,ROUNDUP($H32,0),CW$2)-(INDEX(avoidedcosttbl3,ROUNDDOWN($H32,0),CW$2)))))*ADRYr3!$P32*ADRYr3!$Q32*ADRYr3!$U32)</f>
        <v/>
      </c>
      <c r="CX32" s="28" t="str">
        <f>IF($G32="","",G32*(IF(ADRYr3!$AI32=CX$4,ADRYr3!$AJ32,IF(ADRYr3!$AK32=CX$4,ADRYr3!$AL32,IF(ADRYr3!$AM32=CX$4,ADRYr3!$AN32,0))))*(INDEX(avoidedcosttbl3,$H32,CX$2)+(($H32-ROUNDDOWN($H32,0))*(INDEX(avoidedcosttbl3,ROUNDUP($H32,0),CX$2)-(INDEX(avoidedcosttbl3,ROUNDDOWN($H32,0),CX$2)))))*ADRYr3!$P32*ADRYr3!$Q32*ADRYr3!$U32)</f>
        <v/>
      </c>
      <c r="CY32" s="28" t="str">
        <f t="shared" si="75"/>
        <v/>
      </c>
      <c r="CZ32" s="32" t="str">
        <f t="shared" si="76"/>
        <v/>
      </c>
      <c r="DA32" s="84" t="str">
        <f t="shared" si="77"/>
        <v/>
      </c>
      <c r="DB32" s="81" t="str">
        <f>IF(NEIadder="Yes",IF($G32="","",INDEX(Lookups!$G$70:$G$71,MATCH($A32,Lookups!$E$70:$E$71,0))*(SUM(CP32:CX32,BX32))),"")</f>
        <v/>
      </c>
      <c r="DC32" s="263" t="str">
        <f t="shared" si="78"/>
        <v/>
      </c>
      <c r="DD32" s="166" t="str">
        <f t="shared" si="79"/>
        <v/>
      </c>
      <c r="DE32" s="82">
        <f t="shared" si="80"/>
        <v>0</v>
      </c>
      <c r="DF32" s="615" t="str">
        <f>IF($G32="","",(1+WntPeakEnergyLL)*(INDEX(avoidedcosttbl3,$H32,DF$2)+(($H32-ROUNDDOWN($H32,0))*(INDEX(avoidedcosttbl3,ROUNDUP($H32,0),DF$2)-(INDEX(avoidedcosttbl3,ROUNDDOWN($H32,0),DF$2)))))*$P32*1000*ADRYr3!Z32)</f>
        <v/>
      </c>
      <c r="DG32" s="615" t="str">
        <f>IF($G32="","",(1+WntOffPeakEnergyLL)*(INDEX(avoidedcosttbl3,$H32,DG$2)+(($H32-ROUNDDOWN($H32,0))*(INDEX(avoidedcosttbl3,ROUNDUP($H32,0),DG$2)-(INDEX(avoidedcosttbl3,ROUNDDOWN($H32,0),DG$2)))))*$P32*1000*ADRYr3!AA32)</f>
        <v/>
      </c>
      <c r="DH32" s="615" t="str">
        <f>IF($G32="","",(1+SumPeakEnergyLL)*(INDEX(avoidedcosttbl3,$H32,DH$2)+(($H32-ROUNDDOWN($H32,0))*(INDEX(avoidedcosttbl3,ROUNDUP($H32,0),DH$2)-(INDEX(avoidedcosttbl3,ROUNDDOWN($H32,0),DH$2)))))*$P32*1000*ADRYr3!AB32)</f>
        <v/>
      </c>
      <c r="DI32" s="615" t="str">
        <f>IF($G32="","",(1+SumOffPeakEnergyLL)*(INDEX(avoidedcosttbl3,$H32,DI$2)+(($H32-ROUNDDOWN($H32,0))*(INDEX(avoidedcosttbl3,ROUNDUP($H32,0),DI$2)-(INDEX(avoidedcosttbl3,ROUNDDOWN($H32,0),DI$2)))))*$P32*1000*ADRYr3!AC32)</f>
        <v/>
      </c>
      <c r="DJ32" s="29" t="str">
        <f t="shared" si="81"/>
        <v/>
      </c>
      <c r="DK32" s="161" t="str">
        <f t="shared" si="45"/>
        <v/>
      </c>
      <c r="DL32" s="1189" t="str">
        <f t="shared" si="46"/>
        <v/>
      </c>
      <c r="DM32" s="1189" t="str">
        <f t="shared" si="47"/>
        <v/>
      </c>
      <c r="DN32" s="43" t="str">
        <f t="shared" si="48"/>
        <v/>
      </c>
      <c r="DO32" s="966" t="str">
        <f>IF($G32="","",ADRYr3!AQ32)</f>
        <v/>
      </c>
      <c r="DP32" s="968" t="str">
        <f>IF($G32="","",ADRYr3!AR32)</f>
        <v/>
      </c>
      <c r="DQ32" s="970" t="str">
        <f>IF($G32="","",IF($DP32="Yes",COLUMN(AESC!$L$10),IF($DP32="No","Using AvoidedDemand tab",IF($DP32="Mixed",COLUMN(AESC!$N$10)))))</f>
        <v/>
      </c>
      <c r="DR32" s="970" t="str">
        <f>IF($G32="","",IF($DP32="Yes",COLUMN(AESC!$P$10),IF($DP32="No","Using AvoidedDemand tab",IF($DP32="Mixed",COLUMN(AESC!$R$10)))))</f>
        <v/>
      </c>
      <c r="DS32" s="970" t="str">
        <f>IF($G32="","",IF($DP32="Yes",COLUMN(AESC!$S$10),IF($DP32="No",COLUMN(AESC!$T$10),IF($DP32="Mixed",COLUMN(AESC!$U$10)))))</f>
        <v/>
      </c>
      <c r="DT32" s="970" t="str">
        <f t="shared" si="49"/>
        <v/>
      </c>
      <c r="DU32" s="970" t="str">
        <f>IF($G32="","",ADRYr3!AS32)</f>
        <v/>
      </c>
      <c r="DV32" s="971" t="str">
        <f>IF($G32="","",ADRYr3!AT32)</f>
        <v/>
      </c>
      <c r="DW32" s="1162" t="str">
        <f>IF($G32="","",INDEX(AvoidedEnergy!$H$4:$H$10,MATCH($DO32,AvoidedEnergy!$A$4:$A$10,0)))</f>
        <v/>
      </c>
    </row>
    <row r="33" spans="1:127">
      <c r="A33" s="160" t="str">
        <f>IF(ADRYr3!$B33=0,"",ADRYr3!A33)</f>
        <v>C - Commercial &amp; Industrial</v>
      </c>
      <c r="B33" s="9" t="str">
        <f>IF(ADRYr3!$B33=0,"",ADRYr3!B33)</f>
        <v>C5 - C&amp;I Active Demand Response</v>
      </c>
      <c r="C33" s="9" t="str">
        <f>IF(ADRYr3!$B33=0,"",ADRYr3!C33)</f>
        <v>C5a - C&amp;I Active Demand Response</v>
      </c>
      <c r="D33" s="9" t="str">
        <f>IF(ADRYr3!$B33=0,"",ADRYr3!D33)</f>
        <v>Storage Daily Dispatch Upfront Incentive (savings) Winter</v>
      </c>
      <c r="E33" s="9">
        <f>IF(ADRYr3!$B33=0,"",ADRYr3!E33)</f>
        <v>0</v>
      </c>
      <c r="F33" s="11" t="str">
        <f>IF(ADRYr3!$B33=0,"",ADRYr3!F33)</f>
        <v>Behavior</v>
      </c>
      <c r="G33" s="12" t="str">
        <f>IF(ADRYr3!$G33&lt;&gt;0,ADRYr3!G33,"")</f>
        <v/>
      </c>
      <c r="H33" s="960" t="str">
        <f>IF($G33="","",ROUND(ADRYr3!H33,0))</f>
        <v/>
      </c>
      <c r="I33" s="47" t="str">
        <f>IF($G33="","",ADRYr3!I33*ADRYr3!P33*G33)</f>
        <v/>
      </c>
      <c r="J33" s="47" t="str">
        <f>IF($G33="","",ADRYr3!J33*G33)</f>
        <v/>
      </c>
      <c r="K33" s="47" t="str">
        <f t="shared" si="50"/>
        <v/>
      </c>
      <c r="L33" s="27" t="str">
        <f>IF($G33="","",ADRYr3!V33*G33/1000)</f>
        <v/>
      </c>
      <c r="M33" s="27" t="str">
        <f>IF($G33="","",L33*ADRYr3!$Q33*ADRYr3!$R33)</f>
        <v/>
      </c>
      <c r="N33" s="27" t="str">
        <f t="shared" si="51"/>
        <v/>
      </c>
      <c r="O33" s="27" t="str">
        <f t="shared" si="52"/>
        <v/>
      </c>
      <c r="P33" s="27" t="str">
        <f>IF($G33="","",M33*ADRYr3!P33)</f>
        <v/>
      </c>
      <c r="Q33" s="27" t="str">
        <f t="shared" si="53"/>
        <v/>
      </c>
      <c r="R33" s="27" t="str">
        <f>IF($G33="","",$Q33*ADRYr3!Z33)</f>
        <v/>
      </c>
      <c r="S33" s="27" t="str">
        <f>IF($G33="","",$Q33*ADRYr3!AA33)</f>
        <v/>
      </c>
      <c r="T33" s="27" t="str">
        <f>IF($G33="","",$Q33*ADRYr3!AB33)</f>
        <v/>
      </c>
      <c r="U33" s="27" t="str">
        <f>IF($G33="","",$Q33*ADRYr3!AC33)</f>
        <v/>
      </c>
      <c r="V33" s="27" t="str">
        <f>IF($G33="","",G33*ADRYr3!$AD33*ADRYr3!$P33*ADRYr3!$Q33)</f>
        <v/>
      </c>
      <c r="W33" s="27" t="str">
        <f>IF($G33="","",$G33*ADRYr3!$AD33*ADRYr3!$AF33*ADRYr3!Q33*ADRYr3!$S33)</f>
        <v/>
      </c>
      <c r="X33" s="27" t="str">
        <f>IF($G33="","",$G33*ADRYr3!$AD33*ADRYr3!$AF33*ADRYr3!P33*ADRYr3!Q33*ADRYr3!$S33)</f>
        <v/>
      </c>
      <c r="Y33" s="27" t="str">
        <f>IF($G33="","",$G33*ADRYr3!$AD33*ADRYr3!$AE33*ADRYr3!Q33*ADRYr3!$T33)</f>
        <v/>
      </c>
      <c r="Z33" s="27" t="str">
        <f>IF($G33="","",$G33*ADRYr3!$AD33*ADRYr3!$AE33*ADRYr3!P33*ADRYr3!Q33*ADRYr3!$T33)</f>
        <v/>
      </c>
      <c r="AA33" s="45" t="str">
        <f>IF($G33="","",$G33*ADRYr3!$Q33*ADRYr3!$U33*(IF(IFERROR(SEARCH("NG", ADRYr3!$AI33),0),ADRYr3!$AJ33,0)+IF(IFERROR(SEARCH("NG", ADRYr3!$AK33),0),ADRYr3!$AL33,0)+IF(IFERROR(SEARCH("NG", ADRYr3!$AM33),0),ADRYr3!$AN33,0)))</f>
        <v/>
      </c>
      <c r="AB33" s="45" t="str">
        <f t="shared" si="54"/>
        <v/>
      </c>
      <c r="AC33" s="45">
        <f>IF($G33="",0,AA33*ADRYr3!$P33)</f>
        <v>0</v>
      </c>
      <c r="AD33" s="45" t="str">
        <f t="shared" si="55"/>
        <v/>
      </c>
      <c r="AE33" s="45" t="str">
        <f>IF($G33="","",$G33*ADRYr3!$Q33*ADRYr3!$U33*(IF(IFERROR(SEARCH("Oil", ADRYr3!$AI33), 0),ADRYr3!$AJ33,0)+IF(IFERROR(SEARCH("Oil", ADRYr3!$AK33), 0),ADRYr3!$AL33,0)+IF(IFERROR(SEARCH("Oil", ADRYr3!$AM33), 0),ADRYr3!$AN33,0)))</f>
        <v/>
      </c>
      <c r="AF33" s="45" t="str">
        <f t="shared" si="56"/>
        <v/>
      </c>
      <c r="AG33" s="45">
        <f>IF($G33="",0,AE33*ADRYr3!$P33)</f>
        <v>0</v>
      </c>
      <c r="AH33" s="45" t="str">
        <f t="shared" si="57"/>
        <v/>
      </c>
      <c r="AI33" s="45" t="str">
        <f>IF($G33="","",$G33*ADRYr3!$Q33*ADRYr3!$U33*(IF(ADRYr3!$AI33=Lookups!$E$116,ADRYr3!$AJ33,IF(ADRYr3!$AK33=Lookups!$E$116,ADRYr3!$AL33,IF(ADRYr3!$AM33=Lookups!$E$116,ADRYr3!$AN33,0)))))</f>
        <v/>
      </c>
      <c r="AJ33" s="45" t="str">
        <f t="shared" si="58"/>
        <v/>
      </c>
      <c r="AK33" s="45">
        <f>IF($G33="",0,AI33*ADRYr3!$P33)</f>
        <v>0</v>
      </c>
      <c r="AL33" s="45" t="str">
        <f t="shared" si="59"/>
        <v/>
      </c>
      <c r="AM33" s="45" t="str">
        <f>IF($G33="","",$G33*ADRYr3!$Q33*ADRYr3!$U33*(IF(ADRYr3!$AI33=Lookups!$E$115,ADRYr3!$AJ33,IF(ADRYr3!$AK33=Lookups!$E$115,ADRYr3!$AL33,IF(ADRYr3!$AM33=Lookups!$E$115,ADRYr3!$AN33,0)))))</f>
        <v/>
      </c>
      <c r="AN33" s="45" t="str">
        <f t="shared" si="60"/>
        <v/>
      </c>
      <c r="AO33" s="45">
        <f>IF($G33="",0,AM33*ADRYr3!$P33)</f>
        <v>0</v>
      </c>
      <c r="AP33" s="45" t="str">
        <f t="shared" si="61"/>
        <v/>
      </c>
      <c r="AQ33" s="45" t="str">
        <f>IF($G33="","",$G33*ADRYr3!$Q33*ADRYr3!$U33*(IF(ADRYr3!$AI33=Lookups!$E$117,ADRYr3!$AJ33,IF(ADRYr3!$AK33=Lookups!$E$117,ADRYr3!$AL33,IF(ADRYr3!$AM33=Lookups!$E$117,ADRYr3!$AN33,0)))))</f>
        <v/>
      </c>
      <c r="AR33" s="45" t="str">
        <f t="shared" si="62"/>
        <v/>
      </c>
      <c r="AS33" s="45" t="str">
        <f>IF($G33="","",AQ33*ADRYr3!$P33)</f>
        <v/>
      </c>
      <c r="AT33" s="45" t="str">
        <f t="shared" si="63"/>
        <v/>
      </c>
      <c r="AU33" s="45" t="str">
        <f>IF($G33="","",$G33*ADRYr3!$Q33*ADRYr3!$U33*(IF(ADRYr3!$AI33=Lookups!$E$118,ADRYr3!$AJ33,IF(ADRYr3!$AK33=Lookups!$E$118,ADRYr3!$AL33,IF(ADRYr3!$AM33=Lookups!$E$118,ADRYr3!$AN33,0)))))</f>
        <v/>
      </c>
      <c r="AV33" s="45" t="str">
        <f t="shared" si="64"/>
        <v/>
      </c>
      <c r="AW33" s="45" t="str">
        <f>IF($G33="","",AU33*ADRYr3!$P33)</f>
        <v/>
      </c>
      <c r="AX33" s="45" t="str">
        <f t="shared" si="65"/>
        <v/>
      </c>
      <c r="AY33" s="45">
        <f t="shared" si="66"/>
        <v>0</v>
      </c>
      <c r="AZ33" s="45">
        <f t="shared" si="67"/>
        <v>0</v>
      </c>
      <c r="BA33" s="101" t="str">
        <f>IF($G33="","",$G33*ADRYr3!$P33*ADRYr3!$Q33*ADRYr3!$U33*ADRYr3!AO33)</f>
        <v/>
      </c>
      <c r="BB33" s="102" t="str">
        <f>IF($G33="","",$G33*ADRYr3!$P33*ADRYr3!$Q33*ADRYr3!$U33*ADRYr3!AP33)</f>
        <v/>
      </c>
      <c r="BC33" s="100" t="str">
        <f t="shared" si="68"/>
        <v/>
      </c>
      <c r="BD33" s="961"/>
      <c r="BE33" s="961"/>
      <c r="BF33" s="961"/>
      <c r="BG33" s="961"/>
      <c r="BH33" s="962" t="str">
        <f t="shared" si="3"/>
        <v/>
      </c>
      <c r="BI33" s="961"/>
      <c r="BJ33" s="961"/>
      <c r="BK33" s="961"/>
      <c r="BL33" s="961"/>
      <c r="BM33" s="30" t="str">
        <f t="shared" si="4"/>
        <v/>
      </c>
      <c r="BN33" s="963" t="str">
        <f t="shared" si="31"/>
        <v/>
      </c>
      <c r="BO33" s="31" t="str">
        <f t="shared" si="69"/>
        <v/>
      </c>
      <c r="BP33" s="964" t="str">
        <f t="shared" si="5"/>
        <v/>
      </c>
      <c r="BQ33" s="28" t="str">
        <f t="shared" si="6"/>
        <v/>
      </c>
      <c r="BR33" s="964" t="str">
        <f t="shared" si="7"/>
        <v/>
      </c>
      <c r="BS33" s="964" t="str">
        <f t="shared" si="8"/>
        <v/>
      </c>
      <c r="BT33" s="28" t="str">
        <f t="shared" si="82"/>
        <v/>
      </c>
      <c r="BU33" s="28" t="str">
        <f t="shared" si="82"/>
        <v/>
      </c>
      <c r="BV33" s="28" t="str">
        <f t="shared" si="82"/>
        <v/>
      </c>
      <c r="BW33" s="29" t="str">
        <f t="shared" si="70"/>
        <v/>
      </c>
      <c r="BX33" s="29" t="str">
        <f t="shared" si="71"/>
        <v/>
      </c>
      <c r="BY33" s="28" t="str">
        <f>IF($G33="","",$G33*(IF(ADRYr3!$AI33=BY$4,ADRYr3!$AJ33,IF(ADRYr3!$AK33=BY$4,ADRYr3!$AL33,IF(ADRYr3!$AM33=BY$4,ADRYr3!$AN33,0))))*(INDEX(avoidedcosttbl3,$H33,BY$2)+(($H33-ROUNDDOWN($H33,0))*(INDEX(avoidedcosttbl3,ROUNDUP($H33,0),BY$2)-(INDEX(avoidedcosttbl3,ROUNDDOWN($H33,0),BY$2)))))*ADRYr3!P33*ADRYr3!Q33*ADRYr3!U33)</f>
        <v/>
      </c>
      <c r="BZ33" s="28" t="str">
        <f>IF($G33="","",$G33*(IF(ADRYr3!$AI33=BZ$4,ADRYr3!$AJ33,IF(ADRYr3!$AK33=BZ$4,ADRYr3!$AL33,IF(ADRYr3!$AM33=BZ$4,ADRYr3!$AN33,0))))*(INDEX(avoidedcosttbl3,$H33,BZ$2)+(($H33-ROUNDDOWN($H33,0))*(INDEX(avoidedcosttbl3,ROUNDUP($H33,0),BZ$2)-(INDEX(avoidedcosttbl3,ROUNDDOWN($H33,0),BZ$2)))))*ADRYr3!P33*ADRYr3!Q33*ADRYr3!U33)</f>
        <v/>
      </c>
      <c r="CA33" s="28" t="str">
        <f>IF($G33="","",$G33*(IF(ADRYr3!$AI33=CA$4,ADRYr3!$AJ33,IF(ADRYr3!$AK33=CA$4,ADRYr3!$AL33,IF(ADRYr3!$AM33=CA$4,ADRYr3!$AN33,0))))*(INDEX(avoidedcosttbl3,$H33,CA$2)+(($H33-ROUNDDOWN($H33,0))*(INDEX(avoidedcosttbl3,ROUNDUP($H33,0),CA$2)-(INDEX(avoidedcosttbl3,ROUNDDOWN($H33,0),CA$2)))))*ADRYr3!P33*ADRYr3!Q33*ADRYr3!U33)</f>
        <v/>
      </c>
      <c r="CB33" s="28" t="str">
        <f>IF($G33="","",$G33*(IF(ADRYr3!$AI33=CB$4,ADRYr3!$AJ33,IF(ADRYr3!$AK33=CB$4,ADRYr3!$AL33,IF(ADRYr3!$AM33=CB$4,ADRYr3!$AN33,0))))*(INDEX(avoidedcosttbl3,$H33,CB$2)+(($H33-ROUNDDOWN($H33,0))*(INDEX(avoidedcosttbl3,ROUNDUP($H33,0),CB$2)-(INDEX(avoidedcosttbl3,ROUNDDOWN($H33,0),CB$2)))))*ADRYr3!P33*ADRYr3!Q33*ADRYr3!U33)</f>
        <v/>
      </c>
      <c r="CC33" s="28" t="str">
        <f>IF($G33="","",$G33*(IF(ADRYr3!$AI33=CC$4,ADRYr3!$AJ33,IF(ADRYr3!$AK33=CC$4,ADRYr3!$AL33,IF(ADRYr3!$AM33=CC$4,ADRYr3!$AN33,0))))*(INDEX(avoidedcosttbl3,$H33,CC$2)+(($H33-ROUNDDOWN($H33,0))*(INDEX(avoidedcosttbl3,ROUNDUP($H33,0),CC$2)-(INDEX(avoidedcosttbl3,ROUNDDOWN($H33,0),CC$2)))))*ADRYr3!P33*ADRYr3!Q33*ADRYr3!U33)</f>
        <v/>
      </c>
      <c r="CD33" s="28" t="str">
        <f>IF($G33="","",$G33*(IF(ADRYr3!$AI33=CD$4,ADRYr3!$AJ33,IF(ADRYr3!$AK33=CD$4,ADRYr3!$AL33,IF(ADRYr3!$AM33=CD$4,ADRYr3!$AN33,0))))*(INDEX(avoidedcosttbl3,$H33,CD$2)+(($H33-ROUNDDOWN($H33,0))*(INDEX(avoidedcosttbl3,ROUNDUP($H33,0),CD$2)-(INDEX(avoidedcosttbl3,ROUNDDOWN($H33,0),CD$2)))))*ADRYr3!P33*ADRYr3!Q33*ADRYr3!U33)</f>
        <v/>
      </c>
      <c r="CE33" s="28" t="str">
        <f>IF($G33="","",$G33*(IF(ADRYr3!$AI33=CE$4,ADRYr3!$AJ33,IF(ADRYr3!$AK33=CE$4,ADRYr3!$AL33,IF(ADRYr3!$AM33=CE$4,ADRYr3!$AN33,0))))*(INDEX(avoidedcosttbl3,$H33,CE$2)+(($H33-ROUNDDOWN($H33,0))*(INDEX(avoidedcosttbl3,ROUNDUP($H33,0),CE$2)-(INDEX(avoidedcosttbl3,ROUNDDOWN($H33,0),CE$2)))))*ADRYr3!P33*ADRYr3!Q33*ADRYr3!U33)</f>
        <v/>
      </c>
      <c r="CF33" s="41" t="str">
        <f t="shared" si="72"/>
        <v/>
      </c>
      <c r="CG33" s="30" t="str">
        <f t="shared" si="10"/>
        <v/>
      </c>
      <c r="CH33" s="30" t="str">
        <f>IF($G33="","",$G33*(IF(ADRYr3!$AI33=BY$4,ADRYr3!$AJ33,IF(ADRYr3!$AK33=BY$4,ADRYr3!$AL33,IF(ADRYr3!$AM33=BY$4,ADRYr3!$AN33,0))))*(INDEX(avoidedcosttbl3,$H33,CH$2)+(($H33-ROUNDDOWN($H33,0))*(INDEX(avoidedcosttbl3,ROUNDUP($H33,0),CH$2)-(INDEX(avoidedcosttbl3,ROUNDDOWN($H33,0),CH$2)))))*ADRYr3!P33*ADRYr3!Q33*ADRYr3!U33)</f>
        <v/>
      </c>
      <c r="CI33" s="30" t="str">
        <f>IF($G33="","",$G33*(IF(ADRYr3!$AI33=BZ$4,ADRYr3!$AJ33,IF(ADRYr3!$AK33=BZ$4,ADRYr3!$AL33,IF(ADRYr3!$AM33=BZ$4,ADRYr3!$AN33,0))))*(INDEX(avoidedcosttbl3,$H33,CI$2)+(($H33-ROUNDDOWN($H33,0))*(INDEX(avoidedcosttbl3,ROUNDUP($H33,0),CI$2)-(INDEX(avoidedcosttbl3,ROUNDDOWN($H33,0),CI$2)))))*ADRYr3!P33*ADRYr3!Q33*ADRYr3!U33)</f>
        <v/>
      </c>
      <c r="CJ33" s="30" t="str">
        <f>IF($G33="","",$G33*(IF(ADRYr3!$AI33=CA$4,ADRYr3!$AJ33,IF(ADRYr3!$AK33=CA$4,ADRYr3!$AL33,IF(ADRYr3!$AM33=CA$4,ADRYr3!$AN33,0))))*(INDEX(avoidedcosttbl3,$H33,CJ$2)+(($H33-ROUNDDOWN($H33,0))*(INDEX(avoidedcosttbl3,ROUNDUP($H33,0),CJ$2)-(INDEX(avoidedcosttbl3,ROUNDDOWN($H33,0),CJ$2)))))*ADRYr3!P33*ADRYr3!Q33*ADRYr3!U33)</f>
        <v/>
      </c>
      <c r="CK33" s="30" t="str">
        <f>IF($G33="","",$G33*(IF(ADRYr3!$AI33=CB$4,ADRYr3!$AJ33,IF(ADRYr3!$AK33=CB$4,ADRYr3!$AL33,IF(ADRYr3!$AM33=CB$4,ADRYr3!$AN33,0))))*(INDEX(avoidedcosttbl3,$H33,CK$2)+(($H33-ROUNDDOWN($H33,0))*(INDEX(avoidedcosttbl3,ROUNDUP($H33,0),CK$2)-(INDEX(avoidedcosttbl3,ROUNDDOWN($H33,0),CK$2)))))*ADRYr3!P33*ADRYr3!Q33*ADRYr3!U33)</f>
        <v/>
      </c>
      <c r="CL33" s="30" t="str">
        <f>IF($G33="","",$G33*(IF(ADRYr3!$AI33=CC$4,ADRYr3!$AJ33,IF(ADRYr3!$AK33=CC$4,ADRYr3!$AL33,IF(ADRYr3!$AM33=CC$4,ADRYr3!$AN33,0))))*(INDEX(avoidedcosttbl3,$H33,CL$2)+(($H33-ROUNDDOWN($H33,0))*(INDEX(avoidedcosttbl3,ROUNDUP($H33,0),CL$2)-(INDEX(avoidedcosttbl3,ROUNDDOWN($H33,0),CL$2)))))*ADRYr3!P33*ADRYr3!Q33*ADRYr3!U33)</f>
        <v/>
      </c>
      <c r="CM33" s="30" t="str">
        <f>IF($G33="","",$G33*(IF(ADRYr3!$AI33=CD$4,ADRYr3!$AJ33,IF(ADRYr3!$AK33=CD$4,ADRYr3!$AL33,IF(ADRYr3!$AM33=CD$4,ADRYr3!$AN33,0))))*(INDEX(avoidedcosttbl3,$H33,CM$2)+(($H33-ROUNDDOWN($H33,0))*(INDEX(avoidedcosttbl3,ROUNDUP($H33,0),CM$2)-(INDEX(avoidedcosttbl3,ROUNDDOWN($H33,0),CM$2)))))*ADRYr3!P33*ADRYr3!Q33*ADRYr3!U33)</f>
        <v/>
      </c>
      <c r="CN33" s="30" t="str">
        <f>IF($G33="","",$G33*(IF(ADRYr3!$AI33=CE$4,ADRYr3!$AJ33,IF(ADRYr3!$AK33=CE$4,ADRYr3!$AL33,IF(ADRYr3!$AM33=CE$4,ADRYr3!$AN33,0))))*(INDEX(avoidedcosttbl3,$H33,CN$2)+(($H33-ROUNDDOWN($H33,0))*(INDEX(avoidedcosttbl3,ROUNDUP($H33,0),CN$2)-(INDEX(avoidedcosttbl3,ROUNDDOWN($H33,0),CN$2)))))*ADRYr3!P33*ADRYr3!Q33*ADRYr3!U33)</f>
        <v/>
      </c>
      <c r="CO33" s="220" t="str">
        <f t="shared" si="73"/>
        <v/>
      </c>
      <c r="CP33" s="220" t="str">
        <f t="shared" si="74"/>
        <v/>
      </c>
      <c r="CQ33" s="157" t="str">
        <f>IF($G33="","",$G33*(IF(ADRYr3!$AI33=CQ$4,ADRYr3!$AJ33,IF(ADRYr3!$AK33=CQ$4,ADRYr3!$AL33,IF(ADRYr3!$AM33=CQ$4,ADRYr3!$AN33,0))))*(INDEX(avoidedcosttbl3,$H33,CQ$2)+(($H33-ROUNDDOWN($H33,0))*(INDEX(avoidedcosttbl3,ROUNDUP($H33,0),CQ$2)-(INDEX(avoidedcosttbl3,ROUNDDOWN($H33,0),CQ$2)))))*ADRYr3!$P33*ADRYr3!$Q33*ADRYr3!$U33)</f>
        <v/>
      </c>
      <c r="CR33" s="28" t="str">
        <f>IF($G33="","",G33*(IF(ADRYr3!$AI33=CR$4,ADRYr3!$AJ33,IF(ADRYr3!$AK33=CR$4,ADRYr3!$AL33,IF(ADRYr3!$AM33=CR$4,ADRYr3!$AN33,0))))*(INDEX(avoidedcosttbl3,$H33,CR$2)+(($H33-ROUNDDOWN($H33,0))*(INDEX(avoidedcosttbl3,ROUNDUP($H33,0),CR$2)-(INDEX(avoidedcosttbl3,ROUNDDOWN($H33,0),CR$2)))))*ADRYr3!$P33*ADRYr3!$Q33*ADRYr3!$U33)</f>
        <v/>
      </c>
      <c r="CS33" s="28" t="str">
        <f>IF($G33="","",G33*(IF(ADRYr3!$AI33=CS$4,ADRYr3!$AJ33,IF(ADRYr3!$AK33=CS$4,ADRYr3!$AL33,IF(ADRYr3!$AM33=CS$4,ADRYr3!$AN33,0))))*(INDEX(avoidedcosttbl3,$H33,CS$2)+(($H33-ROUNDDOWN($H33,0))*(INDEX(avoidedcosttbl3,ROUNDUP($H33,0),CS$2)-(INDEX(avoidedcosttbl3,ROUNDDOWN($H33,0),CS$2)))))*ADRYr3!$P33*ADRYr3!$Q33*ADRYr3!$U33)</f>
        <v/>
      </c>
      <c r="CT33" s="28" t="str">
        <f t="shared" si="11"/>
        <v/>
      </c>
      <c r="CU33" s="28" t="str">
        <f>IF($G33="","",G33*(IF(ADRYr3!$AI33=CU$4,ADRYr3!$AJ33,IF(ADRYr3!$AK33=CU$4,ADRYr3!$AL33,IF(ADRYr3!$AM33=CU$4,ADRYr3!$AN33,0))))*(INDEX(avoidedcosttbl3,$H33,CU$2)+(($H33-ROUNDDOWN($H33,0))*(INDEX(avoidedcosttbl3,ROUNDUP($H33,0),CU$2)-(INDEX(avoidedcosttbl3,ROUNDDOWN($H33,0),CU$2)))))*ADRYr3!$P33*ADRYr3!$Q33*ADRYr3!$U33)</f>
        <v/>
      </c>
      <c r="CV33" s="28" t="str">
        <f>IF($G33="","",G33*(IF(ADRYr3!$AI33=CV$4,ADRYr3!$AJ33,IF(ADRYr3!$AK33=CV$4,ADRYr3!$AL33,IF(ADRYr3!$AM33=CV$4,ADRYr3!$AN33,0))))*(INDEX(avoidedcosttbl3,$H33,CV$2)+(($H33-ROUNDDOWN($H33,0))*(INDEX(avoidedcosttbl3,ROUNDUP($H33,0),CV$2)-(INDEX(avoidedcosttbl3,ROUNDDOWN($H33,0),CV$2)))))*ADRYr3!$P33*ADRYr3!$Q33*ADRYr3!$U33)</f>
        <v/>
      </c>
      <c r="CW33" s="28" t="str">
        <f>IF($G33="","",G33*(IF(ADRYr3!$AI33=CW$4,ADRYr3!$AJ33,IF(ADRYr3!$AK33=CW$4,ADRYr3!$AL33,IF(ADRYr3!$AM33=CW$4,ADRYr3!$AN33,0))))*(INDEX(avoidedcosttbl3,$H33,CW$2)+(($H33-ROUNDDOWN($H33,0))*(INDEX(avoidedcosttbl3,ROUNDUP($H33,0),CW$2)-(INDEX(avoidedcosttbl3,ROUNDDOWN($H33,0),CW$2)))))*ADRYr3!$P33*ADRYr3!$Q33*ADRYr3!$U33)</f>
        <v/>
      </c>
      <c r="CX33" s="28" t="str">
        <f>IF($G33="","",G33*(IF(ADRYr3!$AI33=CX$4,ADRYr3!$AJ33,IF(ADRYr3!$AK33=CX$4,ADRYr3!$AL33,IF(ADRYr3!$AM33=CX$4,ADRYr3!$AN33,0))))*(INDEX(avoidedcosttbl3,$H33,CX$2)+(($H33-ROUNDDOWN($H33,0))*(INDEX(avoidedcosttbl3,ROUNDUP($H33,0),CX$2)-(INDEX(avoidedcosttbl3,ROUNDDOWN($H33,0),CX$2)))))*ADRYr3!$P33*ADRYr3!$Q33*ADRYr3!$U33)</f>
        <v/>
      </c>
      <c r="CY33" s="28" t="str">
        <f t="shared" si="75"/>
        <v/>
      </c>
      <c r="CZ33" s="32" t="str">
        <f t="shared" si="76"/>
        <v/>
      </c>
      <c r="DA33" s="84" t="str">
        <f t="shared" si="77"/>
        <v/>
      </c>
      <c r="DB33" s="81" t="str">
        <f>IF(NEIadder="Yes",IF($G33="","",INDEX(Lookups!$G$70:$G$71,MATCH($A33,Lookups!$E$70:$E$71,0))*(SUM(CP33:CX33,BX33))),"")</f>
        <v/>
      </c>
      <c r="DC33" s="263" t="str">
        <f t="shared" si="78"/>
        <v/>
      </c>
      <c r="DD33" s="166" t="str">
        <f t="shared" si="79"/>
        <v/>
      </c>
      <c r="DE33" s="82">
        <f t="shared" si="80"/>
        <v>0</v>
      </c>
      <c r="DF33" s="615" t="str">
        <f>IF($G33="","",(1+WntPeakEnergyLL)*(INDEX(avoidedcosttbl3,$H33,DF$2)+(($H33-ROUNDDOWN($H33,0))*(INDEX(avoidedcosttbl3,ROUNDUP($H33,0),DF$2)-(INDEX(avoidedcosttbl3,ROUNDDOWN($H33,0),DF$2)))))*$P33*1000*ADRYr3!Z33)</f>
        <v/>
      </c>
      <c r="DG33" s="615" t="str">
        <f>IF($G33="","",(1+WntOffPeakEnergyLL)*(INDEX(avoidedcosttbl3,$H33,DG$2)+(($H33-ROUNDDOWN($H33,0))*(INDEX(avoidedcosttbl3,ROUNDUP($H33,0),DG$2)-(INDEX(avoidedcosttbl3,ROUNDDOWN($H33,0),DG$2)))))*$P33*1000*ADRYr3!AA33)</f>
        <v/>
      </c>
      <c r="DH33" s="615" t="str">
        <f>IF($G33="","",(1+SumPeakEnergyLL)*(INDEX(avoidedcosttbl3,$H33,DH$2)+(($H33-ROUNDDOWN($H33,0))*(INDEX(avoidedcosttbl3,ROUNDUP($H33,0),DH$2)-(INDEX(avoidedcosttbl3,ROUNDDOWN($H33,0),DH$2)))))*$P33*1000*ADRYr3!AB33)</f>
        <v/>
      </c>
      <c r="DI33" s="615" t="str">
        <f>IF($G33="","",(1+SumOffPeakEnergyLL)*(INDEX(avoidedcosttbl3,$H33,DI$2)+(($H33-ROUNDDOWN($H33,0))*(INDEX(avoidedcosttbl3,ROUNDUP($H33,0),DI$2)-(INDEX(avoidedcosttbl3,ROUNDDOWN($H33,0),DI$2)))))*$P33*1000*ADRYr3!AC33)</f>
        <v/>
      </c>
      <c r="DJ33" s="29" t="str">
        <f t="shared" si="81"/>
        <v/>
      </c>
      <c r="DK33" s="161" t="str">
        <f t="shared" si="45"/>
        <v/>
      </c>
      <c r="DL33" s="1189" t="str">
        <f t="shared" si="46"/>
        <v/>
      </c>
      <c r="DM33" s="1189" t="str">
        <f t="shared" si="47"/>
        <v/>
      </c>
      <c r="DN33" s="43" t="str">
        <f t="shared" si="48"/>
        <v/>
      </c>
      <c r="DO33" s="966" t="str">
        <f>IF($G33="","",ADRYr3!AQ33)</f>
        <v/>
      </c>
      <c r="DP33" s="968" t="str">
        <f>IF($G33="","",ADRYr3!AR33)</f>
        <v/>
      </c>
      <c r="DQ33" s="970" t="str">
        <f>IF($G33="","",IF($DP33="Yes",COLUMN(AESC!$L$10),IF($DP33="No","Using AvoidedDemand tab",IF($DP33="Mixed",COLUMN(AESC!$N$10)))))</f>
        <v/>
      </c>
      <c r="DR33" s="970" t="str">
        <f>IF($G33="","",IF($DP33="Yes",COLUMN(AESC!$P$10),IF($DP33="No","Using AvoidedDemand tab",IF($DP33="Mixed",COLUMN(AESC!$R$10)))))</f>
        <v/>
      </c>
      <c r="DS33" s="970" t="str">
        <f>IF($G33="","",IF($DP33="Yes",COLUMN(AESC!$S$10),IF($DP33="No",COLUMN(AESC!$T$10),IF($DP33="Mixed",COLUMN(AESC!$U$10)))))</f>
        <v/>
      </c>
      <c r="DT33" s="970" t="str">
        <f t="shared" si="49"/>
        <v/>
      </c>
      <c r="DU33" s="970" t="str">
        <f>IF($G33="","",ADRYr3!AS33)</f>
        <v/>
      </c>
      <c r="DV33" s="971" t="str">
        <f>IF($G33="","",ADRYr3!AT33)</f>
        <v/>
      </c>
      <c r="DW33" s="1162" t="str">
        <f>IF($G33="","",INDEX(AvoidedEnergy!$H$4:$H$10,MATCH($DO33,AvoidedEnergy!$A$4:$A$10,0)))</f>
        <v/>
      </c>
    </row>
    <row r="34" spans="1:127">
      <c r="A34" s="160" t="str">
        <f>IF(ADRYr3!$B34=0,"",ADRYr3!A34)</f>
        <v>C - Commercial &amp; Industrial</v>
      </c>
      <c r="B34" s="9" t="str">
        <f>IF(ADRYr3!$B34=0,"",ADRYr3!B34)</f>
        <v>C5 - C&amp;I Active Demand Response</v>
      </c>
      <c r="C34" s="9" t="str">
        <f>IF(ADRYr3!$B34=0,"",ADRYr3!C34)</f>
        <v>C5a - C&amp;I Active Demand Response</v>
      </c>
      <c r="D34" s="9" t="str">
        <f>IF(ADRYr3!$B34=0,"",ADRYr3!D34)</f>
        <v>Storage Daily Dispatch Upfront Incentive (consumption) Winter</v>
      </c>
      <c r="E34" s="9">
        <f>IF(ADRYr3!$B34=0,"",ADRYr3!E34)</f>
        <v>0</v>
      </c>
      <c r="F34" s="11" t="str">
        <f>IF(ADRYr3!$B34=0,"",ADRYr3!F34)</f>
        <v>Behavior</v>
      </c>
      <c r="G34" s="12" t="str">
        <f>IF(ADRYr3!$G34&lt;&gt;0,ADRYr3!G34,"")</f>
        <v/>
      </c>
      <c r="H34" s="960" t="str">
        <f>IF($G34="","",ROUND(ADRYr3!H34,0))</f>
        <v/>
      </c>
      <c r="I34" s="47" t="str">
        <f>IF($G34="","",ADRYr3!I34*ADRYr3!P34*G34)</f>
        <v/>
      </c>
      <c r="J34" s="47" t="str">
        <f>IF($G34="","",ADRYr3!J34*G34)</f>
        <v/>
      </c>
      <c r="K34" s="47" t="str">
        <f t="shared" si="50"/>
        <v/>
      </c>
      <c r="L34" s="27" t="str">
        <f>IF($G34="","",ADRYr3!V34*G34/1000)</f>
        <v/>
      </c>
      <c r="M34" s="27" t="str">
        <f>IF($G34="","",L34*ADRYr3!$Q34*ADRYr3!$R34)</f>
        <v/>
      </c>
      <c r="N34" s="27" t="str">
        <f t="shared" si="51"/>
        <v/>
      </c>
      <c r="O34" s="27" t="str">
        <f t="shared" si="52"/>
        <v/>
      </c>
      <c r="P34" s="27" t="str">
        <f>IF($G34="","",M34*ADRYr3!P34)</f>
        <v/>
      </c>
      <c r="Q34" s="27" t="str">
        <f t="shared" si="53"/>
        <v/>
      </c>
      <c r="R34" s="27" t="str">
        <f>IF($G34="","",$Q34*ADRYr3!Z34)</f>
        <v/>
      </c>
      <c r="S34" s="27" t="str">
        <f>IF($G34="","",$Q34*ADRYr3!AA34)</f>
        <v/>
      </c>
      <c r="T34" s="27" t="str">
        <f>IF($G34="","",$Q34*ADRYr3!AB34)</f>
        <v/>
      </c>
      <c r="U34" s="27" t="str">
        <f>IF($G34="","",$Q34*ADRYr3!AC34)</f>
        <v/>
      </c>
      <c r="V34" s="27" t="str">
        <f>IF($G34="","",G34*ADRYr3!$AD34*ADRYr3!$P34*ADRYr3!$Q34)</f>
        <v/>
      </c>
      <c r="W34" s="27" t="str">
        <f>IF($G34="","",$G34*ADRYr3!$AD34*ADRYr3!$AF34*ADRYr3!Q34*ADRYr3!$S34)</f>
        <v/>
      </c>
      <c r="X34" s="27" t="str">
        <f>IF($G34="","",$G34*ADRYr3!$AD34*ADRYr3!$AF34*ADRYr3!P34*ADRYr3!Q34*ADRYr3!$S34)</f>
        <v/>
      </c>
      <c r="Y34" s="27" t="str">
        <f>IF($G34="","",$G34*ADRYr3!$AD34*ADRYr3!$AE34*ADRYr3!Q34*ADRYr3!$T34)</f>
        <v/>
      </c>
      <c r="Z34" s="27" t="str">
        <f>IF($G34="","",$G34*ADRYr3!$AD34*ADRYr3!$AE34*ADRYr3!P34*ADRYr3!Q34*ADRYr3!$T34)</f>
        <v/>
      </c>
      <c r="AA34" s="45" t="str">
        <f>IF($G34="","",$G34*ADRYr3!$Q34*ADRYr3!$U34*(IF(IFERROR(SEARCH("NG", ADRYr3!$AI34),0),ADRYr3!$AJ34,0)+IF(IFERROR(SEARCH("NG", ADRYr3!$AK34),0),ADRYr3!$AL34,0)+IF(IFERROR(SEARCH("NG", ADRYr3!$AM34),0),ADRYr3!$AN34,0)))</f>
        <v/>
      </c>
      <c r="AB34" s="45" t="str">
        <f t="shared" si="54"/>
        <v/>
      </c>
      <c r="AC34" s="45">
        <f>IF($G34="",0,AA34*ADRYr3!$P34)</f>
        <v>0</v>
      </c>
      <c r="AD34" s="45" t="str">
        <f t="shared" si="55"/>
        <v/>
      </c>
      <c r="AE34" s="45" t="str">
        <f>IF($G34="","",$G34*ADRYr3!$Q34*ADRYr3!$U34*(IF(IFERROR(SEARCH("Oil", ADRYr3!$AI34), 0),ADRYr3!$AJ34,0)+IF(IFERROR(SEARCH("Oil", ADRYr3!$AK34), 0),ADRYr3!$AL34,0)+IF(IFERROR(SEARCH("Oil", ADRYr3!$AM34), 0),ADRYr3!$AN34,0)))</f>
        <v/>
      </c>
      <c r="AF34" s="45" t="str">
        <f t="shared" si="56"/>
        <v/>
      </c>
      <c r="AG34" s="45">
        <f>IF($G34="",0,AE34*ADRYr3!$P34)</f>
        <v>0</v>
      </c>
      <c r="AH34" s="45" t="str">
        <f t="shared" si="57"/>
        <v/>
      </c>
      <c r="AI34" s="45" t="str">
        <f>IF($G34="","",$G34*ADRYr3!$Q34*ADRYr3!$U34*(IF(ADRYr3!$AI34=Lookups!$E$116,ADRYr3!$AJ34,IF(ADRYr3!$AK34=Lookups!$E$116,ADRYr3!$AL34,IF(ADRYr3!$AM34=Lookups!$E$116,ADRYr3!$AN34,0)))))</f>
        <v/>
      </c>
      <c r="AJ34" s="45" t="str">
        <f t="shared" si="58"/>
        <v/>
      </c>
      <c r="AK34" s="45">
        <f>IF($G34="",0,AI34*ADRYr3!$P34)</f>
        <v>0</v>
      </c>
      <c r="AL34" s="45" t="str">
        <f t="shared" si="59"/>
        <v/>
      </c>
      <c r="AM34" s="45" t="str">
        <f>IF($G34="","",$G34*ADRYr3!$Q34*ADRYr3!$U34*(IF(ADRYr3!$AI34=Lookups!$E$115,ADRYr3!$AJ34,IF(ADRYr3!$AK34=Lookups!$E$115,ADRYr3!$AL34,IF(ADRYr3!$AM34=Lookups!$E$115,ADRYr3!$AN34,0)))))</f>
        <v/>
      </c>
      <c r="AN34" s="45" t="str">
        <f t="shared" si="60"/>
        <v/>
      </c>
      <c r="AO34" s="45">
        <f>IF($G34="",0,AM34*ADRYr3!$P34)</f>
        <v>0</v>
      </c>
      <c r="AP34" s="45" t="str">
        <f t="shared" si="61"/>
        <v/>
      </c>
      <c r="AQ34" s="45" t="str">
        <f>IF($G34="","",$G34*ADRYr3!$Q34*ADRYr3!$U34*(IF(ADRYr3!$AI34=Lookups!$E$117,ADRYr3!$AJ34,IF(ADRYr3!$AK34=Lookups!$E$117,ADRYr3!$AL34,IF(ADRYr3!$AM34=Lookups!$E$117,ADRYr3!$AN34,0)))))</f>
        <v/>
      </c>
      <c r="AR34" s="45" t="str">
        <f t="shared" si="62"/>
        <v/>
      </c>
      <c r="AS34" s="45" t="str">
        <f>IF($G34="","",AQ34*ADRYr3!$P34)</f>
        <v/>
      </c>
      <c r="AT34" s="45" t="str">
        <f t="shared" si="63"/>
        <v/>
      </c>
      <c r="AU34" s="45" t="str">
        <f>IF($G34="","",$G34*ADRYr3!$Q34*ADRYr3!$U34*(IF(ADRYr3!$AI34=Lookups!$E$118,ADRYr3!$AJ34,IF(ADRYr3!$AK34=Lookups!$E$118,ADRYr3!$AL34,IF(ADRYr3!$AM34=Lookups!$E$118,ADRYr3!$AN34,0)))))</f>
        <v/>
      </c>
      <c r="AV34" s="45" t="str">
        <f t="shared" si="64"/>
        <v/>
      </c>
      <c r="AW34" s="45" t="str">
        <f>IF($G34="","",AU34*ADRYr3!$P34)</f>
        <v/>
      </c>
      <c r="AX34" s="45" t="str">
        <f t="shared" si="65"/>
        <v/>
      </c>
      <c r="AY34" s="45">
        <f t="shared" si="66"/>
        <v>0</v>
      </c>
      <c r="AZ34" s="45">
        <f t="shared" si="67"/>
        <v>0</v>
      </c>
      <c r="BA34" s="101" t="str">
        <f>IF($G34="","",$G34*ADRYr3!$P34*ADRYr3!$Q34*ADRYr3!$U34*ADRYr3!AO34)</f>
        <v/>
      </c>
      <c r="BB34" s="102" t="str">
        <f>IF($G34="","",$G34*ADRYr3!$P34*ADRYr3!$Q34*ADRYr3!$U34*ADRYr3!AP34)</f>
        <v/>
      </c>
      <c r="BC34" s="100" t="str">
        <f t="shared" si="68"/>
        <v/>
      </c>
      <c r="BD34" s="961"/>
      <c r="BE34" s="961"/>
      <c r="BF34" s="961"/>
      <c r="BG34" s="961"/>
      <c r="BH34" s="962" t="str">
        <f t="shared" si="3"/>
        <v/>
      </c>
      <c r="BI34" s="961"/>
      <c r="BJ34" s="961"/>
      <c r="BK34" s="961"/>
      <c r="BL34" s="961"/>
      <c r="BM34" s="30" t="str">
        <f t="shared" si="4"/>
        <v/>
      </c>
      <c r="BN34" s="963" t="str">
        <f t="shared" si="31"/>
        <v/>
      </c>
      <c r="BO34" s="31" t="str">
        <f t="shared" si="69"/>
        <v/>
      </c>
      <c r="BP34" s="964" t="str">
        <f t="shared" si="5"/>
        <v/>
      </c>
      <c r="BQ34" s="28" t="str">
        <f t="shared" si="6"/>
        <v/>
      </c>
      <c r="BR34" s="964" t="str">
        <f t="shared" si="7"/>
        <v/>
      </c>
      <c r="BS34" s="964" t="str">
        <f t="shared" si="8"/>
        <v/>
      </c>
      <c r="BT34" s="28" t="str">
        <f t="shared" si="82"/>
        <v/>
      </c>
      <c r="BU34" s="28" t="str">
        <f t="shared" si="82"/>
        <v/>
      </c>
      <c r="BV34" s="28" t="str">
        <f t="shared" si="82"/>
        <v/>
      </c>
      <c r="BW34" s="29" t="str">
        <f t="shared" si="70"/>
        <v/>
      </c>
      <c r="BX34" s="29" t="str">
        <f t="shared" si="71"/>
        <v/>
      </c>
      <c r="BY34" s="28" t="str">
        <f>IF($G34="","",$G34*(IF(ADRYr3!$AI34=BY$4,ADRYr3!$AJ34,IF(ADRYr3!$AK34=BY$4,ADRYr3!$AL34,IF(ADRYr3!$AM34=BY$4,ADRYr3!$AN34,0))))*(INDEX(avoidedcosttbl3,$H34,BY$2)+(($H34-ROUNDDOWN($H34,0))*(INDEX(avoidedcosttbl3,ROUNDUP($H34,0),BY$2)-(INDEX(avoidedcosttbl3,ROUNDDOWN($H34,0),BY$2)))))*ADRYr3!P34*ADRYr3!Q34*ADRYr3!U34)</f>
        <v/>
      </c>
      <c r="BZ34" s="28" t="str">
        <f>IF($G34="","",$G34*(IF(ADRYr3!$AI34=BZ$4,ADRYr3!$AJ34,IF(ADRYr3!$AK34=BZ$4,ADRYr3!$AL34,IF(ADRYr3!$AM34=BZ$4,ADRYr3!$AN34,0))))*(INDEX(avoidedcosttbl3,$H34,BZ$2)+(($H34-ROUNDDOWN($H34,0))*(INDEX(avoidedcosttbl3,ROUNDUP($H34,0),BZ$2)-(INDEX(avoidedcosttbl3,ROUNDDOWN($H34,0),BZ$2)))))*ADRYr3!P34*ADRYr3!Q34*ADRYr3!U34)</f>
        <v/>
      </c>
      <c r="CA34" s="28" t="str">
        <f>IF($G34="","",$G34*(IF(ADRYr3!$AI34=CA$4,ADRYr3!$AJ34,IF(ADRYr3!$AK34=CA$4,ADRYr3!$AL34,IF(ADRYr3!$AM34=CA$4,ADRYr3!$AN34,0))))*(INDEX(avoidedcosttbl3,$H34,CA$2)+(($H34-ROUNDDOWN($H34,0))*(INDEX(avoidedcosttbl3,ROUNDUP($H34,0),CA$2)-(INDEX(avoidedcosttbl3,ROUNDDOWN($H34,0),CA$2)))))*ADRYr3!P34*ADRYr3!Q34*ADRYr3!U34)</f>
        <v/>
      </c>
      <c r="CB34" s="28" t="str">
        <f>IF($G34="","",$G34*(IF(ADRYr3!$AI34=CB$4,ADRYr3!$AJ34,IF(ADRYr3!$AK34=CB$4,ADRYr3!$AL34,IF(ADRYr3!$AM34=CB$4,ADRYr3!$AN34,0))))*(INDEX(avoidedcosttbl3,$H34,CB$2)+(($H34-ROUNDDOWN($H34,0))*(INDEX(avoidedcosttbl3,ROUNDUP($H34,0),CB$2)-(INDEX(avoidedcosttbl3,ROUNDDOWN($H34,0),CB$2)))))*ADRYr3!P34*ADRYr3!Q34*ADRYr3!U34)</f>
        <v/>
      </c>
      <c r="CC34" s="28" t="str">
        <f>IF($G34="","",$G34*(IF(ADRYr3!$AI34=CC$4,ADRYr3!$AJ34,IF(ADRYr3!$AK34=CC$4,ADRYr3!$AL34,IF(ADRYr3!$AM34=CC$4,ADRYr3!$AN34,0))))*(INDEX(avoidedcosttbl3,$H34,CC$2)+(($H34-ROUNDDOWN($H34,0))*(INDEX(avoidedcosttbl3,ROUNDUP($H34,0),CC$2)-(INDEX(avoidedcosttbl3,ROUNDDOWN($H34,0),CC$2)))))*ADRYr3!P34*ADRYr3!Q34*ADRYr3!U34)</f>
        <v/>
      </c>
      <c r="CD34" s="28" t="str">
        <f>IF($G34="","",$G34*(IF(ADRYr3!$AI34=CD$4,ADRYr3!$AJ34,IF(ADRYr3!$AK34=CD$4,ADRYr3!$AL34,IF(ADRYr3!$AM34=CD$4,ADRYr3!$AN34,0))))*(INDEX(avoidedcosttbl3,$H34,CD$2)+(($H34-ROUNDDOWN($H34,0))*(INDEX(avoidedcosttbl3,ROUNDUP($H34,0),CD$2)-(INDEX(avoidedcosttbl3,ROUNDDOWN($H34,0),CD$2)))))*ADRYr3!P34*ADRYr3!Q34*ADRYr3!U34)</f>
        <v/>
      </c>
      <c r="CE34" s="28" t="str">
        <f>IF($G34="","",$G34*(IF(ADRYr3!$AI34=CE$4,ADRYr3!$AJ34,IF(ADRYr3!$AK34=CE$4,ADRYr3!$AL34,IF(ADRYr3!$AM34=CE$4,ADRYr3!$AN34,0))))*(INDEX(avoidedcosttbl3,$H34,CE$2)+(($H34-ROUNDDOWN($H34,0))*(INDEX(avoidedcosttbl3,ROUNDUP($H34,0),CE$2)-(INDEX(avoidedcosttbl3,ROUNDDOWN($H34,0),CE$2)))))*ADRYr3!P34*ADRYr3!Q34*ADRYr3!U34)</f>
        <v/>
      </c>
      <c r="CF34" s="41" t="str">
        <f t="shared" si="72"/>
        <v/>
      </c>
      <c r="CG34" s="30" t="str">
        <f t="shared" si="10"/>
        <v/>
      </c>
      <c r="CH34" s="30" t="str">
        <f>IF($G34="","",$G34*(IF(ADRYr3!$AI34=BY$4,ADRYr3!$AJ34,IF(ADRYr3!$AK34=BY$4,ADRYr3!$AL34,IF(ADRYr3!$AM34=BY$4,ADRYr3!$AN34,0))))*(INDEX(avoidedcosttbl3,$H34,CH$2)+(($H34-ROUNDDOWN($H34,0))*(INDEX(avoidedcosttbl3,ROUNDUP($H34,0),CH$2)-(INDEX(avoidedcosttbl3,ROUNDDOWN($H34,0),CH$2)))))*ADRYr3!P34*ADRYr3!Q34*ADRYr3!U34)</f>
        <v/>
      </c>
      <c r="CI34" s="30" t="str">
        <f>IF($G34="","",$G34*(IF(ADRYr3!$AI34=BZ$4,ADRYr3!$AJ34,IF(ADRYr3!$AK34=BZ$4,ADRYr3!$AL34,IF(ADRYr3!$AM34=BZ$4,ADRYr3!$AN34,0))))*(INDEX(avoidedcosttbl3,$H34,CI$2)+(($H34-ROUNDDOWN($H34,0))*(INDEX(avoidedcosttbl3,ROUNDUP($H34,0),CI$2)-(INDEX(avoidedcosttbl3,ROUNDDOWN($H34,0),CI$2)))))*ADRYr3!P34*ADRYr3!Q34*ADRYr3!U34)</f>
        <v/>
      </c>
      <c r="CJ34" s="30" t="str">
        <f>IF($G34="","",$G34*(IF(ADRYr3!$AI34=CA$4,ADRYr3!$AJ34,IF(ADRYr3!$AK34=CA$4,ADRYr3!$AL34,IF(ADRYr3!$AM34=CA$4,ADRYr3!$AN34,0))))*(INDEX(avoidedcosttbl3,$H34,CJ$2)+(($H34-ROUNDDOWN($H34,0))*(INDEX(avoidedcosttbl3,ROUNDUP($H34,0),CJ$2)-(INDEX(avoidedcosttbl3,ROUNDDOWN($H34,0),CJ$2)))))*ADRYr3!P34*ADRYr3!Q34*ADRYr3!U34)</f>
        <v/>
      </c>
      <c r="CK34" s="30" t="str">
        <f>IF($G34="","",$G34*(IF(ADRYr3!$AI34=CB$4,ADRYr3!$AJ34,IF(ADRYr3!$AK34=CB$4,ADRYr3!$AL34,IF(ADRYr3!$AM34=CB$4,ADRYr3!$AN34,0))))*(INDEX(avoidedcosttbl3,$H34,CK$2)+(($H34-ROUNDDOWN($H34,0))*(INDEX(avoidedcosttbl3,ROUNDUP($H34,0),CK$2)-(INDEX(avoidedcosttbl3,ROUNDDOWN($H34,0),CK$2)))))*ADRYr3!P34*ADRYr3!Q34*ADRYr3!U34)</f>
        <v/>
      </c>
      <c r="CL34" s="30" t="str">
        <f>IF($G34="","",$G34*(IF(ADRYr3!$AI34=CC$4,ADRYr3!$AJ34,IF(ADRYr3!$AK34=CC$4,ADRYr3!$AL34,IF(ADRYr3!$AM34=CC$4,ADRYr3!$AN34,0))))*(INDEX(avoidedcosttbl3,$H34,CL$2)+(($H34-ROUNDDOWN($H34,0))*(INDEX(avoidedcosttbl3,ROUNDUP($H34,0),CL$2)-(INDEX(avoidedcosttbl3,ROUNDDOWN($H34,0),CL$2)))))*ADRYr3!P34*ADRYr3!Q34*ADRYr3!U34)</f>
        <v/>
      </c>
      <c r="CM34" s="30" t="str">
        <f>IF($G34="","",$G34*(IF(ADRYr3!$AI34=CD$4,ADRYr3!$AJ34,IF(ADRYr3!$AK34=CD$4,ADRYr3!$AL34,IF(ADRYr3!$AM34=CD$4,ADRYr3!$AN34,0))))*(INDEX(avoidedcosttbl3,$H34,CM$2)+(($H34-ROUNDDOWN($H34,0))*(INDEX(avoidedcosttbl3,ROUNDUP($H34,0),CM$2)-(INDEX(avoidedcosttbl3,ROUNDDOWN($H34,0),CM$2)))))*ADRYr3!P34*ADRYr3!Q34*ADRYr3!U34)</f>
        <v/>
      </c>
      <c r="CN34" s="30" t="str">
        <f>IF($G34="","",$G34*(IF(ADRYr3!$AI34=CE$4,ADRYr3!$AJ34,IF(ADRYr3!$AK34=CE$4,ADRYr3!$AL34,IF(ADRYr3!$AM34=CE$4,ADRYr3!$AN34,0))))*(INDEX(avoidedcosttbl3,$H34,CN$2)+(($H34-ROUNDDOWN($H34,0))*(INDEX(avoidedcosttbl3,ROUNDUP($H34,0),CN$2)-(INDEX(avoidedcosttbl3,ROUNDDOWN($H34,0),CN$2)))))*ADRYr3!P34*ADRYr3!Q34*ADRYr3!U34)</f>
        <v/>
      </c>
      <c r="CO34" s="220" t="str">
        <f t="shared" si="73"/>
        <v/>
      </c>
      <c r="CP34" s="220" t="str">
        <f t="shared" si="74"/>
        <v/>
      </c>
      <c r="CQ34" s="157" t="str">
        <f>IF($G34="","",$G34*(IF(ADRYr3!$AI34=CQ$4,ADRYr3!$AJ34,IF(ADRYr3!$AK34=CQ$4,ADRYr3!$AL34,IF(ADRYr3!$AM34=CQ$4,ADRYr3!$AN34,0))))*(INDEX(avoidedcosttbl3,$H34,CQ$2)+(($H34-ROUNDDOWN($H34,0))*(INDEX(avoidedcosttbl3,ROUNDUP($H34,0),CQ$2)-(INDEX(avoidedcosttbl3,ROUNDDOWN($H34,0),CQ$2)))))*ADRYr3!$P34*ADRYr3!$Q34*ADRYr3!$U34)</f>
        <v/>
      </c>
      <c r="CR34" s="28" t="str">
        <f>IF($G34="","",G34*(IF(ADRYr3!$AI34=CR$4,ADRYr3!$AJ34,IF(ADRYr3!$AK34=CR$4,ADRYr3!$AL34,IF(ADRYr3!$AM34=CR$4,ADRYr3!$AN34,0))))*(INDEX(avoidedcosttbl3,$H34,CR$2)+(($H34-ROUNDDOWN($H34,0))*(INDEX(avoidedcosttbl3,ROUNDUP($H34,0),CR$2)-(INDEX(avoidedcosttbl3,ROUNDDOWN($H34,0),CR$2)))))*ADRYr3!$P34*ADRYr3!$Q34*ADRYr3!$U34)</f>
        <v/>
      </c>
      <c r="CS34" s="28" t="str">
        <f>IF($G34="","",G34*(IF(ADRYr3!$AI34=CS$4,ADRYr3!$AJ34,IF(ADRYr3!$AK34=CS$4,ADRYr3!$AL34,IF(ADRYr3!$AM34=CS$4,ADRYr3!$AN34,0))))*(INDEX(avoidedcosttbl3,$H34,CS$2)+(($H34-ROUNDDOWN($H34,0))*(INDEX(avoidedcosttbl3,ROUNDUP($H34,0),CS$2)-(INDEX(avoidedcosttbl3,ROUNDDOWN($H34,0),CS$2)))))*ADRYr3!$P34*ADRYr3!$Q34*ADRYr3!$U34)</f>
        <v/>
      </c>
      <c r="CT34" s="28" t="str">
        <f t="shared" si="11"/>
        <v/>
      </c>
      <c r="CU34" s="28" t="str">
        <f>IF($G34="","",G34*(IF(ADRYr3!$AI34=CU$4,ADRYr3!$AJ34,IF(ADRYr3!$AK34=CU$4,ADRYr3!$AL34,IF(ADRYr3!$AM34=CU$4,ADRYr3!$AN34,0))))*(INDEX(avoidedcosttbl3,$H34,CU$2)+(($H34-ROUNDDOWN($H34,0))*(INDEX(avoidedcosttbl3,ROUNDUP($H34,0),CU$2)-(INDEX(avoidedcosttbl3,ROUNDDOWN($H34,0),CU$2)))))*ADRYr3!$P34*ADRYr3!$Q34*ADRYr3!$U34)</f>
        <v/>
      </c>
      <c r="CV34" s="28" t="str">
        <f>IF($G34="","",G34*(IF(ADRYr3!$AI34=CV$4,ADRYr3!$AJ34,IF(ADRYr3!$AK34=CV$4,ADRYr3!$AL34,IF(ADRYr3!$AM34=CV$4,ADRYr3!$AN34,0))))*(INDEX(avoidedcosttbl3,$H34,CV$2)+(($H34-ROUNDDOWN($H34,0))*(INDEX(avoidedcosttbl3,ROUNDUP($H34,0),CV$2)-(INDEX(avoidedcosttbl3,ROUNDDOWN($H34,0),CV$2)))))*ADRYr3!$P34*ADRYr3!$Q34*ADRYr3!$U34)</f>
        <v/>
      </c>
      <c r="CW34" s="28" t="str">
        <f>IF($G34="","",G34*(IF(ADRYr3!$AI34=CW$4,ADRYr3!$AJ34,IF(ADRYr3!$AK34=CW$4,ADRYr3!$AL34,IF(ADRYr3!$AM34=CW$4,ADRYr3!$AN34,0))))*(INDEX(avoidedcosttbl3,$H34,CW$2)+(($H34-ROUNDDOWN($H34,0))*(INDEX(avoidedcosttbl3,ROUNDUP($H34,0),CW$2)-(INDEX(avoidedcosttbl3,ROUNDDOWN($H34,0),CW$2)))))*ADRYr3!$P34*ADRYr3!$Q34*ADRYr3!$U34)</f>
        <v/>
      </c>
      <c r="CX34" s="28" t="str">
        <f>IF($G34="","",G34*(IF(ADRYr3!$AI34=CX$4,ADRYr3!$AJ34,IF(ADRYr3!$AK34=CX$4,ADRYr3!$AL34,IF(ADRYr3!$AM34=CX$4,ADRYr3!$AN34,0))))*(INDEX(avoidedcosttbl3,$H34,CX$2)+(($H34-ROUNDDOWN($H34,0))*(INDEX(avoidedcosttbl3,ROUNDUP($H34,0),CX$2)-(INDEX(avoidedcosttbl3,ROUNDDOWN($H34,0),CX$2)))))*ADRYr3!$P34*ADRYr3!$Q34*ADRYr3!$U34)</f>
        <v/>
      </c>
      <c r="CY34" s="28" t="str">
        <f t="shared" si="75"/>
        <v/>
      </c>
      <c r="CZ34" s="32" t="str">
        <f t="shared" si="76"/>
        <v/>
      </c>
      <c r="DA34" s="84" t="str">
        <f t="shared" si="77"/>
        <v/>
      </c>
      <c r="DB34" s="81" t="str">
        <f>IF(NEIadder="Yes",IF($G34="","",INDEX(Lookups!$G$70:$G$71,MATCH($A34,Lookups!$E$70:$E$71,0))*(SUM(CP34:CX34,BX34))),"")</f>
        <v/>
      </c>
      <c r="DC34" s="263" t="str">
        <f t="shared" si="78"/>
        <v/>
      </c>
      <c r="DD34" s="166" t="str">
        <f t="shared" si="79"/>
        <v/>
      </c>
      <c r="DE34" s="82">
        <f t="shared" si="80"/>
        <v>0</v>
      </c>
      <c r="DF34" s="615" t="str">
        <f>IF($G34="","",(1+WntPeakEnergyLL)*(INDEX(avoidedcosttbl3,$H34,DF$2)+(($H34-ROUNDDOWN($H34,0))*(INDEX(avoidedcosttbl3,ROUNDUP($H34,0),DF$2)-(INDEX(avoidedcosttbl3,ROUNDDOWN($H34,0),DF$2)))))*$P34*1000*ADRYr3!Z34)</f>
        <v/>
      </c>
      <c r="DG34" s="615" t="str">
        <f>IF($G34="","",(1+WntOffPeakEnergyLL)*(INDEX(avoidedcosttbl3,$H34,DG$2)+(($H34-ROUNDDOWN($H34,0))*(INDEX(avoidedcosttbl3,ROUNDUP($H34,0),DG$2)-(INDEX(avoidedcosttbl3,ROUNDDOWN($H34,0),DG$2)))))*$P34*1000*ADRYr3!AA34)</f>
        <v/>
      </c>
      <c r="DH34" s="615" t="str">
        <f>IF($G34="","",(1+SumPeakEnergyLL)*(INDEX(avoidedcosttbl3,$H34,DH$2)+(($H34-ROUNDDOWN($H34,0))*(INDEX(avoidedcosttbl3,ROUNDUP($H34,0),DH$2)-(INDEX(avoidedcosttbl3,ROUNDDOWN($H34,0),DH$2)))))*$P34*1000*ADRYr3!AB34)</f>
        <v/>
      </c>
      <c r="DI34" s="615" t="str">
        <f>IF($G34="","",(1+SumOffPeakEnergyLL)*(INDEX(avoidedcosttbl3,$H34,DI$2)+(($H34-ROUNDDOWN($H34,0))*(INDEX(avoidedcosttbl3,ROUNDUP($H34,0),DI$2)-(INDEX(avoidedcosttbl3,ROUNDDOWN($H34,0),DI$2)))))*$P34*1000*ADRYr3!AC34)</f>
        <v/>
      </c>
      <c r="DJ34" s="29" t="str">
        <f t="shared" si="81"/>
        <v/>
      </c>
      <c r="DK34" s="161" t="str">
        <f t="shared" si="45"/>
        <v/>
      </c>
      <c r="DL34" s="1189" t="str">
        <f t="shared" si="46"/>
        <v/>
      </c>
      <c r="DM34" s="1189" t="str">
        <f t="shared" si="47"/>
        <v/>
      </c>
      <c r="DN34" s="43" t="str">
        <f t="shared" si="48"/>
        <v/>
      </c>
      <c r="DO34" s="966" t="str">
        <f>IF($G34="","",ADRYr3!AQ34)</f>
        <v/>
      </c>
      <c r="DP34" s="968" t="str">
        <f>IF($G34="","",ADRYr3!AR34)</f>
        <v/>
      </c>
      <c r="DQ34" s="970" t="str">
        <f>IF($G34="","",IF($DP34="Yes",COLUMN(AESC!$L$10),IF($DP34="No","Using AvoidedDemand tab",IF($DP34="Mixed",COLUMN(AESC!$N$10)))))</f>
        <v/>
      </c>
      <c r="DR34" s="970" t="str">
        <f>IF($G34="","",IF($DP34="Yes",COLUMN(AESC!$P$10),IF($DP34="No","Using AvoidedDemand tab",IF($DP34="Mixed",COLUMN(AESC!$R$10)))))</f>
        <v/>
      </c>
      <c r="DS34" s="970" t="str">
        <f>IF($G34="","",IF($DP34="Yes",COLUMN(AESC!$S$10),IF($DP34="No",COLUMN(AESC!$T$10),IF($DP34="Mixed",COLUMN(AESC!$U$10)))))</f>
        <v/>
      </c>
      <c r="DT34" s="970" t="str">
        <f t="shared" si="49"/>
        <v/>
      </c>
      <c r="DU34" s="970" t="str">
        <f>IF($G34="","",ADRYr3!AS34)</f>
        <v/>
      </c>
      <c r="DV34" s="971" t="str">
        <f>IF($G34="","",ADRYr3!AT34)</f>
        <v/>
      </c>
      <c r="DW34" s="1162" t="str">
        <f>IF($G34="","",INDEX(AvoidedEnergy!$H$4:$H$10,MATCH($DO34,AvoidedEnergy!$A$4:$A$10,0)))</f>
        <v/>
      </c>
    </row>
    <row r="35" spans="1:127">
      <c r="A35" s="160" t="str">
        <f>IF(ADRYr3!$B35=0,"",ADRYr3!A35)</f>
        <v>C - Commercial &amp; Industrial</v>
      </c>
      <c r="B35" s="9" t="str">
        <f>IF(ADRYr3!$B35=0,"",ADRYr3!B35)</f>
        <v>C5 - C&amp;I Active Demand Response</v>
      </c>
      <c r="C35" s="9" t="str">
        <f>IF(ADRYr3!$B35=0,"",ADRYr3!C35)</f>
        <v>C5a - C&amp;I Active Demand Response</v>
      </c>
      <c r="D35" s="9" t="str">
        <f>IF(ADRYr3!$B35=0,"",ADRYr3!D35)</f>
        <v>Storage Daily Dispatch P4P (savings) Summer</v>
      </c>
      <c r="E35" s="9" t="str">
        <f>IF(ADRYr3!$B35=0,"",ADRYr3!E35)</f>
        <v>E21C5a002</v>
      </c>
      <c r="F35" s="11" t="str">
        <f>IF(ADRYr3!$B35=0,"",ADRYr3!F35)</f>
        <v>Behavior</v>
      </c>
      <c r="G35" s="12" t="str">
        <f>IF(ADRYr3!$G35&lt;&gt;0,ADRYr3!G35,"")</f>
        <v/>
      </c>
      <c r="H35" s="960" t="str">
        <f>IF($G35="","",ROUND(ADRYr3!H35,0))</f>
        <v/>
      </c>
      <c r="I35" s="47" t="str">
        <f>IF($G35="","",ADRYr3!I35*ADRYr3!P35*G35)</f>
        <v/>
      </c>
      <c r="J35" s="47" t="str">
        <f>IF($G35="","",ADRYr3!J35*G35)</f>
        <v/>
      </c>
      <c r="K35" s="47" t="str">
        <f t="shared" si="50"/>
        <v/>
      </c>
      <c r="L35" s="27" t="str">
        <f>IF($G35="","",ADRYr3!V35*G35/1000)</f>
        <v/>
      </c>
      <c r="M35" s="27" t="str">
        <f>IF($G35="","",L35*ADRYr3!$Q35*ADRYr3!$R35)</f>
        <v/>
      </c>
      <c r="N35" s="27" t="str">
        <f t="shared" si="51"/>
        <v/>
      </c>
      <c r="O35" s="27" t="str">
        <f t="shared" si="52"/>
        <v/>
      </c>
      <c r="P35" s="27" t="str">
        <f>IF($G35="","",M35*ADRYr3!P35)</f>
        <v/>
      </c>
      <c r="Q35" s="27" t="str">
        <f t="shared" si="53"/>
        <v/>
      </c>
      <c r="R35" s="27" t="str">
        <f>IF($G35="","",$Q35*ADRYr3!Z35)</f>
        <v/>
      </c>
      <c r="S35" s="27" t="str">
        <f>IF($G35="","",$Q35*ADRYr3!AA35)</f>
        <v/>
      </c>
      <c r="T35" s="27" t="str">
        <f>IF($G35="","",$Q35*ADRYr3!AB35)</f>
        <v/>
      </c>
      <c r="U35" s="27" t="str">
        <f>IF($G35="","",$Q35*ADRYr3!AC35)</f>
        <v/>
      </c>
      <c r="V35" s="27" t="str">
        <f>IF($G35="","",G35*ADRYr3!$AD35*ADRYr3!$P35*ADRYr3!$Q35)</f>
        <v/>
      </c>
      <c r="W35" s="27" t="str">
        <f>IF($G35="","",$G35*ADRYr3!$AD35*ADRYr3!$AF35*ADRYr3!Q35*ADRYr3!$S35)</f>
        <v/>
      </c>
      <c r="X35" s="27" t="str">
        <f>IF($G35="","",$G35*ADRYr3!$AD35*ADRYr3!$AF35*ADRYr3!P35*ADRYr3!Q35*ADRYr3!$S35)</f>
        <v/>
      </c>
      <c r="Y35" s="27" t="str">
        <f>IF($G35="","",$G35*ADRYr3!$AD35*ADRYr3!$AE35*ADRYr3!Q35*ADRYr3!$T35)</f>
        <v/>
      </c>
      <c r="Z35" s="27" t="str">
        <f>IF($G35="","",$G35*ADRYr3!$AD35*ADRYr3!$AE35*ADRYr3!P35*ADRYr3!Q35*ADRYr3!$T35)</f>
        <v/>
      </c>
      <c r="AA35" s="45" t="str">
        <f>IF($G35="","",$G35*ADRYr3!$Q35*ADRYr3!$U35*(IF(IFERROR(SEARCH("NG", ADRYr3!$AI35),0),ADRYr3!$AJ35,0)+IF(IFERROR(SEARCH("NG", ADRYr3!$AK35),0),ADRYr3!$AL35,0)+IF(IFERROR(SEARCH("NG", ADRYr3!$AM35),0),ADRYr3!$AN35,0)))</f>
        <v/>
      </c>
      <c r="AB35" s="45" t="str">
        <f t="shared" si="54"/>
        <v/>
      </c>
      <c r="AC35" s="45">
        <f>IF($G35="",0,AA35*ADRYr3!$P35)</f>
        <v>0</v>
      </c>
      <c r="AD35" s="45" t="str">
        <f t="shared" si="55"/>
        <v/>
      </c>
      <c r="AE35" s="45" t="str">
        <f>IF($G35="","",$G35*ADRYr3!$Q35*ADRYr3!$U35*(IF(IFERROR(SEARCH("Oil", ADRYr3!$AI35), 0),ADRYr3!$AJ35,0)+IF(IFERROR(SEARCH("Oil", ADRYr3!$AK35), 0),ADRYr3!$AL35,0)+IF(IFERROR(SEARCH("Oil", ADRYr3!$AM35), 0),ADRYr3!$AN35,0)))</f>
        <v/>
      </c>
      <c r="AF35" s="45" t="str">
        <f t="shared" si="56"/>
        <v/>
      </c>
      <c r="AG35" s="45">
        <f>IF($G35="",0,AE35*ADRYr3!$P35)</f>
        <v>0</v>
      </c>
      <c r="AH35" s="45" t="str">
        <f t="shared" si="57"/>
        <v/>
      </c>
      <c r="AI35" s="45" t="str">
        <f>IF($G35="","",$G35*ADRYr3!$Q35*ADRYr3!$U35*(IF(ADRYr3!$AI35=Lookups!$E$116,ADRYr3!$AJ35,IF(ADRYr3!$AK35=Lookups!$E$116,ADRYr3!$AL35,IF(ADRYr3!$AM35=Lookups!$E$116,ADRYr3!$AN35,0)))))</f>
        <v/>
      </c>
      <c r="AJ35" s="45" t="str">
        <f t="shared" si="58"/>
        <v/>
      </c>
      <c r="AK35" s="45">
        <f>IF($G35="",0,AI35*ADRYr3!$P35)</f>
        <v>0</v>
      </c>
      <c r="AL35" s="45" t="str">
        <f t="shared" si="59"/>
        <v/>
      </c>
      <c r="AM35" s="45" t="str">
        <f>IF($G35="","",$G35*ADRYr3!$Q35*ADRYr3!$U35*(IF(ADRYr3!$AI35=Lookups!$E$115,ADRYr3!$AJ35,IF(ADRYr3!$AK35=Lookups!$E$115,ADRYr3!$AL35,IF(ADRYr3!$AM35=Lookups!$E$115,ADRYr3!$AN35,0)))))</f>
        <v/>
      </c>
      <c r="AN35" s="45" t="str">
        <f t="shared" si="60"/>
        <v/>
      </c>
      <c r="AO35" s="45">
        <f>IF($G35="",0,AM35*ADRYr3!$P35)</f>
        <v>0</v>
      </c>
      <c r="AP35" s="45" t="str">
        <f t="shared" si="61"/>
        <v/>
      </c>
      <c r="AQ35" s="45" t="str">
        <f>IF($G35="","",$G35*ADRYr3!$Q35*ADRYr3!$U35*(IF(ADRYr3!$AI35=Lookups!$E$117,ADRYr3!$AJ35,IF(ADRYr3!$AK35=Lookups!$E$117,ADRYr3!$AL35,IF(ADRYr3!$AM35=Lookups!$E$117,ADRYr3!$AN35,0)))))</f>
        <v/>
      </c>
      <c r="AR35" s="45" t="str">
        <f t="shared" si="62"/>
        <v/>
      </c>
      <c r="AS35" s="45" t="str">
        <f>IF($G35="","",AQ35*ADRYr3!$P35)</f>
        <v/>
      </c>
      <c r="AT35" s="45" t="str">
        <f t="shared" si="63"/>
        <v/>
      </c>
      <c r="AU35" s="45" t="str">
        <f>IF($G35="","",$G35*ADRYr3!$Q35*ADRYr3!$U35*(IF(ADRYr3!$AI35=Lookups!$E$118,ADRYr3!$AJ35,IF(ADRYr3!$AK35=Lookups!$E$118,ADRYr3!$AL35,IF(ADRYr3!$AM35=Lookups!$E$118,ADRYr3!$AN35,0)))))</f>
        <v/>
      </c>
      <c r="AV35" s="45" t="str">
        <f t="shared" si="64"/>
        <v/>
      </c>
      <c r="AW35" s="45" t="str">
        <f>IF($G35="","",AU35*ADRYr3!$P35)</f>
        <v/>
      </c>
      <c r="AX35" s="45" t="str">
        <f t="shared" si="65"/>
        <v/>
      </c>
      <c r="AY35" s="45">
        <f t="shared" si="66"/>
        <v>0</v>
      </c>
      <c r="AZ35" s="45">
        <f t="shared" si="67"/>
        <v>0</v>
      </c>
      <c r="BA35" s="101" t="str">
        <f>IF($G35="","",$G35*ADRYr3!$P35*ADRYr3!$Q35*ADRYr3!$U35*ADRYr3!AO35)</f>
        <v/>
      </c>
      <c r="BB35" s="102" t="str">
        <f>IF($G35="","",$G35*ADRYr3!$P35*ADRYr3!$Q35*ADRYr3!$U35*ADRYr3!AP35)</f>
        <v/>
      </c>
      <c r="BC35" s="100" t="str">
        <f t="shared" si="68"/>
        <v/>
      </c>
      <c r="BD35" s="961"/>
      <c r="BE35" s="961"/>
      <c r="BF35" s="961"/>
      <c r="BG35" s="961"/>
      <c r="BH35" s="962" t="str">
        <f t="shared" si="3"/>
        <v/>
      </c>
      <c r="BI35" s="961"/>
      <c r="BJ35" s="961"/>
      <c r="BK35" s="961"/>
      <c r="BL35" s="961"/>
      <c r="BM35" s="30" t="str">
        <f t="shared" si="4"/>
        <v/>
      </c>
      <c r="BN35" s="963" t="str">
        <f t="shared" si="31"/>
        <v/>
      </c>
      <c r="BO35" s="31" t="str">
        <f t="shared" si="69"/>
        <v/>
      </c>
      <c r="BP35" s="964" t="str">
        <f t="shared" si="5"/>
        <v/>
      </c>
      <c r="BQ35" s="28" t="str">
        <f t="shared" si="6"/>
        <v/>
      </c>
      <c r="BR35" s="964" t="str">
        <f t="shared" si="7"/>
        <v/>
      </c>
      <c r="BS35" s="964" t="str">
        <f t="shared" si="8"/>
        <v/>
      </c>
      <c r="BT35" s="28" t="str">
        <f t="shared" si="82"/>
        <v/>
      </c>
      <c r="BU35" s="28" t="str">
        <f t="shared" si="82"/>
        <v/>
      </c>
      <c r="BV35" s="28" t="str">
        <f t="shared" si="82"/>
        <v/>
      </c>
      <c r="BW35" s="29" t="str">
        <f t="shared" si="70"/>
        <v/>
      </c>
      <c r="BX35" s="29" t="str">
        <f t="shared" si="71"/>
        <v/>
      </c>
      <c r="BY35" s="28" t="str">
        <f>IF($G35="","",$G35*(IF(ADRYr3!$AI35=BY$4,ADRYr3!$AJ35,IF(ADRYr3!$AK35=BY$4,ADRYr3!$AL35,IF(ADRYr3!$AM35=BY$4,ADRYr3!$AN35,0))))*(INDEX(avoidedcosttbl3,$H35,BY$2)+(($H35-ROUNDDOWN($H35,0))*(INDEX(avoidedcosttbl3,ROUNDUP($H35,0),BY$2)-(INDEX(avoidedcosttbl3,ROUNDDOWN($H35,0),BY$2)))))*ADRYr3!P35*ADRYr3!Q35*ADRYr3!U35)</f>
        <v/>
      </c>
      <c r="BZ35" s="28" t="str">
        <f>IF($G35="","",$G35*(IF(ADRYr3!$AI35=BZ$4,ADRYr3!$AJ35,IF(ADRYr3!$AK35=BZ$4,ADRYr3!$AL35,IF(ADRYr3!$AM35=BZ$4,ADRYr3!$AN35,0))))*(INDEX(avoidedcosttbl3,$H35,BZ$2)+(($H35-ROUNDDOWN($H35,0))*(INDEX(avoidedcosttbl3,ROUNDUP($H35,0),BZ$2)-(INDEX(avoidedcosttbl3,ROUNDDOWN($H35,0),BZ$2)))))*ADRYr3!P35*ADRYr3!Q35*ADRYr3!U35)</f>
        <v/>
      </c>
      <c r="CA35" s="28" t="str">
        <f>IF($G35="","",$G35*(IF(ADRYr3!$AI35=CA$4,ADRYr3!$AJ35,IF(ADRYr3!$AK35=CA$4,ADRYr3!$AL35,IF(ADRYr3!$AM35=CA$4,ADRYr3!$AN35,0))))*(INDEX(avoidedcosttbl3,$H35,CA$2)+(($H35-ROUNDDOWN($H35,0))*(INDEX(avoidedcosttbl3,ROUNDUP($H35,0),CA$2)-(INDEX(avoidedcosttbl3,ROUNDDOWN($H35,0),CA$2)))))*ADRYr3!P35*ADRYr3!Q35*ADRYr3!U35)</f>
        <v/>
      </c>
      <c r="CB35" s="28" t="str">
        <f>IF($G35="","",$G35*(IF(ADRYr3!$AI35=CB$4,ADRYr3!$AJ35,IF(ADRYr3!$AK35=CB$4,ADRYr3!$AL35,IF(ADRYr3!$AM35=CB$4,ADRYr3!$AN35,0))))*(INDEX(avoidedcosttbl3,$H35,CB$2)+(($H35-ROUNDDOWN($H35,0))*(INDEX(avoidedcosttbl3,ROUNDUP($H35,0),CB$2)-(INDEX(avoidedcosttbl3,ROUNDDOWN($H35,0),CB$2)))))*ADRYr3!P35*ADRYr3!Q35*ADRYr3!U35)</f>
        <v/>
      </c>
      <c r="CC35" s="28" t="str">
        <f>IF($G35="","",$G35*(IF(ADRYr3!$AI35=CC$4,ADRYr3!$AJ35,IF(ADRYr3!$AK35=CC$4,ADRYr3!$AL35,IF(ADRYr3!$AM35=CC$4,ADRYr3!$AN35,0))))*(INDEX(avoidedcosttbl3,$H35,CC$2)+(($H35-ROUNDDOWN($H35,0))*(INDEX(avoidedcosttbl3,ROUNDUP($H35,0),CC$2)-(INDEX(avoidedcosttbl3,ROUNDDOWN($H35,0),CC$2)))))*ADRYr3!P35*ADRYr3!Q35*ADRYr3!U35)</f>
        <v/>
      </c>
      <c r="CD35" s="28" t="str">
        <f>IF($G35="","",$G35*(IF(ADRYr3!$AI35=CD$4,ADRYr3!$AJ35,IF(ADRYr3!$AK35=CD$4,ADRYr3!$AL35,IF(ADRYr3!$AM35=CD$4,ADRYr3!$AN35,0))))*(INDEX(avoidedcosttbl3,$H35,CD$2)+(($H35-ROUNDDOWN($H35,0))*(INDEX(avoidedcosttbl3,ROUNDUP($H35,0),CD$2)-(INDEX(avoidedcosttbl3,ROUNDDOWN($H35,0),CD$2)))))*ADRYr3!P35*ADRYr3!Q35*ADRYr3!U35)</f>
        <v/>
      </c>
      <c r="CE35" s="28" t="str">
        <f>IF($G35="","",$G35*(IF(ADRYr3!$AI35=CE$4,ADRYr3!$AJ35,IF(ADRYr3!$AK35=CE$4,ADRYr3!$AL35,IF(ADRYr3!$AM35=CE$4,ADRYr3!$AN35,0))))*(INDEX(avoidedcosttbl3,$H35,CE$2)+(($H35-ROUNDDOWN($H35,0))*(INDEX(avoidedcosttbl3,ROUNDUP($H35,0),CE$2)-(INDEX(avoidedcosttbl3,ROUNDDOWN($H35,0),CE$2)))))*ADRYr3!P35*ADRYr3!Q35*ADRYr3!U35)</f>
        <v/>
      </c>
      <c r="CF35" s="41" t="str">
        <f t="shared" si="72"/>
        <v/>
      </c>
      <c r="CG35" s="30" t="str">
        <f t="shared" si="10"/>
        <v/>
      </c>
      <c r="CH35" s="30" t="str">
        <f>IF($G35="","",$G35*(IF(ADRYr3!$AI35=BY$4,ADRYr3!$AJ35,IF(ADRYr3!$AK35=BY$4,ADRYr3!$AL35,IF(ADRYr3!$AM35=BY$4,ADRYr3!$AN35,0))))*(INDEX(avoidedcosttbl3,$H35,CH$2)+(($H35-ROUNDDOWN($H35,0))*(INDEX(avoidedcosttbl3,ROUNDUP($H35,0),CH$2)-(INDEX(avoidedcosttbl3,ROUNDDOWN($H35,0),CH$2)))))*ADRYr3!P35*ADRYr3!Q35*ADRYr3!U35)</f>
        <v/>
      </c>
      <c r="CI35" s="30" t="str">
        <f>IF($G35="","",$G35*(IF(ADRYr3!$AI35=BZ$4,ADRYr3!$AJ35,IF(ADRYr3!$AK35=BZ$4,ADRYr3!$AL35,IF(ADRYr3!$AM35=BZ$4,ADRYr3!$AN35,0))))*(INDEX(avoidedcosttbl3,$H35,CI$2)+(($H35-ROUNDDOWN($H35,0))*(INDEX(avoidedcosttbl3,ROUNDUP($H35,0),CI$2)-(INDEX(avoidedcosttbl3,ROUNDDOWN($H35,0),CI$2)))))*ADRYr3!P35*ADRYr3!Q35*ADRYr3!U35)</f>
        <v/>
      </c>
      <c r="CJ35" s="30" t="str">
        <f>IF($G35="","",$G35*(IF(ADRYr3!$AI35=CA$4,ADRYr3!$AJ35,IF(ADRYr3!$AK35=CA$4,ADRYr3!$AL35,IF(ADRYr3!$AM35=CA$4,ADRYr3!$AN35,0))))*(INDEX(avoidedcosttbl3,$H35,CJ$2)+(($H35-ROUNDDOWN($H35,0))*(INDEX(avoidedcosttbl3,ROUNDUP($H35,0),CJ$2)-(INDEX(avoidedcosttbl3,ROUNDDOWN($H35,0),CJ$2)))))*ADRYr3!P35*ADRYr3!Q35*ADRYr3!U35)</f>
        <v/>
      </c>
      <c r="CK35" s="30" t="str">
        <f>IF($G35="","",$G35*(IF(ADRYr3!$AI35=CB$4,ADRYr3!$AJ35,IF(ADRYr3!$AK35=CB$4,ADRYr3!$AL35,IF(ADRYr3!$AM35=CB$4,ADRYr3!$AN35,0))))*(INDEX(avoidedcosttbl3,$H35,CK$2)+(($H35-ROUNDDOWN($H35,0))*(INDEX(avoidedcosttbl3,ROUNDUP($H35,0),CK$2)-(INDEX(avoidedcosttbl3,ROUNDDOWN($H35,0),CK$2)))))*ADRYr3!P35*ADRYr3!Q35*ADRYr3!U35)</f>
        <v/>
      </c>
      <c r="CL35" s="30" t="str">
        <f>IF($G35="","",$G35*(IF(ADRYr3!$AI35=CC$4,ADRYr3!$AJ35,IF(ADRYr3!$AK35=CC$4,ADRYr3!$AL35,IF(ADRYr3!$AM35=CC$4,ADRYr3!$AN35,0))))*(INDEX(avoidedcosttbl3,$H35,CL$2)+(($H35-ROUNDDOWN($H35,0))*(INDEX(avoidedcosttbl3,ROUNDUP($H35,0),CL$2)-(INDEX(avoidedcosttbl3,ROUNDDOWN($H35,0),CL$2)))))*ADRYr3!P35*ADRYr3!Q35*ADRYr3!U35)</f>
        <v/>
      </c>
      <c r="CM35" s="30" t="str">
        <f>IF($G35="","",$G35*(IF(ADRYr3!$AI35=CD$4,ADRYr3!$AJ35,IF(ADRYr3!$AK35=CD$4,ADRYr3!$AL35,IF(ADRYr3!$AM35=CD$4,ADRYr3!$AN35,0))))*(INDEX(avoidedcosttbl3,$H35,CM$2)+(($H35-ROUNDDOWN($H35,0))*(INDEX(avoidedcosttbl3,ROUNDUP($H35,0),CM$2)-(INDEX(avoidedcosttbl3,ROUNDDOWN($H35,0),CM$2)))))*ADRYr3!P35*ADRYr3!Q35*ADRYr3!U35)</f>
        <v/>
      </c>
      <c r="CN35" s="30" t="str">
        <f>IF($G35="","",$G35*(IF(ADRYr3!$AI35=CE$4,ADRYr3!$AJ35,IF(ADRYr3!$AK35=CE$4,ADRYr3!$AL35,IF(ADRYr3!$AM35=CE$4,ADRYr3!$AN35,0))))*(INDEX(avoidedcosttbl3,$H35,CN$2)+(($H35-ROUNDDOWN($H35,0))*(INDEX(avoidedcosttbl3,ROUNDUP($H35,0),CN$2)-(INDEX(avoidedcosttbl3,ROUNDDOWN($H35,0),CN$2)))))*ADRYr3!P35*ADRYr3!Q35*ADRYr3!U35)</f>
        <v/>
      </c>
      <c r="CO35" s="220" t="str">
        <f t="shared" si="73"/>
        <v/>
      </c>
      <c r="CP35" s="220" t="str">
        <f t="shared" si="74"/>
        <v/>
      </c>
      <c r="CQ35" s="157" t="str">
        <f>IF($G35="","",$G35*(IF(ADRYr3!$AI35=CQ$4,ADRYr3!$AJ35,IF(ADRYr3!$AK35=CQ$4,ADRYr3!$AL35,IF(ADRYr3!$AM35=CQ$4,ADRYr3!$AN35,0))))*(INDEX(avoidedcosttbl3,$H35,CQ$2)+(($H35-ROUNDDOWN($H35,0))*(INDEX(avoidedcosttbl3,ROUNDUP($H35,0),CQ$2)-(INDEX(avoidedcosttbl3,ROUNDDOWN($H35,0),CQ$2)))))*ADRYr3!$P35*ADRYr3!$Q35*ADRYr3!$U35)</f>
        <v/>
      </c>
      <c r="CR35" s="28" t="str">
        <f>IF($G35="","",G35*(IF(ADRYr3!$AI35=CR$4,ADRYr3!$AJ35,IF(ADRYr3!$AK35=CR$4,ADRYr3!$AL35,IF(ADRYr3!$AM35=CR$4,ADRYr3!$AN35,0))))*(INDEX(avoidedcosttbl3,$H35,CR$2)+(($H35-ROUNDDOWN($H35,0))*(INDEX(avoidedcosttbl3,ROUNDUP($H35,0),CR$2)-(INDEX(avoidedcosttbl3,ROUNDDOWN($H35,0),CR$2)))))*ADRYr3!$P35*ADRYr3!$Q35*ADRYr3!$U35)</f>
        <v/>
      </c>
      <c r="CS35" s="28" t="str">
        <f>IF($G35="","",G35*(IF(ADRYr3!$AI35=CS$4,ADRYr3!$AJ35,IF(ADRYr3!$AK35=CS$4,ADRYr3!$AL35,IF(ADRYr3!$AM35=CS$4,ADRYr3!$AN35,0))))*(INDEX(avoidedcosttbl3,$H35,CS$2)+(($H35-ROUNDDOWN($H35,0))*(INDEX(avoidedcosttbl3,ROUNDUP($H35,0),CS$2)-(INDEX(avoidedcosttbl3,ROUNDDOWN($H35,0),CS$2)))))*ADRYr3!$P35*ADRYr3!$Q35*ADRYr3!$U35)</f>
        <v/>
      </c>
      <c r="CT35" s="28" t="str">
        <f t="shared" si="11"/>
        <v/>
      </c>
      <c r="CU35" s="28" t="str">
        <f>IF($G35="","",G35*(IF(ADRYr3!$AI35=CU$4,ADRYr3!$AJ35,IF(ADRYr3!$AK35=CU$4,ADRYr3!$AL35,IF(ADRYr3!$AM35=CU$4,ADRYr3!$AN35,0))))*(INDEX(avoidedcosttbl3,$H35,CU$2)+(($H35-ROUNDDOWN($H35,0))*(INDEX(avoidedcosttbl3,ROUNDUP($H35,0),CU$2)-(INDEX(avoidedcosttbl3,ROUNDDOWN($H35,0),CU$2)))))*ADRYr3!$P35*ADRYr3!$Q35*ADRYr3!$U35)</f>
        <v/>
      </c>
      <c r="CV35" s="28" t="str">
        <f>IF($G35="","",G35*(IF(ADRYr3!$AI35=CV$4,ADRYr3!$AJ35,IF(ADRYr3!$AK35=CV$4,ADRYr3!$AL35,IF(ADRYr3!$AM35=CV$4,ADRYr3!$AN35,0))))*(INDEX(avoidedcosttbl3,$H35,CV$2)+(($H35-ROUNDDOWN($H35,0))*(INDEX(avoidedcosttbl3,ROUNDUP($H35,0),CV$2)-(INDEX(avoidedcosttbl3,ROUNDDOWN($H35,0),CV$2)))))*ADRYr3!$P35*ADRYr3!$Q35*ADRYr3!$U35)</f>
        <v/>
      </c>
      <c r="CW35" s="28" t="str">
        <f>IF($G35="","",G35*(IF(ADRYr3!$AI35=CW$4,ADRYr3!$AJ35,IF(ADRYr3!$AK35=CW$4,ADRYr3!$AL35,IF(ADRYr3!$AM35=CW$4,ADRYr3!$AN35,0))))*(INDEX(avoidedcosttbl3,$H35,CW$2)+(($H35-ROUNDDOWN($H35,0))*(INDEX(avoidedcosttbl3,ROUNDUP($H35,0),CW$2)-(INDEX(avoidedcosttbl3,ROUNDDOWN($H35,0),CW$2)))))*ADRYr3!$P35*ADRYr3!$Q35*ADRYr3!$U35)</f>
        <v/>
      </c>
      <c r="CX35" s="28" t="str">
        <f>IF($G35="","",G35*(IF(ADRYr3!$AI35=CX$4,ADRYr3!$AJ35,IF(ADRYr3!$AK35=CX$4,ADRYr3!$AL35,IF(ADRYr3!$AM35=CX$4,ADRYr3!$AN35,0))))*(INDEX(avoidedcosttbl3,$H35,CX$2)+(($H35-ROUNDDOWN($H35,0))*(INDEX(avoidedcosttbl3,ROUNDUP($H35,0),CX$2)-(INDEX(avoidedcosttbl3,ROUNDDOWN($H35,0),CX$2)))))*ADRYr3!$P35*ADRYr3!$Q35*ADRYr3!$U35)</f>
        <v/>
      </c>
      <c r="CY35" s="28" t="str">
        <f t="shared" si="75"/>
        <v/>
      </c>
      <c r="CZ35" s="32" t="str">
        <f t="shared" si="76"/>
        <v/>
      </c>
      <c r="DA35" s="84" t="str">
        <f t="shared" si="77"/>
        <v/>
      </c>
      <c r="DB35" s="81" t="str">
        <f>IF(NEIadder="Yes",IF($G35="","",INDEX(Lookups!$G$70:$G$71,MATCH($A35,Lookups!$E$70:$E$71,0))*(SUM(CP35:CX35,BX35))),"")</f>
        <v/>
      </c>
      <c r="DC35" s="263" t="str">
        <f t="shared" si="78"/>
        <v/>
      </c>
      <c r="DD35" s="166" t="str">
        <f t="shared" si="79"/>
        <v/>
      </c>
      <c r="DE35" s="82">
        <f t="shared" si="80"/>
        <v>0</v>
      </c>
      <c r="DF35" s="615" t="str">
        <f>IF($G35="","",(1+WntPeakEnergyLL)*(INDEX(avoidedcosttbl3,$H35,DF$2)+(($H35-ROUNDDOWN($H35,0))*(INDEX(avoidedcosttbl3,ROUNDUP($H35,0),DF$2)-(INDEX(avoidedcosttbl3,ROUNDDOWN($H35,0),DF$2)))))*$P35*1000*ADRYr3!Z35)</f>
        <v/>
      </c>
      <c r="DG35" s="615" t="str">
        <f>IF($G35="","",(1+WntOffPeakEnergyLL)*(INDEX(avoidedcosttbl3,$H35,DG$2)+(($H35-ROUNDDOWN($H35,0))*(INDEX(avoidedcosttbl3,ROUNDUP($H35,0),DG$2)-(INDEX(avoidedcosttbl3,ROUNDDOWN($H35,0),DG$2)))))*$P35*1000*ADRYr3!AA35)</f>
        <v/>
      </c>
      <c r="DH35" s="615" t="str">
        <f>IF($G35="","",(1+SumPeakEnergyLL)*(INDEX(avoidedcosttbl3,$H35,DH$2)+(($H35-ROUNDDOWN($H35,0))*(INDEX(avoidedcosttbl3,ROUNDUP($H35,0),DH$2)-(INDEX(avoidedcosttbl3,ROUNDDOWN($H35,0),DH$2)))))*$P35*1000*ADRYr3!AB35)</f>
        <v/>
      </c>
      <c r="DI35" s="615" t="str">
        <f>IF($G35="","",(1+SumOffPeakEnergyLL)*(INDEX(avoidedcosttbl3,$H35,DI$2)+(($H35-ROUNDDOWN($H35,0))*(INDEX(avoidedcosttbl3,ROUNDUP($H35,0),DI$2)-(INDEX(avoidedcosttbl3,ROUNDDOWN($H35,0),DI$2)))))*$P35*1000*ADRYr3!AC35)</f>
        <v/>
      </c>
      <c r="DJ35" s="29" t="str">
        <f t="shared" si="81"/>
        <v/>
      </c>
      <c r="DK35" s="161" t="str">
        <f t="shared" si="45"/>
        <v/>
      </c>
      <c r="DL35" s="1189" t="str">
        <f t="shared" si="46"/>
        <v/>
      </c>
      <c r="DM35" s="1189" t="str">
        <f t="shared" si="47"/>
        <v/>
      </c>
      <c r="DN35" s="43" t="str">
        <f t="shared" si="48"/>
        <v/>
      </c>
      <c r="DO35" s="966" t="str">
        <f>IF($G35="","",ADRYr3!AQ35)</f>
        <v/>
      </c>
      <c r="DP35" s="968" t="str">
        <f>IF($G35="","",ADRYr3!AR35)</f>
        <v/>
      </c>
      <c r="DQ35" s="970" t="str">
        <f>IF($G35="","",IF($DP35="Yes",COLUMN(AESC!$L$10),IF($DP35="No","Using AvoidedDemand tab",IF($DP35="Mixed",COLUMN(AESC!$N$10)))))</f>
        <v/>
      </c>
      <c r="DR35" s="970" t="str">
        <f>IF($G35="","",IF($DP35="Yes",COLUMN(AESC!$P$10),IF($DP35="No","Using AvoidedDemand tab",IF($DP35="Mixed",COLUMN(AESC!$R$10)))))</f>
        <v/>
      </c>
      <c r="DS35" s="970" t="str">
        <f>IF($G35="","",IF($DP35="Yes",COLUMN(AESC!$S$10),IF($DP35="No",COLUMN(AESC!$T$10),IF($DP35="Mixed",COLUMN(AESC!$U$10)))))</f>
        <v/>
      </c>
      <c r="DT35" s="970" t="str">
        <f t="shared" si="49"/>
        <v/>
      </c>
      <c r="DU35" s="970" t="str">
        <f>IF($G35="","",ADRYr3!AS35)</f>
        <v/>
      </c>
      <c r="DV35" s="971" t="str">
        <f>IF($G35="","",ADRYr3!AT35)</f>
        <v/>
      </c>
      <c r="DW35" s="1162" t="str">
        <f>IF($G35="","",INDEX(AvoidedEnergy!$H$4:$H$10,MATCH($DO35,AvoidedEnergy!$A$4:$A$10,0)))</f>
        <v/>
      </c>
    </row>
    <row r="36" spans="1:127">
      <c r="A36" s="160" t="str">
        <f>IF(ADRYr3!$B36=0,"",ADRYr3!A36)</f>
        <v>C - Commercial &amp; Industrial</v>
      </c>
      <c r="B36" s="9" t="str">
        <f>IF(ADRYr3!$B36=0,"",ADRYr3!B36)</f>
        <v>C5 - C&amp;I Active Demand Response</v>
      </c>
      <c r="C36" s="9" t="str">
        <f>IF(ADRYr3!$B36=0,"",ADRYr3!C36)</f>
        <v>C5a - C&amp;I Active Demand Response</v>
      </c>
      <c r="D36" s="9" t="str">
        <f>IF(ADRYr3!$B36=0,"",ADRYr3!D36)</f>
        <v>Storage Daily Dispatch P4P (consumption) Summer</v>
      </c>
      <c r="E36" s="9" t="str">
        <f>IF(ADRYr3!$B36=0,"",ADRYr3!E36)</f>
        <v>E21C5a003</v>
      </c>
      <c r="F36" s="11" t="str">
        <f>IF(ADRYr3!$B36=0,"",ADRYr3!F36)</f>
        <v>Behavior</v>
      </c>
      <c r="G36" s="12" t="str">
        <f>IF(ADRYr3!$G36&lt;&gt;0,ADRYr3!G36,"")</f>
        <v/>
      </c>
      <c r="H36" s="960" t="str">
        <f>IF($G36="","",ROUND(ADRYr3!H36,0))</f>
        <v/>
      </c>
      <c r="I36" s="47" t="str">
        <f>IF($G36="","",ADRYr3!I36*ADRYr3!P36*G36)</f>
        <v/>
      </c>
      <c r="J36" s="47" t="str">
        <f>IF($G36="","",ADRYr3!J36*G36)</f>
        <v/>
      </c>
      <c r="K36" s="47" t="str">
        <f t="shared" si="50"/>
        <v/>
      </c>
      <c r="L36" s="27" t="str">
        <f>IF($G36="","",ADRYr3!V36*G36/1000)</f>
        <v/>
      </c>
      <c r="M36" s="27" t="str">
        <f>IF($G36="","",L36*ADRYr3!$Q36*ADRYr3!$R36)</f>
        <v/>
      </c>
      <c r="N36" s="27" t="str">
        <f t="shared" si="51"/>
        <v/>
      </c>
      <c r="O36" s="27" t="str">
        <f t="shared" si="52"/>
        <v/>
      </c>
      <c r="P36" s="27" t="str">
        <f>IF($G36="","",M36*ADRYr3!P36)</f>
        <v/>
      </c>
      <c r="Q36" s="27" t="str">
        <f t="shared" si="53"/>
        <v/>
      </c>
      <c r="R36" s="27" t="str">
        <f>IF($G36="","",$Q36*ADRYr3!Z36)</f>
        <v/>
      </c>
      <c r="S36" s="27" t="str">
        <f>IF($G36="","",$Q36*ADRYr3!AA36)</f>
        <v/>
      </c>
      <c r="T36" s="27" t="str">
        <f>IF($G36="","",$Q36*ADRYr3!AB36)</f>
        <v/>
      </c>
      <c r="U36" s="27" t="str">
        <f>IF($G36="","",$Q36*ADRYr3!AC36)</f>
        <v/>
      </c>
      <c r="V36" s="27" t="str">
        <f>IF($G36="","",G36*ADRYr3!$AD36*ADRYr3!$P36*ADRYr3!$Q36)</f>
        <v/>
      </c>
      <c r="W36" s="27" t="str">
        <f>IF($G36="","",$G36*ADRYr3!$AD36*ADRYr3!$AF36*ADRYr3!Q36*ADRYr3!$S36)</f>
        <v/>
      </c>
      <c r="X36" s="27" t="str">
        <f>IF($G36="","",$G36*ADRYr3!$AD36*ADRYr3!$AF36*ADRYr3!P36*ADRYr3!Q36*ADRYr3!$S36)</f>
        <v/>
      </c>
      <c r="Y36" s="27" t="str">
        <f>IF($G36="","",$G36*ADRYr3!$AD36*ADRYr3!$AE36*ADRYr3!Q36*ADRYr3!$T36)</f>
        <v/>
      </c>
      <c r="Z36" s="27" t="str">
        <f>IF($G36="","",$G36*ADRYr3!$AD36*ADRYr3!$AE36*ADRYr3!P36*ADRYr3!Q36*ADRYr3!$T36)</f>
        <v/>
      </c>
      <c r="AA36" s="45" t="str">
        <f>IF($G36="","",$G36*ADRYr3!$Q36*ADRYr3!$U36*(IF(IFERROR(SEARCH("NG", ADRYr3!$AI36),0),ADRYr3!$AJ36,0)+IF(IFERROR(SEARCH("NG", ADRYr3!$AK36),0),ADRYr3!$AL36,0)+IF(IFERROR(SEARCH("NG", ADRYr3!$AM36),0),ADRYr3!$AN36,0)))</f>
        <v/>
      </c>
      <c r="AB36" s="45" t="str">
        <f t="shared" si="54"/>
        <v/>
      </c>
      <c r="AC36" s="45">
        <f>IF($G36="",0,AA36*ADRYr3!$P36)</f>
        <v>0</v>
      </c>
      <c r="AD36" s="45" t="str">
        <f t="shared" si="55"/>
        <v/>
      </c>
      <c r="AE36" s="45" t="str">
        <f>IF($G36="","",$G36*ADRYr3!$Q36*ADRYr3!$U36*(IF(IFERROR(SEARCH("Oil", ADRYr3!$AI36), 0),ADRYr3!$AJ36,0)+IF(IFERROR(SEARCH("Oil", ADRYr3!$AK36), 0),ADRYr3!$AL36,0)+IF(IFERROR(SEARCH("Oil", ADRYr3!$AM36), 0),ADRYr3!$AN36,0)))</f>
        <v/>
      </c>
      <c r="AF36" s="45" t="str">
        <f t="shared" si="56"/>
        <v/>
      </c>
      <c r="AG36" s="45">
        <f>IF($G36="",0,AE36*ADRYr3!$P36)</f>
        <v>0</v>
      </c>
      <c r="AH36" s="45" t="str">
        <f t="shared" si="57"/>
        <v/>
      </c>
      <c r="AI36" s="45" t="str">
        <f>IF($G36="","",$G36*ADRYr3!$Q36*ADRYr3!$U36*(IF(ADRYr3!$AI36=Lookups!$E$116,ADRYr3!$AJ36,IF(ADRYr3!$AK36=Lookups!$E$116,ADRYr3!$AL36,IF(ADRYr3!$AM36=Lookups!$E$116,ADRYr3!$AN36,0)))))</f>
        <v/>
      </c>
      <c r="AJ36" s="45" t="str">
        <f t="shared" si="58"/>
        <v/>
      </c>
      <c r="AK36" s="45">
        <f>IF($G36="",0,AI36*ADRYr3!$P36)</f>
        <v>0</v>
      </c>
      <c r="AL36" s="45" t="str">
        <f t="shared" si="59"/>
        <v/>
      </c>
      <c r="AM36" s="45" t="str">
        <f>IF($G36="","",$G36*ADRYr3!$Q36*ADRYr3!$U36*(IF(ADRYr3!$AI36=Lookups!$E$115,ADRYr3!$AJ36,IF(ADRYr3!$AK36=Lookups!$E$115,ADRYr3!$AL36,IF(ADRYr3!$AM36=Lookups!$E$115,ADRYr3!$AN36,0)))))</f>
        <v/>
      </c>
      <c r="AN36" s="45" t="str">
        <f t="shared" si="60"/>
        <v/>
      </c>
      <c r="AO36" s="45">
        <f>IF($G36="",0,AM36*ADRYr3!$P36)</f>
        <v>0</v>
      </c>
      <c r="AP36" s="45" t="str">
        <f t="shared" si="61"/>
        <v/>
      </c>
      <c r="AQ36" s="45" t="str">
        <f>IF($G36="","",$G36*ADRYr3!$Q36*ADRYr3!$U36*(IF(ADRYr3!$AI36=Lookups!$E$117,ADRYr3!$AJ36,IF(ADRYr3!$AK36=Lookups!$E$117,ADRYr3!$AL36,IF(ADRYr3!$AM36=Lookups!$E$117,ADRYr3!$AN36,0)))))</f>
        <v/>
      </c>
      <c r="AR36" s="45" t="str">
        <f t="shared" si="62"/>
        <v/>
      </c>
      <c r="AS36" s="45" t="str">
        <f>IF($G36="","",AQ36*ADRYr3!$P36)</f>
        <v/>
      </c>
      <c r="AT36" s="45" t="str">
        <f t="shared" si="63"/>
        <v/>
      </c>
      <c r="AU36" s="45" t="str">
        <f>IF($G36="","",$G36*ADRYr3!$Q36*ADRYr3!$U36*(IF(ADRYr3!$AI36=Lookups!$E$118,ADRYr3!$AJ36,IF(ADRYr3!$AK36=Lookups!$E$118,ADRYr3!$AL36,IF(ADRYr3!$AM36=Lookups!$E$118,ADRYr3!$AN36,0)))))</f>
        <v/>
      </c>
      <c r="AV36" s="45" t="str">
        <f t="shared" si="64"/>
        <v/>
      </c>
      <c r="AW36" s="45" t="str">
        <f>IF($G36="","",AU36*ADRYr3!$P36)</f>
        <v/>
      </c>
      <c r="AX36" s="45" t="str">
        <f t="shared" si="65"/>
        <v/>
      </c>
      <c r="AY36" s="45">
        <f t="shared" si="66"/>
        <v>0</v>
      </c>
      <c r="AZ36" s="45">
        <f t="shared" si="67"/>
        <v>0</v>
      </c>
      <c r="BA36" s="101" t="str">
        <f>IF($G36="","",$G36*ADRYr3!$P36*ADRYr3!$Q36*ADRYr3!$U36*ADRYr3!AO36)</f>
        <v/>
      </c>
      <c r="BB36" s="102" t="str">
        <f>IF($G36="","",$G36*ADRYr3!$P36*ADRYr3!$Q36*ADRYr3!$U36*ADRYr3!AP36)</f>
        <v/>
      </c>
      <c r="BC36" s="100" t="str">
        <f t="shared" si="68"/>
        <v/>
      </c>
      <c r="BD36" s="961"/>
      <c r="BE36" s="961"/>
      <c r="BF36" s="961"/>
      <c r="BG36" s="961"/>
      <c r="BH36" s="962" t="str">
        <f t="shared" si="3"/>
        <v/>
      </c>
      <c r="BI36" s="961"/>
      <c r="BJ36" s="961"/>
      <c r="BK36" s="961"/>
      <c r="BL36" s="961"/>
      <c r="BM36" s="30" t="str">
        <f t="shared" si="4"/>
        <v/>
      </c>
      <c r="BN36" s="963" t="str">
        <f t="shared" si="31"/>
        <v/>
      </c>
      <c r="BO36" s="31" t="str">
        <f t="shared" si="69"/>
        <v/>
      </c>
      <c r="BP36" s="964" t="str">
        <f t="shared" si="5"/>
        <v/>
      </c>
      <c r="BQ36" s="28" t="str">
        <f t="shared" si="6"/>
        <v/>
      </c>
      <c r="BR36" s="964" t="str">
        <f t="shared" si="7"/>
        <v/>
      </c>
      <c r="BS36" s="964" t="str">
        <f t="shared" si="8"/>
        <v/>
      </c>
      <c r="BT36" s="28" t="str">
        <f t="shared" si="82"/>
        <v/>
      </c>
      <c r="BU36" s="28" t="str">
        <f t="shared" si="82"/>
        <v/>
      </c>
      <c r="BV36" s="28" t="str">
        <f t="shared" si="82"/>
        <v/>
      </c>
      <c r="BW36" s="29" t="str">
        <f t="shared" si="70"/>
        <v/>
      </c>
      <c r="BX36" s="29" t="str">
        <f t="shared" si="71"/>
        <v/>
      </c>
      <c r="BY36" s="28" t="str">
        <f>IF($G36="","",$G36*(IF(ADRYr3!$AI36=BY$4,ADRYr3!$AJ36,IF(ADRYr3!$AK36=BY$4,ADRYr3!$AL36,IF(ADRYr3!$AM36=BY$4,ADRYr3!$AN36,0))))*(INDEX(avoidedcosttbl3,$H36,BY$2)+(($H36-ROUNDDOWN($H36,0))*(INDEX(avoidedcosttbl3,ROUNDUP($H36,0),BY$2)-(INDEX(avoidedcosttbl3,ROUNDDOWN($H36,0),BY$2)))))*ADRYr3!P36*ADRYr3!Q36*ADRYr3!U36)</f>
        <v/>
      </c>
      <c r="BZ36" s="28" t="str">
        <f>IF($G36="","",$G36*(IF(ADRYr3!$AI36=BZ$4,ADRYr3!$AJ36,IF(ADRYr3!$AK36=BZ$4,ADRYr3!$AL36,IF(ADRYr3!$AM36=BZ$4,ADRYr3!$AN36,0))))*(INDEX(avoidedcosttbl3,$H36,BZ$2)+(($H36-ROUNDDOWN($H36,0))*(INDEX(avoidedcosttbl3,ROUNDUP($H36,0),BZ$2)-(INDEX(avoidedcosttbl3,ROUNDDOWN($H36,0),BZ$2)))))*ADRYr3!P36*ADRYr3!Q36*ADRYr3!U36)</f>
        <v/>
      </c>
      <c r="CA36" s="28" t="str">
        <f>IF($G36="","",$G36*(IF(ADRYr3!$AI36=CA$4,ADRYr3!$AJ36,IF(ADRYr3!$AK36=CA$4,ADRYr3!$AL36,IF(ADRYr3!$AM36=CA$4,ADRYr3!$AN36,0))))*(INDEX(avoidedcosttbl3,$H36,CA$2)+(($H36-ROUNDDOWN($H36,0))*(INDEX(avoidedcosttbl3,ROUNDUP($H36,0),CA$2)-(INDEX(avoidedcosttbl3,ROUNDDOWN($H36,0),CA$2)))))*ADRYr3!P36*ADRYr3!Q36*ADRYr3!U36)</f>
        <v/>
      </c>
      <c r="CB36" s="28" t="str">
        <f>IF($G36="","",$G36*(IF(ADRYr3!$AI36=CB$4,ADRYr3!$AJ36,IF(ADRYr3!$AK36=CB$4,ADRYr3!$AL36,IF(ADRYr3!$AM36=CB$4,ADRYr3!$AN36,0))))*(INDEX(avoidedcosttbl3,$H36,CB$2)+(($H36-ROUNDDOWN($H36,0))*(INDEX(avoidedcosttbl3,ROUNDUP($H36,0),CB$2)-(INDEX(avoidedcosttbl3,ROUNDDOWN($H36,0),CB$2)))))*ADRYr3!P36*ADRYr3!Q36*ADRYr3!U36)</f>
        <v/>
      </c>
      <c r="CC36" s="28" t="str">
        <f>IF($G36="","",$G36*(IF(ADRYr3!$AI36=CC$4,ADRYr3!$AJ36,IF(ADRYr3!$AK36=CC$4,ADRYr3!$AL36,IF(ADRYr3!$AM36=CC$4,ADRYr3!$AN36,0))))*(INDEX(avoidedcosttbl3,$H36,CC$2)+(($H36-ROUNDDOWN($H36,0))*(INDEX(avoidedcosttbl3,ROUNDUP($H36,0),CC$2)-(INDEX(avoidedcosttbl3,ROUNDDOWN($H36,0),CC$2)))))*ADRYr3!P36*ADRYr3!Q36*ADRYr3!U36)</f>
        <v/>
      </c>
      <c r="CD36" s="28" t="str">
        <f>IF($G36="","",$G36*(IF(ADRYr3!$AI36=CD$4,ADRYr3!$AJ36,IF(ADRYr3!$AK36=CD$4,ADRYr3!$AL36,IF(ADRYr3!$AM36=CD$4,ADRYr3!$AN36,0))))*(INDEX(avoidedcosttbl3,$H36,CD$2)+(($H36-ROUNDDOWN($H36,0))*(INDEX(avoidedcosttbl3,ROUNDUP($H36,0),CD$2)-(INDEX(avoidedcosttbl3,ROUNDDOWN($H36,0),CD$2)))))*ADRYr3!P36*ADRYr3!Q36*ADRYr3!U36)</f>
        <v/>
      </c>
      <c r="CE36" s="28" t="str">
        <f>IF($G36="","",$G36*(IF(ADRYr3!$AI36=CE$4,ADRYr3!$AJ36,IF(ADRYr3!$AK36=CE$4,ADRYr3!$AL36,IF(ADRYr3!$AM36=CE$4,ADRYr3!$AN36,0))))*(INDEX(avoidedcosttbl3,$H36,CE$2)+(($H36-ROUNDDOWN($H36,0))*(INDEX(avoidedcosttbl3,ROUNDUP($H36,0),CE$2)-(INDEX(avoidedcosttbl3,ROUNDDOWN($H36,0),CE$2)))))*ADRYr3!P36*ADRYr3!Q36*ADRYr3!U36)</f>
        <v/>
      </c>
      <c r="CF36" s="41" t="str">
        <f t="shared" si="72"/>
        <v/>
      </c>
      <c r="CG36" s="30" t="str">
        <f t="shared" si="10"/>
        <v/>
      </c>
      <c r="CH36" s="30" t="str">
        <f>IF($G36="","",$G36*(IF(ADRYr3!$AI36=BY$4,ADRYr3!$AJ36,IF(ADRYr3!$AK36=BY$4,ADRYr3!$AL36,IF(ADRYr3!$AM36=BY$4,ADRYr3!$AN36,0))))*(INDEX(avoidedcosttbl3,$H36,CH$2)+(($H36-ROUNDDOWN($H36,0))*(INDEX(avoidedcosttbl3,ROUNDUP($H36,0),CH$2)-(INDEX(avoidedcosttbl3,ROUNDDOWN($H36,0),CH$2)))))*ADRYr3!P36*ADRYr3!Q36*ADRYr3!U36)</f>
        <v/>
      </c>
      <c r="CI36" s="30" t="str">
        <f>IF($G36="","",$G36*(IF(ADRYr3!$AI36=BZ$4,ADRYr3!$AJ36,IF(ADRYr3!$AK36=BZ$4,ADRYr3!$AL36,IF(ADRYr3!$AM36=BZ$4,ADRYr3!$AN36,0))))*(INDEX(avoidedcosttbl3,$H36,CI$2)+(($H36-ROUNDDOWN($H36,0))*(INDEX(avoidedcosttbl3,ROUNDUP($H36,0),CI$2)-(INDEX(avoidedcosttbl3,ROUNDDOWN($H36,0),CI$2)))))*ADRYr3!P36*ADRYr3!Q36*ADRYr3!U36)</f>
        <v/>
      </c>
      <c r="CJ36" s="30" t="str">
        <f>IF($G36="","",$G36*(IF(ADRYr3!$AI36=CA$4,ADRYr3!$AJ36,IF(ADRYr3!$AK36=CA$4,ADRYr3!$AL36,IF(ADRYr3!$AM36=CA$4,ADRYr3!$AN36,0))))*(INDEX(avoidedcosttbl3,$H36,CJ$2)+(($H36-ROUNDDOWN($H36,0))*(INDEX(avoidedcosttbl3,ROUNDUP($H36,0),CJ$2)-(INDEX(avoidedcosttbl3,ROUNDDOWN($H36,0),CJ$2)))))*ADRYr3!P36*ADRYr3!Q36*ADRYr3!U36)</f>
        <v/>
      </c>
      <c r="CK36" s="30" t="str">
        <f>IF($G36="","",$G36*(IF(ADRYr3!$AI36=CB$4,ADRYr3!$AJ36,IF(ADRYr3!$AK36=CB$4,ADRYr3!$AL36,IF(ADRYr3!$AM36=CB$4,ADRYr3!$AN36,0))))*(INDEX(avoidedcosttbl3,$H36,CK$2)+(($H36-ROUNDDOWN($H36,0))*(INDEX(avoidedcosttbl3,ROUNDUP($H36,0),CK$2)-(INDEX(avoidedcosttbl3,ROUNDDOWN($H36,0),CK$2)))))*ADRYr3!P36*ADRYr3!Q36*ADRYr3!U36)</f>
        <v/>
      </c>
      <c r="CL36" s="30" t="str">
        <f>IF($G36="","",$G36*(IF(ADRYr3!$AI36=CC$4,ADRYr3!$AJ36,IF(ADRYr3!$AK36=CC$4,ADRYr3!$AL36,IF(ADRYr3!$AM36=CC$4,ADRYr3!$AN36,0))))*(INDEX(avoidedcosttbl3,$H36,CL$2)+(($H36-ROUNDDOWN($H36,0))*(INDEX(avoidedcosttbl3,ROUNDUP($H36,0),CL$2)-(INDEX(avoidedcosttbl3,ROUNDDOWN($H36,0),CL$2)))))*ADRYr3!P36*ADRYr3!Q36*ADRYr3!U36)</f>
        <v/>
      </c>
      <c r="CM36" s="30" t="str">
        <f>IF($G36="","",$G36*(IF(ADRYr3!$AI36=CD$4,ADRYr3!$AJ36,IF(ADRYr3!$AK36=CD$4,ADRYr3!$AL36,IF(ADRYr3!$AM36=CD$4,ADRYr3!$AN36,0))))*(INDEX(avoidedcosttbl3,$H36,CM$2)+(($H36-ROUNDDOWN($H36,0))*(INDEX(avoidedcosttbl3,ROUNDUP($H36,0),CM$2)-(INDEX(avoidedcosttbl3,ROUNDDOWN($H36,0),CM$2)))))*ADRYr3!P36*ADRYr3!Q36*ADRYr3!U36)</f>
        <v/>
      </c>
      <c r="CN36" s="30" t="str">
        <f>IF($G36="","",$G36*(IF(ADRYr3!$AI36=CE$4,ADRYr3!$AJ36,IF(ADRYr3!$AK36=CE$4,ADRYr3!$AL36,IF(ADRYr3!$AM36=CE$4,ADRYr3!$AN36,0))))*(INDEX(avoidedcosttbl3,$H36,CN$2)+(($H36-ROUNDDOWN($H36,0))*(INDEX(avoidedcosttbl3,ROUNDUP($H36,0),CN$2)-(INDEX(avoidedcosttbl3,ROUNDDOWN($H36,0),CN$2)))))*ADRYr3!P36*ADRYr3!Q36*ADRYr3!U36)</f>
        <v/>
      </c>
      <c r="CO36" s="220" t="str">
        <f t="shared" si="73"/>
        <v/>
      </c>
      <c r="CP36" s="220" t="str">
        <f t="shared" si="74"/>
        <v/>
      </c>
      <c r="CQ36" s="157" t="str">
        <f>IF($G36="","",$G36*(IF(ADRYr3!$AI36=CQ$4,ADRYr3!$AJ36,IF(ADRYr3!$AK36=CQ$4,ADRYr3!$AL36,IF(ADRYr3!$AM36=CQ$4,ADRYr3!$AN36,0))))*(INDEX(avoidedcosttbl3,$H36,CQ$2)+(($H36-ROUNDDOWN($H36,0))*(INDEX(avoidedcosttbl3,ROUNDUP($H36,0),CQ$2)-(INDEX(avoidedcosttbl3,ROUNDDOWN($H36,0),CQ$2)))))*ADRYr3!$P36*ADRYr3!$Q36*ADRYr3!$U36)</f>
        <v/>
      </c>
      <c r="CR36" s="28" t="str">
        <f>IF($G36="","",G36*(IF(ADRYr3!$AI36=CR$4,ADRYr3!$AJ36,IF(ADRYr3!$AK36=CR$4,ADRYr3!$AL36,IF(ADRYr3!$AM36=CR$4,ADRYr3!$AN36,0))))*(INDEX(avoidedcosttbl3,$H36,CR$2)+(($H36-ROUNDDOWN($H36,0))*(INDEX(avoidedcosttbl3,ROUNDUP($H36,0),CR$2)-(INDEX(avoidedcosttbl3,ROUNDDOWN($H36,0),CR$2)))))*ADRYr3!$P36*ADRYr3!$Q36*ADRYr3!$U36)</f>
        <v/>
      </c>
      <c r="CS36" s="28" t="str">
        <f>IF($G36="","",G36*(IF(ADRYr3!$AI36=CS$4,ADRYr3!$AJ36,IF(ADRYr3!$AK36=CS$4,ADRYr3!$AL36,IF(ADRYr3!$AM36=CS$4,ADRYr3!$AN36,0))))*(INDEX(avoidedcosttbl3,$H36,CS$2)+(($H36-ROUNDDOWN($H36,0))*(INDEX(avoidedcosttbl3,ROUNDUP($H36,0),CS$2)-(INDEX(avoidedcosttbl3,ROUNDDOWN($H36,0),CS$2)))))*ADRYr3!$P36*ADRYr3!$Q36*ADRYr3!$U36)</f>
        <v/>
      </c>
      <c r="CT36" s="28" t="str">
        <f t="shared" si="11"/>
        <v/>
      </c>
      <c r="CU36" s="28" t="str">
        <f>IF($G36="","",G36*(IF(ADRYr3!$AI36=CU$4,ADRYr3!$AJ36,IF(ADRYr3!$AK36=CU$4,ADRYr3!$AL36,IF(ADRYr3!$AM36=CU$4,ADRYr3!$AN36,0))))*(INDEX(avoidedcosttbl3,$H36,CU$2)+(($H36-ROUNDDOWN($H36,0))*(INDEX(avoidedcosttbl3,ROUNDUP($H36,0),CU$2)-(INDEX(avoidedcosttbl3,ROUNDDOWN($H36,0),CU$2)))))*ADRYr3!$P36*ADRYr3!$Q36*ADRYr3!$U36)</f>
        <v/>
      </c>
      <c r="CV36" s="28" t="str">
        <f>IF($G36="","",G36*(IF(ADRYr3!$AI36=CV$4,ADRYr3!$AJ36,IF(ADRYr3!$AK36=CV$4,ADRYr3!$AL36,IF(ADRYr3!$AM36=CV$4,ADRYr3!$AN36,0))))*(INDEX(avoidedcosttbl3,$H36,CV$2)+(($H36-ROUNDDOWN($H36,0))*(INDEX(avoidedcosttbl3,ROUNDUP($H36,0),CV$2)-(INDEX(avoidedcosttbl3,ROUNDDOWN($H36,0),CV$2)))))*ADRYr3!$P36*ADRYr3!$Q36*ADRYr3!$U36)</f>
        <v/>
      </c>
      <c r="CW36" s="28" t="str">
        <f>IF($G36="","",G36*(IF(ADRYr3!$AI36=CW$4,ADRYr3!$AJ36,IF(ADRYr3!$AK36=CW$4,ADRYr3!$AL36,IF(ADRYr3!$AM36=CW$4,ADRYr3!$AN36,0))))*(INDEX(avoidedcosttbl3,$H36,CW$2)+(($H36-ROUNDDOWN($H36,0))*(INDEX(avoidedcosttbl3,ROUNDUP($H36,0),CW$2)-(INDEX(avoidedcosttbl3,ROUNDDOWN($H36,0),CW$2)))))*ADRYr3!$P36*ADRYr3!$Q36*ADRYr3!$U36)</f>
        <v/>
      </c>
      <c r="CX36" s="28" t="str">
        <f>IF($G36="","",G36*(IF(ADRYr3!$AI36=CX$4,ADRYr3!$AJ36,IF(ADRYr3!$AK36=CX$4,ADRYr3!$AL36,IF(ADRYr3!$AM36=CX$4,ADRYr3!$AN36,0))))*(INDEX(avoidedcosttbl3,$H36,CX$2)+(($H36-ROUNDDOWN($H36,0))*(INDEX(avoidedcosttbl3,ROUNDUP($H36,0),CX$2)-(INDEX(avoidedcosttbl3,ROUNDDOWN($H36,0),CX$2)))))*ADRYr3!$P36*ADRYr3!$Q36*ADRYr3!$U36)</f>
        <v/>
      </c>
      <c r="CY36" s="28" t="str">
        <f t="shared" si="75"/>
        <v/>
      </c>
      <c r="CZ36" s="32" t="str">
        <f t="shared" si="76"/>
        <v/>
      </c>
      <c r="DA36" s="84" t="str">
        <f t="shared" si="77"/>
        <v/>
      </c>
      <c r="DB36" s="81" t="str">
        <f>IF(NEIadder="Yes",IF($G36="","",INDEX(Lookups!$G$70:$G$71,MATCH($A36,Lookups!$E$70:$E$71,0))*(SUM(CP36:CX36,BX36))),"")</f>
        <v/>
      </c>
      <c r="DC36" s="263" t="str">
        <f t="shared" si="78"/>
        <v/>
      </c>
      <c r="DD36" s="166" t="str">
        <f t="shared" si="79"/>
        <v/>
      </c>
      <c r="DE36" s="82">
        <f t="shared" si="80"/>
        <v>0</v>
      </c>
      <c r="DF36" s="615" t="str">
        <f>IF($G36="","",(1+WntPeakEnergyLL)*(INDEX(avoidedcosttbl3,$H36,DF$2)+(($H36-ROUNDDOWN($H36,0))*(INDEX(avoidedcosttbl3,ROUNDUP($H36,0),DF$2)-(INDEX(avoidedcosttbl3,ROUNDDOWN($H36,0),DF$2)))))*$P36*1000*ADRYr3!Z36)</f>
        <v/>
      </c>
      <c r="DG36" s="615" t="str">
        <f>IF($G36="","",(1+WntOffPeakEnergyLL)*(INDEX(avoidedcosttbl3,$H36,DG$2)+(($H36-ROUNDDOWN($H36,0))*(INDEX(avoidedcosttbl3,ROUNDUP($H36,0),DG$2)-(INDEX(avoidedcosttbl3,ROUNDDOWN($H36,0),DG$2)))))*$P36*1000*ADRYr3!AA36)</f>
        <v/>
      </c>
      <c r="DH36" s="615" t="str">
        <f>IF($G36="","",(1+SumPeakEnergyLL)*(INDEX(avoidedcosttbl3,$H36,DH$2)+(($H36-ROUNDDOWN($H36,0))*(INDEX(avoidedcosttbl3,ROUNDUP($H36,0),DH$2)-(INDEX(avoidedcosttbl3,ROUNDDOWN($H36,0),DH$2)))))*$P36*1000*ADRYr3!AB36)</f>
        <v/>
      </c>
      <c r="DI36" s="615" t="str">
        <f>IF($G36="","",(1+SumOffPeakEnergyLL)*(INDEX(avoidedcosttbl3,$H36,DI$2)+(($H36-ROUNDDOWN($H36,0))*(INDEX(avoidedcosttbl3,ROUNDUP($H36,0),DI$2)-(INDEX(avoidedcosttbl3,ROUNDDOWN($H36,0),DI$2)))))*$P36*1000*ADRYr3!AC36)</f>
        <v/>
      </c>
      <c r="DJ36" s="29" t="str">
        <f t="shared" si="81"/>
        <v/>
      </c>
      <c r="DK36" s="161" t="str">
        <f t="shared" si="45"/>
        <v/>
      </c>
      <c r="DL36" s="1189" t="str">
        <f t="shared" si="46"/>
        <v/>
      </c>
      <c r="DM36" s="1189" t="str">
        <f t="shared" si="47"/>
        <v/>
      </c>
      <c r="DN36" s="43" t="str">
        <f t="shared" si="48"/>
        <v/>
      </c>
      <c r="DO36" s="966" t="str">
        <f>IF($G36="","",ADRYr3!AQ36)</f>
        <v/>
      </c>
      <c r="DP36" s="968" t="str">
        <f>IF($G36="","",ADRYr3!AR36)</f>
        <v/>
      </c>
      <c r="DQ36" s="970" t="str">
        <f>IF($G36="","",IF($DP36="Yes",COLUMN(AESC!$L$10),IF($DP36="No","Using AvoidedDemand tab",IF($DP36="Mixed",COLUMN(AESC!$N$10)))))</f>
        <v/>
      </c>
      <c r="DR36" s="970" t="str">
        <f>IF($G36="","",IF($DP36="Yes",COLUMN(AESC!$P$10),IF($DP36="No","Using AvoidedDemand tab",IF($DP36="Mixed",COLUMN(AESC!$R$10)))))</f>
        <v/>
      </c>
      <c r="DS36" s="970" t="str">
        <f>IF($G36="","",IF($DP36="Yes",COLUMN(AESC!$S$10),IF($DP36="No",COLUMN(AESC!$T$10),IF($DP36="Mixed",COLUMN(AESC!$U$10)))))</f>
        <v/>
      </c>
      <c r="DT36" s="970" t="str">
        <f t="shared" si="49"/>
        <v/>
      </c>
      <c r="DU36" s="970" t="str">
        <f>IF($G36="","",ADRYr3!AS36)</f>
        <v/>
      </c>
      <c r="DV36" s="971" t="str">
        <f>IF($G36="","",ADRYr3!AT36)</f>
        <v/>
      </c>
      <c r="DW36" s="1162" t="str">
        <f>IF($G36="","",INDEX(AvoidedEnergy!$H$4:$H$10,MATCH($DO36,AvoidedEnergy!$A$4:$A$10,0)))</f>
        <v/>
      </c>
    </row>
    <row r="37" spans="1:127">
      <c r="A37" s="160" t="str">
        <f>IF(ADRYr3!$B37=0,"",ADRYr3!A37)</f>
        <v>C - Commercial &amp; Industrial</v>
      </c>
      <c r="B37" s="9" t="str">
        <f>IF(ADRYr3!$B37=0,"",ADRYr3!B37)</f>
        <v>C5 - C&amp;I Active Demand Response</v>
      </c>
      <c r="C37" s="9" t="str">
        <f>IF(ADRYr3!$B37=0,"",ADRYr3!C37)</f>
        <v>C5a - C&amp;I Active Demand Response</v>
      </c>
      <c r="D37" s="9" t="str">
        <f>IF(ADRYr3!$B37=0,"",ADRYr3!D37)</f>
        <v>Storage Targeted Dispatch P4P (savings) Summer</v>
      </c>
      <c r="E37" s="9" t="str">
        <f>IF(ADRYr3!$B37=0,"",ADRYr3!E37)</f>
        <v>E21C5a004</v>
      </c>
      <c r="F37" s="11" t="str">
        <f>IF(ADRYr3!$B37=0,"",ADRYr3!F37)</f>
        <v>Behavior</v>
      </c>
      <c r="G37" s="12" t="str">
        <f>IF(ADRYr3!$G37&lt;&gt;0,ADRYr3!G37,"")</f>
        <v/>
      </c>
      <c r="H37" s="960" t="str">
        <f>IF($G37="","",ROUND(ADRYr3!H37,0))</f>
        <v/>
      </c>
      <c r="I37" s="47" t="str">
        <f>IF($G37="","",ADRYr3!I37*ADRYr3!P37*G37)</f>
        <v/>
      </c>
      <c r="J37" s="47" t="str">
        <f>IF($G37="","",ADRYr3!J37*G37)</f>
        <v/>
      </c>
      <c r="K37" s="47" t="str">
        <f t="shared" si="50"/>
        <v/>
      </c>
      <c r="L37" s="27" t="str">
        <f>IF($G37="","",ADRYr3!V37*G37/1000)</f>
        <v/>
      </c>
      <c r="M37" s="27" t="str">
        <f>IF($G37="","",L37*ADRYr3!$Q37*ADRYr3!$R37)</f>
        <v/>
      </c>
      <c r="N37" s="27" t="str">
        <f t="shared" si="51"/>
        <v/>
      </c>
      <c r="O37" s="27" t="str">
        <f t="shared" si="52"/>
        <v/>
      </c>
      <c r="P37" s="27" t="str">
        <f>IF($G37="","",M37*ADRYr3!P37)</f>
        <v/>
      </c>
      <c r="Q37" s="27" t="str">
        <f t="shared" si="53"/>
        <v/>
      </c>
      <c r="R37" s="27" t="str">
        <f>IF($G37="","",$Q37*ADRYr3!Z37)</f>
        <v/>
      </c>
      <c r="S37" s="27" t="str">
        <f>IF($G37="","",$Q37*ADRYr3!AA37)</f>
        <v/>
      </c>
      <c r="T37" s="27" t="str">
        <f>IF($G37="","",$Q37*ADRYr3!AB37)</f>
        <v/>
      </c>
      <c r="U37" s="27" t="str">
        <f>IF($G37="","",$Q37*ADRYr3!AC37)</f>
        <v/>
      </c>
      <c r="V37" s="27" t="str">
        <f>IF($G37="","",G37*ADRYr3!$AD37*ADRYr3!$P37*ADRYr3!$Q37)</f>
        <v/>
      </c>
      <c r="W37" s="27" t="str">
        <f>IF($G37="","",$G37*ADRYr3!$AD37*ADRYr3!$AF37*ADRYr3!Q37*ADRYr3!$S37)</f>
        <v/>
      </c>
      <c r="X37" s="27" t="str">
        <f>IF($G37="","",$G37*ADRYr3!$AD37*ADRYr3!$AF37*ADRYr3!P37*ADRYr3!Q37*ADRYr3!$S37)</f>
        <v/>
      </c>
      <c r="Y37" s="27" t="str">
        <f>IF($G37="","",$G37*ADRYr3!$AD37*ADRYr3!$AE37*ADRYr3!Q37*ADRYr3!$T37)</f>
        <v/>
      </c>
      <c r="Z37" s="27" t="str">
        <f>IF($G37="","",$G37*ADRYr3!$AD37*ADRYr3!$AE37*ADRYr3!P37*ADRYr3!Q37*ADRYr3!$T37)</f>
        <v/>
      </c>
      <c r="AA37" s="45" t="str">
        <f>IF($G37="","",$G37*ADRYr3!$Q37*ADRYr3!$U37*(IF(IFERROR(SEARCH("NG", ADRYr3!$AI37),0),ADRYr3!$AJ37,0)+IF(IFERROR(SEARCH("NG", ADRYr3!$AK37),0),ADRYr3!$AL37,0)+IF(IFERROR(SEARCH("NG", ADRYr3!$AM37),0),ADRYr3!$AN37,0)))</f>
        <v/>
      </c>
      <c r="AB37" s="45" t="str">
        <f t="shared" si="54"/>
        <v/>
      </c>
      <c r="AC37" s="45">
        <f>IF($G37="",0,AA37*ADRYr3!$P37)</f>
        <v>0</v>
      </c>
      <c r="AD37" s="45" t="str">
        <f t="shared" si="55"/>
        <v/>
      </c>
      <c r="AE37" s="45" t="str">
        <f>IF($G37="","",$G37*ADRYr3!$Q37*ADRYr3!$U37*(IF(IFERROR(SEARCH("Oil", ADRYr3!$AI37), 0),ADRYr3!$AJ37,0)+IF(IFERROR(SEARCH("Oil", ADRYr3!$AK37), 0),ADRYr3!$AL37,0)+IF(IFERROR(SEARCH("Oil", ADRYr3!$AM37), 0),ADRYr3!$AN37,0)))</f>
        <v/>
      </c>
      <c r="AF37" s="45" t="str">
        <f t="shared" si="56"/>
        <v/>
      </c>
      <c r="AG37" s="45">
        <f>IF($G37="",0,AE37*ADRYr3!$P37)</f>
        <v>0</v>
      </c>
      <c r="AH37" s="45" t="str">
        <f t="shared" si="57"/>
        <v/>
      </c>
      <c r="AI37" s="45" t="str">
        <f>IF($G37="","",$G37*ADRYr3!$Q37*ADRYr3!$U37*(IF(ADRYr3!$AI37=Lookups!$E$116,ADRYr3!$AJ37,IF(ADRYr3!$AK37=Lookups!$E$116,ADRYr3!$AL37,IF(ADRYr3!$AM37=Lookups!$E$116,ADRYr3!$AN37,0)))))</f>
        <v/>
      </c>
      <c r="AJ37" s="45" t="str">
        <f t="shared" si="58"/>
        <v/>
      </c>
      <c r="AK37" s="45">
        <f>IF($G37="",0,AI37*ADRYr3!$P37)</f>
        <v>0</v>
      </c>
      <c r="AL37" s="45" t="str">
        <f t="shared" si="59"/>
        <v/>
      </c>
      <c r="AM37" s="45" t="str">
        <f>IF($G37="","",$G37*ADRYr3!$Q37*ADRYr3!$U37*(IF(ADRYr3!$AI37=Lookups!$E$115,ADRYr3!$AJ37,IF(ADRYr3!$AK37=Lookups!$E$115,ADRYr3!$AL37,IF(ADRYr3!$AM37=Lookups!$E$115,ADRYr3!$AN37,0)))))</f>
        <v/>
      </c>
      <c r="AN37" s="45" t="str">
        <f t="shared" si="60"/>
        <v/>
      </c>
      <c r="AO37" s="45">
        <f>IF($G37="",0,AM37*ADRYr3!$P37)</f>
        <v>0</v>
      </c>
      <c r="AP37" s="45" t="str">
        <f t="shared" si="61"/>
        <v/>
      </c>
      <c r="AQ37" s="45" t="str">
        <f>IF($G37="","",$G37*ADRYr3!$Q37*ADRYr3!$U37*(IF(ADRYr3!$AI37=Lookups!$E$117,ADRYr3!$AJ37,IF(ADRYr3!$AK37=Lookups!$E$117,ADRYr3!$AL37,IF(ADRYr3!$AM37=Lookups!$E$117,ADRYr3!$AN37,0)))))</f>
        <v/>
      </c>
      <c r="AR37" s="45" t="str">
        <f t="shared" si="62"/>
        <v/>
      </c>
      <c r="AS37" s="45" t="str">
        <f>IF($G37="","",AQ37*ADRYr3!$P37)</f>
        <v/>
      </c>
      <c r="AT37" s="45" t="str">
        <f t="shared" si="63"/>
        <v/>
      </c>
      <c r="AU37" s="45" t="str">
        <f>IF($G37="","",$G37*ADRYr3!$Q37*ADRYr3!$U37*(IF(ADRYr3!$AI37=Lookups!$E$118,ADRYr3!$AJ37,IF(ADRYr3!$AK37=Lookups!$E$118,ADRYr3!$AL37,IF(ADRYr3!$AM37=Lookups!$E$118,ADRYr3!$AN37,0)))))</f>
        <v/>
      </c>
      <c r="AV37" s="45" t="str">
        <f t="shared" si="64"/>
        <v/>
      </c>
      <c r="AW37" s="45" t="str">
        <f>IF($G37="","",AU37*ADRYr3!$P37)</f>
        <v/>
      </c>
      <c r="AX37" s="45" t="str">
        <f t="shared" si="65"/>
        <v/>
      </c>
      <c r="AY37" s="45">
        <f t="shared" si="66"/>
        <v>0</v>
      </c>
      <c r="AZ37" s="45">
        <f t="shared" si="67"/>
        <v>0</v>
      </c>
      <c r="BA37" s="101" t="str">
        <f>IF($G37="","",$G37*ADRYr3!$P37*ADRYr3!$Q37*ADRYr3!$U37*ADRYr3!AO37)</f>
        <v/>
      </c>
      <c r="BB37" s="102" t="str">
        <f>IF($G37="","",$G37*ADRYr3!$P37*ADRYr3!$Q37*ADRYr3!$U37*ADRYr3!AP37)</f>
        <v/>
      </c>
      <c r="BC37" s="100" t="str">
        <f t="shared" si="68"/>
        <v/>
      </c>
      <c r="BD37" s="961"/>
      <c r="BE37" s="961"/>
      <c r="BF37" s="961"/>
      <c r="BG37" s="961"/>
      <c r="BH37" s="962" t="str">
        <f t="shared" si="3"/>
        <v/>
      </c>
      <c r="BI37" s="961"/>
      <c r="BJ37" s="961"/>
      <c r="BK37" s="961"/>
      <c r="BL37" s="961"/>
      <c r="BM37" s="30" t="str">
        <f t="shared" si="4"/>
        <v/>
      </c>
      <c r="BN37" s="963" t="str">
        <f t="shared" si="31"/>
        <v/>
      </c>
      <c r="BO37" s="31" t="str">
        <f t="shared" si="69"/>
        <v/>
      </c>
      <c r="BP37" s="964" t="str">
        <f t="shared" si="5"/>
        <v/>
      </c>
      <c r="BQ37" s="28" t="str">
        <f t="shared" si="6"/>
        <v/>
      </c>
      <c r="BR37" s="964" t="str">
        <f t="shared" si="7"/>
        <v/>
      </c>
      <c r="BS37" s="964" t="str">
        <f t="shared" si="8"/>
        <v/>
      </c>
      <c r="BT37" s="28" t="str">
        <f t="shared" si="82"/>
        <v/>
      </c>
      <c r="BU37" s="28" t="str">
        <f t="shared" si="82"/>
        <v/>
      </c>
      <c r="BV37" s="28" t="str">
        <f t="shared" si="82"/>
        <v/>
      </c>
      <c r="BW37" s="29" t="str">
        <f t="shared" si="70"/>
        <v/>
      </c>
      <c r="BX37" s="29" t="str">
        <f t="shared" si="71"/>
        <v/>
      </c>
      <c r="BY37" s="28" t="str">
        <f>IF($G37="","",$G37*(IF(ADRYr3!$AI37=BY$4,ADRYr3!$AJ37,IF(ADRYr3!$AK37=BY$4,ADRYr3!$AL37,IF(ADRYr3!$AM37=BY$4,ADRYr3!$AN37,0))))*(INDEX(avoidedcosttbl3,$H37,BY$2)+(($H37-ROUNDDOWN($H37,0))*(INDEX(avoidedcosttbl3,ROUNDUP($H37,0),BY$2)-(INDEX(avoidedcosttbl3,ROUNDDOWN($H37,0),BY$2)))))*ADRYr3!P37*ADRYr3!Q37*ADRYr3!U37)</f>
        <v/>
      </c>
      <c r="BZ37" s="28" t="str">
        <f>IF($G37="","",$G37*(IF(ADRYr3!$AI37=BZ$4,ADRYr3!$AJ37,IF(ADRYr3!$AK37=BZ$4,ADRYr3!$AL37,IF(ADRYr3!$AM37=BZ$4,ADRYr3!$AN37,0))))*(INDEX(avoidedcosttbl3,$H37,BZ$2)+(($H37-ROUNDDOWN($H37,0))*(INDEX(avoidedcosttbl3,ROUNDUP($H37,0),BZ$2)-(INDEX(avoidedcosttbl3,ROUNDDOWN($H37,0),BZ$2)))))*ADRYr3!P37*ADRYr3!Q37*ADRYr3!U37)</f>
        <v/>
      </c>
      <c r="CA37" s="28" t="str">
        <f>IF($G37="","",$G37*(IF(ADRYr3!$AI37=CA$4,ADRYr3!$AJ37,IF(ADRYr3!$AK37=CA$4,ADRYr3!$AL37,IF(ADRYr3!$AM37=CA$4,ADRYr3!$AN37,0))))*(INDEX(avoidedcosttbl3,$H37,CA$2)+(($H37-ROUNDDOWN($H37,0))*(INDEX(avoidedcosttbl3,ROUNDUP($H37,0),CA$2)-(INDEX(avoidedcosttbl3,ROUNDDOWN($H37,0),CA$2)))))*ADRYr3!P37*ADRYr3!Q37*ADRYr3!U37)</f>
        <v/>
      </c>
      <c r="CB37" s="28" t="str">
        <f>IF($G37="","",$G37*(IF(ADRYr3!$AI37=CB$4,ADRYr3!$AJ37,IF(ADRYr3!$AK37=CB$4,ADRYr3!$AL37,IF(ADRYr3!$AM37=CB$4,ADRYr3!$AN37,0))))*(INDEX(avoidedcosttbl3,$H37,CB$2)+(($H37-ROUNDDOWN($H37,0))*(INDEX(avoidedcosttbl3,ROUNDUP($H37,0),CB$2)-(INDEX(avoidedcosttbl3,ROUNDDOWN($H37,0),CB$2)))))*ADRYr3!P37*ADRYr3!Q37*ADRYr3!U37)</f>
        <v/>
      </c>
      <c r="CC37" s="28" t="str">
        <f>IF($G37="","",$G37*(IF(ADRYr3!$AI37=CC$4,ADRYr3!$AJ37,IF(ADRYr3!$AK37=CC$4,ADRYr3!$AL37,IF(ADRYr3!$AM37=CC$4,ADRYr3!$AN37,0))))*(INDEX(avoidedcosttbl3,$H37,CC$2)+(($H37-ROUNDDOWN($H37,0))*(INDEX(avoidedcosttbl3,ROUNDUP($H37,0),CC$2)-(INDEX(avoidedcosttbl3,ROUNDDOWN($H37,0),CC$2)))))*ADRYr3!P37*ADRYr3!Q37*ADRYr3!U37)</f>
        <v/>
      </c>
      <c r="CD37" s="28" t="str">
        <f>IF($G37="","",$G37*(IF(ADRYr3!$AI37=CD$4,ADRYr3!$AJ37,IF(ADRYr3!$AK37=CD$4,ADRYr3!$AL37,IF(ADRYr3!$AM37=CD$4,ADRYr3!$AN37,0))))*(INDEX(avoidedcosttbl3,$H37,CD$2)+(($H37-ROUNDDOWN($H37,0))*(INDEX(avoidedcosttbl3,ROUNDUP($H37,0),CD$2)-(INDEX(avoidedcosttbl3,ROUNDDOWN($H37,0),CD$2)))))*ADRYr3!P37*ADRYr3!Q37*ADRYr3!U37)</f>
        <v/>
      </c>
      <c r="CE37" s="28" t="str">
        <f>IF($G37="","",$G37*(IF(ADRYr3!$AI37=CE$4,ADRYr3!$AJ37,IF(ADRYr3!$AK37=CE$4,ADRYr3!$AL37,IF(ADRYr3!$AM37=CE$4,ADRYr3!$AN37,0))))*(INDEX(avoidedcosttbl3,$H37,CE$2)+(($H37-ROUNDDOWN($H37,0))*(INDEX(avoidedcosttbl3,ROUNDUP($H37,0),CE$2)-(INDEX(avoidedcosttbl3,ROUNDDOWN($H37,0),CE$2)))))*ADRYr3!P37*ADRYr3!Q37*ADRYr3!U37)</f>
        <v/>
      </c>
      <c r="CF37" s="41" t="str">
        <f t="shared" si="72"/>
        <v/>
      </c>
      <c r="CG37" s="30" t="str">
        <f t="shared" si="10"/>
        <v/>
      </c>
      <c r="CH37" s="30" t="str">
        <f>IF($G37="","",$G37*(IF(ADRYr3!$AI37=BY$4,ADRYr3!$AJ37,IF(ADRYr3!$AK37=BY$4,ADRYr3!$AL37,IF(ADRYr3!$AM37=BY$4,ADRYr3!$AN37,0))))*(INDEX(avoidedcosttbl3,$H37,CH$2)+(($H37-ROUNDDOWN($H37,0))*(INDEX(avoidedcosttbl3,ROUNDUP($H37,0),CH$2)-(INDEX(avoidedcosttbl3,ROUNDDOWN($H37,0),CH$2)))))*ADRYr3!P37*ADRYr3!Q37*ADRYr3!U37)</f>
        <v/>
      </c>
      <c r="CI37" s="30" t="str">
        <f>IF($G37="","",$G37*(IF(ADRYr3!$AI37=BZ$4,ADRYr3!$AJ37,IF(ADRYr3!$AK37=BZ$4,ADRYr3!$AL37,IF(ADRYr3!$AM37=BZ$4,ADRYr3!$AN37,0))))*(INDEX(avoidedcosttbl3,$H37,CI$2)+(($H37-ROUNDDOWN($H37,0))*(INDEX(avoidedcosttbl3,ROUNDUP($H37,0),CI$2)-(INDEX(avoidedcosttbl3,ROUNDDOWN($H37,0),CI$2)))))*ADRYr3!P37*ADRYr3!Q37*ADRYr3!U37)</f>
        <v/>
      </c>
      <c r="CJ37" s="30" t="str">
        <f>IF($G37="","",$G37*(IF(ADRYr3!$AI37=CA$4,ADRYr3!$AJ37,IF(ADRYr3!$AK37=CA$4,ADRYr3!$AL37,IF(ADRYr3!$AM37=CA$4,ADRYr3!$AN37,0))))*(INDEX(avoidedcosttbl3,$H37,CJ$2)+(($H37-ROUNDDOWN($H37,0))*(INDEX(avoidedcosttbl3,ROUNDUP($H37,0),CJ$2)-(INDEX(avoidedcosttbl3,ROUNDDOWN($H37,0),CJ$2)))))*ADRYr3!P37*ADRYr3!Q37*ADRYr3!U37)</f>
        <v/>
      </c>
      <c r="CK37" s="30" t="str">
        <f>IF($G37="","",$G37*(IF(ADRYr3!$AI37=CB$4,ADRYr3!$AJ37,IF(ADRYr3!$AK37=CB$4,ADRYr3!$AL37,IF(ADRYr3!$AM37=CB$4,ADRYr3!$AN37,0))))*(INDEX(avoidedcosttbl3,$H37,CK$2)+(($H37-ROUNDDOWN($H37,0))*(INDEX(avoidedcosttbl3,ROUNDUP($H37,0),CK$2)-(INDEX(avoidedcosttbl3,ROUNDDOWN($H37,0),CK$2)))))*ADRYr3!P37*ADRYr3!Q37*ADRYr3!U37)</f>
        <v/>
      </c>
      <c r="CL37" s="30" t="str">
        <f>IF($G37="","",$G37*(IF(ADRYr3!$AI37=CC$4,ADRYr3!$AJ37,IF(ADRYr3!$AK37=CC$4,ADRYr3!$AL37,IF(ADRYr3!$AM37=CC$4,ADRYr3!$AN37,0))))*(INDEX(avoidedcosttbl3,$H37,CL$2)+(($H37-ROUNDDOWN($H37,0))*(INDEX(avoidedcosttbl3,ROUNDUP($H37,0),CL$2)-(INDEX(avoidedcosttbl3,ROUNDDOWN($H37,0),CL$2)))))*ADRYr3!P37*ADRYr3!Q37*ADRYr3!U37)</f>
        <v/>
      </c>
      <c r="CM37" s="30" t="str">
        <f>IF($G37="","",$G37*(IF(ADRYr3!$AI37=CD$4,ADRYr3!$AJ37,IF(ADRYr3!$AK37=CD$4,ADRYr3!$AL37,IF(ADRYr3!$AM37=CD$4,ADRYr3!$AN37,0))))*(INDEX(avoidedcosttbl3,$H37,CM$2)+(($H37-ROUNDDOWN($H37,0))*(INDEX(avoidedcosttbl3,ROUNDUP($H37,0),CM$2)-(INDEX(avoidedcosttbl3,ROUNDDOWN($H37,0),CM$2)))))*ADRYr3!P37*ADRYr3!Q37*ADRYr3!U37)</f>
        <v/>
      </c>
      <c r="CN37" s="30" t="str">
        <f>IF($G37="","",$G37*(IF(ADRYr3!$AI37=CE$4,ADRYr3!$AJ37,IF(ADRYr3!$AK37=CE$4,ADRYr3!$AL37,IF(ADRYr3!$AM37=CE$4,ADRYr3!$AN37,0))))*(INDEX(avoidedcosttbl3,$H37,CN$2)+(($H37-ROUNDDOWN($H37,0))*(INDEX(avoidedcosttbl3,ROUNDUP($H37,0),CN$2)-(INDEX(avoidedcosttbl3,ROUNDDOWN($H37,0),CN$2)))))*ADRYr3!P37*ADRYr3!Q37*ADRYr3!U37)</f>
        <v/>
      </c>
      <c r="CO37" s="220" t="str">
        <f t="shared" si="73"/>
        <v/>
      </c>
      <c r="CP37" s="220" t="str">
        <f t="shared" si="74"/>
        <v/>
      </c>
      <c r="CQ37" s="157" t="str">
        <f>IF($G37="","",$G37*(IF(ADRYr3!$AI37=CQ$4,ADRYr3!$AJ37,IF(ADRYr3!$AK37=CQ$4,ADRYr3!$AL37,IF(ADRYr3!$AM37=CQ$4,ADRYr3!$AN37,0))))*(INDEX(avoidedcosttbl3,$H37,CQ$2)+(($H37-ROUNDDOWN($H37,0))*(INDEX(avoidedcosttbl3,ROUNDUP($H37,0),CQ$2)-(INDEX(avoidedcosttbl3,ROUNDDOWN($H37,0),CQ$2)))))*ADRYr3!$P37*ADRYr3!$Q37*ADRYr3!$U37)</f>
        <v/>
      </c>
      <c r="CR37" s="28" t="str">
        <f>IF($G37="","",G37*(IF(ADRYr3!$AI37=CR$4,ADRYr3!$AJ37,IF(ADRYr3!$AK37=CR$4,ADRYr3!$AL37,IF(ADRYr3!$AM37=CR$4,ADRYr3!$AN37,0))))*(INDEX(avoidedcosttbl3,$H37,CR$2)+(($H37-ROUNDDOWN($H37,0))*(INDEX(avoidedcosttbl3,ROUNDUP($H37,0),CR$2)-(INDEX(avoidedcosttbl3,ROUNDDOWN($H37,0),CR$2)))))*ADRYr3!$P37*ADRYr3!$Q37*ADRYr3!$U37)</f>
        <v/>
      </c>
      <c r="CS37" s="28" t="str">
        <f>IF($G37="","",G37*(IF(ADRYr3!$AI37=CS$4,ADRYr3!$AJ37,IF(ADRYr3!$AK37=CS$4,ADRYr3!$AL37,IF(ADRYr3!$AM37=CS$4,ADRYr3!$AN37,0))))*(INDEX(avoidedcosttbl3,$H37,CS$2)+(($H37-ROUNDDOWN($H37,0))*(INDEX(avoidedcosttbl3,ROUNDUP($H37,0),CS$2)-(INDEX(avoidedcosttbl3,ROUNDDOWN($H37,0),CS$2)))))*ADRYr3!$P37*ADRYr3!$Q37*ADRYr3!$U37)</f>
        <v/>
      </c>
      <c r="CT37" s="28" t="str">
        <f t="shared" si="11"/>
        <v/>
      </c>
      <c r="CU37" s="28" t="str">
        <f>IF($G37="","",G37*(IF(ADRYr3!$AI37=CU$4,ADRYr3!$AJ37,IF(ADRYr3!$AK37=CU$4,ADRYr3!$AL37,IF(ADRYr3!$AM37=CU$4,ADRYr3!$AN37,0))))*(INDEX(avoidedcosttbl3,$H37,CU$2)+(($H37-ROUNDDOWN($H37,0))*(INDEX(avoidedcosttbl3,ROUNDUP($H37,0),CU$2)-(INDEX(avoidedcosttbl3,ROUNDDOWN($H37,0),CU$2)))))*ADRYr3!$P37*ADRYr3!$Q37*ADRYr3!$U37)</f>
        <v/>
      </c>
      <c r="CV37" s="28" t="str">
        <f>IF($G37="","",G37*(IF(ADRYr3!$AI37=CV$4,ADRYr3!$AJ37,IF(ADRYr3!$AK37=CV$4,ADRYr3!$AL37,IF(ADRYr3!$AM37=CV$4,ADRYr3!$AN37,0))))*(INDEX(avoidedcosttbl3,$H37,CV$2)+(($H37-ROUNDDOWN($H37,0))*(INDEX(avoidedcosttbl3,ROUNDUP($H37,0),CV$2)-(INDEX(avoidedcosttbl3,ROUNDDOWN($H37,0),CV$2)))))*ADRYr3!$P37*ADRYr3!$Q37*ADRYr3!$U37)</f>
        <v/>
      </c>
      <c r="CW37" s="28" t="str">
        <f>IF($G37="","",G37*(IF(ADRYr3!$AI37=CW$4,ADRYr3!$AJ37,IF(ADRYr3!$AK37=CW$4,ADRYr3!$AL37,IF(ADRYr3!$AM37=CW$4,ADRYr3!$AN37,0))))*(INDEX(avoidedcosttbl3,$H37,CW$2)+(($H37-ROUNDDOWN($H37,0))*(INDEX(avoidedcosttbl3,ROUNDUP($H37,0),CW$2)-(INDEX(avoidedcosttbl3,ROUNDDOWN($H37,0),CW$2)))))*ADRYr3!$P37*ADRYr3!$Q37*ADRYr3!$U37)</f>
        <v/>
      </c>
      <c r="CX37" s="28" t="str">
        <f>IF($G37="","",G37*(IF(ADRYr3!$AI37=CX$4,ADRYr3!$AJ37,IF(ADRYr3!$AK37=CX$4,ADRYr3!$AL37,IF(ADRYr3!$AM37=CX$4,ADRYr3!$AN37,0))))*(INDEX(avoidedcosttbl3,$H37,CX$2)+(($H37-ROUNDDOWN($H37,0))*(INDEX(avoidedcosttbl3,ROUNDUP($H37,0),CX$2)-(INDEX(avoidedcosttbl3,ROUNDDOWN($H37,0),CX$2)))))*ADRYr3!$P37*ADRYr3!$Q37*ADRYr3!$U37)</f>
        <v/>
      </c>
      <c r="CY37" s="28" t="str">
        <f t="shared" si="75"/>
        <v/>
      </c>
      <c r="CZ37" s="32" t="str">
        <f t="shared" si="76"/>
        <v/>
      </c>
      <c r="DA37" s="84" t="str">
        <f t="shared" si="77"/>
        <v/>
      </c>
      <c r="DB37" s="81" t="str">
        <f>IF(NEIadder="Yes",IF($G37="","",INDEX(Lookups!$G$70:$G$71,MATCH($A37,Lookups!$E$70:$E$71,0))*(SUM(CP37:CX37,BX37))),"")</f>
        <v/>
      </c>
      <c r="DC37" s="263" t="str">
        <f t="shared" si="78"/>
        <v/>
      </c>
      <c r="DD37" s="166" t="str">
        <f t="shared" si="79"/>
        <v/>
      </c>
      <c r="DE37" s="82">
        <f t="shared" si="80"/>
        <v>0</v>
      </c>
      <c r="DF37" s="615" t="str">
        <f>IF($G37="","",(1+WntPeakEnergyLL)*(INDEX(avoidedcosttbl3,$H37,DF$2)+(($H37-ROUNDDOWN($H37,0))*(INDEX(avoidedcosttbl3,ROUNDUP($H37,0),DF$2)-(INDEX(avoidedcosttbl3,ROUNDDOWN($H37,0),DF$2)))))*$P37*1000*ADRYr3!Z37)</f>
        <v/>
      </c>
      <c r="DG37" s="615" t="str">
        <f>IF($G37="","",(1+WntOffPeakEnergyLL)*(INDEX(avoidedcosttbl3,$H37,DG$2)+(($H37-ROUNDDOWN($H37,0))*(INDEX(avoidedcosttbl3,ROUNDUP($H37,0),DG$2)-(INDEX(avoidedcosttbl3,ROUNDDOWN($H37,0),DG$2)))))*$P37*1000*ADRYr3!AA37)</f>
        <v/>
      </c>
      <c r="DH37" s="615" t="str">
        <f>IF($G37="","",(1+SumPeakEnergyLL)*(INDEX(avoidedcosttbl3,$H37,DH$2)+(($H37-ROUNDDOWN($H37,0))*(INDEX(avoidedcosttbl3,ROUNDUP($H37,0),DH$2)-(INDEX(avoidedcosttbl3,ROUNDDOWN($H37,0),DH$2)))))*$P37*1000*ADRYr3!AB37)</f>
        <v/>
      </c>
      <c r="DI37" s="615" t="str">
        <f>IF($G37="","",(1+SumOffPeakEnergyLL)*(INDEX(avoidedcosttbl3,$H37,DI$2)+(($H37-ROUNDDOWN($H37,0))*(INDEX(avoidedcosttbl3,ROUNDUP($H37,0),DI$2)-(INDEX(avoidedcosttbl3,ROUNDDOWN($H37,0),DI$2)))))*$P37*1000*ADRYr3!AC37)</f>
        <v/>
      </c>
      <c r="DJ37" s="29" t="str">
        <f t="shared" si="81"/>
        <v/>
      </c>
      <c r="DK37" s="161" t="str">
        <f t="shared" si="45"/>
        <v/>
      </c>
      <c r="DL37" s="1189" t="str">
        <f t="shared" si="46"/>
        <v/>
      </c>
      <c r="DM37" s="1189" t="str">
        <f t="shared" si="47"/>
        <v/>
      </c>
      <c r="DN37" s="43" t="str">
        <f t="shared" si="48"/>
        <v/>
      </c>
      <c r="DO37" s="966" t="str">
        <f>IF($G37="","",ADRYr3!AQ37)</f>
        <v/>
      </c>
      <c r="DP37" s="968" t="str">
        <f>IF($G37="","",ADRYr3!AR37)</f>
        <v/>
      </c>
      <c r="DQ37" s="970" t="str">
        <f>IF($G37="","",IF($DP37="Yes",COLUMN(AESC!$L$10),IF($DP37="No","Using AvoidedDemand tab",IF($DP37="Mixed",COLUMN(AESC!$N$10)))))</f>
        <v/>
      </c>
      <c r="DR37" s="970" t="str">
        <f>IF($G37="","",IF($DP37="Yes",COLUMN(AESC!$P$10),IF($DP37="No","Using AvoidedDemand tab",IF($DP37="Mixed",COLUMN(AESC!$R$10)))))</f>
        <v/>
      </c>
      <c r="DS37" s="970" t="str">
        <f>IF($G37="","",IF($DP37="Yes",COLUMN(AESC!$S$10),IF($DP37="No",COLUMN(AESC!$T$10),IF($DP37="Mixed",COLUMN(AESC!$U$10)))))</f>
        <v/>
      </c>
      <c r="DT37" s="970" t="str">
        <f t="shared" si="49"/>
        <v/>
      </c>
      <c r="DU37" s="970" t="str">
        <f>IF($G37="","",ADRYr3!AS37)</f>
        <v/>
      </c>
      <c r="DV37" s="971" t="str">
        <f>IF($G37="","",ADRYr3!AT37)</f>
        <v/>
      </c>
      <c r="DW37" s="1162" t="str">
        <f>IF($G37="","",INDEX(AvoidedEnergy!$H$4:$H$10,MATCH($DO37,AvoidedEnergy!$A$4:$A$10,0)))</f>
        <v/>
      </c>
    </row>
    <row r="38" spans="1:127">
      <c r="A38" s="160" t="str">
        <f>IF(ADRYr3!$B38=0,"",ADRYr3!A38)</f>
        <v>C - Commercial &amp; Industrial</v>
      </c>
      <c r="B38" s="9" t="str">
        <f>IF(ADRYr3!$B38=0,"",ADRYr3!B38)</f>
        <v>C5 - C&amp;I Active Demand Response</v>
      </c>
      <c r="C38" s="9" t="str">
        <f>IF(ADRYr3!$B38=0,"",ADRYr3!C38)</f>
        <v>C5a - C&amp;I Active Demand Response</v>
      </c>
      <c r="D38" s="9" t="str">
        <f>IF(ADRYr3!$B38=0,"",ADRYr3!D38)</f>
        <v>Storage Targeted Dispatch P4P (consumption) Summer</v>
      </c>
      <c r="E38" s="9" t="str">
        <f>IF(ADRYr3!$B38=0,"",ADRYr3!E38)</f>
        <v>E21C5a005</v>
      </c>
      <c r="F38" s="11" t="str">
        <f>IF(ADRYr3!$B38=0,"",ADRYr3!F38)</f>
        <v>Behavior</v>
      </c>
      <c r="G38" s="12" t="str">
        <f>IF(ADRYr3!$G38&lt;&gt;0,ADRYr3!G38,"")</f>
        <v/>
      </c>
      <c r="H38" s="960" t="str">
        <f>IF($G38="","",ROUND(ADRYr3!H38,0))</f>
        <v/>
      </c>
      <c r="I38" s="47" t="str">
        <f>IF($G38="","",ADRYr3!I38*ADRYr3!P38*G38)</f>
        <v/>
      </c>
      <c r="J38" s="47" t="str">
        <f>IF($G38="","",ADRYr3!J38*G38)</f>
        <v/>
      </c>
      <c r="K38" s="47" t="str">
        <f t="shared" si="50"/>
        <v/>
      </c>
      <c r="L38" s="27" t="str">
        <f>IF($G38="","",ADRYr3!V38*G38/1000)</f>
        <v/>
      </c>
      <c r="M38" s="27" t="str">
        <f>IF($G38="","",L38*ADRYr3!$Q38*ADRYr3!$R38)</f>
        <v/>
      </c>
      <c r="N38" s="27" t="str">
        <f t="shared" si="51"/>
        <v/>
      </c>
      <c r="O38" s="27" t="str">
        <f t="shared" si="52"/>
        <v/>
      </c>
      <c r="P38" s="27" t="str">
        <f>IF($G38="","",M38*ADRYr3!P38)</f>
        <v/>
      </c>
      <c r="Q38" s="27" t="str">
        <f t="shared" si="53"/>
        <v/>
      </c>
      <c r="R38" s="27" t="str">
        <f>IF($G38="","",$Q38*ADRYr3!Z38)</f>
        <v/>
      </c>
      <c r="S38" s="27" t="str">
        <f>IF($G38="","",$Q38*ADRYr3!AA38)</f>
        <v/>
      </c>
      <c r="T38" s="27" t="str">
        <f>IF($G38="","",$Q38*ADRYr3!AB38)</f>
        <v/>
      </c>
      <c r="U38" s="27" t="str">
        <f>IF($G38="","",$Q38*ADRYr3!AC38)</f>
        <v/>
      </c>
      <c r="V38" s="27" t="str">
        <f>IF($G38="","",G38*ADRYr3!$AD38*ADRYr3!$P38*ADRYr3!$Q38)</f>
        <v/>
      </c>
      <c r="W38" s="27" t="str">
        <f>IF($G38="","",$G38*ADRYr3!$AD38*ADRYr3!$AF38*ADRYr3!Q38*ADRYr3!$S38)</f>
        <v/>
      </c>
      <c r="X38" s="27" t="str">
        <f>IF($G38="","",$G38*ADRYr3!$AD38*ADRYr3!$AF38*ADRYr3!P38*ADRYr3!Q38*ADRYr3!$S38)</f>
        <v/>
      </c>
      <c r="Y38" s="27" t="str">
        <f>IF($G38="","",$G38*ADRYr3!$AD38*ADRYr3!$AE38*ADRYr3!Q38*ADRYr3!$T38)</f>
        <v/>
      </c>
      <c r="Z38" s="27" t="str">
        <f>IF($G38="","",$G38*ADRYr3!$AD38*ADRYr3!$AE38*ADRYr3!P38*ADRYr3!Q38*ADRYr3!$T38)</f>
        <v/>
      </c>
      <c r="AA38" s="45" t="str">
        <f>IF($G38="","",$G38*ADRYr3!$Q38*ADRYr3!$U38*(IF(IFERROR(SEARCH("NG", ADRYr3!$AI38),0),ADRYr3!$AJ38,0)+IF(IFERROR(SEARCH("NG", ADRYr3!$AK38),0),ADRYr3!$AL38,0)+IF(IFERROR(SEARCH("NG", ADRYr3!$AM38),0),ADRYr3!$AN38,0)))</f>
        <v/>
      </c>
      <c r="AB38" s="45" t="str">
        <f t="shared" si="54"/>
        <v/>
      </c>
      <c r="AC38" s="45">
        <f>IF($G38="",0,AA38*ADRYr3!$P38)</f>
        <v>0</v>
      </c>
      <c r="AD38" s="45" t="str">
        <f t="shared" si="55"/>
        <v/>
      </c>
      <c r="AE38" s="45" t="str">
        <f>IF($G38="","",$G38*ADRYr3!$Q38*ADRYr3!$U38*(IF(IFERROR(SEARCH("Oil", ADRYr3!$AI38), 0),ADRYr3!$AJ38,0)+IF(IFERROR(SEARCH("Oil", ADRYr3!$AK38), 0),ADRYr3!$AL38,0)+IF(IFERROR(SEARCH("Oil", ADRYr3!$AM38), 0),ADRYr3!$AN38,0)))</f>
        <v/>
      </c>
      <c r="AF38" s="45" t="str">
        <f t="shared" si="56"/>
        <v/>
      </c>
      <c r="AG38" s="45">
        <f>IF($G38="",0,AE38*ADRYr3!$P38)</f>
        <v>0</v>
      </c>
      <c r="AH38" s="45" t="str">
        <f t="shared" si="57"/>
        <v/>
      </c>
      <c r="AI38" s="45" t="str">
        <f>IF($G38="","",$G38*ADRYr3!$Q38*ADRYr3!$U38*(IF(ADRYr3!$AI38=Lookups!$E$116,ADRYr3!$AJ38,IF(ADRYr3!$AK38=Lookups!$E$116,ADRYr3!$AL38,IF(ADRYr3!$AM38=Lookups!$E$116,ADRYr3!$AN38,0)))))</f>
        <v/>
      </c>
      <c r="AJ38" s="45" t="str">
        <f t="shared" si="58"/>
        <v/>
      </c>
      <c r="AK38" s="45">
        <f>IF($G38="",0,AI38*ADRYr3!$P38)</f>
        <v>0</v>
      </c>
      <c r="AL38" s="45" t="str">
        <f t="shared" si="59"/>
        <v/>
      </c>
      <c r="AM38" s="45" t="str">
        <f>IF($G38="","",$G38*ADRYr3!$Q38*ADRYr3!$U38*(IF(ADRYr3!$AI38=Lookups!$E$115,ADRYr3!$AJ38,IF(ADRYr3!$AK38=Lookups!$E$115,ADRYr3!$AL38,IF(ADRYr3!$AM38=Lookups!$E$115,ADRYr3!$AN38,0)))))</f>
        <v/>
      </c>
      <c r="AN38" s="45" t="str">
        <f t="shared" si="60"/>
        <v/>
      </c>
      <c r="AO38" s="45">
        <f>IF($G38="",0,AM38*ADRYr3!$P38)</f>
        <v>0</v>
      </c>
      <c r="AP38" s="45" t="str">
        <f t="shared" si="61"/>
        <v/>
      </c>
      <c r="AQ38" s="45" t="str">
        <f>IF($G38="","",$G38*ADRYr3!$Q38*ADRYr3!$U38*(IF(ADRYr3!$AI38=Lookups!$E$117,ADRYr3!$AJ38,IF(ADRYr3!$AK38=Lookups!$E$117,ADRYr3!$AL38,IF(ADRYr3!$AM38=Lookups!$E$117,ADRYr3!$AN38,0)))))</f>
        <v/>
      </c>
      <c r="AR38" s="45" t="str">
        <f t="shared" si="62"/>
        <v/>
      </c>
      <c r="AS38" s="45" t="str">
        <f>IF($G38="","",AQ38*ADRYr3!$P38)</f>
        <v/>
      </c>
      <c r="AT38" s="45" t="str">
        <f t="shared" si="63"/>
        <v/>
      </c>
      <c r="AU38" s="45" t="str">
        <f>IF($G38="","",$G38*ADRYr3!$Q38*ADRYr3!$U38*(IF(ADRYr3!$AI38=Lookups!$E$118,ADRYr3!$AJ38,IF(ADRYr3!$AK38=Lookups!$E$118,ADRYr3!$AL38,IF(ADRYr3!$AM38=Lookups!$E$118,ADRYr3!$AN38,0)))))</f>
        <v/>
      </c>
      <c r="AV38" s="45" t="str">
        <f t="shared" si="64"/>
        <v/>
      </c>
      <c r="AW38" s="45" t="str">
        <f>IF($G38="","",AU38*ADRYr3!$P38)</f>
        <v/>
      </c>
      <c r="AX38" s="45" t="str">
        <f t="shared" si="65"/>
        <v/>
      </c>
      <c r="AY38" s="45">
        <f t="shared" si="66"/>
        <v>0</v>
      </c>
      <c r="AZ38" s="45">
        <f t="shared" si="67"/>
        <v>0</v>
      </c>
      <c r="BA38" s="101" t="str">
        <f>IF($G38="","",$G38*ADRYr3!$P38*ADRYr3!$Q38*ADRYr3!$U38*ADRYr3!AO38)</f>
        <v/>
      </c>
      <c r="BB38" s="102" t="str">
        <f>IF($G38="","",$G38*ADRYr3!$P38*ADRYr3!$Q38*ADRYr3!$U38*ADRYr3!AP38)</f>
        <v/>
      </c>
      <c r="BC38" s="100" t="str">
        <f t="shared" si="68"/>
        <v/>
      </c>
      <c r="BD38" s="961"/>
      <c r="BE38" s="961"/>
      <c r="BF38" s="961"/>
      <c r="BG38" s="961"/>
      <c r="BH38" s="962" t="str">
        <f t="shared" si="3"/>
        <v/>
      </c>
      <c r="BI38" s="961"/>
      <c r="BJ38" s="961"/>
      <c r="BK38" s="961"/>
      <c r="BL38" s="961"/>
      <c r="BM38" s="30" t="str">
        <f t="shared" si="4"/>
        <v/>
      </c>
      <c r="BN38" s="963" t="str">
        <f t="shared" si="31"/>
        <v/>
      </c>
      <c r="BO38" s="31" t="str">
        <f t="shared" si="69"/>
        <v/>
      </c>
      <c r="BP38" s="964" t="str">
        <f t="shared" si="5"/>
        <v/>
      </c>
      <c r="BQ38" s="28" t="str">
        <f t="shared" si="6"/>
        <v/>
      </c>
      <c r="BR38" s="964" t="str">
        <f t="shared" si="7"/>
        <v/>
      </c>
      <c r="BS38" s="964" t="str">
        <f t="shared" si="8"/>
        <v/>
      </c>
      <c r="BT38" s="28" t="str">
        <f t="shared" si="82"/>
        <v/>
      </c>
      <c r="BU38" s="28" t="str">
        <f t="shared" si="82"/>
        <v/>
      </c>
      <c r="BV38" s="28" t="str">
        <f t="shared" si="82"/>
        <v/>
      </c>
      <c r="BW38" s="29" t="str">
        <f t="shared" si="70"/>
        <v/>
      </c>
      <c r="BX38" s="29" t="str">
        <f t="shared" si="71"/>
        <v/>
      </c>
      <c r="BY38" s="28" t="str">
        <f>IF($G38="","",$G38*(IF(ADRYr3!$AI38=BY$4,ADRYr3!$AJ38,IF(ADRYr3!$AK38=BY$4,ADRYr3!$AL38,IF(ADRYr3!$AM38=BY$4,ADRYr3!$AN38,0))))*(INDEX(avoidedcosttbl3,$H38,BY$2)+(($H38-ROUNDDOWN($H38,0))*(INDEX(avoidedcosttbl3,ROUNDUP($H38,0),BY$2)-(INDEX(avoidedcosttbl3,ROUNDDOWN($H38,0),BY$2)))))*ADRYr3!P38*ADRYr3!Q38*ADRYr3!U38)</f>
        <v/>
      </c>
      <c r="BZ38" s="28" t="str">
        <f>IF($G38="","",$G38*(IF(ADRYr3!$AI38=BZ$4,ADRYr3!$AJ38,IF(ADRYr3!$AK38=BZ$4,ADRYr3!$AL38,IF(ADRYr3!$AM38=BZ$4,ADRYr3!$AN38,0))))*(INDEX(avoidedcosttbl3,$H38,BZ$2)+(($H38-ROUNDDOWN($H38,0))*(INDEX(avoidedcosttbl3,ROUNDUP($H38,0),BZ$2)-(INDEX(avoidedcosttbl3,ROUNDDOWN($H38,0),BZ$2)))))*ADRYr3!P38*ADRYr3!Q38*ADRYr3!U38)</f>
        <v/>
      </c>
      <c r="CA38" s="28" t="str">
        <f>IF($G38="","",$G38*(IF(ADRYr3!$AI38=CA$4,ADRYr3!$AJ38,IF(ADRYr3!$AK38=CA$4,ADRYr3!$AL38,IF(ADRYr3!$AM38=CA$4,ADRYr3!$AN38,0))))*(INDEX(avoidedcosttbl3,$H38,CA$2)+(($H38-ROUNDDOWN($H38,0))*(INDEX(avoidedcosttbl3,ROUNDUP($H38,0),CA$2)-(INDEX(avoidedcosttbl3,ROUNDDOWN($H38,0),CA$2)))))*ADRYr3!P38*ADRYr3!Q38*ADRYr3!U38)</f>
        <v/>
      </c>
      <c r="CB38" s="28" t="str">
        <f>IF($G38="","",$G38*(IF(ADRYr3!$AI38=CB$4,ADRYr3!$AJ38,IF(ADRYr3!$AK38=CB$4,ADRYr3!$AL38,IF(ADRYr3!$AM38=CB$4,ADRYr3!$AN38,0))))*(INDEX(avoidedcosttbl3,$H38,CB$2)+(($H38-ROUNDDOWN($H38,0))*(INDEX(avoidedcosttbl3,ROUNDUP($H38,0),CB$2)-(INDEX(avoidedcosttbl3,ROUNDDOWN($H38,0),CB$2)))))*ADRYr3!P38*ADRYr3!Q38*ADRYr3!U38)</f>
        <v/>
      </c>
      <c r="CC38" s="28" t="str">
        <f>IF($G38="","",$G38*(IF(ADRYr3!$AI38=CC$4,ADRYr3!$AJ38,IF(ADRYr3!$AK38=CC$4,ADRYr3!$AL38,IF(ADRYr3!$AM38=CC$4,ADRYr3!$AN38,0))))*(INDEX(avoidedcosttbl3,$H38,CC$2)+(($H38-ROUNDDOWN($H38,0))*(INDEX(avoidedcosttbl3,ROUNDUP($H38,0),CC$2)-(INDEX(avoidedcosttbl3,ROUNDDOWN($H38,0),CC$2)))))*ADRYr3!P38*ADRYr3!Q38*ADRYr3!U38)</f>
        <v/>
      </c>
      <c r="CD38" s="28" t="str">
        <f>IF($G38="","",$G38*(IF(ADRYr3!$AI38=CD$4,ADRYr3!$AJ38,IF(ADRYr3!$AK38=CD$4,ADRYr3!$AL38,IF(ADRYr3!$AM38=CD$4,ADRYr3!$AN38,0))))*(INDEX(avoidedcosttbl3,$H38,CD$2)+(($H38-ROUNDDOWN($H38,0))*(INDEX(avoidedcosttbl3,ROUNDUP($H38,0),CD$2)-(INDEX(avoidedcosttbl3,ROUNDDOWN($H38,0),CD$2)))))*ADRYr3!P38*ADRYr3!Q38*ADRYr3!U38)</f>
        <v/>
      </c>
      <c r="CE38" s="28" t="str">
        <f>IF($G38="","",$G38*(IF(ADRYr3!$AI38=CE$4,ADRYr3!$AJ38,IF(ADRYr3!$AK38=CE$4,ADRYr3!$AL38,IF(ADRYr3!$AM38=CE$4,ADRYr3!$AN38,0))))*(INDEX(avoidedcosttbl3,$H38,CE$2)+(($H38-ROUNDDOWN($H38,0))*(INDEX(avoidedcosttbl3,ROUNDUP($H38,0),CE$2)-(INDEX(avoidedcosttbl3,ROUNDDOWN($H38,0),CE$2)))))*ADRYr3!P38*ADRYr3!Q38*ADRYr3!U38)</f>
        <v/>
      </c>
      <c r="CF38" s="41" t="str">
        <f t="shared" si="72"/>
        <v/>
      </c>
      <c r="CG38" s="30" t="str">
        <f t="shared" si="10"/>
        <v/>
      </c>
      <c r="CH38" s="30" t="str">
        <f>IF($G38="","",$G38*(IF(ADRYr3!$AI38=BY$4,ADRYr3!$AJ38,IF(ADRYr3!$AK38=BY$4,ADRYr3!$AL38,IF(ADRYr3!$AM38=BY$4,ADRYr3!$AN38,0))))*(INDEX(avoidedcosttbl3,$H38,CH$2)+(($H38-ROUNDDOWN($H38,0))*(INDEX(avoidedcosttbl3,ROUNDUP($H38,0),CH$2)-(INDEX(avoidedcosttbl3,ROUNDDOWN($H38,0),CH$2)))))*ADRYr3!P38*ADRYr3!Q38*ADRYr3!U38)</f>
        <v/>
      </c>
      <c r="CI38" s="30" t="str">
        <f>IF($G38="","",$G38*(IF(ADRYr3!$AI38=BZ$4,ADRYr3!$AJ38,IF(ADRYr3!$AK38=BZ$4,ADRYr3!$AL38,IF(ADRYr3!$AM38=BZ$4,ADRYr3!$AN38,0))))*(INDEX(avoidedcosttbl3,$H38,CI$2)+(($H38-ROUNDDOWN($H38,0))*(INDEX(avoidedcosttbl3,ROUNDUP($H38,0),CI$2)-(INDEX(avoidedcosttbl3,ROUNDDOWN($H38,0),CI$2)))))*ADRYr3!P38*ADRYr3!Q38*ADRYr3!U38)</f>
        <v/>
      </c>
      <c r="CJ38" s="30" t="str">
        <f>IF($G38="","",$G38*(IF(ADRYr3!$AI38=CA$4,ADRYr3!$AJ38,IF(ADRYr3!$AK38=CA$4,ADRYr3!$AL38,IF(ADRYr3!$AM38=CA$4,ADRYr3!$AN38,0))))*(INDEX(avoidedcosttbl3,$H38,CJ$2)+(($H38-ROUNDDOWN($H38,0))*(INDEX(avoidedcosttbl3,ROUNDUP($H38,0),CJ$2)-(INDEX(avoidedcosttbl3,ROUNDDOWN($H38,0),CJ$2)))))*ADRYr3!P38*ADRYr3!Q38*ADRYr3!U38)</f>
        <v/>
      </c>
      <c r="CK38" s="30" t="str">
        <f>IF($G38="","",$G38*(IF(ADRYr3!$AI38=CB$4,ADRYr3!$AJ38,IF(ADRYr3!$AK38=CB$4,ADRYr3!$AL38,IF(ADRYr3!$AM38=CB$4,ADRYr3!$AN38,0))))*(INDEX(avoidedcosttbl3,$H38,CK$2)+(($H38-ROUNDDOWN($H38,0))*(INDEX(avoidedcosttbl3,ROUNDUP($H38,0),CK$2)-(INDEX(avoidedcosttbl3,ROUNDDOWN($H38,0),CK$2)))))*ADRYr3!P38*ADRYr3!Q38*ADRYr3!U38)</f>
        <v/>
      </c>
      <c r="CL38" s="30" t="str">
        <f>IF($G38="","",$G38*(IF(ADRYr3!$AI38=CC$4,ADRYr3!$AJ38,IF(ADRYr3!$AK38=CC$4,ADRYr3!$AL38,IF(ADRYr3!$AM38=CC$4,ADRYr3!$AN38,0))))*(INDEX(avoidedcosttbl3,$H38,CL$2)+(($H38-ROUNDDOWN($H38,0))*(INDEX(avoidedcosttbl3,ROUNDUP($H38,0),CL$2)-(INDEX(avoidedcosttbl3,ROUNDDOWN($H38,0),CL$2)))))*ADRYr3!P38*ADRYr3!Q38*ADRYr3!U38)</f>
        <v/>
      </c>
      <c r="CM38" s="30" t="str">
        <f>IF($G38="","",$G38*(IF(ADRYr3!$AI38=CD$4,ADRYr3!$AJ38,IF(ADRYr3!$AK38=CD$4,ADRYr3!$AL38,IF(ADRYr3!$AM38=CD$4,ADRYr3!$AN38,0))))*(INDEX(avoidedcosttbl3,$H38,CM$2)+(($H38-ROUNDDOWN($H38,0))*(INDEX(avoidedcosttbl3,ROUNDUP($H38,0),CM$2)-(INDEX(avoidedcosttbl3,ROUNDDOWN($H38,0),CM$2)))))*ADRYr3!P38*ADRYr3!Q38*ADRYr3!U38)</f>
        <v/>
      </c>
      <c r="CN38" s="30" t="str">
        <f>IF($G38="","",$G38*(IF(ADRYr3!$AI38=CE$4,ADRYr3!$AJ38,IF(ADRYr3!$AK38=CE$4,ADRYr3!$AL38,IF(ADRYr3!$AM38=CE$4,ADRYr3!$AN38,0))))*(INDEX(avoidedcosttbl3,$H38,CN$2)+(($H38-ROUNDDOWN($H38,0))*(INDEX(avoidedcosttbl3,ROUNDUP($H38,0),CN$2)-(INDEX(avoidedcosttbl3,ROUNDDOWN($H38,0),CN$2)))))*ADRYr3!P38*ADRYr3!Q38*ADRYr3!U38)</f>
        <v/>
      </c>
      <c r="CO38" s="220" t="str">
        <f t="shared" si="73"/>
        <v/>
      </c>
      <c r="CP38" s="220" t="str">
        <f t="shared" si="74"/>
        <v/>
      </c>
      <c r="CQ38" s="157" t="str">
        <f>IF($G38="","",$G38*(IF(ADRYr3!$AI38=CQ$4,ADRYr3!$AJ38,IF(ADRYr3!$AK38=CQ$4,ADRYr3!$AL38,IF(ADRYr3!$AM38=CQ$4,ADRYr3!$AN38,0))))*(INDEX(avoidedcosttbl3,$H38,CQ$2)+(($H38-ROUNDDOWN($H38,0))*(INDEX(avoidedcosttbl3,ROUNDUP($H38,0),CQ$2)-(INDEX(avoidedcosttbl3,ROUNDDOWN($H38,0),CQ$2)))))*ADRYr3!$P38*ADRYr3!$Q38*ADRYr3!$U38)</f>
        <v/>
      </c>
      <c r="CR38" s="28" t="str">
        <f>IF($G38="","",G38*(IF(ADRYr3!$AI38=CR$4,ADRYr3!$AJ38,IF(ADRYr3!$AK38=CR$4,ADRYr3!$AL38,IF(ADRYr3!$AM38=CR$4,ADRYr3!$AN38,0))))*(INDEX(avoidedcosttbl3,$H38,CR$2)+(($H38-ROUNDDOWN($H38,0))*(INDEX(avoidedcosttbl3,ROUNDUP($H38,0),CR$2)-(INDEX(avoidedcosttbl3,ROUNDDOWN($H38,0),CR$2)))))*ADRYr3!$P38*ADRYr3!$Q38*ADRYr3!$U38)</f>
        <v/>
      </c>
      <c r="CS38" s="28" t="str">
        <f>IF($G38="","",G38*(IF(ADRYr3!$AI38=CS$4,ADRYr3!$AJ38,IF(ADRYr3!$AK38=CS$4,ADRYr3!$AL38,IF(ADRYr3!$AM38=CS$4,ADRYr3!$AN38,0))))*(INDEX(avoidedcosttbl3,$H38,CS$2)+(($H38-ROUNDDOWN($H38,0))*(INDEX(avoidedcosttbl3,ROUNDUP($H38,0),CS$2)-(INDEX(avoidedcosttbl3,ROUNDDOWN($H38,0),CS$2)))))*ADRYr3!$P38*ADRYr3!$Q38*ADRYr3!$U38)</f>
        <v/>
      </c>
      <c r="CT38" s="28" t="str">
        <f t="shared" si="11"/>
        <v/>
      </c>
      <c r="CU38" s="28" t="str">
        <f>IF($G38="","",G38*(IF(ADRYr3!$AI38=CU$4,ADRYr3!$AJ38,IF(ADRYr3!$AK38=CU$4,ADRYr3!$AL38,IF(ADRYr3!$AM38=CU$4,ADRYr3!$AN38,0))))*(INDEX(avoidedcosttbl3,$H38,CU$2)+(($H38-ROUNDDOWN($H38,0))*(INDEX(avoidedcosttbl3,ROUNDUP($H38,0),CU$2)-(INDEX(avoidedcosttbl3,ROUNDDOWN($H38,0),CU$2)))))*ADRYr3!$P38*ADRYr3!$Q38*ADRYr3!$U38)</f>
        <v/>
      </c>
      <c r="CV38" s="28" t="str">
        <f>IF($G38="","",G38*(IF(ADRYr3!$AI38=CV$4,ADRYr3!$AJ38,IF(ADRYr3!$AK38=CV$4,ADRYr3!$AL38,IF(ADRYr3!$AM38=CV$4,ADRYr3!$AN38,0))))*(INDEX(avoidedcosttbl3,$H38,CV$2)+(($H38-ROUNDDOWN($H38,0))*(INDEX(avoidedcosttbl3,ROUNDUP($H38,0),CV$2)-(INDEX(avoidedcosttbl3,ROUNDDOWN($H38,0),CV$2)))))*ADRYr3!$P38*ADRYr3!$Q38*ADRYr3!$U38)</f>
        <v/>
      </c>
      <c r="CW38" s="28" t="str">
        <f>IF($G38="","",G38*(IF(ADRYr3!$AI38=CW$4,ADRYr3!$AJ38,IF(ADRYr3!$AK38=CW$4,ADRYr3!$AL38,IF(ADRYr3!$AM38=CW$4,ADRYr3!$AN38,0))))*(INDEX(avoidedcosttbl3,$H38,CW$2)+(($H38-ROUNDDOWN($H38,0))*(INDEX(avoidedcosttbl3,ROUNDUP($H38,0),CW$2)-(INDEX(avoidedcosttbl3,ROUNDDOWN($H38,0),CW$2)))))*ADRYr3!$P38*ADRYr3!$Q38*ADRYr3!$U38)</f>
        <v/>
      </c>
      <c r="CX38" s="28" t="str">
        <f>IF($G38="","",G38*(IF(ADRYr3!$AI38=CX$4,ADRYr3!$AJ38,IF(ADRYr3!$AK38=CX$4,ADRYr3!$AL38,IF(ADRYr3!$AM38=CX$4,ADRYr3!$AN38,0))))*(INDEX(avoidedcosttbl3,$H38,CX$2)+(($H38-ROUNDDOWN($H38,0))*(INDEX(avoidedcosttbl3,ROUNDUP($H38,0),CX$2)-(INDEX(avoidedcosttbl3,ROUNDDOWN($H38,0),CX$2)))))*ADRYr3!$P38*ADRYr3!$Q38*ADRYr3!$U38)</f>
        <v/>
      </c>
      <c r="CY38" s="28" t="str">
        <f t="shared" si="75"/>
        <v/>
      </c>
      <c r="CZ38" s="32" t="str">
        <f t="shared" si="76"/>
        <v/>
      </c>
      <c r="DA38" s="84" t="str">
        <f t="shared" si="77"/>
        <v/>
      </c>
      <c r="DB38" s="81" t="str">
        <f>IF(NEIadder="Yes",IF($G38="","",INDEX(Lookups!$G$70:$G$71,MATCH($A38,Lookups!$E$70:$E$71,0))*(SUM(CP38:CX38,BX38))),"")</f>
        <v/>
      </c>
      <c r="DC38" s="263" t="str">
        <f t="shared" si="78"/>
        <v/>
      </c>
      <c r="DD38" s="166" t="str">
        <f t="shared" si="79"/>
        <v/>
      </c>
      <c r="DE38" s="82">
        <f t="shared" si="80"/>
        <v>0</v>
      </c>
      <c r="DF38" s="615" t="str">
        <f>IF($G38="","",(1+WntPeakEnergyLL)*(INDEX(avoidedcosttbl3,$H38,DF$2)+(($H38-ROUNDDOWN($H38,0))*(INDEX(avoidedcosttbl3,ROUNDUP($H38,0),DF$2)-(INDEX(avoidedcosttbl3,ROUNDDOWN($H38,0),DF$2)))))*$P38*1000*ADRYr3!Z38)</f>
        <v/>
      </c>
      <c r="DG38" s="615" t="str">
        <f>IF($G38="","",(1+WntOffPeakEnergyLL)*(INDEX(avoidedcosttbl3,$H38,DG$2)+(($H38-ROUNDDOWN($H38,0))*(INDEX(avoidedcosttbl3,ROUNDUP($H38,0),DG$2)-(INDEX(avoidedcosttbl3,ROUNDDOWN($H38,0),DG$2)))))*$P38*1000*ADRYr3!AA38)</f>
        <v/>
      </c>
      <c r="DH38" s="615" t="str">
        <f>IF($G38="","",(1+SumPeakEnergyLL)*(INDEX(avoidedcosttbl3,$H38,DH$2)+(($H38-ROUNDDOWN($H38,0))*(INDEX(avoidedcosttbl3,ROUNDUP($H38,0),DH$2)-(INDEX(avoidedcosttbl3,ROUNDDOWN($H38,0),DH$2)))))*$P38*1000*ADRYr3!AB38)</f>
        <v/>
      </c>
      <c r="DI38" s="615" t="str">
        <f>IF($G38="","",(1+SumOffPeakEnergyLL)*(INDEX(avoidedcosttbl3,$H38,DI$2)+(($H38-ROUNDDOWN($H38,0))*(INDEX(avoidedcosttbl3,ROUNDUP($H38,0),DI$2)-(INDEX(avoidedcosttbl3,ROUNDDOWN($H38,0),DI$2)))))*$P38*1000*ADRYr3!AC38)</f>
        <v/>
      </c>
      <c r="DJ38" s="29" t="str">
        <f t="shared" si="81"/>
        <v/>
      </c>
      <c r="DK38" s="161" t="str">
        <f t="shared" si="45"/>
        <v/>
      </c>
      <c r="DL38" s="1189" t="str">
        <f t="shared" si="46"/>
        <v/>
      </c>
      <c r="DM38" s="1189" t="str">
        <f t="shared" si="47"/>
        <v/>
      </c>
      <c r="DN38" s="43" t="str">
        <f t="shared" si="48"/>
        <v/>
      </c>
      <c r="DO38" s="966" t="str">
        <f>IF($G38="","",ADRYr3!AQ38)</f>
        <v/>
      </c>
      <c r="DP38" s="968" t="str">
        <f>IF($G38="","",ADRYr3!AR38)</f>
        <v/>
      </c>
      <c r="DQ38" s="970" t="str">
        <f>IF($G38="","",IF($DP38="Yes",COLUMN(AESC!$L$10),IF($DP38="No","Using AvoidedDemand tab",IF($DP38="Mixed",COLUMN(AESC!$N$10)))))</f>
        <v/>
      </c>
      <c r="DR38" s="970" t="str">
        <f>IF($G38="","",IF($DP38="Yes",COLUMN(AESC!$P$10),IF($DP38="No","Using AvoidedDemand tab",IF($DP38="Mixed",COLUMN(AESC!$R$10)))))</f>
        <v/>
      </c>
      <c r="DS38" s="970" t="str">
        <f>IF($G38="","",IF($DP38="Yes",COLUMN(AESC!$S$10),IF($DP38="No",COLUMN(AESC!$T$10),IF($DP38="Mixed",COLUMN(AESC!$U$10)))))</f>
        <v/>
      </c>
      <c r="DT38" s="970" t="str">
        <f t="shared" si="49"/>
        <v/>
      </c>
      <c r="DU38" s="970" t="str">
        <f>IF($G38="","",ADRYr3!AS38)</f>
        <v/>
      </c>
      <c r="DV38" s="971" t="str">
        <f>IF($G38="","",ADRYr3!AT38)</f>
        <v/>
      </c>
      <c r="DW38" s="1162" t="str">
        <f>IF($G38="","",INDEX(AvoidedEnergy!$H$4:$H$10,MATCH($DO38,AvoidedEnergy!$A$4:$A$10,0)))</f>
        <v/>
      </c>
    </row>
    <row r="39" spans="1:127">
      <c r="A39" s="160" t="str">
        <f>IF(ADRYr3!$B39=0,"",ADRYr3!A39)</f>
        <v>C - Commercial &amp; Industrial</v>
      </c>
      <c r="B39" s="9" t="str">
        <f>IF(ADRYr3!$B39=0,"",ADRYr3!B39)</f>
        <v>C5 - C&amp;I Active Demand Response</v>
      </c>
      <c r="C39" s="9" t="str">
        <f>IF(ADRYr3!$B39=0,"",ADRYr3!C39)</f>
        <v>C5a - C&amp;I Active Demand Response</v>
      </c>
      <c r="D39" s="9" t="str">
        <f>IF(ADRYr3!$B39=0,"",ADRYr3!D39)</f>
        <v>Storage Targeted Dispatch P4P (savings) Winter</v>
      </c>
      <c r="E39" s="9">
        <f>IF(ADRYr3!$B39=0,"",ADRYr3!E39)</f>
        <v>0</v>
      </c>
      <c r="F39" s="11" t="str">
        <f>IF(ADRYr3!$B39=0,"",ADRYr3!F39)</f>
        <v>Behavior</v>
      </c>
      <c r="G39" s="12" t="str">
        <f>IF(ADRYr3!$G39&lt;&gt;0,ADRYr3!G39,"")</f>
        <v/>
      </c>
      <c r="H39" s="960" t="str">
        <f>IF($G39="","",ROUND(ADRYr3!H39,0))</f>
        <v/>
      </c>
      <c r="I39" s="47" t="str">
        <f>IF($G39="","",ADRYr3!I39*ADRYr3!P39*G39)</f>
        <v/>
      </c>
      <c r="J39" s="47" t="str">
        <f>IF($G39="","",ADRYr3!J39*G39)</f>
        <v/>
      </c>
      <c r="K39" s="47" t="str">
        <f t="shared" si="50"/>
        <v/>
      </c>
      <c r="L39" s="27" t="str">
        <f>IF($G39="","",ADRYr3!V39*G39/1000)</f>
        <v/>
      </c>
      <c r="M39" s="27" t="str">
        <f>IF($G39="","",L39*ADRYr3!$Q39*ADRYr3!$R39)</f>
        <v/>
      </c>
      <c r="N39" s="27" t="str">
        <f t="shared" si="51"/>
        <v/>
      </c>
      <c r="O39" s="27" t="str">
        <f t="shared" si="52"/>
        <v/>
      </c>
      <c r="P39" s="27" t="str">
        <f>IF($G39="","",M39*ADRYr3!P39)</f>
        <v/>
      </c>
      <c r="Q39" s="27" t="str">
        <f t="shared" si="53"/>
        <v/>
      </c>
      <c r="R39" s="27" t="str">
        <f>IF($G39="","",$Q39*ADRYr3!Z39)</f>
        <v/>
      </c>
      <c r="S39" s="27" t="str">
        <f>IF($G39="","",$Q39*ADRYr3!AA39)</f>
        <v/>
      </c>
      <c r="T39" s="27" t="str">
        <f>IF($G39="","",$Q39*ADRYr3!AB39)</f>
        <v/>
      </c>
      <c r="U39" s="27" t="str">
        <f>IF($G39="","",$Q39*ADRYr3!AC39)</f>
        <v/>
      </c>
      <c r="V39" s="27" t="str">
        <f>IF($G39="","",G39*ADRYr3!$AD39*ADRYr3!$P39*ADRYr3!$Q39)</f>
        <v/>
      </c>
      <c r="W39" s="27" t="str">
        <f>IF($G39="","",$G39*ADRYr3!$AD39*ADRYr3!$AF39*ADRYr3!Q39*ADRYr3!$S39)</f>
        <v/>
      </c>
      <c r="X39" s="27" t="str">
        <f>IF($G39="","",$G39*ADRYr3!$AD39*ADRYr3!$AF39*ADRYr3!P39*ADRYr3!Q39*ADRYr3!$S39)</f>
        <v/>
      </c>
      <c r="Y39" s="27" t="str">
        <f>IF($G39="","",$G39*ADRYr3!$AD39*ADRYr3!$AE39*ADRYr3!Q39*ADRYr3!$T39)</f>
        <v/>
      </c>
      <c r="Z39" s="27" t="str">
        <f>IF($G39="","",$G39*ADRYr3!$AD39*ADRYr3!$AE39*ADRYr3!P39*ADRYr3!Q39*ADRYr3!$T39)</f>
        <v/>
      </c>
      <c r="AA39" s="45" t="str">
        <f>IF($G39="","",$G39*ADRYr3!$Q39*ADRYr3!$U39*(IF(IFERROR(SEARCH("NG", ADRYr3!$AI39),0),ADRYr3!$AJ39,0)+IF(IFERROR(SEARCH("NG", ADRYr3!$AK39),0),ADRYr3!$AL39,0)+IF(IFERROR(SEARCH("NG", ADRYr3!$AM39),0),ADRYr3!$AN39,0)))</f>
        <v/>
      </c>
      <c r="AB39" s="45" t="str">
        <f t="shared" si="54"/>
        <v/>
      </c>
      <c r="AC39" s="45">
        <f>IF($G39="",0,AA39*ADRYr3!$P39)</f>
        <v>0</v>
      </c>
      <c r="AD39" s="45" t="str">
        <f t="shared" si="55"/>
        <v/>
      </c>
      <c r="AE39" s="45" t="str">
        <f>IF($G39="","",$G39*ADRYr3!$Q39*ADRYr3!$U39*(IF(IFERROR(SEARCH("Oil", ADRYr3!$AI39), 0),ADRYr3!$AJ39,0)+IF(IFERROR(SEARCH("Oil", ADRYr3!$AK39), 0),ADRYr3!$AL39,0)+IF(IFERROR(SEARCH("Oil", ADRYr3!$AM39), 0),ADRYr3!$AN39,0)))</f>
        <v/>
      </c>
      <c r="AF39" s="45" t="str">
        <f t="shared" si="56"/>
        <v/>
      </c>
      <c r="AG39" s="45">
        <f>IF($G39="",0,AE39*ADRYr3!$P39)</f>
        <v>0</v>
      </c>
      <c r="AH39" s="45" t="str">
        <f t="shared" si="57"/>
        <v/>
      </c>
      <c r="AI39" s="45" t="str">
        <f>IF($G39="","",$G39*ADRYr3!$Q39*ADRYr3!$U39*(IF(ADRYr3!$AI39=Lookups!$E$116,ADRYr3!$AJ39,IF(ADRYr3!$AK39=Lookups!$E$116,ADRYr3!$AL39,IF(ADRYr3!$AM39=Lookups!$E$116,ADRYr3!$AN39,0)))))</f>
        <v/>
      </c>
      <c r="AJ39" s="45" t="str">
        <f t="shared" si="58"/>
        <v/>
      </c>
      <c r="AK39" s="45">
        <f>IF($G39="",0,AI39*ADRYr3!$P39)</f>
        <v>0</v>
      </c>
      <c r="AL39" s="45" t="str">
        <f t="shared" si="59"/>
        <v/>
      </c>
      <c r="AM39" s="45" t="str">
        <f>IF($G39="","",$G39*ADRYr3!$Q39*ADRYr3!$U39*(IF(ADRYr3!$AI39=Lookups!$E$115,ADRYr3!$AJ39,IF(ADRYr3!$AK39=Lookups!$E$115,ADRYr3!$AL39,IF(ADRYr3!$AM39=Lookups!$E$115,ADRYr3!$AN39,0)))))</f>
        <v/>
      </c>
      <c r="AN39" s="45" t="str">
        <f t="shared" si="60"/>
        <v/>
      </c>
      <c r="AO39" s="45">
        <f>IF($G39="",0,AM39*ADRYr3!$P39)</f>
        <v>0</v>
      </c>
      <c r="AP39" s="45" t="str">
        <f t="shared" si="61"/>
        <v/>
      </c>
      <c r="AQ39" s="45" t="str">
        <f>IF($G39="","",$G39*ADRYr3!$Q39*ADRYr3!$U39*(IF(ADRYr3!$AI39=Lookups!$E$117,ADRYr3!$AJ39,IF(ADRYr3!$AK39=Lookups!$E$117,ADRYr3!$AL39,IF(ADRYr3!$AM39=Lookups!$E$117,ADRYr3!$AN39,0)))))</f>
        <v/>
      </c>
      <c r="AR39" s="45" t="str">
        <f t="shared" si="62"/>
        <v/>
      </c>
      <c r="AS39" s="45" t="str">
        <f>IF($G39="","",AQ39*ADRYr3!$P39)</f>
        <v/>
      </c>
      <c r="AT39" s="45" t="str">
        <f t="shared" si="63"/>
        <v/>
      </c>
      <c r="AU39" s="45" t="str">
        <f>IF($G39="","",$G39*ADRYr3!$Q39*ADRYr3!$U39*(IF(ADRYr3!$AI39=Lookups!$E$118,ADRYr3!$AJ39,IF(ADRYr3!$AK39=Lookups!$E$118,ADRYr3!$AL39,IF(ADRYr3!$AM39=Lookups!$E$118,ADRYr3!$AN39,0)))))</f>
        <v/>
      </c>
      <c r="AV39" s="45" t="str">
        <f t="shared" si="64"/>
        <v/>
      </c>
      <c r="AW39" s="45" t="str">
        <f>IF($G39="","",AU39*ADRYr3!$P39)</f>
        <v/>
      </c>
      <c r="AX39" s="45" t="str">
        <f t="shared" si="65"/>
        <v/>
      </c>
      <c r="AY39" s="45">
        <f t="shared" si="66"/>
        <v>0</v>
      </c>
      <c r="AZ39" s="45">
        <f t="shared" si="67"/>
        <v>0</v>
      </c>
      <c r="BA39" s="101" t="str">
        <f>IF($G39="","",$G39*ADRYr3!$P39*ADRYr3!$Q39*ADRYr3!$U39*ADRYr3!AO39)</f>
        <v/>
      </c>
      <c r="BB39" s="102" t="str">
        <f>IF($G39="","",$G39*ADRYr3!$P39*ADRYr3!$Q39*ADRYr3!$U39*ADRYr3!AP39)</f>
        <v/>
      </c>
      <c r="BC39" s="100" t="str">
        <f t="shared" si="68"/>
        <v/>
      </c>
      <c r="BD39" s="961"/>
      <c r="BE39" s="961"/>
      <c r="BF39" s="961"/>
      <c r="BG39" s="961"/>
      <c r="BH39" s="962" t="str">
        <f t="shared" si="3"/>
        <v/>
      </c>
      <c r="BI39" s="961"/>
      <c r="BJ39" s="961"/>
      <c r="BK39" s="961"/>
      <c r="BL39" s="961"/>
      <c r="BM39" s="30" t="str">
        <f t="shared" si="4"/>
        <v/>
      </c>
      <c r="BN39" s="963" t="str">
        <f t="shared" si="31"/>
        <v/>
      </c>
      <c r="BO39" s="31" t="str">
        <f t="shared" si="69"/>
        <v/>
      </c>
      <c r="BP39" s="964" t="str">
        <f t="shared" si="5"/>
        <v/>
      </c>
      <c r="BQ39" s="28" t="str">
        <f t="shared" si="6"/>
        <v/>
      </c>
      <c r="BR39" s="964" t="str">
        <f t="shared" si="7"/>
        <v/>
      </c>
      <c r="BS39" s="964" t="str">
        <f t="shared" si="8"/>
        <v/>
      </c>
      <c r="BT39" s="28" t="str">
        <f t="shared" si="82"/>
        <v/>
      </c>
      <c r="BU39" s="28" t="str">
        <f t="shared" si="82"/>
        <v/>
      </c>
      <c r="BV39" s="28" t="str">
        <f t="shared" si="82"/>
        <v/>
      </c>
      <c r="BW39" s="29" t="str">
        <f t="shared" si="70"/>
        <v/>
      </c>
      <c r="BX39" s="29" t="str">
        <f t="shared" si="71"/>
        <v/>
      </c>
      <c r="BY39" s="28" t="str">
        <f>IF($G39="","",$G39*(IF(ADRYr3!$AI39=BY$4,ADRYr3!$AJ39,IF(ADRYr3!$AK39=BY$4,ADRYr3!$AL39,IF(ADRYr3!$AM39=BY$4,ADRYr3!$AN39,0))))*(INDEX(avoidedcosttbl3,$H39,BY$2)+(($H39-ROUNDDOWN($H39,0))*(INDEX(avoidedcosttbl3,ROUNDUP($H39,0),BY$2)-(INDEX(avoidedcosttbl3,ROUNDDOWN($H39,0),BY$2)))))*ADRYr3!P39*ADRYr3!Q39*ADRYr3!U39)</f>
        <v/>
      </c>
      <c r="BZ39" s="28" t="str">
        <f>IF($G39="","",$G39*(IF(ADRYr3!$AI39=BZ$4,ADRYr3!$AJ39,IF(ADRYr3!$AK39=BZ$4,ADRYr3!$AL39,IF(ADRYr3!$AM39=BZ$4,ADRYr3!$AN39,0))))*(INDEX(avoidedcosttbl3,$H39,BZ$2)+(($H39-ROUNDDOWN($H39,0))*(INDEX(avoidedcosttbl3,ROUNDUP($H39,0),BZ$2)-(INDEX(avoidedcosttbl3,ROUNDDOWN($H39,0),BZ$2)))))*ADRYr3!P39*ADRYr3!Q39*ADRYr3!U39)</f>
        <v/>
      </c>
      <c r="CA39" s="28" t="str">
        <f>IF($G39="","",$G39*(IF(ADRYr3!$AI39=CA$4,ADRYr3!$AJ39,IF(ADRYr3!$AK39=CA$4,ADRYr3!$AL39,IF(ADRYr3!$AM39=CA$4,ADRYr3!$AN39,0))))*(INDEX(avoidedcosttbl3,$H39,CA$2)+(($H39-ROUNDDOWN($H39,0))*(INDEX(avoidedcosttbl3,ROUNDUP($H39,0),CA$2)-(INDEX(avoidedcosttbl3,ROUNDDOWN($H39,0),CA$2)))))*ADRYr3!P39*ADRYr3!Q39*ADRYr3!U39)</f>
        <v/>
      </c>
      <c r="CB39" s="28" t="str">
        <f>IF($G39="","",$G39*(IF(ADRYr3!$AI39=CB$4,ADRYr3!$AJ39,IF(ADRYr3!$AK39=CB$4,ADRYr3!$AL39,IF(ADRYr3!$AM39=CB$4,ADRYr3!$AN39,0))))*(INDEX(avoidedcosttbl3,$H39,CB$2)+(($H39-ROUNDDOWN($H39,0))*(INDEX(avoidedcosttbl3,ROUNDUP($H39,0),CB$2)-(INDEX(avoidedcosttbl3,ROUNDDOWN($H39,0),CB$2)))))*ADRYr3!P39*ADRYr3!Q39*ADRYr3!U39)</f>
        <v/>
      </c>
      <c r="CC39" s="28" t="str">
        <f>IF($G39="","",$G39*(IF(ADRYr3!$AI39=CC$4,ADRYr3!$AJ39,IF(ADRYr3!$AK39=CC$4,ADRYr3!$AL39,IF(ADRYr3!$AM39=CC$4,ADRYr3!$AN39,0))))*(INDEX(avoidedcosttbl3,$H39,CC$2)+(($H39-ROUNDDOWN($H39,0))*(INDEX(avoidedcosttbl3,ROUNDUP($H39,0),CC$2)-(INDEX(avoidedcosttbl3,ROUNDDOWN($H39,0),CC$2)))))*ADRYr3!P39*ADRYr3!Q39*ADRYr3!U39)</f>
        <v/>
      </c>
      <c r="CD39" s="28" t="str">
        <f>IF($G39="","",$G39*(IF(ADRYr3!$AI39=CD$4,ADRYr3!$AJ39,IF(ADRYr3!$AK39=CD$4,ADRYr3!$AL39,IF(ADRYr3!$AM39=CD$4,ADRYr3!$AN39,0))))*(INDEX(avoidedcosttbl3,$H39,CD$2)+(($H39-ROUNDDOWN($H39,0))*(INDEX(avoidedcosttbl3,ROUNDUP($H39,0),CD$2)-(INDEX(avoidedcosttbl3,ROUNDDOWN($H39,0),CD$2)))))*ADRYr3!P39*ADRYr3!Q39*ADRYr3!U39)</f>
        <v/>
      </c>
      <c r="CE39" s="28" t="str">
        <f>IF($G39="","",$G39*(IF(ADRYr3!$AI39=CE$4,ADRYr3!$AJ39,IF(ADRYr3!$AK39=CE$4,ADRYr3!$AL39,IF(ADRYr3!$AM39=CE$4,ADRYr3!$AN39,0))))*(INDEX(avoidedcosttbl3,$H39,CE$2)+(($H39-ROUNDDOWN($H39,0))*(INDEX(avoidedcosttbl3,ROUNDUP($H39,0),CE$2)-(INDEX(avoidedcosttbl3,ROUNDDOWN($H39,0),CE$2)))))*ADRYr3!P39*ADRYr3!Q39*ADRYr3!U39)</f>
        <v/>
      </c>
      <c r="CF39" s="41" t="str">
        <f t="shared" si="72"/>
        <v/>
      </c>
      <c r="CG39" s="30" t="str">
        <f t="shared" si="10"/>
        <v/>
      </c>
      <c r="CH39" s="30" t="str">
        <f>IF($G39="","",$G39*(IF(ADRYr3!$AI39=BY$4,ADRYr3!$AJ39,IF(ADRYr3!$AK39=BY$4,ADRYr3!$AL39,IF(ADRYr3!$AM39=BY$4,ADRYr3!$AN39,0))))*(INDEX(avoidedcosttbl3,$H39,CH$2)+(($H39-ROUNDDOWN($H39,0))*(INDEX(avoidedcosttbl3,ROUNDUP($H39,0),CH$2)-(INDEX(avoidedcosttbl3,ROUNDDOWN($H39,0),CH$2)))))*ADRYr3!P39*ADRYr3!Q39*ADRYr3!U39)</f>
        <v/>
      </c>
      <c r="CI39" s="30" t="str">
        <f>IF($G39="","",$G39*(IF(ADRYr3!$AI39=BZ$4,ADRYr3!$AJ39,IF(ADRYr3!$AK39=BZ$4,ADRYr3!$AL39,IF(ADRYr3!$AM39=BZ$4,ADRYr3!$AN39,0))))*(INDEX(avoidedcosttbl3,$H39,CI$2)+(($H39-ROUNDDOWN($H39,0))*(INDEX(avoidedcosttbl3,ROUNDUP($H39,0),CI$2)-(INDEX(avoidedcosttbl3,ROUNDDOWN($H39,0),CI$2)))))*ADRYr3!P39*ADRYr3!Q39*ADRYr3!U39)</f>
        <v/>
      </c>
      <c r="CJ39" s="30" t="str">
        <f>IF($G39="","",$G39*(IF(ADRYr3!$AI39=CA$4,ADRYr3!$AJ39,IF(ADRYr3!$AK39=CA$4,ADRYr3!$AL39,IF(ADRYr3!$AM39=CA$4,ADRYr3!$AN39,0))))*(INDEX(avoidedcosttbl3,$H39,CJ$2)+(($H39-ROUNDDOWN($H39,0))*(INDEX(avoidedcosttbl3,ROUNDUP($H39,0),CJ$2)-(INDEX(avoidedcosttbl3,ROUNDDOWN($H39,0),CJ$2)))))*ADRYr3!P39*ADRYr3!Q39*ADRYr3!U39)</f>
        <v/>
      </c>
      <c r="CK39" s="30" t="str">
        <f>IF($G39="","",$G39*(IF(ADRYr3!$AI39=CB$4,ADRYr3!$AJ39,IF(ADRYr3!$AK39=CB$4,ADRYr3!$AL39,IF(ADRYr3!$AM39=CB$4,ADRYr3!$AN39,0))))*(INDEX(avoidedcosttbl3,$H39,CK$2)+(($H39-ROUNDDOWN($H39,0))*(INDEX(avoidedcosttbl3,ROUNDUP($H39,0),CK$2)-(INDEX(avoidedcosttbl3,ROUNDDOWN($H39,0),CK$2)))))*ADRYr3!P39*ADRYr3!Q39*ADRYr3!U39)</f>
        <v/>
      </c>
      <c r="CL39" s="30" t="str">
        <f>IF($G39="","",$G39*(IF(ADRYr3!$AI39=CC$4,ADRYr3!$AJ39,IF(ADRYr3!$AK39=CC$4,ADRYr3!$AL39,IF(ADRYr3!$AM39=CC$4,ADRYr3!$AN39,0))))*(INDEX(avoidedcosttbl3,$H39,CL$2)+(($H39-ROUNDDOWN($H39,0))*(INDEX(avoidedcosttbl3,ROUNDUP($H39,0),CL$2)-(INDEX(avoidedcosttbl3,ROUNDDOWN($H39,0),CL$2)))))*ADRYr3!P39*ADRYr3!Q39*ADRYr3!U39)</f>
        <v/>
      </c>
      <c r="CM39" s="30" t="str">
        <f>IF($G39="","",$G39*(IF(ADRYr3!$AI39=CD$4,ADRYr3!$AJ39,IF(ADRYr3!$AK39=CD$4,ADRYr3!$AL39,IF(ADRYr3!$AM39=CD$4,ADRYr3!$AN39,0))))*(INDEX(avoidedcosttbl3,$H39,CM$2)+(($H39-ROUNDDOWN($H39,0))*(INDEX(avoidedcosttbl3,ROUNDUP($H39,0),CM$2)-(INDEX(avoidedcosttbl3,ROUNDDOWN($H39,0),CM$2)))))*ADRYr3!P39*ADRYr3!Q39*ADRYr3!U39)</f>
        <v/>
      </c>
      <c r="CN39" s="30" t="str">
        <f>IF($G39="","",$G39*(IF(ADRYr3!$AI39=CE$4,ADRYr3!$AJ39,IF(ADRYr3!$AK39=CE$4,ADRYr3!$AL39,IF(ADRYr3!$AM39=CE$4,ADRYr3!$AN39,0))))*(INDEX(avoidedcosttbl3,$H39,CN$2)+(($H39-ROUNDDOWN($H39,0))*(INDEX(avoidedcosttbl3,ROUNDUP($H39,0),CN$2)-(INDEX(avoidedcosttbl3,ROUNDDOWN($H39,0),CN$2)))))*ADRYr3!P39*ADRYr3!Q39*ADRYr3!U39)</f>
        <v/>
      </c>
      <c r="CO39" s="220" t="str">
        <f t="shared" si="73"/>
        <v/>
      </c>
      <c r="CP39" s="220" t="str">
        <f t="shared" si="74"/>
        <v/>
      </c>
      <c r="CQ39" s="157" t="str">
        <f>IF($G39="","",$G39*(IF(ADRYr3!$AI39=CQ$4,ADRYr3!$AJ39,IF(ADRYr3!$AK39=CQ$4,ADRYr3!$AL39,IF(ADRYr3!$AM39=CQ$4,ADRYr3!$AN39,0))))*(INDEX(avoidedcosttbl3,$H39,CQ$2)+(($H39-ROUNDDOWN($H39,0))*(INDEX(avoidedcosttbl3,ROUNDUP($H39,0),CQ$2)-(INDEX(avoidedcosttbl3,ROUNDDOWN($H39,0),CQ$2)))))*ADRYr3!$P39*ADRYr3!$Q39*ADRYr3!$U39)</f>
        <v/>
      </c>
      <c r="CR39" s="28" t="str">
        <f>IF($G39="","",G39*(IF(ADRYr3!$AI39=CR$4,ADRYr3!$AJ39,IF(ADRYr3!$AK39=CR$4,ADRYr3!$AL39,IF(ADRYr3!$AM39=CR$4,ADRYr3!$AN39,0))))*(INDEX(avoidedcosttbl3,$H39,CR$2)+(($H39-ROUNDDOWN($H39,0))*(INDEX(avoidedcosttbl3,ROUNDUP($H39,0),CR$2)-(INDEX(avoidedcosttbl3,ROUNDDOWN($H39,0),CR$2)))))*ADRYr3!$P39*ADRYr3!$Q39*ADRYr3!$U39)</f>
        <v/>
      </c>
      <c r="CS39" s="28" t="str">
        <f>IF($G39="","",G39*(IF(ADRYr3!$AI39=CS$4,ADRYr3!$AJ39,IF(ADRYr3!$AK39=CS$4,ADRYr3!$AL39,IF(ADRYr3!$AM39=CS$4,ADRYr3!$AN39,0))))*(INDEX(avoidedcosttbl3,$H39,CS$2)+(($H39-ROUNDDOWN($H39,0))*(INDEX(avoidedcosttbl3,ROUNDUP($H39,0),CS$2)-(INDEX(avoidedcosttbl3,ROUNDDOWN($H39,0),CS$2)))))*ADRYr3!$P39*ADRYr3!$Q39*ADRYr3!$U39)</f>
        <v/>
      </c>
      <c r="CT39" s="28" t="str">
        <f t="shared" si="11"/>
        <v/>
      </c>
      <c r="CU39" s="28" t="str">
        <f>IF($G39="","",G39*(IF(ADRYr3!$AI39=CU$4,ADRYr3!$AJ39,IF(ADRYr3!$AK39=CU$4,ADRYr3!$AL39,IF(ADRYr3!$AM39=CU$4,ADRYr3!$AN39,0))))*(INDEX(avoidedcosttbl3,$H39,CU$2)+(($H39-ROUNDDOWN($H39,0))*(INDEX(avoidedcosttbl3,ROUNDUP($H39,0),CU$2)-(INDEX(avoidedcosttbl3,ROUNDDOWN($H39,0),CU$2)))))*ADRYr3!$P39*ADRYr3!$Q39*ADRYr3!$U39)</f>
        <v/>
      </c>
      <c r="CV39" s="28" t="str">
        <f>IF($G39="","",G39*(IF(ADRYr3!$AI39=CV$4,ADRYr3!$AJ39,IF(ADRYr3!$AK39=CV$4,ADRYr3!$AL39,IF(ADRYr3!$AM39=CV$4,ADRYr3!$AN39,0))))*(INDEX(avoidedcosttbl3,$H39,CV$2)+(($H39-ROUNDDOWN($H39,0))*(INDEX(avoidedcosttbl3,ROUNDUP($H39,0),CV$2)-(INDEX(avoidedcosttbl3,ROUNDDOWN($H39,0),CV$2)))))*ADRYr3!$P39*ADRYr3!$Q39*ADRYr3!$U39)</f>
        <v/>
      </c>
      <c r="CW39" s="28" t="str">
        <f>IF($G39="","",G39*(IF(ADRYr3!$AI39=CW$4,ADRYr3!$AJ39,IF(ADRYr3!$AK39=CW$4,ADRYr3!$AL39,IF(ADRYr3!$AM39=CW$4,ADRYr3!$AN39,0))))*(INDEX(avoidedcosttbl3,$H39,CW$2)+(($H39-ROUNDDOWN($H39,0))*(INDEX(avoidedcosttbl3,ROUNDUP($H39,0),CW$2)-(INDEX(avoidedcosttbl3,ROUNDDOWN($H39,0),CW$2)))))*ADRYr3!$P39*ADRYr3!$Q39*ADRYr3!$U39)</f>
        <v/>
      </c>
      <c r="CX39" s="28" t="str">
        <f>IF($G39="","",G39*(IF(ADRYr3!$AI39=CX$4,ADRYr3!$AJ39,IF(ADRYr3!$AK39=CX$4,ADRYr3!$AL39,IF(ADRYr3!$AM39=CX$4,ADRYr3!$AN39,0))))*(INDEX(avoidedcosttbl3,$H39,CX$2)+(($H39-ROUNDDOWN($H39,0))*(INDEX(avoidedcosttbl3,ROUNDUP($H39,0),CX$2)-(INDEX(avoidedcosttbl3,ROUNDDOWN($H39,0),CX$2)))))*ADRYr3!$P39*ADRYr3!$Q39*ADRYr3!$U39)</f>
        <v/>
      </c>
      <c r="CY39" s="28" t="str">
        <f t="shared" si="75"/>
        <v/>
      </c>
      <c r="CZ39" s="32" t="str">
        <f t="shared" si="76"/>
        <v/>
      </c>
      <c r="DA39" s="84" t="str">
        <f t="shared" si="77"/>
        <v/>
      </c>
      <c r="DB39" s="81" t="str">
        <f>IF(NEIadder="Yes",IF($G39="","",INDEX(Lookups!$G$70:$G$71,MATCH($A39,Lookups!$E$70:$E$71,0))*(SUM(CP39:CX39,BX39))),"")</f>
        <v/>
      </c>
      <c r="DC39" s="263" t="str">
        <f t="shared" si="78"/>
        <v/>
      </c>
      <c r="DD39" s="166" t="str">
        <f t="shared" si="79"/>
        <v/>
      </c>
      <c r="DE39" s="82">
        <f t="shared" si="80"/>
        <v>0</v>
      </c>
      <c r="DF39" s="615" t="str">
        <f>IF($G39="","",(1+WntPeakEnergyLL)*(INDEX(avoidedcosttbl3,$H39,DF$2)+(($H39-ROUNDDOWN($H39,0))*(INDEX(avoidedcosttbl3,ROUNDUP($H39,0),DF$2)-(INDEX(avoidedcosttbl3,ROUNDDOWN($H39,0),DF$2)))))*$P39*1000*ADRYr3!Z39)</f>
        <v/>
      </c>
      <c r="DG39" s="615" t="str">
        <f>IF($G39="","",(1+WntOffPeakEnergyLL)*(INDEX(avoidedcosttbl3,$H39,DG$2)+(($H39-ROUNDDOWN($H39,0))*(INDEX(avoidedcosttbl3,ROUNDUP($H39,0),DG$2)-(INDEX(avoidedcosttbl3,ROUNDDOWN($H39,0),DG$2)))))*$P39*1000*ADRYr3!AA39)</f>
        <v/>
      </c>
      <c r="DH39" s="615" t="str">
        <f>IF($G39="","",(1+SumPeakEnergyLL)*(INDEX(avoidedcosttbl3,$H39,DH$2)+(($H39-ROUNDDOWN($H39,0))*(INDEX(avoidedcosttbl3,ROUNDUP($H39,0),DH$2)-(INDEX(avoidedcosttbl3,ROUNDDOWN($H39,0),DH$2)))))*$P39*1000*ADRYr3!AB39)</f>
        <v/>
      </c>
      <c r="DI39" s="615" t="str">
        <f>IF($G39="","",(1+SumOffPeakEnergyLL)*(INDEX(avoidedcosttbl3,$H39,DI$2)+(($H39-ROUNDDOWN($H39,0))*(INDEX(avoidedcosttbl3,ROUNDUP($H39,0),DI$2)-(INDEX(avoidedcosttbl3,ROUNDDOWN($H39,0),DI$2)))))*$P39*1000*ADRYr3!AC39)</f>
        <v/>
      </c>
      <c r="DJ39" s="29" t="str">
        <f t="shared" si="81"/>
        <v/>
      </c>
      <c r="DK39" s="161" t="str">
        <f t="shared" si="45"/>
        <v/>
      </c>
      <c r="DL39" s="1189" t="str">
        <f t="shared" si="46"/>
        <v/>
      </c>
      <c r="DM39" s="1189" t="str">
        <f t="shared" si="47"/>
        <v/>
      </c>
      <c r="DN39" s="43" t="str">
        <f t="shared" si="48"/>
        <v/>
      </c>
      <c r="DO39" s="966" t="str">
        <f>IF($G39="","",ADRYr3!AQ39)</f>
        <v/>
      </c>
      <c r="DP39" s="968" t="str">
        <f>IF($G39="","",ADRYr3!AR39)</f>
        <v/>
      </c>
      <c r="DQ39" s="970" t="str">
        <f>IF($G39="","",IF($DP39="Yes",COLUMN(AESC!$L$10),IF($DP39="No","Using AvoidedDemand tab",IF($DP39="Mixed",COLUMN(AESC!$N$10)))))</f>
        <v/>
      </c>
      <c r="DR39" s="970" t="str">
        <f>IF($G39="","",IF($DP39="Yes",COLUMN(AESC!$P$10),IF($DP39="No","Using AvoidedDemand tab",IF($DP39="Mixed",COLUMN(AESC!$R$10)))))</f>
        <v/>
      </c>
      <c r="DS39" s="970" t="str">
        <f>IF($G39="","",IF($DP39="Yes",COLUMN(AESC!$S$10),IF($DP39="No",COLUMN(AESC!$T$10),IF($DP39="Mixed",COLUMN(AESC!$U$10)))))</f>
        <v/>
      </c>
      <c r="DT39" s="970" t="str">
        <f t="shared" si="49"/>
        <v/>
      </c>
      <c r="DU39" s="970" t="str">
        <f>IF($G39="","",ADRYr3!AS39)</f>
        <v/>
      </c>
      <c r="DV39" s="971" t="str">
        <f>IF($G39="","",ADRYr3!AT39)</f>
        <v/>
      </c>
      <c r="DW39" s="1162" t="str">
        <f>IF($G39="","",INDEX(AvoidedEnergy!$H$4:$H$10,MATCH($DO39,AvoidedEnergy!$A$4:$A$10,0)))</f>
        <v/>
      </c>
    </row>
    <row r="40" spans="1:127">
      <c r="A40" s="160" t="str">
        <f>IF(ADRYr3!$B40=0,"",ADRYr3!A40)</f>
        <v>C - Commercial &amp; Industrial</v>
      </c>
      <c r="B40" s="9" t="str">
        <f>IF(ADRYr3!$B40=0,"",ADRYr3!B40)</f>
        <v>C5 - C&amp;I Active Demand Response</v>
      </c>
      <c r="C40" s="9" t="str">
        <f>IF(ADRYr3!$B40=0,"",ADRYr3!C40)</f>
        <v>C5a - C&amp;I Active Demand Response</v>
      </c>
      <c r="D40" s="9" t="str">
        <f>IF(ADRYr3!$B40=0,"",ADRYr3!D40)</f>
        <v>Storage Targeted Dispatch P4P (consumption) Winter</v>
      </c>
      <c r="E40" s="9">
        <f>IF(ADRYr3!$B40=0,"",ADRYr3!E40)</f>
        <v>0</v>
      </c>
      <c r="F40" s="11" t="str">
        <f>IF(ADRYr3!$B40=0,"",ADRYr3!F40)</f>
        <v>Behavior</v>
      </c>
      <c r="G40" s="12" t="str">
        <f>IF(ADRYr3!$G40&lt;&gt;0,ADRYr3!G40,"")</f>
        <v/>
      </c>
      <c r="H40" s="960" t="str">
        <f>IF($G40="","",ROUND(ADRYr3!H40,0))</f>
        <v/>
      </c>
      <c r="I40" s="47" t="str">
        <f>IF($G40="","",ADRYr3!I40*ADRYr3!P40*G40)</f>
        <v/>
      </c>
      <c r="J40" s="47" t="str">
        <f>IF($G40="","",ADRYr3!J40*G40)</f>
        <v/>
      </c>
      <c r="K40" s="47" t="str">
        <f t="shared" si="50"/>
        <v/>
      </c>
      <c r="L40" s="27" t="str">
        <f>IF($G40="","",ADRYr3!V40*G40/1000)</f>
        <v/>
      </c>
      <c r="M40" s="27" t="str">
        <f>IF($G40="","",L40*ADRYr3!$Q40*ADRYr3!$R40)</f>
        <v/>
      </c>
      <c r="N40" s="27" t="str">
        <f t="shared" si="51"/>
        <v/>
      </c>
      <c r="O40" s="27" t="str">
        <f t="shared" si="52"/>
        <v/>
      </c>
      <c r="P40" s="27" t="str">
        <f>IF($G40="","",M40*ADRYr3!P40)</f>
        <v/>
      </c>
      <c r="Q40" s="27" t="str">
        <f t="shared" si="53"/>
        <v/>
      </c>
      <c r="R40" s="27" t="str">
        <f>IF($G40="","",$Q40*ADRYr3!Z40)</f>
        <v/>
      </c>
      <c r="S40" s="27" t="str">
        <f>IF($G40="","",$Q40*ADRYr3!AA40)</f>
        <v/>
      </c>
      <c r="T40" s="27" t="str">
        <f>IF($G40="","",$Q40*ADRYr3!AB40)</f>
        <v/>
      </c>
      <c r="U40" s="27" t="str">
        <f>IF($G40="","",$Q40*ADRYr3!AC40)</f>
        <v/>
      </c>
      <c r="V40" s="27" t="str">
        <f>IF($G40="","",G40*ADRYr3!$AD40*ADRYr3!$P40*ADRYr3!$Q40)</f>
        <v/>
      </c>
      <c r="W40" s="27" t="str">
        <f>IF($G40="","",$G40*ADRYr3!$AD40*ADRYr3!$AF40*ADRYr3!Q40*ADRYr3!$S40)</f>
        <v/>
      </c>
      <c r="X40" s="27" t="str">
        <f>IF($G40="","",$G40*ADRYr3!$AD40*ADRYr3!$AF40*ADRYr3!P40*ADRYr3!Q40*ADRYr3!$S40)</f>
        <v/>
      </c>
      <c r="Y40" s="27" t="str">
        <f>IF($G40="","",$G40*ADRYr3!$AD40*ADRYr3!$AE40*ADRYr3!Q40*ADRYr3!$T40)</f>
        <v/>
      </c>
      <c r="Z40" s="27" t="str">
        <f>IF($G40="","",$G40*ADRYr3!$AD40*ADRYr3!$AE40*ADRYr3!P40*ADRYr3!Q40*ADRYr3!$T40)</f>
        <v/>
      </c>
      <c r="AA40" s="45" t="str">
        <f>IF($G40="","",$G40*ADRYr3!$Q40*ADRYr3!$U40*(IF(IFERROR(SEARCH("NG", ADRYr3!$AI40),0),ADRYr3!$AJ40,0)+IF(IFERROR(SEARCH("NG", ADRYr3!$AK40),0),ADRYr3!$AL40,0)+IF(IFERROR(SEARCH("NG", ADRYr3!$AM40),0),ADRYr3!$AN40,0)))</f>
        <v/>
      </c>
      <c r="AB40" s="45" t="str">
        <f t="shared" si="54"/>
        <v/>
      </c>
      <c r="AC40" s="45">
        <f>IF($G40="",0,AA40*ADRYr3!$P40)</f>
        <v>0</v>
      </c>
      <c r="AD40" s="45" t="str">
        <f t="shared" si="55"/>
        <v/>
      </c>
      <c r="AE40" s="45" t="str">
        <f>IF($G40="","",$G40*ADRYr3!$Q40*ADRYr3!$U40*(IF(IFERROR(SEARCH("Oil", ADRYr3!$AI40), 0),ADRYr3!$AJ40,0)+IF(IFERROR(SEARCH("Oil", ADRYr3!$AK40), 0),ADRYr3!$AL40,0)+IF(IFERROR(SEARCH("Oil", ADRYr3!$AM40), 0),ADRYr3!$AN40,0)))</f>
        <v/>
      </c>
      <c r="AF40" s="45" t="str">
        <f t="shared" si="56"/>
        <v/>
      </c>
      <c r="AG40" s="45">
        <f>IF($G40="",0,AE40*ADRYr3!$P40)</f>
        <v>0</v>
      </c>
      <c r="AH40" s="45" t="str">
        <f t="shared" si="57"/>
        <v/>
      </c>
      <c r="AI40" s="45" t="str">
        <f>IF($G40="","",$G40*ADRYr3!$Q40*ADRYr3!$U40*(IF(ADRYr3!$AI40=Lookups!$E$116,ADRYr3!$AJ40,IF(ADRYr3!$AK40=Lookups!$E$116,ADRYr3!$AL40,IF(ADRYr3!$AM40=Lookups!$E$116,ADRYr3!$AN40,0)))))</f>
        <v/>
      </c>
      <c r="AJ40" s="45" t="str">
        <f t="shared" si="58"/>
        <v/>
      </c>
      <c r="AK40" s="45">
        <f>IF($G40="",0,AI40*ADRYr3!$P40)</f>
        <v>0</v>
      </c>
      <c r="AL40" s="45" t="str">
        <f t="shared" si="59"/>
        <v/>
      </c>
      <c r="AM40" s="45" t="str">
        <f>IF($G40="","",$G40*ADRYr3!$Q40*ADRYr3!$U40*(IF(ADRYr3!$AI40=Lookups!$E$115,ADRYr3!$AJ40,IF(ADRYr3!$AK40=Lookups!$E$115,ADRYr3!$AL40,IF(ADRYr3!$AM40=Lookups!$E$115,ADRYr3!$AN40,0)))))</f>
        <v/>
      </c>
      <c r="AN40" s="45" t="str">
        <f t="shared" si="60"/>
        <v/>
      </c>
      <c r="AO40" s="45">
        <f>IF($G40="",0,AM40*ADRYr3!$P40)</f>
        <v>0</v>
      </c>
      <c r="AP40" s="45" t="str">
        <f t="shared" si="61"/>
        <v/>
      </c>
      <c r="AQ40" s="45" t="str">
        <f>IF($G40="","",$G40*ADRYr3!$Q40*ADRYr3!$U40*(IF(ADRYr3!$AI40=Lookups!$E$117,ADRYr3!$AJ40,IF(ADRYr3!$AK40=Lookups!$E$117,ADRYr3!$AL40,IF(ADRYr3!$AM40=Lookups!$E$117,ADRYr3!$AN40,0)))))</f>
        <v/>
      </c>
      <c r="AR40" s="45" t="str">
        <f t="shared" si="62"/>
        <v/>
      </c>
      <c r="AS40" s="45" t="str">
        <f>IF($G40="","",AQ40*ADRYr3!$P40)</f>
        <v/>
      </c>
      <c r="AT40" s="45" t="str">
        <f t="shared" si="63"/>
        <v/>
      </c>
      <c r="AU40" s="45" t="str">
        <f>IF($G40="","",$G40*ADRYr3!$Q40*ADRYr3!$U40*(IF(ADRYr3!$AI40=Lookups!$E$118,ADRYr3!$AJ40,IF(ADRYr3!$AK40=Lookups!$E$118,ADRYr3!$AL40,IF(ADRYr3!$AM40=Lookups!$E$118,ADRYr3!$AN40,0)))))</f>
        <v/>
      </c>
      <c r="AV40" s="45" t="str">
        <f t="shared" si="64"/>
        <v/>
      </c>
      <c r="AW40" s="45" t="str">
        <f>IF($G40="","",AU40*ADRYr3!$P40)</f>
        <v/>
      </c>
      <c r="AX40" s="45" t="str">
        <f t="shared" si="65"/>
        <v/>
      </c>
      <c r="AY40" s="45">
        <f t="shared" si="66"/>
        <v>0</v>
      </c>
      <c r="AZ40" s="45">
        <f t="shared" si="67"/>
        <v>0</v>
      </c>
      <c r="BA40" s="101" t="str">
        <f>IF($G40="","",$G40*ADRYr3!$P40*ADRYr3!$Q40*ADRYr3!$U40*ADRYr3!AO40)</f>
        <v/>
      </c>
      <c r="BB40" s="102" t="str">
        <f>IF($G40="","",$G40*ADRYr3!$P40*ADRYr3!$Q40*ADRYr3!$U40*ADRYr3!AP40)</f>
        <v/>
      </c>
      <c r="BC40" s="100" t="str">
        <f t="shared" si="68"/>
        <v/>
      </c>
      <c r="BD40" s="961"/>
      <c r="BE40" s="961"/>
      <c r="BF40" s="961"/>
      <c r="BG40" s="961"/>
      <c r="BH40" s="962" t="str">
        <f t="shared" si="3"/>
        <v/>
      </c>
      <c r="BI40" s="961"/>
      <c r="BJ40" s="961"/>
      <c r="BK40" s="961"/>
      <c r="BL40" s="961"/>
      <c r="BM40" s="30" t="str">
        <f t="shared" si="4"/>
        <v/>
      </c>
      <c r="BN40" s="963" t="str">
        <f t="shared" si="31"/>
        <v/>
      </c>
      <c r="BO40" s="31" t="str">
        <f t="shared" si="69"/>
        <v/>
      </c>
      <c r="BP40" s="964" t="str">
        <f t="shared" si="5"/>
        <v/>
      </c>
      <c r="BQ40" s="28" t="str">
        <f t="shared" si="6"/>
        <v/>
      </c>
      <c r="BR40" s="964" t="str">
        <f t="shared" si="7"/>
        <v/>
      </c>
      <c r="BS40" s="964" t="str">
        <f t="shared" si="8"/>
        <v/>
      </c>
      <c r="BT40" s="28" t="str">
        <f t="shared" si="82"/>
        <v/>
      </c>
      <c r="BU40" s="28" t="str">
        <f t="shared" si="82"/>
        <v/>
      </c>
      <c r="BV40" s="28" t="str">
        <f t="shared" si="82"/>
        <v/>
      </c>
      <c r="BW40" s="29" t="str">
        <f t="shared" si="70"/>
        <v/>
      </c>
      <c r="BX40" s="29" t="str">
        <f t="shared" si="71"/>
        <v/>
      </c>
      <c r="BY40" s="28" t="str">
        <f>IF($G40="","",$G40*(IF(ADRYr3!$AI40=BY$4,ADRYr3!$AJ40,IF(ADRYr3!$AK40=BY$4,ADRYr3!$AL40,IF(ADRYr3!$AM40=BY$4,ADRYr3!$AN40,0))))*(INDEX(avoidedcosttbl3,$H40,BY$2)+(($H40-ROUNDDOWN($H40,0))*(INDEX(avoidedcosttbl3,ROUNDUP($H40,0),BY$2)-(INDEX(avoidedcosttbl3,ROUNDDOWN($H40,0),BY$2)))))*ADRYr3!P40*ADRYr3!Q40*ADRYr3!U40)</f>
        <v/>
      </c>
      <c r="BZ40" s="28" t="str">
        <f>IF($G40="","",$G40*(IF(ADRYr3!$AI40=BZ$4,ADRYr3!$AJ40,IF(ADRYr3!$AK40=BZ$4,ADRYr3!$AL40,IF(ADRYr3!$AM40=BZ$4,ADRYr3!$AN40,0))))*(INDEX(avoidedcosttbl3,$H40,BZ$2)+(($H40-ROUNDDOWN($H40,0))*(INDEX(avoidedcosttbl3,ROUNDUP($H40,0),BZ$2)-(INDEX(avoidedcosttbl3,ROUNDDOWN($H40,0),BZ$2)))))*ADRYr3!P40*ADRYr3!Q40*ADRYr3!U40)</f>
        <v/>
      </c>
      <c r="CA40" s="28" t="str">
        <f>IF($G40="","",$G40*(IF(ADRYr3!$AI40=CA$4,ADRYr3!$AJ40,IF(ADRYr3!$AK40=CA$4,ADRYr3!$AL40,IF(ADRYr3!$AM40=CA$4,ADRYr3!$AN40,0))))*(INDEX(avoidedcosttbl3,$H40,CA$2)+(($H40-ROUNDDOWN($H40,0))*(INDEX(avoidedcosttbl3,ROUNDUP($H40,0),CA$2)-(INDEX(avoidedcosttbl3,ROUNDDOWN($H40,0),CA$2)))))*ADRYr3!P40*ADRYr3!Q40*ADRYr3!U40)</f>
        <v/>
      </c>
      <c r="CB40" s="28" t="str">
        <f>IF($G40="","",$G40*(IF(ADRYr3!$AI40=CB$4,ADRYr3!$AJ40,IF(ADRYr3!$AK40=CB$4,ADRYr3!$AL40,IF(ADRYr3!$AM40=CB$4,ADRYr3!$AN40,0))))*(INDEX(avoidedcosttbl3,$H40,CB$2)+(($H40-ROUNDDOWN($H40,0))*(INDEX(avoidedcosttbl3,ROUNDUP($H40,0),CB$2)-(INDEX(avoidedcosttbl3,ROUNDDOWN($H40,0),CB$2)))))*ADRYr3!P40*ADRYr3!Q40*ADRYr3!U40)</f>
        <v/>
      </c>
      <c r="CC40" s="28" t="str">
        <f>IF($G40="","",$G40*(IF(ADRYr3!$AI40=CC$4,ADRYr3!$AJ40,IF(ADRYr3!$AK40=CC$4,ADRYr3!$AL40,IF(ADRYr3!$AM40=CC$4,ADRYr3!$AN40,0))))*(INDEX(avoidedcosttbl3,$H40,CC$2)+(($H40-ROUNDDOWN($H40,0))*(INDEX(avoidedcosttbl3,ROUNDUP($H40,0),CC$2)-(INDEX(avoidedcosttbl3,ROUNDDOWN($H40,0),CC$2)))))*ADRYr3!P40*ADRYr3!Q40*ADRYr3!U40)</f>
        <v/>
      </c>
      <c r="CD40" s="28" t="str">
        <f>IF($G40="","",$G40*(IF(ADRYr3!$AI40=CD$4,ADRYr3!$AJ40,IF(ADRYr3!$AK40=CD$4,ADRYr3!$AL40,IF(ADRYr3!$AM40=CD$4,ADRYr3!$AN40,0))))*(INDEX(avoidedcosttbl3,$H40,CD$2)+(($H40-ROUNDDOWN($H40,0))*(INDEX(avoidedcosttbl3,ROUNDUP($H40,0),CD$2)-(INDEX(avoidedcosttbl3,ROUNDDOWN($H40,0),CD$2)))))*ADRYr3!P40*ADRYr3!Q40*ADRYr3!U40)</f>
        <v/>
      </c>
      <c r="CE40" s="28" t="str">
        <f>IF($G40="","",$G40*(IF(ADRYr3!$AI40=CE$4,ADRYr3!$AJ40,IF(ADRYr3!$AK40=CE$4,ADRYr3!$AL40,IF(ADRYr3!$AM40=CE$4,ADRYr3!$AN40,0))))*(INDEX(avoidedcosttbl3,$H40,CE$2)+(($H40-ROUNDDOWN($H40,0))*(INDEX(avoidedcosttbl3,ROUNDUP($H40,0),CE$2)-(INDEX(avoidedcosttbl3,ROUNDDOWN($H40,0),CE$2)))))*ADRYr3!P40*ADRYr3!Q40*ADRYr3!U40)</f>
        <v/>
      </c>
      <c r="CF40" s="41" t="str">
        <f t="shared" si="72"/>
        <v/>
      </c>
      <c r="CG40" s="30" t="str">
        <f t="shared" si="10"/>
        <v/>
      </c>
      <c r="CH40" s="30" t="str">
        <f>IF($G40="","",$G40*(IF(ADRYr3!$AI40=BY$4,ADRYr3!$AJ40,IF(ADRYr3!$AK40=BY$4,ADRYr3!$AL40,IF(ADRYr3!$AM40=BY$4,ADRYr3!$AN40,0))))*(INDEX(avoidedcosttbl3,$H40,CH$2)+(($H40-ROUNDDOWN($H40,0))*(INDEX(avoidedcosttbl3,ROUNDUP($H40,0),CH$2)-(INDEX(avoidedcosttbl3,ROUNDDOWN($H40,0),CH$2)))))*ADRYr3!P40*ADRYr3!Q40*ADRYr3!U40)</f>
        <v/>
      </c>
      <c r="CI40" s="30" t="str">
        <f>IF($G40="","",$G40*(IF(ADRYr3!$AI40=BZ$4,ADRYr3!$AJ40,IF(ADRYr3!$AK40=BZ$4,ADRYr3!$AL40,IF(ADRYr3!$AM40=BZ$4,ADRYr3!$AN40,0))))*(INDEX(avoidedcosttbl3,$H40,CI$2)+(($H40-ROUNDDOWN($H40,0))*(INDEX(avoidedcosttbl3,ROUNDUP($H40,0),CI$2)-(INDEX(avoidedcosttbl3,ROUNDDOWN($H40,0),CI$2)))))*ADRYr3!P40*ADRYr3!Q40*ADRYr3!U40)</f>
        <v/>
      </c>
      <c r="CJ40" s="30" t="str">
        <f>IF($G40="","",$G40*(IF(ADRYr3!$AI40=CA$4,ADRYr3!$AJ40,IF(ADRYr3!$AK40=CA$4,ADRYr3!$AL40,IF(ADRYr3!$AM40=CA$4,ADRYr3!$AN40,0))))*(INDEX(avoidedcosttbl3,$H40,CJ$2)+(($H40-ROUNDDOWN($H40,0))*(INDEX(avoidedcosttbl3,ROUNDUP($H40,0),CJ$2)-(INDEX(avoidedcosttbl3,ROUNDDOWN($H40,0),CJ$2)))))*ADRYr3!P40*ADRYr3!Q40*ADRYr3!U40)</f>
        <v/>
      </c>
      <c r="CK40" s="30" t="str">
        <f>IF($G40="","",$G40*(IF(ADRYr3!$AI40=CB$4,ADRYr3!$AJ40,IF(ADRYr3!$AK40=CB$4,ADRYr3!$AL40,IF(ADRYr3!$AM40=CB$4,ADRYr3!$AN40,0))))*(INDEX(avoidedcosttbl3,$H40,CK$2)+(($H40-ROUNDDOWN($H40,0))*(INDEX(avoidedcosttbl3,ROUNDUP($H40,0),CK$2)-(INDEX(avoidedcosttbl3,ROUNDDOWN($H40,0),CK$2)))))*ADRYr3!P40*ADRYr3!Q40*ADRYr3!U40)</f>
        <v/>
      </c>
      <c r="CL40" s="30" t="str">
        <f>IF($G40="","",$G40*(IF(ADRYr3!$AI40=CC$4,ADRYr3!$AJ40,IF(ADRYr3!$AK40=CC$4,ADRYr3!$AL40,IF(ADRYr3!$AM40=CC$4,ADRYr3!$AN40,0))))*(INDEX(avoidedcosttbl3,$H40,CL$2)+(($H40-ROUNDDOWN($H40,0))*(INDEX(avoidedcosttbl3,ROUNDUP($H40,0),CL$2)-(INDEX(avoidedcosttbl3,ROUNDDOWN($H40,0),CL$2)))))*ADRYr3!P40*ADRYr3!Q40*ADRYr3!U40)</f>
        <v/>
      </c>
      <c r="CM40" s="30" t="str">
        <f>IF($G40="","",$G40*(IF(ADRYr3!$AI40=CD$4,ADRYr3!$AJ40,IF(ADRYr3!$AK40=CD$4,ADRYr3!$AL40,IF(ADRYr3!$AM40=CD$4,ADRYr3!$AN40,0))))*(INDEX(avoidedcosttbl3,$H40,CM$2)+(($H40-ROUNDDOWN($H40,0))*(INDEX(avoidedcosttbl3,ROUNDUP($H40,0),CM$2)-(INDEX(avoidedcosttbl3,ROUNDDOWN($H40,0),CM$2)))))*ADRYr3!P40*ADRYr3!Q40*ADRYr3!U40)</f>
        <v/>
      </c>
      <c r="CN40" s="30" t="str">
        <f>IF($G40="","",$G40*(IF(ADRYr3!$AI40=CE$4,ADRYr3!$AJ40,IF(ADRYr3!$AK40=CE$4,ADRYr3!$AL40,IF(ADRYr3!$AM40=CE$4,ADRYr3!$AN40,0))))*(INDEX(avoidedcosttbl3,$H40,CN$2)+(($H40-ROUNDDOWN($H40,0))*(INDEX(avoidedcosttbl3,ROUNDUP($H40,0),CN$2)-(INDEX(avoidedcosttbl3,ROUNDDOWN($H40,0),CN$2)))))*ADRYr3!P40*ADRYr3!Q40*ADRYr3!U40)</f>
        <v/>
      </c>
      <c r="CO40" s="220" t="str">
        <f t="shared" si="73"/>
        <v/>
      </c>
      <c r="CP40" s="220" t="str">
        <f t="shared" si="74"/>
        <v/>
      </c>
      <c r="CQ40" s="157" t="str">
        <f>IF($G40="","",$G40*(IF(ADRYr3!$AI40=CQ$4,ADRYr3!$AJ40,IF(ADRYr3!$AK40=CQ$4,ADRYr3!$AL40,IF(ADRYr3!$AM40=CQ$4,ADRYr3!$AN40,0))))*(INDEX(avoidedcosttbl3,$H40,CQ$2)+(($H40-ROUNDDOWN($H40,0))*(INDEX(avoidedcosttbl3,ROUNDUP($H40,0),CQ$2)-(INDEX(avoidedcosttbl3,ROUNDDOWN($H40,0),CQ$2)))))*ADRYr3!$P40*ADRYr3!$Q40*ADRYr3!$U40)</f>
        <v/>
      </c>
      <c r="CR40" s="28" t="str">
        <f>IF($G40="","",G40*(IF(ADRYr3!$AI40=CR$4,ADRYr3!$AJ40,IF(ADRYr3!$AK40=CR$4,ADRYr3!$AL40,IF(ADRYr3!$AM40=CR$4,ADRYr3!$AN40,0))))*(INDEX(avoidedcosttbl3,$H40,CR$2)+(($H40-ROUNDDOWN($H40,0))*(INDEX(avoidedcosttbl3,ROUNDUP($H40,0),CR$2)-(INDEX(avoidedcosttbl3,ROUNDDOWN($H40,0),CR$2)))))*ADRYr3!$P40*ADRYr3!$Q40*ADRYr3!$U40)</f>
        <v/>
      </c>
      <c r="CS40" s="28" t="str">
        <f>IF($G40="","",G40*(IF(ADRYr3!$AI40=CS$4,ADRYr3!$AJ40,IF(ADRYr3!$AK40=CS$4,ADRYr3!$AL40,IF(ADRYr3!$AM40=CS$4,ADRYr3!$AN40,0))))*(INDEX(avoidedcosttbl3,$H40,CS$2)+(($H40-ROUNDDOWN($H40,0))*(INDEX(avoidedcosttbl3,ROUNDUP($H40,0),CS$2)-(INDEX(avoidedcosttbl3,ROUNDDOWN($H40,0),CS$2)))))*ADRYr3!$P40*ADRYr3!$Q40*ADRYr3!$U40)</f>
        <v/>
      </c>
      <c r="CT40" s="28" t="str">
        <f t="shared" si="11"/>
        <v/>
      </c>
      <c r="CU40" s="28" t="str">
        <f>IF($G40="","",G40*(IF(ADRYr3!$AI40=CU$4,ADRYr3!$AJ40,IF(ADRYr3!$AK40=CU$4,ADRYr3!$AL40,IF(ADRYr3!$AM40=CU$4,ADRYr3!$AN40,0))))*(INDEX(avoidedcosttbl3,$H40,CU$2)+(($H40-ROUNDDOWN($H40,0))*(INDEX(avoidedcosttbl3,ROUNDUP($H40,0),CU$2)-(INDEX(avoidedcosttbl3,ROUNDDOWN($H40,0),CU$2)))))*ADRYr3!$P40*ADRYr3!$Q40*ADRYr3!$U40)</f>
        <v/>
      </c>
      <c r="CV40" s="28" t="str">
        <f>IF($G40="","",G40*(IF(ADRYr3!$AI40=CV$4,ADRYr3!$AJ40,IF(ADRYr3!$AK40=CV$4,ADRYr3!$AL40,IF(ADRYr3!$AM40=CV$4,ADRYr3!$AN40,0))))*(INDEX(avoidedcosttbl3,$H40,CV$2)+(($H40-ROUNDDOWN($H40,0))*(INDEX(avoidedcosttbl3,ROUNDUP($H40,0),CV$2)-(INDEX(avoidedcosttbl3,ROUNDDOWN($H40,0),CV$2)))))*ADRYr3!$P40*ADRYr3!$Q40*ADRYr3!$U40)</f>
        <v/>
      </c>
      <c r="CW40" s="28" t="str">
        <f>IF($G40="","",G40*(IF(ADRYr3!$AI40=CW$4,ADRYr3!$AJ40,IF(ADRYr3!$AK40=CW$4,ADRYr3!$AL40,IF(ADRYr3!$AM40=CW$4,ADRYr3!$AN40,0))))*(INDEX(avoidedcosttbl3,$H40,CW$2)+(($H40-ROUNDDOWN($H40,0))*(INDEX(avoidedcosttbl3,ROUNDUP($H40,0),CW$2)-(INDEX(avoidedcosttbl3,ROUNDDOWN($H40,0),CW$2)))))*ADRYr3!$P40*ADRYr3!$Q40*ADRYr3!$U40)</f>
        <v/>
      </c>
      <c r="CX40" s="28" t="str">
        <f>IF($G40="","",G40*(IF(ADRYr3!$AI40=CX$4,ADRYr3!$AJ40,IF(ADRYr3!$AK40=CX$4,ADRYr3!$AL40,IF(ADRYr3!$AM40=CX$4,ADRYr3!$AN40,0))))*(INDEX(avoidedcosttbl3,$H40,CX$2)+(($H40-ROUNDDOWN($H40,0))*(INDEX(avoidedcosttbl3,ROUNDUP($H40,0),CX$2)-(INDEX(avoidedcosttbl3,ROUNDDOWN($H40,0),CX$2)))))*ADRYr3!$P40*ADRYr3!$Q40*ADRYr3!$U40)</f>
        <v/>
      </c>
      <c r="CY40" s="28" t="str">
        <f t="shared" si="75"/>
        <v/>
      </c>
      <c r="CZ40" s="32" t="str">
        <f t="shared" si="76"/>
        <v/>
      </c>
      <c r="DA40" s="84" t="str">
        <f t="shared" si="77"/>
        <v/>
      </c>
      <c r="DB40" s="81" t="str">
        <f>IF(NEIadder="Yes",IF($G40="","",INDEX(Lookups!$G$70:$G$71,MATCH($A40,Lookups!$E$70:$E$71,0))*(SUM(CP40:CX40,BX40))),"")</f>
        <v/>
      </c>
      <c r="DC40" s="263" t="str">
        <f t="shared" si="78"/>
        <v/>
      </c>
      <c r="DD40" s="166" t="str">
        <f t="shared" si="79"/>
        <v/>
      </c>
      <c r="DE40" s="82">
        <f t="shared" si="80"/>
        <v>0</v>
      </c>
      <c r="DF40" s="615" t="str">
        <f>IF($G40="","",(1+WntPeakEnergyLL)*(INDEX(avoidedcosttbl3,$H40,DF$2)+(($H40-ROUNDDOWN($H40,0))*(INDEX(avoidedcosttbl3,ROUNDUP($H40,0),DF$2)-(INDEX(avoidedcosttbl3,ROUNDDOWN($H40,0),DF$2)))))*$P40*1000*ADRYr3!Z40)</f>
        <v/>
      </c>
      <c r="DG40" s="615" t="str">
        <f>IF($G40="","",(1+WntOffPeakEnergyLL)*(INDEX(avoidedcosttbl3,$H40,DG$2)+(($H40-ROUNDDOWN($H40,0))*(INDEX(avoidedcosttbl3,ROUNDUP($H40,0),DG$2)-(INDEX(avoidedcosttbl3,ROUNDDOWN($H40,0),DG$2)))))*$P40*1000*ADRYr3!AA40)</f>
        <v/>
      </c>
      <c r="DH40" s="615" t="str">
        <f>IF($G40="","",(1+SumPeakEnergyLL)*(INDEX(avoidedcosttbl3,$H40,DH$2)+(($H40-ROUNDDOWN($H40,0))*(INDEX(avoidedcosttbl3,ROUNDUP($H40,0),DH$2)-(INDEX(avoidedcosttbl3,ROUNDDOWN($H40,0),DH$2)))))*$P40*1000*ADRYr3!AB40)</f>
        <v/>
      </c>
      <c r="DI40" s="615" t="str">
        <f>IF($G40="","",(1+SumOffPeakEnergyLL)*(INDEX(avoidedcosttbl3,$H40,DI$2)+(($H40-ROUNDDOWN($H40,0))*(INDEX(avoidedcosttbl3,ROUNDUP($H40,0),DI$2)-(INDEX(avoidedcosttbl3,ROUNDDOWN($H40,0),DI$2)))))*$P40*1000*ADRYr3!AC40)</f>
        <v/>
      </c>
      <c r="DJ40" s="29" t="str">
        <f t="shared" si="81"/>
        <v/>
      </c>
      <c r="DK40" s="161" t="str">
        <f t="shared" si="45"/>
        <v/>
      </c>
      <c r="DL40" s="1189" t="str">
        <f t="shared" si="46"/>
        <v/>
      </c>
      <c r="DM40" s="1189" t="str">
        <f t="shared" si="47"/>
        <v/>
      </c>
      <c r="DN40" s="43" t="str">
        <f t="shared" si="48"/>
        <v/>
      </c>
      <c r="DO40" s="966" t="str">
        <f>IF($G40="","",ADRYr3!AQ40)</f>
        <v/>
      </c>
      <c r="DP40" s="968" t="str">
        <f>IF($G40="","",ADRYr3!AR40)</f>
        <v/>
      </c>
      <c r="DQ40" s="970" t="str">
        <f>IF($G40="","",IF($DP40="Yes",COLUMN(AESC!$L$10),IF($DP40="No","Using AvoidedDemand tab",IF($DP40="Mixed",COLUMN(AESC!$N$10)))))</f>
        <v/>
      </c>
      <c r="DR40" s="970" t="str">
        <f>IF($G40="","",IF($DP40="Yes",COLUMN(AESC!$P$10),IF($DP40="No","Using AvoidedDemand tab",IF($DP40="Mixed",COLUMN(AESC!$R$10)))))</f>
        <v/>
      </c>
      <c r="DS40" s="970" t="str">
        <f>IF($G40="","",IF($DP40="Yes",COLUMN(AESC!$S$10),IF($DP40="No",COLUMN(AESC!$T$10),IF($DP40="Mixed",COLUMN(AESC!$U$10)))))</f>
        <v/>
      </c>
      <c r="DT40" s="970" t="str">
        <f t="shared" si="49"/>
        <v/>
      </c>
      <c r="DU40" s="970" t="str">
        <f>IF($G40="","",ADRYr3!AS40)</f>
        <v/>
      </c>
      <c r="DV40" s="971" t="str">
        <f>IF($G40="","",ADRYr3!AT40)</f>
        <v/>
      </c>
      <c r="DW40" s="1162" t="str">
        <f>IF($G40="","",INDEX(AvoidedEnergy!$H$4:$H$10,MATCH($DO40,AvoidedEnergy!$A$4:$A$10,0)))</f>
        <v/>
      </c>
    </row>
    <row r="41" spans="1:127">
      <c r="A41" s="160" t="str">
        <f>IF(ADRYr3!$B41=0,"",ADRYr3!A41)</f>
        <v>C - Commercial &amp; Industrial</v>
      </c>
      <c r="B41" s="9" t="str">
        <f>IF(ADRYr3!$B41=0,"",ADRYr3!B41)</f>
        <v>C5 - C&amp;I Active Demand Response</v>
      </c>
      <c r="C41" s="9" t="str">
        <f>IF(ADRYr3!$B41=0,"",ADRYr3!C41)</f>
        <v>C5a - C&amp;I Active Demand Response</v>
      </c>
      <c r="D41" s="9" t="str">
        <f>IF(ADRYr3!$B41=0,"",ADRYr3!D41)</f>
        <v>Custom</v>
      </c>
      <c r="E41" s="9">
        <f>IF(ADRYr3!$B41=0,"",ADRYr3!E41)</f>
        <v>0</v>
      </c>
      <c r="F41" s="11" t="str">
        <f>IF(ADRYr3!$B41=0,"",ADRYr3!F41)</f>
        <v>Behavior</v>
      </c>
      <c r="G41" s="12" t="str">
        <f>IF(ADRYr3!$G41&lt;&gt;0,ADRYr3!G41,"")</f>
        <v/>
      </c>
      <c r="H41" s="960" t="str">
        <f>IF($G41="","",ROUND(ADRYr3!H41,0))</f>
        <v/>
      </c>
      <c r="I41" s="47" t="str">
        <f>IF($G41="","",ADRYr3!I41*ADRYr3!P41*G41)</f>
        <v/>
      </c>
      <c r="J41" s="47" t="str">
        <f>IF($G41="","",ADRYr3!J41*G41)</f>
        <v/>
      </c>
      <c r="K41" s="47" t="str">
        <f t="shared" si="50"/>
        <v/>
      </c>
      <c r="L41" s="27" t="str">
        <f>IF($G41="","",ADRYr3!V41*G41/1000)</f>
        <v/>
      </c>
      <c r="M41" s="27" t="str">
        <f>IF($G41="","",L41*ADRYr3!$Q41*ADRYr3!$R41)</f>
        <v/>
      </c>
      <c r="N41" s="27" t="str">
        <f t="shared" si="51"/>
        <v/>
      </c>
      <c r="O41" s="27" t="str">
        <f t="shared" si="52"/>
        <v/>
      </c>
      <c r="P41" s="27" t="str">
        <f>IF($G41="","",M41*ADRYr3!P41)</f>
        <v/>
      </c>
      <c r="Q41" s="27" t="str">
        <f t="shared" si="53"/>
        <v/>
      </c>
      <c r="R41" s="27" t="str">
        <f>IF($G41="","",$Q41*ADRYr3!Z41)</f>
        <v/>
      </c>
      <c r="S41" s="27" t="str">
        <f>IF($G41="","",$Q41*ADRYr3!AA41)</f>
        <v/>
      </c>
      <c r="T41" s="27" t="str">
        <f>IF($G41="","",$Q41*ADRYr3!AB41)</f>
        <v/>
      </c>
      <c r="U41" s="27" t="str">
        <f>IF($G41="","",$Q41*ADRYr3!AC41)</f>
        <v/>
      </c>
      <c r="V41" s="27" t="str">
        <f>IF($G41="","",G41*ADRYr3!$AD41*ADRYr3!$P41*ADRYr3!$Q41)</f>
        <v/>
      </c>
      <c r="W41" s="27" t="str">
        <f>IF($G41="","",$G41*ADRYr3!$AD41*ADRYr3!$AF41*ADRYr3!Q41*ADRYr3!$S41)</f>
        <v/>
      </c>
      <c r="X41" s="27" t="str">
        <f>IF($G41="","",$G41*ADRYr3!$AD41*ADRYr3!$AF41*ADRYr3!P41*ADRYr3!Q41*ADRYr3!$S41)</f>
        <v/>
      </c>
      <c r="Y41" s="27" t="str">
        <f>IF($G41="","",$G41*ADRYr3!$AD41*ADRYr3!$AE41*ADRYr3!Q41*ADRYr3!$T41)</f>
        <v/>
      </c>
      <c r="Z41" s="27" t="str">
        <f>IF($G41="","",$G41*ADRYr3!$AD41*ADRYr3!$AE41*ADRYr3!P41*ADRYr3!Q41*ADRYr3!$T41)</f>
        <v/>
      </c>
      <c r="AA41" s="45" t="str">
        <f>IF($G41="","",$G41*ADRYr3!$Q41*ADRYr3!$U41*(IF(IFERROR(SEARCH("NG", ADRYr3!$AI41),0),ADRYr3!$AJ41,0)+IF(IFERROR(SEARCH("NG", ADRYr3!$AK41),0),ADRYr3!$AL41,0)+IF(IFERROR(SEARCH("NG", ADRYr3!$AM41),0),ADRYr3!$AN41,0)))</f>
        <v/>
      </c>
      <c r="AB41" s="45" t="str">
        <f t="shared" si="54"/>
        <v/>
      </c>
      <c r="AC41" s="45">
        <f>IF($G41="",0,AA41*ADRYr3!$P41)</f>
        <v>0</v>
      </c>
      <c r="AD41" s="45" t="str">
        <f t="shared" si="55"/>
        <v/>
      </c>
      <c r="AE41" s="45" t="str">
        <f>IF($G41="","",$G41*ADRYr3!$Q41*ADRYr3!$U41*(IF(IFERROR(SEARCH("Oil", ADRYr3!$AI41), 0),ADRYr3!$AJ41,0)+IF(IFERROR(SEARCH("Oil", ADRYr3!$AK41), 0),ADRYr3!$AL41,0)+IF(IFERROR(SEARCH("Oil", ADRYr3!$AM41), 0),ADRYr3!$AN41,0)))</f>
        <v/>
      </c>
      <c r="AF41" s="45" t="str">
        <f t="shared" si="56"/>
        <v/>
      </c>
      <c r="AG41" s="45">
        <f>IF($G41="",0,AE41*ADRYr3!$P41)</f>
        <v>0</v>
      </c>
      <c r="AH41" s="45" t="str">
        <f t="shared" si="57"/>
        <v/>
      </c>
      <c r="AI41" s="45" t="str">
        <f>IF($G41="","",$G41*ADRYr3!$Q41*ADRYr3!$U41*(IF(ADRYr3!$AI41=Lookups!$E$116,ADRYr3!$AJ41,IF(ADRYr3!$AK41=Lookups!$E$116,ADRYr3!$AL41,IF(ADRYr3!$AM41=Lookups!$E$116,ADRYr3!$AN41,0)))))</f>
        <v/>
      </c>
      <c r="AJ41" s="45" t="str">
        <f t="shared" si="58"/>
        <v/>
      </c>
      <c r="AK41" s="45">
        <f>IF($G41="",0,AI41*ADRYr3!$P41)</f>
        <v>0</v>
      </c>
      <c r="AL41" s="45" t="str">
        <f t="shared" si="59"/>
        <v/>
      </c>
      <c r="AM41" s="45" t="str">
        <f>IF($G41="","",$G41*ADRYr3!$Q41*ADRYr3!$U41*(IF(ADRYr3!$AI41=Lookups!$E$115,ADRYr3!$AJ41,IF(ADRYr3!$AK41=Lookups!$E$115,ADRYr3!$AL41,IF(ADRYr3!$AM41=Lookups!$E$115,ADRYr3!$AN41,0)))))</f>
        <v/>
      </c>
      <c r="AN41" s="45" t="str">
        <f t="shared" si="60"/>
        <v/>
      </c>
      <c r="AO41" s="45">
        <f>IF($G41="",0,AM41*ADRYr3!$P41)</f>
        <v>0</v>
      </c>
      <c r="AP41" s="45" t="str">
        <f t="shared" si="61"/>
        <v/>
      </c>
      <c r="AQ41" s="45" t="str">
        <f>IF($G41="","",$G41*ADRYr3!$Q41*ADRYr3!$U41*(IF(ADRYr3!$AI41=Lookups!$E$117,ADRYr3!$AJ41,IF(ADRYr3!$AK41=Lookups!$E$117,ADRYr3!$AL41,IF(ADRYr3!$AM41=Lookups!$E$117,ADRYr3!$AN41,0)))))</f>
        <v/>
      </c>
      <c r="AR41" s="45" t="str">
        <f t="shared" si="62"/>
        <v/>
      </c>
      <c r="AS41" s="45" t="str">
        <f>IF($G41="","",AQ41*ADRYr3!$P41)</f>
        <v/>
      </c>
      <c r="AT41" s="45" t="str">
        <f t="shared" si="63"/>
        <v/>
      </c>
      <c r="AU41" s="45" t="str">
        <f>IF($G41="","",$G41*ADRYr3!$Q41*ADRYr3!$U41*(IF(ADRYr3!$AI41=Lookups!$E$118,ADRYr3!$AJ41,IF(ADRYr3!$AK41=Lookups!$E$118,ADRYr3!$AL41,IF(ADRYr3!$AM41=Lookups!$E$118,ADRYr3!$AN41,0)))))</f>
        <v/>
      </c>
      <c r="AV41" s="45" t="str">
        <f t="shared" si="64"/>
        <v/>
      </c>
      <c r="AW41" s="45" t="str">
        <f>IF($G41="","",AU41*ADRYr3!$P41)</f>
        <v/>
      </c>
      <c r="AX41" s="45" t="str">
        <f t="shared" si="65"/>
        <v/>
      </c>
      <c r="AY41" s="45">
        <f t="shared" si="66"/>
        <v>0</v>
      </c>
      <c r="AZ41" s="45">
        <f t="shared" si="67"/>
        <v>0</v>
      </c>
      <c r="BA41" s="101" t="str">
        <f>IF($G41="","",$G41*ADRYr3!$P41*ADRYr3!$Q41*ADRYr3!$U41*ADRYr3!AO41)</f>
        <v/>
      </c>
      <c r="BB41" s="102" t="str">
        <f>IF($G41="","",$G41*ADRYr3!$P41*ADRYr3!$Q41*ADRYr3!$U41*ADRYr3!AP41)</f>
        <v/>
      </c>
      <c r="BC41" s="100" t="str">
        <f t="shared" si="68"/>
        <v/>
      </c>
      <c r="BD41" s="961"/>
      <c r="BE41" s="961"/>
      <c r="BF41" s="961"/>
      <c r="BG41" s="961"/>
      <c r="BH41" s="962" t="str">
        <f t="shared" si="3"/>
        <v/>
      </c>
      <c r="BI41" s="961"/>
      <c r="BJ41" s="961"/>
      <c r="BK41" s="961"/>
      <c r="BL41" s="961"/>
      <c r="BM41" s="30" t="str">
        <f t="shared" si="4"/>
        <v/>
      </c>
      <c r="BN41" s="963" t="str">
        <f t="shared" si="31"/>
        <v/>
      </c>
      <c r="BO41" s="31" t="str">
        <f t="shared" si="69"/>
        <v/>
      </c>
      <c r="BP41" s="964" t="str">
        <f t="shared" si="5"/>
        <v/>
      </c>
      <c r="BQ41" s="28" t="str">
        <f t="shared" si="6"/>
        <v/>
      </c>
      <c r="BR41" s="964" t="str">
        <f t="shared" si="7"/>
        <v/>
      </c>
      <c r="BS41" s="964" t="str">
        <f t="shared" si="8"/>
        <v/>
      </c>
      <c r="BT41" s="28" t="str">
        <f t="shared" si="82"/>
        <v/>
      </c>
      <c r="BU41" s="28" t="str">
        <f t="shared" si="82"/>
        <v/>
      </c>
      <c r="BV41" s="28" t="str">
        <f t="shared" si="82"/>
        <v/>
      </c>
      <c r="BW41" s="29" t="str">
        <f t="shared" si="70"/>
        <v/>
      </c>
      <c r="BX41" s="29" t="str">
        <f t="shared" si="71"/>
        <v/>
      </c>
      <c r="BY41" s="28" t="str">
        <f>IF($G41="","",$G41*(IF(ADRYr3!$AI41=BY$4,ADRYr3!$AJ41,IF(ADRYr3!$AK41=BY$4,ADRYr3!$AL41,IF(ADRYr3!$AM41=BY$4,ADRYr3!$AN41,0))))*(INDEX(avoidedcosttbl3,$H41,BY$2)+(($H41-ROUNDDOWN($H41,0))*(INDEX(avoidedcosttbl3,ROUNDUP($H41,0),BY$2)-(INDEX(avoidedcosttbl3,ROUNDDOWN($H41,0),BY$2)))))*ADRYr3!P41*ADRYr3!Q41*ADRYr3!U41)</f>
        <v/>
      </c>
      <c r="BZ41" s="28" t="str">
        <f>IF($G41="","",$G41*(IF(ADRYr3!$AI41=BZ$4,ADRYr3!$AJ41,IF(ADRYr3!$AK41=BZ$4,ADRYr3!$AL41,IF(ADRYr3!$AM41=BZ$4,ADRYr3!$AN41,0))))*(INDEX(avoidedcosttbl3,$H41,BZ$2)+(($H41-ROUNDDOWN($H41,0))*(INDEX(avoidedcosttbl3,ROUNDUP($H41,0),BZ$2)-(INDEX(avoidedcosttbl3,ROUNDDOWN($H41,0),BZ$2)))))*ADRYr3!P41*ADRYr3!Q41*ADRYr3!U41)</f>
        <v/>
      </c>
      <c r="CA41" s="28" t="str">
        <f>IF($G41="","",$G41*(IF(ADRYr3!$AI41=CA$4,ADRYr3!$AJ41,IF(ADRYr3!$AK41=CA$4,ADRYr3!$AL41,IF(ADRYr3!$AM41=CA$4,ADRYr3!$AN41,0))))*(INDEX(avoidedcosttbl3,$H41,CA$2)+(($H41-ROUNDDOWN($H41,0))*(INDEX(avoidedcosttbl3,ROUNDUP($H41,0),CA$2)-(INDEX(avoidedcosttbl3,ROUNDDOWN($H41,0),CA$2)))))*ADRYr3!P41*ADRYr3!Q41*ADRYr3!U41)</f>
        <v/>
      </c>
      <c r="CB41" s="28" t="str">
        <f>IF($G41="","",$G41*(IF(ADRYr3!$AI41=CB$4,ADRYr3!$AJ41,IF(ADRYr3!$AK41=CB$4,ADRYr3!$AL41,IF(ADRYr3!$AM41=CB$4,ADRYr3!$AN41,0))))*(INDEX(avoidedcosttbl3,$H41,CB$2)+(($H41-ROUNDDOWN($H41,0))*(INDEX(avoidedcosttbl3,ROUNDUP($H41,0),CB$2)-(INDEX(avoidedcosttbl3,ROUNDDOWN($H41,0),CB$2)))))*ADRYr3!P41*ADRYr3!Q41*ADRYr3!U41)</f>
        <v/>
      </c>
      <c r="CC41" s="28" t="str">
        <f>IF($G41="","",$G41*(IF(ADRYr3!$AI41=CC$4,ADRYr3!$AJ41,IF(ADRYr3!$AK41=CC$4,ADRYr3!$AL41,IF(ADRYr3!$AM41=CC$4,ADRYr3!$AN41,0))))*(INDEX(avoidedcosttbl3,$H41,CC$2)+(($H41-ROUNDDOWN($H41,0))*(INDEX(avoidedcosttbl3,ROUNDUP($H41,0),CC$2)-(INDEX(avoidedcosttbl3,ROUNDDOWN($H41,0),CC$2)))))*ADRYr3!P41*ADRYr3!Q41*ADRYr3!U41)</f>
        <v/>
      </c>
      <c r="CD41" s="28" t="str">
        <f>IF($G41="","",$G41*(IF(ADRYr3!$AI41=CD$4,ADRYr3!$AJ41,IF(ADRYr3!$AK41=CD$4,ADRYr3!$AL41,IF(ADRYr3!$AM41=CD$4,ADRYr3!$AN41,0))))*(INDEX(avoidedcosttbl3,$H41,CD$2)+(($H41-ROUNDDOWN($H41,0))*(INDEX(avoidedcosttbl3,ROUNDUP($H41,0),CD$2)-(INDEX(avoidedcosttbl3,ROUNDDOWN($H41,0),CD$2)))))*ADRYr3!P41*ADRYr3!Q41*ADRYr3!U41)</f>
        <v/>
      </c>
      <c r="CE41" s="28" t="str">
        <f>IF($G41="","",$G41*(IF(ADRYr3!$AI41=CE$4,ADRYr3!$AJ41,IF(ADRYr3!$AK41=CE$4,ADRYr3!$AL41,IF(ADRYr3!$AM41=CE$4,ADRYr3!$AN41,0))))*(INDEX(avoidedcosttbl3,$H41,CE$2)+(($H41-ROUNDDOWN($H41,0))*(INDEX(avoidedcosttbl3,ROUNDUP($H41,0),CE$2)-(INDEX(avoidedcosttbl3,ROUNDDOWN($H41,0),CE$2)))))*ADRYr3!P41*ADRYr3!Q41*ADRYr3!U41)</f>
        <v/>
      </c>
      <c r="CF41" s="41" t="str">
        <f t="shared" si="72"/>
        <v/>
      </c>
      <c r="CG41" s="30" t="str">
        <f t="shared" si="10"/>
        <v/>
      </c>
      <c r="CH41" s="30" t="str">
        <f>IF($G41="","",$G41*(IF(ADRYr3!$AI41=BY$4,ADRYr3!$AJ41,IF(ADRYr3!$AK41=BY$4,ADRYr3!$AL41,IF(ADRYr3!$AM41=BY$4,ADRYr3!$AN41,0))))*(INDEX(avoidedcosttbl3,$H41,CH$2)+(($H41-ROUNDDOWN($H41,0))*(INDEX(avoidedcosttbl3,ROUNDUP($H41,0),CH$2)-(INDEX(avoidedcosttbl3,ROUNDDOWN($H41,0),CH$2)))))*ADRYr3!P41*ADRYr3!Q41*ADRYr3!U41)</f>
        <v/>
      </c>
      <c r="CI41" s="30" t="str">
        <f>IF($G41="","",$G41*(IF(ADRYr3!$AI41=BZ$4,ADRYr3!$AJ41,IF(ADRYr3!$AK41=BZ$4,ADRYr3!$AL41,IF(ADRYr3!$AM41=BZ$4,ADRYr3!$AN41,0))))*(INDEX(avoidedcosttbl3,$H41,CI$2)+(($H41-ROUNDDOWN($H41,0))*(INDEX(avoidedcosttbl3,ROUNDUP($H41,0),CI$2)-(INDEX(avoidedcosttbl3,ROUNDDOWN($H41,0),CI$2)))))*ADRYr3!P41*ADRYr3!Q41*ADRYr3!U41)</f>
        <v/>
      </c>
      <c r="CJ41" s="30" t="str">
        <f>IF($G41="","",$G41*(IF(ADRYr3!$AI41=CA$4,ADRYr3!$AJ41,IF(ADRYr3!$AK41=CA$4,ADRYr3!$AL41,IF(ADRYr3!$AM41=CA$4,ADRYr3!$AN41,0))))*(INDEX(avoidedcosttbl3,$H41,CJ$2)+(($H41-ROUNDDOWN($H41,0))*(INDEX(avoidedcosttbl3,ROUNDUP($H41,0),CJ$2)-(INDEX(avoidedcosttbl3,ROUNDDOWN($H41,0),CJ$2)))))*ADRYr3!P41*ADRYr3!Q41*ADRYr3!U41)</f>
        <v/>
      </c>
      <c r="CK41" s="30" t="str">
        <f>IF($G41="","",$G41*(IF(ADRYr3!$AI41=CB$4,ADRYr3!$AJ41,IF(ADRYr3!$AK41=CB$4,ADRYr3!$AL41,IF(ADRYr3!$AM41=CB$4,ADRYr3!$AN41,0))))*(INDEX(avoidedcosttbl3,$H41,CK$2)+(($H41-ROUNDDOWN($H41,0))*(INDEX(avoidedcosttbl3,ROUNDUP($H41,0),CK$2)-(INDEX(avoidedcosttbl3,ROUNDDOWN($H41,0),CK$2)))))*ADRYr3!P41*ADRYr3!Q41*ADRYr3!U41)</f>
        <v/>
      </c>
      <c r="CL41" s="30" t="str">
        <f>IF($G41="","",$G41*(IF(ADRYr3!$AI41=CC$4,ADRYr3!$AJ41,IF(ADRYr3!$AK41=CC$4,ADRYr3!$AL41,IF(ADRYr3!$AM41=CC$4,ADRYr3!$AN41,0))))*(INDEX(avoidedcosttbl3,$H41,CL$2)+(($H41-ROUNDDOWN($H41,0))*(INDEX(avoidedcosttbl3,ROUNDUP($H41,0),CL$2)-(INDEX(avoidedcosttbl3,ROUNDDOWN($H41,0),CL$2)))))*ADRYr3!P41*ADRYr3!Q41*ADRYr3!U41)</f>
        <v/>
      </c>
      <c r="CM41" s="30" t="str">
        <f>IF($G41="","",$G41*(IF(ADRYr3!$AI41=CD$4,ADRYr3!$AJ41,IF(ADRYr3!$AK41=CD$4,ADRYr3!$AL41,IF(ADRYr3!$AM41=CD$4,ADRYr3!$AN41,0))))*(INDEX(avoidedcosttbl3,$H41,CM$2)+(($H41-ROUNDDOWN($H41,0))*(INDEX(avoidedcosttbl3,ROUNDUP($H41,0),CM$2)-(INDEX(avoidedcosttbl3,ROUNDDOWN($H41,0),CM$2)))))*ADRYr3!P41*ADRYr3!Q41*ADRYr3!U41)</f>
        <v/>
      </c>
      <c r="CN41" s="30" t="str">
        <f>IF($G41="","",$G41*(IF(ADRYr3!$AI41=CE$4,ADRYr3!$AJ41,IF(ADRYr3!$AK41=CE$4,ADRYr3!$AL41,IF(ADRYr3!$AM41=CE$4,ADRYr3!$AN41,0))))*(INDEX(avoidedcosttbl3,$H41,CN$2)+(($H41-ROUNDDOWN($H41,0))*(INDEX(avoidedcosttbl3,ROUNDUP($H41,0),CN$2)-(INDEX(avoidedcosttbl3,ROUNDDOWN($H41,0),CN$2)))))*ADRYr3!P41*ADRYr3!Q41*ADRYr3!U41)</f>
        <v/>
      </c>
      <c r="CO41" s="220" t="str">
        <f t="shared" si="73"/>
        <v/>
      </c>
      <c r="CP41" s="220" t="str">
        <f t="shared" si="74"/>
        <v/>
      </c>
      <c r="CQ41" s="157" t="str">
        <f>IF($G41="","",$G41*(IF(ADRYr3!$AI41=CQ$4,ADRYr3!$AJ41,IF(ADRYr3!$AK41=CQ$4,ADRYr3!$AL41,IF(ADRYr3!$AM41=CQ$4,ADRYr3!$AN41,0))))*(INDEX(avoidedcosttbl3,$H41,CQ$2)+(($H41-ROUNDDOWN($H41,0))*(INDEX(avoidedcosttbl3,ROUNDUP($H41,0),CQ$2)-(INDEX(avoidedcosttbl3,ROUNDDOWN($H41,0),CQ$2)))))*ADRYr3!$P41*ADRYr3!$Q41*ADRYr3!$U41)</f>
        <v/>
      </c>
      <c r="CR41" s="28" t="str">
        <f>IF($G41="","",G41*(IF(ADRYr3!$AI41=CR$4,ADRYr3!$AJ41,IF(ADRYr3!$AK41=CR$4,ADRYr3!$AL41,IF(ADRYr3!$AM41=CR$4,ADRYr3!$AN41,0))))*(INDEX(avoidedcosttbl3,$H41,CR$2)+(($H41-ROUNDDOWN($H41,0))*(INDEX(avoidedcosttbl3,ROUNDUP($H41,0),CR$2)-(INDEX(avoidedcosttbl3,ROUNDDOWN($H41,0),CR$2)))))*ADRYr3!$P41*ADRYr3!$Q41*ADRYr3!$U41)</f>
        <v/>
      </c>
      <c r="CS41" s="28" t="str">
        <f>IF($G41="","",G41*(IF(ADRYr3!$AI41=CS$4,ADRYr3!$AJ41,IF(ADRYr3!$AK41=CS$4,ADRYr3!$AL41,IF(ADRYr3!$AM41=CS$4,ADRYr3!$AN41,0))))*(INDEX(avoidedcosttbl3,$H41,CS$2)+(($H41-ROUNDDOWN($H41,0))*(INDEX(avoidedcosttbl3,ROUNDUP($H41,0),CS$2)-(INDEX(avoidedcosttbl3,ROUNDDOWN($H41,0),CS$2)))))*ADRYr3!$P41*ADRYr3!$Q41*ADRYr3!$U41)</f>
        <v/>
      </c>
      <c r="CT41" s="28" t="str">
        <f t="shared" si="11"/>
        <v/>
      </c>
      <c r="CU41" s="28" t="str">
        <f>IF($G41="","",G41*(IF(ADRYr3!$AI41=CU$4,ADRYr3!$AJ41,IF(ADRYr3!$AK41=CU$4,ADRYr3!$AL41,IF(ADRYr3!$AM41=CU$4,ADRYr3!$AN41,0))))*(INDEX(avoidedcosttbl3,$H41,CU$2)+(($H41-ROUNDDOWN($H41,0))*(INDEX(avoidedcosttbl3,ROUNDUP($H41,0),CU$2)-(INDEX(avoidedcosttbl3,ROUNDDOWN($H41,0),CU$2)))))*ADRYr3!$P41*ADRYr3!$Q41*ADRYr3!$U41)</f>
        <v/>
      </c>
      <c r="CV41" s="28" t="str">
        <f>IF($G41="","",G41*(IF(ADRYr3!$AI41=CV$4,ADRYr3!$AJ41,IF(ADRYr3!$AK41=CV$4,ADRYr3!$AL41,IF(ADRYr3!$AM41=CV$4,ADRYr3!$AN41,0))))*(INDEX(avoidedcosttbl3,$H41,CV$2)+(($H41-ROUNDDOWN($H41,0))*(INDEX(avoidedcosttbl3,ROUNDUP($H41,0),CV$2)-(INDEX(avoidedcosttbl3,ROUNDDOWN($H41,0),CV$2)))))*ADRYr3!$P41*ADRYr3!$Q41*ADRYr3!$U41)</f>
        <v/>
      </c>
      <c r="CW41" s="28" t="str">
        <f>IF($G41="","",G41*(IF(ADRYr3!$AI41=CW$4,ADRYr3!$AJ41,IF(ADRYr3!$AK41=CW$4,ADRYr3!$AL41,IF(ADRYr3!$AM41=CW$4,ADRYr3!$AN41,0))))*(INDEX(avoidedcosttbl3,$H41,CW$2)+(($H41-ROUNDDOWN($H41,0))*(INDEX(avoidedcosttbl3,ROUNDUP($H41,0),CW$2)-(INDEX(avoidedcosttbl3,ROUNDDOWN($H41,0),CW$2)))))*ADRYr3!$P41*ADRYr3!$Q41*ADRYr3!$U41)</f>
        <v/>
      </c>
      <c r="CX41" s="28" t="str">
        <f>IF($G41="","",G41*(IF(ADRYr3!$AI41=CX$4,ADRYr3!$AJ41,IF(ADRYr3!$AK41=CX$4,ADRYr3!$AL41,IF(ADRYr3!$AM41=CX$4,ADRYr3!$AN41,0))))*(INDEX(avoidedcosttbl3,$H41,CX$2)+(($H41-ROUNDDOWN($H41,0))*(INDEX(avoidedcosttbl3,ROUNDUP($H41,0),CX$2)-(INDEX(avoidedcosttbl3,ROUNDDOWN($H41,0),CX$2)))))*ADRYr3!$P41*ADRYr3!$Q41*ADRYr3!$U41)</f>
        <v/>
      </c>
      <c r="CY41" s="28" t="str">
        <f t="shared" si="75"/>
        <v/>
      </c>
      <c r="CZ41" s="32" t="str">
        <f t="shared" si="76"/>
        <v/>
      </c>
      <c r="DA41" s="84" t="str">
        <f t="shared" si="77"/>
        <v/>
      </c>
      <c r="DB41" s="81" t="str">
        <f>IF(NEIadder="Yes",IF($G41="","",INDEX(Lookups!$G$70:$G$71,MATCH($A41,Lookups!$E$70:$E$71,0))*(SUM(CP41:CX41,BX41))),"")</f>
        <v/>
      </c>
      <c r="DC41" s="263" t="str">
        <f t="shared" si="78"/>
        <v/>
      </c>
      <c r="DD41" s="166" t="str">
        <f t="shared" si="79"/>
        <v/>
      </c>
      <c r="DE41" s="82">
        <f t="shared" si="80"/>
        <v>0</v>
      </c>
      <c r="DF41" s="615" t="str">
        <f>IF($G41="","",(1+WntPeakEnergyLL)*(INDEX(avoidedcosttbl3,$H41,DF$2)+(($H41-ROUNDDOWN($H41,0))*(INDEX(avoidedcosttbl3,ROUNDUP($H41,0),DF$2)-(INDEX(avoidedcosttbl3,ROUNDDOWN($H41,0),DF$2)))))*$P41*1000*ADRYr3!Z41)</f>
        <v/>
      </c>
      <c r="DG41" s="615" t="str">
        <f>IF($G41="","",(1+WntOffPeakEnergyLL)*(INDEX(avoidedcosttbl3,$H41,DG$2)+(($H41-ROUNDDOWN($H41,0))*(INDEX(avoidedcosttbl3,ROUNDUP($H41,0),DG$2)-(INDEX(avoidedcosttbl3,ROUNDDOWN($H41,0),DG$2)))))*$P41*1000*ADRYr3!AA41)</f>
        <v/>
      </c>
      <c r="DH41" s="615" t="str">
        <f>IF($G41="","",(1+SumPeakEnergyLL)*(INDEX(avoidedcosttbl3,$H41,DH$2)+(($H41-ROUNDDOWN($H41,0))*(INDEX(avoidedcosttbl3,ROUNDUP($H41,0),DH$2)-(INDEX(avoidedcosttbl3,ROUNDDOWN($H41,0),DH$2)))))*$P41*1000*ADRYr3!AB41)</f>
        <v/>
      </c>
      <c r="DI41" s="615" t="str">
        <f>IF($G41="","",(1+SumOffPeakEnergyLL)*(INDEX(avoidedcosttbl3,$H41,DI$2)+(($H41-ROUNDDOWN($H41,0))*(INDEX(avoidedcosttbl3,ROUNDUP($H41,0),DI$2)-(INDEX(avoidedcosttbl3,ROUNDDOWN($H41,0),DI$2)))))*$P41*1000*ADRYr3!AC41)</f>
        <v/>
      </c>
      <c r="DJ41" s="29" t="str">
        <f t="shared" si="81"/>
        <v/>
      </c>
      <c r="DK41" s="161" t="str">
        <f t="shared" si="45"/>
        <v/>
      </c>
      <c r="DL41" s="1189" t="str">
        <f t="shared" si="46"/>
        <v/>
      </c>
      <c r="DM41" s="1189" t="str">
        <f t="shared" si="47"/>
        <v/>
      </c>
      <c r="DN41" s="43" t="str">
        <f t="shared" si="48"/>
        <v/>
      </c>
      <c r="DO41" s="966" t="str">
        <f>IF($G41="","",ADRYr3!AQ41)</f>
        <v/>
      </c>
      <c r="DP41" s="968" t="str">
        <f>IF($G41="","",ADRYr3!AR41)</f>
        <v/>
      </c>
      <c r="DQ41" s="970" t="str">
        <f>IF($G41="","",IF($DP41="Yes",COLUMN(AESC!$L$10),IF($DP41="No","Using AvoidedDemand tab",IF($DP41="Mixed",COLUMN(AESC!$N$10)))))</f>
        <v/>
      </c>
      <c r="DR41" s="970" t="str">
        <f>IF($G41="","",IF($DP41="Yes",COLUMN(AESC!$P$10),IF($DP41="No","Using AvoidedDemand tab",IF($DP41="Mixed",COLUMN(AESC!$R$10)))))</f>
        <v/>
      </c>
      <c r="DS41" s="970" t="str">
        <f>IF($G41="","",IF($DP41="Yes",COLUMN(AESC!$S$10),IF($DP41="No",COLUMN(AESC!$T$10),IF($DP41="Mixed",COLUMN(AESC!$U$10)))))</f>
        <v/>
      </c>
      <c r="DT41" s="970" t="str">
        <f t="shared" si="49"/>
        <v/>
      </c>
      <c r="DU41" s="970" t="str">
        <f>IF($G41="","",ADRYr3!AS41)</f>
        <v/>
      </c>
      <c r="DV41" s="971" t="str">
        <f>IF($G41="","",ADRYr3!AT41)</f>
        <v/>
      </c>
      <c r="DW41" s="1162" t="str">
        <f>IF($G41="","",INDEX(AvoidedEnergy!$H$4:$H$10,MATCH($DO41,AvoidedEnergy!$A$4:$A$10,0)))</f>
        <v/>
      </c>
    </row>
    <row r="42" spans="1:127">
      <c r="A42" s="160" t="str">
        <f>IF(ADRYr3!$B42=0,"",ADRYr3!A42)</f>
        <v/>
      </c>
      <c r="B42" s="9" t="str">
        <f>IF(ADRYr3!$B42=0,"",ADRYr3!B42)</f>
        <v/>
      </c>
      <c r="C42" s="9" t="str">
        <f>IF(ADRYr3!$B42=0,"",ADRYr3!C42)</f>
        <v/>
      </c>
      <c r="D42" s="9" t="str">
        <f>IF(ADRYr3!$B42=0,"",ADRYr3!D42)</f>
        <v/>
      </c>
      <c r="E42" s="9"/>
      <c r="F42" s="11" t="str">
        <f>IF(ADRYr3!$B42=0,"",ADRYr3!F42)</f>
        <v/>
      </c>
      <c r="G42" s="12" t="str">
        <f>IF(ADRYr3!$G42&lt;&gt;0,ADRYr3!G42,"")</f>
        <v/>
      </c>
      <c r="H42" s="960" t="str">
        <f>IF($G42="","",ROUND(ADRYr3!H42,0))</f>
        <v/>
      </c>
      <c r="I42" s="47" t="str">
        <f>IF($G42="","",ADRYr3!I42*ADRYr3!P42*G42)</f>
        <v/>
      </c>
      <c r="J42" s="47" t="str">
        <f>IF($G42="","",ADRYr3!J42*G42)</f>
        <v/>
      </c>
      <c r="K42" s="47" t="str">
        <f t="shared" si="50"/>
        <v/>
      </c>
      <c r="L42" s="27" t="str">
        <f>IF($G42="","",ADRYr3!V42*G42/1000)</f>
        <v/>
      </c>
      <c r="M42" s="27" t="str">
        <f>IF($G42="","",L42*ADRYr3!$Q42*ADRYr3!$R42)</f>
        <v/>
      </c>
      <c r="N42" s="27" t="str">
        <f t="shared" si="51"/>
        <v/>
      </c>
      <c r="O42" s="27" t="str">
        <f t="shared" si="52"/>
        <v/>
      </c>
      <c r="P42" s="27" t="str">
        <f>IF($G42="","",M42*ADRYr3!P42)</f>
        <v/>
      </c>
      <c r="Q42" s="27" t="str">
        <f t="shared" si="53"/>
        <v/>
      </c>
      <c r="R42" s="27" t="str">
        <f>IF($G42="","",$Q42*ADRYr3!Z42)</f>
        <v/>
      </c>
      <c r="S42" s="27" t="str">
        <f>IF($G42="","",$Q42*ADRYr3!AA42)</f>
        <v/>
      </c>
      <c r="T42" s="27" t="str">
        <f>IF($G42="","",$Q42*ADRYr3!AB42)</f>
        <v/>
      </c>
      <c r="U42" s="27" t="str">
        <f>IF($G42="","",$Q42*ADRYr3!AC42)</f>
        <v/>
      </c>
      <c r="V42" s="27" t="str">
        <f>IF($G42="","",G42*ADRYr3!$AD42*ADRYr3!$P42*ADRYr3!$Q42)</f>
        <v/>
      </c>
      <c r="W42" s="27" t="str">
        <f>IF($G42="","",$G42*ADRYr3!$AD42*ADRYr3!$AF42*ADRYr3!Q42*ADRYr3!$S42)</f>
        <v/>
      </c>
      <c r="X42" s="27" t="str">
        <f>IF($G42="","",$G42*ADRYr3!$AD42*ADRYr3!$AF42*ADRYr3!P42*ADRYr3!Q42*ADRYr3!$S42)</f>
        <v/>
      </c>
      <c r="Y42" s="27" t="str">
        <f>IF($G42="","",$G42*ADRYr3!$AD42*ADRYr3!$AE42*ADRYr3!Q42*ADRYr3!$T42)</f>
        <v/>
      </c>
      <c r="Z42" s="27" t="str">
        <f>IF($G42="","",$G42*ADRYr3!$AD42*ADRYr3!$AE42*ADRYr3!P42*ADRYr3!Q42*ADRYr3!$T42)</f>
        <v/>
      </c>
      <c r="AA42" s="45" t="str">
        <f>IF($G42="","",$G42*ADRYr3!$Q42*ADRYr3!$U42*(IF(IFERROR(SEARCH("NG", ADRYr3!$AI42),0),ADRYr3!$AJ42,0)+IF(IFERROR(SEARCH("NG", ADRYr3!$AK42),0),ADRYr3!$AL42,0)+IF(IFERROR(SEARCH("NG", ADRYr3!$AM42),0),ADRYr3!$AN42,0)))</f>
        <v/>
      </c>
      <c r="AB42" s="45" t="str">
        <f t="shared" si="54"/>
        <v/>
      </c>
      <c r="AC42" s="45">
        <f>IF($G42="",0,AA42*ADRYr3!$P42)</f>
        <v>0</v>
      </c>
      <c r="AD42" s="45" t="str">
        <f t="shared" si="55"/>
        <v/>
      </c>
      <c r="AE42" s="45" t="str">
        <f>IF($G42="","",$G42*ADRYr3!$Q42*ADRYr3!$U42*(IF(IFERROR(SEARCH("Oil", ADRYr3!$AI42), 0),ADRYr3!$AJ42,0)+IF(IFERROR(SEARCH("Oil", ADRYr3!$AK42), 0),ADRYr3!$AL42,0)+IF(IFERROR(SEARCH("Oil", ADRYr3!$AM42), 0),ADRYr3!$AN42,0)))</f>
        <v/>
      </c>
      <c r="AF42" s="45" t="str">
        <f t="shared" si="56"/>
        <v/>
      </c>
      <c r="AG42" s="45">
        <f>IF($G42="",0,AE42*ADRYr3!$P42)</f>
        <v>0</v>
      </c>
      <c r="AH42" s="45" t="str">
        <f t="shared" si="57"/>
        <v/>
      </c>
      <c r="AI42" s="45" t="str">
        <f>IF($G42="","",$G42*ADRYr3!$Q42*ADRYr3!$U42*(IF(ADRYr3!$AI42=Lookups!$E$116,ADRYr3!$AJ42,IF(ADRYr3!$AK42=Lookups!$E$116,ADRYr3!$AL42,IF(ADRYr3!$AM42=Lookups!$E$116,ADRYr3!$AN42,0)))))</f>
        <v/>
      </c>
      <c r="AJ42" s="45" t="str">
        <f t="shared" si="58"/>
        <v/>
      </c>
      <c r="AK42" s="45">
        <f>IF($G42="",0,AI42*ADRYr3!$P42)</f>
        <v>0</v>
      </c>
      <c r="AL42" s="45" t="str">
        <f t="shared" si="59"/>
        <v/>
      </c>
      <c r="AM42" s="45" t="str">
        <f>IF($G42="","",$G42*ADRYr3!$Q42*ADRYr3!$U42*(IF(ADRYr3!$AI42=Lookups!$E$115,ADRYr3!$AJ42,IF(ADRYr3!$AK42=Lookups!$E$115,ADRYr3!$AL42,IF(ADRYr3!$AM42=Lookups!$E$115,ADRYr3!$AN42,0)))))</f>
        <v/>
      </c>
      <c r="AN42" s="45" t="str">
        <f t="shared" si="60"/>
        <v/>
      </c>
      <c r="AO42" s="45">
        <f>IF($G42="",0,AM42*ADRYr3!$P42)</f>
        <v>0</v>
      </c>
      <c r="AP42" s="45" t="str">
        <f t="shared" si="61"/>
        <v/>
      </c>
      <c r="AQ42" s="45" t="str">
        <f>IF($G42="","",$G42*ADRYr3!$Q42*ADRYr3!$U42*(IF(ADRYr3!$AI42=Lookups!$E$117,ADRYr3!$AJ42,IF(ADRYr3!$AK42=Lookups!$E$117,ADRYr3!$AL42,IF(ADRYr3!$AM42=Lookups!$E$117,ADRYr3!$AN42,0)))))</f>
        <v/>
      </c>
      <c r="AR42" s="45" t="str">
        <f t="shared" si="62"/>
        <v/>
      </c>
      <c r="AS42" s="45" t="str">
        <f>IF($G42="","",AQ42*ADRYr3!$P42)</f>
        <v/>
      </c>
      <c r="AT42" s="45" t="str">
        <f t="shared" si="63"/>
        <v/>
      </c>
      <c r="AU42" s="45" t="str">
        <f>IF($G42="","",$G42*ADRYr3!$Q42*ADRYr3!$U42*(IF(ADRYr3!$AI42=Lookups!$E$118,ADRYr3!$AJ42,IF(ADRYr3!$AK42=Lookups!$E$118,ADRYr3!$AL42,IF(ADRYr3!$AM42=Lookups!$E$118,ADRYr3!$AN42,0)))))</f>
        <v/>
      </c>
      <c r="AV42" s="45" t="str">
        <f t="shared" si="64"/>
        <v/>
      </c>
      <c r="AW42" s="45" t="str">
        <f>IF($G42="","",AU42*ADRYr3!$P42)</f>
        <v/>
      </c>
      <c r="AX42" s="45" t="str">
        <f t="shared" si="65"/>
        <v/>
      </c>
      <c r="AY42" s="45">
        <f t="shared" si="66"/>
        <v>0</v>
      </c>
      <c r="AZ42" s="45">
        <f t="shared" si="67"/>
        <v>0</v>
      </c>
      <c r="BA42" s="101" t="str">
        <f>IF($G42="","",$G42*ADRYr3!$P42*ADRYr3!$Q42*ADRYr3!$U42*ADRYr3!AO42)</f>
        <v/>
      </c>
      <c r="BB42" s="102" t="str">
        <f>IF($G42="","",$G42*ADRYr3!$P42*ADRYr3!$Q42*ADRYr3!$U42*ADRYr3!AP42)</f>
        <v/>
      </c>
      <c r="BC42" s="100" t="str">
        <f t="shared" si="68"/>
        <v/>
      </c>
      <c r="BD42" s="961"/>
      <c r="BE42" s="961"/>
      <c r="BF42" s="961"/>
      <c r="BG42" s="961"/>
      <c r="BH42" s="962" t="str">
        <f t="shared" si="3"/>
        <v/>
      </c>
      <c r="BI42" s="961"/>
      <c r="BJ42" s="961"/>
      <c r="BK42" s="961"/>
      <c r="BL42" s="961"/>
      <c r="BM42" s="30" t="str">
        <f t="shared" si="4"/>
        <v/>
      </c>
      <c r="BN42" s="963" t="str">
        <f t="shared" si="31"/>
        <v/>
      </c>
      <c r="BO42" s="31" t="str">
        <f t="shared" si="69"/>
        <v/>
      </c>
      <c r="BP42" s="964" t="str">
        <f t="shared" si="5"/>
        <v/>
      </c>
      <c r="BQ42" s="28" t="str">
        <f t="shared" si="6"/>
        <v/>
      </c>
      <c r="BR42" s="964" t="str">
        <f t="shared" si="7"/>
        <v/>
      </c>
      <c r="BS42" s="964" t="str">
        <f t="shared" si="8"/>
        <v/>
      </c>
      <c r="BT42" s="28" t="str">
        <f t="shared" si="82"/>
        <v/>
      </c>
      <c r="BU42" s="28" t="str">
        <f t="shared" si="82"/>
        <v/>
      </c>
      <c r="BV42" s="28" t="str">
        <f t="shared" si="82"/>
        <v/>
      </c>
      <c r="BW42" s="29" t="str">
        <f t="shared" si="70"/>
        <v/>
      </c>
      <c r="BX42" s="29" t="str">
        <f t="shared" si="71"/>
        <v/>
      </c>
      <c r="BY42" s="28" t="str">
        <f>IF($G42="","",$G42*(IF(ADRYr3!$AI42=BY$4,ADRYr3!$AJ42,IF(ADRYr3!$AK42=BY$4,ADRYr3!$AL42,IF(ADRYr3!$AM42=BY$4,ADRYr3!$AN42,0))))*(INDEX(avoidedcosttbl3,$H42,BY$2)+(($H42-ROUNDDOWN($H42,0))*(INDEX(avoidedcosttbl3,ROUNDUP($H42,0),BY$2)-(INDEX(avoidedcosttbl3,ROUNDDOWN($H42,0),BY$2)))))*ADRYr3!P42*ADRYr3!Q42*ADRYr3!U42)</f>
        <v/>
      </c>
      <c r="BZ42" s="28" t="str">
        <f>IF($G42="","",$G42*(IF(ADRYr3!$AI42=BZ$4,ADRYr3!$AJ42,IF(ADRYr3!$AK42=BZ$4,ADRYr3!$AL42,IF(ADRYr3!$AM42=BZ$4,ADRYr3!$AN42,0))))*(INDEX(avoidedcosttbl3,$H42,BZ$2)+(($H42-ROUNDDOWN($H42,0))*(INDEX(avoidedcosttbl3,ROUNDUP($H42,0),BZ$2)-(INDEX(avoidedcosttbl3,ROUNDDOWN($H42,0),BZ$2)))))*ADRYr3!P42*ADRYr3!Q42*ADRYr3!U42)</f>
        <v/>
      </c>
      <c r="CA42" s="28" t="str">
        <f>IF($G42="","",$G42*(IF(ADRYr3!$AI42=CA$4,ADRYr3!$AJ42,IF(ADRYr3!$AK42=CA$4,ADRYr3!$AL42,IF(ADRYr3!$AM42=CA$4,ADRYr3!$AN42,0))))*(INDEX(avoidedcosttbl3,$H42,CA$2)+(($H42-ROUNDDOWN($H42,0))*(INDEX(avoidedcosttbl3,ROUNDUP($H42,0),CA$2)-(INDEX(avoidedcosttbl3,ROUNDDOWN($H42,0),CA$2)))))*ADRYr3!P42*ADRYr3!Q42*ADRYr3!U42)</f>
        <v/>
      </c>
      <c r="CB42" s="28" t="str">
        <f>IF($G42="","",$G42*(IF(ADRYr3!$AI42=CB$4,ADRYr3!$AJ42,IF(ADRYr3!$AK42=CB$4,ADRYr3!$AL42,IF(ADRYr3!$AM42=CB$4,ADRYr3!$AN42,0))))*(INDEX(avoidedcosttbl3,$H42,CB$2)+(($H42-ROUNDDOWN($H42,0))*(INDEX(avoidedcosttbl3,ROUNDUP($H42,0),CB$2)-(INDEX(avoidedcosttbl3,ROUNDDOWN($H42,0),CB$2)))))*ADRYr3!P42*ADRYr3!Q42*ADRYr3!U42)</f>
        <v/>
      </c>
      <c r="CC42" s="28" t="str">
        <f>IF($G42="","",$G42*(IF(ADRYr3!$AI42=CC$4,ADRYr3!$AJ42,IF(ADRYr3!$AK42=CC$4,ADRYr3!$AL42,IF(ADRYr3!$AM42=CC$4,ADRYr3!$AN42,0))))*(INDEX(avoidedcosttbl3,$H42,CC$2)+(($H42-ROUNDDOWN($H42,0))*(INDEX(avoidedcosttbl3,ROUNDUP($H42,0),CC$2)-(INDEX(avoidedcosttbl3,ROUNDDOWN($H42,0),CC$2)))))*ADRYr3!P42*ADRYr3!Q42*ADRYr3!U42)</f>
        <v/>
      </c>
      <c r="CD42" s="28" t="str">
        <f>IF($G42="","",$G42*(IF(ADRYr3!$AI42=CD$4,ADRYr3!$AJ42,IF(ADRYr3!$AK42=CD$4,ADRYr3!$AL42,IF(ADRYr3!$AM42=CD$4,ADRYr3!$AN42,0))))*(INDEX(avoidedcosttbl3,$H42,CD$2)+(($H42-ROUNDDOWN($H42,0))*(INDEX(avoidedcosttbl3,ROUNDUP($H42,0),CD$2)-(INDEX(avoidedcosttbl3,ROUNDDOWN($H42,0),CD$2)))))*ADRYr3!P42*ADRYr3!Q42*ADRYr3!U42)</f>
        <v/>
      </c>
      <c r="CE42" s="28" t="str">
        <f>IF($G42="","",$G42*(IF(ADRYr3!$AI42=CE$4,ADRYr3!$AJ42,IF(ADRYr3!$AK42=CE$4,ADRYr3!$AL42,IF(ADRYr3!$AM42=CE$4,ADRYr3!$AN42,0))))*(INDEX(avoidedcosttbl3,$H42,CE$2)+(($H42-ROUNDDOWN($H42,0))*(INDEX(avoidedcosttbl3,ROUNDUP($H42,0),CE$2)-(INDEX(avoidedcosttbl3,ROUNDDOWN($H42,0),CE$2)))))*ADRYr3!P42*ADRYr3!Q42*ADRYr3!U42)</f>
        <v/>
      </c>
      <c r="CF42" s="41" t="str">
        <f t="shared" si="72"/>
        <v/>
      </c>
      <c r="CG42" s="30" t="str">
        <f t="shared" si="10"/>
        <v/>
      </c>
      <c r="CH42" s="30" t="str">
        <f>IF($G42="","",$G42*(IF(ADRYr3!$AI42=BY$4,ADRYr3!$AJ42,IF(ADRYr3!$AK42=BY$4,ADRYr3!$AL42,IF(ADRYr3!$AM42=BY$4,ADRYr3!$AN42,0))))*(INDEX(avoidedcosttbl3,$H42,CH$2)+(($H42-ROUNDDOWN($H42,0))*(INDEX(avoidedcosttbl3,ROUNDUP($H42,0),CH$2)-(INDEX(avoidedcosttbl3,ROUNDDOWN($H42,0),CH$2)))))*ADRYr3!P42*ADRYr3!Q42*ADRYr3!U42)</f>
        <v/>
      </c>
      <c r="CI42" s="30" t="str">
        <f>IF($G42="","",$G42*(IF(ADRYr3!$AI42=BZ$4,ADRYr3!$AJ42,IF(ADRYr3!$AK42=BZ$4,ADRYr3!$AL42,IF(ADRYr3!$AM42=BZ$4,ADRYr3!$AN42,0))))*(INDEX(avoidedcosttbl3,$H42,CI$2)+(($H42-ROUNDDOWN($H42,0))*(INDEX(avoidedcosttbl3,ROUNDUP($H42,0),CI$2)-(INDEX(avoidedcosttbl3,ROUNDDOWN($H42,0),CI$2)))))*ADRYr3!P42*ADRYr3!Q42*ADRYr3!U42)</f>
        <v/>
      </c>
      <c r="CJ42" s="30" t="str">
        <f>IF($G42="","",$G42*(IF(ADRYr3!$AI42=CA$4,ADRYr3!$AJ42,IF(ADRYr3!$AK42=CA$4,ADRYr3!$AL42,IF(ADRYr3!$AM42=CA$4,ADRYr3!$AN42,0))))*(INDEX(avoidedcosttbl3,$H42,CJ$2)+(($H42-ROUNDDOWN($H42,0))*(INDEX(avoidedcosttbl3,ROUNDUP($H42,0),CJ$2)-(INDEX(avoidedcosttbl3,ROUNDDOWN($H42,0),CJ$2)))))*ADRYr3!P42*ADRYr3!Q42*ADRYr3!U42)</f>
        <v/>
      </c>
      <c r="CK42" s="30" t="str">
        <f>IF($G42="","",$G42*(IF(ADRYr3!$AI42=CB$4,ADRYr3!$AJ42,IF(ADRYr3!$AK42=CB$4,ADRYr3!$AL42,IF(ADRYr3!$AM42=CB$4,ADRYr3!$AN42,0))))*(INDEX(avoidedcosttbl3,$H42,CK$2)+(($H42-ROUNDDOWN($H42,0))*(INDEX(avoidedcosttbl3,ROUNDUP($H42,0),CK$2)-(INDEX(avoidedcosttbl3,ROUNDDOWN($H42,0),CK$2)))))*ADRYr3!P42*ADRYr3!Q42*ADRYr3!U42)</f>
        <v/>
      </c>
      <c r="CL42" s="30" t="str">
        <f>IF($G42="","",$G42*(IF(ADRYr3!$AI42=CC$4,ADRYr3!$AJ42,IF(ADRYr3!$AK42=CC$4,ADRYr3!$AL42,IF(ADRYr3!$AM42=CC$4,ADRYr3!$AN42,0))))*(INDEX(avoidedcosttbl3,$H42,CL$2)+(($H42-ROUNDDOWN($H42,0))*(INDEX(avoidedcosttbl3,ROUNDUP($H42,0),CL$2)-(INDEX(avoidedcosttbl3,ROUNDDOWN($H42,0),CL$2)))))*ADRYr3!P42*ADRYr3!Q42*ADRYr3!U42)</f>
        <v/>
      </c>
      <c r="CM42" s="30" t="str">
        <f>IF($G42="","",$G42*(IF(ADRYr3!$AI42=CD$4,ADRYr3!$AJ42,IF(ADRYr3!$AK42=CD$4,ADRYr3!$AL42,IF(ADRYr3!$AM42=CD$4,ADRYr3!$AN42,0))))*(INDEX(avoidedcosttbl3,$H42,CM$2)+(($H42-ROUNDDOWN($H42,0))*(INDEX(avoidedcosttbl3,ROUNDUP($H42,0),CM$2)-(INDEX(avoidedcosttbl3,ROUNDDOWN($H42,0),CM$2)))))*ADRYr3!P42*ADRYr3!Q42*ADRYr3!U42)</f>
        <v/>
      </c>
      <c r="CN42" s="30" t="str">
        <f>IF($G42="","",$G42*(IF(ADRYr3!$AI42=CE$4,ADRYr3!$AJ42,IF(ADRYr3!$AK42=CE$4,ADRYr3!$AL42,IF(ADRYr3!$AM42=CE$4,ADRYr3!$AN42,0))))*(INDEX(avoidedcosttbl3,$H42,CN$2)+(($H42-ROUNDDOWN($H42,0))*(INDEX(avoidedcosttbl3,ROUNDUP($H42,0),CN$2)-(INDEX(avoidedcosttbl3,ROUNDDOWN($H42,0),CN$2)))))*ADRYr3!P42*ADRYr3!Q42*ADRYr3!U42)</f>
        <v/>
      </c>
      <c r="CO42" s="220" t="str">
        <f t="shared" si="73"/>
        <v/>
      </c>
      <c r="CP42" s="220" t="str">
        <f t="shared" si="74"/>
        <v/>
      </c>
      <c r="CQ42" s="157" t="str">
        <f>IF($G42="","",$G42*(IF(ADRYr3!$AI42=CQ$4,ADRYr3!$AJ42,IF(ADRYr3!$AK42=CQ$4,ADRYr3!$AL42,IF(ADRYr3!$AM42=CQ$4,ADRYr3!$AN42,0))))*(INDEX(avoidedcosttbl3,$H42,CQ$2)+(($H42-ROUNDDOWN($H42,0))*(INDEX(avoidedcosttbl3,ROUNDUP($H42,0),CQ$2)-(INDEX(avoidedcosttbl3,ROUNDDOWN($H42,0),CQ$2)))))*ADRYr3!$P42*ADRYr3!$Q42*ADRYr3!$U42)</f>
        <v/>
      </c>
      <c r="CR42" s="28" t="str">
        <f>IF($G42="","",G42*(IF(ADRYr3!$AI42=CR$4,ADRYr3!$AJ42,IF(ADRYr3!$AK42=CR$4,ADRYr3!$AL42,IF(ADRYr3!$AM42=CR$4,ADRYr3!$AN42,0))))*(INDEX(avoidedcosttbl3,$H42,CR$2)+(($H42-ROUNDDOWN($H42,0))*(INDEX(avoidedcosttbl3,ROUNDUP($H42,0),CR$2)-(INDEX(avoidedcosttbl3,ROUNDDOWN($H42,0),CR$2)))))*ADRYr3!$P42*ADRYr3!$Q42*ADRYr3!$U42)</f>
        <v/>
      </c>
      <c r="CS42" s="28" t="str">
        <f>IF($G42="","",G42*(IF(ADRYr3!$AI42=CS$4,ADRYr3!$AJ42,IF(ADRYr3!$AK42=CS$4,ADRYr3!$AL42,IF(ADRYr3!$AM42=CS$4,ADRYr3!$AN42,0))))*(INDEX(avoidedcosttbl3,$H42,CS$2)+(($H42-ROUNDDOWN($H42,0))*(INDEX(avoidedcosttbl3,ROUNDUP($H42,0),CS$2)-(INDEX(avoidedcosttbl3,ROUNDDOWN($H42,0),CS$2)))))*ADRYr3!$P42*ADRYr3!$Q42*ADRYr3!$U42)</f>
        <v/>
      </c>
      <c r="CT42" s="28" t="str">
        <f t="shared" si="11"/>
        <v/>
      </c>
      <c r="CU42" s="28" t="str">
        <f>IF($G42="","",G42*(IF(ADRYr3!$AI42=CU$4,ADRYr3!$AJ42,IF(ADRYr3!$AK42=CU$4,ADRYr3!$AL42,IF(ADRYr3!$AM42=CU$4,ADRYr3!$AN42,0))))*(INDEX(avoidedcosttbl3,$H42,CU$2)+(($H42-ROUNDDOWN($H42,0))*(INDEX(avoidedcosttbl3,ROUNDUP($H42,0),CU$2)-(INDEX(avoidedcosttbl3,ROUNDDOWN($H42,0),CU$2)))))*ADRYr3!$P42*ADRYr3!$Q42*ADRYr3!$U42)</f>
        <v/>
      </c>
      <c r="CV42" s="28" t="str">
        <f>IF($G42="","",G42*(IF(ADRYr3!$AI42=CV$4,ADRYr3!$AJ42,IF(ADRYr3!$AK42=CV$4,ADRYr3!$AL42,IF(ADRYr3!$AM42=CV$4,ADRYr3!$AN42,0))))*(INDEX(avoidedcosttbl3,$H42,CV$2)+(($H42-ROUNDDOWN($H42,0))*(INDEX(avoidedcosttbl3,ROUNDUP($H42,0),CV$2)-(INDEX(avoidedcosttbl3,ROUNDDOWN($H42,0),CV$2)))))*ADRYr3!$P42*ADRYr3!$Q42*ADRYr3!$U42)</f>
        <v/>
      </c>
      <c r="CW42" s="28" t="str">
        <f>IF($G42="","",G42*(IF(ADRYr3!$AI42=CW$4,ADRYr3!$AJ42,IF(ADRYr3!$AK42=CW$4,ADRYr3!$AL42,IF(ADRYr3!$AM42=CW$4,ADRYr3!$AN42,0))))*(INDEX(avoidedcosttbl3,$H42,CW$2)+(($H42-ROUNDDOWN($H42,0))*(INDEX(avoidedcosttbl3,ROUNDUP($H42,0),CW$2)-(INDEX(avoidedcosttbl3,ROUNDDOWN($H42,0),CW$2)))))*ADRYr3!$P42*ADRYr3!$Q42*ADRYr3!$U42)</f>
        <v/>
      </c>
      <c r="CX42" s="28" t="str">
        <f>IF($G42="","",G42*(IF(ADRYr3!$AI42=CX$4,ADRYr3!$AJ42,IF(ADRYr3!$AK42=CX$4,ADRYr3!$AL42,IF(ADRYr3!$AM42=CX$4,ADRYr3!$AN42,0))))*(INDEX(avoidedcosttbl3,$H42,CX$2)+(($H42-ROUNDDOWN($H42,0))*(INDEX(avoidedcosttbl3,ROUNDUP($H42,0),CX$2)-(INDEX(avoidedcosttbl3,ROUNDDOWN($H42,0),CX$2)))))*ADRYr3!$P42*ADRYr3!$Q42*ADRYr3!$U42)</f>
        <v/>
      </c>
      <c r="CY42" s="28" t="str">
        <f t="shared" si="75"/>
        <v/>
      </c>
      <c r="CZ42" s="32" t="str">
        <f t="shared" si="76"/>
        <v/>
      </c>
      <c r="DA42" s="84" t="str">
        <f t="shared" si="77"/>
        <v/>
      </c>
      <c r="DB42" s="81" t="str">
        <f>IF(NEIadder="Yes",IF($G42="","",INDEX(Lookups!$G$70:$G$71,MATCH($A42,Lookups!$E$70:$E$71,0))*(SUM(CP42:CX42,BX42))),"")</f>
        <v/>
      </c>
      <c r="DC42" s="263" t="str">
        <f t="shared" si="78"/>
        <v/>
      </c>
      <c r="DD42" s="166" t="str">
        <f t="shared" si="79"/>
        <v/>
      </c>
      <c r="DE42" s="82">
        <f t="shared" si="80"/>
        <v>0</v>
      </c>
      <c r="DF42" s="615" t="str">
        <f>IF($G42="","",(1+WntPeakEnergyLL)*(INDEX(avoidedcosttbl3,$H42,DF$2)+(($H42-ROUNDDOWN($H42,0))*(INDEX(avoidedcosttbl3,ROUNDUP($H42,0),DF$2)-(INDEX(avoidedcosttbl3,ROUNDDOWN($H42,0),DF$2)))))*$P42*1000*ADRYr3!Z42)</f>
        <v/>
      </c>
      <c r="DG42" s="615" t="str">
        <f>IF($G42="","",(1+WntOffPeakEnergyLL)*(INDEX(avoidedcosttbl3,$H42,DG$2)+(($H42-ROUNDDOWN($H42,0))*(INDEX(avoidedcosttbl3,ROUNDUP($H42,0),DG$2)-(INDEX(avoidedcosttbl3,ROUNDDOWN($H42,0),DG$2)))))*$P42*1000*ADRYr3!AA42)</f>
        <v/>
      </c>
      <c r="DH42" s="615" t="str">
        <f>IF($G42="","",(1+SumPeakEnergyLL)*(INDEX(avoidedcosttbl3,$H42,DH$2)+(($H42-ROUNDDOWN($H42,0))*(INDEX(avoidedcosttbl3,ROUNDUP($H42,0),DH$2)-(INDEX(avoidedcosttbl3,ROUNDDOWN($H42,0),DH$2)))))*$P42*1000*ADRYr3!AB42)</f>
        <v/>
      </c>
      <c r="DI42" s="615" t="str">
        <f>IF($G42="","",(1+SumOffPeakEnergyLL)*(INDEX(avoidedcosttbl3,$H42,DI$2)+(($H42-ROUNDDOWN($H42,0))*(INDEX(avoidedcosttbl3,ROUNDUP($H42,0),DI$2)-(INDEX(avoidedcosttbl3,ROUNDDOWN($H42,0),DI$2)))))*$P42*1000*ADRYr3!AC42)</f>
        <v/>
      </c>
      <c r="DJ42" s="29" t="str">
        <f t="shared" si="81"/>
        <v/>
      </c>
      <c r="DK42" s="161" t="str">
        <f t="shared" ref="DK42:DK50" si="83">IF($G42="","",DE42+DA42+BX42+DJ42)</f>
        <v/>
      </c>
      <c r="DO42" s="966" t="str">
        <f>IF($G42="","",ADRYr3!AQ42)</f>
        <v/>
      </c>
      <c r="DP42" s="968" t="str">
        <f>IF($G42="","",ADRYr3!AR42)</f>
        <v/>
      </c>
      <c r="DQ42" s="970" t="str">
        <f>IF($G42="","",IF($DP42="Yes",COLUMN(AESC!$L$10),IF($DP42="No","Using AvoidedDemand tab",IF($DP42="Mixed",COLUMN(AESC!$N$10)))))</f>
        <v/>
      </c>
      <c r="DR42" s="970" t="str">
        <f>IF($G42="","",IF($DP42="Yes",COLUMN(AESC!$P$10),IF($DP42="No","Using AvoidedDemand tab",IF($DP42="Mixed",COLUMN(AESC!$R$10)))))</f>
        <v/>
      </c>
      <c r="DS42" s="970" t="str">
        <f>IF($G42="","",IF($DP42="Yes",COLUMN(AESC!$S$10),IF($DP42="No",COLUMN(AESC!$T$10),IF($DP42="Mixed",COLUMN(AESC!$U$10)))))</f>
        <v/>
      </c>
      <c r="DT42" s="970" t="str">
        <f t="shared" si="49"/>
        <v/>
      </c>
      <c r="DU42" s="970" t="str">
        <f>IF($G42="","",ADRYr3!AS42)</f>
        <v/>
      </c>
      <c r="DV42" s="971" t="str">
        <f>IF($G42="","",ADRYr3!AT42)</f>
        <v/>
      </c>
      <c r="DW42" s="1162" t="str">
        <f>IF($G42="","",INDEX(AvoidedEnergy!$H$4:$H$10,MATCH($DO42,AvoidedEnergy!$A$4:$A$10,0)))</f>
        <v/>
      </c>
    </row>
    <row r="43" spans="1:127">
      <c r="A43" s="160" t="str">
        <f>IF(ADRYr3!$B43=0,"",ADRYr3!A43)</f>
        <v/>
      </c>
      <c r="B43" s="9" t="str">
        <f>IF(ADRYr3!$B43=0,"",ADRYr3!B43)</f>
        <v/>
      </c>
      <c r="C43" s="9" t="str">
        <f>IF(ADRYr3!$B43=0,"",ADRYr3!C43)</f>
        <v/>
      </c>
      <c r="D43" s="9" t="str">
        <f>IF(ADRYr3!$B43=0,"",ADRYr3!D43)</f>
        <v/>
      </c>
      <c r="E43" s="9"/>
      <c r="F43" s="11" t="str">
        <f>IF(ADRYr3!$B43=0,"",ADRYr3!F43)</f>
        <v/>
      </c>
      <c r="G43" s="12" t="str">
        <f>IF(ADRYr3!$G43&lt;&gt;0,ADRYr3!G43,"")</f>
        <v/>
      </c>
      <c r="H43" s="960" t="str">
        <f>IF($G43="","",ROUND(ADRYr3!H43,0))</f>
        <v/>
      </c>
      <c r="I43" s="47" t="str">
        <f>IF($G43="","",ADRYr3!I43*ADRYr3!P43*G43)</f>
        <v/>
      </c>
      <c r="J43" s="47" t="str">
        <f>IF($G43="","",ADRYr3!J43*G43)</f>
        <v/>
      </c>
      <c r="K43" s="47" t="str">
        <f t="shared" si="50"/>
        <v/>
      </c>
      <c r="L43" s="27" t="str">
        <f>IF($G43="","",ADRYr3!V43*G43/1000)</f>
        <v/>
      </c>
      <c r="M43" s="27" t="str">
        <f>IF($G43="","",L43*ADRYr3!$Q43*ADRYr3!$R43)</f>
        <v/>
      </c>
      <c r="N43" s="27" t="str">
        <f t="shared" si="51"/>
        <v/>
      </c>
      <c r="O43" s="27" t="str">
        <f t="shared" si="52"/>
        <v/>
      </c>
      <c r="P43" s="27" t="str">
        <f>IF($G43="","",M43*ADRYr3!P43)</f>
        <v/>
      </c>
      <c r="Q43" s="27" t="str">
        <f t="shared" si="53"/>
        <v/>
      </c>
      <c r="R43" s="27" t="str">
        <f>IF($G43="","",$Q43*ADRYr3!Z43)</f>
        <v/>
      </c>
      <c r="S43" s="27" t="str">
        <f>IF($G43="","",$Q43*ADRYr3!AA43)</f>
        <v/>
      </c>
      <c r="T43" s="27" t="str">
        <f>IF($G43="","",$Q43*ADRYr3!AB43)</f>
        <v/>
      </c>
      <c r="U43" s="27" t="str">
        <f>IF($G43="","",$Q43*ADRYr3!AC43)</f>
        <v/>
      </c>
      <c r="V43" s="27" t="str">
        <f>IF($G43="","",G43*ADRYr3!$AD43*ADRYr3!$P43*ADRYr3!$Q43)</f>
        <v/>
      </c>
      <c r="W43" s="27" t="str">
        <f>IF($G43="","",$G43*ADRYr3!$AD43*ADRYr3!$AF43*ADRYr3!Q43*ADRYr3!$S43)</f>
        <v/>
      </c>
      <c r="X43" s="27" t="str">
        <f>IF($G43="","",$G43*ADRYr3!$AD43*ADRYr3!$AF43*ADRYr3!P43*ADRYr3!Q43*ADRYr3!$S43)</f>
        <v/>
      </c>
      <c r="Y43" s="27" t="str">
        <f>IF($G43="","",$G43*ADRYr3!$AD43*ADRYr3!$AE43*ADRYr3!Q43*ADRYr3!$T43)</f>
        <v/>
      </c>
      <c r="Z43" s="27" t="str">
        <f>IF($G43="","",$G43*ADRYr3!$AD43*ADRYr3!$AE43*ADRYr3!P43*ADRYr3!Q43*ADRYr3!$T43)</f>
        <v/>
      </c>
      <c r="AA43" s="45" t="str">
        <f>IF($G43="","",$G43*ADRYr3!$Q43*ADRYr3!$U43*(IF(IFERROR(SEARCH("NG", ADRYr3!$AI43),0),ADRYr3!$AJ43,0)+IF(IFERROR(SEARCH("NG", ADRYr3!$AK43),0),ADRYr3!$AL43,0)+IF(IFERROR(SEARCH("NG", ADRYr3!$AM43),0),ADRYr3!$AN43,0)))</f>
        <v/>
      </c>
      <c r="AB43" s="45" t="str">
        <f t="shared" si="54"/>
        <v/>
      </c>
      <c r="AC43" s="45">
        <f>IF($G43="",0,AA43*ADRYr3!$P43)</f>
        <v>0</v>
      </c>
      <c r="AD43" s="45" t="str">
        <f t="shared" si="55"/>
        <v/>
      </c>
      <c r="AE43" s="45" t="str">
        <f>IF($G43="","",$G43*ADRYr3!$Q43*ADRYr3!$U43*(IF(IFERROR(SEARCH("Oil", ADRYr3!$AI43), 0),ADRYr3!$AJ43,0)+IF(IFERROR(SEARCH("Oil", ADRYr3!$AK43), 0),ADRYr3!$AL43,0)+IF(IFERROR(SEARCH("Oil", ADRYr3!$AM43), 0),ADRYr3!$AN43,0)))</f>
        <v/>
      </c>
      <c r="AF43" s="45" t="str">
        <f t="shared" si="56"/>
        <v/>
      </c>
      <c r="AG43" s="45">
        <f>IF($G43="",0,AE43*ADRYr3!$P43)</f>
        <v>0</v>
      </c>
      <c r="AH43" s="45" t="str">
        <f t="shared" si="57"/>
        <v/>
      </c>
      <c r="AI43" s="45" t="str">
        <f>IF($G43="","",$G43*ADRYr3!$Q43*ADRYr3!$U43*(IF(ADRYr3!$AI43=Lookups!$E$116,ADRYr3!$AJ43,IF(ADRYr3!$AK43=Lookups!$E$116,ADRYr3!$AL43,IF(ADRYr3!$AM43=Lookups!$E$116,ADRYr3!$AN43,0)))))</f>
        <v/>
      </c>
      <c r="AJ43" s="45" t="str">
        <f t="shared" si="58"/>
        <v/>
      </c>
      <c r="AK43" s="45">
        <f>IF($G43="",0,AI43*ADRYr3!$P43)</f>
        <v>0</v>
      </c>
      <c r="AL43" s="45" t="str">
        <f t="shared" si="59"/>
        <v/>
      </c>
      <c r="AM43" s="45" t="str">
        <f>IF($G43="","",$G43*ADRYr3!$Q43*ADRYr3!$U43*(IF(ADRYr3!$AI43=Lookups!$E$115,ADRYr3!$AJ43,IF(ADRYr3!$AK43=Lookups!$E$115,ADRYr3!$AL43,IF(ADRYr3!$AM43=Lookups!$E$115,ADRYr3!$AN43,0)))))</f>
        <v/>
      </c>
      <c r="AN43" s="45" t="str">
        <f t="shared" si="60"/>
        <v/>
      </c>
      <c r="AO43" s="45">
        <f>IF($G43="",0,AM43*ADRYr3!$P43)</f>
        <v>0</v>
      </c>
      <c r="AP43" s="45" t="str">
        <f t="shared" si="61"/>
        <v/>
      </c>
      <c r="AQ43" s="45" t="str">
        <f>IF($G43="","",$G43*ADRYr3!$Q43*ADRYr3!$U43*(IF(ADRYr3!$AI43=Lookups!$E$117,ADRYr3!$AJ43,IF(ADRYr3!$AK43=Lookups!$E$117,ADRYr3!$AL43,IF(ADRYr3!$AM43=Lookups!$E$117,ADRYr3!$AN43,0)))))</f>
        <v/>
      </c>
      <c r="AR43" s="45" t="str">
        <f t="shared" si="62"/>
        <v/>
      </c>
      <c r="AS43" s="45" t="str">
        <f>IF($G43="","",AQ43*ADRYr3!$P43)</f>
        <v/>
      </c>
      <c r="AT43" s="45" t="str">
        <f t="shared" si="63"/>
        <v/>
      </c>
      <c r="AU43" s="45" t="str">
        <f>IF($G43="","",$G43*ADRYr3!$Q43*ADRYr3!$U43*(IF(ADRYr3!$AI43=Lookups!$E$118,ADRYr3!$AJ43,IF(ADRYr3!$AK43=Lookups!$E$118,ADRYr3!$AL43,IF(ADRYr3!$AM43=Lookups!$E$118,ADRYr3!$AN43,0)))))</f>
        <v/>
      </c>
      <c r="AV43" s="45" t="str">
        <f t="shared" si="64"/>
        <v/>
      </c>
      <c r="AW43" s="45" t="str">
        <f>IF($G43="","",AU43*ADRYr3!$P43)</f>
        <v/>
      </c>
      <c r="AX43" s="45" t="str">
        <f t="shared" si="65"/>
        <v/>
      </c>
      <c r="AY43" s="45">
        <f t="shared" si="66"/>
        <v>0</v>
      </c>
      <c r="AZ43" s="45">
        <f t="shared" si="67"/>
        <v>0</v>
      </c>
      <c r="BA43" s="101" t="str">
        <f>IF($G43="","",$G43*ADRYr3!$P43*ADRYr3!$Q43*ADRYr3!$U43*ADRYr3!AO43)</f>
        <v/>
      </c>
      <c r="BB43" s="102" t="str">
        <f>IF($G43="","",$G43*ADRYr3!$P43*ADRYr3!$Q43*ADRYr3!$U43*ADRYr3!AP43)</f>
        <v/>
      </c>
      <c r="BC43" s="100" t="str">
        <f t="shared" si="68"/>
        <v/>
      </c>
      <c r="BD43" s="961"/>
      <c r="BE43" s="961"/>
      <c r="BF43" s="961"/>
      <c r="BG43" s="961"/>
      <c r="BH43" s="962" t="str">
        <f t="shared" si="3"/>
        <v/>
      </c>
      <c r="BI43" s="961"/>
      <c r="BJ43" s="961"/>
      <c r="BK43" s="961"/>
      <c r="BL43" s="961"/>
      <c r="BM43" s="30" t="str">
        <f t="shared" si="4"/>
        <v/>
      </c>
      <c r="BN43" s="963" t="str">
        <f t="shared" si="31"/>
        <v/>
      </c>
      <c r="BO43" s="31" t="str">
        <f t="shared" si="69"/>
        <v/>
      </c>
      <c r="BP43" s="964" t="str">
        <f t="shared" si="5"/>
        <v/>
      </c>
      <c r="BQ43" s="28" t="str">
        <f t="shared" si="6"/>
        <v/>
      </c>
      <c r="BR43" s="964" t="str">
        <f t="shared" si="7"/>
        <v/>
      </c>
      <c r="BS43" s="964" t="str">
        <f t="shared" si="8"/>
        <v/>
      </c>
      <c r="BT43" s="28" t="str">
        <f t="shared" si="82"/>
        <v/>
      </c>
      <c r="BU43" s="28" t="str">
        <f t="shared" si="82"/>
        <v/>
      </c>
      <c r="BV43" s="28" t="str">
        <f t="shared" si="82"/>
        <v/>
      </c>
      <c r="BW43" s="29" t="str">
        <f t="shared" si="70"/>
        <v/>
      </c>
      <c r="BX43" s="29" t="str">
        <f t="shared" si="71"/>
        <v/>
      </c>
      <c r="BY43" s="28" t="str">
        <f>IF($G43="","",$G43*(IF(ADRYr3!$AI43=BY$4,ADRYr3!$AJ43,IF(ADRYr3!$AK43=BY$4,ADRYr3!$AL43,IF(ADRYr3!$AM43=BY$4,ADRYr3!$AN43,0))))*(INDEX(avoidedcosttbl3,$H43,BY$2)+(($H43-ROUNDDOWN($H43,0))*(INDEX(avoidedcosttbl3,ROUNDUP($H43,0),BY$2)-(INDEX(avoidedcosttbl3,ROUNDDOWN($H43,0),BY$2)))))*ADRYr3!P43*ADRYr3!Q43*ADRYr3!U43)</f>
        <v/>
      </c>
      <c r="BZ43" s="28" t="str">
        <f>IF($G43="","",$G43*(IF(ADRYr3!$AI43=BZ$4,ADRYr3!$AJ43,IF(ADRYr3!$AK43=BZ$4,ADRYr3!$AL43,IF(ADRYr3!$AM43=BZ$4,ADRYr3!$AN43,0))))*(INDEX(avoidedcosttbl3,$H43,BZ$2)+(($H43-ROUNDDOWN($H43,0))*(INDEX(avoidedcosttbl3,ROUNDUP($H43,0),BZ$2)-(INDEX(avoidedcosttbl3,ROUNDDOWN($H43,0),BZ$2)))))*ADRYr3!P43*ADRYr3!Q43*ADRYr3!U43)</f>
        <v/>
      </c>
      <c r="CA43" s="28" t="str">
        <f>IF($G43="","",$G43*(IF(ADRYr3!$AI43=CA$4,ADRYr3!$AJ43,IF(ADRYr3!$AK43=CA$4,ADRYr3!$AL43,IF(ADRYr3!$AM43=CA$4,ADRYr3!$AN43,0))))*(INDEX(avoidedcosttbl3,$H43,CA$2)+(($H43-ROUNDDOWN($H43,0))*(INDEX(avoidedcosttbl3,ROUNDUP($H43,0),CA$2)-(INDEX(avoidedcosttbl3,ROUNDDOWN($H43,0),CA$2)))))*ADRYr3!P43*ADRYr3!Q43*ADRYr3!U43)</f>
        <v/>
      </c>
      <c r="CB43" s="28" t="str">
        <f>IF($G43="","",$G43*(IF(ADRYr3!$AI43=CB$4,ADRYr3!$AJ43,IF(ADRYr3!$AK43=CB$4,ADRYr3!$AL43,IF(ADRYr3!$AM43=CB$4,ADRYr3!$AN43,0))))*(INDEX(avoidedcosttbl3,$H43,CB$2)+(($H43-ROUNDDOWN($H43,0))*(INDEX(avoidedcosttbl3,ROUNDUP($H43,0),CB$2)-(INDEX(avoidedcosttbl3,ROUNDDOWN($H43,0),CB$2)))))*ADRYr3!P43*ADRYr3!Q43*ADRYr3!U43)</f>
        <v/>
      </c>
      <c r="CC43" s="28" t="str">
        <f>IF($G43="","",$G43*(IF(ADRYr3!$AI43=CC$4,ADRYr3!$AJ43,IF(ADRYr3!$AK43=CC$4,ADRYr3!$AL43,IF(ADRYr3!$AM43=CC$4,ADRYr3!$AN43,0))))*(INDEX(avoidedcosttbl3,$H43,CC$2)+(($H43-ROUNDDOWN($H43,0))*(INDEX(avoidedcosttbl3,ROUNDUP($H43,0),CC$2)-(INDEX(avoidedcosttbl3,ROUNDDOWN($H43,0),CC$2)))))*ADRYr3!P43*ADRYr3!Q43*ADRYr3!U43)</f>
        <v/>
      </c>
      <c r="CD43" s="28" t="str">
        <f>IF($G43="","",$G43*(IF(ADRYr3!$AI43=CD$4,ADRYr3!$AJ43,IF(ADRYr3!$AK43=CD$4,ADRYr3!$AL43,IF(ADRYr3!$AM43=CD$4,ADRYr3!$AN43,0))))*(INDEX(avoidedcosttbl3,$H43,CD$2)+(($H43-ROUNDDOWN($H43,0))*(INDEX(avoidedcosttbl3,ROUNDUP($H43,0),CD$2)-(INDEX(avoidedcosttbl3,ROUNDDOWN($H43,0),CD$2)))))*ADRYr3!P43*ADRYr3!Q43*ADRYr3!U43)</f>
        <v/>
      </c>
      <c r="CE43" s="28" t="str">
        <f>IF($G43="","",$G43*(IF(ADRYr3!$AI43=CE$4,ADRYr3!$AJ43,IF(ADRYr3!$AK43=CE$4,ADRYr3!$AL43,IF(ADRYr3!$AM43=CE$4,ADRYr3!$AN43,0))))*(INDEX(avoidedcosttbl3,$H43,CE$2)+(($H43-ROUNDDOWN($H43,0))*(INDEX(avoidedcosttbl3,ROUNDUP($H43,0),CE$2)-(INDEX(avoidedcosttbl3,ROUNDDOWN($H43,0),CE$2)))))*ADRYr3!P43*ADRYr3!Q43*ADRYr3!U43)</f>
        <v/>
      </c>
      <c r="CF43" s="41" t="str">
        <f t="shared" si="72"/>
        <v/>
      </c>
      <c r="CG43" s="30" t="str">
        <f t="shared" si="10"/>
        <v/>
      </c>
      <c r="CH43" s="30" t="str">
        <f>IF($G43="","",$G43*(IF(ADRYr3!$AI43=BY$4,ADRYr3!$AJ43,IF(ADRYr3!$AK43=BY$4,ADRYr3!$AL43,IF(ADRYr3!$AM43=BY$4,ADRYr3!$AN43,0))))*(INDEX(avoidedcosttbl3,$H43,CH$2)+(($H43-ROUNDDOWN($H43,0))*(INDEX(avoidedcosttbl3,ROUNDUP($H43,0),CH$2)-(INDEX(avoidedcosttbl3,ROUNDDOWN($H43,0),CH$2)))))*ADRYr3!P43*ADRYr3!Q43*ADRYr3!U43)</f>
        <v/>
      </c>
      <c r="CI43" s="30" t="str">
        <f>IF($G43="","",$G43*(IF(ADRYr3!$AI43=BZ$4,ADRYr3!$AJ43,IF(ADRYr3!$AK43=BZ$4,ADRYr3!$AL43,IF(ADRYr3!$AM43=BZ$4,ADRYr3!$AN43,0))))*(INDEX(avoidedcosttbl3,$H43,CI$2)+(($H43-ROUNDDOWN($H43,0))*(INDEX(avoidedcosttbl3,ROUNDUP($H43,0),CI$2)-(INDEX(avoidedcosttbl3,ROUNDDOWN($H43,0),CI$2)))))*ADRYr3!P43*ADRYr3!Q43*ADRYr3!U43)</f>
        <v/>
      </c>
      <c r="CJ43" s="30" t="str">
        <f>IF($G43="","",$G43*(IF(ADRYr3!$AI43=CA$4,ADRYr3!$AJ43,IF(ADRYr3!$AK43=CA$4,ADRYr3!$AL43,IF(ADRYr3!$AM43=CA$4,ADRYr3!$AN43,0))))*(INDEX(avoidedcosttbl3,$H43,CJ$2)+(($H43-ROUNDDOWN($H43,0))*(INDEX(avoidedcosttbl3,ROUNDUP($H43,0),CJ$2)-(INDEX(avoidedcosttbl3,ROUNDDOWN($H43,0),CJ$2)))))*ADRYr3!P43*ADRYr3!Q43*ADRYr3!U43)</f>
        <v/>
      </c>
      <c r="CK43" s="30" t="str">
        <f>IF($G43="","",$G43*(IF(ADRYr3!$AI43=CB$4,ADRYr3!$AJ43,IF(ADRYr3!$AK43=CB$4,ADRYr3!$AL43,IF(ADRYr3!$AM43=CB$4,ADRYr3!$AN43,0))))*(INDEX(avoidedcosttbl3,$H43,CK$2)+(($H43-ROUNDDOWN($H43,0))*(INDEX(avoidedcosttbl3,ROUNDUP($H43,0),CK$2)-(INDEX(avoidedcosttbl3,ROUNDDOWN($H43,0),CK$2)))))*ADRYr3!P43*ADRYr3!Q43*ADRYr3!U43)</f>
        <v/>
      </c>
      <c r="CL43" s="30" t="str">
        <f>IF($G43="","",$G43*(IF(ADRYr3!$AI43=CC$4,ADRYr3!$AJ43,IF(ADRYr3!$AK43=CC$4,ADRYr3!$AL43,IF(ADRYr3!$AM43=CC$4,ADRYr3!$AN43,0))))*(INDEX(avoidedcosttbl3,$H43,CL$2)+(($H43-ROUNDDOWN($H43,0))*(INDEX(avoidedcosttbl3,ROUNDUP($H43,0),CL$2)-(INDEX(avoidedcosttbl3,ROUNDDOWN($H43,0),CL$2)))))*ADRYr3!P43*ADRYr3!Q43*ADRYr3!U43)</f>
        <v/>
      </c>
      <c r="CM43" s="30" t="str">
        <f>IF($G43="","",$G43*(IF(ADRYr3!$AI43=CD$4,ADRYr3!$AJ43,IF(ADRYr3!$AK43=CD$4,ADRYr3!$AL43,IF(ADRYr3!$AM43=CD$4,ADRYr3!$AN43,0))))*(INDEX(avoidedcosttbl3,$H43,CM$2)+(($H43-ROUNDDOWN($H43,0))*(INDEX(avoidedcosttbl3,ROUNDUP($H43,0),CM$2)-(INDEX(avoidedcosttbl3,ROUNDDOWN($H43,0),CM$2)))))*ADRYr3!P43*ADRYr3!Q43*ADRYr3!U43)</f>
        <v/>
      </c>
      <c r="CN43" s="30" t="str">
        <f>IF($G43="","",$G43*(IF(ADRYr3!$AI43=CE$4,ADRYr3!$AJ43,IF(ADRYr3!$AK43=CE$4,ADRYr3!$AL43,IF(ADRYr3!$AM43=CE$4,ADRYr3!$AN43,0))))*(INDEX(avoidedcosttbl3,$H43,CN$2)+(($H43-ROUNDDOWN($H43,0))*(INDEX(avoidedcosttbl3,ROUNDUP($H43,0),CN$2)-(INDEX(avoidedcosttbl3,ROUNDDOWN($H43,0),CN$2)))))*ADRYr3!P43*ADRYr3!Q43*ADRYr3!U43)</f>
        <v/>
      </c>
      <c r="CO43" s="220" t="str">
        <f t="shared" si="73"/>
        <v/>
      </c>
      <c r="CP43" s="220" t="str">
        <f t="shared" si="74"/>
        <v/>
      </c>
      <c r="CQ43" s="157" t="str">
        <f>IF($G43="","",$G43*(IF(ADRYr3!$AI43=CQ$4,ADRYr3!$AJ43,IF(ADRYr3!$AK43=CQ$4,ADRYr3!$AL43,IF(ADRYr3!$AM43=CQ$4,ADRYr3!$AN43,0))))*(INDEX(avoidedcosttbl3,$H43,CQ$2)+(($H43-ROUNDDOWN($H43,0))*(INDEX(avoidedcosttbl3,ROUNDUP($H43,0),CQ$2)-(INDEX(avoidedcosttbl3,ROUNDDOWN($H43,0),CQ$2)))))*ADRYr3!$P43*ADRYr3!$Q43*ADRYr3!$U43)</f>
        <v/>
      </c>
      <c r="CR43" s="28" t="str">
        <f>IF($G43="","",G43*(IF(ADRYr3!$AI43=CR$4,ADRYr3!$AJ43,IF(ADRYr3!$AK43=CR$4,ADRYr3!$AL43,IF(ADRYr3!$AM43=CR$4,ADRYr3!$AN43,0))))*(INDEX(avoidedcosttbl3,$H43,CR$2)+(($H43-ROUNDDOWN($H43,0))*(INDEX(avoidedcosttbl3,ROUNDUP($H43,0),CR$2)-(INDEX(avoidedcosttbl3,ROUNDDOWN($H43,0),CR$2)))))*ADRYr3!$P43*ADRYr3!$Q43*ADRYr3!$U43)</f>
        <v/>
      </c>
      <c r="CS43" s="28" t="str">
        <f>IF($G43="","",G43*(IF(ADRYr3!$AI43=CS$4,ADRYr3!$AJ43,IF(ADRYr3!$AK43=CS$4,ADRYr3!$AL43,IF(ADRYr3!$AM43=CS$4,ADRYr3!$AN43,0))))*(INDEX(avoidedcosttbl3,$H43,CS$2)+(($H43-ROUNDDOWN($H43,0))*(INDEX(avoidedcosttbl3,ROUNDUP($H43,0),CS$2)-(INDEX(avoidedcosttbl3,ROUNDDOWN($H43,0),CS$2)))))*ADRYr3!$P43*ADRYr3!$Q43*ADRYr3!$U43)</f>
        <v/>
      </c>
      <c r="CT43" s="28" t="str">
        <f t="shared" si="11"/>
        <v/>
      </c>
      <c r="CU43" s="28" t="str">
        <f>IF($G43="","",G43*(IF(ADRYr3!$AI43=CU$4,ADRYr3!$AJ43,IF(ADRYr3!$AK43=CU$4,ADRYr3!$AL43,IF(ADRYr3!$AM43=CU$4,ADRYr3!$AN43,0))))*(INDEX(avoidedcosttbl3,$H43,CU$2)+(($H43-ROUNDDOWN($H43,0))*(INDEX(avoidedcosttbl3,ROUNDUP($H43,0),CU$2)-(INDEX(avoidedcosttbl3,ROUNDDOWN($H43,0),CU$2)))))*ADRYr3!$P43*ADRYr3!$Q43*ADRYr3!$U43)</f>
        <v/>
      </c>
      <c r="CV43" s="28" t="str">
        <f>IF($G43="","",G43*(IF(ADRYr3!$AI43=CV$4,ADRYr3!$AJ43,IF(ADRYr3!$AK43=CV$4,ADRYr3!$AL43,IF(ADRYr3!$AM43=CV$4,ADRYr3!$AN43,0))))*(INDEX(avoidedcosttbl3,$H43,CV$2)+(($H43-ROUNDDOWN($H43,0))*(INDEX(avoidedcosttbl3,ROUNDUP($H43,0),CV$2)-(INDEX(avoidedcosttbl3,ROUNDDOWN($H43,0),CV$2)))))*ADRYr3!$P43*ADRYr3!$Q43*ADRYr3!$U43)</f>
        <v/>
      </c>
      <c r="CW43" s="28" t="str">
        <f>IF($G43="","",G43*(IF(ADRYr3!$AI43=CW$4,ADRYr3!$AJ43,IF(ADRYr3!$AK43=CW$4,ADRYr3!$AL43,IF(ADRYr3!$AM43=CW$4,ADRYr3!$AN43,0))))*(INDEX(avoidedcosttbl3,$H43,CW$2)+(($H43-ROUNDDOWN($H43,0))*(INDEX(avoidedcosttbl3,ROUNDUP($H43,0),CW$2)-(INDEX(avoidedcosttbl3,ROUNDDOWN($H43,0),CW$2)))))*ADRYr3!$P43*ADRYr3!$Q43*ADRYr3!$U43)</f>
        <v/>
      </c>
      <c r="CX43" s="28" t="str">
        <f>IF($G43="","",G43*(IF(ADRYr3!$AI43=CX$4,ADRYr3!$AJ43,IF(ADRYr3!$AK43=CX$4,ADRYr3!$AL43,IF(ADRYr3!$AM43=CX$4,ADRYr3!$AN43,0))))*(INDEX(avoidedcosttbl3,$H43,CX$2)+(($H43-ROUNDDOWN($H43,0))*(INDEX(avoidedcosttbl3,ROUNDUP($H43,0),CX$2)-(INDEX(avoidedcosttbl3,ROUNDDOWN($H43,0),CX$2)))))*ADRYr3!$P43*ADRYr3!$Q43*ADRYr3!$U43)</f>
        <v/>
      </c>
      <c r="CY43" s="28" t="str">
        <f t="shared" si="75"/>
        <v/>
      </c>
      <c r="CZ43" s="32" t="str">
        <f t="shared" si="76"/>
        <v/>
      </c>
      <c r="DA43" s="84" t="str">
        <f t="shared" si="77"/>
        <v/>
      </c>
      <c r="DB43" s="81" t="str">
        <f>IF(NEIadder="Yes",IF($G43="","",INDEX(Lookups!$G$70:$G$71,MATCH($A43,Lookups!$E$70:$E$71,0))*(SUM(CP43:CX43,BX43))),"")</f>
        <v/>
      </c>
      <c r="DC43" s="263" t="str">
        <f t="shared" si="78"/>
        <v/>
      </c>
      <c r="DD43" s="166" t="str">
        <f t="shared" si="79"/>
        <v/>
      </c>
      <c r="DE43" s="82">
        <f t="shared" si="80"/>
        <v>0</v>
      </c>
      <c r="DF43" s="615" t="str">
        <f>IF($G43="","",(1+WntPeakEnergyLL)*(INDEX(avoidedcosttbl3,$H43,DF$2)+(($H43-ROUNDDOWN($H43,0))*(INDEX(avoidedcosttbl3,ROUNDUP($H43,0),DF$2)-(INDEX(avoidedcosttbl3,ROUNDDOWN($H43,0),DF$2)))))*$P43*1000*ADRYr3!Z43)</f>
        <v/>
      </c>
      <c r="DG43" s="615" t="str">
        <f>IF($G43="","",(1+WntOffPeakEnergyLL)*(INDEX(avoidedcosttbl3,$H43,DG$2)+(($H43-ROUNDDOWN($H43,0))*(INDEX(avoidedcosttbl3,ROUNDUP($H43,0),DG$2)-(INDEX(avoidedcosttbl3,ROUNDDOWN($H43,0),DG$2)))))*$P43*1000*ADRYr3!AA43)</f>
        <v/>
      </c>
      <c r="DH43" s="615" t="str">
        <f>IF($G43="","",(1+SumPeakEnergyLL)*(INDEX(avoidedcosttbl3,$H43,DH$2)+(($H43-ROUNDDOWN($H43,0))*(INDEX(avoidedcosttbl3,ROUNDUP($H43,0),DH$2)-(INDEX(avoidedcosttbl3,ROUNDDOWN($H43,0),DH$2)))))*$P43*1000*ADRYr3!AB43)</f>
        <v/>
      </c>
      <c r="DI43" s="615" t="str">
        <f>IF($G43="","",(1+SumOffPeakEnergyLL)*(INDEX(avoidedcosttbl3,$H43,DI$2)+(($H43-ROUNDDOWN($H43,0))*(INDEX(avoidedcosttbl3,ROUNDUP($H43,0),DI$2)-(INDEX(avoidedcosttbl3,ROUNDDOWN($H43,0),DI$2)))))*$P43*1000*ADRYr3!AC43)</f>
        <v/>
      </c>
      <c r="DJ43" s="29" t="str">
        <f t="shared" si="81"/>
        <v/>
      </c>
      <c r="DK43" s="161" t="str">
        <f t="shared" si="83"/>
        <v/>
      </c>
      <c r="DO43" s="966" t="str">
        <f>IF($G43="","",ADRYr3!AQ43)</f>
        <v/>
      </c>
      <c r="DP43" s="968" t="str">
        <f>IF($G43="","",ADRYr3!AR43)</f>
        <v/>
      </c>
      <c r="DQ43" s="970" t="str">
        <f>IF($G43="","",IF($DP43="Yes",COLUMN(AESC!$L$10),IF($DP43="No","Using AvoidedDemand tab",IF($DP43="Mixed",COLUMN(AESC!$N$10)))))</f>
        <v/>
      </c>
      <c r="DR43" s="970" t="str">
        <f>IF($G43="","",IF($DP43="Yes",COLUMN(AESC!$P$10),IF($DP43="No","Using AvoidedDemand tab",IF($DP43="Mixed",COLUMN(AESC!$R$10)))))</f>
        <v/>
      </c>
      <c r="DS43" s="970" t="str">
        <f>IF($G43="","",IF($DP43="Yes",COLUMN(AESC!$S$10),IF($DP43="No",COLUMN(AESC!$T$10),IF($DP43="Mixed",COLUMN(AESC!$U$10)))))</f>
        <v/>
      </c>
      <c r="DT43" s="970" t="str">
        <f t="shared" si="49"/>
        <v/>
      </c>
      <c r="DU43" s="970" t="str">
        <f>IF($G43="","",ADRYr3!AS43)</f>
        <v/>
      </c>
      <c r="DV43" s="971" t="str">
        <f>IF($G43="","",ADRYr3!AT43)</f>
        <v/>
      </c>
      <c r="DW43" s="1162" t="str">
        <f>IF($G43="","",INDEX(AvoidedEnergy!$H$4:$H$10,MATCH($DO43,AvoidedEnergy!$A$4:$A$10,0)))</f>
        <v/>
      </c>
    </row>
    <row r="44" spans="1:127">
      <c r="A44" s="160" t="str">
        <f>IF(ADRYr3!$B44=0,"",ADRYr3!A44)</f>
        <v/>
      </c>
      <c r="B44" s="9" t="str">
        <f>IF(ADRYr3!$B44=0,"",ADRYr3!B44)</f>
        <v/>
      </c>
      <c r="C44" s="9" t="str">
        <f>IF(ADRYr3!$B44=0,"",ADRYr3!C44)</f>
        <v/>
      </c>
      <c r="D44" s="9" t="str">
        <f>IF(ADRYr3!$B44=0,"",ADRYr3!D44)</f>
        <v/>
      </c>
      <c r="E44" s="9"/>
      <c r="F44" s="11" t="str">
        <f>IF(ADRYr3!$B44=0,"",ADRYr3!F44)</f>
        <v/>
      </c>
      <c r="G44" s="12" t="str">
        <f>IF(ADRYr3!$G44&lt;&gt;0,ADRYr3!G44,"")</f>
        <v/>
      </c>
      <c r="H44" s="960" t="str">
        <f>IF($G44="","",ROUND(ADRYr3!H44,0))</f>
        <v/>
      </c>
      <c r="I44" s="47" t="str">
        <f>IF($G44="","",ADRYr3!I44*ADRYr3!P44*G44)</f>
        <v/>
      </c>
      <c r="J44" s="47" t="str">
        <f>IF($G44="","",ADRYr3!J44*G44)</f>
        <v/>
      </c>
      <c r="K44" s="47" t="str">
        <f t="shared" si="50"/>
        <v/>
      </c>
      <c r="L44" s="27" t="str">
        <f>IF($G44="","",ADRYr3!V44*G44/1000)</f>
        <v/>
      </c>
      <c r="M44" s="27" t="str">
        <f>IF($G44="","",L44*ADRYr3!$Q44*ADRYr3!$R44)</f>
        <v/>
      </c>
      <c r="N44" s="27" t="str">
        <f t="shared" si="51"/>
        <v/>
      </c>
      <c r="O44" s="27" t="str">
        <f t="shared" si="52"/>
        <v/>
      </c>
      <c r="P44" s="27" t="str">
        <f>IF($G44="","",M44*ADRYr3!P44)</f>
        <v/>
      </c>
      <c r="Q44" s="27" t="str">
        <f t="shared" si="53"/>
        <v/>
      </c>
      <c r="R44" s="27" t="str">
        <f>IF($G44="","",$Q44*ADRYr3!Z44)</f>
        <v/>
      </c>
      <c r="S44" s="27" t="str">
        <f>IF($G44="","",$Q44*ADRYr3!AA44)</f>
        <v/>
      </c>
      <c r="T44" s="27" t="str">
        <f>IF($G44="","",$Q44*ADRYr3!AB44)</f>
        <v/>
      </c>
      <c r="U44" s="27" t="str">
        <f>IF($G44="","",$Q44*ADRYr3!AC44)</f>
        <v/>
      </c>
      <c r="V44" s="27" t="str">
        <f>IF($G44="","",G44*ADRYr3!$AD44*ADRYr3!$P44*ADRYr3!$Q44)</f>
        <v/>
      </c>
      <c r="W44" s="27" t="str">
        <f>IF($G44="","",$G44*ADRYr3!$AD44*ADRYr3!$AF44*ADRYr3!Q44*ADRYr3!$S44)</f>
        <v/>
      </c>
      <c r="X44" s="27" t="str">
        <f>IF($G44="","",$G44*ADRYr3!$AD44*ADRYr3!$AF44*ADRYr3!P44*ADRYr3!Q44*ADRYr3!$S44)</f>
        <v/>
      </c>
      <c r="Y44" s="27" t="str">
        <f>IF($G44="","",$G44*ADRYr3!$AD44*ADRYr3!$AE44*ADRYr3!Q44*ADRYr3!$T44)</f>
        <v/>
      </c>
      <c r="Z44" s="27" t="str">
        <f>IF($G44="","",$G44*ADRYr3!$AD44*ADRYr3!$AE44*ADRYr3!P44*ADRYr3!Q44*ADRYr3!$T44)</f>
        <v/>
      </c>
      <c r="AA44" s="45" t="str">
        <f>IF($G44="","",$G44*ADRYr3!$Q44*ADRYr3!$U44*(IF(IFERROR(SEARCH("NG", ADRYr3!$AI44),0),ADRYr3!$AJ44,0)+IF(IFERROR(SEARCH("NG", ADRYr3!$AK44),0),ADRYr3!$AL44,0)+IF(IFERROR(SEARCH("NG", ADRYr3!$AM44),0),ADRYr3!$AN44,0)))</f>
        <v/>
      </c>
      <c r="AB44" s="45" t="str">
        <f t="shared" si="54"/>
        <v/>
      </c>
      <c r="AC44" s="45">
        <f>IF($G44="",0,AA44*ADRYr3!$P44)</f>
        <v>0</v>
      </c>
      <c r="AD44" s="45" t="str">
        <f t="shared" si="55"/>
        <v/>
      </c>
      <c r="AE44" s="45" t="str">
        <f>IF($G44="","",$G44*ADRYr3!$Q44*ADRYr3!$U44*(IF(IFERROR(SEARCH("Oil", ADRYr3!$AI44), 0),ADRYr3!$AJ44,0)+IF(IFERROR(SEARCH("Oil", ADRYr3!$AK44), 0),ADRYr3!$AL44,0)+IF(IFERROR(SEARCH("Oil", ADRYr3!$AM44), 0),ADRYr3!$AN44,0)))</f>
        <v/>
      </c>
      <c r="AF44" s="45" t="str">
        <f t="shared" si="56"/>
        <v/>
      </c>
      <c r="AG44" s="45">
        <f>IF($G44="",0,AE44*ADRYr3!$P44)</f>
        <v>0</v>
      </c>
      <c r="AH44" s="45" t="str">
        <f t="shared" si="57"/>
        <v/>
      </c>
      <c r="AI44" s="45" t="str">
        <f>IF($G44="","",$G44*ADRYr3!$Q44*ADRYr3!$U44*(IF(ADRYr3!$AI44=Lookups!$E$116,ADRYr3!$AJ44,IF(ADRYr3!$AK44=Lookups!$E$116,ADRYr3!$AL44,IF(ADRYr3!$AM44=Lookups!$E$116,ADRYr3!$AN44,0)))))</f>
        <v/>
      </c>
      <c r="AJ44" s="45" t="str">
        <f t="shared" si="58"/>
        <v/>
      </c>
      <c r="AK44" s="45">
        <f>IF($G44="",0,AI44*ADRYr3!$P44)</f>
        <v>0</v>
      </c>
      <c r="AL44" s="45" t="str">
        <f t="shared" si="59"/>
        <v/>
      </c>
      <c r="AM44" s="45" t="str">
        <f>IF($G44="","",$G44*ADRYr3!$Q44*ADRYr3!$U44*(IF(ADRYr3!$AI44=Lookups!$E$115,ADRYr3!$AJ44,IF(ADRYr3!$AK44=Lookups!$E$115,ADRYr3!$AL44,IF(ADRYr3!$AM44=Lookups!$E$115,ADRYr3!$AN44,0)))))</f>
        <v/>
      </c>
      <c r="AN44" s="45" t="str">
        <f t="shared" si="60"/>
        <v/>
      </c>
      <c r="AO44" s="45">
        <f>IF($G44="",0,AM44*ADRYr3!$P44)</f>
        <v>0</v>
      </c>
      <c r="AP44" s="45" t="str">
        <f t="shared" si="61"/>
        <v/>
      </c>
      <c r="AQ44" s="45" t="str">
        <f>IF($G44="","",$G44*ADRYr3!$Q44*ADRYr3!$U44*(IF(ADRYr3!$AI44=Lookups!$E$117,ADRYr3!$AJ44,IF(ADRYr3!$AK44=Lookups!$E$117,ADRYr3!$AL44,IF(ADRYr3!$AM44=Lookups!$E$117,ADRYr3!$AN44,0)))))</f>
        <v/>
      </c>
      <c r="AR44" s="45" t="str">
        <f t="shared" si="62"/>
        <v/>
      </c>
      <c r="AS44" s="45" t="str">
        <f>IF($G44="","",AQ44*ADRYr3!$P44)</f>
        <v/>
      </c>
      <c r="AT44" s="45" t="str">
        <f t="shared" si="63"/>
        <v/>
      </c>
      <c r="AU44" s="45" t="str">
        <f>IF($G44="","",$G44*ADRYr3!$Q44*ADRYr3!$U44*(IF(ADRYr3!$AI44=Lookups!$E$118,ADRYr3!$AJ44,IF(ADRYr3!$AK44=Lookups!$E$118,ADRYr3!$AL44,IF(ADRYr3!$AM44=Lookups!$E$118,ADRYr3!$AN44,0)))))</f>
        <v/>
      </c>
      <c r="AV44" s="45" t="str">
        <f t="shared" si="64"/>
        <v/>
      </c>
      <c r="AW44" s="45" t="str">
        <f>IF($G44="","",AU44*ADRYr3!$P44)</f>
        <v/>
      </c>
      <c r="AX44" s="45" t="str">
        <f t="shared" si="65"/>
        <v/>
      </c>
      <c r="AY44" s="45">
        <f t="shared" si="66"/>
        <v>0</v>
      </c>
      <c r="AZ44" s="45">
        <f t="shared" si="67"/>
        <v>0</v>
      </c>
      <c r="BA44" s="101" t="str">
        <f>IF($G44="","",$G44*ADRYr3!$P44*ADRYr3!$Q44*ADRYr3!$U44*ADRYr3!AO44)</f>
        <v/>
      </c>
      <c r="BB44" s="102" t="str">
        <f>IF($G44="","",$G44*ADRYr3!$P44*ADRYr3!$Q44*ADRYr3!$U44*ADRYr3!AP44)</f>
        <v/>
      </c>
      <c r="BC44" s="100" t="str">
        <f t="shared" si="68"/>
        <v/>
      </c>
      <c r="BD44" s="961"/>
      <c r="BE44" s="961"/>
      <c r="BF44" s="961"/>
      <c r="BG44" s="961"/>
      <c r="BH44" s="962" t="str">
        <f t="shared" si="3"/>
        <v/>
      </c>
      <c r="BI44" s="961"/>
      <c r="BJ44" s="961"/>
      <c r="BK44" s="961"/>
      <c r="BL44" s="961"/>
      <c r="BM44" s="30" t="str">
        <f t="shared" si="4"/>
        <v/>
      </c>
      <c r="BN44" s="963" t="str">
        <f t="shared" si="31"/>
        <v/>
      </c>
      <c r="BO44" s="31" t="str">
        <f t="shared" si="69"/>
        <v/>
      </c>
      <c r="BP44" s="964" t="str">
        <f t="shared" si="5"/>
        <v/>
      </c>
      <c r="BQ44" s="28" t="str">
        <f t="shared" si="6"/>
        <v/>
      </c>
      <c r="BR44" s="964" t="str">
        <f t="shared" si="7"/>
        <v/>
      </c>
      <c r="BS44" s="964" t="str">
        <f t="shared" si="8"/>
        <v/>
      </c>
      <c r="BT44" s="28" t="str">
        <f t="shared" si="82"/>
        <v/>
      </c>
      <c r="BU44" s="28" t="str">
        <f t="shared" si="82"/>
        <v/>
      </c>
      <c r="BV44" s="28" t="str">
        <f t="shared" si="82"/>
        <v/>
      </c>
      <c r="BW44" s="29" t="str">
        <f t="shared" si="70"/>
        <v/>
      </c>
      <c r="BX44" s="29" t="str">
        <f t="shared" si="71"/>
        <v/>
      </c>
      <c r="BY44" s="28" t="str">
        <f>IF($G44="","",$G44*(IF(ADRYr3!$AI44=BY$4,ADRYr3!$AJ44,IF(ADRYr3!$AK44=BY$4,ADRYr3!$AL44,IF(ADRYr3!$AM44=BY$4,ADRYr3!$AN44,0))))*(INDEX(avoidedcosttbl3,$H44,BY$2)+(($H44-ROUNDDOWN($H44,0))*(INDEX(avoidedcosttbl3,ROUNDUP($H44,0),BY$2)-(INDEX(avoidedcosttbl3,ROUNDDOWN($H44,0),BY$2)))))*ADRYr3!P44*ADRYr3!Q44*ADRYr3!U44)</f>
        <v/>
      </c>
      <c r="BZ44" s="28" t="str">
        <f>IF($G44="","",$G44*(IF(ADRYr3!$AI44=BZ$4,ADRYr3!$AJ44,IF(ADRYr3!$AK44=BZ$4,ADRYr3!$AL44,IF(ADRYr3!$AM44=BZ$4,ADRYr3!$AN44,0))))*(INDEX(avoidedcosttbl3,$H44,BZ$2)+(($H44-ROUNDDOWN($H44,0))*(INDEX(avoidedcosttbl3,ROUNDUP($H44,0),BZ$2)-(INDEX(avoidedcosttbl3,ROUNDDOWN($H44,0),BZ$2)))))*ADRYr3!P44*ADRYr3!Q44*ADRYr3!U44)</f>
        <v/>
      </c>
      <c r="CA44" s="28" t="str">
        <f>IF($G44="","",$G44*(IF(ADRYr3!$AI44=CA$4,ADRYr3!$AJ44,IF(ADRYr3!$AK44=CA$4,ADRYr3!$AL44,IF(ADRYr3!$AM44=CA$4,ADRYr3!$AN44,0))))*(INDEX(avoidedcosttbl3,$H44,CA$2)+(($H44-ROUNDDOWN($H44,0))*(INDEX(avoidedcosttbl3,ROUNDUP($H44,0),CA$2)-(INDEX(avoidedcosttbl3,ROUNDDOWN($H44,0),CA$2)))))*ADRYr3!P44*ADRYr3!Q44*ADRYr3!U44)</f>
        <v/>
      </c>
      <c r="CB44" s="28" t="str">
        <f>IF($G44="","",$G44*(IF(ADRYr3!$AI44=CB$4,ADRYr3!$AJ44,IF(ADRYr3!$AK44=CB$4,ADRYr3!$AL44,IF(ADRYr3!$AM44=CB$4,ADRYr3!$AN44,0))))*(INDEX(avoidedcosttbl3,$H44,CB$2)+(($H44-ROUNDDOWN($H44,0))*(INDEX(avoidedcosttbl3,ROUNDUP($H44,0),CB$2)-(INDEX(avoidedcosttbl3,ROUNDDOWN($H44,0),CB$2)))))*ADRYr3!P44*ADRYr3!Q44*ADRYr3!U44)</f>
        <v/>
      </c>
      <c r="CC44" s="28" t="str">
        <f>IF($G44="","",$G44*(IF(ADRYr3!$AI44=CC$4,ADRYr3!$AJ44,IF(ADRYr3!$AK44=CC$4,ADRYr3!$AL44,IF(ADRYr3!$AM44=CC$4,ADRYr3!$AN44,0))))*(INDEX(avoidedcosttbl3,$H44,CC$2)+(($H44-ROUNDDOWN($H44,0))*(INDEX(avoidedcosttbl3,ROUNDUP($H44,0),CC$2)-(INDEX(avoidedcosttbl3,ROUNDDOWN($H44,0),CC$2)))))*ADRYr3!P44*ADRYr3!Q44*ADRYr3!U44)</f>
        <v/>
      </c>
      <c r="CD44" s="28" t="str">
        <f>IF($G44="","",$G44*(IF(ADRYr3!$AI44=CD$4,ADRYr3!$AJ44,IF(ADRYr3!$AK44=CD$4,ADRYr3!$AL44,IF(ADRYr3!$AM44=CD$4,ADRYr3!$AN44,0))))*(INDEX(avoidedcosttbl3,$H44,CD$2)+(($H44-ROUNDDOWN($H44,0))*(INDEX(avoidedcosttbl3,ROUNDUP($H44,0),CD$2)-(INDEX(avoidedcosttbl3,ROUNDDOWN($H44,0),CD$2)))))*ADRYr3!P44*ADRYr3!Q44*ADRYr3!U44)</f>
        <v/>
      </c>
      <c r="CE44" s="28" t="str">
        <f>IF($G44="","",$G44*(IF(ADRYr3!$AI44=CE$4,ADRYr3!$AJ44,IF(ADRYr3!$AK44=CE$4,ADRYr3!$AL44,IF(ADRYr3!$AM44=CE$4,ADRYr3!$AN44,0))))*(INDEX(avoidedcosttbl3,$H44,CE$2)+(($H44-ROUNDDOWN($H44,0))*(INDEX(avoidedcosttbl3,ROUNDUP($H44,0),CE$2)-(INDEX(avoidedcosttbl3,ROUNDDOWN($H44,0),CE$2)))))*ADRYr3!P44*ADRYr3!Q44*ADRYr3!U44)</f>
        <v/>
      </c>
      <c r="CF44" s="41" t="str">
        <f t="shared" si="72"/>
        <v/>
      </c>
      <c r="CG44" s="30" t="str">
        <f t="shared" si="10"/>
        <v/>
      </c>
      <c r="CH44" s="30" t="str">
        <f>IF($G44="","",$G44*(IF(ADRYr3!$AI44=BY$4,ADRYr3!$AJ44,IF(ADRYr3!$AK44=BY$4,ADRYr3!$AL44,IF(ADRYr3!$AM44=BY$4,ADRYr3!$AN44,0))))*(INDEX(avoidedcosttbl3,$H44,CH$2)+(($H44-ROUNDDOWN($H44,0))*(INDEX(avoidedcosttbl3,ROUNDUP($H44,0),CH$2)-(INDEX(avoidedcosttbl3,ROUNDDOWN($H44,0),CH$2)))))*ADRYr3!P44*ADRYr3!Q44*ADRYr3!U44)</f>
        <v/>
      </c>
      <c r="CI44" s="30" t="str">
        <f>IF($G44="","",$G44*(IF(ADRYr3!$AI44=BZ$4,ADRYr3!$AJ44,IF(ADRYr3!$AK44=BZ$4,ADRYr3!$AL44,IF(ADRYr3!$AM44=BZ$4,ADRYr3!$AN44,0))))*(INDEX(avoidedcosttbl3,$H44,CI$2)+(($H44-ROUNDDOWN($H44,0))*(INDEX(avoidedcosttbl3,ROUNDUP($H44,0),CI$2)-(INDEX(avoidedcosttbl3,ROUNDDOWN($H44,0),CI$2)))))*ADRYr3!P44*ADRYr3!Q44*ADRYr3!U44)</f>
        <v/>
      </c>
      <c r="CJ44" s="30" t="str">
        <f>IF($G44="","",$G44*(IF(ADRYr3!$AI44=CA$4,ADRYr3!$AJ44,IF(ADRYr3!$AK44=CA$4,ADRYr3!$AL44,IF(ADRYr3!$AM44=CA$4,ADRYr3!$AN44,0))))*(INDEX(avoidedcosttbl3,$H44,CJ$2)+(($H44-ROUNDDOWN($H44,0))*(INDEX(avoidedcosttbl3,ROUNDUP($H44,0),CJ$2)-(INDEX(avoidedcosttbl3,ROUNDDOWN($H44,0),CJ$2)))))*ADRYr3!P44*ADRYr3!Q44*ADRYr3!U44)</f>
        <v/>
      </c>
      <c r="CK44" s="30" t="str">
        <f>IF($G44="","",$G44*(IF(ADRYr3!$AI44=CB$4,ADRYr3!$AJ44,IF(ADRYr3!$AK44=CB$4,ADRYr3!$AL44,IF(ADRYr3!$AM44=CB$4,ADRYr3!$AN44,0))))*(INDEX(avoidedcosttbl3,$H44,CK$2)+(($H44-ROUNDDOWN($H44,0))*(INDEX(avoidedcosttbl3,ROUNDUP($H44,0),CK$2)-(INDEX(avoidedcosttbl3,ROUNDDOWN($H44,0),CK$2)))))*ADRYr3!P44*ADRYr3!Q44*ADRYr3!U44)</f>
        <v/>
      </c>
      <c r="CL44" s="30" t="str">
        <f>IF($G44="","",$G44*(IF(ADRYr3!$AI44=CC$4,ADRYr3!$AJ44,IF(ADRYr3!$AK44=CC$4,ADRYr3!$AL44,IF(ADRYr3!$AM44=CC$4,ADRYr3!$AN44,0))))*(INDEX(avoidedcosttbl3,$H44,CL$2)+(($H44-ROUNDDOWN($H44,0))*(INDEX(avoidedcosttbl3,ROUNDUP($H44,0),CL$2)-(INDEX(avoidedcosttbl3,ROUNDDOWN($H44,0),CL$2)))))*ADRYr3!P44*ADRYr3!Q44*ADRYr3!U44)</f>
        <v/>
      </c>
      <c r="CM44" s="30" t="str">
        <f>IF($G44="","",$G44*(IF(ADRYr3!$AI44=CD$4,ADRYr3!$AJ44,IF(ADRYr3!$AK44=CD$4,ADRYr3!$AL44,IF(ADRYr3!$AM44=CD$4,ADRYr3!$AN44,0))))*(INDEX(avoidedcosttbl3,$H44,CM$2)+(($H44-ROUNDDOWN($H44,0))*(INDEX(avoidedcosttbl3,ROUNDUP($H44,0),CM$2)-(INDEX(avoidedcosttbl3,ROUNDDOWN($H44,0),CM$2)))))*ADRYr3!P44*ADRYr3!Q44*ADRYr3!U44)</f>
        <v/>
      </c>
      <c r="CN44" s="30" t="str">
        <f>IF($G44="","",$G44*(IF(ADRYr3!$AI44=CE$4,ADRYr3!$AJ44,IF(ADRYr3!$AK44=CE$4,ADRYr3!$AL44,IF(ADRYr3!$AM44=CE$4,ADRYr3!$AN44,0))))*(INDEX(avoidedcosttbl3,$H44,CN$2)+(($H44-ROUNDDOWN($H44,0))*(INDEX(avoidedcosttbl3,ROUNDUP($H44,0),CN$2)-(INDEX(avoidedcosttbl3,ROUNDDOWN($H44,0),CN$2)))))*ADRYr3!P44*ADRYr3!Q44*ADRYr3!U44)</f>
        <v/>
      </c>
      <c r="CO44" s="220" t="str">
        <f t="shared" si="73"/>
        <v/>
      </c>
      <c r="CP44" s="220" t="str">
        <f t="shared" si="74"/>
        <v/>
      </c>
      <c r="CQ44" s="157" t="str">
        <f>IF($G44="","",$G44*(IF(ADRYr3!$AI44=CQ$4,ADRYr3!$AJ44,IF(ADRYr3!$AK44=CQ$4,ADRYr3!$AL44,IF(ADRYr3!$AM44=CQ$4,ADRYr3!$AN44,0))))*(INDEX(avoidedcosttbl3,$H44,CQ$2)+(($H44-ROUNDDOWN($H44,0))*(INDEX(avoidedcosttbl3,ROUNDUP($H44,0),CQ$2)-(INDEX(avoidedcosttbl3,ROUNDDOWN($H44,0),CQ$2)))))*ADRYr3!$P44*ADRYr3!$Q44*ADRYr3!$U44)</f>
        <v/>
      </c>
      <c r="CR44" s="28" t="str">
        <f>IF($G44="","",G44*(IF(ADRYr3!$AI44=CR$4,ADRYr3!$AJ44,IF(ADRYr3!$AK44=CR$4,ADRYr3!$AL44,IF(ADRYr3!$AM44=CR$4,ADRYr3!$AN44,0))))*(INDEX(avoidedcosttbl3,$H44,CR$2)+(($H44-ROUNDDOWN($H44,0))*(INDEX(avoidedcosttbl3,ROUNDUP($H44,0),CR$2)-(INDEX(avoidedcosttbl3,ROUNDDOWN($H44,0),CR$2)))))*ADRYr3!$P44*ADRYr3!$Q44*ADRYr3!$U44)</f>
        <v/>
      </c>
      <c r="CS44" s="28" t="str">
        <f>IF($G44="","",G44*(IF(ADRYr3!$AI44=CS$4,ADRYr3!$AJ44,IF(ADRYr3!$AK44=CS$4,ADRYr3!$AL44,IF(ADRYr3!$AM44=CS$4,ADRYr3!$AN44,0))))*(INDEX(avoidedcosttbl3,$H44,CS$2)+(($H44-ROUNDDOWN($H44,0))*(INDEX(avoidedcosttbl3,ROUNDUP($H44,0),CS$2)-(INDEX(avoidedcosttbl3,ROUNDDOWN($H44,0),CS$2)))))*ADRYr3!$P44*ADRYr3!$Q44*ADRYr3!$U44)</f>
        <v/>
      </c>
      <c r="CT44" s="28" t="str">
        <f t="shared" si="11"/>
        <v/>
      </c>
      <c r="CU44" s="28" t="str">
        <f>IF($G44="","",G44*(IF(ADRYr3!$AI44=CU$4,ADRYr3!$AJ44,IF(ADRYr3!$AK44=CU$4,ADRYr3!$AL44,IF(ADRYr3!$AM44=CU$4,ADRYr3!$AN44,0))))*(INDEX(avoidedcosttbl3,$H44,CU$2)+(($H44-ROUNDDOWN($H44,0))*(INDEX(avoidedcosttbl3,ROUNDUP($H44,0),CU$2)-(INDEX(avoidedcosttbl3,ROUNDDOWN($H44,0),CU$2)))))*ADRYr3!$P44*ADRYr3!$Q44*ADRYr3!$U44)</f>
        <v/>
      </c>
      <c r="CV44" s="28" t="str">
        <f>IF($G44="","",G44*(IF(ADRYr3!$AI44=CV$4,ADRYr3!$AJ44,IF(ADRYr3!$AK44=CV$4,ADRYr3!$AL44,IF(ADRYr3!$AM44=CV$4,ADRYr3!$AN44,0))))*(INDEX(avoidedcosttbl3,$H44,CV$2)+(($H44-ROUNDDOWN($H44,0))*(INDEX(avoidedcosttbl3,ROUNDUP($H44,0),CV$2)-(INDEX(avoidedcosttbl3,ROUNDDOWN($H44,0),CV$2)))))*ADRYr3!$P44*ADRYr3!$Q44*ADRYr3!$U44)</f>
        <v/>
      </c>
      <c r="CW44" s="28" t="str">
        <f>IF($G44="","",G44*(IF(ADRYr3!$AI44=CW$4,ADRYr3!$AJ44,IF(ADRYr3!$AK44=CW$4,ADRYr3!$AL44,IF(ADRYr3!$AM44=CW$4,ADRYr3!$AN44,0))))*(INDEX(avoidedcosttbl3,$H44,CW$2)+(($H44-ROUNDDOWN($H44,0))*(INDEX(avoidedcosttbl3,ROUNDUP($H44,0),CW$2)-(INDEX(avoidedcosttbl3,ROUNDDOWN($H44,0),CW$2)))))*ADRYr3!$P44*ADRYr3!$Q44*ADRYr3!$U44)</f>
        <v/>
      </c>
      <c r="CX44" s="28" t="str">
        <f>IF($G44="","",G44*(IF(ADRYr3!$AI44=CX$4,ADRYr3!$AJ44,IF(ADRYr3!$AK44=CX$4,ADRYr3!$AL44,IF(ADRYr3!$AM44=CX$4,ADRYr3!$AN44,0))))*(INDEX(avoidedcosttbl3,$H44,CX$2)+(($H44-ROUNDDOWN($H44,0))*(INDEX(avoidedcosttbl3,ROUNDUP($H44,0),CX$2)-(INDEX(avoidedcosttbl3,ROUNDDOWN($H44,0),CX$2)))))*ADRYr3!$P44*ADRYr3!$Q44*ADRYr3!$U44)</f>
        <v/>
      </c>
      <c r="CY44" s="28" t="str">
        <f t="shared" si="75"/>
        <v/>
      </c>
      <c r="CZ44" s="32" t="str">
        <f t="shared" si="76"/>
        <v/>
      </c>
      <c r="DA44" s="84" t="str">
        <f t="shared" si="77"/>
        <v/>
      </c>
      <c r="DB44" s="81" t="str">
        <f>IF(NEIadder="Yes",IF($G44="","",INDEX(Lookups!$G$70:$G$71,MATCH($A44,Lookups!$E$70:$E$71,0))*(SUM(CP44:CX44,BX44))),"")</f>
        <v/>
      </c>
      <c r="DC44" s="263" t="str">
        <f t="shared" si="78"/>
        <v/>
      </c>
      <c r="DD44" s="166" t="str">
        <f t="shared" si="79"/>
        <v/>
      </c>
      <c r="DE44" s="82">
        <f t="shared" si="80"/>
        <v>0</v>
      </c>
      <c r="DF44" s="615" t="str">
        <f>IF($G44="","",(1+WntPeakEnergyLL)*(INDEX(avoidedcosttbl3,$H44,DF$2)+(($H44-ROUNDDOWN($H44,0))*(INDEX(avoidedcosttbl3,ROUNDUP($H44,0),DF$2)-(INDEX(avoidedcosttbl3,ROUNDDOWN($H44,0),DF$2)))))*$P44*1000*ADRYr3!Z44)</f>
        <v/>
      </c>
      <c r="DG44" s="615" t="str">
        <f>IF($G44="","",(1+WntOffPeakEnergyLL)*(INDEX(avoidedcosttbl3,$H44,DG$2)+(($H44-ROUNDDOWN($H44,0))*(INDEX(avoidedcosttbl3,ROUNDUP($H44,0),DG$2)-(INDEX(avoidedcosttbl3,ROUNDDOWN($H44,0),DG$2)))))*$P44*1000*ADRYr3!AA44)</f>
        <v/>
      </c>
      <c r="DH44" s="615" t="str">
        <f>IF($G44="","",(1+SumPeakEnergyLL)*(INDEX(avoidedcosttbl3,$H44,DH$2)+(($H44-ROUNDDOWN($H44,0))*(INDEX(avoidedcosttbl3,ROUNDUP($H44,0),DH$2)-(INDEX(avoidedcosttbl3,ROUNDDOWN($H44,0),DH$2)))))*$P44*1000*ADRYr3!AB44)</f>
        <v/>
      </c>
      <c r="DI44" s="615" t="str">
        <f>IF($G44="","",(1+SumOffPeakEnergyLL)*(INDEX(avoidedcosttbl3,$H44,DI$2)+(($H44-ROUNDDOWN($H44,0))*(INDEX(avoidedcosttbl3,ROUNDUP($H44,0),DI$2)-(INDEX(avoidedcosttbl3,ROUNDDOWN($H44,0),DI$2)))))*$P44*1000*ADRYr3!AC44)</f>
        <v/>
      </c>
      <c r="DJ44" s="29" t="str">
        <f t="shared" si="81"/>
        <v/>
      </c>
      <c r="DK44" s="161" t="str">
        <f t="shared" si="83"/>
        <v/>
      </c>
      <c r="DO44" s="966" t="str">
        <f>IF($G44="","",ADRYr3!AQ44)</f>
        <v/>
      </c>
      <c r="DP44" s="968" t="str">
        <f>IF($G44="","",ADRYr3!AR44)</f>
        <v/>
      </c>
      <c r="DQ44" s="970" t="str">
        <f>IF($G44="","",IF($DP44="Yes",COLUMN(AESC!$L$10),IF($DP44="No","Using AvoidedDemand tab",IF($DP44="Mixed",COLUMN(AESC!$N$10)))))</f>
        <v/>
      </c>
      <c r="DR44" s="970" t="str">
        <f>IF($G44="","",IF($DP44="Yes",COLUMN(AESC!$P$10),IF($DP44="No","Using AvoidedDemand tab",IF($DP44="Mixed",COLUMN(AESC!$R$10)))))</f>
        <v/>
      </c>
      <c r="DS44" s="970" t="str">
        <f>IF($G44="","",IF($DP44="Yes",COLUMN(AESC!$S$10),IF($DP44="No",COLUMN(AESC!$T$10),IF($DP44="Mixed",COLUMN(AESC!$U$10)))))</f>
        <v/>
      </c>
      <c r="DT44" s="970" t="str">
        <f t="shared" si="49"/>
        <v/>
      </c>
      <c r="DU44" s="970" t="str">
        <f>IF($G44="","",ADRYr3!AS44)</f>
        <v/>
      </c>
      <c r="DV44" s="971" t="str">
        <f>IF($G44="","",ADRYr3!AT44)</f>
        <v/>
      </c>
      <c r="DW44" s="1162" t="str">
        <f>IF($G44="","",INDEX(AvoidedEnergy!$H$4:$H$10,MATCH($DO44,AvoidedEnergy!$A$4:$A$10,0)))</f>
        <v/>
      </c>
    </row>
    <row r="45" spans="1:127">
      <c r="A45" s="160" t="str">
        <f>IF(ADRYr3!$B45=0,"",ADRYr3!A45)</f>
        <v/>
      </c>
      <c r="B45" s="9" t="str">
        <f>IF(ADRYr3!$B45=0,"",ADRYr3!B45)</f>
        <v/>
      </c>
      <c r="C45" s="9" t="str">
        <f>IF(ADRYr3!$B45=0,"",ADRYr3!C45)</f>
        <v/>
      </c>
      <c r="D45" s="9" t="str">
        <f>IF(ADRYr3!$B45=0,"",ADRYr3!D45)</f>
        <v/>
      </c>
      <c r="E45" s="9"/>
      <c r="F45" s="11" t="str">
        <f>IF(ADRYr3!$B45=0,"",ADRYr3!F45)</f>
        <v/>
      </c>
      <c r="G45" s="12" t="str">
        <f>IF(ADRYr3!$G45&lt;&gt;0,ADRYr3!G45,"")</f>
        <v/>
      </c>
      <c r="H45" s="960" t="str">
        <f>IF($G45="","",ROUND(ADRYr3!H45,0))</f>
        <v/>
      </c>
      <c r="I45" s="47" t="str">
        <f>IF($G45="","",ADRYr3!I45*ADRYr3!P45*G45)</f>
        <v/>
      </c>
      <c r="J45" s="47" t="str">
        <f>IF($G45="","",ADRYr3!J45*G45)</f>
        <v/>
      </c>
      <c r="K45" s="47" t="str">
        <f t="shared" si="50"/>
        <v/>
      </c>
      <c r="L45" s="27" t="str">
        <f>IF($G45="","",ADRYr3!V45*G45/1000)</f>
        <v/>
      </c>
      <c r="M45" s="27" t="str">
        <f>IF($G45="","",L45*ADRYr3!$Q45*ADRYr3!$R45)</f>
        <v/>
      </c>
      <c r="N45" s="27" t="str">
        <f t="shared" si="51"/>
        <v/>
      </c>
      <c r="O45" s="27" t="str">
        <f t="shared" si="52"/>
        <v/>
      </c>
      <c r="P45" s="27" t="str">
        <f>IF($G45="","",M45*ADRYr3!P45)</f>
        <v/>
      </c>
      <c r="Q45" s="27" t="str">
        <f t="shared" si="53"/>
        <v/>
      </c>
      <c r="R45" s="27" t="str">
        <f>IF($G45="","",$Q45*ADRYr3!Z45)</f>
        <v/>
      </c>
      <c r="S45" s="27" t="str">
        <f>IF($G45="","",$Q45*ADRYr3!AA45)</f>
        <v/>
      </c>
      <c r="T45" s="27" t="str">
        <f>IF($G45="","",$Q45*ADRYr3!AB45)</f>
        <v/>
      </c>
      <c r="U45" s="27" t="str">
        <f>IF($G45="","",$Q45*ADRYr3!AC45)</f>
        <v/>
      </c>
      <c r="V45" s="27" t="str">
        <f>IF($G45="","",G45*ADRYr3!$AD45*ADRYr3!$P45*ADRYr3!$Q45)</f>
        <v/>
      </c>
      <c r="W45" s="27" t="str">
        <f>IF($G45="","",$G45*ADRYr3!$AD45*ADRYr3!$AF45*ADRYr3!Q45*ADRYr3!$S45)</f>
        <v/>
      </c>
      <c r="X45" s="27" t="str">
        <f>IF($G45="","",$G45*ADRYr3!$AD45*ADRYr3!$AF45*ADRYr3!P45*ADRYr3!Q45*ADRYr3!$S45)</f>
        <v/>
      </c>
      <c r="Y45" s="27" t="str">
        <f>IF($G45="","",$G45*ADRYr3!$AD45*ADRYr3!$AE45*ADRYr3!Q45*ADRYr3!$T45)</f>
        <v/>
      </c>
      <c r="Z45" s="27" t="str">
        <f>IF($G45="","",$G45*ADRYr3!$AD45*ADRYr3!$AE45*ADRYr3!P45*ADRYr3!Q45*ADRYr3!$T45)</f>
        <v/>
      </c>
      <c r="AA45" s="45" t="str">
        <f>IF($G45="","",$G45*ADRYr3!$Q45*ADRYr3!$U45*(IF(IFERROR(SEARCH("NG", ADRYr3!$AI45),0),ADRYr3!$AJ45,0)+IF(IFERROR(SEARCH("NG", ADRYr3!$AK45),0),ADRYr3!$AL45,0)+IF(IFERROR(SEARCH("NG", ADRYr3!$AM45),0),ADRYr3!$AN45,0)))</f>
        <v/>
      </c>
      <c r="AB45" s="45" t="str">
        <f t="shared" si="54"/>
        <v/>
      </c>
      <c r="AC45" s="45">
        <f>IF($G45="",0,AA45*ADRYr3!$P45)</f>
        <v>0</v>
      </c>
      <c r="AD45" s="45" t="str">
        <f t="shared" si="55"/>
        <v/>
      </c>
      <c r="AE45" s="45" t="str">
        <f>IF($G45="","",$G45*ADRYr3!$Q45*ADRYr3!$U45*(IF(IFERROR(SEARCH("Oil", ADRYr3!$AI45), 0),ADRYr3!$AJ45,0)+IF(IFERROR(SEARCH("Oil", ADRYr3!$AK45), 0),ADRYr3!$AL45,0)+IF(IFERROR(SEARCH("Oil", ADRYr3!$AM45), 0),ADRYr3!$AN45,0)))</f>
        <v/>
      </c>
      <c r="AF45" s="45" t="str">
        <f t="shared" si="56"/>
        <v/>
      </c>
      <c r="AG45" s="45">
        <f>IF($G45="",0,AE45*ADRYr3!$P45)</f>
        <v>0</v>
      </c>
      <c r="AH45" s="45" t="str">
        <f t="shared" si="57"/>
        <v/>
      </c>
      <c r="AI45" s="45" t="str">
        <f>IF($G45="","",$G45*ADRYr3!$Q45*ADRYr3!$U45*(IF(ADRYr3!$AI45=Lookups!$E$116,ADRYr3!$AJ45,IF(ADRYr3!$AK45=Lookups!$E$116,ADRYr3!$AL45,IF(ADRYr3!$AM45=Lookups!$E$116,ADRYr3!$AN45,0)))))</f>
        <v/>
      </c>
      <c r="AJ45" s="45" t="str">
        <f t="shared" si="58"/>
        <v/>
      </c>
      <c r="AK45" s="45">
        <f>IF($G45="",0,AI45*ADRYr3!$P45)</f>
        <v>0</v>
      </c>
      <c r="AL45" s="45" t="str">
        <f t="shared" si="59"/>
        <v/>
      </c>
      <c r="AM45" s="45" t="str">
        <f>IF($G45="","",$G45*ADRYr3!$Q45*ADRYr3!$U45*(IF(ADRYr3!$AI45=Lookups!$E$115,ADRYr3!$AJ45,IF(ADRYr3!$AK45=Lookups!$E$115,ADRYr3!$AL45,IF(ADRYr3!$AM45=Lookups!$E$115,ADRYr3!$AN45,0)))))</f>
        <v/>
      </c>
      <c r="AN45" s="45" t="str">
        <f t="shared" si="60"/>
        <v/>
      </c>
      <c r="AO45" s="45">
        <f>IF($G45="",0,AM45*ADRYr3!$P45)</f>
        <v>0</v>
      </c>
      <c r="AP45" s="45" t="str">
        <f t="shared" si="61"/>
        <v/>
      </c>
      <c r="AQ45" s="45" t="str">
        <f>IF($G45="","",$G45*ADRYr3!$Q45*ADRYr3!$U45*(IF(ADRYr3!$AI45=Lookups!$E$117,ADRYr3!$AJ45,IF(ADRYr3!$AK45=Lookups!$E$117,ADRYr3!$AL45,IF(ADRYr3!$AM45=Lookups!$E$117,ADRYr3!$AN45,0)))))</f>
        <v/>
      </c>
      <c r="AR45" s="45" t="str">
        <f t="shared" si="62"/>
        <v/>
      </c>
      <c r="AS45" s="45" t="str">
        <f>IF($G45="","",AQ45*ADRYr3!$P45)</f>
        <v/>
      </c>
      <c r="AT45" s="45" t="str">
        <f t="shared" si="63"/>
        <v/>
      </c>
      <c r="AU45" s="45" t="str">
        <f>IF($G45="","",$G45*ADRYr3!$Q45*ADRYr3!$U45*(IF(ADRYr3!$AI45=Lookups!$E$118,ADRYr3!$AJ45,IF(ADRYr3!$AK45=Lookups!$E$118,ADRYr3!$AL45,IF(ADRYr3!$AM45=Lookups!$E$118,ADRYr3!$AN45,0)))))</f>
        <v/>
      </c>
      <c r="AV45" s="45" t="str">
        <f t="shared" si="64"/>
        <v/>
      </c>
      <c r="AW45" s="45" t="str">
        <f>IF($G45="","",AU45*ADRYr3!$P45)</f>
        <v/>
      </c>
      <c r="AX45" s="45" t="str">
        <f t="shared" si="65"/>
        <v/>
      </c>
      <c r="AY45" s="45">
        <f t="shared" si="66"/>
        <v>0</v>
      </c>
      <c r="AZ45" s="45">
        <f t="shared" si="67"/>
        <v>0</v>
      </c>
      <c r="BA45" s="101" t="str">
        <f>IF($G45="","",$G45*ADRYr3!$P45*ADRYr3!$Q45*ADRYr3!$U45*ADRYr3!AO45)</f>
        <v/>
      </c>
      <c r="BB45" s="102" t="str">
        <f>IF($G45="","",$G45*ADRYr3!$P45*ADRYr3!$Q45*ADRYr3!$U45*ADRYr3!AP45)</f>
        <v/>
      </c>
      <c r="BC45" s="100" t="str">
        <f t="shared" si="68"/>
        <v/>
      </c>
      <c r="BD45" s="961"/>
      <c r="BE45" s="961"/>
      <c r="BF45" s="961"/>
      <c r="BG45" s="961"/>
      <c r="BH45" s="962" t="str">
        <f t="shared" si="3"/>
        <v/>
      </c>
      <c r="BI45" s="961"/>
      <c r="BJ45" s="961"/>
      <c r="BK45" s="961"/>
      <c r="BL45" s="961"/>
      <c r="BM45" s="30" t="str">
        <f t="shared" si="4"/>
        <v/>
      </c>
      <c r="BN45" s="963" t="str">
        <f t="shared" si="31"/>
        <v/>
      </c>
      <c r="BO45" s="31" t="str">
        <f t="shared" si="69"/>
        <v/>
      </c>
      <c r="BP45" s="964" t="str">
        <f t="shared" si="5"/>
        <v/>
      </c>
      <c r="BQ45" s="28" t="str">
        <f t="shared" si="6"/>
        <v/>
      </c>
      <c r="BR45" s="964" t="str">
        <f t="shared" si="7"/>
        <v/>
      </c>
      <c r="BS45" s="964" t="str">
        <f t="shared" si="8"/>
        <v/>
      </c>
      <c r="BT45" s="28" t="str">
        <f t="shared" si="82"/>
        <v/>
      </c>
      <c r="BU45" s="28" t="str">
        <f t="shared" si="82"/>
        <v/>
      </c>
      <c r="BV45" s="28" t="str">
        <f t="shared" si="82"/>
        <v/>
      </c>
      <c r="BW45" s="29" t="str">
        <f t="shared" si="70"/>
        <v/>
      </c>
      <c r="BX45" s="29" t="str">
        <f t="shared" si="71"/>
        <v/>
      </c>
      <c r="BY45" s="28" t="str">
        <f>IF($G45="","",$G45*(IF(ADRYr3!$AI45=BY$4,ADRYr3!$AJ45,IF(ADRYr3!$AK45=BY$4,ADRYr3!$AL45,IF(ADRYr3!$AM45=BY$4,ADRYr3!$AN45,0))))*(INDEX(avoidedcosttbl3,$H45,BY$2)+(($H45-ROUNDDOWN($H45,0))*(INDEX(avoidedcosttbl3,ROUNDUP($H45,0),BY$2)-(INDEX(avoidedcosttbl3,ROUNDDOWN($H45,0),BY$2)))))*ADRYr3!P45*ADRYr3!Q45*ADRYr3!U45)</f>
        <v/>
      </c>
      <c r="BZ45" s="28" t="str">
        <f>IF($G45="","",$G45*(IF(ADRYr3!$AI45=BZ$4,ADRYr3!$AJ45,IF(ADRYr3!$AK45=BZ$4,ADRYr3!$AL45,IF(ADRYr3!$AM45=BZ$4,ADRYr3!$AN45,0))))*(INDEX(avoidedcosttbl3,$H45,BZ$2)+(($H45-ROUNDDOWN($H45,0))*(INDEX(avoidedcosttbl3,ROUNDUP($H45,0),BZ$2)-(INDEX(avoidedcosttbl3,ROUNDDOWN($H45,0),BZ$2)))))*ADRYr3!P45*ADRYr3!Q45*ADRYr3!U45)</f>
        <v/>
      </c>
      <c r="CA45" s="28" t="str">
        <f>IF($G45="","",$G45*(IF(ADRYr3!$AI45=CA$4,ADRYr3!$AJ45,IF(ADRYr3!$AK45=CA$4,ADRYr3!$AL45,IF(ADRYr3!$AM45=CA$4,ADRYr3!$AN45,0))))*(INDEX(avoidedcosttbl3,$H45,CA$2)+(($H45-ROUNDDOWN($H45,0))*(INDEX(avoidedcosttbl3,ROUNDUP($H45,0),CA$2)-(INDEX(avoidedcosttbl3,ROUNDDOWN($H45,0),CA$2)))))*ADRYr3!P45*ADRYr3!Q45*ADRYr3!U45)</f>
        <v/>
      </c>
      <c r="CB45" s="28" t="str">
        <f>IF($G45="","",$G45*(IF(ADRYr3!$AI45=CB$4,ADRYr3!$AJ45,IF(ADRYr3!$AK45=CB$4,ADRYr3!$AL45,IF(ADRYr3!$AM45=CB$4,ADRYr3!$AN45,0))))*(INDEX(avoidedcosttbl3,$H45,CB$2)+(($H45-ROUNDDOWN($H45,0))*(INDEX(avoidedcosttbl3,ROUNDUP($H45,0),CB$2)-(INDEX(avoidedcosttbl3,ROUNDDOWN($H45,0),CB$2)))))*ADRYr3!P45*ADRYr3!Q45*ADRYr3!U45)</f>
        <v/>
      </c>
      <c r="CC45" s="28" t="str">
        <f>IF($G45="","",$G45*(IF(ADRYr3!$AI45=CC$4,ADRYr3!$AJ45,IF(ADRYr3!$AK45=CC$4,ADRYr3!$AL45,IF(ADRYr3!$AM45=CC$4,ADRYr3!$AN45,0))))*(INDEX(avoidedcosttbl3,$H45,CC$2)+(($H45-ROUNDDOWN($H45,0))*(INDEX(avoidedcosttbl3,ROUNDUP($H45,0),CC$2)-(INDEX(avoidedcosttbl3,ROUNDDOWN($H45,0),CC$2)))))*ADRYr3!P45*ADRYr3!Q45*ADRYr3!U45)</f>
        <v/>
      </c>
      <c r="CD45" s="28" t="str">
        <f>IF($G45="","",$G45*(IF(ADRYr3!$AI45=CD$4,ADRYr3!$AJ45,IF(ADRYr3!$AK45=CD$4,ADRYr3!$AL45,IF(ADRYr3!$AM45=CD$4,ADRYr3!$AN45,0))))*(INDEX(avoidedcosttbl3,$H45,CD$2)+(($H45-ROUNDDOWN($H45,0))*(INDEX(avoidedcosttbl3,ROUNDUP($H45,0),CD$2)-(INDEX(avoidedcosttbl3,ROUNDDOWN($H45,0),CD$2)))))*ADRYr3!P45*ADRYr3!Q45*ADRYr3!U45)</f>
        <v/>
      </c>
      <c r="CE45" s="28" t="str">
        <f>IF($G45="","",$G45*(IF(ADRYr3!$AI45=CE$4,ADRYr3!$AJ45,IF(ADRYr3!$AK45=CE$4,ADRYr3!$AL45,IF(ADRYr3!$AM45=CE$4,ADRYr3!$AN45,0))))*(INDEX(avoidedcosttbl3,$H45,CE$2)+(($H45-ROUNDDOWN($H45,0))*(INDEX(avoidedcosttbl3,ROUNDUP($H45,0),CE$2)-(INDEX(avoidedcosttbl3,ROUNDDOWN($H45,0),CE$2)))))*ADRYr3!P45*ADRYr3!Q45*ADRYr3!U45)</f>
        <v/>
      </c>
      <c r="CF45" s="41" t="str">
        <f t="shared" si="72"/>
        <v/>
      </c>
      <c r="CG45" s="30" t="str">
        <f t="shared" si="10"/>
        <v/>
      </c>
      <c r="CH45" s="30" t="str">
        <f>IF($G45="","",$G45*(IF(ADRYr3!$AI45=BY$4,ADRYr3!$AJ45,IF(ADRYr3!$AK45=BY$4,ADRYr3!$AL45,IF(ADRYr3!$AM45=BY$4,ADRYr3!$AN45,0))))*(INDEX(avoidedcosttbl3,$H45,CH$2)+(($H45-ROUNDDOWN($H45,0))*(INDEX(avoidedcosttbl3,ROUNDUP($H45,0),CH$2)-(INDEX(avoidedcosttbl3,ROUNDDOWN($H45,0),CH$2)))))*ADRYr3!P45*ADRYr3!Q45*ADRYr3!U45)</f>
        <v/>
      </c>
      <c r="CI45" s="30" t="str">
        <f>IF($G45="","",$G45*(IF(ADRYr3!$AI45=BZ$4,ADRYr3!$AJ45,IF(ADRYr3!$AK45=BZ$4,ADRYr3!$AL45,IF(ADRYr3!$AM45=BZ$4,ADRYr3!$AN45,0))))*(INDEX(avoidedcosttbl3,$H45,CI$2)+(($H45-ROUNDDOWN($H45,0))*(INDEX(avoidedcosttbl3,ROUNDUP($H45,0),CI$2)-(INDEX(avoidedcosttbl3,ROUNDDOWN($H45,0),CI$2)))))*ADRYr3!P45*ADRYr3!Q45*ADRYr3!U45)</f>
        <v/>
      </c>
      <c r="CJ45" s="30" t="str">
        <f>IF($G45="","",$G45*(IF(ADRYr3!$AI45=CA$4,ADRYr3!$AJ45,IF(ADRYr3!$AK45=CA$4,ADRYr3!$AL45,IF(ADRYr3!$AM45=CA$4,ADRYr3!$AN45,0))))*(INDEX(avoidedcosttbl3,$H45,CJ$2)+(($H45-ROUNDDOWN($H45,0))*(INDEX(avoidedcosttbl3,ROUNDUP($H45,0),CJ$2)-(INDEX(avoidedcosttbl3,ROUNDDOWN($H45,0),CJ$2)))))*ADRYr3!P45*ADRYr3!Q45*ADRYr3!U45)</f>
        <v/>
      </c>
      <c r="CK45" s="30" t="str">
        <f>IF($G45="","",$G45*(IF(ADRYr3!$AI45=CB$4,ADRYr3!$AJ45,IF(ADRYr3!$AK45=CB$4,ADRYr3!$AL45,IF(ADRYr3!$AM45=CB$4,ADRYr3!$AN45,0))))*(INDEX(avoidedcosttbl3,$H45,CK$2)+(($H45-ROUNDDOWN($H45,0))*(INDEX(avoidedcosttbl3,ROUNDUP($H45,0),CK$2)-(INDEX(avoidedcosttbl3,ROUNDDOWN($H45,0),CK$2)))))*ADRYr3!P45*ADRYr3!Q45*ADRYr3!U45)</f>
        <v/>
      </c>
      <c r="CL45" s="30" t="str">
        <f>IF($G45="","",$G45*(IF(ADRYr3!$AI45=CC$4,ADRYr3!$AJ45,IF(ADRYr3!$AK45=CC$4,ADRYr3!$AL45,IF(ADRYr3!$AM45=CC$4,ADRYr3!$AN45,0))))*(INDEX(avoidedcosttbl3,$H45,CL$2)+(($H45-ROUNDDOWN($H45,0))*(INDEX(avoidedcosttbl3,ROUNDUP($H45,0),CL$2)-(INDEX(avoidedcosttbl3,ROUNDDOWN($H45,0),CL$2)))))*ADRYr3!P45*ADRYr3!Q45*ADRYr3!U45)</f>
        <v/>
      </c>
      <c r="CM45" s="30" t="str">
        <f>IF($G45="","",$G45*(IF(ADRYr3!$AI45=CD$4,ADRYr3!$AJ45,IF(ADRYr3!$AK45=CD$4,ADRYr3!$AL45,IF(ADRYr3!$AM45=CD$4,ADRYr3!$AN45,0))))*(INDEX(avoidedcosttbl3,$H45,CM$2)+(($H45-ROUNDDOWN($H45,0))*(INDEX(avoidedcosttbl3,ROUNDUP($H45,0),CM$2)-(INDEX(avoidedcosttbl3,ROUNDDOWN($H45,0),CM$2)))))*ADRYr3!P45*ADRYr3!Q45*ADRYr3!U45)</f>
        <v/>
      </c>
      <c r="CN45" s="30" t="str">
        <f>IF($G45="","",$G45*(IF(ADRYr3!$AI45=CE$4,ADRYr3!$AJ45,IF(ADRYr3!$AK45=CE$4,ADRYr3!$AL45,IF(ADRYr3!$AM45=CE$4,ADRYr3!$AN45,0))))*(INDEX(avoidedcosttbl3,$H45,CN$2)+(($H45-ROUNDDOWN($H45,0))*(INDEX(avoidedcosttbl3,ROUNDUP($H45,0),CN$2)-(INDEX(avoidedcosttbl3,ROUNDDOWN($H45,0),CN$2)))))*ADRYr3!P45*ADRYr3!Q45*ADRYr3!U45)</f>
        <v/>
      </c>
      <c r="CO45" s="220" t="str">
        <f t="shared" si="73"/>
        <v/>
      </c>
      <c r="CP45" s="220" t="str">
        <f t="shared" si="74"/>
        <v/>
      </c>
      <c r="CQ45" s="157" t="str">
        <f>IF($G45="","",$G45*(IF(ADRYr3!$AI45=CQ$4,ADRYr3!$AJ45,IF(ADRYr3!$AK45=CQ$4,ADRYr3!$AL45,IF(ADRYr3!$AM45=CQ$4,ADRYr3!$AN45,0))))*(INDEX(avoidedcosttbl3,$H45,CQ$2)+(($H45-ROUNDDOWN($H45,0))*(INDEX(avoidedcosttbl3,ROUNDUP($H45,0),CQ$2)-(INDEX(avoidedcosttbl3,ROUNDDOWN($H45,0),CQ$2)))))*ADRYr3!$P45*ADRYr3!$Q45*ADRYr3!$U45)</f>
        <v/>
      </c>
      <c r="CR45" s="28" t="str">
        <f>IF($G45="","",G45*(IF(ADRYr3!$AI45=CR$4,ADRYr3!$AJ45,IF(ADRYr3!$AK45=CR$4,ADRYr3!$AL45,IF(ADRYr3!$AM45=CR$4,ADRYr3!$AN45,0))))*(INDEX(avoidedcosttbl3,$H45,CR$2)+(($H45-ROUNDDOWN($H45,0))*(INDEX(avoidedcosttbl3,ROUNDUP($H45,0),CR$2)-(INDEX(avoidedcosttbl3,ROUNDDOWN($H45,0),CR$2)))))*ADRYr3!$P45*ADRYr3!$Q45*ADRYr3!$U45)</f>
        <v/>
      </c>
      <c r="CS45" s="28" t="str">
        <f>IF($G45="","",G45*(IF(ADRYr3!$AI45=CS$4,ADRYr3!$AJ45,IF(ADRYr3!$AK45=CS$4,ADRYr3!$AL45,IF(ADRYr3!$AM45=CS$4,ADRYr3!$AN45,0))))*(INDEX(avoidedcosttbl3,$H45,CS$2)+(($H45-ROUNDDOWN($H45,0))*(INDEX(avoidedcosttbl3,ROUNDUP($H45,0),CS$2)-(INDEX(avoidedcosttbl3,ROUNDDOWN($H45,0),CS$2)))))*ADRYr3!$P45*ADRYr3!$Q45*ADRYr3!$U45)</f>
        <v/>
      </c>
      <c r="CT45" s="28" t="str">
        <f t="shared" si="11"/>
        <v/>
      </c>
      <c r="CU45" s="28" t="str">
        <f>IF($G45="","",G45*(IF(ADRYr3!$AI45=CU$4,ADRYr3!$AJ45,IF(ADRYr3!$AK45=CU$4,ADRYr3!$AL45,IF(ADRYr3!$AM45=CU$4,ADRYr3!$AN45,0))))*(INDEX(avoidedcosttbl3,$H45,CU$2)+(($H45-ROUNDDOWN($H45,0))*(INDEX(avoidedcosttbl3,ROUNDUP($H45,0),CU$2)-(INDEX(avoidedcosttbl3,ROUNDDOWN($H45,0),CU$2)))))*ADRYr3!$P45*ADRYr3!$Q45*ADRYr3!$U45)</f>
        <v/>
      </c>
      <c r="CV45" s="28" t="str">
        <f>IF($G45="","",G45*(IF(ADRYr3!$AI45=CV$4,ADRYr3!$AJ45,IF(ADRYr3!$AK45=CV$4,ADRYr3!$AL45,IF(ADRYr3!$AM45=CV$4,ADRYr3!$AN45,0))))*(INDEX(avoidedcosttbl3,$H45,CV$2)+(($H45-ROUNDDOWN($H45,0))*(INDEX(avoidedcosttbl3,ROUNDUP($H45,0),CV$2)-(INDEX(avoidedcosttbl3,ROUNDDOWN($H45,0),CV$2)))))*ADRYr3!$P45*ADRYr3!$Q45*ADRYr3!$U45)</f>
        <v/>
      </c>
      <c r="CW45" s="28" t="str">
        <f>IF($G45="","",G45*(IF(ADRYr3!$AI45=CW$4,ADRYr3!$AJ45,IF(ADRYr3!$AK45=CW$4,ADRYr3!$AL45,IF(ADRYr3!$AM45=CW$4,ADRYr3!$AN45,0))))*(INDEX(avoidedcosttbl3,$H45,CW$2)+(($H45-ROUNDDOWN($H45,0))*(INDEX(avoidedcosttbl3,ROUNDUP($H45,0),CW$2)-(INDEX(avoidedcosttbl3,ROUNDDOWN($H45,0),CW$2)))))*ADRYr3!$P45*ADRYr3!$Q45*ADRYr3!$U45)</f>
        <v/>
      </c>
      <c r="CX45" s="28" t="str">
        <f>IF($G45="","",G45*(IF(ADRYr3!$AI45=CX$4,ADRYr3!$AJ45,IF(ADRYr3!$AK45=CX$4,ADRYr3!$AL45,IF(ADRYr3!$AM45=CX$4,ADRYr3!$AN45,0))))*(INDEX(avoidedcosttbl3,$H45,CX$2)+(($H45-ROUNDDOWN($H45,0))*(INDEX(avoidedcosttbl3,ROUNDUP($H45,0),CX$2)-(INDEX(avoidedcosttbl3,ROUNDDOWN($H45,0),CX$2)))))*ADRYr3!$P45*ADRYr3!$Q45*ADRYr3!$U45)</f>
        <v/>
      </c>
      <c r="CY45" s="28" t="str">
        <f t="shared" si="75"/>
        <v/>
      </c>
      <c r="CZ45" s="32" t="str">
        <f t="shared" si="76"/>
        <v/>
      </c>
      <c r="DA45" s="84" t="str">
        <f t="shared" si="77"/>
        <v/>
      </c>
      <c r="DB45" s="81" t="str">
        <f>IF(NEIadder="Yes",IF($G45="","",INDEX(Lookups!$G$70:$G$71,MATCH($A45,Lookups!$E$70:$E$71,0))*(SUM(CP45:CX45,BX45))),"")</f>
        <v/>
      </c>
      <c r="DC45" s="263" t="str">
        <f t="shared" si="78"/>
        <v/>
      </c>
      <c r="DD45" s="166" t="str">
        <f t="shared" si="79"/>
        <v/>
      </c>
      <c r="DE45" s="82">
        <f t="shared" si="80"/>
        <v>0</v>
      </c>
      <c r="DF45" s="615" t="str">
        <f>IF($G45="","",(1+WntPeakEnergyLL)*(INDEX(avoidedcosttbl3,$H45,DF$2)+(($H45-ROUNDDOWN($H45,0))*(INDEX(avoidedcosttbl3,ROUNDUP($H45,0),DF$2)-(INDEX(avoidedcosttbl3,ROUNDDOWN($H45,0),DF$2)))))*$P45*1000*ADRYr3!Z45)</f>
        <v/>
      </c>
      <c r="DG45" s="615" t="str">
        <f>IF($G45="","",(1+WntOffPeakEnergyLL)*(INDEX(avoidedcosttbl3,$H45,DG$2)+(($H45-ROUNDDOWN($H45,0))*(INDEX(avoidedcosttbl3,ROUNDUP($H45,0),DG$2)-(INDEX(avoidedcosttbl3,ROUNDDOWN($H45,0),DG$2)))))*$P45*1000*ADRYr3!AA45)</f>
        <v/>
      </c>
      <c r="DH45" s="615" t="str">
        <f>IF($G45="","",(1+SumPeakEnergyLL)*(INDEX(avoidedcosttbl3,$H45,DH$2)+(($H45-ROUNDDOWN($H45,0))*(INDEX(avoidedcosttbl3,ROUNDUP($H45,0),DH$2)-(INDEX(avoidedcosttbl3,ROUNDDOWN($H45,0),DH$2)))))*$P45*1000*ADRYr3!AB45)</f>
        <v/>
      </c>
      <c r="DI45" s="615" t="str">
        <f>IF($G45="","",(1+SumOffPeakEnergyLL)*(INDEX(avoidedcosttbl3,$H45,DI$2)+(($H45-ROUNDDOWN($H45,0))*(INDEX(avoidedcosttbl3,ROUNDUP($H45,0),DI$2)-(INDEX(avoidedcosttbl3,ROUNDDOWN($H45,0),DI$2)))))*$P45*1000*ADRYr3!AC45)</f>
        <v/>
      </c>
      <c r="DJ45" s="29" t="str">
        <f t="shared" si="81"/>
        <v/>
      </c>
      <c r="DK45" s="161" t="str">
        <f t="shared" si="83"/>
        <v/>
      </c>
      <c r="DO45" s="966" t="str">
        <f>IF($G45="","",ADRYr3!AQ45)</f>
        <v/>
      </c>
      <c r="DP45" s="968" t="str">
        <f>IF($G45="","",ADRYr3!AR45)</f>
        <v/>
      </c>
      <c r="DQ45" s="970" t="str">
        <f>IF($G45="","",IF($DP45="Yes",COLUMN(AESC!$L$10),IF($DP45="No","Using AvoidedDemand tab",IF($DP45="Mixed",COLUMN(AESC!$N$10)))))</f>
        <v/>
      </c>
      <c r="DR45" s="970" t="str">
        <f>IF($G45="","",IF($DP45="Yes",COLUMN(AESC!$P$10),IF($DP45="No","Using AvoidedDemand tab",IF($DP45="Mixed",COLUMN(AESC!$R$10)))))</f>
        <v/>
      </c>
      <c r="DS45" s="970" t="str">
        <f>IF($G45="","",IF($DP45="Yes",COLUMN(AESC!$S$10),IF($DP45="No",COLUMN(AESC!$T$10),IF($DP45="Mixed",COLUMN(AESC!$U$10)))))</f>
        <v/>
      </c>
      <c r="DT45" s="970" t="str">
        <f t="shared" si="49"/>
        <v/>
      </c>
      <c r="DU45" s="970" t="str">
        <f>IF($G45="","",ADRYr3!AS45)</f>
        <v/>
      </c>
      <c r="DV45" s="971" t="str">
        <f>IF($G45="","",ADRYr3!AT45)</f>
        <v/>
      </c>
      <c r="DW45" s="1162" t="str">
        <f>IF($G45="","",INDEX(AvoidedEnergy!$H$4:$H$10,MATCH($DO45,AvoidedEnergy!$A$4:$A$10,0)))</f>
        <v/>
      </c>
    </row>
    <row r="46" spans="1:127">
      <c r="A46" s="160" t="str">
        <f>IF(ADRYr3!$B46=0,"",ADRYr3!A46)</f>
        <v/>
      </c>
      <c r="B46" s="9" t="str">
        <f>IF(ADRYr3!$B46=0,"",ADRYr3!B46)</f>
        <v/>
      </c>
      <c r="C46" s="9" t="str">
        <f>IF(ADRYr3!$B46=0,"",ADRYr3!C46)</f>
        <v/>
      </c>
      <c r="D46" s="9" t="str">
        <f>IF(ADRYr3!$B46=0,"",ADRYr3!D46)</f>
        <v/>
      </c>
      <c r="E46" s="9"/>
      <c r="F46" s="11" t="str">
        <f>IF(ADRYr3!$B46=0,"",ADRYr3!F46)</f>
        <v/>
      </c>
      <c r="G46" s="12" t="str">
        <f>IF(ADRYr3!$G46&lt;&gt;0,ADRYr3!G46,"")</f>
        <v/>
      </c>
      <c r="H46" s="960" t="str">
        <f>IF($G46="","",ROUND(ADRYr3!H46,0))</f>
        <v/>
      </c>
      <c r="I46" s="47" t="str">
        <f>IF($G46="","",ADRYr3!I46*ADRYr3!P46*G46)</f>
        <v/>
      </c>
      <c r="J46" s="47" t="str">
        <f>IF($G46="","",ADRYr3!J46*G46)</f>
        <v/>
      </c>
      <c r="K46" s="47" t="str">
        <f t="shared" si="50"/>
        <v/>
      </c>
      <c r="L46" s="27" t="str">
        <f>IF($G46="","",ADRYr3!V46*G46/1000)</f>
        <v/>
      </c>
      <c r="M46" s="27" t="str">
        <f>IF($G46="","",L46*ADRYr3!$Q46*ADRYr3!$R46)</f>
        <v/>
      </c>
      <c r="N46" s="27" t="str">
        <f t="shared" si="51"/>
        <v/>
      </c>
      <c r="O46" s="27" t="str">
        <f t="shared" si="52"/>
        <v/>
      </c>
      <c r="P46" s="27" t="str">
        <f>IF($G46="","",M46*ADRYr3!P46)</f>
        <v/>
      </c>
      <c r="Q46" s="27" t="str">
        <f t="shared" si="53"/>
        <v/>
      </c>
      <c r="R46" s="27" t="str">
        <f>IF($G46="","",$Q46*ADRYr3!Z46)</f>
        <v/>
      </c>
      <c r="S46" s="27" t="str">
        <f>IF($G46="","",$Q46*ADRYr3!AA46)</f>
        <v/>
      </c>
      <c r="T46" s="27" t="str">
        <f>IF($G46="","",$Q46*ADRYr3!AB46)</f>
        <v/>
      </c>
      <c r="U46" s="27" t="str">
        <f>IF($G46="","",$Q46*ADRYr3!AC46)</f>
        <v/>
      </c>
      <c r="V46" s="27" t="str">
        <f>IF($G46="","",G46*ADRYr3!$AD46*ADRYr3!$P46*ADRYr3!$Q46)</f>
        <v/>
      </c>
      <c r="W46" s="27" t="str">
        <f>IF($G46="","",$G46*ADRYr3!$AD46*ADRYr3!$AF46*ADRYr3!Q46*ADRYr3!$S46)</f>
        <v/>
      </c>
      <c r="X46" s="27" t="str">
        <f>IF($G46="","",$G46*ADRYr3!$AD46*ADRYr3!$AF46*ADRYr3!P46*ADRYr3!Q46*ADRYr3!$S46)</f>
        <v/>
      </c>
      <c r="Y46" s="27" t="str">
        <f>IF($G46="","",$G46*ADRYr3!$AD46*ADRYr3!$AE46*ADRYr3!Q46*ADRYr3!$T46)</f>
        <v/>
      </c>
      <c r="Z46" s="27" t="str">
        <f>IF($G46="","",$G46*ADRYr3!$AD46*ADRYr3!$AE46*ADRYr3!P46*ADRYr3!Q46*ADRYr3!$T46)</f>
        <v/>
      </c>
      <c r="AA46" s="45" t="str">
        <f>IF($G46="","",$G46*ADRYr3!$Q46*ADRYr3!$U46*(IF(IFERROR(SEARCH("NG", ADRYr3!$AI46),0),ADRYr3!$AJ46,0)+IF(IFERROR(SEARCH("NG", ADRYr3!$AK46),0),ADRYr3!$AL46,0)+IF(IFERROR(SEARCH("NG", ADRYr3!$AM46),0),ADRYr3!$AN46,0)))</f>
        <v/>
      </c>
      <c r="AB46" s="45" t="str">
        <f t="shared" si="54"/>
        <v/>
      </c>
      <c r="AC46" s="45">
        <f>IF($G46="",0,AA46*ADRYr3!$P46)</f>
        <v>0</v>
      </c>
      <c r="AD46" s="45" t="str">
        <f t="shared" si="55"/>
        <v/>
      </c>
      <c r="AE46" s="45" t="str">
        <f>IF($G46="","",$G46*ADRYr3!$Q46*ADRYr3!$U46*(IF(IFERROR(SEARCH("Oil", ADRYr3!$AI46), 0),ADRYr3!$AJ46,0)+IF(IFERROR(SEARCH("Oil", ADRYr3!$AK46), 0),ADRYr3!$AL46,0)+IF(IFERROR(SEARCH("Oil", ADRYr3!$AM46), 0),ADRYr3!$AN46,0)))</f>
        <v/>
      </c>
      <c r="AF46" s="45" t="str">
        <f t="shared" si="56"/>
        <v/>
      </c>
      <c r="AG46" s="45">
        <f>IF($G46="",0,AE46*ADRYr3!$P46)</f>
        <v>0</v>
      </c>
      <c r="AH46" s="45" t="str">
        <f t="shared" si="57"/>
        <v/>
      </c>
      <c r="AI46" s="45" t="str">
        <f>IF($G46="","",$G46*ADRYr3!$Q46*ADRYr3!$U46*(IF(ADRYr3!$AI46=Lookups!$E$116,ADRYr3!$AJ46,IF(ADRYr3!$AK46=Lookups!$E$116,ADRYr3!$AL46,IF(ADRYr3!$AM46=Lookups!$E$116,ADRYr3!$AN46,0)))))</f>
        <v/>
      </c>
      <c r="AJ46" s="45" t="str">
        <f t="shared" si="58"/>
        <v/>
      </c>
      <c r="AK46" s="45">
        <f>IF($G46="",0,AI46*ADRYr3!$P46)</f>
        <v>0</v>
      </c>
      <c r="AL46" s="45" t="str">
        <f t="shared" si="59"/>
        <v/>
      </c>
      <c r="AM46" s="45" t="str">
        <f>IF($G46="","",$G46*ADRYr3!$Q46*ADRYr3!$U46*(IF(ADRYr3!$AI46=Lookups!$E$115,ADRYr3!$AJ46,IF(ADRYr3!$AK46=Lookups!$E$115,ADRYr3!$AL46,IF(ADRYr3!$AM46=Lookups!$E$115,ADRYr3!$AN46,0)))))</f>
        <v/>
      </c>
      <c r="AN46" s="45" t="str">
        <f t="shared" si="60"/>
        <v/>
      </c>
      <c r="AO46" s="45">
        <f>IF($G46="",0,AM46*ADRYr3!$P46)</f>
        <v>0</v>
      </c>
      <c r="AP46" s="45" t="str">
        <f t="shared" si="61"/>
        <v/>
      </c>
      <c r="AQ46" s="45" t="str">
        <f>IF($G46="","",$G46*ADRYr3!$Q46*ADRYr3!$U46*(IF(ADRYr3!$AI46=Lookups!$E$117,ADRYr3!$AJ46,IF(ADRYr3!$AK46=Lookups!$E$117,ADRYr3!$AL46,IF(ADRYr3!$AM46=Lookups!$E$117,ADRYr3!$AN46,0)))))</f>
        <v/>
      </c>
      <c r="AR46" s="45" t="str">
        <f t="shared" si="62"/>
        <v/>
      </c>
      <c r="AS46" s="45" t="str">
        <f>IF($G46="","",AQ46*ADRYr3!$P46)</f>
        <v/>
      </c>
      <c r="AT46" s="45" t="str">
        <f t="shared" si="63"/>
        <v/>
      </c>
      <c r="AU46" s="45" t="str">
        <f>IF($G46="","",$G46*ADRYr3!$Q46*ADRYr3!$U46*(IF(ADRYr3!$AI46=Lookups!$E$118,ADRYr3!$AJ46,IF(ADRYr3!$AK46=Lookups!$E$118,ADRYr3!$AL46,IF(ADRYr3!$AM46=Lookups!$E$118,ADRYr3!$AN46,0)))))</f>
        <v/>
      </c>
      <c r="AV46" s="45" t="str">
        <f t="shared" si="64"/>
        <v/>
      </c>
      <c r="AW46" s="45" t="str">
        <f>IF($G46="","",AU46*ADRYr3!$P46)</f>
        <v/>
      </c>
      <c r="AX46" s="45" t="str">
        <f t="shared" si="65"/>
        <v/>
      </c>
      <c r="AY46" s="45">
        <f t="shared" si="66"/>
        <v>0</v>
      </c>
      <c r="AZ46" s="45">
        <f t="shared" si="67"/>
        <v>0</v>
      </c>
      <c r="BA46" s="101" t="str">
        <f>IF($G46="","",$G46*ADRYr3!$P46*ADRYr3!$Q46*ADRYr3!$U46*ADRYr3!AO46)</f>
        <v/>
      </c>
      <c r="BB46" s="102" t="str">
        <f>IF($G46="","",$G46*ADRYr3!$P46*ADRYr3!$Q46*ADRYr3!$U46*ADRYr3!AP46)</f>
        <v/>
      </c>
      <c r="BC46" s="100" t="str">
        <f t="shared" si="68"/>
        <v/>
      </c>
      <c r="BD46" s="961"/>
      <c r="BE46" s="961"/>
      <c r="BF46" s="961"/>
      <c r="BG46" s="961"/>
      <c r="BH46" s="962" t="str">
        <f t="shared" si="3"/>
        <v/>
      </c>
      <c r="BI46" s="961"/>
      <c r="BJ46" s="961"/>
      <c r="BK46" s="961"/>
      <c r="BL46" s="961"/>
      <c r="BM46" s="30" t="str">
        <f t="shared" si="4"/>
        <v/>
      </c>
      <c r="BN46" s="963" t="str">
        <f t="shared" si="31"/>
        <v/>
      </c>
      <c r="BO46" s="31" t="str">
        <f t="shared" si="69"/>
        <v/>
      </c>
      <c r="BP46" s="964" t="str">
        <f t="shared" si="5"/>
        <v/>
      </c>
      <c r="BQ46" s="28" t="str">
        <f t="shared" si="6"/>
        <v/>
      </c>
      <c r="BR46" s="964" t="str">
        <f t="shared" si="7"/>
        <v/>
      </c>
      <c r="BS46" s="964" t="str">
        <f t="shared" si="8"/>
        <v/>
      </c>
      <c r="BT46" s="28" t="str">
        <f t="shared" si="82"/>
        <v/>
      </c>
      <c r="BU46" s="28" t="str">
        <f t="shared" si="82"/>
        <v/>
      </c>
      <c r="BV46" s="28" t="str">
        <f t="shared" si="82"/>
        <v/>
      </c>
      <c r="BW46" s="29" t="str">
        <f t="shared" si="70"/>
        <v/>
      </c>
      <c r="BX46" s="29" t="str">
        <f t="shared" si="71"/>
        <v/>
      </c>
      <c r="BY46" s="28" t="str">
        <f>IF($G46="","",$G46*(IF(ADRYr3!$AI46=BY$4,ADRYr3!$AJ46,IF(ADRYr3!$AK46=BY$4,ADRYr3!$AL46,IF(ADRYr3!$AM46=BY$4,ADRYr3!$AN46,0))))*(INDEX(avoidedcosttbl3,$H46,BY$2)+(($H46-ROUNDDOWN($H46,0))*(INDEX(avoidedcosttbl3,ROUNDUP($H46,0),BY$2)-(INDEX(avoidedcosttbl3,ROUNDDOWN($H46,0),BY$2)))))*ADRYr3!P46*ADRYr3!Q46*ADRYr3!U46)</f>
        <v/>
      </c>
      <c r="BZ46" s="28" t="str">
        <f>IF($G46="","",$G46*(IF(ADRYr3!$AI46=BZ$4,ADRYr3!$AJ46,IF(ADRYr3!$AK46=BZ$4,ADRYr3!$AL46,IF(ADRYr3!$AM46=BZ$4,ADRYr3!$AN46,0))))*(INDEX(avoidedcosttbl3,$H46,BZ$2)+(($H46-ROUNDDOWN($H46,0))*(INDEX(avoidedcosttbl3,ROUNDUP($H46,0),BZ$2)-(INDEX(avoidedcosttbl3,ROUNDDOWN($H46,0),BZ$2)))))*ADRYr3!P46*ADRYr3!Q46*ADRYr3!U46)</f>
        <v/>
      </c>
      <c r="CA46" s="28" t="str">
        <f>IF($G46="","",$G46*(IF(ADRYr3!$AI46=CA$4,ADRYr3!$AJ46,IF(ADRYr3!$AK46=CA$4,ADRYr3!$AL46,IF(ADRYr3!$AM46=CA$4,ADRYr3!$AN46,0))))*(INDEX(avoidedcosttbl3,$H46,CA$2)+(($H46-ROUNDDOWN($H46,0))*(INDEX(avoidedcosttbl3,ROUNDUP($H46,0),CA$2)-(INDEX(avoidedcosttbl3,ROUNDDOWN($H46,0),CA$2)))))*ADRYr3!P46*ADRYr3!Q46*ADRYr3!U46)</f>
        <v/>
      </c>
      <c r="CB46" s="28" t="str">
        <f>IF($G46="","",$G46*(IF(ADRYr3!$AI46=CB$4,ADRYr3!$AJ46,IF(ADRYr3!$AK46=CB$4,ADRYr3!$AL46,IF(ADRYr3!$AM46=CB$4,ADRYr3!$AN46,0))))*(INDEX(avoidedcosttbl3,$H46,CB$2)+(($H46-ROUNDDOWN($H46,0))*(INDEX(avoidedcosttbl3,ROUNDUP($H46,0),CB$2)-(INDEX(avoidedcosttbl3,ROUNDDOWN($H46,0),CB$2)))))*ADRYr3!P46*ADRYr3!Q46*ADRYr3!U46)</f>
        <v/>
      </c>
      <c r="CC46" s="28" t="str">
        <f>IF($G46="","",$G46*(IF(ADRYr3!$AI46=CC$4,ADRYr3!$AJ46,IF(ADRYr3!$AK46=CC$4,ADRYr3!$AL46,IF(ADRYr3!$AM46=CC$4,ADRYr3!$AN46,0))))*(INDEX(avoidedcosttbl3,$H46,CC$2)+(($H46-ROUNDDOWN($H46,0))*(INDEX(avoidedcosttbl3,ROUNDUP($H46,0),CC$2)-(INDEX(avoidedcosttbl3,ROUNDDOWN($H46,0),CC$2)))))*ADRYr3!P46*ADRYr3!Q46*ADRYr3!U46)</f>
        <v/>
      </c>
      <c r="CD46" s="28" t="str">
        <f>IF($G46="","",$G46*(IF(ADRYr3!$AI46=CD$4,ADRYr3!$AJ46,IF(ADRYr3!$AK46=CD$4,ADRYr3!$AL46,IF(ADRYr3!$AM46=CD$4,ADRYr3!$AN46,0))))*(INDEX(avoidedcosttbl3,$H46,CD$2)+(($H46-ROUNDDOWN($H46,0))*(INDEX(avoidedcosttbl3,ROUNDUP($H46,0),CD$2)-(INDEX(avoidedcosttbl3,ROUNDDOWN($H46,0),CD$2)))))*ADRYr3!P46*ADRYr3!Q46*ADRYr3!U46)</f>
        <v/>
      </c>
      <c r="CE46" s="28" t="str">
        <f>IF($G46="","",$G46*(IF(ADRYr3!$AI46=CE$4,ADRYr3!$AJ46,IF(ADRYr3!$AK46=CE$4,ADRYr3!$AL46,IF(ADRYr3!$AM46=CE$4,ADRYr3!$AN46,0))))*(INDEX(avoidedcosttbl3,$H46,CE$2)+(($H46-ROUNDDOWN($H46,0))*(INDEX(avoidedcosttbl3,ROUNDUP($H46,0),CE$2)-(INDEX(avoidedcosttbl3,ROUNDDOWN($H46,0),CE$2)))))*ADRYr3!P46*ADRYr3!Q46*ADRYr3!U46)</f>
        <v/>
      </c>
      <c r="CF46" s="41" t="str">
        <f t="shared" si="72"/>
        <v/>
      </c>
      <c r="CG46" s="30" t="str">
        <f t="shared" si="10"/>
        <v/>
      </c>
      <c r="CH46" s="30" t="str">
        <f>IF($G46="","",$G46*(IF(ADRYr3!$AI46=BY$4,ADRYr3!$AJ46,IF(ADRYr3!$AK46=BY$4,ADRYr3!$AL46,IF(ADRYr3!$AM46=BY$4,ADRYr3!$AN46,0))))*(INDEX(avoidedcosttbl3,$H46,CH$2)+(($H46-ROUNDDOWN($H46,0))*(INDEX(avoidedcosttbl3,ROUNDUP($H46,0),CH$2)-(INDEX(avoidedcosttbl3,ROUNDDOWN($H46,0),CH$2)))))*ADRYr3!P46*ADRYr3!Q46*ADRYr3!U46)</f>
        <v/>
      </c>
      <c r="CI46" s="30" t="str">
        <f>IF($G46="","",$G46*(IF(ADRYr3!$AI46=BZ$4,ADRYr3!$AJ46,IF(ADRYr3!$AK46=BZ$4,ADRYr3!$AL46,IF(ADRYr3!$AM46=BZ$4,ADRYr3!$AN46,0))))*(INDEX(avoidedcosttbl3,$H46,CI$2)+(($H46-ROUNDDOWN($H46,0))*(INDEX(avoidedcosttbl3,ROUNDUP($H46,0),CI$2)-(INDEX(avoidedcosttbl3,ROUNDDOWN($H46,0),CI$2)))))*ADRYr3!P46*ADRYr3!Q46*ADRYr3!U46)</f>
        <v/>
      </c>
      <c r="CJ46" s="30" t="str">
        <f>IF($G46="","",$G46*(IF(ADRYr3!$AI46=CA$4,ADRYr3!$AJ46,IF(ADRYr3!$AK46=CA$4,ADRYr3!$AL46,IF(ADRYr3!$AM46=CA$4,ADRYr3!$AN46,0))))*(INDEX(avoidedcosttbl3,$H46,CJ$2)+(($H46-ROUNDDOWN($H46,0))*(INDEX(avoidedcosttbl3,ROUNDUP($H46,0),CJ$2)-(INDEX(avoidedcosttbl3,ROUNDDOWN($H46,0),CJ$2)))))*ADRYr3!P46*ADRYr3!Q46*ADRYr3!U46)</f>
        <v/>
      </c>
      <c r="CK46" s="30" t="str">
        <f>IF($G46="","",$G46*(IF(ADRYr3!$AI46=CB$4,ADRYr3!$AJ46,IF(ADRYr3!$AK46=CB$4,ADRYr3!$AL46,IF(ADRYr3!$AM46=CB$4,ADRYr3!$AN46,0))))*(INDEX(avoidedcosttbl3,$H46,CK$2)+(($H46-ROUNDDOWN($H46,0))*(INDEX(avoidedcosttbl3,ROUNDUP($H46,0),CK$2)-(INDEX(avoidedcosttbl3,ROUNDDOWN($H46,0),CK$2)))))*ADRYr3!P46*ADRYr3!Q46*ADRYr3!U46)</f>
        <v/>
      </c>
      <c r="CL46" s="30" t="str">
        <f>IF($G46="","",$G46*(IF(ADRYr3!$AI46=CC$4,ADRYr3!$AJ46,IF(ADRYr3!$AK46=CC$4,ADRYr3!$AL46,IF(ADRYr3!$AM46=CC$4,ADRYr3!$AN46,0))))*(INDEX(avoidedcosttbl3,$H46,CL$2)+(($H46-ROUNDDOWN($H46,0))*(INDEX(avoidedcosttbl3,ROUNDUP($H46,0),CL$2)-(INDEX(avoidedcosttbl3,ROUNDDOWN($H46,0),CL$2)))))*ADRYr3!P46*ADRYr3!Q46*ADRYr3!U46)</f>
        <v/>
      </c>
      <c r="CM46" s="30" t="str">
        <f>IF($G46="","",$G46*(IF(ADRYr3!$AI46=CD$4,ADRYr3!$AJ46,IF(ADRYr3!$AK46=CD$4,ADRYr3!$AL46,IF(ADRYr3!$AM46=CD$4,ADRYr3!$AN46,0))))*(INDEX(avoidedcosttbl3,$H46,CM$2)+(($H46-ROUNDDOWN($H46,0))*(INDEX(avoidedcosttbl3,ROUNDUP($H46,0),CM$2)-(INDEX(avoidedcosttbl3,ROUNDDOWN($H46,0),CM$2)))))*ADRYr3!P46*ADRYr3!Q46*ADRYr3!U46)</f>
        <v/>
      </c>
      <c r="CN46" s="30" t="str">
        <f>IF($G46="","",$G46*(IF(ADRYr3!$AI46=CE$4,ADRYr3!$AJ46,IF(ADRYr3!$AK46=CE$4,ADRYr3!$AL46,IF(ADRYr3!$AM46=CE$4,ADRYr3!$AN46,0))))*(INDEX(avoidedcosttbl3,$H46,CN$2)+(($H46-ROUNDDOWN($H46,0))*(INDEX(avoidedcosttbl3,ROUNDUP($H46,0),CN$2)-(INDEX(avoidedcosttbl3,ROUNDDOWN($H46,0),CN$2)))))*ADRYr3!P46*ADRYr3!Q46*ADRYr3!U46)</f>
        <v/>
      </c>
      <c r="CO46" s="220" t="str">
        <f t="shared" si="73"/>
        <v/>
      </c>
      <c r="CP46" s="220" t="str">
        <f t="shared" si="74"/>
        <v/>
      </c>
      <c r="CQ46" s="157" t="str">
        <f>IF($G46="","",$G46*(IF(ADRYr3!$AI46=CQ$4,ADRYr3!$AJ46,IF(ADRYr3!$AK46=CQ$4,ADRYr3!$AL46,IF(ADRYr3!$AM46=CQ$4,ADRYr3!$AN46,0))))*(INDEX(avoidedcosttbl3,$H46,CQ$2)+(($H46-ROUNDDOWN($H46,0))*(INDEX(avoidedcosttbl3,ROUNDUP($H46,0),CQ$2)-(INDEX(avoidedcosttbl3,ROUNDDOWN($H46,0),CQ$2)))))*ADRYr3!$P46*ADRYr3!$Q46*ADRYr3!$U46)</f>
        <v/>
      </c>
      <c r="CR46" s="28" t="str">
        <f>IF($G46="","",G46*(IF(ADRYr3!$AI46=CR$4,ADRYr3!$AJ46,IF(ADRYr3!$AK46=CR$4,ADRYr3!$AL46,IF(ADRYr3!$AM46=CR$4,ADRYr3!$AN46,0))))*(INDEX(avoidedcosttbl3,$H46,CR$2)+(($H46-ROUNDDOWN($H46,0))*(INDEX(avoidedcosttbl3,ROUNDUP($H46,0),CR$2)-(INDEX(avoidedcosttbl3,ROUNDDOWN($H46,0),CR$2)))))*ADRYr3!$P46*ADRYr3!$Q46*ADRYr3!$U46)</f>
        <v/>
      </c>
      <c r="CS46" s="28" t="str">
        <f>IF($G46="","",G46*(IF(ADRYr3!$AI46=CS$4,ADRYr3!$AJ46,IF(ADRYr3!$AK46=CS$4,ADRYr3!$AL46,IF(ADRYr3!$AM46=CS$4,ADRYr3!$AN46,0))))*(INDEX(avoidedcosttbl3,$H46,CS$2)+(($H46-ROUNDDOWN($H46,0))*(INDEX(avoidedcosttbl3,ROUNDUP($H46,0),CS$2)-(INDEX(avoidedcosttbl3,ROUNDDOWN($H46,0),CS$2)))))*ADRYr3!$P46*ADRYr3!$Q46*ADRYr3!$U46)</f>
        <v/>
      </c>
      <c r="CT46" s="28" t="str">
        <f t="shared" si="11"/>
        <v/>
      </c>
      <c r="CU46" s="28" t="str">
        <f>IF($G46="","",G46*(IF(ADRYr3!$AI46=CU$4,ADRYr3!$AJ46,IF(ADRYr3!$AK46=CU$4,ADRYr3!$AL46,IF(ADRYr3!$AM46=CU$4,ADRYr3!$AN46,0))))*(INDEX(avoidedcosttbl3,$H46,CU$2)+(($H46-ROUNDDOWN($H46,0))*(INDEX(avoidedcosttbl3,ROUNDUP($H46,0),CU$2)-(INDEX(avoidedcosttbl3,ROUNDDOWN($H46,0),CU$2)))))*ADRYr3!$P46*ADRYr3!$Q46*ADRYr3!$U46)</f>
        <v/>
      </c>
      <c r="CV46" s="28" t="str">
        <f>IF($G46="","",G46*(IF(ADRYr3!$AI46=CV$4,ADRYr3!$AJ46,IF(ADRYr3!$AK46=CV$4,ADRYr3!$AL46,IF(ADRYr3!$AM46=CV$4,ADRYr3!$AN46,0))))*(INDEX(avoidedcosttbl3,$H46,CV$2)+(($H46-ROUNDDOWN($H46,0))*(INDEX(avoidedcosttbl3,ROUNDUP($H46,0),CV$2)-(INDEX(avoidedcosttbl3,ROUNDDOWN($H46,0),CV$2)))))*ADRYr3!$P46*ADRYr3!$Q46*ADRYr3!$U46)</f>
        <v/>
      </c>
      <c r="CW46" s="28" t="str">
        <f>IF($G46="","",G46*(IF(ADRYr3!$AI46=CW$4,ADRYr3!$AJ46,IF(ADRYr3!$AK46=CW$4,ADRYr3!$AL46,IF(ADRYr3!$AM46=CW$4,ADRYr3!$AN46,0))))*(INDEX(avoidedcosttbl3,$H46,CW$2)+(($H46-ROUNDDOWN($H46,0))*(INDEX(avoidedcosttbl3,ROUNDUP($H46,0),CW$2)-(INDEX(avoidedcosttbl3,ROUNDDOWN($H46,0),CW$2)))))*ADRYr3!$P46*ADRYr3!$Q46*ADRYr3!$U46)</f>
        <v/>
      </c>
      <c r="CX46" s="28" t="str">
        <f>IF($G46="","",G46*(IF(ADRYr3!$AI46=CX$4,ADRYr3!$AJ46,IF(ADRYr3!$AK46=CX$4,ADRYr3!$AL46,IF(ADRYr3!$AM46=CX$4,ADRYr3!$AN46,0))))*(INDEX(avoidedcosttbl3,$H46,CX$2)+(($H46-ROUNDDOWN($H46,0))*(INDEX(avoidedcosttbl3,ROUNDUP($H46,0),CX$2)-(INDEX(avoidedcosttbl3,ROUNDDOWN($H46,0),CX$2)))))*ADRYr3!$P46*ADRYr3!$Q46*ADRYr3!$U46)</f>
        <v/>
      </c>
      <c r="CY46" s="28" t="str">
        <f t="shared" si="75"/>
        <v/>
      </c>
      <c r="CZ46" s="32" t="str">
        <f t="shared" si="76"/>
        <v/>
      </c>
      <c r="DA46" s="84" t="str">
        <f t="shared" si="77"/>
        <v/>
      </c>
      <c r="DB46" s="81" t="str">
        <f>IF(NEIadder="Yes",IF($G46="","",INDEX(Lookups!$G$70:$G$71,MATCH($A46,Lookups!$E$70:$E$71,0))*(SUM(CP46:CX46,BX46))),"")</f>
        <v/>
      </c>
      <c r="DC46" s="263" t="str">
        <f t="shared" si="78"/>
        <v/>
      </c>
      <c r="DD46" s="166" t="str">
        <f t="shared" si="79"/>
        <v/>
      </c>
      <c r="DE46" s="82">
        <f t="shared" si="80"/>
        <v>0</v>
      </c>
      <c r="DF46" s="615" t="str">
        <f>IF($G46="","",(1+WntPeakEnergyLL)*(INDEX(avoidedcosttbl3,$H46,DF$2)+(($H46-ROUNDDOWN($H46,0))*(INDEX(avoidedcosttbl3,ROUNDUP($H46,0),DF$2)-(INDEX(avoidedcosttbl3,ROUNDDOWN($H46,0),DF$2)))))*$P46*1000*ADRYr3!Z46)</f>
        <v/>
      </c>
      <c r="DG46" s="615" t="str">
        <f>IF($G46="","",(1+WntOffPeakEnergyLL)*(INDEX(avoidedcosttbl3,$H46,DG$2)+(($H46-ROUNDDOWN($H46,0))*(INDEX(avoidedcosttbl3,ROUNDUP($H46,0),DG$2)-(INDEX(avoidedcosttbl3,ROUNDDOWN($H46,0),DG$2)))))*$P46*1000*ADRYr3!AA46)</f>
        <v/>
      </c>
      <c r="DH46" s="615" t="str">
        <f>IF($G46="","",(1+SumPeakEnergyLL)*(INDEX(avoidedcosttbl3,$H46,DH$2)+(($H46-ROUNDDOWN($H46,0))*(INDEX(avoidedcosttbl3,ROUNDUP($H46,0),DH$2)-(INDEX(avoidedcosttbl3,ROUNDDOWN($H46,0),DH$2)))))*$P46*1000*ADRYr3!AB46)</f>
        <v/>
      </c>
      <c r="DI46" s="615" t="str">
        <f>IF($G46="","",(1+SumOffPeakEnergyLL)*(INDEX(avoidedcosttbl3,$H46,DI$2)+(($H46-ROUNDDOWN($H46,0))*(INDEX(avoidedcosttbl3,ROUNDUP($H46,0),DI$2)-(INDEX(avoidedcosttbl3,ROUNDDOWN($H46,0),DI$2)))))*$P46*1000*ADRYr3!AC46)</f>
        <v/>
      </c>
      <c r="DJ46" s="29" t="str">
        <f t="shared" si="81"/>
        <v/>
      </c>
      <c r="DK46" s="161" t="str">
        <f t="shared" si="83"/>
        <v/>
      </c>
      <c r="DO46" s="966" t="str">
        <f>IF($G46="","",ADRYr3!AQ46)</f>
        <v/>
      </c>
      <c r="DP46" s="968" t="str">
        <f>IF($G46="","",ADRYr3!AR46)</f>
        <v/>
      </c>
      <c r="DQ46" s="970" t="str">
        <f>IF($G46="","",IF($DP46="Yes",COLUMN(AESC!$L$10),IF($DP46="No","Using AvoidedDemand tab",IF($DP46="Mixed",COLUMN(AESC!$N$10)))))</f>
        <v/>
      </c>
      <c r="DR46" s="970" t="str">
        <f>IF($G46="","",IF($DP46="Yes",COLUMN(AESC!$P$10),IF($DP46="No","Using AvoidedDemand tab",IF($DP46="Mixed",COLUMN(AESC!$R$10)))))</f>
        <v/>
      </c>
      <c r="DS46" s="970" t="str">
        <f>IF($G46="","",IF($DP46="Yes",COLUMN(AESC!$S$10),IF($DP46="No",COLUMN(AESC!$T$10),IF($DP46="Mixed",COLUMN(AESC!$U$10)))))</f>
        <v/>
      </c>
      <c r="DT46" s="970" t="str">
        <f t="shared" si="49"/>
        <v/>
      </c>
      <c r="DU46" s="970" t="str">
        <f>IF($G46="","",ADRYr3!AS46)</f>
        <v/>
      </c>
      <c r="DV46" s="971" t="str">
        <f>IF($G46="","",ADRYr3!AT46)</f>
        <v/>
      </c>
      <c r="DW46" s="1162" t="str">
        <f>IF($G46="","",INDEX(AvoidedEnergy!$H$4:$H$10,MATCH($DO46,AvoidedEnergy!$A$4:$A$10,0)))</f>
        <v/>
      </c>
    </row>
    <row r="47" spans="1:127">
      <c r="A47" s="160" t="str">
        <f>IF(ADRYr3!$B47=0,"",ADRYr3!A47)</f>
        <v/>
      </c>
      <c r="B47" s="9" t="str">
        <f>IF(ADRYr3!$B47=0,"",ADRYr3!B47)</f>
        <v/>
      </c>
      <c r="C47" s="9" t="str">
        <f>IF(ADRYr3!$B47=0,"",ADRYr3!C47)</f>
        <v/>
      </c>
      <c r="D47" s="9" t="str">
        <f>IF(ADRYr3!$B47=0,"",ADRYr3!D47)</f>
        <v/>
      </c>
      <c r="E47" s="9"/>
      <c r="F47" s="11" t="str">
        <f>IF(ADRYr3!$B47=0,"",ADRYr3!F47)</f>
        <v/>
      </c>
      <c r="G47" s="12" t="str">
        <f>IF(ADRYr3!$G47&lt;&gt;0,ADRYr3!G47,"")</f>
        <v/>
      </c>
      <c r="H47" s="960" t="str">
        <f>IF($G47="","",ROUND(ADRYr3!H47,0))</f>
        <v/>
      </c>
      <c r="I47" s="47" t="str">
        <f>IF($G47="","",ADRYr3!I47*ADRYr3!P47*G47)</f>
        <v/>
      </c>
      <c r="J47" s="47" t="str">
        <f>IF($G47="","",ADRYr3!J47*G47)</f>
        <v/>
      </c>
      <c r="K47" s="47" t="str">
        <f t="shared" si="50"/>
        <v/>
      </c>
      <c r="L47" s="27" t="str">
        <f>IF($G47="","",ADRYr3!V47*G47/1000)</f>
        <v/>
      </c>
      <c r="M47" s="27" t="str">
        <f>IF($G47="","",L47*ADRYr3!$Q47*ADRYr3!$R47)</f>
        <v/>
      </c>
      <c r="N47" s="27" t="str">
        <f t="shared" si="51"/>
        <v/>
      </c>
      <c r="O47" s="27" t="str">
        <f t="shared" si="52"/>
        <v/>
      </c>
      <c r="P47" s="27" t="str">
        <f>IF($G47="","",M47*ADRYr3!P47)</f>
        <v/>
      </c>
      <c r="Q47" s="27" t="str">
        <f t="shared" si="53"/>
        <v/>
      </c>
      <c r="R47" s="27" t="str">
        <f>IF($G47="","",$Q47*ADRYr3!Z47)</f>
        <v/>
      </c>
      <c r="S47" s="27" t="str">
        <f>IF($G47="","",$Q47*ADRYr3!AA47)</f>
        <v/>
      </c>
      <c r="T47" s="27" t="str">
        <f>IF($G47="","",$Q47*ADRYr3!AB47)</f>
        <v/>
      </c>
      <c r="U47" s="27" t="str">
        <f>IF($G47="","",$Q47*ADRYr3!AC47)</f>
        <v/>
      </c>
      <c r="V47" s="27" t="str">
        <f>IF($G47="","",G47*ADRYr3!$AD47*ADRYr3!$P47*ADRYr3!$Q47)</f>
        <v/>
      </c>
      <c r="W47" s="27" t="str">
        <f>IF($G47="","",$G47*ADRYr3!$AD47*ADRYr3!$AF47*ADRYr3!Q47*ADRYr3!$S47)</f>
        <v/>
      </c>
      <c r="X47" s="27" t="str">
        <f>IF($G47="","",$G47*ADRYr3!$AD47*ADRYr3!$AF47*ADRYr3!P47*ADRYr3!Q47*ADRYr3!$S47)</f>
        <v/>
      </c>
      <c r="Y47" s="27" t="str">
        <f>IF($G47="","",$G47*ADRYr3!$AD47*ADRYr3!$AE47*ADRYr3!Q47*ADRYr3!$T47)</f>
        <v/>
      </c>
      <c r="Z47" s="27" t="str">
        <f>IF($G47="","",$G47*ADRYr3!$AD47*ADRYr3!$AE47*ADRYr3!P47*ADRYr3!Q47*ADRYr3!$T47)</f>
        <v/>
      </c>
      <c r="AA47" s="45" t="str">
        <f>IF($G47="","",$G47*ADRYr3!$Q47*ADRYr3!$U47*(IF(IFERROR(SEARCH("NG", ADRYr3!$AI47),0),ADRYr3!$AJ47,0)+IF(IFERROR(SEARCH("NG", ADRYr3!$AK47),0),ADRYr3!$AL47,0)+IF(IFERROR(SEARCH("NG", ADRYr3!$AM47),0),ADRYr3!$AN47,0)))</f>
        <v/>
      </c>
      <c r="AB47" s="45" t="str">
        <f t="shared" si="54"/>
        <v/>
      </c>
      <c r="AC47" s="45">
        <f>IF($G47="",0,AA47*ADRYr3!$P47)</f>
        <v>0</v>
      </c>
      <c r="AD47" s="45" t="str">
        <f t="shared" si="55"/>
        <v/>
      </c>
      <c r="AE47" s="45" t="str">
        <f>IF($G47="","",$G47*ADRYr3!$Q47*ADRYr3!$U47*(IF(IFERROR(SEARCH("Oil", ADRYr3!$AI47), 0),ADRYr3!$AJ47,0)+IF(IFERROR(SEARCH("Oil", ADRYr3!$AK47), 0),ADRYr3!$AL47,0)+IF(IFERROR(SEARCH("Oil", ADRYr3!$AM47), 0),ADRYr3!$AN47,0)))</f>
        <v/>
      </c>
      <c r="AF47" s="45" t="str">
        <f t="shared" si="56"/>
        <v/>
      </c>
      <c r="AG47" s="45">
        <f>IF($G47="",0,AE47*ADRYr3!$P47)</f>
        <v>0</v>
      </c>
      <c r="AH47" s="45" t="str">
        <f t="shared" si="57"/>
        <v/>
      </c>
      <c r="AI47" s="45" t="str">
        <f>IF($G47="","",$G47*ADRYr3!$Q47*ADRYr3!$U47*(IF(ADRYr3!$AI47=Lookups!$E$116,ADRYr3!$AJ47,IF(ADRYr3!$AK47=Lookups!$E$116,ADRYr3!$AL47,IF(ADRYr3!$AM47=Lookups!$E$116,ADRYr3!$AN47,0)))))</f>
        <v/>
      </c>
      <c r="AJ47" s="45" t="str">
        <f t="shared" si="58"/>
        <v/>
      </c>
      <c r="AK47" s="45">
        <f>IF($G47="",0,AI47*ADRYr3!$P47)</f>
        <v>0</v>
      </c>
      <c r="AL47" s="45" t="str">
        <f t="shared" si="59"/>
        <v/>
      </c>
      <c r="AM47" s="45" t="str">
        <f>IF($G47="","",$G47*ADRYr3!$Q47*ADRYr3!$U47*(IF(ADRYr3!$AI47=Lookups!$E$115,ADRYr3!$AJ47,IF(ADRYr3!$AK47=Lookups!$E$115,ADRYr3!$AL47,IF(ADRYr3!$AM47=Lookups!$E$115,ADRYr3!$AN47,0)))))</f>
        <v/>
      </c>
      <c r="AN47" s="45" t="str">
        <f t="shared" si="60"/>
        <v/>
      </c>
      <c r="AO47" s="45">
        <f>IF($G47="",0,AM47*ADRYr3!$P47)</f>
        <v>0</v>
      </c>
      <c r="AP47" s="45" t="str">
        <f t="shared" si="61"/>
        <v/>
      </c>
      <c r="AQ47" s="45" t="str">
        <f>IF($G47="","",$G47*ADRYr3!$Q47*ADRYr3!$U47*(IF(ADRYr3!$AI47=Lookups!$E$117,ADRYr3!$AJ47,IF(ADRYr3!$AK47=Lookups!$E$117,ADRYr3!$AL47,IF(ADRYr3!$AM47=Lookups!$E$117,ADRYr3!$AN47,0)))))</f>
        <v/>
      </c>
      <c r="AR47" s="45" t="str">
        <f t="shared" si="62"/>
        <v/>
      </c>
      <c r="AS47" s="45" t="str">
        <f>IF($G47="","",AQ47*ADRYr3!$P47)</f>
        <v/>
      </c>
      <c r="AT47" s="45" t="str">
        <f t="shared" si="63"/>
        <v/>
      </c>
      <c r="AU47" s="45" t="str">
        <f>IF($G47="","",$G47*ADRYr3!$Q47*ADRYr3!$U47*(IF(ADRYr3!$AI47=Lookups!$E$118,ADRYr3!$AJ47,IF(ADRYr3!$AK47=Lookups!$E$118,ADRYr3!$AL47,IF(ADRYr3!$AM47=Lookups!$E$118,ADRYr3!$AN47,0)))))</f>
        <v/>
      </c>
      <c r="AV47" s="45" t="str">
        <f t="shared" si="64"/>
        <v/>
      </c>
      <c r="AW47" s="45" t="str">
        <f>IF($G47="","",AU47*ADRYr3!$P47)</f>
        <v/>
      </c>
      <c r="AX47" s="45" t="str">
        <f t="shared" si="65"/>
        <v/>
      </c>
      <c r="AY47" s="45">
        <f t="shared" si="66"/>
        <v>0</v>
      </c>
      <c r="AZ47" s="45">
        <f t="shared" si="67"/>
        <v>0</v>
      </c>
      <c r="BA47" s="101" t="str">
        <f>IF($G47="","",$G47*ADRYr3!$P47*ADRYr3!$Q47*ADRYr3!$U47*ADRYr3!AO47)</f>
        <v/>
      </c>
      <c r="BB47" s="102" t="str">
        <f>IF($G47="","",$G47*ADRYr3!$P47*ADRYr3!$Q47*ADRYr3!$U47*ADRYr3!AP47)</f>
        <v/>
      </c>
      <c r="BC47" s="100" t="str">
        <f t="shared" si="68"/>
        <v/>
      </c>
      <c r="BD47" s="961"/>
      <c r="BE47" s="961"/>
      <c r="BF47" s="961"/>
      <c r="BG47" s="961"/>
      <c r="BH47" s="962" t="str">
        <f t="shared" si="3"/>
        <v/>
      </c>
      <c r="BI47" s="961"/>
      <c r="BJ47" s="961"/>
      <c r="BK47" s="961"/>
      <c r="BL47" s="961"/>
      <c r="BM47" s="30" t="str">
        <f t="shared" si="4"/>
        <v/>
      </c>
      <c r="BN47" s="963" t="str">
        <f t="shared" si="31"/>
        <v/>
      </c>
      <c r="BO47" s="31" t="str">
        <f t="shared" si="69"/>
        <v/>
      </c>
      <c r="BP47" s="964" t="str">
        <f t="shared" si="5"/>
        <v/>
      </c>
      <c r="BQ47" s="28" t="str">
        <f t="shared" si="6"/>
        <v/>
      </c>
      <c r="BR47" s="964" t="str">
        <f t="shared" si="7"/>
        <v/>
      </c>
      <c r="BS47" s="964" t="str">
        <f t="shared" si="8"/>
        <v/>
      </c>
      <c r="BT47" s="28" t="str">
        <f t="shared" si="82"/>
        <v/>
      </c>
      <c r="BU47" s="28" t="str">
        <f t="shared" si="82"/>
        <v/>
      </c>
      <c r="BV47" s="28" t="str">
        <f t="shared" si="82"/>
        <v/>
      </c>
      <c r="BW47" s="29" t="str">
        <f t="shared" si="70"/>
        <v/>
      </c>
      <c r="BX47" s="29" t="str">
        <f t="shared" si="71"/>
        <v/>
      </c>
      <c r="BY47" s="28" t="str">
        <f>IF($G47="","",$G47*(IF(ADRYr3!$AI47=BY$4,ADRYr3!$AJ47,IF(ADRYr3!$AK47=BY$4,ADRYr3!$AL47,IF(ADRYr3!$AM47=BY$4,ADRYr3!$AN47,0))))*(INDEX(avoidedcosttbl3,$H47,BY$2)+(($H47-ROUNDDOWN($H47,0))*(INDEX(avoidedcosttbl3,ROUNDUP($H47,0),BY$2)-(INDEX(avoidedcosttbl3,ROUNDDOWN($H47,0),BY$2)))))*ADRYr3!P47*ADRYr3!Q47*ADRYr3!U47)</f>
        <v/>
      </c>
      <c r="BZ47" s="28" t="str">
        <f>IF($G47="","",$G47*(IF(ADRYr3!$AI47=BZ$4,ADRYr3!$AJ47,IF(ADRYr3!$AK47=BZ$4,ADRYr3!$AL47,IF(ADRYr3!$AM47=BZ$4,ADRYr3!$AN47,0))))*(INDEX(avoidedcosttbl3,$H47,BZ$2)+(($H47-ROUNDDOWN($H47,0))*(INDEX(avoidedcosttbl3,ROUNDUP($H47,0),BZ$2)-(INDEX(avoidedcosttbl3,ROUNDDOWN($H47,0),BZ$2)))))*ADRYr3!P47*ADRYr3!Q47*ADRYr3!U47)</f>
        <v/>
      </c>
      <c r="CA47" s="28" t="str">
        <f>IF($G47="","",$G47*(IF(ADRYr3!$AI47=CA$4,ADRYr3!$AJ47,IF(ADRYr3!$AK47=CA$4,ADRYr3!$AL47,IF(ADRYr3!$AM47=CA$4,ADRYr3!$AN47,0))))*(INDEX(avoidedcosttbl3,$H47,CA$2)+(($H47-ROUNDDOWN($H47,0))*(INDEX(avoidedcosttbl3,ROUNDUP($H47,0),CA$2)-(INDEX(avoidedcosttbl3,ROUNDDOWN($H47,0),CA$2)))))*ADRYr3!P47*ADRYr3!Q47*ADRYr3!U47)</f>
        <v/>
      </c>
      <c r="CB47" s="28" t="str">
        <f>IF($G47="","",$G47*(IF(ADRYr3!$AI47=CB$4,ADRYr3!$AJ47,IF(ADRYr3!$AK47=CB$4,ADRYr3!$AL47,IF(ADRYr3!$AM47=CB$4,ADRYr3!$AN47,0))))*(INDEX(avoidedcosttbl3,$H47,CB$2)+(($H47-ROUNDDOWN($H47,0))*(INDEX(avoidedcosttbl3,ROUNDUP($H47,0),CB$2)-(INDEX(avoidedcosttbl3,ROUNDDOWN($H47,0),CB$2)))))*ADRYr3!P47*ADRYr3!Q47*ADRYr3!U47)</f>
        <v/>
      </c>
      <c r="CC47" s="28" t="str">
        <f>IF($G47="","",$G47*(IF(ADRYr3!$AI47=CC$4,ADRYr3!$AJ47,IF(ADRYr3!$AK47=CC$4,ADRYr3!$AL47,IF(ADRYr3!$AM47=CC$4,ADRYr3!$AN47,0))))*(INDEX(avoidedcosttbl3,$H47,CC$2)+(($H47-ROUNDDOWN($H47,0))*(INDEX(avoidedcosttbl3,ROUNDUP($H47,0),CC$2)-(INDEX(avoidedcosttbl3,ROUNDDOWN($H47,0),CC$2)))))*ADRYr3!P47*ADRYr3!Q47*ADRYr3!U47)</f>
        <v/>
      </c>
      <c r="CD47" s="28" t="str">
        <f>IF($G47="","",$G47*(IF(ADRYr3!$AI47=CD$4,ADRYr3!$AJ47,IF(ADRYr3!$AK47=CD$4,ADRYr3!$AL47,IF(ADRYr3!$AM47=CD$4,ADRYr3!$AN47,0))))*(INDEX(avoidedcosttbl3,$H47,CD$2)+(($H47-ROUNDDOWN($H47,0))*(INDEX(avoidedcosttbl3,ROUNDUP($H47,0),CD$2)-(INDEX(avoidedcosttbl3,ROUNDDOWN($H47,0),CD$2)))))*ADRYr3!P47*ADRYr3!Q47*ADRYr3!U47)</f>
        <v/>
      </c>
      <c r="CE47" s="28" t="str">
        <f>IF($G47="","",$G47*(IF(ADRYr3!$AI47=CE$4,ADRYr3!$AJ47,IF(ADRYr3!$AK47=CE$4,ADRYr3!$AL47,IF(ADRYr3!$AM47=CE$4,ADRYr3!$AN47,0))))*(INDEX(avoidedcosttbl3,$H47,CE$2)+(($H47-ROUNDDOWN($H47,0))*(INDEX(avoidedcosttbl3,ROUNDUP($H47,0),CE$2)-(INDEX(avoidedcosttbl3,ROUNDDOWN($H47,0),CE$2)))))*ADRYr3!P47*ADRYr3!Q47*ADRYr3!U47)</f>
        <v/>
      </c>
      <c r="CF47" s="41" t="str">
        <f t="shared" si="72"/>
        <v/>
      </c>
      <c r="CG47" s="30" t="str">
        <f t="shared" si="10"/>
        <v/>
      </c>
      <c r="CH47" s="30" t="str">
        <f>IF($G47="","",$G47*(IF(ADRYr3!$AI47=BY$4,ADRYr3!$AJ47,IF(ADRYr3!$AK47=BY$4,ADRYr3!$AL47,IF(ADRYr3!$AM47=BY$4,ADRYr3!$AN47,0))))*(INDEX(avoidedcosttbl3,$H47,CH$2)+(($H47-ROUNDDOWN($H47,0))*(INDEX(avoidedcosttbl3,ROUNDUP($H47,0),CH$2)-(INDEX(avoidedcosttbl3,ROUNDDOWN($H47,0),CH$2)))))*ADRYr3!P47*ADRYr3!Q47*ADRYr3!U47)</f>
        <v/>
      </c>
      <c r="CI47" s="30" t="str">
        <f>IF($G47="","",$G47*(IF(ADRYr3!$AI47=BZ$4,ADRYr3!$AJ47,IF(ADRYr3!$AK47=BZ$4,ADRYr3!$AL47,IF(ADRYr3!$AM47=BZ$4,ADRYr3!$AN47,0))))*(INDEX(avoidedcosttbl3,$H47,CI$2)+(($H47-ROUNDDOWN($H47,0))*(INDEX(avoidedcosttbl3,ROUNDUP($H47,0),CI$2)-(INDEX(avoidedcosttbl3,ROUNDDOWN($H47,0),CI$2)))))*ADRYr3!P47*ADRYr3!Q47*ADRYr3!U47)</f>
        <v/>
      </c>
      <c r="CJ47" s="30" t="str">
        <f>IF($G47="","",$G47*(IF(ADRYr3!$AI47=CA$4,ADRYr3!$AJ47,IF(ADRYr3!$AK47=CA$4,ADRYr3!$AL47,IF(ADRYr3!$AM47=CA$4,ADRYr3!$AN47,0))))*(INDEX(avoidedcosttbl3,$H47,CJ$2)+(($H47-ROUNDDOWN($H47,0))*(INDEX(avoidedcosttbl3,ROUNDUP($H47,0),CJ$2)-(INDEX(avoidedcosttbl3,ROUNDDOWN($H47,0),CJ$2)))))*ADRYr3!P47*ADRYr3!Q47*ADRYr3!U47)</f>
        <v/>
      </c>
      <c r="CK47" s="30" t="str">
        <f>IF($G47="","",$G47*(IF(ADRYr3!$AI47=CB$4,ADRYr3!$AJ47,IF(ADRYr3!$AK47=CB$4,ADRYr3!$AL47,IF(ADRYr3!$AM47=CB$4,ADRYr3!$AN47,0))))*(INDEX(avoidedcosttbl3,$H47,CK$2)+(($H47-ROUNDDOWN($H47,0))*(INDEX(avoidedcosttbl3,ROUNDUP($H47,0),CK$2)-(INDEX(avoidedcosttbl3,ROUNDDOWN($H47,0),CK$2)))))*ADRYr3!P47*ADRYr3!Q47*ADRYr3!U47)</f>
        <v/>
      </c>
      <c r="CL47" s="30" t="str">
        <f>IF($G47="","",$G47*(IF(ADRYr3!$AI47=CC$4,ADRYr3!$AJ47,IF(ADRYr3!$AK47=CC$4,ADRYr3!$AL47,IF(ADRYr3!$AM47=CC$4,ADRYr3!$AN47,0))))*(INDEX(avoidedcosttbl3,$H47,CL$2)+(($H47-ROUNDDOWN($H47,0))*(INDEX(avoidedcosttbl3,ROUNDUP($H47,0),CL$2)-(INDEX(avoidedcosttbl3,ROUNDDOWN($H47,0),CL$2)))))*ADRYr3!P47*ADRYr3!Q47*ADRYr3!U47)</f>
        <v/>
      </c>
      <c r="CM47" s="30" t="str">
        <f>IF($G47="","",$G47*(IF(ADRYr3!$AI47=CD$4,ADRYr3!$AJ47,IF(ADRYr3!$AK47=CD$4,ADRYr3!$AL47,IF(ADRYr3!$AM47=CD$4,ADRYr3!$AN47,0))))*(INDEX(avoidedcosttbl3,$H47,CM$2)+(($H47-ROUNDDOWN($H47,0))*(INDEX(avoidedcosttbl3,ROUNDUP($H47,0),CM$2)-(INDEX(avoidedcosttbl3,ROUNDDOWN($H47,0),CM$2)))))*ADRYr3!P47*ADRYr3!Q47*ADRYr3!U47)</f>
        <v/>
      </c>
      <c r="CN47" s="30" t="str">
        <f>IF($G47="","",$G47*(IF(ADRYr3!$AI47=CE$4,ADRYr3!$AJ47,IF(ADRYr3!$AK47=CE$4,ADRYr3!$AL47,IF(ADRYr3!$AM47=CE$4,ADRYr3!$AN47,0))))*(INDEX(avoidedcosttbl3,$H47,CN$2)+(($H47-ROUNDDOWN($H47,0))*(INDEX(avoidedcosttbl3,ROUNDUP($H47,0),CN$2)-(INDEX(avoidedcosttbl3,ROUNDDOWN($H47,0),CN$2)))))*ADRYr3!P47*ADRYr3!Q47*ADRYr3!U47)</f>
        <v/>
      </c>
      <c r="CO47" s="220" t="str">
        <f t="shared" si="73"/>
        <v/>
      </c>
      <c r="CP47" s="220" t="str">
        <f t="shared" si="74"/>
        <v/>
      </c>
      <c r="CQ47" s="157" t="str">
        <f>IF($G47="","",$G47*(IF(ADRYr3!$AI47=CQ$4,ADRYr3!$AJ47,IF(ADRYr3!$AK47=CQ$4,ADRYr3!$AL47,IF(ADRYr3!$AM47=CQ$4,ADRYr3!$AN47,0))))*(INDEX(avoidedcosttbl3,$H47,CQ$2)+(($H47-ROUNDDOWN($H47,0))*(INDEX(avoidedcosttbl3,ROUNDUP($H47,0),CQ$2)-(INDEX(avoidedcosttbl3,ROUNDDOWN($H47,0),CQ$2)))))*ADRYr3!$P47*ADRYr3!$Q47*ADRYr3!$U47)</f>
        <v/>
      </c>
      <c r="CR47" s="28" t="str">
        <f>IF($G47="","",G47*(IF(ADRYr3!$AI47=CR$4,ADRYr3!$AJ47,IF(ADRYr3!$AK47=CR$4,ADRYr3!$AL47,IF(ADRYr3!$AM47=CR$4,ADRYr3!$AN47,0))))*(INDEX(avoidedcosttbl3,$H47,CR$2)+(($H47-ROUNDDOWN($H47,0))*(INDEX(avoidedcosttbl3,ROUNDUP($H47,0),CR$2)-(INDEX(avoidedcosttbl3,ROUNDDOWN($H47,0),CR$2)))))*ADRYr3!$P47*ADRYr3!$Q47*ADRYr3!$U47)</f>
        <v/>
      </c>
      <c r="CS47" s="28" t="str">
        <f>IF($G47="","",G47*(IF(ADRYr3!$AI47=CS$4,ADRYr3!$AJ47,IF(ADRYr3!$AK47=CS$4,ADRYr3!$AL47,IF(ADRYr3!$AM47=CS$4,ADRYr3!$AN47,0))))*(INDEX(avoidedcosttbl3,$H47,CS$2)+(($H47-ROUNDDOWN($H47,0))*(INDEX(avoidedcosttbl3,ROUNDUP($H47,0),CS$2)-(INDEX(avoidedcosttbl3,ROUNDDOWN($H47,0),CS$2)))))*ADRYr3!$P47*ADRYr3!$Q47*ADRYr3!$U47)</f>
        <v/>
      </c>
      <c r="CT47" s="28" t="str">
        <f t="shared" si="11"/>
        <v/>
      </c>
      <c r="CU47" s="28" t="str">
        <f>IF($G47="","",G47*(IF(ADRYr3!$AI47=CU$4,ADRYr3!$AJ47,IF(ADRYr3!$AK47=CU$4,ADRYr3!$AL47,IF(ADRYr3!$AM47=CU$4,ADRYr3!$AN47,0))))*(INDEX(avoidedcosttbl3,$H47,CU$2)+(($H47-ROUNDDOWN($H47,0))*(INDEX(avoidedcosttbl3,ROUNDUP($H47,0),CU$2)-(INDEX(avoidedcosttbl3,ROUNDDOWN($H47,0),CU$2)))))*ADRYr3!$P47*ADRYr3!$Q47*ADRYr3!$U47)</f>
        <v/>
      </c>
      <c r="CV47" s="28" t="str">
        <f>IF($G47="","",G47*(IF(ADRYr3!$AI47=CV$4,ADRYr3!$AJ47,IF(ADRYr3!$AK47=CV$4,ADRYr3!$AL47,IF(ADRYr3!$AM47=CV$4,ADRYr3!$AN47,0))))*(INDEX(avoidedcosttbl3,$H47,CV$2)+(($H47-ROUNDDOWN($H47,0))*(INDEX(avoidedcosttbl3,ROUNDUP($H47,0),CV$2)-(INDEX(avoidedcosttbl3,ROUNDDOWN($H47,0),CV$2)))))*ADRYr3!$P47*ADRYr3!$Q47*ADRYr3!$U47)</f>
        <v/>
      </c>
      <c r="CW47" s="28" t="str">
        <f>IF($G47="","",G47*(IF(ADRYr3!$AI47=CW$4,ADRYr3!$AJ47,IF(ADRYr3!$AK47=CW$4,ADRYr3!$AL47,IF(ADRYr3!$AM47=CW$4,ADRYr3!$AN47,0))))*(INDEX(avoidedcosttbl3,$H47,CW$2)+(($H47-ROUNDDOWN($H47,0))*(INDEX(avoidedcosttbl3,ROUNDUP($H47,0),CW$2)-(INDEX(avoidedcosttbl3,ROUNDDOWN($H47,0),CW$2)))))*ADRYr3!$P47*ADRYr3!$Q47*ADRYr3!$U47)</f>
        <v/>
      </c>
      <c r="CX47" s="28" t="str">
        <f>IF($G47="","",G47*(IF(ADRYr3!$AI47=CX$4,ADRYr3!$AJ47,IF(ADRYr3!$AK47=CX$4,ADRYr3!$AL47,IF(ADRYr3!$AM47=CX$4,ADRYr3!$AN47,0))))*(INDEX(avoidedcosttbl3,$H47,CX$2)+(($H47-ROUNDDOWN($H47,0))*(INDEX(avoidedcosttbl3,ROUNDUP($H47,0),CX$2)-(INDEX(avoidedcosttbl3,ROUNDDOWN($H47,0),CX$2)))))*ADRYr3!$P47*ADRYr3!$Q47*ADRYr3!$U47)</f>
        <v/>
      </c>
      <c r="CY47" s="28" t="str">
        <f t="shared" si="75"/>
        <v/>
      </c>
      <c r="CZ47" s="32" t="str">
        <f t="shared" si="76"/>
        <v/>
      </c>
      <c r="DA47" s="84" t="str">
        <f t="shared" si="77"/>
        <v/>
      </c>
      <c r="DB47" s="81" t="str">
        <f>IF(NEIadder="Yes",IF($G47="","",INDEX(Lookups!$G$70:$G$71,MATCH($A47,Lookups!$E$70:$E$71,0))*(SUM(CP47:CX47,BX47))),"")</f>
        <v/>
      </c>
      <c r="DC47" s="263" t="str">
        <f t="shared" si="78"/>
        <v/>
      </c>
      <c r="DD47" s="166" t="str">
        <f t="shared" si="79"/>
        <v/>
      </c>
      <c r="DE47" s="82">
        <f t="shared" si="80"/>
        <v>0</v>
      </c>
      <c r="DF47" s="615" t="str">
        <f>IF($G47="","",(1+WntPeakEnergyLL)*(INDEX(avoidedcosttbl3,$H47,DF$2)+(($H47-ROUNDDOWN($H47,0))*(INDEX(avoidedcosttbl3,ROUNDUP($H47,0),DF$2)-(INDEX(avoidedcosttbl3,ROUNDDOWN($H47,0),DF$2)))))*$P47*1000*ADRYr3!Z47)</f>
        <v/>
      </c>
      <c r="DG47" s="615" t="str">
        <f>IF($G47="","",(1+WntOffPeakEnergyLL)*(INDEX(avoidedcosttbl3,$H47,DG$2)+(($H47-ROUNDDOWN($H47,0))*(INDEX(avoidedcosttbl3,ROUNDUP($H47,0),DG$2)-(INDEX(avoidedcosttbl3,ROUNDDOWN($H47,0),DG$2)))))*$P47*1000*ADRYr3!AA47)</f>
        <v/>
      </c>
      <c r="DH47" s="615" t="str">
        <f>IF($G47="","",(1+SumPeakEnergyLL)*(INDEX(avoidedcosttbl3,$H47,DH$2)+(($H47-ROUNDDOWN($H47,0))*(INDEX(avoidedcosttbl3,ROUNDUP($H47,0),DH$2)-(INDEX(avoidedcosttbl3,ROUNDDOWN($H47,0),DH$2)))))*$P47*1000*ADRYr3!AB47)</f>
        <v/>
      </c>
      <c r="DI47" s="615" t="str">
        <f>IF($G47="","",(1+SumOffPeakEnergyLL)*(INDEX(avoidedcosttbl3,$H47,DI$2)+(($H47-ROUNDDOWN($H47,0))*(INDEX(avoidedcosttbl3,ROUNDUP($H47,0),DI$2)-(INDEX(avoidedcosttbl3,ROUNDDOWN($H47,0),DI$2)))))*$P47*1000*ADRYr3!AC47)</f>
        <v/>
      </c>
      <c r="DJ47" s="29" t="str">
        <f t="shared" si="81"/>
        <v/>
      </c>
      <c r="DK47" s="161" t="str">
        <f t="shared" si="83"/>
        <v/>
      </c>
      <c r="DO47" s="966" t="str">
        <f>IF($G47="","",ADRYr3!AQ47)</f>
        <v/>
      </c>
      <c r="DP47" s="968" t="str">
        <f>IF($G47="","",ADRYr3!AR47)</f>
        <v/>
      </c>
      <c r="DQ47" s="970" t="str">
        <f>IF($G47="","",IF($DP47="Yes",COLUMN(AESC!$L$10),IF($DP47="No","Using AvoidedDemand tab",IF($DP47="Mixed",COLUMN(AESC!$N$10)))))</f>
        <v/>
      </c>
      <c r="DR47" s="970" t="str">
        <f>IF($G47="","",IF($DP47="Yes",COLUMN(AESC!$P$10),IF($DP47="No","Using AvoidedDemand tab",IF($DP47="Mixed",COLUMN(AESC!$R$10)))))</f>
        <v/>
      </c>
      <c r="DS47" s="970" t="str">
        <f>IF($G47="","",IF($DP47="Yes",COLUMN(AESC!$S$10),IF($DP47="No",COLUMN(AESC!$T$10),IF($DP47="Mixed",COLUMN(AESC!$U$10)))))</f>
        <v/>
      </c>
      <c r="DT47" s="970" t="str">
        <f t="shared" si="49"/>
        <v/>
      </c>
      <c r="DU47" s="970" t="str">
        <f>IF($G47="","",ADRYr3!AS47)</f>
        <v/>
      </c>
      <c r="DV47" s="971" t="str">
        <f>IF($G47="","",ADRYr3!AT47)</f>
        <v/>
      </c>
      <c r="DW47" s="1162" t="str">
        <f>IF($G47="","",INDEX(AvoidedEnergy!$H$4:$H$10,MATCH($DO47,AvoidedEnergy!$A$4:$A$10,0)))</f>
        <v/>
      </c>
    </row>
    <row r="48" spans="1:127">
      <c r="A48" s="160" t="str">
        <f>IF(ADRYr3!$B48=0,"",ADRYr3!A48)</f>
        <v/>
      </c>
      <c r="B48" s="9" t="str">
        <f>IF(ADRYr3!$B48=0,"",ADRYr3!B48)</f>
        <v/>
      </c>
      <c r="C48" s="9" t="str">
        <f>IF(ADRYr3!$B48=0,"",ADRYr3!C48)</f>
        <v/>
      </c>
      <c r="D48" s="9" t="str">
        <f>IF(ADRYr3!$B48=0,"",ADRYr3!D48)</f>
        <v/>
      </c>
      <c r="E48" s="9"/>
      <c r="F48" s="11" t="str">
        <f>IF(ADRYr3!$B48=0,"",ADRYr3!F48)</f>
        <v/>
      </c>
      <c r="G48" s="12" t="str">
        <f>IF(ADRYr3!$G48&lt;&gt;0,ADRYr3!G48,"")</f>
        <v/>
      </c>
      <c r="H48" s="960" t="str">
        <f>IF($G48="","",ROUND(ADRYr3!H48,0))</f>
        <v/>
      </c>
      <c r="I48" s="47" t="str">
        <f>IF($G48="","",ADRYr3!I48*ADRYr3!P48*G48)</f>
        <v/>
      </c>
      <c r="J48" s="47" t="str">
        <f>IF($G48="","",ADRYr3!J48*G48)</f>
        <v/>
      </c>
      <c r="K48" s="47" t="str">
        <f t="shared" si="50"/>
        <v/>
      </c>
      <c r="L48" s="27" t="str">
        <f>IF($G48="","",ADRYr3!V48*G48/1000)</f>
        <v/>
      </c>
      <c r="M48" s="27" t="str">
        <f>IF($G48="","",L48*ADRYr3!$Q48*ADRYr3!$R48)</f>
        <v/>
      </c>
      <c r="N48" s="27" t="str">
        <f t="shared" si="51"/>
        <v/>
      </c>
      <c r="O48" s="27" t="str">
        <f t="shared" si="52"/>
        <v/>
      </c>
      <c r="P48" s="27" t="str">
        <f>IF($G48="","",M48*ADRYr3!P48)</f>
        <v/>
      </c>
      <c r="Q48" s="27" t="str">
        <f t="shared" si="53"/>
        <v/>
      </c>
      <c r="R48" s="27" t="str">
        <f>IF($G48="","",$Q48*ADRYr3!Z48)</f>
        <v/>
      </c>
      <c r="S48" s="27" t="str">
        <f>IF($G48="","",$Q48*ADRYr3!AA48)</f>
        <v/>
      </c>
      <c r="T48" s="27" t="str">
        <f>IF($G48="","",$Q48*ADRYr3!AB48)</f>
        <v/>
      </c>
      <c r="U48" s="27" t="str">
        <f>IF($G48="","",$Q48*ADRYr3!AC48)</f>
        <v/>
      </c>
      <c r="V48" s="27" t="str">
        <f>IF($G48="","",G48*ADRYr3!$AD48*ADRYr3!$P48*ADRYr3!$Q48)</f>
        <v/>
      </c>
      <c r="W48" s="27" t="str">
        <f>IF($G48="","",$G48*ADRYr3!$AD48*ADRYr3!$AF48*ADRYr3!Q48*ADRYr3!$S48)</f>
        <v/>
      </c>
      <c r="X48" s="27" t="str">
        <f>IF($G48="","",$G48*ADRYr3!$AD48*ADRYr3!$AF48*ADRYr3!P48*ADRYr3!Q48*ADRYr3!$S48)</f>
        <v/>
      </c>
      <c r="Y48" s="27" t="str">
        <f>IF($G48="","",$G48*ADRYr3!$AD48*ADRYr3!$AE48*ADRYr3!Q48*ADRYr3!$T48)</f>
        <v/>
      </c>
      <c r="Z48" s="27" t="str">
        <f>IF($G48="","",$G48*ADRYr3!$AD48*ADRYr3!$AE48*ADRYr3!P48*ADRYr3!Q48*ADRYr3!$T48)</f>
        <v/>
      </c>
      <c r="AA48" s="45" t="str">
        <f>IF($G48="","",$G48*ADRYr3!$Q48*ADRYr3!$U48*(IF(IFERROR(SEARCH("NG", ADRYr3!$AI48),0),ADRYr3!$AJ48,0)+IF(IFERROR(SEARCH("NG", ADRYr3!$AK48),0),ADRYr3!$AL48,0)+IF(IFERROR(SEARCH("NG", ADRYr3!$AM48),0),ADRYr3!$AN48,0)))</f>
        <v/>
      </c>
      <c r="AB48" s="45" t="str">
        <f t="shared" si="54"/>
        <v/>
      </c>
      <c r="AC48" s="45">
        <f>IF($G48="",0,AA48*ADRYr3!$P48)</f>
        <v>0</v>
      </c>
      <c r="AD48" s="45" t="str">
        <f t="shared" si="55"/>
        <v/>
      </c>
      <c r="AE48" s="45" t="str">
        <f>IF($G48="","",$G48*ADRYr3!$Q48*ADRYr3!$U48*(IF(IFERROR(SEARCH("Oil", ADRYr3!$AI48), 0),ADRYr3!$AJ48,0)+IF(IFERROR(SEARCH("Oil", ADRYr3!$AK48), 0),ADRYr3!$AL48,0)+IF(IFERROR(SEARCH("Oil", ADRYr3!$AM48), 0),ADRYr3!$AN48,0)))</f>
        <v/>
      </c>
      <c r="AF48" s="45" t="str">
        <f t="shared" si="56"/>
        <v/>
      </c>
      <c r="AG48" s="45">
        <f>IF($G48="",0,AE48*ADRYr3!$P48)</f>
        <v>0</v>
      </c>
      <c r="AH48" s="45" t="str">
        <f t="shared" si="57"/>
        <v/>
      </c>
      <c r="AI48" s="45" t="str">
        <f>IF($G48="","",$G48*ADRYr3!$Q48*ADRYr3!$U48*(IF(ADRYr3!$AI48=Lookups!$E$116,ADRYr3!$AJ48,IF(ADRYr3!$AK48=Lookups!$E$116,ADRYr3!$AL48,IF(ADRYr3!$AM48=Lookups!$E$116,ADRYr3!$AN48,0)))))</f>
        <v/>
      </c>
      <c r="AJ48" s="45" t="str">
        <f t="shared" si="58"/>
        <v/>
      </c>
      <c r="AK48" s="45">
        <f>IF($G48="",0,AI48*ADRYr3!$P48)</f>
        <v>0</v>
      </c>
      <c r="AL48" s="45" t="str">
        <f t="shared" si="59"/>
        <v/>
      </c>
      <c r="AM48" s="45" t="str">
        <f>IF($G48="","",$G48*ADRYr3!$Q48*ADRYr3!$U48*(IF(ADRYr3!$AI48=Lookups!$E$115,ADRYr3!$AJ48,IF(ADRYr3!$AK48=Lookups!$E$115,ADRYr3!$AL48,IF(ADRYr3!$AM48=Lookups!$E$115,ADRYr3!$AN48,0)))))</f>
        <v/>
      </c>
      <c r="AN48" s="45" t="str">
        <f t="shared" si="60"/>
        <v/>
      </c>
      <c r="AO48" s="45">
        <f>IF($G48="",0,AM48*ADRYr3!$P48)</f>
        <v>0</v>
      </c>
      <c r="AP48" s="45" t="str">
        <f t="shared" si="61"/>
        <v/>
      </c>
      <c r="AQ48" s="45" t="str">
        <f>IF($G48="","",$G48*ADRYr3!$Q48*ADRYr3!$U48*(IF(ADRYr3!$AI48=Lookups!$E$117,ADRYr3!$AJ48,IF(ADRYr3!$AK48=Lookups!$E$117,ADRYr3!$AL48,IF(ADRYr3!$AM48=Lookups!$E$117,ADRYr3!$AN48,0)))))</f>
        <v/>
      </c>
      <c r="AR48" s="45" t="str">
        <f t="shared" si="62"/>
        <v/>
      </c>
      <c r="AS48" s="45" t="str">
        <f>IF($G48="","",AQ48*ADRYr3!$P48)</f>
        <v/>
      </c>
      <c r="AT48" s="45" t="str">
        <f t="shared" si="63"/>
        <v/>
      </c>
      <c r="AU48" s="45" t="str">
        <f>IF($G48="","",$G48*ADRYr3!$Q48*ADRYr3!$U48*(IF(ADRYr3!$AI48=Lookups!$E$118,ADRYr3!$AJ48,IF(ADRYr3!$AK48=Lookups!$E$118,ADRYr3!$AL48,IF(ADRYr3!$AM48=Lookups!$E$118,ADRYr3!$AN48,0)))))</f>
        <v/>
      </c>
      <c r="AV48" s="45" t="str">
        <f t="shared" si="64"/>
        <v/>
      </c>
      <c r="AW48" s="45" t="str">
        <f>IF($G48="","",AU48*ADRYr3!$P48)</f>
        <v/>
      </c>
      <c r="AX48" s="45" t="str">
        <f t="shared" si="65"/>
        <v/>
      </c>
      <c r="AY48" s="45">
        <f t="shared" si="66"/>
        <v>0</v>
      </c>
      <c r="AZ48" s="45">
        <f t="shared" si="67"/>
        <v>0</v>
      </c>
      <c r="BA48" s="101" t="str">
        <f>IF($G48="","",$G48*ADRYr3!$P48*ADRYr3!$Q48*ADRYr3!$U48*ADRYr3!AO48)</f>
        <v/>
      </c>
      <c r="BB48" s="102" t="str">
        <f>IF($G48="","",$G48*ADRYr3!$P48*ADRYr3!$Q48*ADRYr3!$U48*ADRYr3!AP48)</f>
        <v/>
      </c>
      <c r="BC48" s="100" t="str">
        <f t="shared" si="68"/>
        <v/>
      </c>
      <c r="BD48" s="961"/>
      <c r="BE48" s="961"/>
      <c r="BF48" s="961"/>
      <c r="BG48" s="961"/>
      <c r="BH48" s="962" t="str">
        <f t="shared" si="3"/>
        <v/>
      </c>
      <c r="BI48" s="961"/>
      <c r="BJ48" s="961"/>
      <c r="BK48" s="961"/>
      <c r="BL48" s="961"/>
      <c r="BM48" s="30" t="str">
        <f t="shared" si="4"/>
        <v/>
      </c>
      <c r="BN48" s="963" t="str">
        <f t="shared" si="31"/>
        <v/>
      </c>
      <c r="BO48" s="31" t="str">
        <f t="shared" si="69"/>
        <v/>
      </c>
      <c r="BP48" s="964" t="str">
        <f t="shared" si="5"/>
        <v/>
      </c>
      <c r="BQ48" s="28" t="str">
        <f t="shared" si="6"/>
        <v/>
      </c>
      <c r="BR48" s="964" t="str">
        <f t="shared" si="7"/>
        <v/>
      </c>
      <c r="BS48" s="964" t="str">
        <f t="shared" si="8"/>
        <v/>
      </c>
      <c r="BT48" s="28" t="str">
        <f t="shared" si="82"/>
        <v/>
      </c>
      <c r="BU48" s="28" t="str">
        <f t="shared" si="82"/>
        <v/>
      </c>
      <c r="BV48" s="28" t="str">
        <f t="shared" si="82"/>
        <v/>
      </c>
      <c r="BW48" s="29" t="str">
        <f t="shared" si="70"/>
        <v/>
      </c>
      <c r="BX48" s="29" t="str">
        <f t="shared" si="71"/>
        <v/>
      </c>
      <c r="BY48" s="28" t="str">
        <f>IF($G48="","",$G48*(IF(ADRYr3!$AI48=BY$4,ADRYr3!$AJ48,IF(ADRYr3!$AK48=BY$4,ADRYr3!$AL48,IF(ADRYr3!$AM48=BY$4,ADRYr3!$AN48,0))))*(INDEX(avoidedcosttbl3,$H48,BY$2)+(($H48-ROUNDDOWN($H48,0))*(INDEX(avoidedcosttbl3,ROUNDUP($H48,0),BY$2)-(INDEX(avoidedcosttbl3,ROUNDDOWN($H48,0),BY$2)))))*ADRYr3!P48*ADRYr3!Q48*ADRYr3!U48)</f>
        <v/>
      </c>
      <c r="BZ48" s="28" t="str">
        <f>IF($G48="","",$G48*(IF(ADRYr3!$AI48=BZ$4,ADRYr3!$AJ48,IF(ADRYr3!$AK48=BZ$4,ADRYr3!$AL48,IF(ADRYr3!$AM48=BZ$4,ADRYr3!$AN48,0))))*(INDEX(avoidedcosttbl3,$H48,BZ$2)+(($H48-ROUNDDOWN($H48,0))*(INDEX(avoidedcosttbl3,ROUNDUP($H48,0),BZ$2)-(INDEX(avoidedcosttbl3,ROUNDDOWN($H48,0),BZ$2)))))*ADRYr3!P48*ADRYr3!Q48*ADRYr3!U48)</f>
        <v/>
      </c>
      <c r="CA48" s="28" t="str">
        <f>IF($G48="","",$G48*(IF(ADRYr3!$AI48=CA$4,ADRYr3!$AJ48,IF(ADRYr3!$AK48=CA$4,ADRYr3!$AL48,IF(ADRYr3!$AM48=CA$4,ADRYr3!$AN48,0))))*(INDEX(avoidedcosttbl3,$H48,CA$2)+(($H48-ROUNDDOWN($H48,0))*(INDEX(avoidedcosttbl3,ROUNDUP($H48,0),CA$2)-(INDEX(avoidedcosttbl3,ROUNDDOWN($H48,0),CA$2)))))*ADRYr3!P48*ADRYr3!Q48*ADRYr3!U48)</f>
        <v/>
      </c>
      <c r="CB48" s="28" t="str">
        <f>IF($G48="","",$G48*(IF(ADRYr3!$AI48=CB$4,ADRYr3!$AJ48,IF(ADRYr3!$AK48=CB$4,ADRYr3!$AL48,IF(ADRYr3!$AM48=CB$4,ADRYr3!$AN48,0))))*(INDEX(avoidedcosttbl3,$H48,CB$2)+(($H48-ROUNDDOWN($H48,0))*(INDEX(avoidedcosttbl3,ROUNDUP($H48,0),CB$2)-(INDEX(avoidedcosttbl3,ROUNDDOWN($H48,0),CB$2)))))*ADRYr3!P48*ADRYr3!Q48*ADRYr3!U48)</f>
        <v/>
      </c>
      <c r="CC48" s="28" t="str">
        <f>IF($G48="","",$G48*(IF(ADRYr3!$AI48=CC$4,ADRYr3!$AJ48,IF(ADRYr3!$AK48=CC$4,ADRYr3!$AL48,IF(ADRYr3!$AM48=CC$4,ADRYr3!$AN48,0))))*(INDEX(avoidedcosttbl3,$H48,CC$2)+(($H48-ROUNDDOWN($H48,0))*(INDEX(avoidedcosttbl3,ROUNDUP($H48,0),CC$2)-(INDEX(avoidedcosttbl3,ROUNDDOWN($H48,0),CC$2)))))*ADRYr3!P48*ADRYr3!Q48*ADRYr3!U48)</f>
        <v/>
      </c>
      <c r="CD48" s="28" t="str">
        <f>IF($G48="","",$G48*(IF(ADRYr3!$AI48=CD$4,ADRYr3!$AJ48,IF(ADRYr3!$AK48=CD$4,ADRYr3!$AL48,IF(ADRYr3!$AM48=CD$4,ADRYr3!$AN48,0))))*(INDEX(avoidedcosttbl3,$H48,CD$2)+(($H48-ROUNDDOWN($H48,0))*(INDEX(avoidedcosttbl3,ROUNDUP($H48,0),CD$2)-(INDEX(avoidedcosttbl3,ROUNDDOWN($H48,0),CD$2)))))*ADRYr3!P48*ADRYr3!Q48*ADRYr3!U48)</f>
        <v/>
      </c>
      <c r="CE48" s="28" t="str">
        <f>IF($G48="","",$G48*(IF(ADRYr3!$AI48=CE$4,ADRYr3!$AJ48,IF(ADRYr3!$AK48=CE$4,ADRYr3!$AL48,IF(ADRYr3!$AM48=CE$4,ADRYr3!$AN48,0))))*(INDEX(avoidedcosttbl3,$H48,CE$2)+(($H48-ROUNDDOWN($H48,0))*(INDEX(avoidedcosttbl3,ROUNDUP($H48,0),CE$2)-(INDEX(avoidedcosttbl3,ROUNDDOWN($H48,0),CE$2)))))*ADRYr3!P48*ADRYr3!Q48*ADRYr3!U48)</f>
        <v/>
      </c>
      <c r="CF48" s="41" t="str">
        <f t="shared" si="72"/>
        <v/>
      </c>
      <c r="CG48" s="30" t="str">
        <f t="shared" si="10"/>
        <v/>
      </c>
      <c r="CH48" s="30" t="str">
        <f>IF($G48="","",$G48*(IF(ADRYr3!$AI48=BY$4,ADRYr3!$AJ48,IF(ADRYr3!$AK48=BY$4,ADRYr3!$AL48,IF(ADRYr3!$AM48=BY$4,ADRYr3!$AN48,0))))*(INDEX(avoidedcosttbl3,$H48,CH$2)+(($H48-ROUNDDOWN($H48,0))*(INDEX(avoidedcosttbl3,ROUNDUP($H48,0),CH$2)-(INDEX(avoidedcosttbl3,ROUNDDOWN($H48,0),CH$2)))))*ADRYr3!P48*ADRYr3!Q48*ADRYr3!U48)</f>
        <v/>
      </c>
      <c r="CI48" s="30" t="str">
        <f>IF($G48="","",$G48*(IF(ADRYr3!$AI48=BZ$4,ADRYr3!$AJ48,IF(ADRYr3!$AK48=BZ$4,ADRYr3!$AL48,IF(ADRYr3!$AM48=BZ$4,ADRYr3!$AN48,0))))*(INDEX(avoidedcosttbl3,$H48,CI$2)+(($H48-ROUNDDOWN($H48,0))*(INDEX(avoidedcosttbl3,ROUNDUP($H48,0),CI$2)-(INDEX(avoidedcosttbl3,ROUNDDOWN($H48,0),CI$2)))))*ADRYr3!P48*ADRYr3!Q48*ADRYr3!U48)</f>
        <v/>
      </c>
      <c r="CJ48" s="30" t="str">
        <f>IF($G48="","",$G48*(IF(ADRYr3!$AI48=CA$4,ADRYr3!$AJ48,IF(ADRYr3!$AK48=CA$4,ADRYr3!$AL48,IF(ADRYr3!$AM48=CA$4,ADRYr3!$AN48,0))))*(INDEX(avoidedcosttbl3,$H48,CJ$2)+(($H48-ROUNDDOWN($H48,0))*(INDEX(avoidedcosttbl3,ROUNDUP($H48,0),CJ$2)-(INDEX(avoidedcosttbl3,ROUNDDOWN($H48,0),CJ$2)))))*ADRYr3!P48*ADRYr3!Q48*ADRYr3!U48)</f>
        <v/>
      </c>
      <c r="CK48" s="30" t="str">
        <f>IF($G48="","",$G48*(IF(ADRYr3!$AI48=CB$4,ADRYr3!$AJ48,IF(ADRYr3!$AK48=CB$4,ADRYr3!$AL48,IF(ADRYr3!$AM48=CB$4,ADRYr3!$AN48,0))))*(INDEX(avoidedcosttbl3,$H48,CK$2)+(($H48-ROUNDDOWN($H48,0))*(INDEX(avoidedcosttbl3,ROUNDUP($H48,0),CK$2)-(INDEX(avoidedcosttbl3,ROUNDDOWN($H48,0),CK$2)))))*ADRYr3!P48*ADRYr3!Q48*ADRYr3!U48)</f>
        <v/>
      </c>
      <c r="CL48" s="30" t="str">
        <f>IF($G48="","",$G48*(IF(ADRYr3!$AI48=CC$4,ADRYr3!$AJ48,IF(ADRYr3!$AK48=CC$4,ADRYr3!$AL48,IF(ADRYr3!$AM48=CC$4,ADRYr3!$AN48,0))))*(INDEX(avoidedcosttbl3,$H48,CL$2)+(($H48-ROUNDDOWN($H48,0))*(INDEX(avoidedcosttbl3,ROUNDUP($H48,0),CL$2)-(INDEX(avoidedcosttbl3,ROUNDDOWN($H48,0),CL$2)))))*ADRYr3!P48*ADRYr3!Q48*ADRYr3!U48)</f>
        <v/>
      </c>
      <c r="CM48" s="30" t="str">
        <f>IF($G48="","",$G48*(IF(ADRYr3!$AI48=CD$4,ADRYr3!$AJ48,IF(ADRYr3!$AK48=CD$4,ADRYr3!$AL48,IF(ADRYr3!$AM48=CD$4,ADRYr3!$AN48,0))))*(INDEX(avoidedcosttbl3,$H48,CM$2)+(($H48-ROUNDDOWN($H48,0))*(INDEX(avoidedcosttbl3,ROUNDUP($H48,0),CM$2)-(INDEX(avoidedcosttbl3,ROUNDDOWN($H48,0),CM$2)))))*ADRYr3!P48*ADRYr3!Q48*ADRYr3!U48)</f>
        <v/>
      </c>
      <c r="CN48" s="30" t="str">
        <f>IF($G48="","",$G48*(IF(ADRYr3!$AI48=CE$4,ADRYr3!$AJ48,IF(ADRYr3!$AK48=CE$4,ADRYr3!$AL48,IF(ADRYr3!$AM48=CE$4,ADRYr3!$AN48,0))))*(INDEX(avoidedcosttbl3,$H48,CN$2)+(($H48-ROUNDDOWN($H48,0))*(INDEX(avoidedcosttbl3,ROUNDUP($H48,0),CN$2)-(INDEX(avoidedcosttbl3,ROUNDDOWN($H48,0),CN$2)))))*ADRYr3!P48*ADRYr3!Q48*ADRYr3!U48)</f>
        <v/>
      </c>
      <c r="CO48" s="220" t="str">
        <f t="shared" si="73"/>
        <v/>
      </c>
      <c r="CP48" s="220" t="str">
        <f t="shared" si="74"/>
        <v/>
      </c>
      <c r="CQ48" s="157" t="str">
        <f>IF($G48="","",$G48*(IF(ADRYr3!$AI48=CQ$4,ADRYr3!$AJ48,IF(ADRYr3!$AK48=CQ$4,ADRYr3!$AL48,IF(ADRYr3!$AM48=CQ$4,ADRYr3!$AN48,0))))*(INDEX(avoidedcosttbl3,$H48,CQ$2)+(($H48-ROUNDDOWN($H48,0))*(INDEX(avoidedcosttbl3,ROUNDUP($H48,0),CQ$2)-(INDEX(avoidedcosttbl3,ROUNDDOWN($H48,0),CQ$2)))))*ADRYr3!$P48*ADRYr3!$Q48*ADRYr3!$U48)</f>
        <v/>
      </c>
      <c r="CR48" s="28" t="str">
        <f>IF($G48="","",G48*(IF(ADRYr3!$AI48=CR$4,ADRYr3!$AJ48,IF(ADRYr3!$AK48=CR$4,ADRYr3!$AL48,IF(ADRYr3!$AM48=CR$4,ADRYr3!$AN48,0))))*(INDEX(avoidedcosttbl3,$H48,CR$2)+(($H48-ROUNDDOWN($H48,0))*(INDEX(avoidedcosttbl3,ROUNDUP($H48,0),CR$2)-(INDEX(avoidedcosttbl3,ROUNDDOWN($H48,0),CR$2)))))*ADRYr3!$P48*ADRYr3!$Q48*ADRYr3!$U48)</f>
        <v/>
      </c>
      <c r="CS48" s="28" t="str">
        <f>IF($G48="","",G48*(IF(ADRYr3!$AI48=CS$4,ADRYr3!$AJ48,IF(ADRYr3!$AK48=CS$4,ADRYr3!$AL48,IF(ADRYr3!$AM48=CS$4,ADRYr3!$AN48,0))))*(INDEX(avoidedcosttbl3,$H48,CS$2)+(($H48-ROUNDDOWN($H48,0))*(INDEX(avoidedcosttbl3,ROUNDUP($H48,0),CS$2)-(INDEX(avoidedcosttbl3,ROUNDDOWN($H48,0),CS$2)))))*ADRYr3!$P48*ADRYr3!$Q48*ADRYr3!$U48)</f>
        <v/>
      </c>
      <c r="CT48" s="28" t="str">
        <f t="shared" si="11"/>
        <v/>
      </c>
      <c r="CU48" s="28" t="str">
        <f>IF($G48="","",G48*(IF(ADRYr3!$AI48=CU$4,ADRYr3!$AJ48,IF(ADRYr3!$AK48=CU$4,ADRYr3!$AL48,IF(ADRYr3!$AM48=CU$4,ADRYr3!$AN48,0))))*(INDEX(avoidedcosttbl3,$H48,CU$2)+(($H48-ROUNDDOWN($H48,0))*(INDEX(avoidedcosttbl3,ROUNDUP($H48,0),CU$2)-(INDEX(avoidedcosttbl3,ROUNDDOWN($H48,0),CU$2)))))*ADRYr3!$P48*ADRYr3!$Q48*ADRYr3!$U48)</f>
        <v/>
      </c>
      <c r="CV48" s="28" t="str">
        <f>IF($G48="","",G48*(IF(ADRYr3!$AI48=CV$4,ADRYr3!$AJ48,IF(ADRYr3!$AK48=CV$4,ADRYr3!$AL48,IF(ADRYr3!$AM48=CV$4,ADRYr3!$AN48,0))))*(INDEX(avoidedcosttbl3,$H48,CV$2)+(($H48-ROUNDDOWN($H48,0))*(INDEX(avoidedcosttbl3,ROUNDUP($H48,0),CV$2)-(INDEX(avoidedcosttbl3,ROUNDDOWN($H48,0),CV$2)))))*ADRYr3!$P48*ADRYr3!$Q48*ADRYr3!$U48)</f>
        <v/>
      </c>
      <c r="CW48" s="28" t="str">
        <f>IF($G48="","",G48*(IF(ADRYr3!$AI48=CW$4,ADRYr3!$AJ48,IF(ADRYr3!$AK48=CW$4,ADRYr3!$AL48,IF(ADRYr3!$AM48=CW$4,ADRYr3!$AN48,0))))*(INDEX(avoidedcosttbl3,$H48,CW$2)+(($H48-ROUNDDOWN($H48,0))*(INDEX(avoidedcosttbl3,ROUNDUP($H48,0),CW$2)-(INDEX(avoidedcosttbl3,ROUNDDOWN($H48,0),CW$2)))))*ADRYr3!$P48*ADRYr3!$Q48*ADRYr3!$U48)</f>
        <v/>
      </c>
      <c r="CX48" s="28" t="str">
        <f>IF($G48="","",G48*(IF(ADRYr3!$AI48=CX$4,ADRYr3!$AJ48,IF(ADRYr3!$AK48=CX$4,ADRYr3!$AL48,IF(ADRYr3!$AM48=CX$4,ADRYr3!$AN48,0))))*(INDEX(avoidedcosttbl3,$H48,CX$2)+(($H48-ROUNDDOWN($H48,0))*(INDEX(avoidedcosttbl3,ROUNDUP($H48,0),CX$2)-(INDEX(avoidedcosttbl3,ROUNDDOWN($H48,0),CX$2)))))*ADRYr3!$P48*ADRYr3!$Q48*ADRYr3!$U48)</f>
        <v/>
      </c>
      <c r="CY48" s="28" t="str">
        <f t="shared" si="75"/>
        <v/>
      </c>
      <c r="CZ48" s="32" t="str">
        <f t="shared" si="76"/>
        <v/>
      </c>
      <c r="DA48" s="84" t="str">
        <f t="shared" si="77"/>
        <v/>
      </c>
      <c r="DB48" s="81" t="str">
        <f>IF(NEIadder="Yes",IF($G48="","",INDEX(Lookups!$G$70:$G$71,MATCH($A48,Lookups!$E$70:$E$71,0))*(SUM(CP48:CX48,BX48))),"")</f>
        <v/>
      </c>
      <c r="DC48" s="263" t="str">
        <f t="shared" si="78"/>
        <v/>
      </c>
      <c r="DD48" s="166" t="str">
        <f t="shared" si="79"/>
        <v/>
      </c>
      <c r="DE48" s="82">
        <f t="shared" si="80"/>
        <v>0</v>
      </c>
      <c r="DF48" s="615" t="str">
        <f>IF($G48="","",(1+WntPeakEnergyLL)*(INDEX(avoidedcosttbl3,$H48,DF$2)+(($H48-ROUNDDOWN($H48,0))*(INDEX(avoidedcosttbl3,ROUNDUP($H48,0),DF$2)-(INDEX(avoidedcosttbl3,ROUNDDOWN($H48,0),DF$2)))))*$P48*1000*ADRYr3!Z48)</f>
        <v/>
      </c>
      <c r="DG48" s="615" t="str">
        <f>IF($G48="","",(1+WntOffPeakEnergyLL)*(INDEX(avoidedcosttbl3,$H48,DG$2)+(($H48-ROUNDDOWN($H48,0))*(INDEX(avoidedcosttbl3,ROUNDUP($H48,0),DG$2)-(INDEX(avoidedcosttbl3,ROUNDDOWN($H48,0),DG$2)))))*$P48*1000*ADRYr3!AA48)</f>
        <v/>
      </c>
      <c r="DH48" s="615" t="str">
        <f>IF($G48="","",(1+SumPeakEnergyLL)*(INDEX(avoidedcosttbl3,$H48,DH$2)+(($H48-ROUNDDOWN($H48,0))*(INDEX(avoidedcosttbl3,ROUNDUP($H48,0),DH$2)-(INDEX(avoidedcosttbl3,ROUNDDOWN($H48,0),DH$2)))))*$P48*1000*ADRYr3!AB48)</f>
        <v/>
      </c>
      <c r="DI48" s="615" t="str">
        <f>IF($G48="","",(1+SumOffPeakEnergyLL)*(INDEX(avoidedcosttbl3,$H48,DI$2)+(($H48-ROUNDDOWN($H48,0))*(INDEX(avoidedcosttbl3,ROUNDUP($H48,0),DI$2)-(INDEX(avoidedcosttbl3,ROUNDDOWN($H48,0),DI$2)))))*$P48*1000*ADRYr3!AC48)</f>
        <v/>
      </c>
      <c r="DJ48" s="29" t="str">
        <f t="shared" si="81"/>
        <v/>
      </c>
      <c r="DK48" s="161" t="str">
        <f t="shared" si="83"/>
        <v/>
      </c>
      <c r="DO48" s="966" t="str">
        <f>IF($G48="","",ADRYr3!AQ48)</f>
        <v/>
      </c>
      <c r="DP48" s="968" t="str">
        <f>IF($G48="","",ADRYr3!AR48)</f>
        <v/>
      </c>
      <c r="DQ48" s="970" t="str">
        <f>IF($G48="","",IF($DP48="Yes",COLUMN(AESC!$L$10),IF($DP48="No","Using AvoidedDemand tab",IF($DP48="Mixed",COLUMN(AESC!$N$10)))))</f>
        <v/>
      </c>
      <c r="DR48" s="970" t="str">
        <f>IF($G48="","",IF($DP48="Yes",COLUMN(AESC!$P$10),IF($DP48="No","Using AvoidedDemand tab",IF($DP48="Mixed",COLUMN(AESC!$R$10)))))</f>
        <v/>
      </c>
      <c r="DS48" s="970" t="str">
        <f>IF($G48="","",IF($DP48="Yes",COLUMN(AESC!$S$10),IF($DP48="No",COLUMN(AESC!$T$10),IF($DP48="Mixed",COLUMN(AESC!$U$10)))))</f>
        <v/>
      </c>
      <c r="DT48" s="970" t="str">
        <f t="shared" si="49"/>
        <v/>
      </c>
      <c r="DU48" s="970" t="str">
        <f>IF($G48="","",ADRYr3!AS48)</f>
        <v/>
      </c>
      <c r="DV48" s="971" t="str">
        <f>IF($G48="","",ADRYr3!AT48)</f>
        <v/>
      </c>
      <c r="DW48" s="1162" t="str">
        <f>IF($G48="","",INDEX(AvoidedEnergy!$H$4:$H$10,MATCH($DO48,AvoidedEnergy!$A$4:$A$10,0)))</f>
        <v/>
      </c>
    </row>
    <row r="49" spans="1:127">
      <c r="A49" s="160" t="str">
        <f>IF(ADRYr3!$B49=0,"",ADRYr3!A49)</f>
        <v/>
      </c>
      <c r="B49" s="9" t="str">
        <f>IF(ADRYr3!$B49=0,"",ADRYr3!B49)</f>
        <v/>
      </c>
      <c r="C49" s="9" t="str">
        <f>IF(ADRYr3!$B49=0,"",ADRYr3!C49)</f>
        <v/>
      </c>
      <c r="D49" s="9" t="str">
        <f>IF(ADRYr3!$B49=0,"",ADRYr3!D49)</f>
        <v/>
      </c>
      <c r="E49" s="9"/>
      <c r="F49" s="11" t="str">
        <f>IF(ADRYr3!$B49=0,"",ADRYr3!F49)</f>
        <v/>
      </c>
      <c r="G49" s="12" t="str">
        <f>IF(ADRYr3!$G49&lt;&gt;0,ADRYr3!G49,"")</f>
        <v/>
      </c>
      <c r="H49" s="960" t="str">
        <f>IF($G49="","",ROUND(ADRYr3!H49,0))</f>
        <v/>
      </c>
      <c r="I49" s="47" t="str">
        <f>IF($G49="","",ADRYr3!I49*ADRYr3!P49*G49)</f>
        <v/>
      </c>
      <c r="J49" s="47" t="str">
        <f>IF($G49="","",ADRYr3!J49*G49)</f>
        <v/>
      </c>
      <c r="K49" s="47" t="str">
        <f t="shared" si="50"/>
        <v/>
      </c>
      <c r="L49" s="27" t="str">
        <f>IF($G49="","",ADRYr3!V49*G49/1000)</f>
        <v/>
      </c>
      <c r="M49" s="27" t="str">
        <f>IF($G49="","",L49*ADRYr3!$Q49*ADRYr3!$R49)</f>
        <v/>
      </c>
      <c r="N49" s="27" t="str">
        <f t="shared" si="51"/>
        <v/>
      </c>
      <c r="O49" s="27" t="str">
        <f t="shared" si="52"/>
        <v/>
      </c>
      <c r="P49" s="27" t="str">
        <f>IF($G49="","",M49*ADRYr3!P49)</f>
        <v/>
      </c>
      <c r="Q49" s="27" t="str">
        <f t="shared" si="53"/>
        <v/>
      </c>
      <c r="R49" s="27" t="str">
        <f>IF($G49="","",$Q49*ADRYr3!Z49)</f>
        <v/>
      </c>
      <c r="S49" s="27" t="str">
        <f>IF($G49="","",$Q49*ADRYr3!AA49)</f>
        <v/>
      </c>
      <c r="T49" s="27" t="str">
        <f>IF($G49="","",$Q49*ADRYr3!AB49)</f>
        <v/>
      </c>
      <c r="U49" s="27" t="str">
        <f>IF($G49="","",$Q49*ADRYr3!AC49)</f>
        <v/>
      </c>
      <c r="V49" s="27" t="str">
        <f>IF($G49="","",G49*ADRYr3!$AD49*ADRYr3!$P49*ADRYr3!$Q49)</f>
        <v/>
      </c>
      <c r="W49" s="27" t="str">
        <f>IF($G49="","",$G49*ADRYr3!$AD49*ADRYr3!$AF49*ADRYr3!Q49*ADRYr3!$S49)</f>
        <v/>
      </c>
      <c r="X49" s="27" t="str">
        <f>IF($G49="","",$G49*ADRYr3!$AD49*ADRYr3!$AF49*ADRYr3!P49*ADRYr3!Q49*ADRYr3!$S49)</f>
        <v/>
      </c>
      <c r="Y49" s="27" t="str">
        <f>IF($G49="","",$G49*ADRYr3!$AD49*ADRYr3!$AE49*ADRYr3!Q49*ADRYr3!$T49)</f>
        <v/>
      </c>
      <c r="Z49" s="27" t="str">
        <f>IF($G49="","",$G49*ADRYr3!$AD49*ADRYr3!$AE49*ADRYr3!P49*ADRYr3!Q49*ADRYr3!$T49)</f>
        <v/>
      </c>
      <c r="AA49" s="45" t="str">
        <f>IF($G49="","",$G49*ADRYr3!$Q49*ADRYr3!$U49*(IF(IFERROR(SEARCH("NG", ADRYr3!$AI49),0),ADRYr3!$AJ49,0)+IF(IFERROR(SEARCH("NG", ADRYr3!$AK49),0),ADRYr3!$AL49,0)+IF(IFERROR(SEARCH("NG", ADRYr3!$AM49),0),ADRYr3!$AN49,0)))</f>
        <v/>
      </c>
      <c r="AB49" s="45" t="str">
        <f t="shared" si="54"/>
        <v/>
      </c>
      <c r="AC49" s="45">
        <f>IF($G49="",0,AA49*ADRYr3!$P49)</f>
        <v>0</v>
      </c>
      <c r="AD49" s="45" t="str">
        <f t="shared" si="55"/>
        <v/>
      </c>
      <c r="AE49" s="45" t="str">
        <f>IF($G49="","",$G49*ADRYr3!$Q49*ADRYr3!$U49*(IF(IFERROR(SEARCH("Oil", ADRYr3!$AI49), 0),ADRYr3!$AJ49,0)+IF(IFERROR(SEARCH("Oil", ADRYr3!$AK49), 0),ADRYr3!$AL49,0)+IF(IFERROR(SEARCH("Oil", ADRYr3!$AM49), 0),ADRYr3!$AN49,0)))</f>
        <v/>
      </c>
      <c r="AF49" s="45" t="str">
        <f t="shared" si="56"/>
        <v/>
      </c>
      <c r="AG49" s="45">
        <f>IF($G49="",0,AE49*ADRYr3!$P49)</f>
        <v>0</v>
      </c>
      <c r="AH49" s="45" t="str">
        <f t="shared" si="57"/>
        <v/>
      </c>
      <c r="AI49" s="45" t="str">
        <f>IF($G49="","",$G49*ADRYr3!$Q49*ADRYr3!$U49*(IF(ADRYr3!$AI49=Lookups!$E$116,ADRYr3!$AJ49,IF(ADRYr3!$AK49=Lookups!$E$116,ADRYr3!$AL49,IF(ADRYr3!$AM49=Lookups!$E$116,ADRYr3!$AN49,0)))))</f>
        <v/>
      </c>
      <c r="AJ49" s="45" t="str">
        <f t="shared" si="58"/>
        <v/>
      </c>
      <c r="AK49" s="45">
        <f>IF($G49="",0,AI49*ADRYr3!$P49)</f>
        <v>0</v>
      </c>
      <c r="AL49" s="45" t="str">
        <f t="shared" si="59"/>
        <v/>
      </c>
      <c r="AM49" s="45" t="str">
        <f>IF($G49="","",$G49*ADRYr3!$Q49*ADRYr3!$U49*(IF(ADRYr3!$AI49=Lookups!$E$115,ADRYr3!$AJ49,IF(ADRYr3!$AK49=Lookups!$E$115,ADRYr3!$AL49,IF(ADRYr3!$AM49=Lookups!$E$115,ADRYr3!$AN49,0)))))</f>
        <v/>
      </c>
      <c r="AN49" s="45" t="str">
        <f t="shared" si="60"/>
        <v/>
      </c>
      <c r="AO49" s="45">
        <f>IF($G49="",0,AM49*ADRYr3!$P49)</f>
        <v>0</v>
      </c>
      <c r="AP49" s="45" t="str">
        <f t="shared" si="61"/>
        <v/>
      </c>
      <c r="AQ49" s="45" t="str">
        <f>IF($G49="","",$G49*ADRYr3!$Q49*ADRYr3!$U49*(IF(ADRYr3!$AI49=Lookups!$E$117,ADRYr3!$AJ49,IF(ADRYr3!$AK49=Lookups!$E$117,ADRYr3!$AL49,IF(ADRYr3!$AM49=Lookups!$E$117,ADRYr3!$AN49,0)))))</f>
        <v/>
      </c>
      <c r="AR49" s="45" t="str">
        <f t="shared" si="62"/>
        <v/>
      </c>
      <c r="AS49" s="45" t="str">
        <f>IF($G49="","",AQ49*ADRYr3!$P49)</f>
        <v/>
      </c>
      <c r="AT49" s="45" t="str">
        <f t="shared" si="63"/>
        <v/>
      </c>
      <c r="AU49" s="45" t="str">
        <f>IF($G49="","",$G49*ADRYr3!$Q49*ADRYr3!$U49*(IF(ADRYr3!$AI49=Lookups!$E$118,ADRYr3!$AJ49,IF(ADRYr3!$AK49=Lookups!$E$118,ADRYr3!$AL49,IF(ADRYr3!$AM49=Lookups!$E$118,ADRYr3!$AN49,0)))))</f>
        <v/>
      </c>
      <c r="AV49" s="45" t="str">
        <f t="shared" si="64"/>
        <v/>
      </c>
      <c r="AW49" s="45" t="str">
        <f>IF($G49="","",AU49*ADRYr3!$P49)</f>
        <v/>
      </c>
      <c r="AX49" s="45" t="str">
        <f t="shared" si="65"/>
        <v/>
      </c>
      <c r="AY49" s="45">
        <f t="shared" si="66"/>
        <v>0</v>
      </c>
      <c r="AZ49" s="45">
        <f t="shared" si="67"/>
        <v>0</v>
      </c>
      <c r="BA49" s="101" t="str">
        <f>IF($G49="","",$G49*ADRYr3!$P49*ADRYr3!$Q49*ADRYr3!$U49*ADRYr3!AO49)</f>
        <v/>
      </c>
      <c r="BB49" s="102" t="str">
        <f>IF($G49="","",$G49*ADRYr3!$P49*ADRYr3!$Q49*ADRYr3!$U49*ADRYr3!AP49)</f>
        <v/>
      </c>
      <c r="BC49" s="100" t="str">
        <f t="shared" si="68"/>
        <v/>
      </c>
      <c r="BD49" s="961"/>
      <c r="BE49" s="961"/>
      <c r="BF49" s="961"/>
      <c r="BG49" s="961"/>
      <c r="BH49" s="962" t="str">
        <f t="shared" si="3"/>
        <v/>
      </c>
      <c r="BI49" s="961"/>
      <c r="BJ49" s="961"/>
      <c r="BK49" s="961"/>
      <c r="BL49" s="961"/>
      <c r="BM49" s="30" t="str">
        <f t="shared" si="4"/>
        <v/>
      </c>
      <c r="BN49" s="963" t="str">
        <f t="shared" si="31"/>
        <v/>
      </c>
      <c r="BO49" s="31" t="str">
        <f t="shared" si="69"/>
        <v/>
      </c>
      <c r="BP49" s="964" t="str">
        <f t="shared" si="5"/>
        <v/>
      </c>
      <c r="BQ49" s="28" t="str">
        <f t="shared" si="6"/>
        <v/>
      </c>
      <c r="BR49" s="964" t="str">
        <f t="shared" si="7"/>
        <v/>
      </c>
      <c r="BS49" s="964" t="str">
        <f t="shared" si="8"/>
        <v/>
      </c>
      <c r="BT49" s="28" t="str">
        <f t="shared" si="82"/>
        <v/>
      </c>
      <c r="BU49" s="28" t="str">
        <f t="shared" si="82"/>
        <v/>
      </c>
      <c r="BV49" s="28" t="str">
        <f t="shared" si="82"/>
        <v/>
      </c>
      <c r="BW49" s="29" t="str">
        <f t="shared" si="70"/>
        <v/>
      </c>
      <c r="BX49" s="29" t="str">
        <f t="shared" si="71"/>
        <v/>
      </c>
      <c r="BY49" s="28" t="str">
        <f>IF($G49="","",$G49*(IF(ADRYr3!$AI49=BY$4,ADRYr3!$AJ49,IF(ADRYr3!$AK49=BY$4,ADRYr3!$AL49,IF(ADRYr3!$AM49=BY$4,ADRYr3!$AN49,0))))*(INDEX(avoidedcosttbl3,$H49,BY$2)+(($H49-ROUNDDOWN($H49,0))*(INDEX(avoidedcosttbl3,ROUNDUP($H49,0),BY$2)-(INDEX(avoidedcosttbl3,ROUNDDOWN($H49,0),BY$2)))))*ADRYr3!P49*ADRYr3!Q49*ADRYr3!U49)</f>
        <v/>
      </c>
      <c r="BZ49" s="28" t="str">
        <f>IF($G49="","",$G49*(IF(ADRYr3!$AI49=BZ$4,ADRYr3!$AJ49,IF(ADRYr3!$AK49=BZ$4,ADRYr3!$AL49,IF(ADRYr3!$AM49=BZ$4,ADRYr3!$AN49,0))))*(INDEX(avoidedcosttbl3,$H49,BZ$2)+(($H49-ROUNDDOWN($H49,0))*(INDEX(avoidedcosttbl3,ROUNDUP($H49,0),BZ$2)-(INDEX(avoidedcosttbl3,ROUNDDOWN($H49,0),BZ$2)))))*ADRYr3!P49*ADRYr3!Q49*ADRYr3!U49)</f>
        <v/>
      </c>
      <c r="CA49" s="28" t="str">
        <f>IF($G49="","",$G49*(IF(ADRYr3!$AI49=CA$4,ADRYr3!$AJ49,IF(ADRYr3!$AK49=CA$4,ADRYr3!$AL49,IF(ADRYr3!$AM49=CA$4,ADRYr3!$AN49,0))))*(INDEX(avoidedcosttbl3,$H49,CA$2)+(($H49-ROUNDDOWN($H49,0))*(INDEX(avoidedcosttbl3,ROUNDUP($H49,0),CA$2)-(INDEX(avoidedcosttbl3,ROUNDDOWN($H49,0),CA$2)))))*ADRYr3!P49*ADRYr3!Q49*ADRYr3!U49)</f>
        <v/>
      </c>
      <c r="CB49" s="28" t="str">
        <f>IF($G49="","",$G49*(IF(ADRYr3!$AI49=CB$4,ADRYr3!$AJ49,IF(ADRYr3!$AK49=CB$4,ADRYr3!$AL49,IF(ADRYr3!$AM49=CB$4,ADRYr3!$AN49,0))))*(INDEX(avoidedcosttbl3,$H49,CB$2)+(($H49-ROUNDDOWN($H49,0))*(INDEX(avoidedcosttbl3,ROUNDUP($H49,0),CB$2)-(INDEX(avoidedcosttbl3,ROUNDDOWN($H49,0),CB$2)))))*ADRYr3!P49*ADRYr3!Q49*ADRYr3!U49)</f>
        <v/>
      </c>
      <c r="CC49" s="28" t="str">
        <f>IF($G49="","",$G49*(IF(ADRYr3!$AI49=CC$4,ADRYr3!$AJ49,IF(ADRYr3!$AK49=CC$4,ADRYr3!$AL49,IF(ADRYr3!$AM49=CC$4,ADRYr3!$AN49,0))))*(INDEX(avoidedcosttbl3,$H49,CC$2)+(($H49-ROUNDDOWN($H49,0))*(INDEX(avoidedcosttbl3,ROUNDUP($H49,0),CC$2)-(INDEX(avoidedcosttbl3,ROUNDDOWN($H49,0),CC$2)))))*ADRYr3!P49*ADRYr3!Q49*ADRYr3!U49)</f>
        <v/>
      </c>
      <c r="CD49" s="28" t="str">
        <f>IF($G49="","",$G49*(IF(ADRYr3!$AI49=CD$4,ADRYr3!$AJ49,IF(ADRYr3!$AK49=CD$4,ADRYr3!$AL49,IF(ADRYr3!$AM49=CD$4,ADRYr3!$AN49,0))))*(INDEX(avoidedcosttbl3,$H49,CD$2)+(($H49-ROUNDDOWN($H49,0))*(INDEX(avoidedcosttbl3,ROUNDUP($H49,0),CD$2)-(INDEX(avoidedcosttbl3,ROUNDDOWN($H49,0),CD$2)))))*ADRYr3!P49*ADRYr3!Q49*ADRYr3!U49)</f>
        <v/>
      </c>
      <c r="CE49" s="28" t="str">
        <f>IF($G49="","",$G49*(IF(ADRYr3!$AI49=CE$4,ADRYr3!$AJ49,IF(ADRYr3!$AK49=CE$4,ADRYr3!$AL49,IF(ADRYr3!$AM49=CE$4,ADRYr3!$AN49,0))))*(INDEX(avoidedcosttbl3,$H49,CE$2)+(($H49-ROUNDDOWN($H49,0))*(INDEX(avoidedcosttbl3,ROUNDUP($H49,0),CE$2)-(INDEX(avoidedcosttbl3,ROUNDDOWN($H49,0),CE$2)))))*ADRYr3!P49*ADRYr3!Q49*ADRYr3!U49)</f>
        <v/>
      </c>
      <c r="CF49" s="41" t="str">
        <f t="shared" si="72"/>
        <v/>
      </c>
      <c r="CG49" s="30" t="str">
        <f t="shared" si="10"/>
        <v/>
      </c>
      <c r="CH49" s="30" t="str">
        <f>IF($G49="","",$G49*(IF(ADRYr3!$AI49=BY$4,ADRYr3!$AJ49,IF(ADRYr3!$AK49=BY$4,ADRYr3!$AL49,IF(ADRYr3!$AM49=BY$4,ADRYr3!$AN49,0))))*(INDEX(avoidedcosttbl3,$H49,CH$2)+(($H49-ROUNDDOWN($H49,0))*(INDEX(avoidedcosttbl3,ROUNDUP($H49,0),CH$2)-(INDEX(avoidedcosttbl3,ROUNDDOWN($H49,0),CH$2)))))*ADRYr3!P49*ADRYr3!Q49*ADRYr3!U49)</f>
        <v/>
      </c>
      <c r="CI49" s="30" t="str">
        <f>IF($G49="","",$G49*(IF(ADRYr3!$AI49=BZ$4,ADRYr3!$AJ49,IF(ADRYr3!$AK49=BZ$4,ADRYr3!$AL49,IF(ADRYr3!$AM49=BZ$4,ADRYr3!$AN49,0))))*(INDEX(avoidedcosttbl3,$H49,CI$2)+(($H49-ROUNDDOWN($H49,0))*(INDEX(avoidedcosttbl3,ROUNDUP($H49,0),CI$2)-(INDEX(avoidedcosttbl3,ROUNDDOWN($H49,0),CI$2)))))*ADRYr3!P49*ADRYr3!Q49*ADRYr3!U49)</f>
        <v/>
      </c>
      <c r="CJ49" s="30" t="str">
        <f>IF($G49="","",$G49*(IF(ADRYr3!$AI49=CA$4,ADRYr3!$AJ49,IF(ADRYr3!$AK49=CA$4,ADRYr3!$AL49,IF(ADRYr3!$AM49=CA$4,ADRYr3!$AN49,0))))*(INDEX(avoidedcosttbl3,$H49,CJ$2)+(($H49-ROUNDDOWN($H49,0))*(INDEX(avoidedcosttbl3,ROUNDUP($H49,0),CJ$2)-(INDEX(avoidedcosttbl3,ROUNDDOWN($H49,0),CJ$2)))))*ADRYr3!P49*ADRYr3!Q49*ADRYr3!U49)</f>
        <v/>
      </c>
      <c r="CK49" s="30" t="str">
        <f>IF($G49="","",$G49*(IF(ADRYr3!$AI49=CB$4,ADRYr3!$AJ49,IF(ADRYr3!$AK49=CB$4,ADRYr3!$AL49,IF(ADRYr3!$AM49=CB$4,ADRYr3!$AN49,0))))*(INDEX(avoidedcosttbl3,$H49,CK$2)+(($H49-ROUNDDOWN($H49,0))*(INDEX(avoidedcosttbl3,ROUNDUP($H49,0),CK$2)-(INDEX(avoidedcosttbl3,ROUNDDOWN($H49,0),CK$2)))))*ADRYr3!P49*ADRYr3!Q49*ADRYr3!U49)</f>
        <v/>
      </c>
      <c r="CL49" s="30" t="str">
        <f>IF($G49="","",$G49*(IF(ADRYr3!$AI49=CC$4,ADRYr3!$AJ49,IF(ADRYr3!$AK49=CC$4,ADRYr3!$AL49,IF(ADRYr3!$AM49=CC$4,ADRYr3!$AN49,0))))*(INDEX(avoidedcosttbl3,$H49,CL$2)+(($H49-ROUNDDOWN($H49,0))*(INDEX(avoidedcosttbl3,ROUNDUP($H49,0),CL$2)-(INDEX(avoidedcosttbl3,ROUNDDOWN($H49,0),CL$2)))))*ADRYr3!P49*ADRYr3!Q49*ADRYr3!U49)</f>
        <v/>
      </c>
      <c r="CM49" s="30" t="str">
        <f>IF($G49="","",$G49*(IF(ADRYr3!$AI49=CD$4,ADRYr3!$AJ49,IF(ADRYr3!$AK49=CD$4,ADRYr3!$AL49,IF(ADRYr3!$AM49=CD$4,ADRYr3!$AN49,0))))*(INDEX(avoidedcosttbl3,$H49,CM$2)+(($H49-ROUNDDOWN($H49,0))*(INDEX(avoidedcosttbl3,ROUNDUP($H49,0),CM$2)-(INDEX(avoidedcosttbl3,ROUNDDOWN($H49,0),CM$2)))))*ADRYr3!P49*ADRYr3!Q49*ADRYr3!U49)</f>
        <v/>
      </c>
      <c r="CN49" s="30" t="str">
        <f>IF($G49="","",$G49*(IF(ADRYr3!$AI49=CE$4,ADRYr3!$AJ49,IF(ADRYr3!$AK49=CE$4,ADRYr3!$AL49,IF(ADRYr3!$AM49=CE$4,ADRYr3!$AN49,0))))*(INDEX(avoidedcosttbl3,$H49,CN$2)+(($H49-ROUNDDOWN($H49,0))*(INDEX(avoidedcosttbl3,ROUNDUP($H49,0),CN$2)-(INDEX(avoidedcosttbl3,ROUNDDOWN($H49,0),CN$2)))))*ADRYr3!P49*ADRYr3!Q49*ADRYr3!U49)</f>
        <v/>
      </c>
      <c r="CO49" s="220" t="str">
        <f t="shared" si="73"/>
        <v/>
      </c>
      <c r="CP49" s="220" t="str">
        <f t="shared" si="74"/>
        <v/>
      </c>
      <c r="CQ49" s="157" t="str">
        <f>IF($G49="","",$G49*(IF(ADRYr3!$AI49=CQ$4,ADRYr3!$AJ49,IF(ADRYr3!$AK49=CQ$4,ADRYr3!$AL49,IF(ADRYr3!$AM49=CQ$4,ADRYr3!$AN49,0))))*(INDEX(avoidedcosttbl3,$H49,CQ$2)+(($H49-ROUNDDOWN($H49,0))*(INDEX(avoidedcosttbl3,ROUNDUP($H49,0),CQ$2)-(INDEX(avoidedcosttbl3,ROUNDDOWN($H49,0),CQ$2)))))*ADRYr3!$P49*ADRYr3!$Q49*ADRYr3!$U49)</f>
        <v/>
      </c>
      <c r="CR49" s="28" t="str">
        <f>IF($G49="","",G49*(IF(ADRYr3!$AI49=CR$4,ADRYr3!$AJ49,IF(ADRYr3!$AK49=CR$4,ADRYr3!$AL49,IF(ADRYr3!$AM49=CR$4,ADRYr3!$AN49,0))))*(INDEX(avoidedcosttbl3,$H49,CR$2)+(($H49-ROUNDDOWN($H49,0))*(INDEX(avoidedcosttbl3,ROUNDUP($H49,0),CR$2)-(INDEX(avoidedcosttbl3,ROUNDDOWN($H49,0),CR$2)))))*ADRYr3!$P49*ADRYr3!$Q49*ADRYr3!$U49)</f>
        <v/>
      </c>
      <c r="CS49" s="28" t="str">
        <f>IF($G49="","",G49*(IF(ADRYr3!$AI49=CS$4,ADRYr3!$AJ49,IF(ADRYr3!$AK49=CS$4,ADRYr3!$AL49,IF(ADRYr3!$AM49=CS$4,ADRYr3!$AN49,0))))*(INDEX(avoidedcosttbl3,$H49,CS$2)+(($H49-ROUNDDOWN($H49,0))*(INDEX(avoidedcosttbl3,ROUNDUP($H49,0),CS$2)-(INDEX(avoidedcosttbl3,ROUNDDOWN($H49,0),CS$2)))))*ADRYr3!$P49*ADRYr3!$Q49*ADRYr3!$U49)</f>
        <v/>
      </c>
      <c r="CT49" s="28" t="str">
        <f t="shared" si="11"/>
        <v/>
      </c>
      <c r="CU49" s="28" t="str">
        <f>IF($G49="","",G49*(IF(ADRYr3!$AI49=CU$4,ADRYr3!$AJ49,IF(ADRYr3!$AK49=CU$4,ADRYr3!$AL49,IF(ADRYr3!$AM49=CU$4,ADRYr3!$AN49,0))))*(INDEX(avoidedcosttbl3,$H49,CU$2)+(($H49-ROUNDDOWN($H49,0))*(INDEX(avoidedcosttbl3,ROUNDUP($H49,0),CU$2)-(INDEX(avoidedcosttbl3,ROUNDDOWN($H49,0),CU$2)))))*ADRYr3!$P49*ADRYr3!$Q49*ADRYr3!$U49)</f>
        <v/>
      </c>
      <c r="CV49" s="28" t="str">
        <f>IF($G49="","",G49*(IF(ADRYr3!$AI49=CV$4,ADRYr3!$AJ49,IF(ADRYr3!$AK49=CV$4,ADRYr3!$AL49,IF(ADRYr3!$AM49=CV$4,ADRYr3!$AN49,0))))*(INDEX(avoidedcosttbl3,$H49,CV$2)+(($H49-ROUNDDOWN($H49,0))*(INDEX(avoidedcosttbl3,ROUNDUP($H49,0),CV$2)-(INDEX(avoidedcosttbl3,ROUNDDOWN($H49,0),CV$2)))))*ADRYr3!$P49*ADRYr3!$Q49*ADRYr3!$U49)</f>
        <v/>
      </c>
      <c r="CW49" s="28" t="str">
        <f>IF($G49="","",G49*(IF(ADRYr3!$AI49=CW$4,ADRYr3!$AJ49,IF(ADRYr3!$AK49=CW$4,ADRYr3!$AL49,IF(ADRYr3!$AM49=CW$4,ADRYr3!$AN49,0))))*(INDEX(avoidedcosttbl3,$H49,CW$2)+(($H49-ROUNDDOWN($H49,0))*(INDEX(avoidedcosttbl3,ROUNDUP($H49,0),CW$2)-(INDEX(avoidedcosttbl3,ROUNDDOWN($H49,0),CW$2)))))*ADRYr3!$P49*ADRYr3!$Q49*ADRYr3!$U49)</f>
        <v/>
      </c>
      <c r="CX49" s="28" t="str">
        <f>IF($G49="","",G49*(IF(ADRYr3!$AI49=CX$4,ADRYr3!$AJ49,IF(ADRYr3!$AK49=CX$4,ADRYr3!$AL49,IF(ADRYr3!$AM49=CX$4,ADRYr3!$AN49,0))))*(INDEX(avoidedcosttbl3,$H49,CX$2)+(($H49-ROUNDDOWN($H49,0))*(INDEX(avoidedcosttbl3,ROUNDUP($H49,0),CX$2)-(INDEX(avoidedcosttbl3,ROUNDDOWN($H49,0),CX$2)))))*ADRYr3!$P49*ADRYr3!$Q49*ADRYr3!$U49)</f>
        <v/>
      </c>
      <c r="CY49" s="28" t="str">
        <f t="shared" si="75"/>
        <v/>
      </c>
      <c r="CZ49" s="32" t="str">
        <f t="shared" si="76"/>
        <v/>
      </c>
      <c r="DA49" s="84" t="str">
        <f t="shared" si="77"/>
        <v/>
      </c>
      <c r="DB49" s="81" t="str">
        <f>IF(NEIadder="Yes",IF($G49="","",INDEX(Lookups!$G$70:$G$71,MATCH($A49,Lookups!$E$70:$E$71,0))*(SUM(CP49:CX49,BX49))),"")</f>
        <v/>
      </c>
      <c r="DC49" s="263" t="str">
        <f t="shared" si="78"/>
        <v/>
      </c>
      <c r="DD49" s="166" t="str">
        <f t="shared" si="79"/>
        <v/>
      </c>
      <c r="DE49" s="82">
        <f t="shared" si="80"/>
        <v>0</v>
      </c>
      <c r="DF49" s="615" t="str">
        <f>IF($G49="","",(1+WntPeakEnergyLL)*(INDEX(avoidedcosttbl3,$H49,DF$2)+(($H49-ROUNDDOWN($H49,0))*(INDEX(avoidedcosttbl3,ROUNDUP($H49,0),DF$2)-(INDEX(avoidedcosttbl3,ROUNDDOWN($H49,0),DF$2)))))*$P49*1000*ADRYr3!Z49)</f>
        <v/>
      </c>
      <c r="DG49" s="615" t="str">
        <f>IF($G49="","",(1+WntOffPeakEnergyLL)*(INDEX(avoidedcosttbl3,$H49,DG$2)+(($H49-ROUNDDOWN($H49,0))*(INDEX(avoidedcosttbl3,ROUNDUP($H49,0),DG$2)-(INDEX(avoidedcosttbl3,ROUNDDOWN($H49,0),DG$2)))))*$P49*1000*ADRYr3!AA49)</f>
        <v/>
      </c>
      <c r="DH49" s="615" t="str">
        <f>IF($G49="","",(1+SumPeakEnergyLL)*(INDEX(avoidedcosttbl3,$H49,DH$2)+(($H49-ROUNDDOWN($H49,0))*(INDEX(avoidedcosttbl3,ROUNDUP($H49,0),DH$2)-(INDEX(avoidedcosttbl3,ROUNDDOWN($H49,0),DH$2)))))*$P49*1000*ADRYr3!AB49)</f>
        <v/>
      </c>
      <c r="DI49" s="615" t="str">
        <f>IF($G49="","",(1+SumOffPeakEnergyLL)*(INDEX(avoidedcosttbl3,$H49,DI$2)+(($H49-ROUNDDOWN($H49,0))*(INDEX(avoidedcosttbl3,ROUNDUP($H49,0),DI$2)-(INDEX(avoidedcosttbl3,ROUNDDOWN($H49,0),DI$2)))))*$P49*1000*ADRYr3!AC49)</f>
        <v/>
      </c>
      <c r="DJ49" s="29" t="str">
        <f t="shared" si="81"/>
        <v/>
      </c>
      <c r="DK49" s="161" t="str">
        <f t="shared" si="83"/>
        <v/>
      </c>
      <c r="DO49" s="966" t="str">
        <f>IF($G49="","",ADRYr3!AQ49)</f>
        <v/>
      </c>
      <c r="DP49" s="968" t="str">
        <f>IF($G49="","",ADRYr3!AR49)</f>
        <v/>
      </c>
      <c r="DQ49" s="970" t="str">
        <f>IF($G49="","",IF($DP49="Yes",COLUMN(AESC!$L$10),IF($DP49="No","Using AvoidedDemand tab",IF($DP49="Mixed",COLUMN(AESC!$N$10)))))</f>
        <v/>
      </c>
      <c r="DR49" s="970" t="str">
        <f>IF($G49="","",IF($DP49="Yes",COLUMN(AESC!$P$10),IF($DP49="No","Using AvoidedDemand tab",IF($DP49="Mixed",COLUMN(AESC!$R$10)))))</f>
        <v/>
      </c>
      <c r="DS49" s="970" t="str">
        <f>IF($G49="","",IF($DP49="Yes",COLUMN(AESC!$S$10),IF($DP49="No",COLUMN(AESC!$T$10),IF($DP49="Mixed",COLUMN(AESC!$U$10)))))</f>
        <v/>
      </c>
      <c r="DT49" s="970" t="str">
        <f t="shared" si="49"/>
        <v/>
      </c>
      <c r="DU49" s="970" t="str">
        <f>IF($G49="","",ADRYr3!AS49)</f>
        <v/>
      </c>
      <c r="DV49" s="971" t="str">
        <f>IF($G49="","",ADRYr3!AT49)</f>
        <v/>
      </c>
      <c r="DW49" s="1162" t="str">
        <f>IF($G49="","",INDEX(AvoidedEnergy!$H$4:$H$10,MATCH($DO49,AvoidedEnergy!$A$4:$A$10,0)))</f>
        <v/>
      </c>
    </row>
    <row r="50" spans="1:127">
      <c r="A50" s="160" t="str">
        <f>IF(ADRYr3!$B50=0,"",ADRYr3!A50)</f>
        <v/>
      </c>
      <c r="B50" s="9" t="str">
        <f>IF(ADRYr3!$B50=0,"",ADRYr3!B50)</f>
        <v/>
      </c>
      <c r="C50" s="9" t="str">
        <f>IF(ADRYr3!$B50=0,"",ADRYr3!C50)</f>
        <v/>
      </c>
      <c r="D50" s="9" t="str">
        <f>IF(ADRYr3!$B50=0,"",ADRYr3!D50)</f>
        <v/>
      </c>
      <c r="E50" s="9"/>
      <c r="F50" s="11" t="str">
        <f>IF(ADRYr3!$B50=0,"",ADRYr3!F50)</f>
        <v/>
      </c>
      <c r="G50" s="12" t="str">
        <f>IF(ADRYr3!$G50&lt;&gt;0,ADRYr3!G50,"")</f>
        <v/>
      </c>
      <c r="H50" s="960" t="str">
        <f>IF($G50="","",ROUND(ADRYr3!H50,0))</f>
        <v/>
      </c>
      <c r="I50" s="47" t="str">
        <f>IF($G50="","",ADRYr3!I50*ADRYr3!P50*G50)</f>
        <v/>
      </c>
      <c r="J50" s="47" t="str">
        <f>IF($G50="","",ADRYr3!J50*G50)</f>
        <v/>
      </c>
      <c r="K50" s="47" t="str">
        <f t="shared" si="50"/>
        <v/>
      </c>
      <c r="L50" s="27" t="str">
        <f>IF($G50="","",ADRYr3!V50*G50/1000)</f>
        <v/>
      </c>
      <c r="M50" s="27" t="str">
        <f>IF($G50="","",L50*ADRYr3!$Q50*ADRYr3!$R50)</f>
        <v/>
      </c>
      <c r="N50" s="27" t="str">
        <f t="shared" si="51"/>
        <v/>
      </c>
      <c r="O50" s="27" t="str">
        <f t="shared" si="52"/>
        <v/>
      </c>
      <c r="P50" s="27" t="str">
        <f>IF($G50="","",M50*ADRYr3!P50)</f>
        <v/>
      </c>
      <c r="Q50" s="27" t="str">
        <f t="shared" si="53"/>
        <v/>
      </c>
      <c r="R50" s="27" t="str">
        <f>IF($G50="","",$Q50*ADRYr3!Z50)</f>
        <v/>
      </c>
      <c r="S50" s="27" t="str">
        <f>IF($G50="","",$Q50*ADRYr3!AA50)</f>
        <v/>
      </c>
      <c r="T50" s="27" t="str">
        <f>IF($G50="","",$Q50*ADRYr3!AB50)</f>
        <v/>
      </c>
      <c r="U50" s="27" t="str">
        <f>IF($G50="","",$Q50*ADRYr3!AC50)</f>
        <v/>
      </c>
      <c r="V50" s="27" t="str">
        <f>IF($G50="","",G50*ADRYr3!$AD50*ADRYr3!$P50*ADRYr3!$Q50)</f>
        <v/>
      </c>
      <c r="W50" s="27" t="str">
        <f>IF($G50="","",$G50*ADRYr3!$AD50*ADRYr3!$AF50*ADRYr3!Q50*ADRYr3!$S50)</f>
        <v/>
      </c>
      <c r="X50" s="27" t="str">
        <f>IF($G50="","",$G50*ADRYr3!$AD50*ADRYr3!$AF50*ADRYr3!P50*ADRYr3!Q50*ADRYr3!$S50)</f>
        <v/>
      </c>
      <c r="Y50" s="27" t="str">
        <f>IF($G50="","",$G50*ADRYr3!$AD50*ADRYr3!$AE50*ADRYr3!Q50*ADRYr3!$T50)</f>
        <v/>
      </c>
      <c r="Z50" s="27" t="str">
        <f>IF($G50="","",$G50*ADRYr3!$AD50*ADRYr3!$AE50*ADRYr3!P50*ADRYr3!Q50*ADRYr3!$T50)</f>
        <v/>
      </c>
      <c r="AA50" s="45" t="str">
        <f>IF($G50="","",$G50*ADRYr3!$Q50*ADRYr3!$U50*(IF(IFERROR(SEARCH("NG", ADRYr3!$AI50),0),ADRYr3!$AJ50,0)+IF(IFERROR(SEARCH("NG", ADRYr3!$AK50),0),ADRYr3!$AL50,0)+IF(IFERROR(SEARCH("NG", ADRYr3!$AM50),0),ADRYr3!$AN50,0)))</f>
        <v/>
      </c>
      <c r="AB50" s="45" t="str">
        <f t="shared" si="54"/>
        <v/>
      </c>
      <c r="AC50" s="45">
        <f>IF($G50="",0,AA50*ADRYr3!$P50)</f>
        <v>0</v>
      </c>
      <c r="AD50" s="45" t="str">
        <f t="shared" si="55"/>
        <v/>
      </c>
      <c r="AE50" s="45" t="str">
        <f>IF($G50="","",$G50*ADRYr3!$Q50*ADRYr3!$U50*(IF(IFERROR(SEARCH("Oil", ADRYr3!$AI50), 0),ADRYr3!$AJ50,0)+IF(IFERROR(SEARCH("Oil", ADRYr3!$AK50), 0),ADRYr3!$AL50,0)+IF(IFERROR(SEARCH("Oil", ADRYr3!$AM50), 0),ADRYr3!$AN50,0)))</f>
        <v/>
      </c>
      <c r="AF50" s="45" t="str">
        <f t="shared" si="56"/>
        <v/>
      </c>
      <c r="AG50" s="45">
        <f>IF($G50="",0,AE50*ADRYr3!$P50)</f>
        <v>0</v>
      </c>
      <c r="AH50" s="45" t="str">
        <f t="shared" si="57"/>
        <v/>
      </c>
      <c r="AI50" s="45" t="str">
        <f>IF($G50="","",$G50*ADRYr3!$Q50*ADRYr3!$U50*(IF(ADRYr3!$AI50=Lookups!$E$116,ADRYr3!$AJ50,IF(ADRYr3!$AK50=Lookups!$E$116,ADRYr3!$AL50,IF(ADRYr3!$AM50=Lookups!$E$116,ADRYr3!$AN50,0)))))</f>
        <v/>
      </c>
      <c r="AJ50" s="45" t="str">
        <f t="shared" si="58"/>
        <v/>
      </c>
      <c r="AK50" s="45">
        <f>IF($G50="",0,AI50*ADRYr3!$P50)</f>
        <v>0</v>
      </c>
      <c r="AL50" s="45" t="str">
        <f t="shared" si="59"/>
        <v/>
      </c>
      <c r="AM50" s="45" t="str">
        <f>IF($G50="","",$G50*ADRYr3!$Q50*ADRYr3!$U50*(IF(ADRYr3!$AI50=Lookups!$E$115,ADRYr3!$AJ50,IF(ADRYr3!$AK50=Lookups!$E$115,ADRYr3!$AL50,IF(ADRYr3!$AM50=Lookups!$E$115,ADRYr3!$AN50,0)))))</f>
        <v/>
      </c>
      <c r="AN50" s="45" t="str">
        <f t="shared" si="60"/>
        <v/>
      </c>
      <c r="AO50" s="45">
        <f>IF($G50="",0,AM50*ADRYr3!$P50)</f>
        <v>0</v>
      </c>
      <c r="AP50" s="45" t="str">
        <f t="shared" si="61"/>
        <v/>
      </c>
      <c r="AQ50" s="45" t="str">
        <f>IF($G50="","",$G50*ADRYr3!$Q50*ADRYr3!$U50*(IF(ADRYr3!$AI50=Lookups!$E$117,ADRYr3!$AJ50,IF(ADRYr3!$AK50=Lookups!$E$117,ADRYr3!$AL50,IF(ADRYr3!$AM50=Lookups!$E$117,ADRYr3!$AN50,0)))))</f>
        <v/>
      </c>
      <c r="AR50" s="45" t="str">
        <f t="shared" si="62"/>
        <v/>
      </c>
      <c r="AS50" s="45" t="str">
        <f>IF($G50="","",AQ50*ADRYr3!$P50)</f>
        <v/>
      </c>
      <c r="AT50" s="45" t="str">
        <f t="shared" si="63"/>
        <v/>
      </c>
      <c r="AU50" s="45" t="str">
        <f>IF($G50="","",$G50*ADRYr3!$Q50*ADRYr3!$U50*(IF(ADRYr3!$AI50=Lookups!$E$118,ADRYr3!$AJ50,IF(ADRYr3!$AK50=Lookups!$E$118,ADRYr3!$AL50,IF(ADRYr3!$AM50=Lookups!$E$118,ADRYr3!$AN50,0)))))</f>
        <v/>
      </c>
      <c r="AV50" s="45" t="str">
        <f t="shared" si="64"/>
        <v/>
      </c>
      <c r="AW50" s="45" t="str">
        <f>IF($G50="","",AU50*ADRYr3!$P50)</f>
        <v/>
      </c>
      <c r="AX50" s="45" t="str">
        <f t="shared" si="65"/>
        <v/>
      </c>
      <c r="AY50" s="45">
        <f t="shared" si="66"/>
        <v>0</v>
      </c>
      <c r="AZ50" s="45">
        <f t="shared" si="67"/>
        <v>0</v>
      </c>
      <c r="BA50" s="101" t="str">
        <f>IF($G50="","",$G50*ADRYr3!$P50*ADRYr3!$Q50*ADRYr3!$U50*ADRYr3!AO50)</f>
        <v/>
      </c>
      <c r="BB50" s="102" t="str">
        <f>IF($G50="","",$G50*ADRYr3!$P50*ADRYr3!$Q50*ADRYr3!$U50*ADRYr3!AP50)</f>
        <v/>
      </c>
      <c r="BC50" s="100" t="str">
        <f t="shared" si="68"/>
        <v/>
      </c>
      <c r="BD50" s="961"/>
      <c r="BE50" s="961"/>
      <c r="BF50" s="961"/>
      <c r="BG50" s="961"/>
      <c r="BH50" s="962" t="str">
        <f t="shared" si="3"/>
        <v/>
      </c>
      <c r="BI50" s="961"/>
      <c r="BJ50" s="961"/>
      <c r="BK50" s="961"/>
      <c r="BL50" s="961"/>
      <c r="BM50" s="30" t="str">
        <f t="shared" si="4"/>
        <v/>
      </c>
      <c r="BN50" s="963" t="str">
        <f t="shared" si="31"/>
        <v/>
      </c>
      <c r="BO50" s="31" t="str">
        <f t="shared" si="69"/>
        <v/>
      </c>
      <c r="BP50" s="964" t="str">
        <f t="shared" si="5"/>
        <v/>
      </c>
      <c r="BQ50" s="28" t="str">
        <f t="shared" si="6"/>
        <v/>
      </c>
      <c r="BR50" s="964" t="str">
        <f t="shared" si="7"/>
        <v/>
      </c>
      <c r="BS50" s="964" t="str">
        <f t="shared" si="8"/>
        <v/>
      </c>
      <c r="BT50" s="28" t="str">
        <f t="shared" si="82"/>
        <v/>
      </c>
      <c r="BU50" s="28" t="str">
        <f t="shared" si="82"/>
        <v/>
      </c>
      <c r="BV50" s="28" t="str">
        <f t="shared" si="82"/>
        <v/>
      </c>
      <c r="BW50" s="29" t="str">
        <f t="shared" si="70"/>
        <v/>
      </c>
      <c r="BX50" s="29" t="str">
        <f t="shared" si="71"/>
        <v/>
      </c>
      <c r="BY50" s="28" t="str">
        <f>IF($G50="","",$G50*(IF(ADRYr3!$AI50=BY$4,ADRYr3!$AJ50,IF(ADRYr3!$AK50=BY$4,ADRYr3!$AL50,IF(ADRYr3!$AM50=BY$4,ADRYr3!$AN50,0))))*(INDEX(avoidedcosttbl3,$H50,BY$2)+(($H50-ROUNDDOWN($H50,0))*(INDEX(avoidedcosttbl3,ROUNDUP($H50,0),BY$2)-(INDEX(avoidedcosttbl3,ROUNDDOWN($H50,0),BY$2)))))*ADRYr3!P50*ADRYr3!Q50*ADRYr3!U50)</f>
        <v/>
      </c>
      <c r="BZ50" s="28" t="str">
        <f>IF($G50="","",$G50*(IF(ADRYr3!$AI50=BZ$4,ADRYr3!$AJ50,IF(ADRYr3!$AK50=BZ$4,ADRYr3!$AL50,IF(ADRYr3!$AM50=BZ$4,ADRYr3!$AN50,0))))*(INDEX(avoidedcosttbl3,$H50,BZ$2)+(($H50-ROUNDDOWN($H50,0))*(INDEX(avoidedcosttbl3,ROUNDUP($H50,0),BZ$2)-(INDEX(avoidedcosttbl3,ROUNDDOWN($H50,0),BZ$2)))))*ADRYr3!P50*ADRYr3!Q50*ADRYr3!U50)</f>
        <v/>
      </c>
      <c r="CA50" s="28" t="str">
        <f>IF($G50="","",$G50*(IF(ADRYr3!$AI50=CA$4,ADRYr3!$AJ50,IF(ADRYr3!$AK50=CA$4,ADRYr3!$AL50,IF(ADRYr3!$AM50=CA$4,ADRYr3!$AN50,0))))*(INDEX(avoidedcosttbl3,$H50,CA$2)+(($H50-ROUNDDOWN($H50,0))*(INDEX(avoidedcosttbl3,ROUNDUP($H50,0),CA$2)-(INDEX(avoidedcosttbl3,ROUNDDOWN($H50,0),CA$2)))))*ADRYr3!P50*ADRYr3!Q50*ADRYr3!U50)</f>
        <v/>
      </c>
      <c r="CB50" s="28" t="str">
        <f>IF($G50="","",$G50*(IF(ADRYr3!$AI50=CB$4,ADRYr3!$AJ50,IF(ADRYr3!$AK50=CB$4,ADRYr3!$AL50,IF(ADRYr3!$AM50=CB$4,ADRYr3!$AN50,0))))*(INDEX(avoidedcosttbl3,$H50,CB$2)+(($H50-ROUNDDOWN($H50,0))*(INDEX(avoidedcosttbl3,ROUNDUP($H50,0),CB$2)-(INDEX(avoidedcosttbl3,ROUNDDOWN($H50,0),CB$2)))))*ADRYr3!P50*ADRYr3!Q50*ADRYr3!U50)</f>
        <v/>
      </c>
      <c r="CC50" s="28" t="str">
        <f>IF($G50="","",$G50*(IF(ADRYr3!$AI50=CC$4,ADRYr3!$AJ50,IF(ADRYr3!$AK50=CC$4,ADRYr3!$AL50,IF(ADRYr3!$AM50=CC$4,ADRYr3!$AN50,0))))*(INDEX(avoidedcosttbl3,$H50,CC$2)+(($H50-ROUNDDOWN($H50,0))*(INDEX(avoidedcosttbl3,ROUNDUP($H50,0),CC$2)-(INDEX(avoidedcosttbl3,ROUNDDOWN($H50,0),CC$2)))))*ADRYr3!P50*ADRYr3!Q50*ADRYr3!U50)</f>
        <v/>
      </c>
      <c r="CD50" s="28" t="str">
        <f>IF($G50="","",$G50*(IF(ADRYr3!$AI50=CD$4,ADRYr3!$AJ50,IF(ADRYr3!$AK50=CD$4,ADRYr3!$AL50,IF(ADRYr3!$AM50=CD$4,ADRYr3!$AN50,0))))*(INDEX(avoidedcosttbl3,$H50,CD$2)+(($H50-ROUNDDOWN($H50,0))*(INDEX(avoidedcosttbl3,ROUNDUP($H50,0),CD$2)-(INDEX(avoidedcosttbl3,ROUNDDOWN($H50,0),CD$2)))))*ADRYr3!P50*ADRYr3!Q50*ADRYr3!U50)</f>
        <v/>
      </c>
      <c r="CE50" s="28" t="str">
        <f>IF($G50="","",$G50*(IF(ADRYr3!$AI50=CE$4,ADRYr3!$AJ50,IF(ADRYr3!$AK50=CE$4,ADRYr3!$AL50,IF(ADRYr3!$AM50=CE$4,ADRYr3!$AN50,0))))*(INDEX(avoidedcosttbl3,$H50,CE$2)+(($H50-ROUNDDOWN($H50,0))*(INDEX(avoidedcosttbl3,ROUNDUP($H50,0),CE$2)-(INDEX(avoidedcosttbl3,ROUNDDOWN($H50,0),CE$2)))))*ADRYr3!P50*ADRYr3!Q50*ADRYr3!U50)</f>
        <v/>
      </c>
      <c r="CF50" s="41" t="str">
        <f t="shared" si="72"/>
        <v/>
      </c>
      <c r="CG50" s="30" t="str">
        <f t="shared" si="10"/>
        <v/>
      </c>
      <c r="CH50" s="30" t="str">
        <f>IF($G50="","",$G50*(IF(ADRYr3!$AI50=BY$4,ADRYr3!$AJ50,IF(ADRYr3!$AK50=BY$4,ADRYr3!$AL50,IF(ADRYr3!$AM50=BY$4,ADRYr3!$AN50,0))))*(INDEX(avoidedcosttbl3,$H50,CH$2)+(($H50-ROUNDDOWN($H50,0))*(INDEX(avoidedcosttbl3,ROUNDUP($H50,0),CH$2)-(INDEX(avoidedcosttbl3,ROUNDDOWN($H50,0),CH$2)))))*ADRYr3!P50*ADRYr3!Q50*ADRYr3!U50)</f>
        <v/>
      </c>
      <c r="CI50" s="30" t="str">
        <f>IF($G50="","",$G50*(IF(ADRYr3!$AI50=BZ$4,ADRYr3!$AJ50,IF(ADRYr3!$AK50=BZ$4,ADRYr3!$AL50,IF(ADRYr3!$AM50=BZ$4,ADRYr3!$AN50,0))))*(INDEX(avoidedcosttbl3,$H50,CI$2)+(($H50-ROUNDDOWN($H50,0))*(INDEX(avoidedcosttbl3,ROUNDUP($H50,0),CI$2)-(INDEX(avoidedcosttbl3,ROUNDDOWN($H50,0),CI$2)))))*ADRYr3!P50*ADRYr3!Q50*ADRYr3!U50)</f>
        <v/>
      </c>
      <c r="CJ50" s="30" t="str">
        <f>IF($G50="","",$G50*(IF(ADRYr3!$AI50=CA$4,ADRYr3!$AJ50,IF(ADRYr3!$AK50=CA$4,ADRYr3!$AL50,IF(ADRYr3!$AM50=CA$4,ADRYr3!$AN50,0))))*(INDEX(avoidedcosttbl3,$H50,CJ$2)+(($H50-ROUNDDOWN($H50,0))*(INDEX(avoidedcosttbl3,ROUNDUP($H50,0),CJ$2)-(INDEX(avoidedcosttbl3,ROUNDDOWN($H50,0),CJ$2)))))*ADRYr3!P50*ADRYr3!Q50*ADRYr3!U50)</f>
        <v/>
      </c>
      <c r="CK50" s="30" t="str">
        <f>IF($G50="","",$G50*(IF(ADRYr3!$AI50=CB$4,ADRYr3!$AJ50,IF(ADRYr3!$AK50=CB$4,ADRYr3!$AL50,IF(ADRYr3!$AM50=CB$4,ADRYr3!$AN50,0))))*(INDEX(avoidedcosttbl3,$H50,CK$2)+(($H50-ROUNDDOWN($H50,0))*(INDEX(avoidedcosttbl3,ROUNDUP($H50,0),CK$2)-(INDEX(avoidedcosttbl3,ROUNDDOWN($H50,0),CK$2)))))*ADRYr3!P50*ADRYr3!Q50*ADRYr3!U50)</f>
        <v/>
      </c>
      <c r="CL50" s="30" t="str">
        <f>IF($G50="","",$G50*(IF(ADRYr3!$AI50=CC$4,ADRYr3!$AJ50,IF(ADRYr3!$AK50=CC$4,ADRYr3!$AL50,IF(ADRYr3!$AM50=CC$4,ADRYr3!$AN50,0))))*(INDEX(avoidedcosttbl3,$H50,CL$2)+(($H50-ROUNDDOWN($H50,0))*(INDEX(avoidedcosttbl3,ROUNDUP($H50,0),CL$2)-(INDEX(avoidedcosttbl3,ROUNDDOWN($H50,0),CL$2)))))*ADRYr3!P50*ADRYr3!Q50*ADRYr3!U50)</f>
        <v/>
      </c>
      <c r="CM50" s="30" t="str">
        <f>IF($G50="","",$G50*(IF(ADRYr3!$AI50=CD$4,ADRYr3!$AJ50,IF(ADRYr3!$AK50=CD$4,ADRYr3!$AL50,IF(ADRYr3!$AM50=CD$4,ADRYr3!$AN50,0))))*(INDEX(avoidedcosttbl3,$H50,CM$2)+(($H50-ROUNDDOWN($H50,0))*(INDEX(avoidedcosttbl3,ROUNDUP($H50,0),CM$2)-(INDEX(avoidedcosttbl3,ROUNDDOWN($H50,0),CM$2)))))*ADRYr3!P50*ADRYr3!Q50*ADRYr3!U50)</f>
        <v/>
      </c>
      <c r="CN50" s="30" t="str">
        <f>IF($G50="","",$G50*(IF(ADRYr3!$AI50=CE$4,ADRYr3!$AJ50,IF(ADRYr3!$AK50=CE$4,ADRYr3!$AL50,IF(ADRYr3!$AM50=CE$4,ADRYr3!$AN50,0))))*(INDEX(avoidedcosttbl3,$H50,CN$2)+(($H50-ROUNDDOWN($H50,0))*(INDEX(avoidedcosttbl3,ROUNDUP($H50,0),CN$2)-(INDEX(avoidedcosttbl3,ROUNDDOWN($H50,0),CN$2)))))*ADRYr3!P50*ADRYr3!Q50*ADRYr3!U50)</f>
        <v/>
      </c>
      <c r="CO50" s="220" t="str">
        <f t="shared" si="73"/>
        <v/>
      </c>
      <c r="CP50" s="220" t="str">
        <f t="shared" si="74"/>
        <v/>
      </c>
      <c r="CQ50" s="157" t="str">
        <f>IF($G50="","",$G50*(IF(ADRYr3!$AI50=CQ$4,ADRYr3!$AJ50,IF(ADRYr3!$AK50=CQ$4,ADRYr3!$AL50,IF(ADRYr3!$AM50=CQ$4,ADRYr3!$AN50,0))))*(INDEX(avoidedcosttbl3,$H50,CQ$2)+(($H50-ROUNDDOWN($H50,0))*(INDEX(avoidedcosttbl3,ROUNDUP($H50,0),CQ$2)-(INDEX(avoidedcosttbl3,ROUNDDOWN($H50,0),CQ$2)))))*ADRYr3!$P50*ADRYr3!$Q50*ADRYr3!$U50)</f>
        <v/>
      </c>
      <c r="CR50" s="28" t="str">
        <f>IF($G50="","",G50*(IF(ADRYr3!$AI50=CR$4,ADRYr3!$AJ50,IF(ADRYr3!$AK50=CR$4,ADRYr3!$AL50,IF(ADRYr3!$AM50=CR$4,ADRYr3!$AN50,0))))*(INDEX(avoidedcosttbl3,$H50,CR$2)+(($H50-ROUNDDOWN($H50,0))*(INDEX(avoidedcosttbl3,ROUNDUP($H50,0),CR$2)-(INDEX(avoidedcosttbl3,ROUNDDOWN($H50,0),CR$2)))))*ADRYr3!$P50*ADRYr3!$Q50*ADRYr3!$U50)</f>
        <v/>
      </c>
      <c r="CS50" s="28" t="str">
        <f>IF($G50="","",G50*(IF(ADRYr3!$AI50=CS$4,ADRYr3!$AJ50,IF(ADRYr3!$AK50=CS$4,ADRYr3!$AL50,IF(ADRYr3!$AM50=CS$4,ADRYr3!$AN50,0))))*(INDEX(avoidedcosttbl3,$H50,CS$2)+(($H50-ROUNDDOWN($H50,0))*(INDEX(avoidedcosttbl3,ROUNDUP($H50,0),CS$2)-(INDEX(avoidedcosttbl3,ROUNDDOWN($H50,0),CS$2)))))*ADRYr3!$P50*ADRYr3!$Q50*ADRYr3!$U50)</f>
        <v/>
      </c>
      <c r="CT50" s="28" t="str">
        <f t="shared" si="11"/>
        <v/>
      </c>
      <c r="CU50" s="28" t="str">
        <f>IF($G50="","",G50*(IF(ADRYr3!$AI50=CU$4,ADRYr3!$AJ50,IF(ADRYr3!$AK50=CU$4,ADRYr3!$AL50,IF(ADRYr3!$AM50=CU$4,ADRYr3!$AN50,0))))*(INDEX(avoidedcosttbl3,$H50,CU$2)+(($H50-ROUNDDOWN($H50,0))*(INDEX(avoidedcosttbl3,ROUNDUP($H50,0),CU$2)-(INDEX(avoidedcosttbl3,ROUNDDOWN($H50,0),CU$2)))))*ADRYr3!$P50*ADRYr3!$Q50*ADRYr3!$U50)</f>
        <v/>
      </c>
      <c r="CV50" s="28" t="str">
        <f>IF($G50="","",G50*(IF(ADRYr3!$AI50=CV$4,ADRYr3!$AJ50,IF(ADRYr3!$AK50=CV$4,ADRYr3!$AL50,IF(ADRYr3!$AM50=CV$4,ADRYr3!$AN50,0))))*(INDEX(avoidedcosttbl3,$H50,CV$2)+(($H50-ROUNDDOWN($H50,0))*(INDEX(avoidedcosttbl3,ROUNDUP($H50,0),CV$2)-(INDEX(avoidedcosttbl3,ROUNDDOWN($H50,0),CV$2)))))*ADRYr3!$P50*ADRYr3!$Q50*ADRYr3!$U50)</f>
        <v/>
      </c>
      <c r="CW50" s="28" t="str">
        <f>IF($G50="","",G50*(IF(ADRYr3!$AI50=CW$4,ADRYr3!$AJ50,IF(ADRYr3!$AK50=CW$4,ADRYr3!$AL50,IF(ADRYr3!$AM50=CW$4,ADRYr3!$AN50,0))))*(INDEX(avoidedcosttbl3,$H50,CW$2)+(($H50-ROUNDDOWN($H50,0))*(INDEX(avoidedcosttbl3,ROUNDUP($H50,0),CW$2)-(INDEX(avoidedcosttbl3,ROUNDDOWN($H50,0),CW$2)))))*ADRYr3!$P50*ADRYr3!$Q50*ADRYr3!$U50)</f>
        <v/>
      </c>
      <c r="CX50" s="28" t="str">
        <f>IF($G50="","",G50*(IF(ADRYr3!$AI50=CX$4,ADRYr3!$AJ50,IF(ADRYr3!$AK50=CX$4,ADRYr3!$AL50,IF(ADRYr3!$AM50=CX$4,ADRYr3!$AN50,0))))*(INDEX(avoidedcosttbl3,$H50,CX$2)+(($H50-ROUNDDOWN($H50,0))*(INDEX(avoidedcosttbl3,ROUNDUP($H50,0),CX$2)-(INDEX(avoidedcosttbl3,ROUNDDOWN($H50,0),CX$2)))))*ADRYr3!$P50*ADRYr3!$Q50*ADRYr3!$U50)</f>
        <v/>
      </c>
      <c r="CY50" s="28" t="str">
        <f t="shared" si="75"/>
        <v/>
      </c>
      <c r="CZ50" s="32" t="str">
        <f t="shared" si="76"/>
        <v/>
      </c>
      <c r="DA50" s="84" t="str">
        <f t="shared" si="77"/>
        <v/>
      </c>
      <c r="DB50" s="81" t="str">
        <f>IF(NEIadder="Yes",IF($G50="","",INDEX(Lookups!$G$70:$G$71,MATCH($A50,Lookups!$E$70:$E$71,0))*(SUM(CP50:CX50,BX50))),"")</f>
        <v/>
      </c>
      <c r="DC50" s="263" t="str">
        <f t="shared" si="78"/>
        <v/>
      </c>
      <c r="DD50" s="166" t="str">
        <f t="shared" si="79"/>
        <v/>
      </c>
      <c r="DE50" s="82">
        <f t="shared" si="80"/>
        <v>0</v>
      </c>
      <c r="DF50" s="615" t="str">
        <f>IF($G50="","",(1+WntPeakEnergyLL)*(INDEX(avoidedcosttbl3,$H50,DF$2)+(($H50-ROUNDDOWN($H50,0))*(INDEX(avoidedcosttbl3,ROUNDUP($H50,0),DF$2)-(INDEX(avoidedcosttbl3,ROUNDDOWN($H50,0),DF$2)))))*$P50*1000*ADRYr3!Z50)</f>
        <v/>
      </c>
      <c r="DG50" s="615" t="str">
        <f>IF($G50="","",(1+WntOffPeakEnergyLL)*(INDEX(avoidedcosttbl3,$H50,DG$2)+(($H50-ROUNDDOWN($H50,0))*(INDEX(avoidedcosttbl3,ROUNDUP($H50,0),DG$2)-(INDEX(avoidedcosttbl3,ROUNDDOWN($H50,0),DG$2)))))*$P50*1000*ADRYr3!AA50)</f>
        <v/>
      </c>
      <c r="DH50" s="615" t="str">
        <f>IF($G50="","",(1+SumPeakEnergyLL)*(INDEX(avoidedcosttbl3,$H50,DH$2)+(($H50-ROUNDDOWN($H50,0))*(INDEX(avoidedcosttbl3,ROUNDUP($H50,0),DH$2)-(INDEX(avoidedcosttbl3,ROUNDDOWN($H50,0),DH$2)))))*$P50*1000*ADRYr3!AB50)</f>
        <v/>
      </c>
      <c r="DI50" s="615" t="str">
        <f>IF($G50="","",(1+SumOffPeakEnergyLL)*(INDEX(avoidedcosttbl3,$H50,DI$2)+(($H50-ROUNDDOWN($H50,0))*(INDEX(avoidedcosttbl3,ROUNDUP($H50,0),DI$2)-(INDEX(avoidedcosttbl3,ROUNDDOWN($H50,0),DI$2)))))*$P50*1000*ADRYr3!AC50)</f>
        <v/>
      </c>
      <c r="DJ50" s="29" t="str">
        <f t="shared" si="81"/>
        <v/>
      </c>
      <c r="DK50" s="161" t="str">
        <f t="shared" si="83"/>
        <v/>
      </c>
      <c r="DO50" s="966" t="str">
        <f>IF($G50="","",ADRYr3!AQ50)</f>
        <v/>
      </c>
      <c r="DP50" s="968" t="str">
        <f>IF($G50="","",ADRYr3!AR50)</f>
        <v/>
      </c>
      <c r="DQ50" s="970" t="str">
        <f>IF($G50="","",IF($DP50="Yes",COLUMN(AESC!$L$10),IF($DP50="No","Using AvoidedDemand tab",IF($DP50="Mixed",COLUMN(AESC!$N$10)))))</f>
        <v/>
      </c>
      <c r="DR50" s="970" t="str">
        <f>IF($G50="","",IF($DP50="Yes",COLUMN(AESC!$P$10),IF($DP50="No","Using AvoidedDemand tab",IF($DP50="Mixed",COLUMN(AESC!$R$10)))))</f>
        <v/>
      </c>
      <c r="DS50" s="970" t="str">
        <f>IF($G50="","",IF($DP50="Yes",COLUMN(AESC!$S$10),IF($DP50="No",COLUMN(AESC!$T$10),IF($DP50="Mixed",COLUMN(AESC!$U$10)))))</f>
        <v/>
      </c>
      <c r="DT50" s="970" t="str">
        <f t="shared" si="49"/>
        <v/>
      </c>
      <c r="DU50" s="970" t="str">
        <f>IF($G50="","",ADRYr3!AS50)</f>
        <v/>
      </c>
      <c r="DV50" s="971" t="str">
        <f>IF($G50="","",ADRYr3!AT50)</f>
        <v/>
      </c>
      <c r="DW50" s="1162" t="str">
        <f>IF($G50="","",INDEX(AvoidedEnergy!$H$4:$H$10,MATCH($DO50,AvoidedEnergy!$A$4:$A$10,0)))</f>
        <v/>
      </c>
    </row>
    <row r="54" spans="1:127">
      <c r="BS54" s="13">
        <f>INDEX(avoidedcosttbl,$H29,DS$5)</f>
        <v>0</v>
      </c>
    </row>
  </sheetData>
  <autoFilter ref="A4:DO39" xr:uid="{E8C91266-49C9-443D-8476-C6B2F3412551}"/>
  <mergeCells count="21">
    <mergeCell ref="DO3:DW3"/>
    <mergeCell ref="DB3:DE3"/>
    <mergeCell ref="DF3:DJ3"/>
    <mergeCell ref="BI3:BN3"/>
    <mergeCell ref="BP3:BW3"/>
    <mergeCell ref="BY3:CF3"/>
    <mergeCell ref="CG3:CO3"/>
    <mergeCell ref="CQ3:CZ3"/>
    <mergeCell ref="BD3:BH3"/>
    <mergeCell ref="A3:H3"/>
    <mergeCell ref="I3:K3"/>
    <mergeCell ref="L3:U3"/>
    <mergeCell ref="V3:Z3"/>
    <mergeCell ref="AA3:AD3"/>
    <mergeCell ref="AE3:AH3"/>
    <mergeCell ref="AI3:AL3"/>
    <mergeCell ref="AM3:AP3"/>
    <mergeCell ref="AQ3:AT3"/>
    <mergeCell ref="AU3:AX3"/>
    <mergeCell ref="AY3:AZ3"/>
    <mergeCell ref="BA3:BC3"/>
  </mergeCells>
  <phoneticPr fontId="28" type="noConversion"/>
  <conditionalFormatting sqref="J2:L2 J3:K3">
    <cfRule type="expression" dxfId="3" priority="1" stopIfTrue="1">
      <formula>ISBLANK($K2)</formula>
    </cfRule>
    <cfRule type="expression" dxfId="2" priority="2" stopIfTrue="1">
      <formula>$J2=0</formula>
    </cfRule>
  </conditionalFormatting>
  <conditionalFormatting sqref="J1:K1">
    <cfRule type="expression" dxfId="1" priority="3" stopIfTrue="1">
      <formula>ISBLANK($J1)</formula>
    </cfRule>
    <cfRule type="expression" dxfId="0" priority="4" stopIfTrue="1">
      <formula>$B1=0</formula>
    </cfRule>
  </conditionalFormatting>
  <dataValidations disablePrompts="1" count="1">
    <dataValidation type="whole" allowBlank="1" showInputMessage="1" showErrorMessage="1" errorTitle="Whole Numbers Only" error="NTG and Impact Factors should be entered as whole numbers, no decimals." sqref="R5:R50" xr:uid="{C49E75ED-8FB8-4A5A-984D-FB1456804357}">
      <formula1>0</formula1>
      <formula2>500</formula2>
    </dataValidation>
  </dataValidations>
  <pageMargins left="0.5" right="0.5" top="1" bottom="1" header="0.5" footer="0.5"/>
  <pageSetup scale="13" fitToHeight="3" orientation="landscape" r:id="rId1"/>
  <headerFooter alignWithMargins="0">
    <oddFooter>&amp;L&amp;Z&amp;F&amp;R&amp;D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8"/>
  </sheetPr>
  <dimension ref="A1:CS23"/>
  <sheetViews>
    <sheetView showGridLines="0" zoomScale="80" zoomScaleNormal="80" zoomScaleSheetLayoutView="70" workbookViewId="0">
      <pane xSplit="7" ySplit="1" topLeftCell="H2" activePane="bottomRight" state="frozen"/>
      <selection activeCell="E3" sqref="E3"/>
      <selection pane="topRight" activeCell="E3" sqref="E3"/>
      <selection pane="bottomLeft" activeCell="E3" sqref="E3"/>
      <selection pane="bottomRight" activeCell="CQ13" sqref="H2:CQ13"/>
    </sheetView>
  </sheetViews>
  <sheetFormatPr defaultColWidth="10" defaultRowHeight="14.25" outlineLevelCol="1"/>
  <cols>
    <col min="1" max="1" width="9.140625" style="153" customWidth="1"/>
    <col min="2" max="2" width="15.7109375" style="153" customWidth="1" outlineLevel="1"/>
    <col min="3" max="3" width="7.28515625" style="153" customWidth="1"/>
    <col min="4" max="4" width="10.42578125" style="153" customWidth="1"/>
    <col min="5" max="5" width="23.5703125" style="153" customWidth="1" outlineLevel="1"/>
    <col min="6" max="6" width="31.5703125" style="153" customWidth="1" outlineLevel="1"/>
    <col min="7" max="7" width="29.7109375" style="153" customWidth="1"/>
    <col min="8" max="28" width="17.7109375" style="153" customWidth="1"/>
    <col min="29" max="58" width="17.7109375" style="153" customWidth="1" outlineLevel="1"/>
    <col min="59" max="59" width="17.7109375" style="153" customWidth="1" outlineLevel="1" collapsed="1"/>
    <col min="60" max="62" width="17.7109375" style="153" customWidth="1" outlineLevel="1"/>
    <col min="63" max="73" width="17.7109375" style="153" customWidth="1"/>
    <col min="74" max="82" width="17.7109375" style="153" customWidth="1" outlineLevel="1"/>
    <col min="83" max="83" width="17.7109375" style="170" customWidth="1" outlineLevel="1"/>
    <col min="84" max="88" width="17.7109375" style="153" customWidth="1"/>
    <col min="89" max="92" width="18.28515625" style="153" customWidth="1"/>
    <col min="93" max="94" width="18.28515625" style="167" customWidth="1"/>
    <col min="95" max="95" width="18.28515625" style="153" customWidth="1"/>
    <col min="96" max="96" width="2.7109375" style="153" customWidth="1"/>
    <col min="97" max="97" width="18.85546875" style="619" bestFit="1" customWidth="1"/>
    <col min="98" max="16384" width="10" style="153"/>
  </cols>
  <sheetData>
    <row r="1" spans="1:97" s="145" customFormat="1" ht="63" customHeight="1">
      <c r="A1" s="143" t="s">
        <v>238</v>
      </c>
      <c r="B1" s="143" t="s">
        <v>212</v>
      </c>
      <c r="C1" s="144" t="s">
        <v>74</v>
      </c>
      <c r="D1" s="144" t="s">
        <v>213</v>
      </c>
      <c r="E1" s="144" t="s">
        <v>5</v>
      </c>
      <c r="F1" s="144" t="s">
        <v>431</v>
      </c>
      <c r="G1" s="144" t="s">
        <v>430</v>
      </c>
      <c r="H1" s="262" t="s">
        <v>282</v>
      </c>
      <c r="I1" s="262" t="s">
        <v>283</v>
      </c>
      <c r="J1" s="262" t="s">
        <v>287</v>
      </c>
      <c r="K1" s="262" t="s">
        <v>284</v>
      </c>
      <c r="L1" s="262" t="s">
        <v>285</v>
      </c>
      <c r="M1" s="262" t="s">
        <v>286</v>
      </c>
      <c r="N1" s="109" t="s">
        <v>121</v>
      </c>
      <c r="O1" s="109" t="s">
        <v>988</v>
      </c>
      <c r="P1" s="109" t="s">
        <v>122</v>
      </c>
      <c r="Q1" s="109" t="s">
        <v>989</v>
      </c>
      <c r="R1" s="109" t="s">
        <v>123</v>
      </c>
      <c r="S1" s="109" t="s">
        <v>990</v>
      </c>
      <c r="T1" s="109" t="s">
        <v>124</v>
      </c>
      <c r="U1" s="109" t="s">
        <v>991</v>
      </c>
      <c r="V1" s="109" t="s">
        <v>118</v>
      </c>
      <c r="W1" s="109" t="s">
        <v>125</v>
      </c>
      <c r="X1" s="109" t="s">
        <v>234</v>
      </c>
      <c r="Y1" s="109" t="s">
        <v>241</v>
      </c>
      <c r="Z1" s="109" t="s">
        <v>242</v>
      </c>
      <c r="AA1" s="109" t="s">
        <v>290</v>
      </c>
      <c r="AB1" s="109" t="s">
        <v>251</v>
      </c>
      <c r="AC1" s="109" t="s">
        <v>243</v>
      </c>
      <c r="AD1" s="109" t="s">
        <v>249</v>
      </c>
      <c r="AE1" s="109" t="s">
        <v>244</v>
      </c>
      <c r="AF1" s="109" t="s">
        <v>245</v>
      </c>
      <c r="AG1" s="109" t="s">
        <v>289</v>
      </c>
      <c r="AH1" s="109" t="s">
        <v>253</v>
      </c>
      <c r="AI1" s="109" t="s">
        <v>246</v>
      </c>
      <c r="AJ1" s="109" t="s">
        <v>247</v>
      </c>
      <c r="AK1" s="109" t="s">
        <v>288</v>
      </c>
      <c r="AL1" s="109" t="s">
        <v>252</v>
      </c>
      <c r="AM1" s="109" t="s">
        <v>248</v>
      </c>
      <c r="AN1" s="109" t="s">
        <v>315</v>
      </c>
      <c r="AO1" s="109" t="s">
        <v>235</v>
      </c>
      <c r="AP1" s="109" t="s">
        <v>316</v>
      </c>
      <c r="AQ1" s="109" t="s">
        <v>317</v>
      </c>
      <c r="AR1" s="109" t="s">
        <v>318</v>
      </c>
      <c r="AS1" s="109" t="s">
        <v>319</v>
      </c>
      <c r="AT1" s="109" t="s">
        <v>320</v>
      </c>
      <c r="AU1" s="109" t="s">
        <v>321</v>
      </c>
      <c r="AV1" s="109" t="s">
        <v>322</v>
      </c>
      <c r="AW1" s="109" t="s">
        <v>323</v>
      </c>
      <c r="AX1" s="109" t="s">
        <v>324</v>
      </c>
      <c r="AY1" s="109" t="s">
        <v>325</v>
      </c>
      <c r="AZ1" s="109" t="s">
        <v>326</v>
      </c>
      <c r="BA1" s="109" t="s">
        <v>327</v>
      </c>
      <c r="BB1" s="109" t="s">
        <v>328</v>
      </c>
      <c r="BC1" s="109" t="s">
        <v>275</v>
      </c>
      <c r="BD1" s="109" t="s">
        <v>276</v>
      </c>
      <c r="BE1" s="109" t="s">
        <v>215</v>
      </c>
      <c r="BF1" s="109" t="s">
        <v>232</v>
      </c>
      <c r="BG1" s="109" t="s">
        <v>171</v>
      </c>
      <c r="BH1" s="109" t="s">
        <v>172</v>
      </c>
      <c r="BI1" s="109" t="s">
        <v>173</v>
      </c>
      <c r="BJ1" s="109" t="s">
        <v>174</v>
      </c>
      <c r="BK1" s="109" t="s">
        <v>236</v>
      </c>
      <c r="BL1" s="109" t="s">
        <v>237</v>
      </c>
      <c r="BM1" s="109" t="s">
        <v>126</v>
      </c>
      <c r="BN1" s="109" t="s">
        <v>127</v>
      </c>
      <c r="BO1" s="109" t="s">
        <v>332</v>
      </c>
      <c r="BP1" s="109" t="s">
        <v>130</v>
      </c>
      <c r="BQ1" s="109" t="s">
        <v>503</v>
      </c>
      <c r="BR1" s="109" t="s">
        <v>504</v>
      </c>
      <c r="BS1" s="109" t="s">
        <v>128</v>
      </c>
      <c r="BT1" s="109" t="s">
        <v>129</v>
      </c>
      <c r="BU1" s="109" t="s">
        <v>131</v>
      </c>
      <c r="BV1" s="109" t="s">
        <v>132</v>
      </c>
      <c r="BW1" s="109" t="s">
        <v>133</v>
      </c>
      <c r="BX1" s="109" t="s">
        <v>119</v>
      </c>
      <c r="BY1" s="109" t="s">
        <v>134</v>
      </c>
      <c r="BZ1" s="109" t="s">
        <v>505</v>
      </c>
      <c r="CA1" s="109" t="s">
        <v>329</v>
      </c>
      <c r="CB1" s="109" t="s">
        <v>666</v>
      </c>
      <c r="CC1" s="109" t="s">
        <v>330</v>
      </c>
      <c r="CD1" s="109" t="s">
        <v>331</v>
      </c>
      <c r="CE1" s="169" t="s">
        <v>135</v>
      </c>
      <c r="CF1" s="109" t="s">
        <v>120</v>
      </c>
      <c r="CG1" s="109" t="s">
        <v>136</v>
      </c>
      <c r="CH1" s="109" t="s">
        <v>517</v>
      </c>
      <c r="CI1" s="109" t="s">
        <v>226</v>
      </c>
      <c r="CJ1" s="109" t="s">
        <v>917</v>
      </c>
      <c r="CK1" s="109" t="s">
        <v>895</v>
      </c>
      <c r="CL1" s="109" t="s">
        <v>896</v>
      </c>
      <c r="CM1" s="109" t="s">
        <v>897</v>
      </c>
      <c r="CN1" s="109" t="s">
        <v>898</v>
      </c>
      <c r="CO1" s="678" t="s">
        <v>389</v>
      </c>
      <c r="CP1" s="678" t="s">
        <v>156</v>
      </c>
      <c r="CQ1" s="679" t="s">
        <v>395</v>
      </c>
      <c r="CS1" s="618" t="s">
        <v>667</v>
      </c>
    </row>
    <row r="2" spans="1:97" s="154" customFormat="1">
      <c r="A2" s="154" t="str">
        <f>Lookups!F$8</f>
        <v>Electric</v>
      </c>
      <c r="B2" s="154" t="str">
        <f>Lookups!F$9</f>
        <v>Unitil Energy Systems Inc</v>
      </c>
      <c r="C2" s="154">
        <f>Year1</f>
        <v>2024</v>
      </c>
      <c r="D2" s="624" t="str">
        <f>Lookups!F$10</f>
        <v>Planned</v>
      </c>
      <c r="E2" s="146" t="str">
        <f>Lookups!$E$70</f>
        <v>A - Residential</v>
      </c>
      <c r="F2" s="146" t="s">
        <v>902</v>
      </c>
      <c r="G2" s="146" t="s">
        <v>904</v>
      </c>
      <c r="H2" s="147">
        <f>SUMIFS(Costs!E$5:E$99,Costs!$A$5:$A$99,$C2,Costs!$D$5:$D$99,$G2)</f>
        <v>1330.1268000000002</v>
      </c>
      <c r="I2" s="147">
        <f>SUMIFS(Costs!F$5:F$99,Costs!$A$5:$A$99,$C2,Costs!$D$5:$D$99,$G2)</f>
        <v>201</v>
      </c>
      <c r="J2" s="147">
        <f>SUMIFS(Costs!G$5:G$99,Costs!$A$5:$A$99,$C2,Costs!$D$5:$D$99,$G2)</f>
        <v>40000</v>
      </c>
      <c r="K2" s="147">
        <f>SUMIFS(Costs!H$5:H$99,Costs!$A$5:$A$99,$C2,Costs!$D$5:$D$99,$G2)</f>
        <v>27538</v>
      </c>
      <c r="L2" s="147">
        <f>SUMIFS(Costs!I$5:I$99,Costs!$A$5:$A$99,$C2,Costs!$D$5:$D$99,$G2)</f>
        <v>931</v>
      </c>
      <c r="M2" s="147">
        <f>SUMIFS(Costs!J$5:J$99,Costs!$A$5:$A$99,$C2,Costs!$D$5:$D$99,$G2)</f>
        <v>0</v>
      </c>
      <c r="N2" s="148">
        <f>SUM(H2:M2)</f>
        <v>70000.126799999998</v>
      </c>
      <c r="O2" s="148">
        <f>IF($C2=Year1,N2,IF($C2=Year2,N2/(1+nomdiscrt2),IF($C2=Year3,N2/(1+nomdiscrt3)^2,"")))</f>
        <v>70000.126799999998</v>
      </c>
      <c r="P2" s="147">
        <f>SUMIFS(Costs!K$5:K$99,Costs!$A$5:$A$99,$C2,Costs!$D$5:$D$99,$G2)</f>
        <v>0</v>
      </c>
      <c r="Q2" s="148">
        <f>IF($C2=Year1,P2,IF($C2=Year2,P2/(1+nomdiscrt2),IF($C2=Year3,P2/(1+nomdiscrt3)^2,"")))</f>
        <v>0</v>
      </c>
      <c r="R2" s="147">
        <f ca="1">IF($G2="",0,SUMIFS(INDIRECT($CS2&amp;R$16),INDIRECT($CS2&amp;"C:C"),$G2))</f>
        <v>0</v>
      </c>
      <c r="S2" s="148">
        <f ca="1">IF($C2=Year1,R2,IF($C2=Year2,R2/(1+nomdiscrt2),IF($C2=Year3,R2/(1+nomdiscrt3)^2,"")))</f>
        <v>0</v>
      </c>
      <c r="T2" s="148">
        <f ca="1">SUM(N2,P2,R2)</f>
        <v>70000.126799999998</v>
      </c>
      <c r="U2" s="148">
        <f ca="1">IF($C2=Year1,T2,IF($C2=Year2,T2/(1+nomdiscrt2),IF($C2=Year3,T2/(1+nomdiscrt3)^2,"")))</f>
        <v>70000.126799999998</v>
      </c>
      <c r="V2" s="149"/>
      <c r="W2" s="150">
        <f t="shared" ref="W2:AD4" ca="1" si="0">IF($G2="",0,SUMIFS(INDIRECT($CS2&amp;W$16),INDIRECT($CS2&amp;"C:C"),$G2))</f>
        <v>0</v>
      </c>
      <c r="X2" s="150">
        <f t="shared" ca="1" si="0"/>
        <v>638</v>
      </c>
      <c r="Y2" s="150">
        <f t="shared" ca="1" si="0"/>
        <v>0</v>
      </c>
      <c r="Z2" s="150">
        <f t="shared" ca="1" si="0"/>
        <v>0</v>
      </c>
      <c r="AA2" s="150">
        <f t="shared" ca="1" si="0"/>
        <v>0</v>
      </c>
      <c r="AB2" s="150">
        <f t="shared" ca="1" si="0"/>
        <v>0</v>
      </c>
      <c r="AC2" s="150">
        <f t="shared" ca="1" si="0"/>
        <v>0</v>
      </c>
      <c r="AD2" s="150">
        <f t="shared" ca="1" si="0"/>
        <v>0</v>
      </c>
      <c r="AE2" s="151">
        <f t="shared" ref="AE2:AF4" ca="1" si="1">AC2*10</f>
        <v>0</v>
      </c>
      <c r="AF2" s="151">
        <f t="shared" ca="1" si="1"/>
        <v>0</v>
      </c>
      <c r="AG2" s="622">
        <f t="shared" ref="AG2:AH4" ca="1" si="2">IF($G2="",0,SUMIFS(INDIRECT($CS2&amp;AG$16),INDIRECT($CS2&amp;"C:C"),$G2))*10</f>
        <v>0</v>
      </c>
      <c r="AH2" s="622">
        <f t="shared" ca="1" si="2"/>
        <v>0</v>
      </c>
      <c r="AI2" s="150">
        <f t="shared" ref="AI2:AR4" ca="1" si="3">IF($G2="",0,SUMIFS(INDIRECT($CS2&amp;AI$16),INDIRECT($CS2&amp;"C:C"),$G2))</f>
        <v>0</v>
      </c>
      <c r="AJ2" s="150">
        <f t="shared" ca="1" si="3"/>
        <v>0</v>
      </c>
      <c r="AK2" s="150">
        <f t="shared" ca="1" si="3"/>
        <v>0</v>
      </c>
      <c r="AL2" s="150">
        <f t="shared" ca="1" si="3"/>
        <v>0</v>
      </c>
      <c r="AM2" s="150">
        <f t="shared" ca="1" si="3"/>
        <v>0</v>
      </c>
      <c r="AN2" s="150">
        <f t="shared" ca="1" si="3"/>
        <v>0</v>
      </c>
      <c r="AO2" s="150">
        <f t="shared" ca="1" si="3"/>
        <v>0</v>
      </c>
      <c r="AP2" s="150">
        <f t="shared" ca="1" si="3"/>
        <v>0</v>
      </c>
      <c r="AQ2" s="150">
        <f t="shared" ca="1" si="3"/>
        <v>0</v>
      </c>
      <c r="AR2" s="150">
        <f t="shared" ca="1" si="3"/>
        <v>0</v>
      </c>
      <c r="AS2" s="150">
        <f t="shared" ref="AS2:BD4" ca="1" si="4">IF($G2="",0,SUMIFS(INDIRECT($CS2&amp;AS$16),INDIRECT($CS2&amp;"C:C"),$G2))</f>
        <v>0</v>
      </c>
      <c r="AT2" s="150">
        <f t="shared" ca="1" si="4"/>
        <v>0</v>
      </c>
      <c r="AU2" s="150">
        <f t="shared" ca="1" si="4"/>
        <v>0</v>
      </c>
      <c r="AV2" s="150">
        <f t="shared" ca="1" si="4"/>
        <v>0</v>
      </c>
      <c r="AW2" s="150">
        <f t="shared" ca="1" si="4"/>
        <v>0</v>
      </c>
      <c r="AX2" s="150">
        <f t="shared" ca="1" si="4"/>
        <v>0</v>
      </c>
      <c r="AY2" s="150">
        <f t="shared" ca="1" si="4"/>
        <v>0</v>
      </c>
      <c r="AZ2" s="150">
        <f t="shared" ca="1" si="4"/>
        <v>0</v>
      </c>
      <c r="BA2" s="150">
        <f t="shared" ca="1" si="4"/>
        <v>0</v>
      </c>
      <c r="BB2" s="150">
        <f t="shared" ca="1" si="4"/>
        <v>0</v>
      </c>
      <c r="BC2" s="150">
        <f t="shared" ca="1" si="4"/>
        <v>0</v>
      </c>
      <c r="BD2" s="150">
        <f t="shared" ca="1" si="4"/>
        <v>0</v>
      </c>
      <c r="BE2" s="622">
        <f ca="1">IF($G2="",0,SUMIFS(INDIRECT($CS2&amp;BE$16),INDIRECT($CS2&amp;"C:C"),$G2))+IF($G2="",0,SUMIFS(INDIRECT($CS2&amp;BE$18),INDIRECT($CS2&amp;"C:C"),$G2))</f>
        <v>0</v>
      </c>
      <c r="BF2" s="150">
        <f t="shared" ref="BF2:BL4" ca="1" si="5">IF($G2="",0,SUMIFS(INDIRECT($CS2&amp;BF$16),INDIRECT($CS2&amp;"C:C"),$G2))</f>
        <v>0</v>
      </c>
      <c r="BG2" s="150">
        <f t="shared" ca="1" si="5"/>
        <v>0</v>
      </c>
      <c r="BH2" s="150">
        <f t="shared" ca="1" si="5"/>
        <v>0</v>
      </c>
      <c r="BI2" s="150">
        <f t="shared" ca="1" si="5"/>
        <v>0</v>
      </c>
      <c r="BJ2" s="150">
        <f t="shared" ca="1" si="5"/>
        <v>0</v>
      </c>
      <c r="BK2" s="150">
        <f t="shared" ca="1" si="5"/>
        <v>0</v>
      </c>
      <c r="BL2" s="150">
        <f t="shared" ca="1" si="5"/>
        <v>0</v>
      </c>
      <c r="BM2" s="1083">
        <f ca="1">SUM(BK2:BL2)</f>
        <v>0</v>
      </c>
      <c r="BN2" s="150">
        <f t="shared" ref="BN2:BT4" ca="1" si="6">IF($G2="",0,SUMIFS(INDIRECT($CS2&amp;BN$16),INDIRECT($CS2&amp;"C:C"),$G2))</f>
        <v>4760.1765138889677</v>
      </c>
      <c r="BO2" s="150">
        <f t="shared" ca="1" si="6"/>
        <v>0</v>
      </c>
      <c r="BP2" s="150">
        <f t="shared" ca="1" si="6"/>
        <v>2048.4290622761969</v>
      </c>
      <c r="BQ2" s="150">
        <f t="shared" ca="1" si="6"/>
        <v>0</v>
      </c>
      <c r="BR2" s="150">
        <f t="shared" ca="1" si="6"/>
        <v>63937.809186869708</v>
      </c>
      <c r="BS2" s="150">
        <f t="shared" ca="1" si="6"/>
        <v>0</v>
      </c>
      <c r="BT2" s="150">
        <f t="shared" ca="1" si="6"/>
        <v>77734.104427107464</v>
      </c>
      <c r="BU2" s="152">
        <f ca="1">SUM(BN2:BT2)</f>
        <v>148480.51919014234</v>
      </c>
      <c r="BV2" s="150">
        <f t="shared" ref="BV2:BW4" ca="1" si="7">IF($G2="",0,SUMIFS(INDIRECT($CS2&amp;BV$16),INDIRECT($CS2&amp;"C:C"),$G2))</f>
        <v>0</v>
      </c>
      <c r="BW2" s="150">
        <f t="shared" ca="1" si="7"/>
        <v>0</v>
      </c>
      <c r="BX2" s="152">
        <f ca="1">SUM(BV2:BW2)</f>
        <v>0</v>
      </c>
      <c r="BY2" s="622">
        <f ca="1">IF($G2="",0,SUMIFS(INDIRECT($CS2&amp;BY$16),INDIRECT($CS2&amp;"C:C"),$G2))+IF($G2="",0,SUMIFS(INDIRECT($CS2&amp;BY$18),INDIRECT($CS2&amp;"C:C"),$G2))+IF($G2="",0,SUMIFS(INDIRECT($CS2&amp;BY$20),INDIRECT($CS2&amp;"C:C"),$G2))</f>
        <v>0</v>
      </c>
      <c r="BZ2" s="150">
        <f t="shared" ref="BZ2:CD4" ca="1" si="8">IF($G2="",0,SUMIFS(INDIRECT($CS2&amp;BZ$16),INDIRECT($CS2&amp;"C:C"),$G2))</f>
        <v>0</v>
      </c>
      <c r="CA2" s="150">
        <f t="shared" ca="1" si="8"/>
        <v>0</v>
      </c>
      <c r="CB2" s="150">
        <f t="shared" ca="1" si="8"/>
        <v>0</v>
      </c>
      <c r="CC2" s="150">
        <f t="shared" ca="1" si="8"/>
        <v>0</v>
      </c>
      <c r="CD2" s="150">
        <f t="shared" ca="1" si="8"/>
        <v>0</v>
      </c>
      <c r="CE2" s="622">
        <f ca="1">IF($G2="",0,SUMIFS(INDIRECT($CS2&amp;CE$16),INDIRECT($CS2&amp;"C:C"),$G2))+IF($G2="",0,SUMIFS(INDIRECT($CS2&amp;CE$18),INDIRECT($CS2&amp;"C:C"),$G2))</f>
        <v>0</v>
      </c>
      <c r="CF2" s="152">
        <f ca="1">SUM(BY2:CE2)</f>
        <v>0</v>
      </c>
      <c r="CG2" s="152">
        <f ca="1">SUM(BM2,BU2,BX2,CF2)</f>
        <v>148480.51919014234</v>
      </c>
      <c r="CH2" s="150">
        <f ca="1">IF($G2="",0,SUMIFS(INDIRECT($CS2&amp;CH$16),INDIRECT($CS2&amp;"C:C"),$G2))+IF($G2="",0,SUMIFS(INDIRECT($CS2&amp;CH$18),INDIRECT($CS2&amp;"C:C"),$G2))</f>
        <v>0</v>
      </c>
      <c r="CI2" s="1211">
        <f t="shared" ref="CI2:CJ4" ca="1" si="9">IF($G2="",0,SUMIFS(INDIRECT($CS2&amp;CI$16),INDIRECT($CS2&amp;"C:C"),$G2))</f>
        <v>0</v>
      </c>
      <c r="CJ2" s="1211">
        <f t="shared" ca="1" si="9"/>
        <v>0</v>
      </c>
      <c r="CK2" s="152">
        <f ca="1">SUM(CG2+CI2)</f>
        <v>148480.51919014234</v>
      </c>
      <c r="CL2" s="152">
        <f ca="1">IF(LEFT(G2, 1)="B",  SUM(CG2,CI2),SUM(CG2,CH2))</f>
        <v>148480.51919014234</v>
      </c>
      <c r="CM2" s="152">
        <f ca="1">SUM(BM2,BU2)</f>
        <v>148480.51919014234</v>
      </c>
      <c r="CN2" s="152">
        <f ca="1">SUM(CG2,CI2,CJ2)</f>
        <v>148480.51919014234</v>
      </c>
      <c r="CO2" s="167">
        <f ca="1">BL2+BP2</f>
        <v>2048.4290622761969</v>
      </c>
      <c r="CP2" s="168">
        <f ca="1">BW2</f>
        <v>0</v>
      </c>
      <c r="CQ2" s="623">
        <f ca="1">SUM(BY2:CD2)</f>
        <v>0</v>
      </c>
      <c r="CS2" s="619" t="str">
        <f t="shared" ref="CS2:CS13" si="10">IF(C2="","","'CalcsYr"&amp;IF($C2=Year1,1,IF($C2=Year2,2,IF($C2=Year3,3,"")))&amp;"'!")</f>
        <v>'CalcsYr1'!</v>
      </c>
    </row>
    <row r="3" spans="1:97" s="154" customFormat="1">
      <c r="A3" s="154" t="str">
        <f>Lookups!F$8</f>
        <v>Electric</v>
      </c>
      <c r="B3" s="154" t="str">
        <f>Lookups!F$9</f>
        <v>Unitil Energy Systems Inc</v>
      </c>
      <c r="C3" s="154">
        <f>Year1</f>
        <v>2024</v>
      </c>
      <c r="D3" s="624" t="str">
        <f>Lookups!F$10</f>
        <v>Planned</v>
      </c>
      <c r="E3" s="146" t="str">
        <f>Lookups!$E$72</f>
        <v>B - Low-Income</v>
      </c>
      <c r="F3" s="146" t="s">
        <v>268</v>
      </c>
      <c r="G3" s="146"/>
      <c r="H3" s="147">
        <f>SUMIFS(Costs!E$5:E$99,Costs!$A$5:$A$99,$C3,Costs!$D$5:$D$99,$G3)</f>
        <v>0</v>
      </c>
      <c r="I3" s="147">
        <f>SUMIFS(Costs!F$5:F$99,Costs!$A$5:$A$99,$C3,Costs!$D$5:$D$99,$G3)</f>
        <v>0</v>
      </c>
      <c r="J3" s="147">
        <f>SUMIFS(Costs!G$5:G$99,Costs!$A$5:$A$99,$C3,Costs!$D$5:$D$99,$G3)</f>
        <v>0</v>
      </c>
      <c r="K3" s="147">
        <f>SUMIFS(Costs!H$5:H$99,Costs!$A$5:$A$99,$C3,Costs!$D$5:$D$99,$G3)</f>
        <v>0</v>
      </c>
      <c r="L3" s="147">
        <f>SUMIFS(Costs!I$5:I$99,Costs!$A$5:$A$99,$C3,Costs!$D$5:$D$99,$G3)</f>
        <v>0</v>
      </c>
      <c r="M3" s="147">
        <f>SUMIFS(Costs!J$5:J$99,Costs!$A$5:$A$99,$C3,Costs!$D$5:$D$99,$G3)</f>
        <v>0</v>
      </c>
      <c r="N3" s="148">
        <f>SUM(H3:M3)</f>
        <v>0</v>
      </c>
      <c r="O3" s="148">
        <f>IF($C3=Year1,N3,IF($C3=Year2,N3/(1+nomdiscrt2),IF($C3=Year3,N3/(1+nomdiscrt3)^2,"")))</f>
        <v>0</v>
      </c>
      <c r="P3" s="147">
        <f>SUMIFS(Costs!K$5:K$99,Costs!$A$5:$A$99,$C3,Costs!$D$5:$D$99,$G3)</f>
        <v>0</v>
      </c>
      <c r="Q3" s="148">
        <f>IF($C3=Year1,P3,IF($C3=Year2,P3/(1+nomdiscrt2),IF($C3=Year3,P3/(1+nomdiscrt3)^2,"")))</f>
        <v>0</v>
      </c>
      <c r="R3" s="147">
        <f ca="1">IF($G3="",0,SUMIFS(INDIRECT($CS3&amp;R$16),INDIRECT($CS3&amp;"C:C"),$G3))</f>
        <v>0</v>
      </c>
      <c r="S3" s="148">
        <f ca="1">IF($C3=Year1,R3,IF($C3=Year2,R3/(1+nomdiscrt2),IF($C3=Year3,R3/(1+nomdiscrt3)^2,"")))</f>
        <v>0</v>
      </c>
      <c r="T3" s="148">
        <f ca="1">SUM(N3,P3,R3)</f>
        <v>0</v>
      </c>
      <c r="U3" s="148">
        <f ca="1">IF($C3=Year1,T3,IF($C3=Year2,T3/(1+nomdiscrt2),IF($C3=Year3,T3/(1+nomdiscrt3)^2,"")))</f>
        <v>0</v>
      </c>
      <c r="V3" s="149"/>
      <c r="W3" s="150">
        <f t="shared" ca="1" si="0"/>
        <v>0</v>
      </c>
      <c r="X3" s="150">
        <f t="shared" ca="1" si="0"/>
        <v>0</v>
      </c>
      <c r="Y3" s="150">
        <f t="shared" ca="1" si="0"/>
        <v>0</v>
      </c>
      <c r="Z3" s="150">
        <f t="shared" ca="1" si="0"/>
        <v>0</v>
      </c>
      <c r="AA3" s="150">
        <f t="shared" ca="1" si="0"/>
        <v>0</v>
      </c>
      <c r="AB3" s="150">
        <f t="shared" ca="1" si="0"/>
        <v>0</v>
      </c>
      <c r="AC3" s="150">
        <f t="shared" ca="1" si="0"/>
        <v>0</v>
      </c>
      <c r="AD3" s="150">
        <f t="shared" ca="1" si="0"/>
        <v>0</v>
      </c>
      <c r="AE3" s="151">
        <f t="shared" ca="1" si="1"/>
        <v>0</v>
      </c>
      <c r="AF3" s="151">
        <f t="shared" ca="1" si="1"/>
        <v>0</v>
      </c>
      <c r="AG3" s="622">
        <f t="shared" ca="1" si="2"/>
        <v>0</v>
      </c>
      <c r="AH3" s="622">
        <f t="shared" ca="1" si="2"/>
        <v>0</v>
      </c>
      <c r="AI3" s="150">
        <f t="shared" ca="1" si="3"/>
        <v>0</v>
      </c>
      <c r="AJ3" s="150">
        <f t="shared" ca="1" si="3"/>
        <v>0</v>
      </c>
      <c r="AK3" s="150">
        <f t="shared" ca="1" si="3"/>
        <v>0</v>
      </c>
      <c r="AL3" s="150">
        <f t="shared" ca="1" si="3"/>
        <v>0</v>
      </c>
      <c r="AM3" s="150">
        <f t="shared" ca="1" si="3"/>
        <v>0</v>
      </c>
      <c r="AN3" s="150">
        <f t="shared" ca="1" si="3"/>
        <v>0</v>
      </c>
      <c r="AO3" s="150">
        <f t="shared" ca="1" si="3"/>
        <v>0</v>
      </c>
      <c r="AP3" s="150">
        <f t="shared" ca="1" si="3"/>
        <v>0</v>
      </c>
      <c r="AQ3" s="150">
        <f t="shared" ca="1" si="3"/>
        <v>0</v>
      </c>
      <c r="AR3" s="150">
        <f t="shared" ca="1" si="3"/>
        <v>0</v>
      </c>
      <c r="AS3" s="150">
        <f t="shared" ca="1" si="4"/>
        <v>0</v>
      </c>
      <c r="AT3" s="150">
        <f t="shared" ca="1" si="4"/>
        <v>0</v>
      </c>
      <c r="AU3" s="150">
        <f t="shared" ca="1" si="4"/>
        <v>0</v>
      </c>
      <c r="AV3" s="150">
        <f t="shared" ca="1" si="4"/>
        <v>0</v>
      </c>
      <c r="AW3" s="150">
        <f t="shared" ca="1" si="4"/>
        <v>0</v>
      </c>
      <c r="AX3" s="150">
        <f t="shared" ca="1" si="4"/>
        <v>0</v>
      </c>
      <c r="AY3" s="150">
        <f t="shared" ca="1" si="4"/>
        <v>0</v>
      </c>
      <c r="AZ3" s="150">
        <f t="shared" ca="1" si="4"/>
        <v>0</v>
      </c>
      <c r="BA3" s="150">
        <f t="shared" ca="1" si="4"/>
        <v>0</v>
      </c>
      <c r="BB3" s="150">
        <f t="shared" ca="1" si="4"/>
        <v>0</v>
      </c>
      <c r="BC3" s="150">
        <f t="shared" ca="1" si="4"/>
        <v>0</v>
      </c>
      <c r="BD3" s="150">
        <f t="shared" ca="1" si="4"/>
        <v>0</v>
      </c>
      <c r="BE3" s="622">
        <f ca="1">IF($G3="",0,SUMIFS(INDIRECT($CS3&amp;BE$16),INDIRECT($CS3&amp;"C:C"),$G3))+IF($G3="",0,SUMIFS(INDIRECT($CS3&amp;BE$18),INDIRECT($CS3&amp;"C:C"),$G3))</f>
        <v>0</v>
      </c>
      <c r="BF3" s="150">
        <f t="shared" ca="1" si="5"/>
        <v>0</v>
      </c>
      <c r="BG3" s="150">
        <f t="shared" ca="1" si="5"/>
        <v>0</v>
      </c>
      <c r="BH3" s="150">
        <f t="shared" ca="1" si="5"/>
        <v>0</v>
      </c>
      <c r="BI3" s="150">
        <f t="shared" ca="1" si="5"/>
        <v>0</v>
      </c>
      <c r="BJ3" s="150">
        <f t="shared" ca="1" si="5"/>
        <v>0</v>
      </c>
      <c r="BK3" s="150">
        <f t="shared" ca="1" si="5"/>
        <v>0</v>
      </c>
      <c r="BL3" s="150">
        <f t="shared" ca="1" si="5"/>
        <v>0</v>
      </c>
      <c r="BM3" s="1083">
        <f ca="1">SUM(BK3:BL3)</f>
        <v>0</v>
      </c>
      <c r="BN3" s="150">
        <f t="shared" ca="1" si="6"/>
        <v>0</v>
      </c>
      <c r="BO3" s="150">
        <f t="shared" ca="1" si="6"/>
        <v>0</v>
      </c>
      <c r="BP3" s="150">
        <f t="shared" ca="1" si="6"/>
        <v>0</v>
      </c>
      <c r="BQ3" s="150">
        <f t="shared" ca="1" si="6"/>
        <v>0</v>
      </c>
      <c r="BR3" s="150">
        <f t="shared" ca="1" si="6"/>
        <v>0</v>
      </c>
      <c r="BS3" s="150">
        <f t="shared" ca="1" si="6"/>
        <v>0</v>
      </c>
      <c r="BT3" s="150">
        <f t="shared" ca="1" si="6"/>
        <v>0</v>
      </c>
      <c r="BU3" s="152">
        <f ca="1">SUM(BN3:BT3)</f>
        <v>0</v>
      </c>
      <c r="BV3" s="150">
        <f t="shared" ca="1" si="7"/>
        <v>0</v>
      </c>
      <c r="BW3" s="150">
        <f t="shared" ca="1" si="7"/>
        <v>0</v>
      </c>
      <c r="BX3" s="152">
        <f ca="1">SUM(BV3:BW3)</f>
        <v>0</v>
      </c>
      <c r="BY3" s="622">
        <f ca="1">IF($G3="",0,SUMIFS(INDIRECT($CS3&amp;BY$16),INDIRECT($CS3&amp;"C:C"),$G3))+IF($G3="",0,SUMIFS(INDIRECT($CS3&amp;BY$18),INDIRECT($CS3&amp;"C:C"),$G3))+IF($G3="",0,SUMIFS(INDIRECT($CS3&amp;BY$20),INDIRECT($CS3&amp;"C:C"),$G3))</f>
        <v>0</v>
      </c>
      <c r="BZ3" s="150">
        <f t="shared" ca="1" si="8"/>
        <v>0</v>
      </c>
      <c r="CA3" s="150">
        <f t="shared" ca="1" si="8"/>
        <v>0</v>
      </c>
      <c r="CB3" s="150">
        <f t="shared" ca="1" si="8"/>
        <v>0</v>
      </c>
      <c r="CC3" s="150">
        <f t="shared" ca="1" si="8"/>
        <v>0</v>
      </c>
      <c r="CD3" s="150">
        <f t="shared" ca="1" si="8"/>
        <v>0</v>
      </c>
      <c r="CE3" s="622">
        <f ca="1">IF($G3="",0,SUMIFS(INDIRECT($CS3&amp;CE$16),INDIRECT($CS3&amp;"C:C"),$G3))+IF($G3="",0,SUMIFS(INDIRECT($CS3&amp;CE$18),INDIRECT($CS3&amp;"C:C"),$G3))</f>
        <v>0</v>
      </c>
      <c r="CF3" s="152">
        <f ca="1">SUM(BY3:CE3)</f>
        <v>0</v>
      </c>
      <c r="CG3" s="152">
        <f ca="1">SUM(BM3,BU3,BX3,CF3)</f>
        <v>0</v>
      </c>
      <c r="CH3" s="150">
        <f ca="1">IF($G3="",0,SUMIFS(INDIRECT($CS3&amp;CH$16),INDIRECT($CS3&amp;"C:C"),$G3))+IF($G3="",0,SUMIFS(INDIRECT($CS3&amp;CH$18),INDIRECT($CS3&amp;"C:C"),$G3))</f>
        <v>0</v>
      </c>
      <c r="CI3" s="1211">
        <f t="shared" ca="1" si="9"/>
        <v>0</v>
      </c>
      <c r="CJ3" s="1211">
        <f t="shared" ca="1" si="9"/>
        <v>0</v>
      </c>
      <c r="CK3" s="152">
        <f ca="1">SUM(CG3+CI3)</f>
        <v>0</v>
      </c>
      <c r="CL3" s="152">
        <f ca="1">IF(LEFT(G3, 1)="B",  SUM(CG3,CI3),SUM(CG3,CH3))</f>
        <v>0</v>
      </c>
      <c r="CM3" s="152">
        <f ca="1">SUM(BM3,BU3)</f>
        <v>0</v>
      </c>
      <c r="CN3" s="152">
        <f ca="1">SUM(CG3,CI3,CJ3)</f>
        <v>0</v>
      </c>
      <c r="CO3" s="167">
        <f ca="1">BL3+BP3</f>
        <v>0</v>
      </c>
      <c r="CP3" s="168">
        <f ca="1">BW3</f>
        <v>0</v>
      </c>
      <c r="CQ3" s="623">
        <f ca="1">SUM(BY3:CD3)</f>
        <v>0</v>
      </c>
      <c r="CS3" s="619" t="str">
        <f t="shared" si="10"/>
        <v>'CalcsYr1'!</v>
      </c>
    </row>
    <row r="4" spans="1:97">
      <c r="A4" s="153" t="str">
        <f>Lookups!F$8</f>
        <v>Electric</v>
      </c>
      <c r="B4" s="153" t="str">
        <f>Lookups!F$9</f>
        <v>Unitil Energy Systems Inc</v>
      </c>
      <c r="C4" s="154">
        <f>Year1</f>
        <v>2024</v>
      </c>
      <c r="D4" s="624" t="str">
        <f>Lookups!F$10</f>
        <v>Planned</v>
      </c>
      <c r="E4" s="146" t="str">
        <f>Lookups!$E$71</f>
        <v>C - Commercial &amp; Industrial</v>
      </c>
      <c r="F4" s="87" t="s">
        <v>903</v>
      </c>
      <c r="G4" s="146" t="s">
        <v>905</v>
      </c>
      <c r="H4" s="147">
        <f>SUMIFS(Costs!E$5:E$99,Costs!$A$5:$A$99,$C4,Costs!$D$5:$D$99,$G4)</f>
        <v>3112.4967120000006</v>
      </c>
      <c r="I4" s="147">
        <f>SUMIFS(Costs!F$5:F$99,Costs!$A$5:$A$99,$C4,Costs!$D$5:$D$99,$G4)</f>
        <v>233.3</v>
      </c>
      <c r="J4" s="147">
        <f>SUMIFS(Costs!G$5:G$99,Costs!$A$5:$A$99,$C4,Costs!$D$5:$D$99,$G4)</f>
        <v>100000</v>
      </c>
      <c r="K4" s="147">
        <f>SUMIFS(Costs!H$5:H$99,Costs!$A$5:$A$99,$C4,Costs!$D$5:$D$99,$G4)</f>
        <v>105758</v>
      </c>
      <c r="L4" s="147">
        <f>SUMIFS(Costs!I$5:I$99,Costs!$A$5:$A$99,$C4,Costs!$D$5:$D$99,$G4)</f>
        <v>2179</v>
      </c>
      <c r="M4" s="147">
        <f>SUMIFS(Costs!J$5:J$99,Costs!$A$5:$A$99,$C4,Costs!$D$5:$D$99,$G4)</f>
        <v>0</v>
      </c>
      <c r="N4" s="148">
        <f>SUM(H4:M4)</f>
        <v>211282.79671199998</v>
      </c>
      <c r="O4" s="148">
        <f>IF($C4=Year1,N4,IF($C4=Year2,N4/(1+nomdiscrt2),IF($C4=Year3,N4/(1+nomdiscrt3)^2,"")))</f>
        <v>211282.79671199998</v>
      </c>
      <c r="P4" s="147">
        <f>SUMIFS(Costs!K$5:K$99,Costs!$A$5:$A$99,$C4,Costs!$D$5:$D$99,$G4)</f>
        <v>0</v>
      </c>
      <c r="Q4" s="148">
        <f>IF($C4=Year1,P4,IF($C4=Year2,P4/(1+nomdiscrt2),IF($C4=Year3,P4/(1+nomdiscrt3)^2,"")))</f>
        <v>0</v>
      </c>
      <c r="R4" s="147">
        <f ca="1">IF($G4="",0,SUMIFS(INDIRECT($CS4&amp;R$16),INDIRECT($CS4&amp;"C:C"),$G4))</f>
        <v>0</v>
      </c>
      <c r="S4" s="148">
        <f ca="1">IF($C4=Year1,R4,IF($C4=Year2,R4/(1+nomdiscrt2),IF($C4=Year3,R4/(1+nomdiscrt3)^2,"")))</f>
        <v>0</v>
      </c>
      <c r="T4" s="148">
        <f ca="1">SUM(N4,P4,R4)</f>
        <v>211282.79671199998</v>
      </c>
      <c r="U4" s="148">
        <f ca="1">IF($C4=Year1,T4,IF($C4=Year2,T4/(1+nomdiscrt2),IF($C4=Year3,T4/(1+nomdiscrt3)^2,"")))</f>
        <v>211282.79671199998</v>
      </c>
      <c r="V4" s="149"/>
      <c r="W4" s="150">
        <f t="shared" ca="1" si="0"/>
        <v>0</v>
      </c>
      <c r="X4" s="150">
        <f t="shared" ca="1" si="0"/>
        <v>3190</v>
      </c>
      <c r="Y4" s="150">
        <f t="shared" ca="1" si="0"/>
        <v>0</v>
      </c>
      <c r="Z4" s="150">
        <f t="shared" ca="1" si="0"/>
        <v>0</v>
      </c>
      <c r="AA4" s="150">
        <f t="shared" ca="1" si="0"/>
        <v>0</v>
      </c>
      <c r="AB4" s="150">
        <f t="shared" ca="1" si="0"/>
        <v>0</v>
      </c>
      <c r="AC4" s="150">
        <f t="shared" ca="1" si="0"/>
        <v>0</v>
      </c>
      <c r="AD4" s="150">
        <f t="shared" ca="1" si="0"/>
        <v>0</v>
      </c>
      <c r="AE4" s="151">
        <f t="shared" ca="1" si="1"/>
        <v>0</v>
      </c>
      <c r="AF4" s="151">
        <f t="shared" ca="1" si="1"/>
        <v>0</v>
      </c>
      <c r="AG4" s="622">
        <f t="shared" ca="1" si="2"/>
        <v>0</v>
      </c>
      <c r="AH4" s="622">
        <f t="shared" ca="1" si="2"/>
        <v>0</v>
      </c>
      <c r="AI4" s="150">
        <f t="shared" ca="1" si="3"/>
        <v>0</v>
      </c>
      <c r="AJ4" s="150">
        <f t="shared" ca="1" si="3"/>
        <v>0</v>
      </c>
      <c r="AK4" s="150">
        <f t="shared" ca="1" si="3"/>
        <v>0</v>
      </c>
      <c r="AL4" s="150">
        <f t="shared" ca="1" si="3"/>
        <v>0</v>
      </c>
      <c r="AM4" s="150">
        <f t="shared" ca="1" si="3"/>
        <v>0</v>
      </c>
      <c r="AN4" s="150">
        <f t="shared" ca="1" si="3"/>
        <v>0</v>
      </c>
      <c r="AO4" s="150">
        <f t="shared" ca="1" si="3"/>
        <v>0</v>
      </c>
      <c r="AP4" s="150">
        <f t="shared" ca="1" si="3"/>
        <v>0</v>
      </c>
      <c r="AQ4" s="150">
        <f t="shared" ca="1" si="3"/>
        <v>0</v>
      </c>
      <c r="AR4" s="150">
        <f t="shared" ca="1" si="3"/>
        <v>0</v>
      </c>
      <c r="AS4" s="150">
        <f t="shared" ca="1" si="4"/>
        <v>0</v>
      </c>
      <c r="AT4" s="150">
        <f t="shared" ca="1" si="4"/>
        <v>0</v>
      </c>
      <c r="AU4" s="150">
        <f t="shared" ca="1" si="4"/>
        <v>0</v>
      </c>
      <c r="AV4" s="150">
        <f t="shared" ca="1" si="4"/>
        <v>0</v>
      </c>
      <c r="AW4" s="150">
        <f t="shared" ca="1" si="4"/>
        <v>0</v>
      </c>
      <c r="AX4" s="150">
        <f t="shared" ca="1" si="4"/>
        <v>0</v>
      </c>
      <c r="AY4" s="150">
        <f t="shared" ca="1" si="4"/>
        <v>0</v>
      </c>
      <c r="AZ4" s="150">
        <f t="shared" ca="1" si="4"/>
        <v>0</v>
      </c>
      <c r="BA4" s="150">
        <f t="shared" ca="1" si="4"/>
        <v>0</v>
      </c>
      <c r="BB4" s="150">
        <f t="shared" ca="1" si="4"/>
        <v>0</v>
      </c>
      <c r="BC4" s="150">
        <f t="shared" ca="1" si="4"/>
        <v>0</v>
      </c>
      <c r="BD4" s="150">
        <f t="shared" ca="1" si="4"/>
        <v>0</v>
      </c>
      <c r="BE4" s="622">
        <f ca="1">IF($G4="",0,SUMIFS(INDIRECT($CS4&amp;BE$16),INDIRECT($CS4&amp;"C:C"),$G4))+IF($G4="",0,SUMIFS(INDIRECT($CS4&amp;BE$18),INDIRECT($CS4&amp;"C:C"),$G4))</f>
        <v>0</v>
      </c>
      <c r="BF4" s="150">
        <f t="shared" ca="1" si="5"/>
        <v>0</v>
      </c>
      <c r="BG4" s="150">
        <f t="shared" ca="1" si="5"/>
        <v>0</v>
      </c>
      <c r="BH4" s="150">
        <f t="shared" ca="1" si="5"/>
        <v>0</v>
      </c>
      <c r="BI4" s="150">
        <f t="shared" ca="1" si="5"/>
        <v>0</v>
      </c>
      <c r="BJ4" s="150">
        <f t="shared" ca="1" si="5"/>
        <v>0</v>
      </c>
      <c r="BK4" s="150">
        <f t="shared" ca="1" si="5"/>
        <v>0</v>
      </c>
      <c r="BL4" s="150">
        <f t="shared" ca="1" si="5"/>
        <v>0</v>
      </c>
      <c r="BM4" s="1083">
        <f ca="1">SUM(BK4:BL4)</f>
        <v>0</v>
      </c>
      <c r="BN4" s="150">
        <f t="shared" ca="1" si="6"/>
        <v>23800.882569444839</v>
      </c>
      <c r="BO4" s="150">
        <f t="shared" ca="1" si="6"/>
        <v>0</v>
      </c>
      <c r="BP4" s="150">
        <f t="shared" ca="1" si="6"/>
        <v>10242.145311380984</v>
      </c>
      <c r="BQ4" s="150">
        <f t="shared" ca="1" si="6"/>
        <v>0</v>
      </c>
      <c r="BR4" s="150">
        <f t="shared" ca="1" si="6"/>
        <v>319689.04593434854</v>
      </c>
      <c r="BS4" s="150">
        <f t="shared" ca="1" si="6"/>
        <v>0</v>
      </c>
      <c r="BT4" s="150">
        <f t="shared" ca="1" si="6"/>
        <v>388670.52213553735</v>
      </c>
      <c r="BU4" s="152">
        <f ca="1">SUM(BN4:BT4)</f>
        <v>742402.59595071175</v>
      </c>
      <c r="BV4" s="150">
        <f t="shared" ca="1" si="7"/>
        <v>0</v>
      </c>
      <c r="BW4" s="150">
        <f t="shared" ca="1" si="7"/>
        <v>0</v>
      </c>
      <c r="BX4" s="152">
        <f ca="1">SUM(BV4:BW4)</f>
        <v>0</v>
      </c>
      <c r="BY4" s="622">
        <f ca="1">IF($G4="",0,SUMIFS(INDIRECT($CS4&amp;BY$16),INDIRECT($CS4&amp;"C:C"),$G4))+IF($G4="",0,SUMIFS(INDIRECT($CS4&amp;BY$18),INDIRECT($CS4&amp;"C:C"),$G4))+IF($G4="",0,SUMIFS(INDIRECT($CS4&amp;BY$20),INDIRECT($CS4&amp;"C:C"),$G4))</f>
        <v>0</v>
      </c>
      <c r="BZ4" s="150">
        <f t="shared" ca="1" si="8"/>
        <v>0</v>
      </c>
      <c r="CA4" s="150">
        <f t="shared" ca="1" si="8"/>
        <v>0</v>
      </c>
      <c r="CB4" s="150">
        <f t="shared" ca="1" si="8"/>
        <v>0</v>
      </c>
      <c r="CC4" s="150">
        <f t="shared" ca="1" si="8"/>
        <v>0</v>
      </c>
      <c r="CD4" s="150">
        <f t="shared" ca="1" si="8"/>
        <v>0</v>
      </c>
      <c r="CE4" s="622">
        <f ca="1">IF($G4="",0,SUMIFS(INDIRECT($CS4&amp;CE$16),INDIRECT($CS4&amp;"C:C"),$G4))+IF($G4="",0,SUMIFS(INDIRECT($CS4&amp;CE$18),INDIRECT($CS4&amp;"C:C"),$G4))</f>
        <v>0</v>
      </c>
      <c r="CF4" s="152">
        <f ca="1">SUM(BY4:CE4)</f>
        <v>0</v>
      </c>
      <c r="CG4" s="152">
        <f ca="1">SUM(BM4,BU4,BX4,CF4)</f>
        <v>742402.59595071175</v>
      </c>
      <c r="CH4" s="150">
        <f ca="1">IF($G4="",0,SUMIFS(INDIRECT($CS4&amp;CH$16),INDIRECT($CS4&amp;"C:C"),$G4))+IF($G4="",0,SUMIFS(INDIRECT($CS4&amp;CH$18),INDIRECT($CS4&amp;"C:C"),$G4))</f>
        <v>0</v>
      </c>
      <c r="CI4" s="1211">
        <f t="shared" ca="1" si="9"/>
        <v>0</v>
      </c>
      <c r="CJ4" s="1211">
        <f t="shared" ca="1" si="9"/>
        <v>0</v>
      </c>
      <c r="CK4" s="152">
        <f ca="1">SUM(CG4+CI4)</f>
        <v>742402.59595071175</v>
      </c>
      <c r="CL4" s="152">
        <f ca="1">IF(LEFT(G4, 1)="B",  SUM(CG4,CI4),SUM(CG4,CH4))</f>
        <v>742402.59595071175</v>
      </c>
      <c r="CM4" s="152">
        <f ca="1">SUM(BM4,BU4)</f>
        <v>742402.59595071175</v>
      </c>
      <c r="CN4" s="152">
        <f ca="1">SUM(CG4,CI4,CJ4)</f>
        <v>742402.59595071175</v>
      </c>
      <c r="CO4" s="167">
        <f ca="1">BL4+BP4</f>
        <v>10242.145311380984</v>
      </c>
      <c r="CP4" s="168">
        <f ca="1">BW4</f>
        <v>0</v>
      </c>
      <c r="CQ4" s="623">
        <f ca="1">SUM(BY4:CD4)</f>
        <v>0</v>
      </c>
      <c r="CS4" s="619" t="str">
        <f t="shared" si="10"/>
        <v>'CalcsYr1'!</v>
      </c>
    </row>
    <row r="5" spans="1:97" s="154" customFormat="1">
      <c r="A5" s="19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3"/>
      <c r="CF5" s="192"/>
      <c r="CG5" s="192"/>
      <c r="CH5" s="192"/>
      <c r="CI5" s="1212"/>
      <c r="CJ5" s="1212"/>
      <c r="CK5" s="192"/>
      <c r="CL5" s="192"/>
      <c r="CM5" s="192"/>
      <c r="CN5" s="192"/>
      <c r="CO5" s="194"/>
      <c r="CP5" s="194"/>
      <c r="CQ5" s="192"/>
      <c r="CS5" s="619" t="str">
        <f t="shared" si="10"/>
        <v/>
      </c>
    </row>
    <row r="6" spans="1:97" s="154" customFormat="1">
      <c r="A6" s="154" t="str">
        <f>Lookups!F$8</f>
        <v>Electric</v>
      </c>
      <c r="B6" s="154" t="str">
        <f>Lookups!F$9</f>
        <v>Unitil Energy Systems Inc</v>
      </c>
      <c r="C6" s="154">
        <f>Year2</f>
        <v>2025</v>
      </c>
      <c r="D6" s="624" t="str">
        <f>Lookups!F$10</f>
        <v>Planned</v>
      </c>
      <c r="E6" s="146" t="str">
        <f>Lookups!$E$70</f>
        <v>A - Residential</v>
      </c>
      <c r="F6" s="146" t="s">
        <v>902</v>
      </c>
      <c r="G6" s="146" t="s">
        <v>904</v>
      </c>
      <c r="H6" s="147">
        <f>SUMIFS(Costs!E$5:E$99,Costs!$A$5:$A$99,$C6,Costs!$D$5:$D$99,$G6)</f>
        <v>1370.0304000000001</v>
      </c>
      <c r="I6" s="147">
        <f>SUMIFS(Costs!F$5:F$99,Costs!$A$5:$A$99,$C6,Costs!$D$5:$D$99,$G6)</f>
        <v>206</v>
      </c>
      <c r="J6" s="147">
        <f>SUMIFS(Costs!G$5:G$99,Costs!$A$5:$A$99,$C6,Costs!$D$5:$D$99,$G6)</f>
        <v>45000</v>
      </c>
      <c r="K6" s="147">
        <f>SUMIFS(Costs!H$5:H$99,Costs!$A$5:$A$99,$C6,Costs!$D$5:$D$99,$G6)</f>
        <v>29811</v>
      </c>
      <c r="L6" s="147">
        <f>SUMIFS(Costs!I$5:I$99,Costs!$A$5:$A$99,$C6,Costs!$D$5:$D$99,$G6)</f>
        <v>959</v>
      </c>
      <c r="M6" s="147">
        <f>SUMIFS(Costs!J$5:J$99,Costs!$A$5:$A$99,$C6,Costs!$D$5:$D$99,$G6)</f>
        <v>0</v>
      </c>
      <c r="N6" s="148">
        <f>SUM(H6:M6)</f>
        <v>77346.030400000003</v>
      </c>
      <c r="O6" s="148">
        <f>IF($C6=Year1,N6,IF($C6=Year2,N6/(1+nomdiscrt2),IF($C6=Year3,N6/(1+nomdiscrt3)^2,"")))</f>
        <v>71782.858839907203</v>
      </c>
      <c r="P6" s="147">
        <f>SUMIFS(Costs!K$5:K$99,Costs!$A$5:$A$99,$C6,Costs!$D$5:$D$99,$G6)</f>
        <v>0</v>
      </c>
      <c r="Q6" s="148">
        <f>IF($C6=Year1,P6,IF($C6=Year2,P6/(1+nomdiscrt2),IF($C6=Year3,P6/(1+nomdiscrt3)^2,"")))</f>
        <v>0</v>
      </c>
      <c r="R6" s="147">
        <f ca="1">IF($G6="",0,SUMIFS(INDIRECT($CS6&amp;R$16),INDIRECT($CS6&amp;"C:C"),$G6))</f>
        <v>0</v>
      </c>
      <c r="S6" s="148">
        <f ca="1">IF($C6=Year1,R6,IF($C6=Year2,R6/(1+nomdiscrt2),IF($C6=Year3,R6/(1+nomdiscrt3)^2,"")))</f>
        <v>0</v>
      </c>
      <c r="T6" s="148">
        <f ca="1">SUM(N6,P6,R6)</f>
        <v>77346.030400000003</v>
      </c>
      <c r="U6" s="148">
        <f ca="1">IF($C6=Year1,T6,IF($C6=Year2,T6/(1+nomdiscrt2),IF($C6=Year3,T6/(1+nomdiscrt3)^2,"")))</f>
        <v>71782.858839907203</v>
      </c>
      <c r="V6" s="149"/>
      <c r="W6" s="150">
        <f t="shared" ref="W6:AD8" ca="1" si="11">IF($G6="",0,SUMIFS(INDIRECT($CS6&amp;W$16),INDIRECT($CS6&amp;"C:C"),$G6))</f>
        <v>0</v>
      </c>
      <c r="X6" s="150">
        <f t="shared" ca="1" si="11"/>
        <v>669.9</v>
      </c>
      <c r="Y6" s="150">
        <f t="shared" ca="1" si="11"/>
        <v>0</v>
      </c>
      <c r="Z6" s="150">
        <f t="shared" ca="1" si="11"/>
        <v>0</v>
      </c>
      <c r="AA6" s="150">
        <f t="shared" ca="1" si="11"/>
        <v>0</v>
      </c>
      <c r="AB6" s="150">
        <f t="shared" ca="1" si="11"/>
        <v>0</v>
      </c>
      <c r="AC6" s="150">
        <f t="shared" ca="1" si="11"/>
        <v>0</v>
      </c>
      <c r="AD6" s="150">
        <f t="shared" ca="1" si="11"/>
        <v>0</v>
      </c>
      <c r="AE6" s="151">
        <f t="shared" ref="AE6:AF8" ca="1" si="12">AC6*10</f>
        <v>0</v>
      </c>
      <c r="AF6" s="151">
        <f t="shared" ca="1" si="12"/>
        <v>0</v>
      </c>
      <c r="AG6" s="622">
        <f t="shared" ref="AG6:AH8" ca="1" si="13">IF($G6="",0,SUMIFS(INDIRECT($CS6&amp;AG$16),INDIRECT($CS6&amp;"C:C"),$G6))*10</f>
        <v>0</v>
      </c>
      <c r="AH6" s="622">
        <f t="shared" ca="1" si="13"/>
        <v>0</v>
      </c>
      <c r="AI6" s="150">
        <f t="shared" ref="AI6:AR8" ca="1" si="14">IF($G6="",0,SUMIFS(INDIRECT($CS6&amp;AI$16),INDIRECT($CS6&amp;"C:C"),$G6))</f>
        <v>0</v>
      </c>
      <c r="AJ6" s="150">
        <f t="shared" ca="1" si="14"/>
        <v>0</v>
      </c>
      <c r="AK6" s="150">
        <f t="shared" ca="1" si="14"/>
        <v>0</v>
      </c>
      <c r="AL6" s="150">
        <f t="shared" ca="1" si="14"/>
        <v>0</v>
      </c>
      <c r="AM6" s="150">
        <f t="shared" ca="1" si="14"/>
        <v>0</v>
      </c>
      <c r="AN6" s="150">
        <f t="shared" ca="1" si="14"/>
        <v>0</v>
      </c>
      <c r="AO6" s="150">
        <f t="shared" ca="1" si="14"/>
        <v>0</v>
      </c>
      <c r="AP6" s="150">
        <f t="shared" ca="1" si="14"/>
        <v>0</v>
      </c>
      <c r="AQ6" s="150">
        <f t="shared" ca="1" si="14"/>
        <v>0</v>
      </c>
      <c r="AR6" s="150">
        <f t="shared" ca="1" si="14"/>
        <v>0</v>
      </c>
      <c r="AS6" s="150">
        <f t="shared" ref="AS6:BD8" ca="1" si="15">IF($G6="",0,SUMIFS(INDIRECT($CS6&amp;AS$16),INDIRECT($CS6&amp;"C:C"),$G6))</f>
        <v>0</v>
      </c>
      <c r="AT6" s="150">
        <f t="shared" ca="1" si="15"/>
        <v>0</v>
      </c>
      <c r="AU6" s="150">
        <f t="shared" ca="1" si="15"/>
        <v>0</v>
      </c>
      <c r="AV6" s="150">
        <f t="shared" ca="1" si="15"/>
        <v>0</v>
      </c>
      <c r="AW6" s="150">
        <f t="shared" ca="1" si="15"/>
        <v>0</v>
      </c>
      <c r="AX6" s="150">
        <f t="shared" ca="1" si="15"/>
        <v>0</v>
      </c>
      <c r="AY6" s="150">
        <f t="shared" ca="1" si="15"/>
        <v>0</v>
      </c>
      <c r="AZ6" s="150">
        <f t="shared" ca="1" si="15"/>
        <v>0</v>
      </c>
      <c r="BA6" s="150">
        <f t="shared" ca="1" si="15"/>
        <v>0</v>
      </c>
      <c r="BB6" s="150">
        <f t="shared" ca="1" si="15"/>
        <v>0</v>
      </c>
      <c r="BC6" s="150">
        <f t="shared" ca="1" si="15"/>
        <v>0</v>
      </c>
      <c r="BD6" s="150">
        <f t="shared" ca="1" si="15"/>
        <v>0</v>
      </c>
      <c r="BE6" s="622">
        <f ca="1">IF($G6="",0,SUMIFS(INDIRECT($CS6&amp;BE$16),INDIRECT($CS6&amp;"C:C"),$G6))+IF($G6="",0,SUMIFS(INDIRECT($CS6&amp;BE$18),INDIRECT($CS6&amp;"C:C"),$G6))</f>
        <v>0</v>
      </c>
      <c r="BF6" s="150">
        <f t="shared" ref="BF6:BL8" ca="1" si="16">IF($G6="",0,SUMIFS(INDIRECT($CS6&amp;BF$16),INDIRECT($CS6&amp;"C:C"),$G6))</f>
        <v>0</v>
      </c>
      <c r="BG6" s="150">
        <f t="shared" ca="1" si="16"/>
        <v>0</v>
      </c>
      <c r="BH6" s="150">
        <f t="shared" ca="1" si="16"/>
        <v>0</v>
      </c>
      <c r="BI6" s="150">
        <f t="shared" ca="1" si="16"/>
        <v>0</v>
      </c>
      <c r="BJ6" s="150">
        <f t="shared" ca="1" si="16"/>
        <v>0</v>
      </c>
      <c r="BK6" s="150">
        <f t="shared" ca="1" si="16"/>
        <v>0</v>
      </c>
      <c r="BL6" s="150">
        <f t="shared" ca="1" si="16"/>
        <v>0</v>
      </c>
      <c r="BM6" s="1083">
        <f ca="1">SUM(BK6:BL6)</f>
        <v>0</v>
      </c>
      <c r="BN6" s="150">
        <f t="shared" ref="BN6:BT8" ca="1" si="17">IF($G6="",0,SUMIFS(INDIRECT($CS6&amp;BN$16),INDIRECT($CS6&amp;"C:C"),$G6))</f>
        <v>5404.7645746006383</v>
      </c>
      <c r="BO6" s="150">
        <f t="shared" ca="1" si="17"/>
        <v>0</v>
      </c>
      <c r="BP6" s="150">
        <f t="shared" ca="1" si="17"/>
        <v>2291.0232006121487</v>
      </c>
      <c r="BQ6" s="150">
        <f t="shared" ca="1" si="17"/>
        <v>0</v>
      </c>
      <c r="BR6" s="150">
        <f t="shared" ca="1" si="17"/>
        <v>70403.832412558593</v>
      </c>
      <c r="BS6" s="150">
        <f t="shared" ca="1" si="17"/>
        <v>0</v>
      </c>
      <c r="BT6" s="150">
        <f t="shared" ca="1" si="17"/>
        <v>85595.345389943308</v>
      </c>
      <c r="BU6" s="152">
        <f ca="1">SUM(BN6:BT6)</f>
        <v>163694.96557771467</v>
      </c>
      <c r="BV6" s="150">
        <f t="shared" ref="BV6:BW8" ca="1" si="18">IF($G6="",0,SUMIFS(INDIRECT($CS6&amp;BV$16),INDIRECT($CS6&amp;"C:C"),$G6))</f>
        <v>0</v>
      </c>
      <c r="BW6" s="150">
        <f t="shared" ca="1" si="18"/>
        <v>0</v>
      </c>
      <c r="BX6" s="152">
        <f ca="1">SUM(BV6:BW6)</f>
        <v>0</v>
      </c>
      <c r="BY6" s="622">
        <f ca="1">IF($G6="",0,SUMIFS(INDIRECT($CS6&amp;BY$16),INDIRECT($CS6&amp;"C:C"),$G6))+IF($G6="",0,SUMIFS(INDIRECT($CS6&amp;BY$18),INDIRECT($CS6&amp;"C:C"),$G6))+IF($G6="",0,SUMIFS(INDIRECT($CS6&amp;BY$20),INDIRECT($CS6&amp;"C:C"),$G6))</f>
        <v>0</v>
      </c>
      <c r="BZ6" s="150">
        <f t="shared" ref="BZ6:CD8" ca="1" si="19">IF($G6="",0,SUMIFS(INDIRECT($CS6&amp;BZ$16),INDIRECT($CS6&amp;"C:C"),$G6))</f>
        <v>0</v>
      </c>
      <c r="CA6" s="150">
        <f t="shared" ca="1" si="19"/>
        <v>0</v>
      </c>
      <c r="CB6" s="150">
        <f t="shared" ca="1" si="19"/>
        <v>0</v>
      </c>
      <c r="CC6" s="150">
        <f t="shared" ca="1" si="19"/>
        <v>0</v>
      </c>
      <c r="CD6" s="150">
        <f t="shared" ca="1" si="19"/>
        <v>0</v>
      </c>
      <c r="CE6" s="622">
        <f ca="1">IF($G6="",0,SUMIFS(INDIRECT($CS6&amp;CE$16),INDIRECT($CS6&amp;"C:C"),$G6))+IF($G6="",0,SUMIFS(INDIRECT($CS6&amp;CE$18),INDIRECT($CS6&amp;"C:C"),$G6))</f>
        <v>0</v>
      </c>
      <c r="CF6" s="152">
        <f ca="1">SUM(BY6:CE6)</f>
        <v>0</v>
      </c>
      <c r="CG6" s="152">
        <f ca="1">SUM(BM6,BU6,BX6,CF6)</f>
        <v>163694.96557771467</v>
      </c>
      <c r="CH6" s="150">
        <f ca="1">IF($G6="",0,SUMIFS(INDIRECT($CS6&amp;CH$16),INDIRECT($CS6&amp;"C:C"),$G6))+IF($G6="",0,SUMIFS(INDIRECT($CS6&amp;CH$18),INDIRECT($CS6&amp;"C:C"),$G6))</f>
        <v>0</v>
      </c>
      <c r="CI6" s="1211">
        <f t="shared" ref="CI6:CJ8" ca="1" si="20">IF($G6="",0,SUMIFS(INDIRECT($CS6&amp;CI$16),INDIRECT($CS6&amp;"C:C"),$G6))</f>
        <v>0</v>
      </c>
      <c r="CJ6" s="1211">
        <f t="shared" ca="1" si="20"/>
        <v>0</v>
      </c>
      <c r="CK6" s="152">
        <f ca="1">SUM(CG6+CI6)</f>
        <v>163694.96557771467</v>
      </c>
      <c r="CL6" s="152">
        <f ca="1">IF(LEFT(G6, 1)="B",  SUM(CG6,CI6),SUM(CG6,CH6))</f>
        <v>163694.96557771467</v>
      </c>
      <c r="CM6" s="152">
        <f ca="1">SUM(BM6,BU6)</f>
        <v>163694.96557771467</v>
      </c>
      <c r="CN6" s="152">
        <f ca="1">SUM(CG6,CI6,CJ6)</f>
        <v>163694.96557771467</v>
      </c>
      <c r="CO6" s="167">
        <f ca="1">BL6+BP6</f>
        <v>2291.0232006121487</v>
      </c>
      <c r="CP6" s="168">
        <f ca="1">BW6</f>
        <v>0</v>
      </c>
      <c r="CQ6" s="623">
        <f ca="1">SUM(BY6:CD6)</f>
        <v>0</v>
      </c>
      <c r="CS6" s="619" t="str">
        <f t="shared" si="10"/>
        <v>'CalcsYr2'!</v>
      </c>
    </row>
    <row r="7" spans="1:97" s="154" customFormat="1">
      <c r="A7" s="154" t="str">
        <f>Lookups!F$8</f>
        <v>Electric</v>
      </c>
      <c r="B7" s="154" t="str">
        <f>Lookups!F$9</f>
        <v>Unitil Energy Systems Inc</v>
      </c>
      <c r="C7" s="154">
        <f>Year2</f>
        <v>2025</v>
      </c>
      <c r="D7" s="624" t="str">
        <f>Lookups!F$10</f>
        <v>Planned</v>
      </c>
      <c r="E7" s="146" t="str">
        <f>Lookups!$E$72</f>
        <v>B - Low-Income</v>
      </c>
      <c r="F7" s="146" t="s">
        <v>268</v>
      </c>
      <c r="G7" s="146"/>
      <c r="H7" s="147">
        <f>SUMIFS(Costs!E$5:E$99,Costs!$A$5:$A$99,$C7,Costs!$D$5:$D$99,$G7)</f>
        <v>0</v>
      </c>
      <c r="I7" s="147">
        <f>SUMIFS(Costs!F$5:F$99,Costs!$A$5:$A$99,$C7,Costs!$D$5:$D$99,$G7)</f>
        <v>0</v>
      </c>
      <c r="J7" s="147">
        <f>SUMIFS(Costs!G$5:G$99,Costs!$A$5:$A$99,$C7,Costs!$D$5:$D$99,$G7)</f>
        <v>0</v>
      </c>
      <c r="K7" s="147">
        <f>SUMIFS(Costs!H$5:H$99,Costs!$A$5:$A$99,$C7,Costs!$D$5:$D$99,$G7)</f>
        <v>0</v>
      </c>
      <c r="L7" s="147">
        <f>SUMIFS(Costs!I$5:I$99,Costs!$A$5:$A$99,$C7,Costs!$D$5:$D$99,$G7)</f>
        <v>0</v>
      </c>
      <c r="M7" s="147">
        <f>SUMIFS(Costs!J$5:J$99,Costs!$A$5:$A$99,$C7,Costs!$D$5:$D$99,$G7)</f>
        <v>0</v>
      </c>
      <c r="N7" s="148">
        <f>SUM(H7:M7)</f>
        <v>0</v>
      </c>
      <c r="O7" s="148">
        <f>IF($C7=Year1,N7,IF($C7=Year2,N7/(1+nomdiscrt2),IF($C7=Year3,N7/(1+nomdiscrt3)^2,"")))</f>
        <v>0</v>
      </c>
      <c r="P7" s="147">
        <f>SUMIFS(Costs!K$5:K$99,Costs!$A$5:$A$99,$C7,Costs!$D$5:$D$99,$G7)</f>
        <v>0</v>
      </c>
      <c r="Q7" s="148">
        <f>IF($C7=Year1,P7,IF($C7=Year2,P7/(1+nomdiscrt2),IF($C7=Year3,P7/(1+nomdiscrt3)^2,"")))</f>
        <v>0</v>
      </c>
      <c r="R7" s="147">
        <f ca="1">IF($G7="",0,SUMIFS(INDIRECT($CS7&amp;R$16),INDIRECT($CS7&amp;"C:C"),$G7))</f>
        <v>0</v>
      </c>
      <c r="S7" s="148">
        <f ca="1">IF($C7=Year1,R7,IF($C7=Year2,R7/(1+nomdiscrt2),IF($C7=Year3,R7/(1+nomdiscrt3)^2,"")))</f>
        <v>0</v>
      </c>
      <c r="T7" s="148">
        <f ca="1">SUM(N7,P7,R7)</f>
        <v>0</v>
      </c>
      <c r="U7" s="148">
        <f ca="1">IF($C7=Year1,T7,IF($C7=Year2,T7/(1+nomdiscrt2),IF($C7=Year3,T7/(1+nomdiscrt3)^2,"")))</f>
        <v>0</v>
      </c>
      <c r="V7" s="149"/>
      <c r="W7" s="150">
        <f t="shared" ca="1" si="11"/>
        <v>0</v>
      </c>
      <c r="X7" s="150">
        <f t="shared" ca="1" si="11"/>
        <v>0</v>
      </c>
      <c r="Y7" s="150">
        <f t="shared" ca="1" si="11"/>
        <v>0</v>
      </c>
      <c r="Z7" s="150">
        <f t="shared" ca="1" si="11"/>
        <v>0</v>
      </c>
      <c r="AA7" s="150">
        <f t="shared" ca="1" si="11"/>
        <v>0</v>
      </c>
      <c r="AB7" s="150">
        <f t="shared" ca="1" si="11"/>
        <v>0</v>
      </c>
      <c r="AC7" s="150">
        <f t="shared" ca="1" si="11"/>
        <v>0</v>
      </c>
      <c r="AD7" s="150">
        <f t="shared" ca="1" si="11"/>
        <v>0</v>
      </c>
      <c r="AE7" s="151">
        <f t="shared" ca="1" si="12"/>
        <v>0</v>
      </c>
      <c r="AF7" s="151">
        <f t="shared" ca="1" si="12"/>
        <v>0</v>
      </c>
      <c r="AG7" s="622">
        <f t="shared" ca="1" si="13"/>
        <v>0</v>
      </c>
      <c r="AH7" s="622">
        <f t="shared" ca="1" si="13"/>
        <v>0</v>
      </c>
      <c r="AI7" s="150">
        <f t="shared" ca="1" si="14"/>
        <v>0</v>
      </c>
      <c r="AJ7" s="150">
        <f t="shared" ca="1" si="14"/>
        <v>0</v>
      </c>
      <c r="AK7" s="150">
        <f t="shared" ca="1" si="14"/>
        <v>0</v>
      </c>
      <c r="AL7" s="150">
        <f t="shared" ca="1" si="14"/>
        <v>0</v>
      </c>
      <c r="AM7" s="150">
        <f t="shared" ca="1" si="14"/>
        <v>0</v>
      </c>
      <c r="AN7" s="150">
        <f t="shared" ca="1" si="14"/>
        <v>0</v>
      </c>
      <c r="AO7" s="150">
        <f t="shared" ca="1" si="14"/>
        <v>0</v>
      </c>
      <c r="AP7" s="150">
        <f t="shared" ca="1" si="14"/>
        <v>0</v>
      </c>
      <c r="AQ7" s="150">
        <f t="shared" ca="1" si="14"/>
        <v>0</v>
      </c>
      <c r="AR7" s="150">
        <f t="shared" ca="1" si="14"/>
        <v>0</v>
      </c>
      <c r="AS7" s="150">
        <f t="shared" ca="1" si="15"/>
        <v>0</v>
      </c>
      <c r="AT7" s="150">
        <f t="shared" ca="1" si="15"/>
        <v>0</v>
      </c>
      <c r="AU7" s="150">
        <f t="shared" ca="1" si="15"/>
        <v>0</v>
      </c>
      <c r="AV7" s="150">
        <f t="shared" ca="1" si="15"/>
        <v>0</v>
      </c>
      <c r="AW7" s="150">
        <f t="shared" ca="1" si="15"/>
        <v>0</v>
      </c>
      <c r="AX7" s="150">
        <f t="shared" ca="1" si="15"/>
        <v>0</v>
      </c>
      <c r="AY7" s="150">
        <f t="shared" ca="1" si="15"/>
        <v>0</v>
      </c>
      <c r="AZ7" s="150">
        <f t="shared" ca="1" si="15"/>
        <v>0</v>
      </c>
      <c r="BA7" s="150">
        <f t="shared" ca="1" si="15"/>
        <v>0</v>
      </c>
      <c r="BB7" s="150">
        <f t="shared" ca="1" si="15"/>
        <v>0</v>
      </c>
      <c r="BC7" s="150">
        <f t="shared" ca="1" si="15"/>
        <v>0</v>
      </c>
      <c r="BD7" s="150">
        <f t="shared" ca="1" si="15"/>
        <v>0</v>
      </c>
      <c r="BE7" s="622">
        <f ca="1">IF($G7="",0,SUMIFS(INDIRECT($CS7&amp;BE$16),INDIRECT($CS7&amp;"C:C"),$G7))+IF($G7="",0,SUMIFS(INDIRECT($CS7&amp;BE$18),INDIRECT($CS7&amp;"C:C"),$G7))</f>
        <v>0</v>
      </c>
      <c r="BF7" s="150">
        <f t="shared" ca="1" si="16"/>
        <v>0</v>
      </c>
      <c r="BG7" s="150">
        <f t="shared" ca="1" si="16"/>
        <v>0</v>
      </c>
      <c r="BH7" s="150">
        <f t="shared" ca="1" si="16"/>
        <v>0</v>
      </c>
      <c r="BI7" s="150">
        <f t="shared" ca="1" si="16"/>
        <v>0</v>
      </c>
      <c r="BJ7" s="150">
        <f t="shared" ca="1" si="16"/>
        <v>0</v>
      </c>
      <c r="BK7" s="150">
        <f t="shared" ca="1" si="16"/>
        <v>0</v>
      </c>
      <c r="BL7" s="150">
        <f t="shared" ca="1" si="16"/>
        <v>0</v>
      </c>
      <c r="BM7" s="1083">
        <f ca="1">SUM(BK7:BL7)</f>
        <v>0</v>
      </c>
      <c r="BN7" s="150">
        <f t="shared" ca="1" si="17"/>
        <v>0</v>
      </c>
      <c r="BO7" s="150">
        <f t="shared" ca="1" si="17"/>
        <v>0</v>
      </c>
      <c r="BP7" s="150">
        <f t="shared" ca="1" si="17"/>
        <v>0</v>
      </c>
      <c r="BQ7" s="150">
        <f t="shared" ca="1" si="17"/>
        <v>0</v>
      </c>
      <c r="BR7" s="150">
        <f t="shared" ca="1" si="17"/>
        <v>0</v>
      </c>
      <c r="BS7" s="150">
        <f t="shared" ca="1" si="17"/>
        <v>0</v>
      </c>
      <c r="BT7" s="150">
        <f t="shared" ca="1" si="17"/>
        <v>0</v>
      </c>
      <c r="BU7" s="152">
        <f ca="1">SUM(BN7:BT7)</f>
        <v>0</v>
      </c>
      <c r="BV7" s="150">
        <f t="shared" ca="1" si="18"/>
        <v>0</v>
      </c>
      <c r="BW7" s="150">
        <f t="shared" ca="1" si="18"/>
        <v>0</v>
      </c>
      <c r="BX7" s="152">
        <f ca="1">SUM(BV7:BW7)</f>
        <v>0</v>
      </c>
      <c r="BY7" s="622">
        <f ca="1">IF($G7="",0,SUMIFS(INDIRECT($CS7&amp;BY$16),INDIRECT($CS7&amp;"C:C"),$G7))+IF($G7="",0,SUMIFS(INDIRECT($CS7&amp;BY$18),INDIRECT($CS7&amp;"C:C"),$G7))+IF($G7="",0,SUMIFS(INDIRECT($CS7&amp;BY$20),INDIRECT($CS7&amp;"C:C"),$G7))</f>
        <v>0</v>
      </c>
      <c r="BZ7" s="150">
        <f t="shared" ca="1" si="19"/>
        <v>0</v>
      </c>
      <c r="CA7" s="150">
        <f t="shared" ca="1" si="19"/>
        <v>0</v>
      </c>
      <c r="CB7" s="150">
        <f t="shared" ca="1" si="19"/>
        <v>0</v>
      </c>
      <c r="CC7" s="150">
        <f t="shared" ca="1" si="19"/>
        <v>0</v>
      </c>
      <c r="CD7" s="150">
        <f t="shared" ca="1" si="19"/>
        <v>0</v>
      </c>
      <c r="CE7" s="622">
        <f ca="1">IF($G7="",0,SUMIFS(INDIRECT($CS7&amp;CE$16),INDIRECT($CS7&amp;"C:C"),$G7))+IF($G7="",0,SUMIFS(INDIRECT($CS7&amp;CE$18),INDIRECT($CS7&amp;"C:C"),$G7))</f>
        <v>0</v>
      </c>
      <c r="CF7" s="152">
        <f ca="1">SUM(BY7:CE7)</f>
        <v>0</v>
      </c>
      <c r="CG7" s="152">
        <f ca="1">SUM(BM7,BU7,BX7,CF7)</f>
        <v>0</v>
      </c>
      <c r="CH7" s="150">
        <f ca="1">IF($G7="",0,SUMIFS(INDIRECT($CS7&amp;CH$16),INDIRECT($CS7&amp;"C:C"),$G7))+IF($G7="",0,SUMIFS(INDIRECT($CS7&amp;CH$18),INDIRECT($CS7&amp;"C:C"),$G7))</f>
        <v>0</v>
      </c>
      <c r="CI7" s="1211">
        <f t="shared" ca="1" si="20"/>
        <v>0</v>
      </c>
      <c r="CJ7" s="1211">
        <f t="shared" ca="1" si="20"/>
        <v>0</v>
      </c>
      <c r="CK7" s="152">
        <f ca="1">SUM(CG7+CI7)</f>
        <v>0</v>
      </c>
      <c r="CL7" s="152">
        <f ca="1">IF(LEFT(G7, 1)="B",  SUM(CG7,CI7),SUM(CG7,CH7))</f>
        <v>0</v>
      </c>
      <c r="CM7" s="152">
        <f ca="1">SUM(BM7,BU7)</f>
        <v>0</v>
      </c>
      <c r="CN7" s="152">
        <f ca="1">SUM(CG7,CI7,CJ7)</f>
        <v>0</v>
      </c>
      <c r="CO7" s="167">
        <f ca="1">BL7+BP7</f>
        <v>0</v>
      </c>
      <c r="CP7" s="168">
        <f ca="1">BW7</f>
        <v>0</v>
      </c>
      <c r="CQ7" s="623">
        <f ca="1">SUM(BY7:CD7)</f>
        <v>0</v>
      </c>
      <c r="CS7" s="619" t="str">
        <f t="shared" si="10"/>
        <v>'CalcsYr2'!</v>
      </c>
    </row>
    <row r="8" spans="1:97">
      <c r="A8" s="153" t="str">
        <f>Lookups!F$8</f>
        <v>Electric</v>
      </c>
      <c r="B8" s="153" t="str">
        <f>Lookups!F$9</f>
        <v>Unitil Energy Systems Inc</v>
      </c>
      <c r="C8" s="154">
        <f>Year2</f>
        <v>2025</v>
      </c>
      <c r="D8" s="624" t="str">
        <f>Lookups!F$10</f>
        <v>Planned</v>
      </c>
      <c r="E8" s="146" t="str">
        <f>Lookups!$E$71</f>
        <v>C - Commercial &amp; Industrial</v>
      </c>
      <c r="F8" s="87" t="s">
        <v>903</v>
      </c>
      <c r="G8" s="146" t="s">
        <v>905</v>
      </c>
      <c r="H8" s="147">
        <f>SUMIFS(Costs!E$5:E$99,Costs!$A$5:$A$99,$C8,Costs!$D$5:$D$99,$G8)</f>
        <v>3205.8711360000002</v>
      </c>
      <c r="I8" s="147">
        <f>SUMIFS(Costs!F$5:F$99,Costs!$A$5:$A$99,$C8,Costs!$D$5:$D$99,$G8)</f>
        <v>242</v>
      </c>
      <c r="J8" s="147">
        <f>SUMIFS(Costs!G$5:G$99,Costs!$A$5:$A$99,$C8,Costs!$D$5:$D$99,$G8)</f>
        <v>105000</v>
      </c>
      <c r="K8" s="147">
        <f>SUMIFS(Costs!H$5:H$99,Costs!$A$5:$A$99,$C8,Costs!$D$5:$D$99,$G8)</f>
        <v>115098</v>
      </c>
      <c r="L8" s="147">
        <f>SUMIFS(Costs!I$5:I$99,Costs!$A$5:$A$99,$C8,Costs!$D$5:$D$99,$G8)</f>
        <v>2244</v>
      </c>
      <c r="M8" s="147">
        <f>SUMIFS(Costs!J$5:J$99,Costs!$A$5:$A$99,$C8,Costs!$D$5:$D$99,$G8)</f>
        <v>0</v>
      </c>
      <c r="N8" s="148">
        <f>SUM(H8:M8)</f>
        <v>225789.871136</v>
      </c>
      <c r="O8" s="148">
        <f>IF($C8=Year1,N8,IF($C8=Year2,N8/(1+nomdiscrt2),IF($C8=Year3,N8/(1+nomdiscrt3)^2,"")))</f>
        <v>209549.76439535964</v>
      </c>
      <c r="P8" s="147">
        <f>SUMIFS(Costs!K$5:K$99,Costs!$A$5:$A$99,$C8,Costs!$D$5:$D$99,$G8)</f>
        <v>0</v>
      </c>
      <c r="Q8" s="148">
        <f>IF($C8=Year1,P8,IF($C8=Year2,P8/(1+nomdiscrt2),IF($C8=Year3,P8/(1+nomdiscrt3)^2,"")))</f>
        <v>0</v>
      </c>
      <c r="R8" s="147">
        <f ca="1">IF($G8="",0,SUMIFS(INDIRECT($CS8&amp;R$16),INDIRECT($CS8&amp;"C:C"),$G8))</f>
        <v>0</v>
      </c>
      <c r="S8" s="148">
        <f ca="1">IF($C8=Year1,R8,IF($C8=Year2,R8/(1+nomdiscrt2),IF($C8=Year3,R8/(1+nomdiscrt3)^2,"")))</f>
        <v>0</v>
      </c>
      <c r="T8" s="148">
        <f ca="1">SUM(N8,P8,R8)</f>
        <v>225789.871136</v>
      </c>
      <c r="U8" s="148">
        <f ca="1">IF($C8=Year1,T8,IF($C8=Year2,T8/(1+nomdiscrt2),IF($C8=Year3,T8/(1+nomdiscrt3)^2,"")))</f>
        <v>209549.76439535964</v>
      </c>
      <c r="V8" s="149"/>
      <c r="W8" s="150">
        <f t="shared" ca="1" si="11"/>
        <v>0</v>
      </c>
      <c r="X8" s="150">
        <f t="shared" ca="1" si="11"/>
        <v>3349.5</v>
      </c>
      <c r="Y8" s="150">
        <f t="shared" ca="1" si="11"/>
        <v>0</v>
      </c>
      <c r="Z8" s="150">
        <f t="shared" ca="1" si="11"/>
        <v>0</v>
      </c>
      <c r="AA8" s="150">
        <f t="shared" ca="1" si="11"/>
        <v>0</v>
      </c>
      <c r="AB8" s="150">
        <f t="shared" ca="1" si="11"/>
        <v>0</v>
      </c>
      <c r="AC8" s="150">
        <f t="shared" ca="1" si="11"/>
        <v>0</v>
      </c>
      <c r="AD8" s="150">
        <f t="shared" ca="1" si="11"/>
        <v>0</v>
      </c>
      <c r="AE8" s="151">
        <f t="shared" ca="1" si="12"/>
        <v>0</v>
      </c>
      <c r="AF8" s="151">
        <f t="shared" ca="1" si="12"/>
        <v>0</v>
      </c>
      <c r="AG8" s="622">
        <f t="shared" ca="1" si="13"/>
        <v>0</v>
      </c>
      <c r="AH8" s="622">
        <f t="shared" ca="1" si="13"/>
        <v>0</v>
      </c>
      <c r="AI8" s="150">
        <f t="shared" ca="1" si="14"/>
        <v>0</v>
      </c>
      <c r="AJ8" s="150">
        <f t="shared" ca="1" si="14"/>
        <v>0</v>
      </c>
      <c r="AK8" s="150">
        <f t="shared" ca="1" si="14"/>
        <v>0</v>
      </c>
      <c r="AL8" s="150">
        <f t="shared" ca="1" si="14"/>
        <v>0</v>
      </c>
      <c r="AM8" s="150">
        <f t="shared" ca="1" si="14"/>
        <v>0</v>
      </c>
      <c r="AN8" s="150">
        <f t="shared" ca="1" si="14"/>
        <v>0</v>
      </c>
      <c r="AO8" s="150">
        <f t="shared" ca="1" si="14"/>
        <v>0</v>
      </c>
      <c r="AP8" s="150">
        <f t="shared" ca="1" si="14"/>
        <v>0</v>
      </c>
      <c r="AQ8" s="150">
        <f t="shared" ca="1" si="14"/>
        <v>0</v>
      </c>
      <c r="AR8" s="150">
        <f t="shared" ca="1" si="14"/>
        <v>0</v>
      </c>
      <c r="AS8" s="150">
        <f t="shared" ca="1" si="15"/>
        <v>0</v>
      </c>
      <c r="AT8" s="150">
        <f t="shared" ca="1" si="15"/>
        <v>0</v>
      </c>
      <c r="AU8" s="150">
        <f t="shared" ca="1" si="15"/>
        <v>0</v>
      </c>
      <c r="AV8" s="150">
        <f t="shared" ca="1" si="15"/>
        <v>0</v>
      </c>
      <c r="AW8" s="150">
        <f t="shared" ca="1" si="15"/>
        <v>0</v>
      </c>
      <c r="AX8" s="150">
        <f t="shared" ca="1" si="15"/>
        <v>0</v>
      </c>
      <c r="AY8" s="150">
        <f t="shared" ca="1" si="15"/>
        <v>0</v>
      </c>
      <c r="AZ8" s="150">
        <f t="shared" ca="1" si="15"/>
        <v>0</v>
      </c>
      <c r="BA8" s="150">
        <f t="shared" ca="1" si="15"/>
        <v>0</v>
      </c>
      <c r="BB8" s="150">
        <f t="shared" ca="1" si="15"/>
        <v>0</v>
      </c>
      <c r="BC8" s="150">
        <f t="shared" ca="1" si="15"/>
        <v>0</v>
      </c>
      <c r="BD8" s="150">
        <f t="shared" ca="1" si="15"/>
        <v>0</v>
      </c>
      <c r="BE8" s="622">
        <f ca="1">IF($G8="",0,SUMIFS(INDIRECT($CS8&amp;BE$16),INDIRECT($CS8&amp;"C:C"),$G8))+IF($G8="",0,SUMIFS(INDIRECT($CS8&amp;BE$18),INDIRECT($CS8&amp;"C:C"),$G8))</f>
        <v>0</v>
      </c>
      <c r="BF8" s="150">
        <f t="shared" ca="1" si="16"/>
        <v>0</v>
      </c>
      <c r="BG8" s="150">
        <f t="shared" ca="1" si="16"/>
        <v>0</v>
      </c>
      <c r="BH8" s="150">
        <f t="shared" ca="1" si="16"/>
        <v>0</v>
      </c>
      <c r="BI8" s="150">
        <f t="shared" ca="1" si="16"/>
        <v>0</v>
      </c>
      <c r="BJ8" s="150">
        <f t="shared" ca="1" si="16"/>
        <v>0</v>
      </c>
      <c r="BK8" s="150">
        <f t="shared" ca="1" si="16"/>
        <v>0</v>
      </c>
      <c r="BL8" s="150">
        <f t="shared" ca="1" si="16"/>
        <v>0</v>
      </c>
      <c r="BM8" s="1083">
        <f ca="1">SUM(BK8:BL8)</f>
        <v>0</v>
      </c>
      <c r="BN8" s="150">
        <f t="shared" ca="1" si="17"/>
        <v>27023.822873003191</v>
      </c>
      <c r="BO8" s="150">
        <f t="shared" ca="1" si="17"/>
        <v>0</v>
      </c>
      <c r="BP8" s="150">
        <f t="shared" ca="1" si="17"/>
        <v>11455.116003060744</v>
      </c>
      <c r="BQ8" s="150">
        <f t="shared" ca="1" si="17"/>
        <v>0</v>
      </c>
      <c r="BR8" s="150">
        <f t="shared" ca="1" si="17"/>
        <v>352019.16206279298</v>
      </c>
      <c r="BS8" s="150">
        <f t="shared" ca="1" si="17"/>
        <v>0</v>
      </c>
      <c r="BT8" s="150">
        <f t="shared" ca="1" si="17"/>
        <v>427976.72694971657</v>
      </c>
      <c r="BU8" s="152">
        <f ca="1">SUM(BN8:BT8)</f>
        <v>818474.82788857352</v>
      </c>
      <c r="BV8" s="150">
        <f t="shared" ca="1" si="18"/>
        <v>0</v>
      </c>
      <c r="BW8" s="150">
        <f t="shared" ca="1" si="18"/>
        <v>0</v>
      </c>
      <c r="BX8" s="152">
        <f ca="1">SUM(BV8:BW8)</f>
        <v>0</v>
      </c>
      <c r="BY8" s="622">
        <f ca="1">IF($G8="",0,SUMIFS(INDIRECT($CS8&amp;BY$16),INDIRECT($CS8&amp;"C:C"),$G8))+IF($G8="",0,SUMIFS(INDIRECT($CS8&amp;BY$18),INDIRECT($CS8&amp;"C:C"),$G8))+IF($G8="",0,SUMIFS(INDIRECT($CS8&amp;BY$20),INDIRECT($CS8&amp;"C:C"),$G8))</f>
        <v>0</v>
      </c>
      <c r="BZ8" s="150">
        <f t="shared" ca="1" si="19"/>
        <v>0</v>
      </c>
      <c r="CA8" s="150">
        <f t="shared" ca="1" si="19"/>
        <v>0</v>
      </c>
      <c r="CB8" s="150">
        <f t="shared" ca="1" si="19"/>
        <v>0</v>
      </c>
      <c r="CC8" s="150">
        <f t="shared" ca="1" si="19"/>
        <v>0</v>
      </c>
      <c r="CD8" s="150">
        <f t="shared" ca="1" si="19"/>
        <v>0</v>
      </c>
      <c r="CE8" s="622">
        <f ca="1">IF($G8="",0,SUMIFS(INDIRECT($CS8&amp;CE$16),INDIRECT($CS8&amp;"C:C"),$G8))+IF($G8="",0,SUMIFS(INDIRECT($CS8&amp;CE$18),INDIRECT($CS8&amp;"C:C"),$G8))</f>
        <v>0</v>
      </c>
      <c r="CF8" s="152">
        <f ca="1">SUM(BY8:CE8)</f>
        <v>0</v>
      </c>
      <c r="CG8" s="152">
        <f ca="1">SUM(BM8,BU8,BX8,CF8)</f>
        <v>818474.82788857352</v>
      </c>
      <c r="CH8" s="150">
        <f ca="1">IF($G8="",0,SUMIFS(INDIRECT($CS8&amp;CH$16),INDIRECT($CS8&amp;"C:C"),$G8))+IF($G8="",0,SUMIFS(INDIRECT($CS8&amp;CH$18),INDIRECT($CS8&amp;"C:C"),$G8))</f>
        <v>0</v>
      </c>
      <c r="CI8" s="1211">
        <f t="shared" ca="1" si="20"/>
        <v>0</v>
      </c>
      <c r="CJ8" s="1211">
        <f t="shared" ca="1" si="20"/>
        <v>0</v>
      </c>
      <c r="CK8" s="152">
        <f ca="1">SUM(CG8+CI8)</f>
        <v>818474.82788857352</v>
      </c>
      <c r="CL8" s="152">
        <f ca="1">IF(LEFT(G8, 1)="B",  SUM(CG8,CI8),SUM(CG8,CH8))</f>
        <v>818474.82788857352</v>
      </c>
      <c r="CM8" s="152">
        <f ca="1">SUM(BM8,BU8)</f>
        <v>818474.82788857352</v>
      </c>
      <c r="CN8" s="152">
        <f ca="1">SUM(CG8,CI8,CJ8)</f>
        <v>818474.82788857352</v>
      </c>
      <c r="CO8" s="167">
        <f ca="1">BL8+BP8</f>
        <v>11455.116003060744</v>
      </c>
      <c r="CP8" s="168">
        <f ca="1">BW8</f>
        <v>0</v>
      </c>
      <c r="CQ8" s="623">
        <f ca="1">SUM(BY8:CD8)</f>
        <v>0</v>
      </c>
      <c r="CS8" s="619" t="str">
        <f t="shared" si="10"/>
        <v>'CalcsYr2'!</v>
      </c>
    </row>
    <row r="9" spans="1:97" s="154" customFormat="1">
      <c r="A9" s="192"/>
      <c r="B9" s="192"/>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3"/>
      <c r="CF9" s="192"/>
      <c r="CG9" s="192"/>
      <c r="CH9" s="192"/>
      <c r="CI9" s="1212"/>
      <c r="CJ9" s="1212"/>
      <c r="CK9" s="192"/>
      <c r="CL9" s="192"/>
      <c r="CM9" s="192"/>
      <c r="CN9" s="192"/>
      <c r="CO9" s="194"/>
      <c r="CP9" s="194"/>
      <c r="CQ9" s="192"/>
      <c r="CS9" s="619" t="str">
        <f t="shared" si="10"/>
        <v/>
      </c>
    </row>
    <row r="10" spans="1:97" s="154" customFormat="1">
      <c r="A10" s="154" t="str">
        <f>Lookups!F$8</f>
        <v>Electric</v>
      </c>
      <c r="B10" s="154" t="str">
        <f>Lookups!F$9</f>
        <v>Unitil Energy Systems Inc</v>
      </c>
      <c r="C10" s="154">
        <f>Year3</f>
        <v>2026</v>
      </c>
      <c r="D10" s="624" t="str">
        <f>Lookups!F$10</f>
        <v>Planned</v>
      </c>
      <c r="E10" s="146" t="str">
        <f>Lookups!$E$70</f>
        <v>A - Residential</v>
      </c>
      <c r="F10" s="146" t="s">
        <v>902</v>
      </c>
      <c r="G10" s="146" t="s">
        <v>904</v>
      </c>
      <c r="H10" s="147">
        <f>SUMIFS(Costs!E$5:E$99,Costs!$A$5:$A$99,$C10,Costs!$D$5:$D$99,$G10)</f>
        <v>1411.1316000000002</v>
      </c>
      <c r="I10" s="147">
        <f>SUMIFS(Costs!F$5:F$99,Costs!$A$5:$A$99,$C10,Costs!$D$5:$D$99,$G10)</f>
        <v>213</v>
      </c>
      <c r="J10" s="147">
        <f>SUMIFS(Costs!G$5:G$99,Costs!$A$5:$A$99,$C10,Costs!$D$5:$D$99,$G10)</f>
        <v>57608.030338498167</v>
      </c>
      <c r="K10" s="147">
        <f>SUMIFS(Costs!H$5:H$99,Costs!$A$5:$A$99,$C10,Costs!$D$5:$D$99,$G10)</f>
        <v>19793</v>
      </c>
      <c r="L10" s="147">
        <f>SUMIFS(Costs!I$5:I$99,Costs!$A$5:$A$99,$C10,Costs!$D$5:$D$99,$G10)</f>
        <v>988</v>
      </c>
      <c r="M10" s="147">
        <f>SUMIFS(Costs!J$5:J$99,Costs!$A$5:$A$99,$C10,Costs!$D$5:$D$99,$G10)</f>
        <v>0</v>
      </c>
      <c r="N10" s="148">
        <f>SUM(H10:M10)</f>
        <v>80013.161938498175</v>
      </c>
      <c r="O10" s="148">
        <f>IF($C10=Year1,N10,IF($C10=Year2,N10/(1+nomdiscrt2),IF($C10=Year3,N10/(1+nomdiscrt3)^2,"")))</f>
        <v>68917.081142757146</v>
      </c>
      <c r="P10" s="147">
        <f>SUMIFS(Costs!K$5:K$99,Costs!$A$5:$A$99,$C10,Costs!$D$5:$D$99,$G10)</f>
        <v>0</v>
      </c>
      <c r="Q10" s="148">
        <f>IF($C10=Year1,P10,IF($C10=Year2,P10/(1+nomdiscrt2),IF($C10=Year3,P10/(1+nomdiscrt3)^2,"")))</f>
        <v>0</v>
      </c>
      <c r="R10" s="147">
        <f ca="1">IF($G10="",0,SUMIFS(INDIRECT($CS10&amp;R$16),INDIRECT($CS10&amp;"C:C"),$G10))</f>
        <v>0</v>
      </c>
      <c r="S10" s="148">
        <f ca="1">IF($C10=Year1,R10,IF($C10=Year2,R10/(1+nomdiscrt2),IF($C10=Year3,R10/(1+nomdiscrt3)^2,"")))</f>
        <v>0</v>
      </c>
      <c r="T10" s="148">
        <f ca="1">SUM(N10,P10,R10)</f>
        <v>80013.161938498175</v>
      </c>
      <c r="U10" s="148">
        <f ca="1">IF($C10=Year1,T10,IF($C10=Year2,T10/(1+nomdiscrt2),IF($C10=Year3,T10/(1+nomdiscrt3)^2,"")))</f>
        <v>68917.081142757146</v>
      </c>
      <c r="V10" s="149"/>
      <c r="W10" s="150">
        <f t="shared" ref="W10:AD12" ca="1" si="21">IF($G10="",0,SUMIFS(INDIRECT($CS10&amp;W$16),INDIRECT($CS10&amp;"C:C"),$G10))</f>
        <v>0</v>
      </c>
      <c r="X10" s="150">
        <f t="shared" ca="1" si="21"/>
        <v>703.39499999999998</v>
      </c>
      <c r="Y10" s="150">
        <f t="shared" ca="1" si="21"/>
        <v>0</v>
      </c>
      <c r="Z10" s="150">
        <f t="shared" ca="1" si="21"/>
        <v>0</v>
      </c>
      <c r="AA10" s="150">
        <f t="shared" ca="1" si="21"/>
        <v>0</v>
      </c>
      <c r="AB10" s="150">
        <f t="shared" ca="1" si="21"/>
        <v>0</v>
      </c>
      <c r="AC10" s="150">
        <f t="shared" ca="1" si="21"/>
        <v>0</v>
      </c>
      <c r="AD10" s="150">
        <f t="shared" ca="1" si="21"/>
        <v>0</v>
      </c>
      <c r="AE10" s="151">
        <f t="shared" ref="AE10:AF12" ca="1" si="22">AC10*10</f>
        <v>0</v>
      </c>
      <c r="AF10" s="151">
        <f t="shared" ca="1" si="22"/>
        <v>0</v>
      </c>
      <c r="AG10" s="622">
        <f t="shared" ref="AG10:AH12" ca="1" si="23">IF($G10="",0,SUMIFS(INDIRECT($CS10&amp;AG$16),INDIRECT($CS10&amp;"C:C"),$G10))*10</f>
        <v>0</v>
      </c>
      <c r="AH10" s="622">
        <f t="shared" ca="1" si="23"/>
        <v>0</v>
      </c>
      <c r="AI10" s="150">
        <f t="shared" ref="AI10:AR12" ca="1" si="24">IF($G10="",0,SUMIFS(INDIRECT($CS10&amp;AI$16),INDIRECT($CS10&amp;"C:C"),$G10))</f>
        <v>0</v>
      </c>
      <c r="AJ10" s="150">
        <f t="shared" ca="1" si="24"/>
        <v>0</v>
      </c>
      <c r="AK10" s="150">
        <f t="shared" ca="1" si="24"/>
        <v>0</v>
      </c>
      <c r="AL10" s="150">
        <f t="shared" ca="1" si="24"/>
        <v>0</v>
      </c>
      <c r="AM10" s="150">
        <f t="shared" ca="1" si="24"/>
        <v>0</v>
      </c>
      <c r="AN10" s="150">
        <f t="shared" ca="1" si="24"/>
        <v>0</v>
      </c>
      <c r="AO10" s="150">
        <f t="shared" ca="1" si="24"/>
        <v>0</v>
      </c>
      <c r="AP10" s="150">
        <f t="shared" ca="1" si="24"/>
        <v>0</v>
      </c>
      <c r="AQ10" s="150">
        <f t="shared" ca="1" si="24"/>
        <v>0</v>
      </c>
      <c r="AR10" s="150">
        <f t="shared" ca="1" si="24"/>
        <v>0</v>
      </c>
      <c r="AS10" s="150">
        <f t="shared" ref="AS10:BD12" ca="1" si="25">IF($G10="",0,SUMIFS(INDIRECT($CS10&amp;AS$16),INDIRECT($CS10&amp;"C:C"),$G10))</f>
        <v>0</v>
      </c>
      <c r="AT10" s="150">
        <f t="shared" ca="1" si="25"/>
        <v>0</v>
      </c>
      <c r="AU10" s="150">
        <f t="shared" ca="1" si="25"/>
        <v>0</v>
      </c>
      <c r="AV10" s="150">
        <f t="shared" ca="1" si="25"/>
        <v>0</v>
      </c>
      <c r="AW10" s="150">
        <f t="shared" ca="1" si="25"/>
        <v>0</v>
      </c>
      <c r="AX10" s="150">
        <f t="shared" ca="1" si="25"/>
        <v>0</v>
      </c>
      <c r="AY10" s="150">
        <f t="shared" ca="1" si="25"/>
        <v>0</v>
      </c>
      <c r="AZ10" s="150">
        <f t="shared" ca="1" si="25"/>
        <v>0</v>
      </c>
      <c r="BA10" s="150">
        <f t="shared" ca="1" si="25"/>
        <v>0</v>
      </c>
      <c r="BB10" s="150">
        <f t="shared" ca="1" si="25"/>
        <v>0</v>
      </c>
      <c r="BC10" s="150">
        <f t="shared" ca="1" si="25"/>
        <v>0</v>
      </c>
      <c r="BD10" s="150">
        <f t="shared" ca="1" si="25"/>
        <v>0</v>
      </c>
      <c r="BE10" s="622">
        <f ca="1">IF($G10="",0,SUMIFS(INDIRECT($CS10&amp;BE$16),INDIRECT($CS10&amp;"C:C"),$G10))+IF($G10="",0,SUMIFS(INDIRECT($CS10&amp;BE$18),INDIRECT($CS10&amp;"C:C"),$G10))</f>
        <v>0</v>
      </c>
      <c r="BF10" s="150">
        <f t="shared" ref="BF10:BL12" ca="1" si="26">IF($G10="",0,SUMIFS(INDIRECT($CS10&amp;BF$16),INDIRECT($CS10&amp;"C:C"),$G10))</f>
        <v>0</v>
      </c>
      <c r="BG10" s="150">
        <f t="shared" ca="1" si="26"/>
        <v>0</v>
      </c>
      <c r="BH10" s="150">
        <f t="shared" ca="1" si="26"/>
        <v>0</v>
      </c>
      <c r="BI10" s="150">
        <f t="shared" ca="1" si="26"/>
        <v>0</v>
      </c>
      <c r="BJ10" s="150">
        <f t="shared" ca="1" si="26"/>
        <v>0</v>
      </c>
      <c r="BK10" s="150">
        <f t="shared" ca="1" si="26"/>
        <v>0</v>
      </c>
      <c r="BL10" s="150">
        <f t="shared" ca="1" si="26"/>
        <v>0</v>
      </c>
      <c r="BM10" s="1083">
        <f ca="1">SUM(BK10:BL10)</f>
        <v>0</v>
      </c>
      <c r="BN10" s="150">
        <f t="shared" ref="BN10:BT12" ca="1" si="27">IF($G10="",0,SUMIFS(INDIRECT($CS10&amp;BN$16),INDIRECT($CS10&amp;"C:C"),$G10))</f>
        <v>5951.3477890271479</v>
      </c>
      <c r="BO10" s="150">
        <f t="shared" ca="1" si="27"/>
        <v>0</v>
      </c>
      <c r="BP10" s="150">
        <f t="shared" ca="1" si="27"/>
        <v>2522.7141111101009</v>
      </c>
      <c r="BQ10" s="150">
        <f t="shared" ca="1" si="27"/>
        <v>0</v>
      </c>
      <c r="BR10" s="150">
        <f t="shared" ca="1" si="27"/>
        <v>77523.763816942679</v>
      </c>
      <c r="BS10" s="150">
        <f t="shared" ca="1" si="27"/>
        <v>0</v>
      </c>
      <c r="BT10" s="150">
        <f t="shared" ca="1" si="27"/>
        <v>94251.592739373809</v>
      </c>
      <c r="BU10" s="152">
        <f ca="1">SUM(BN10:BT10)</f>
        <v>180249.41845645374</v>
      </c>
      <c r="BV10" s="150">
        <f t="shared" ref="BV10:BW12" ca="1" si="28">IF($G10="",0,SUMIFS(INDIRECT($CS10&amp;BV$16),INDIRECT($CS10&amp;"C:C"),$G10))</f>
        <v>0</v>
      </c>
      <c r="BW10" s="150">
        <f t="shared" ca="1" si="28"/>
        <v>0</v>
      </c>
      <c r="BX10" s="152">
        <f ca="1">SUM(BV10:BW10)</f>
        <v>0</v>
      </c>
      <c r="BY10" s="622">
        <f ca="1">IF($G10="",0,SUMIFS(INDIRECT($CS10&amp;BY$16),INDIRECT($CS10&amp;"C:C"),$G10))+IF($G10="",0,SUMIFS(INDIRECT($CS10&amp;BY$18),INDIRECT($CS10&amp;"C:C"),$G10))+IF($G10="",0,SUMIFS(INDIRECT($CS10&amp;BY$20),INDIRECT($CS10&amp;"C:C"),$G10))</f>
        <v>0</v>
      </c>
      <c r="BZ10" s="150">
        <f t="shared" ref="BZ10:CD12" ca="1" si="29">IF($G10="",0,SUMIFS(INDIRECT($CS10&amp;BZ$16),INDIRECT($CS10&amp;"C:C"),$G10))</f>
        <v>0</v>
      </c>
      <c r="CA10" s="150">
        <f t="shared" ca="1" si="29"/>
        <v>0</v>
      </c>
      <c r="CB10" s="150">
        <f t="shared" ca="1" si="29"/>
        <v>0</v>
      </c>
      <c r="CC10" s="150">
        <f t="shared" ca="1" si="29"/>
        <v>0</v>
      </c>
      <c r="CD10" s="150">
        <f t="shared" ca="1" si="29"/>
        <v>0</v>
      </c>
      <c r="CE10" s="622">
        <f ca="1">IF($G10="",0,SUMIFS(INDIRECT($CS10&amp;CE$16),INDIRECT($CS10&amp;"C:C"),$G10))+IF($G10="",0,SUMIFS(INDIRECT($CS10&amp;CE$18),INDIRECT($CS10&amp;"C:C"),$G10))</f>
        <v>0</v>
      </c>
      <c r="CF10" s="152">
        <f ca="1">SUM(BY10:CE10)</f>
        <v>0</v>
      </c>
      <c r="CG10" s="152">
        <f ca="1">SUM(BM10,BU10,BX10,CF10)</f>
        <v>180249.41845645374</v>
      </c>
      <c r="CH10" s="150">
        <f ca="1">IF($G10="",0,SUMIFS(INDIRECT($CS10&amp;CH$16),INDIRECT($CS10&amp;"C:C"),$G10))+IF($G10="",0,SUMIFS(INDIRECT($CS10&amp;CH$18),INDIRECT($CS10&amp;"C:C"),$G10))</f>
        <v>0</v>
      </c>
      <c r="CI10" s="1211">
        <f t="shared" ref="CI10:CJ12" ca="1" si="30">IF($G10="",0,SUMIFS(INDIRECT($CS10&amp;CI$16),INDIRECT($CS10&amp;"C:C"),$G10))</f>
        <v>0</v>
      </c>
      <c r="CJ10" s="1211">
        <f t="shared" ca="1" si="30"/>
        <v>0</v>
      </c>
      <c r="CK10" s="152">
        <f ca="1">SUM(CG10+CI10)</f>
        <v>180249.41845645374</v>
      </c>
      <c r="CL10" s="152">
        <f ca="1">IF(LEFT(G10, 1)="B",  SUM(CG10,CI10),SUM(CG10,CH10))</f>
        <v>180249.41845645374</v>
      </c>
      <c r="CM10" s="152">
        <f ca="1">SUM(BM10,BU10)</f>
        <v>180249.41845645374</v>
      </c>
      <c r="CN10" s="152">
        <f ca="1">SUM(CG10,CI10,CJ10)</f>
        <v>180249.41845645374</v>
      </c>
      <c r="CO10" s="167">
        <f ca="1">BL10+BP10</f>
        <v>2522.7141111101009</v>
      </c>
      <c r="CP10" s="168">
        <f ca="1">BW10</f>
        <v>0</v>
      </c>
      <c r="CQ10" s="623">
        <f ca="1">SUM(BY10:CD10)</f>
        <v>0</v>
      </c>
      <c r="CS10" s="619" t="str">
        <f t="shared" si="10"/>
        <v>'CalcsYr3'!</v>
      </c>
    </row>
    <row r="11" spans="1:97" s="154" customFormat="1">
      <c r="A11" s="154" t="str">
        <f>Lookups!F$8</f>
        <v>Electric</v>
      </c>
      <c r="B11" s="154" t="str">
        <f>Lookups!F$9</f>
        <v>Unitil Energy Systems Inc</v>
      </c>
      <c r="C11" s="154">
        <f>Year3</f>
        <v>2026</v>
      </c>
      <c r="D11" s="624" t="str">
        <f>Lookups!F$10</f>
        <v>Planned</v>
      </c>
      <c r="E11" s="146" t="str">
        <f>Lookups!$E$72</f>
        <v>B - Low-Income</v>
      </c>
      <c r="F11" s="146" t="s">
        <v>268</v>
      </c>
      <c r="G11" s="146"/>
      <c r="H11" s="147">
        <f>SUMIFS(Costs!E$5:E$99,Costs!$A$5:$A$99,$C11,Costs!$D$5:$D$99,$G11)</f>
        <v>0</v>
      </c>
      <c r="I11" s="147">
        <f>SUMIFS(Costs!F$5:F$99,Costs!$A$5:$A$99,$C11,Costs!$D$5:$D$99,$G11)</f>
        <v>0</v>
      </c>
      <c r="J11" s="147">
        <f>SUMIFS(Costs!G$5:G$99,Costs!$A$5:$A$99,$C11,Costs!$D$5:$D$99,$G11)</f>
        <v>0</v>
      </c>
      <c r="K11" s="147">
        <f>SUMIFS(Costs!H$5:H$99,Costs!$A$5:$A$99,$C11,Costs!$D$5:$D$99,$G11)</f>
        <v>0</v>
      </c>
      <c r="L11" s="147">
        <f>SUMIFS(Costs!I$5:I$99,Costs!$A$5:$A$99,$C11,Costs!$D$5:$D$99,$G11)</f>
        <v>0</v>
      </c>
      <c r="M11" s="147">
        <f>SUMIFS(Costs!J$5:J$99,Costs!$A$5:$A$99,$C11,Costs!$D$5:$D$99,$G11)</f>
        <v>0</v>
      </c>
      <c r="N11" s="148">
        <f>SUM(H11:M11)</f>
        <v>0</v>
      </c>
      <c r="O11" s="148">
        <f>IF($C11=Year1,N11,IF($C11=Year2,N11/(1+nomdiscrt2),IF($C11=Year3,N11/(1+nomdiscrt3)^2,"")))</f>
        <v>0</v>
      </c>
      <c r="P11" s="147">
        <f>SUMIFS(Costs!K$5:K$99,Costs!$A$5:$A$99,$C11,Costs!$D$5:$D$99,$G11)</f>
        <v>0</v>
      </c>
      <c r="Q11" s="148">
        <f>IF($C11=Year1,P11,IF($C11=Year2,P11/(1+nomdiscrt2),IF($C11=Year3,P11/(1+nomdiscrt3)^2,"")))</f>
        <v>0</v>
      </c>
      <c r="R11" s="147">
        <f ca="1">IF($G11="",0,SUMIFS(INDIRECT($CS11&amp;R$16),INDIRECT($CS11&amp;"C:C"),$G11))</f>
        <v>0</v>
      </c>
      <c r="S11" s="148">
        <f ca="1">IF($C11=Year1,R11,IF($C11=Year2,R11/(1+nomdiscrt2),IF($C11=Year3,R11/(1+nomdiscrt3)^2,"")))</f>
        <v>0</v>
      </c>
      <c r="T11" s="148">
        <f ca="1">SUM(N11,P11,R11)</f>
        <v>0</v>
      </c>
      <c r="U11" s="148">
        <f ca="1">IF($C11=Year1,T11,IF($C11=Year2,T11/(1+nomdiscrt2),IF($C11=Year3,T11/(1+nomdiscrt3)^2,"")))</f>
        <v>0</v>
      </c>
      <c r="V11" s="149"/>
      <c r="W11" s="150">
        <f t="shared" ca="1" si="21"/>
        <v>0</v>
      </c>
      <c r="X11" s="150">
        <f t="shared" ca="1" si="21"/>
        <v>0</v>
      </c>
      <c r="Y11" s="150">
        <f t="shared" ca="1" si="21"/>
        <v>0</v>
      </c>
      <c r="Z11" s="150">
        <f t="shared" ca="1" si="21"/>
        <v>0</v>
      </c>
      <c r="AA11" s="150">
        <f t="shared" ca="1" si="21"/>
        <v>0</v>
      </c>
      <c r="AB11" s="150">
        <f t="shared" ca="1" si="21"/>
        <v>0</v>
      </c>
      <c r="AC11" s="150">
        <f t="shared" ca="1" si="21"/>
        <v>0</v>
      </c>
      <c r="AD11" s="150">
        <f t="shared" ca="1" si="21"/>
        <v>0</v>
      </c>
      <c r="AE11" s="151">
        <f t="shared" ca="1" si="22"/>
        <v>0</v>
      </c>
      <c r="AF11" s="151">
        <f t="shared" ca="1" si="22"/>
        <v>0</v>
      </c>
      <c r="AG11" s="622">
        <f t="shared" ca="1" si="23"/>
        <v>0</v>
      </c>
      <c r="AH11" s="622">
        <f t="shared" ca="1" si="23"/>
        <v>0</v>
      </c>
      <c r="AI11" s="150">
        <f t="shared" ca="1" si="24"/>
        <v>0</v>
      </c>
      <c r="AJ11" s="150">
        <f t="shared" ca="1" si="24"/>
        <v>0</v>
      </c>
      <c r="AK11" s="150">
        <f t="shared" ca="1" si="24"/>
        <v>0</v>
      </c>
      <c r="AL11" s="150">
        <f t="shared" ca="1" si="24"/>
        <v>0</v>
      </c>
      <c r="AM11" s="150">
        <f t="shared" ca="1" si="24"/>
        <v>0</v>
      </c>
      <c r="AN11" s="150">
        <f t="shared" ca="1" si="24"/>
        <v>0</v>
      </c>
      <c r="AO11" s="150">
        <f t="shared" ca="1" si="24"/>
        <v>0</v>
      </c>
      <c r="AP11" s="150">
        <f t="shared" ca="1" si="24"/>
        <v>0</v>
      </c>
      <c r="AQ11" s="150">
        <f t="shared" ca="1" si="24"/>
        <v>0</v>
      </c>
      <c r="AR11" s="150">
        <f t="shared" ca="1" si="24"/>
        <v>0</v>
      </c>
      <c r="AS11" s="150">
        <f t="shared" ca="1" si="25"/>
        <v>0</v>
      </c>
      <c r="AT11" s="150">
        <f t="shared" ca="1" si="25"/>
        <v>0</v>
      </c>
      <c r="AU11" s="150">
        <f t="shared" ca="1" si="25"/>
        <v>0</v>
      </c>
      <c r="AV11" s="150">
        <f t="shared" ca="1" si="25"/>
        <v>0</v>
      </c>
      <c r="AW11" s="150">
        <f t="shared" ca="1" si="25"/>
        <v>0</v>
      </c>
      <c r="AX11" s="150">
        <f t="shared" ca="1" si="25"/>
        <v>0</v>
      </c>
      <c r="AY11" s="150">
        <f t="shared" ca="1" si="25"/>
        <v>0</v>
      </c>
      <c r="AZ11" s="150">
        <f t="shared" ca="1" si="25"/>
        <v>0</v>
      </c>
      <c r="BA11" s="150">
        <f t="shared" ca="1" si="25"/>
        <v>0</v>
      </c>
      <c r="BB11" s="150">
        <f t="shared" ca="1" si="25"/>
        <v>0</v>
      </c>
      <c r="BC11" s="150">
        <f t="shared" ca="1" si="25"/>
        <v>0</v>
      </c>
      <c r="BD11" s="150">
        <f t="shared" ca="1" si="25"/>
        <v>0</v>
      </c>
      <c r="BE11" s="622">
        <f ca="1">IF($G11="",0,SUMIFS(INDIRECT($CS11&amp;BE$16),INDIRECT($CS11&amp;"C:C"),$G11))+IF($G11="",0,SUMIFS(INDIRECT($CS11&amp;BE$18),INDIRECT($CS11&amp;"C:C"),$G11))</f>
        <v>0</v>
      </c>
      <c r="BF11" s="150">
        <f t="shared" ca="1" si="26"/>
        <v>0</v>
      </c>
      <c r="BG11" s="150">
        <f t="shared" ca="1" si="26"/>
        <v>0</v>
      </c>
      <c r="BH11" s="150">
        <f t="shared" ca="1" si="26"/>
        <v>0</v>
      </c>
      <c r="BI11" s="150">
        <f t="shared" ca="1" si="26"/>
        <v>0</v>
      </c>
      <c r="BJ11" s="150">
        <f t="shared" ca="1" si="26"/>
        <v>0</v>
      </c>
      <c r="BK11" s="150">
        <f t="shared" ca="1" si="26"/>
        <v>0</v>
      </c>
      <c r="BL11" s="150">
        <f t="shared" ca="1" si="26"/>
        <v>0</v>
      </c>
      <c r="BM11" s="1083">
        <f ca="1">SUM(BK11:BL11)</f>
        <v>0</v>
      </c>
      <c r="BN11" s="150">
        <f t="shared" ca="1" si="27"/>
        <v>0</v>
      </c>
      <c r="BO11" s="150">
        <f t="shared" ca="1" si="27"/>
        <v>0</v>
      </c>
      <c r="BP11" s="150">
        <f t="shared" ca="1" si="27"/>
        <v>0</v>
      </c>
      <c r="BQ11" s="150">
        <f t="shared" ca="1" si="27"/>
        <v>0</v>
      </c>
      <c r="BR11" s="150">
        <f t="shared" ca="1" si="27"/>
        <v>0</v>
      </c>
      <c r="BS11" s="150">
        <f t="shared" ca="1" si="27"/>
        <v>0</v>
      </c>
      <c r="BT11" s="150">
        <f t="shared" ca="1" si="27"/>
        <v>0</v>
      </c>
      <c r="BU11" s="152">
        <f ca="1">SUM(BN11:BT11)</f>
        <v>0</v>
      </c>
      <c r="BV11" s="150">
        <f t="shared" ca="1" si="28"/>
        <v>0</v>
      </c>
      <c r="BW11" s="150">
        <f t="shared" ca="1" si="28"/>
        <v>0</v>
      </c>
      <c r="BX11" s="152">
        <f ca="1">SUM(BV11:BW11)</f>
        <v>0</v>
      </c>
      <c r="BY11" s="622">
        <f ca="1">IF($G11="",0,SUMIFS(INDIRECT($CS11&amp;BY$16),INDIRECT($CS11&amp;"C:C"),$G11))+IF($G11="",0,SUMIFS(INDIRECT($CS11&amp;BY$18),INDIRECT($CS11&amp;"C:C"),$G11))+IF($G11="",0,SUMIFS(INDIRECT($CS11&amp;BY$20),INDIRECT($CS11&amp;"C:C"),$G11))</f>
        <v>0</v>
      </c>
      <c r="BZ11" s="150">
        <f t="shared" ca="1" si="29"/>
        <v>0</v>
      </c>
      <c r="CA11" s="150">
        <f t="shared" ca="1" si="29"/>
        <v>0</v>
      </c>
      <c r="CB11" s="150">
        <f t="shared" ca="1" si="29"/>
        <v>0</v>
      </c>
      <c r="CC11" s="150">
        <f t="shared" ca="1" si="29"/>
        <v>0</v>
      </c>
      <c r="CD11" s="150">
        <f t="shared" ca="1" si="29"/>
        <v>0</v>
      </c>
      <c r="CE11" s="622">
        <f ca="1">IF($G11="",0,SUMIFS(INDIRECT($CS11&amp;CE$16),INDIRECT($CS11&amp;"C:C"),$G11))+IF($G11="",0,SUMIFS(INDIRECT($CS11&amp;CE$18),INDIRECT($CS11&amp;"C:C"),$G11))</f>
        <v>0</v>
      </c>
      <c r="CF11" s="152">
        <f ca="1">SUM(BY11:CE11)</f>
        <v>0</v>
      </c>
      <c r="CG11" s="152">
        <f ca="1">SUM(BM11,BU11,BX11,CF11)</f>
        <v>0</v>
      </c>
      <c r="CH11" s="150">
        <f ca="1">IF($G11="",0,SUMIFS(INDIRECT($CS11&amp;CH$16),INDIRECT($CS11&amp;"C:C"),$G11))+IF($G11="",0,SUMIFS(INDIRECT($CS11&amp;CH$18),INDIRECT($CS11&amp;"C:C"),$G11))</f>
        <v>0</v>
      </c>
      <c r="CI11" s="1211">
        <f t="shared" ca="1" si="30"/>
        <v>0</v>
      </c>
      <c r="CJ11" s="1211">
        <f t="shared" ca="1" si="30"/>
        <v>0</v>
      </c>
      <c r="CK11" s="152">
        <f ca="1">SUM(CG11+CI11)</f>
        <v>0</v>
      </c>
      <c r="CL11" s="152">
        <f ca="1">IF(LEFT(G11, 1)="B",  SUM(CG11,CI11),SUM(CG11,CH11))</f>
        <v>0</v>
      </c>
      <c r="CM11" s="152">
        <f ca="1">SUM(BM11,BU11)</f>
        <v>0</v>
      </c>
      <c r="CN11" s="152">
        <f ca="1">SUM(CG11,CI11,CJ11)</f>
        <v>0</v>
      </c>
      <c r="CO11" s="167">
        <f ca="1">BL11+BP11</f>
        <v>0</v>
      </c>
      <c r="CP11" s="168">
        <f ca="1">BW11</f>
        <v>0</v>
      </c>
      <c r="CQ11" s="623">
        <f ca="1">SUM(BY11:CD11)</f>
        <v>0</v>
      </c>
      <c r="CS11" s="619" t="str">
        <f t="shared" si="10"/>
        <v>'CalcsYr3'!</v>
      </c>
    </row>
    <row r="12" spans="1:97">
      <c r="A12" s="153" t="str">
        <f>Lookups!F$8</f>
        <v>Electric</v>
      </c>
      <c r="B12" s="153" t="str">
        <f>Lookups!F$9</f>
        <v>Unitil Energy Systems Inc</v>
      </c>
      <c r="C12" s="153">
        <f>Year3</f>
        <v>2026</v>
      </c>
      <c r="D12" s="624" t="str">
        <f>Lookups!F$10</f>
        <v>Planned</v>
      </c>
      <c r="E12" s="146" t="str">
        <f>Lookups!$E$71</f>
        <v>C - Commercial &amp; Industrial</v>
      </c>
      <c r="F12" s="87" t="s">
        <v>903</v>
      </c>
      <c r="G12" s="146" t="s">
        <v>905</v>
      </c>
      <c r="H12" s="147">
        <f>SUMIFS(Costs!E$5:E$99,Costs!$A$5:$A$99,$C12,Costs!$D$5:$D$99,$G12)</f>
        <v>3302.0479439999999</v>
      </c>
      <c r="I12" s="147">
        <f>SUMIFS(Costs!F$5:F$99,Costs!$A$5:$A$99,$C12,Costs!$D$5:$D$99,$G12)</f>
        <v>249</v>
      </c>
      <c r="J12" s="147">
        <f>SUMIFS(Costs!G$5:G$99,Costs!$A$5:$A$99,$C12,Costs!$D$5:$D$99,$G12)</f>
        <v>158241.98168359505</v>
      </c>
      <c r="K12" s="147">
        <f>SUMIFS(Costs!H$5:H$99,Costs!$A$5:$A$99,$C12,Costs!$D$5:$D$99,$G12)</f>
        <v>75401</v>
      </c>
      <c r="L12" s="147">
        <f>SUMIFS(Costs!I$5:I$99,Costs!$A$5:$A$99,$C12,Costs!$D$5:$D$99,$G12)</f>
        <v>2311</v>
      </c>
      <c r="M12" s="147">
        <f>SUMIFS(Costs!J$5:J$99,Costs!$A$5:$A$99,$C12,Costs!$D$5:$D$99,$G12)</f>
        <v>0</v>
      </c>
      <c r="N12" s="148">
        <f>SUM(H12:M12)</f>
        <v>239505.02962759504</v>
      </c>
      <c r="O12" s="148">
        <f>IF($C12=Year1,N12,IF($C12=Year2,N12/(1+nomdiscrt2),IF($C12=Year3,N12/(1+nomdiscrt3)^2,"")))</f>
        <v>206290.90465929455</v>
      </c>
      <c r="P12" s="147">
        <f>SUMIFS(Costs!K$5:K$99,Costs!$A$5:$A$99,$C12,Costs!$D$5:$D$99,$G12)</f>
        <v>0</v>
      </c>
      <c r="Q12" s="148">
        <f>IF($C12=Year1,P12,IF($C12=Year2,P12/(1+nomdiscrt2),IF($C12=Year3,P12/(1+nomdiscrt3)^2,"")))</f>
        <v>0</v>
      </c>
      <c r="R12" s="147">
        <f ca="1">IF($G12="",0,SUMIFS(INDIRECT($CS12&amp;R$16),INDIRECT($CS12&amp;"C:C"),$G12))</f>
        <v>0</v>
      </c>
      <c r="S12" s="148">
        <f ca="1">IF($C12=Year1,R12,IF($C12=Year2,R12/(1+nomdiscrt2),IF($C12=Year3,R12/(1+nomdiscrt3)^2,"")))</f>
        <v>0</v>
      </c>
      <c r="T12" s="148">
        <f ca="1">SUM(N12,P12,R12)</f>
        <v>239505.02962759504</v>
      </c>
      <c r="U12" s="148">
        <f ca="1">IF($C12=Year1,T12,IF($C12=Year2,T12/(1+nomdiscrt2),IF($C12=Year3,T12/(1+nomdiscrt3)^2,"")))</f>
        <v>206290.90465929455</v>
      </c>
      <c r="V12" s="149"/>
      <c r="W12" s="150">
        <f t="shared" ca="1" si="21"/>
        <v>0</v>
      </c>
      <c r="X12" s="150">
        <f t="shared" ca="1" si="21"/>
        <v>3516.9749999999999</v>
      </c>
      <c r="Y12" s="150">
        <f t="shared" ca="1" si="21"/>
        <v>0</v>
      </c>
      <c r="Z12" s="150">
        <f t="shared" ca="1" si="21"/>
        <v>0</v>
      </c>
      <c r="AA12" s="150">
        <f t="shared" ca="1" si="21"/>
        <v>0</v>
      </c>
      <c r="AB12" s="150">
        <f t="shared" ca="1" si="21"/>
        <v>0</v>
      </c>
      <c r="AC12" s="150">
        <f t="shared" ca="1" si="21"/>
        <v>0</v>
      </c>
      <c r="AD12" s="150">
        <f t="shared" ca="1" si="21"/>
        <v>0</v>
      </c>
      <c r="AE12" s="151">
        <f t="shared" ca="1" si="22"/>
        <v>0</v>
      </c>
      <c r="AF12" s="151">
        <f t="shared" ca="1" si="22"/>
        <v>0</v>
      </c>
      <c r="AG12" s="622">
        <f t="shared" ca="1" si="23"/>
        <v>0</v>
      </c>
      <c r="AH12" s="622">
        <f t="shared" ca="1" si="23"/>
        <v>0</v>
      </c>
      <c r="AI12" s="150">
        <f t="shared" ca="1" si="24"/>
        <v>0</v>
      </c>
      <c r="AJ12" s="150">
        <f t="shared" ca="1" si="24"/>
        <v>0</v>
      </c>
      <c r="AK12" s="150">
        <f t="shared" ca="1" si="24"/>
        <v>0</v>
      </c>
      <c r="AL12" s="150">
        <f t="shared" ca="1" si="24"/>
        <v>0</v>
      </c>
      <c r="AM12" s="150">
        <f t="shared" ca="1" si="24"/>
        <v>0</v>
      </c>
      <c r="AN12" s="150">
        <f t="shared" ca="1" si="24"/>
        <v>0</v>
      </c>
      <c r="AO12" s="150">
        <f t="shared" ca="1" si="24"/>
        <v>0</v>
      </c>
      <c r="AP12" s="150">
        <f t="shared" ca="1" si="24"/>
        <v>0</v>
      </c>
      <c r="AQ12" s="150">
        <f t="shared" ca="1" si="24"/>
        <v>0</v>
      </c>
      <c r="AR12" s="150">
        <f t="shared" ca="1" si="24"/>
        <v>0</v>
      </c>
      <c r="AS12" s="150">
        <f t="shared" ca="1" si="25"/>
        <v>0</v>
      </c>
      <c r="AT12" s="150">
        <f t="shared" ca="1" si="25"/>
        <v>0</v>
      </c>
      <c r="AU12" s="150">
        <f t="shared" ca="1" si="25"/>
        <v>0</v>
      </c>
      <c r="AV12" s="150">
        <f t="shared" ca="1" si="25"/>
        <v>0</v>
      </c>
      <c r="AW12" s="150">
        <f t="shared" ca="1" si="25"/>
        <v>0</v>
      </c>
      <c r="AX12" s="150">
        <f t="shared" ca="1" si="25"/>
        <v>0</v>
      </c>
      <c r="AY12" s="150">
        <f t="shared" ca="1" si="25"/>
        <v>0</v>
      </c>
      <c r="AZ12" s="150">
        <f t="shared" ca="1" si="25"/>
        <v>0</v>
      </c>
      <c r="BA12" s="150">
        <f t="shared" ca="1" si="25"/>
        <v>0</v>
      </c>
      <c r="BB12" s="150">
        <f t="shared" ca="1" si="25"/>
        <v>0</v>
      </c>
      <c r="BC12" s="150">
        <f t="shared" ca="1" si="25"/>
        <v>0</v>
      </c>
      <c r="BD12" s="150">
        <f t="shared" ca="1" si="25"/>
        <v>0</v>
      </c>
      <c r="BE12" s="622">
        <f ca="1">IF($G12="",0,SUMIFS(INDIRECT($CS12&amp;BE$16),INDIRECT($CS12&amp;"C:C"),$G12))+IF($G12="",0,SUMIFS(INDIRECT($CS12&amp;BE$18),INDIRECT($CS12&amp;"C:C"),$G12))</f>
        <v>0</v>
      </c>
      <c r="BF12" s="150">
        <f t="shared" ca="1" si="26"/>
        <v>0</v>
      </c>
      <c r="BG12" s="150">
        <f t="shared" ca="1" si="26"/>
        <v>0</v>
      </c>
      <c r="BH12" s="150">
        <f t="shared" ca="1" si="26"/>
        <v>0</v>
      </c>
      <c r="BI12" s="150">
        <f t="shared" ca="1" si="26"/>
        <v>0</v>
      </c>
      <c r="BJ12" s="150">
        <f t="shared" ca="1" si="26"/>
        <v>0</v>
      </c>
      <c r="BK12" s="150">
        <f t="shared" ca="1" si="26"/>
        <v>0</v>
      </c>
      <c r="BL12" s="150">
        <f t="shared" ca="1" si="26"/>
        <v>0</v>
      </c>
      <c r="BM12" s="1083">
        <f ca="1">SUM(BK12:BL12)</f>
        <v>0</v>
      </c>
      <c r="BN12" s="150">
        <f t="shared" ca="1" si="27"/>
        <v>29756.738945135738</v>
      </c>
      <c r="BO12" s="150">
        <f t="shared" ca="1" si="27"/>
        <v>0</v>
      </c>
      <c r="BP12" s="150">
        <f t="shared" ca="1" si="27"/>
        <v>12613.570555550505</v>
      </c>
      <c r="BQ12" s="150">
        <f t="shared" ca="1" si="27"/>
        <v>0</v>
      </c>
      <c r="BR12" s="150">
        <f t="shared" ca="1" si="27"/>
        <v>387618.81908471335</v>
      </c>
      <c r="BS12" s="150">
        <f t="shared" ca="1" si="27"/>
        <v>0</v>
      </c>
      <c r="BT12" s="150">
        <f t="shared" ca="1" si="27"/>
        <v>471257.96369686909</v>
      </c>
      <c r="BU12" s="152">
        <f ca="1">SUM(BN12:BT12)</f>
        <v>901247.09228226868</v>
      </c>
      <c r="BV12" s="150">
        <f t="shared" ca="1" si="28"/>
        <v>0</v>
      </c>
      <c r="BW12" s="150">
        <f t="shared" ca="1" si="28"/>
        <v>0</v>
      </c>
      <c r="BX12" s="152">
        <f ca="1">SUM(BV12:BW12)</f>
        <v>0</v>
      </c>
      <c r="BY12" s="622">
        <f ca="1">IF($G12="",0,SUMIFS(INDIRECT($CS12&amp;BY$16),INDIRECT($CS12&amp;"C:C"),$G12))+IF($G12="",0,SUMIFS(INDIRECT($CS12&amp;BY$18),INDIRECT($CS12&amp;"C:C"),$G12))+IF($G12="",0,SUMIFS(INDIRECT($CS12&amp;BY$20),INDIRECT($CS12&amp;"C:C"),$G12))</f>
        <v>0</v>
      </c>
      <c r="BZ12" s="150">
        <f t="shared" ca="1" si="29"/>
        <v>0</v>
      </c>
      <c r="CA12" s="150">
        <f t="shared" ca="1" si="29"/>
        <v>0</v>
      </c>
      <c r="CB12" s="150">
        <f t="shared" ca="1" si="29"/>
        <v>0</v>
      </c>
      <c r="CC12" s="150">
        <f t="shared" ca="1" si="29"/>
        <v>0</v>
      </c>
      <c r="CD12" s="150">
        <f t="shared" ca="1" si="29"/>
        <v>0</v>
      </c>
      <c r="CE12" s="622">
        <f ca="1">IF($G12="",0,SUMIFS(INDIRECT($CS12&amp;CE$16),INDIRECT($CS12&amp;"C:C"),$G12))+IF($G12="",0,SUMIFS(INDIRECT($CS12&amp;CE$18),INDIRECT($CS12&amp;"C:C"),$G12))</f>
        <v>0</v>
      </c>
      <c r="CF12" s="152">
        <f ca="1">SUM(BY12:CE12)</f>
        <v>0</v>
      </c>
      <c r="CG12" s="152">
        <f ca="1">SUM(BM12,BU12,BX12,CF12)</f>
        <v>901247.09228226868</v>
      </c>
      <c r="CH12" s="150">
        <f ca="1">IF($G12="",0,SUMIFS(INDIRECT($CS12&amp;CH$16),INDIRECT($CS12&amp;"C:C"),$G12))+IF($G12="",0,SUMIFS(INDIRECT($CS12&amp;CH$18),INDIRECT($CS12&amp;"C:C"),$G12))</f>
        <v>0</v>
      </c>
      <c r="CI12" s="1211">
        <f t="shared" ca="1" si="30"/>
        <v>0</v>
      </c>
      <c r="CJ12" s="1211">
        <f t="shared" ca="1" si="30"/>
        <v>0</v>
      </c>
      <c r="CK12" s="152">
        <f ca="1">SUM(CG12+CI12)</f>
        <v>901247.09228226868</v>
      </c>
      <c r="CL12" s="152">
        <f ca="1">IF(LEFT(G12, 1)="B",  SUM(CG12,CI12),SUM(CG12,CH12))</f>
        <v>901247.09228226868</v>
      </c>
      <c r="CM12" s="152">
        <f ca="1">SUM(BM12,BU12)</f>
        <v>901247.09228226868</v>
      </c>
      <c r="CN12" s="152">
        <f ca="1">SUM(CG12,CI12,CJ12)</f>
        <v>901247.09228226868</v>
      </c>
      <c r="CO12" s="167">
        <f ca="1">BL12+BP12</f>
        <v>12613.570555550505</v>
      </c>
      <c r="CP12" s="168">
        <f ca="1">BW12</f>
        <v>0</v>
      </c>
      <c r="CQ12" s="623">
        <f ca="1">SUM(BY12:CD12)</f>
        <v>0</v>
      </c>
      <c r="CS12" s="619" t="str">
        <f t="shared" si="10"/>
        <v>'CalcsYr3'!</v>
      </c>
    </row>
    <row r="13" spans="1:97" s="154" customFormat="1">
      <c r="A13" s="192"/>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3"/>
      <c r="CF13" s="192"/>
      <c r="CG13" s="192"/>
      <c r="CH13" s="192"/>
      <c r="CI13" s="192"/>
      <c r="CJ13" s="192"/>
      <c r="CK13" s="192"/>
      <c r="CL13" s="192"/>
      <c r="CM13" s="192"/>
      <c r="CN13" s="192"/>
      <c r="CO13" s="194"/>
      <c r="CP13" s="194"/>
      <c r="CQ13" s="192"/>
      <c r="CS13" s="619" t="str">
        <f t="shared" si="10"/>
        <v/>
      </c>
    </row>
    <row r="16" spans="1:97" s="619" customFormat="1">
      <c r="A16" s="626"/>
      <c r="B16" s="627"/>
      <c r="C16" s="627"/>
      <c r="D16" s="627"/>
      <c r="E16" s="627"/>
      <c r="F16" s="627"/>
      <c r="G16" s="627" t="s">
        <v>659</v>
      </c>
      <c r="H16" s="627"/>
      <c r="I16" s="627"/>
      <c r="J16" s="627"/>
      <c r="K16" s="627"/>
      <c r="L16" s="627"/>
      <c r="M16" s="627"/>
      <c r="N16" s="627"/>
      <c r="O16" s="627"/>
      <c r="P16" s="627"/>
      <c r="Q16" s="627"/>
      <c r="R16" s="627" t="s">
        <v>906</v>
      </c>
      <c r="S16" s="627"/>
      <c r="T16" s="627"/>
      <c r="U16" s="627"/>
      <c r="V16" s="627"/>
      <c r="W16" s="627" t="s">
        <v>907</v>
      </c>
      <c r="X16" s="627" t="s">
        <v>728</v>
      </c>
      <c r="Y16" s="627" t="s">
        <v>726</v>
      </c>
      <c r="Z16" s="627" t="s">
        <v>908</v>
      </c>
      <c r="AA16" s="627" t="s">
        <v>909</v>
      </c>
      <c r="AB16" s="627" t="s">
        <v>725</v>
      </c>
      <c r="AC16" s="627" t="s">
        <v>729</v>
      </c>
      <c r="AD16" s="627" t="s">
        <v>730</v>
      </c>
      <c r="AE16" s="627"/>
      <c r="AF16" s="627"/>
      <c r="AG16" s="627" t="s">
        <v>732</v>
      </c>
      <c r="AH16" s="627" t="s">
        <v>727</v>
      </c>
      <c r="AI16" s="627" t="s">
        <v>733</v>
      </c>
      <c r="AJ16" s="627" t="s">
        <v>734</v>
      </c>
      <c r="AK16" s="627" t="s">
        <v>736</v>
      </c>
      <c r="AL16" s="627" t="s">
        <v>731</v>
      </c>
      <c r="AM16" s="627" t="s">
        <v>737</v>
      </c>
      <c r="AN16" s="627" t="s">
        <v>738</v>
      </c>
      <c r="AO16" s="627" t="s">
        <v>740</v>
      </c>
      <c r="AP16" s="627" t="s">
        <v>735</v>
      </c>
      <c r="AQ16" s="627" t="s">
        <v>741</v>
      </c>
      <c r="AR16" s="627" t="s">
        <v>742</v>
      </c>
      <c r="AS16" s="627" t="s">
        <v>744</v>
      </c>
      <c r="AT16" s="627" t="s">
        <v>739</v>
      </c>
      <c r="AU16" s="627" t="s">
        <v>745</v>
      </c>
      <c r="AV16" s="627" t="s">
        <v>746</v>
      </c>
      <c r="AW16" s="627" t="s">
        <v>748</v>
      </c>
      <c r="AX16" s="627" t="s">
        <v>743</v>
      </c>
      <c r="AY16" s="627" t="s">
        <v>749</v>
      </c>
      <c r="AZ16" s="627" t="s">
        <v>750</v>
      </c>
      <c r="BA16" s="627" t="s">
        <v>751</v>
      </c>
      <c r="BB16" s="627" t="s">
        <v>747</v>
      </c>
      <c r="BC16" s="627" t="s">
        <v>752</v>
      </c>
      <c r="BD16" s="627" t="s">
        <v>753</v>
      </c>
      <c r="BE16" s="627" t="s">
        <v>773</v>
      </c>
      <c r="BF16" s="627" t="s">
        <v>755</v>
      </c>
      <c r="BG16" s="627" t="s">
        <v>756</v>
      </c>
      <c r="BH16" s="627" t="s">
        <v>757</v>
      </c>
      <c r="BI16" s="627" t="s">
        <v>758</v>
      </c>
      <c r="BJ16" s="627" t="s">
        <v>759</v>
      </c>
      <c r="BK16" s="627" t="s">
        <v>910</v>
      </c>
      <c r="BL16" s="627" t="s">
        <v>911</v>
      </c>
      <c r="BM16" s="627"/>
      <c r="BN16" s="627" t="s">
        <v>760</v>
      </c>
      <c r="BO16" s="627" t="s">
        <v>761</v>
      </c>
      <c r="BP16" s="627" t="s">
        <v>762</v>
      </c>
      <c r="BQ16" s="627" t="s">
        <v>763</v>
      </c>
      <c r="BR16" s="627" t="s">
        <v>764</v>
      </c>
      <c r="BS16" s="627" t="s">
        <v>765</v>
      </c>
      <c r="BT16" s="627" t="s">
        <v>912</v>
      </c>
      <c r="BU16" s="627"/>
      <c r="BV16" s="627" t="s">
        <v>913</v>
      </c>
      <c r="BW16" s="627" t="s">
        <v>914</v>
      </c>
      <c r="BX16" s="627"/>
      <c r="BY16" s="627" t="s">
        <v>774</v>
      </c>
      <c r="BZ16" s="627" t="s">
        <v>767</v>
      </c>
      <c r="CA16" s="627" t="s">
        <v>768</v>
      </c>
      <c r="CB16" s="627" t="s">
        <v>769</v>
      </c>
      <c r="CC16" s="627" t="s">
        <v>770</v>
      </c>
      <c r="CD16" s="627" t="s">
        <v>771</v>
      </c>
      <c r="CE16" s="627" t="s">
        <v>775</v>
      </c>
      <c r="CF16" s="627"/>
      <c r="CG16" s="627"/>
      <c r="CH16" s="627" t="s">
        <v>776</v>
      </c>
      <c r="CI16" s="627" t="s">
        <v>916</v>
      </c>
      <c r="CJ16" s="1209" t="s">
        <v>918</v>
      </c>
      <c r="CK16" s="627"/>
      <c r="CL16" s="627"/>
      <c r="CM16" s="627"/>
      <c r="CN16" s="627"/>
      <c r="CO16" s="628"/>
      <c r="CP16" s="628"/>
      <c r="CQ16" s="629"/>
    </row>
    <row r="17" spans="1:96" s="621" customFormat="1" ht="45.75" customHeight="1">
      <c r="A17" s="630"/>
      <c r="G17" s="621" t="s">
        <v>660</v>
      </c>
      <c r="R17" s="621" t="s">
        <v>219</v>
      </c>
      <c r="W17" s="621" t="s">
        <v>190</v>
      </c>
      <c r="X17" s="621" t="s">
        <v>191</v>
      </c>
      <c r="Y17" s="621" t="s">
        <v>164</v>
      </c>
      <c r="Z17" s="621" t="s">
        <v>162</v>
      </c>
      <c r="AA17" s="621" t="s">
        <v>148</v>
      </c>
      <c r="AB17" s="621" t="s">
        <v>163</v>
      </c>
      <c r="AC17" s="621" t="s">
        <v>194</v>
      </c>
      <c r="AD17" s="621" t="s">
        <v>202</v>
      </c>
      <c r="AG17" s="621" t="s">
        <v>195</v>
      </c>
      <c r="AH17" s="621" t="s">
        <v>203</v>
      </c>
      <c r="AI17" s="621" t="s">
        <v>196</v>
      </c>
      <c r="AJ17" s="621" t="s">
        <v>204</v>
      </c>
      <c r="AK17" s="621" t="s">
        <v>197</v>
      </c>
      <c r="AL17" s="621" t="s">
        <v>205</v>
      </c>
      <c r="AM17" s="621" t="s">
        <v>198</v>
      </c>
      <c r="AN17" s="621" t="s">
        <v>206</v>
      </c>
      <c r="AO17" s="621" t="s">
        <v>199</v>
      </c>
      <c r="AP17" s="621" t="s">
        <v>207</v>
      </c>
      <c r="AQ17" s="621" t="s">
        <v>256</v>
      </c>
      <c r="AR17" s="621" t="s">
        <v>254</v>
      </c>
      <c r="AS17" s="621" t="s">
        <v>257</v>
      </c>
      <c r="AT17" s="621" t="s">
        <v>255</v>
      </c>
      <c r="AU17" s="621" t="s">
        <v>262</v>
      </c>
      <c r="AV17" s="621" t="s">
        <v>260</v>
      </c>
      <c r="AW17" s="621" t="s">
        <v>263</v>
      </c>
      <c r="AX17" s="621" t="s">
        <v>261</v>
      </c>
      <c r="AY17" s="621" t="s">
        <v>266</v>
      </c>
      <c r="AZ17" s="621" t="s">
        <v>264</v>
      </c>
      <c r="BA17" s="621" t="s">
        <v>267</v>
      </c>
      <c r="BB17" s="621" t="s">
        <v>265</v>
      </c>
      <c r="BC17" s="621" t="s">
        <v>275</v>
      </c>
      <c r="BD17" s="621" t="s">
        <v>276</v>
      </c>
      <c r="BE17" s="621" t="s">
        <v>259</v>
      </c>
      <c r="BF17" s="621" t="s">
        <v>201</v>
      </c>
      <c r="BG17" s="621" t="s">
        <v>171</v>
      </c>
      <c r="BH17" s="621" t="s">
        <v>172</v>
      </c>
      <c r="BI17" s="621" t="s">
        <v>173</v>
      </c>
      <c r="BJ17" s="621" t="s">
        <v>174</v>
      </c>
      <c r="BK17" s="621" t="s">
        <v>429</v>
      </c>
      <c r="BL17" s="621" t="s">
        <v>179</v>
      </c>
      <c r="BN17" s="621" t="s">
        <v>183</v>
      </c>
      <c r="BO17" s="621" t="s">
        <v>185</v>
      </c>
      <c r="BP17" s="621" t="s">
        <v>184</v>
      </c>
      <c r="BQ17" s="621" t="s">
        <v>507</v>
      </c>
      <c r="BR17" s="621" t="s">
        <v>506</v>
      </c>
      <c r="BS17" s="621" t="s">
        <v>187</v>
      </c>
      <c r="BT17" s="621" t="s">
        <v>188</v>
      </c>
      <c r="BV17" s="621" t="s">
        <v>189</v>
      </c>
      <c r="BW17" s="621" t="s">
        <v>156</v>
      </c>
      <c r="BY17" s="621" t="s">
        <v>27</v>
      </c>
      <c r="BZ17" s="621" t="s">
        <v>603</v>
      </c>
      <c r="CA17" s="621" t="s">
        <v>63</v>
      </c>
      <c r="CB17" s="621" t="s">
        <v>28</v>
      </c>
      <c r="CC17" s="621" t="s">
        <v>111</v>
      </c>
      <c r="CD17" s="621" t="s">
        <v>375</v>
      </c>
      <c r="CE17" s="621" t="s">
        <v>47</v>
      </c>
      <c r="CH17" s="621" t="s">
        <v>515</v>
      </c>
      <c r="CI17" s="621" t="s">
        <v>428</v>
      </c>
      <c r="CJ17" s="1210" t="s">
        <v>917</v>
      </c>
      <c r="CO17" s="625"/>
      <c r="CP17" s="625"/>
      <c r="CQ17" s="631"/>
    </row>
    <row r="18" spans="1:96" s="621" customFormat="1">
      <c r="A18" s="630"/>
      <c r="G18" s="619" t="s">
        <v>661</v>
      </c>
      <c r="BE18" s="619" t="s">
        <v>754</v>
      </c>
      <c r="BY18" s="619" t="s">
        <v>777</v>
      </c>
      <c r="CE18" s="619" t="s">
        <v>915</v>
      </c>
      <c r="CH18" s="619" t="s">
        <v>772</v>
      </c>
      <c r="CO18" s="625"/>
      <c r="CP18" s="625"/>
      <c r="CQ18" s="631"/>
    </row>
    <row r="19" spans="1:96" s="621" customFormat="1" ht="42.75">
      <c r="A19" s="630"/>
      <c r="G19" s="621" t="s">
        <v>662</v>
      </c>
      <c r="BE19" s="621" t="s">
        <v>200</v>
      </c>
      <c r="BY19" s="621" t="s">
        <v>374</v>
      </c>
      <c r="CE19" s="621" t="s">
        <v>48</v>
      </c>
      <c r="CH19" s="621" t="s">
        <v>524</v>
      </c>
      <c r="CO19" s="625"/>
      <c r="CP19" s="625"/>
      <c r="CQ19" s="631"/>
    </row>
    <row r="20" spans="1:96" s="621" customFormat="1">
      <c r="A20" s="630"/>
      <c r="G20" s="619" t="s">
        <v>664</v>
      </c>
      <c r="BY20" s="619" t="s">
        <v>766</v>
      </c>
      <c r="CO20" s="625"/>
      <c r="CP20" s="625"/>
      <c r="CQ20" s="631"/>
    </row>
    <row r="21" spans="1:96" s="621" customFormat="1" ht="28.5">
      <c r="A21" s="630"/>
      <c r="G21" s="621" t="s">
        <v>665</v>
      </c>
      <c r="BY21" s="621" t="s">
        <v>641</v>
      </c>
      <c r="CO21" s="625"/>
      <c r="CP21" s="625"/>
      <c r="CQ21" s="631"/>
    </row>
    <row r="22" spans="1:96" s="619" customFormat="1">
      <c r="A22" s="632"/>
      <c r="B22" s="633"/>
      <c r="C22" s="633"/>
      <c r="D22" s="633"/>
      <c r="E22" s="633"/>
      <c r="F22" s="633"/>
      <c r="G22" s="633" t="s">
        <v>50</v>
      </c>
      <c r="H22" s="633"/>
      <c r="I22" s="633"/>
      <c r="J22" s="633"/>
      <c r="K22" s="633"/>
      <c r="L22" s="633"/>
      <c r="M22" s="633"/>
      <c r="N22" s="633"/>
      <c r="O22" s="633"/>
      <c r="P22" s="633"/>
      <c r="Q22" s="633"/>
      <c r="R22" s="633"/>
      <c r="S22" s="633"/>
      <c r="T22" s="633"/>
      <c r="U22" s="633"/>
      <c r="V22" s="633"/>
      <c r="W22" s="633"/>
      <c r="X22" s="633"/>
      <c r="Y22" s="633"/>
      <c r="Z22" s="633"/>
      <c r="AA22" s="633"/>
      <c r="AB22" s="633"/>
      <c r="AC22" s="633"/>
      <c r="AD22" s="633"/>
      <c r="AE22" s="633"/>
      <c r="AF22" s="633"/>
      <c r="AG22" s="634" t="s">
        <v>658</v>
      </c>
      <c r="AH22" s="634" t="s">
        <v>658</v>
      </c>
      <c r="AI22" s="633"/>
      <c r="AJ22" s="633"/>
      <c r="AK22" s="633"/>
      <c r="AL22" s="633"/>
      <c r="AM22" s="633"/>
      <c r="AN22" s="633"/>
      <c r="AO22" s="633"/>
      <c r="AP22" s="633"/>
      <c r="AQ22" s="633"/>
      <c r="AR22" s="633"/>
      <c r="AS22" s="633"/>
      <c r="AT22" s="633"/>
      <c r="AU22" s="633"/>
      <c r="AV22" s="633"/>
      <c r="AW22" s="633"/>
      <c r="AX22" s="633"/>
      <c r="AY22" s="633"/>
      <c r="AZ22" s="633"/>
      <c r="BA22" s="633"/>
      <c r="BB22" s="633"/>
      <c r="BC22" s="633"/>
      <c r="BD22" s="633"/>
      <c r="BE22" s="634" t="s">
        <v>663</v>
      </c>
      <c r="BF22" s="633"/>
      <c r="BG22" s="633"/>
      <c r="BH22" s="633"/>
      <c r="BI22" s="633"/>
      <c r="BJ22" s="633"/>
      <c r="BK22" s="633"/>
      <c r="BL22" s="633"/>
      <c r="BM22" s="633"/>
      <c r="BN22" s="633"/>
      <c r="BO22" s="633"/>
      <c r="BP22" s="633"/>
      <c r="BQ22" s="633"/>
      <c r="BR22" s="633"/>
      <c r="BS22" s="633"/>
      <c r="BT22" s="633"/>
      <c r="BU22" s="633"/>
      <c r="BV22" s="633"/>
      <c r="BW22" s="633"/>
      <c r="BX22" s="633"/>
      <c r="BY22" s="634" t="s">
        <v>663</v>
      </c>
      <c r="BZ22" s="633"/>
      <c r="CA22" s="633"/>
      <c r="CB22" s="633"/>
      <c r="CC22" s="633"/>
      <c r="CD22" s="633"/>
      <c r="CE22" s="634" t="s">
        <v>663</v>
      </c>
      <c r="CF22" s="645" t="s">
        <v>672</v>
      </c>
      <c r="CG22" s="634"/>
      <c r="CH22" s="645" t="s">
        <v>671</v>
      </c>
      <c r="CI22" s="634"/>
      <c r="CJ22" s="634"/>
      <c r="CK22" s="634"/>
      <c r="CL22" s="634"/>
      <c r="CM22" s="634"/>
      <c r="CN22" s="634"/>
      <c r="CO22" s="646"/>
      <c r="CP22" s="646"/>
      <c r="CQ22" s="647" t="s">
        <v>668</v>
      </c>
      <c r="CR22" s="620"/>
    </row>
    <row r="23" spans="1:96">
      <c r="R23" s="617"/>
    </row>
  </sheetData>
  <autoFilter ref="A1:CQ1" xr:uid="{00000000-0009-0000-0000-00000D000000}"/>
  <dataValidations count="1">
    <dataValidation type="list" allowBlank="1" showInputMessage="1" showErrorMessage="1" sqref="E10:E12 E6:E8 E2:E4" xr:uid="{126B362C-5B37-43BE-8DFE-4B926C1765A3}">
      <formula1>Sector</formula1>
    </dataValidation>
  </dataValidations>
  <pageMargins left="0.7" right="0.7" top="0.75" bottom="0.75" header="0.3" footer="0.3"/>
  <pageSetup scale="47" fitToWidth="8" fitToHeight="3" pageOrder="overThenDown" orientation="landscape" r:id="rId1"/>
  <colBreaks count="1" manualBreakCount="1">
    <brk id="74" max="1048575" man="1"/>
  </colBreaks>
  <ignoredErrors>
    <ignoredError sqref="P10"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1412700-5175-49F0-A4AE-0FF5EC6EB3B8}">
          <x14:formula1>
            <xm:f>Lookups!$E$145:$E$174</xm:f>
          </x14:formula1>
          <xm:sqref>F6:F8 F2:F4 F10:F12</xm:sqref>
        </x14:dataValidation>
        <x14:dataValidation type="list" allowBlank="1" showInputMessage="1" showErrorMessage="1" xr:uid="{3A8F48F2-1DFA-4B8A-87B6-F1FCF58194C9}">
          <x14:formula1>
            <xm:f>Lookups!$E$197:$E$247</xm:f>
          </x14:formula1>
          <xm:sqref>G6:G8 G2:G4 G10:G12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4d92b8ee-415b-4e54-aa59-20085abbadb7">
      <Terms xmlns="http://schemas.microsoft.com/office/infopath/2007/PartnerControls"/>
    </lcf76f155ced4ddcb4097134ff3c332f>
    <TaxCatchAll xmlns="63d31250-ea00-458f-94f6-af4a64f37f97"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66F1828E9EA74CB614656EB18D03FE" ma:contentTypeVersion="23" ma:contentTypeDescription="Create a new document." ma:contentTypeScope="" ma:versionID="946bc4a0febcad82265d4e802c14d0d7">
  <xsd:schema xmlns:xsd="http://www.w3.org/2001/XMLSchema" xmlns:xs="http://www.w3.org/2001/XMLSchema" xmlns:p="http://schemas.microsoft.com/office/2006/metadata/properties" xmlns:ns1="http://schemas.microsoft.com/sharepoint/v3" xmlns:ns2="4d92b8ee-415b-4e54-aa59-20085abbadb7" xmlns:ns3="8fc619af-af9a-4f10-b7ce-c8a4ee54f694" xmlns:ns4="63d31250-ea00-458f-94f6-af4a64f37f97" targetNamespace="http://schemas.microsoft.com/office/2006/metadata/properties" ma:root="true" ma:fieldsID="a642a8ffdbeea7a1d8fdd1127c0e758f" ns1:_="" ns2:_="" ns3:_="" ns4:_="">
    <xsd:import namespace="http://schemas.microsoft.com/sharepoint/v3"/>
    <xsd:import namespace="4d92b8ee-415b-4e54-aa59-20085abbadb7"/>
    <xsd:import namespace="8fc619af-af9a-4f10-b7ce-c8a4ee54f694"/>
    <xsd:import namespace="63d31250-ea00-458f-94f6-af4a64f37f9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element ref="ns2:MediaServiceLocation" minOccurs="0"/>
                <xsd:element ref="ns1:_ip_UnifiedCompliancePolicyProperties" minOccurs="0"/>
                <xsd:element ref="ns1:_ip_UnifiedCompliancePolicyUIAction" minOccurs="0"/>
                <xsd:element ref="ns2:MediaLengthInSeconds" minOccurs="0"/>
                <xsd:element ref="ns4:TaxCatchAll" minOccurs="0"/>
                <xsd:element ref="ns2:lcf76f155ced4ddcb4097134ff3c332f"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92b8ee-415b-4e54-aa59-20085abbad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8c73404c-21bf-4c61-9cc0-b139490ad1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fc619af-af9a-4f10-b7ce-c8a4ee54f69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d31250-ea00-458f-94f6-af4a64f37f97"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3d9133f-a739-4254-ada4-c82a6fa3406b}" ma:internalName="TaxCatchAll" ma:showField="CatchAllData" ma:web="8fc619af-af9a-4f10-b7ce-c8a4ee54f6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13122E-66AA-487C-B8E2-167384347393}">
  <ds:schemaRefs>
    <ds:schemaRef ds:uri="http://schemas.microsoft.com/sharepoint/v3/contenttype/forms"/>
  </ds:schemaRefs>
</ds:datastoreItem>
</file>

<file path=customXml/itemProps2.xml><?xml version="1.0" encoding="utf-8"?>
<ds:datastoreItem xmlns:ds="http://schemas.openxmlformats.org/officeDocument/2006/customXml" ds:itemID="{E9209C3B-85B1-42D9-A119-EF342D7367DC}">
  <ds:schemaRefs>
    <ds:schemaRef ds:uri="http://purl.org/dc/dcmitype/"/>
    <ds:schemaRef ds:uri="http://purl.org/dc/elements/1.1/"/>
    <ds:schemaRef ds:uri="54f6e1ca-96d2-4c0d-b3b5-303475942bd7"/>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AA75CD78-0546-4C98-B868-6CF2598A40E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92</vt:i4>
      </vt:variant>
    </vt:vector>
  </HeadingPairs>
  <TitlesOfParts>
    <vt:vector size="108" baseType="lpstr">
      <vt:lpstr>Lookups</vt:lpstr>
      <vt:lpstr>Costs</vt:lpstr>
      <vt:lpstr>ADRYr1</vt:lpstr>
      <vt:lpstr>ADRYr2</vt:lpstr>
      <vt:lpstr>ADRYr3</vt:lpstr>
      <vt:lpstr>CalcsYr1</vt:lpstr>
      <vt:lpstr>CalcsYr2</vt:lpstr>
      <vt:lpstr>CalcsYr3</vt:lpstr>
      <vt:lpstr>ADR Primary Data</vt:lpstr>
      <vt:lpstr>AESC</vt:lpstr>
      <vt:lpstr>DemandLookups</vt:lpstr>
      <vt:lpstr>AvoidedDemand</vt:lpstr>
      <vt:lpstr>AvoidedEnergy</vt:lpstr>
      <vt:lpstr>1. Att Cost Eff</vt:lpstr>
      <vt:lpstr>2. Att Ben</vt:lpstr>
      <vt:lpstr>3. Att E1 PI</vt:lpstr>
      <vt:lpstr>AveLoss</vt:lpstr>
      <vt:lpstr>avoidedcosttbl</vt:lpstr>
      <vt:lpstr>avoidedcosttbl2</vt:lpstr>
      <vt:lpstr>avoidedcosttbl3</vt:lpstr>
      <vt:lpstr>avoidedcosttblADM</vt:lpstr>
      <vt:lpstr>avoidedcosttblADMcapDRIPEYr1</vt:lpstr>
      <vt:lpstr>avoidedcosttblADMcapDRIPEYr2</vt:lpstr>
      <vt:lpstr>avoidedcosttblADMcapDRIPEYr3</vt:lpstr>
      <vt:lpstr>avoidedcosttblADMcapYr1</vt:lpstr>
      <vt:lpstr>avoidedcosttblADMcapYr2</vt:lpstr>
      <vt:lpstr>avoidedcosttblADMcapYr3</vt:lpstr>
      <vt:lpstr>avoidedcosttblADMkey</vt:lpstr>
      <vt:lpstr>CD</vt:lpstr>
      <vt:lpstr>ciwater1</vt:lpstr>
      <vt:lpstr>ciwater2</vt:lpstr>
      <vt:lpstr>ciwater3</vt:lpstr>
      <vt:lpstr>DistributionLosses</vt:lpstr>
      <vt:lpstr>distributionyear1</vt:lpstr>
      <vt:lpstr>distributionyear2</vt:lpstr>
      <vt:lpstr>distributionyear3</vt:lpstr>
      <vt:lpstr>ECD</vt:lpstr>
      <vt:lpstr>ED</vt:lpstr>
      <vt:lpstr>EE</vt:lpstr>
      <vt:lpstr>ElecProg</vt:lpstr>
      <vt:lpstr>EndUse</vt:lpstr>
      <vt:lpstr>EnergyLosses</vt:lpstr>
      <vt:lpstr>FCMbid</vt:lpstr>
      <vt:lpstr>FE</vt:lpstr>
      <vt:lpstr>FEpercent</vt:lpstr>
      <vt:lpstr>FuelList</vt:lpstr>
      <vt:lpstr>GasProg</vt:lpstr>
      <vt:lpstr>GD</vt:lpstr>
      <vt:lpstr>GECD</vt:lpstr>
      <vt:lpstr>Half_Year</vt:lpstr>
      <vt:lpstr>HEA_NEI_Yr</vt:lpstr>
      <vt:lpstr>Inflation1</vt:lpstr>
      <vt:lpstr>Inflation2</vt:lpstr>
      <vt:lpstr>Inflation3</vt:lpstr>
      <vt:lpstr>KerE</vt:lpstr>
      <vt:lpstr>KeroseneCO2</vt:lpstr>
      <vt:lpstr>KerosenseCO2</vt:lpstr>
      <vt:lpstr>Load_Shape_Demand</vt:lpstr>
      <vt:lpstr>MasterData</vt:lpstr>
      <vt:lpstr>NEIadder</vt:lpstr>
      <vt:lpstr>NGCO2</vt:lpstr>
      <vt:lpstr>NGE</vt:lpstr>
      <vt:lpstr>nomdiscrt1</vt:lpstr>
      <vt:lpstr>nomdiscrt2</vt:lpstr>
      <vt:lpstr>nomdiscrt3</vt:lpstr>
      <vt:lpstr>OilCO2</vt:lpstr>
      <vt:lpstr>OilDRIPE</vt:lpstr>
      <vt:lpstr>OilE</vt:lpstr>
      <vt:lpstr>PA</vt:lpstr>
      <vt:lpstr>PeakDemandLosses</vt:lpstr>
      <vt:lpstr>'1. Att Cost Eff'!Print_Area</vt:lpstr>
      <vt:lpstr>'2. Att Ben'!Print_Area</vt:lpstr>
      <vt:lpstr>'3. Att E1 PI'!Print_Area</vt:lpstr>
      <vt:lpstr>CalcsYr1!Print_Area</vt:lpstr>
      <vt:lpstr>CalcsYr2!Print_Area</vt:lpstr>
      <vt:lpstr>CalcsYr3!Print_Area</vt:lpstr>
      <vt:lpstr>Costs!Print_Titles</vt:lpstr>
      <vt:lpstr>PropaneCO2</vt:lpstr>
      <vt:lpstr>PropCO2</vt:lpstr>
      <vt:lpstr>PropE</vt:lpstr>
      <vt:lpstr>PTF_Year</vt:lpstr>
      <vt:lpstr>PTFlosses</vt:lpstr>
      <vt:lpstr>PTFyear1</vt:lpstr>
      <vt:lpstr>PTFyear2</vt:lpstr>
      <vt:lpstr>PTFyear3</vt:lpstr>
      <vt:lpstr>Real_Year</vt:lpstr>
      <vt:lpstr>realdiscrt1</vt:lpstr>
      <vt:lpstr>realdiscrt2</vt:lpstr>
      <vt:lpstr>realdiscrt3</vt:lpstr>
      <vt:lpstr>Reliability</vt:lpstr>
      <vt:lpstr>reswater1</vt:lpstr>
      <vt:lpstr>reswater2</vt:lpstr>
      <vt:lpstr>reswater3</vt:lpstr>
      <vt:lpstr>RGGI</vt:lpstr>
      <vt:lpstr>Sector</vt:lpstr>
      <vt:lpstr>SumOffPeakEnergyLL</vt:lpstr>
      <vt:lpstr>SumPeakEnergyLL</vt:lpstr>
      <vt:lpstr>TD_Year</vt:lpstr>
      <vt:lpstr>transmissionyear1</vt:lpstr>
      <vt:lpstr>transmissionyear2</vt:lpstr>
      <vt:lpstr>transmissionyear3</vt:lpstr>
      <vt:lpstr>WholesaleRiskPremium</vt:lpstr>
      <vt:lpstr>WntOffPeakEnergyLL</vt:lpstr>
      <vt:lpstr>WntPeakEnergyLL</vt:lpstr>
      <vt:lpstr>Wt_Year</vt:lpstr>
      <vt:lpstr>Year1</vt:lpstr>
      <vt:lpstr>Year2</vt:lpstr>
      <vt:lpstr>Year3</vt:lpstr>
    </vt:vector>
  </TitlesOfParts>
  <Company>NSTAR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Brandy Chambers;Erin Malone;Kim Crossman</dc:creator>
  <cp:lastModifiedBy>Downes, Mary</cp:lastModifiedBy>
  <cp:lastPrinted>2019-10-02T20:54:17Z</cp:lastPrinted>
  <dcterms:created xsi:type="dcterms:W3CDTF">2013-01-31T16:55:03Z</dcterms:created>
  <dcterms:modified xsi:type="dcterms:W3CDTF">2023-06-30T19:21:17Z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0x010100C766F1828E9EA74CB614656EB18D03FE</vt:lpwstr>
  </property>
</Properties>
</file>